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xampp\htdocs\wisataDanauToba\python_export\"/>
    </mc:Choice>
  </mc:AlternateContent>
  <xr:revisionPtr revIDLastSave="0" documentId="13_ncr:1_{FBB026E3-487B-4B57-8BC2-40927603ACEA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TF-IDF Manual" sheetId="1" r:id="rId1"/>
  </sheets>
  <definedNames>
    <definedName name="_xlnm._FilterDatabase" localSheetId="0" hidden="1">'TF-IDF Manual'!$A$1:$I$20957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60" i="1" l="1"/>
  <c r="H20957" i="1"/>
  <c r="G20957" i="1"/>
  <c r="E20957" i="1"/>
  <c r="H20956" i="1"/>
  <c r="G20956" i="1"/>
  <c r="E20956" i="1"/>
  <c r="H20955" i="1"/>
  <c r="G20955" i="1"/>
  <c r="E20955" i="1"/>
  <c r="H20954" i="1"/>
  <c r="G20954" i="1"/>
  <c r="E20954" i="1"/>
  <c r="H20953" i="1"/>
  <c r="G20953" i="1"/>
  <c r="E20953" i="1"/>
  <c r="H20952" i="1"/>
  <c r="G20952" i="1"/>
  <c r="E20952" i="1"/>
  <c r="H20951" i="1"/>
  <c r="G20951" i="1"/>
  <c r="E20951" i="1"/>
  <c r="H20950" i="1"/>
  <c r="G20950" i="1"/>
  <c r="E20950" i="1"/>
  <c r="H20949" i="1"/>
  <c r="G20949" i="1"/>
  <c r="E20949" i="1"/>
  <c r="H20948" i="1"/>
  <c r="G20948" i="1"/>
  <c r="E20948" i="1"/>
  <c r="H20947" i="1"/>
  <c r="G20947" i="1"/>
  <c r="E20947" i="1"/>
  <c r="H20946" i="1"/>
  <c r="G20946" i="1"/>
  <c r="E20946" i="1"/>
  <c r="H20945" i="1"/>
  <c r="G20945" i="1"/>
  <c r="E20945" i="1"/>
  <c r="H20944" i="1"/>
  <c r="G20944" i="1"/>
  <c r="E20944" i="1"/>
  <c r="H20943" i="1"/>
  <c r="G20943" i="1"/>
  <c r="E20943" i="1"/>
  <c r="H20942" i="1"/>
  <c r="G20942" i="1"/>
  <c r="E20942" i="1"/>
  <c r="H20941" i="1"/>
  <c r="G20941" i="1"/>
  <c r="E20941" i="1"/>
  <c r="H20940" i="1"/>
  <c r="G20940" i="1"/>
  <c r="E20940" i="1"/>
  <c r="H20939" i="1"/>
  <c r="G20939" i="1"/>
  <c r="E20939" i="1"/>
  <c r="H20938" i="1"/>
  <c r="G20938" i="1"/>
  <c r="E20938" i="1"/>
  <c r="H20937" i="1"/>
  <c r="G20937" i="1"/>
  <c r="E20937" i="1"/>
  <c r="H20936" i="1"/>
  <c r="G20936" i="1"/>
  <c r="E20936" i="1"/>
  <c r="H20935" i="1"/>
  <c r="G20935" i="1"/>
  <c r="E20935" i="1"/>
  <c r="H20934" i="1"/>
  <c r="G20934" i="1"/>
  <c r="E20934" i="1"/>
  <c r="H20933" i="1"/>
  <c r="G20933" i="1"/>
  <c r="E20933" i="1"/>
  <c r="H20932" i="1"/>
  <c r="G20932" i="1"/>
  <c r="E20932" i="1"/>
  <c r="H20931" i="1"/>
  <c r="G20931" i="1"/>
  <c r="E20931" i="1"/>
  <c r="H20930" i="1"/>
  <c r="G20930" i="1"/>
  <c r="E20930" i="1"/>
  <c r="H20929" i="1"/>
  <c r="G20929" i="1"/>
  <c r="E20929" i="1"/>
  <c r="H20928" i="1"/>
  <c r="G20928" i="1"/>
  <c r="E20928" i="1"/>
  <c r="H20927" i="1"/>
  <c r="G20927" i="1"/>
  <c r="E20927" i="1"/>
  <c r="H20926" i="1"/>
  <c r="G20926" i="1"/>
  <c r="E20926" i="1"/>
  <c r="H20925" i="1"/>
  <c r="G20925" i="1"/>
  <c r="E20925" i="1"/>
  <c r="H20924" i="1"/>
  <c r="G20924" i="1"/>
  <c r="E20924" i="1"/>
  <c r="H20923" i="1"/>
  <c r="G20923" i="1"/>
  <c r="E20923" i="1"/>
  <c r="H20922" i="1"/>
  <c r="G20922" i="1"/>
  <c r="E20922" i="1"/>
  <c r="H20921" i="1"/>
  <c r="G20921" i="1"/>
  <c r="E20921" i="1"/>
  <c r="H20920" i="1"/>
  <c r="G20920" i="1"/>
  <c r="E20920" i="1"/>
  <c r="H20919" i="1"/>
  <c r="G20919" i="1"/>
  <c r="E20919" i="1"/>
  <c r="H20918" i="1"/>
  <c r="G20918" i="1"/>
  <c r="E20918" i="1"/>
  <c r="H20917" i="1"/>
  <c r="G20917" i="1"/>
  <c r="E20917" i="1"/>
  <c r="H20916" i="1"/>
  <c r="G20916" i="1"/>
  <c r="E20916" i="1"/>
  <c r="H20915" i="1"/>
  <c r="G20915" i="1"/>
  <c r="E20915" i="1"/>
  <c r="H20914" i="1"/>
  <c r="G20914" i="1"/>
  <c r="E20914" i="1"/>
  <c r="H20913" i="1"/>
  <c r="G20913" i="1"/>
  <c r="E20913" i="1"/>
  <c r="H20912" i="1"/>
  <c r="G20912" i="1"/>
  <c r="E20912" i="1"/>
  <c r="H20911" i="1"/>
  <c r="G20911" i="1"/>
  <c r="E20911" i="1"/>
  <c r="H20910" i="1"/>
  <c r="G20910" i="1"/>
  <c r="E20910" i="1"/>
  <c r="H20909" i="1"/>
  <c r="G20909" i="1"/>
  <c r="E20909" i="1"/>
  <c r="H20908" i="1"/>
  <c r="G20908" i="1"/>
  <c r="E20908" i="1"/>
  <c r="H20907" i="1"/>
  <c r="G20907" i="1"/>
  <c r="E20907" i="1"/>
  <c r="H20906" i="1"/>
  <c r="G20906" i="1"/>
  <c r="E20906" i="1"/>
  <c r="H20905" i="1"/>
  <c r="G20905" i="1"/>
  <c r="E20905" i="1"/>
  <c r="H20904" i="1"/>
  <c r="G20904" i="1"/>
  <c r="E20904" i="1"/>
  <c r="H20903" i="1"/>
  <c r="G20903" i="1"/>
  <c r="E20903" i="1"/>
  <c r="H20902" i="1"/>
  <c r="G20902" i="1"/>
  <c r="E20902" i="1"/>
  <c r="H20901" i="1"/>
  <c r="G20901" i="1"/>
  <c r="E20901" i="1"/>
  <c r="H20900" i="1"/>
  <c r="G20900" i="1"/>
  <c r="E20900" i="1"/>
  <c r="H20899" i="1"/>
  <c r="G20899" i="1"/>
  <c r="E20899" i="1"/>
  <c r="H20898" i="1"/>
  <c r="G20898" i="1"/>
  <c r="E20898" i="1"/>
  <c r="H20897" i="1"/>
  <c r="G20897" i="1"/>
  <c r="E20897" i="1"/>
  <c r="H20896" i="1"/>
  <c r="G20896" i="1"/>
  <c r="E20896" i="1"/>
  <c r="H20895" i="1"/>
  <c r="G20895" i="1"/>
  <c r="E20895" i="1"/>
  <c r="H20894" i="1"/>
  <c r="G20894" i="1"/>
  <c r="E20894" i="1"/>
  <c r="H20893" i="1"/>
  <c r="G20893" i="1"/>
  <c r="E20893" i="1"/>
  <c r="H20892" i="1"/>
  <c r="G20892" i="1"/>
  <c r="E20892" i="1"/>
  <c r="H20891" i="1"/>
  <c r="G20891" i="1"/>
  <c r="E20891" i="1"/>
  <c r="H20890" i="1"/>
  <c r="G20890" i="1"/>
  <c r="E20890" i="1"/>
  <c r="H20889" i="1"/>
  <c r="G20889" i="1"/>
  <c r="E20889" i="1"/>
  <c r="H20888" i="1"/>
  <c r="G20888" i="1"/>
  <c r="E20888" i="1"/>
  <c r="H20887" i="1"/>
  <c r="G20887" i="1"/>
  <c r="E20887" i="1"/>
  <c r="H20886" i="1"/>
  <c r="G20886" i="1"/>
  <c r="E20886" i="1"/>
  <c r="H20885" i="1"/>
  <c r="G20885" i="1"/>
  <c r="E20885" i="1"/>
  <c r="H20884" i="1"/>
  <c r="G20884" i="1"/>
  <c r="E20884" i="1"/>
  <c r="H20883" i="1"/>
  <c r="G20883" i="1"/>
  <c r="E20883" i="1"/>
  <c r="H20882" i="1"/>
  <c r="G20882" i="1"/>
  <c r="E20882" i="1"/>
  <c r="H20881" i="1"/>
  <c r="G20881" i="1"/>
  <c r="E20881" i="1"/>
  <c r="H20880" i="1"/>
  <c r="G20880" i="1"/>
  <c r="E20880" i="1"/>
  <c r="H20879" i="1"/>
  <c r="G20879" i="1"/>
  <c r="E20879" i="1"/>
  <c r="H20878" i="1"/>
  <c r="G20878" i="1"/>
  <c r="E20878" i="1"/>
  <c r="H20877" i="1"/>
  <c r="G20877" i="1"/>
  <c r="E20877" i="1"/>
  <c r="H20876" i="1"/>
  <c r="G20876" i="1"/>
  <c r="E20876" i="1"/>
  <c r="H20875" i="1"/>
  <c r="G20875" i="1"/>
  <c r="E20875" i="1"/>
  <c r="H20874" i="1"/>
  <c r="G20874" i="1"/>
  <c r="E20874" i="1"/>
  <c r="H20873" i="1"/>
  <c r="G20873" i="1"/>
  <c r="E20873" i="1"/>
  <c r="H20872" i="1"/>
  <c r="G20872" i="1"/>
  <c r="E20872" i="1"/>
  <c r="H20871" i="1"/>
  <c r="G20871" i="1"/>
  <c r="E20871" i="1"/>
  <c r="H20870" i="1"/>
  <c r="G20870" i="1"/>
  <c r="E20870" i="1"/>
  <c r="H20869" i="1"/>
  <c r="G20869" i="1"/>
  <c r="E20869" i="1"/>
  <c r="H20868" i="1"/>
  <c r="G20868" i="1"/>
  <c r="E20868" i="1"/>
  <c r="H20867" i="1"/>
  <c r="G20867" i="1"/>
  <c r="E20867" i="1"/>
  <c r="H20866" i="1"/>
  <c r="G20866" i="1"/>
  <c r="E20866" i="1"/>
  <c r="H20865" i="1"/>
  <c r="G20865" i="1"/>
  <c r="E20865" i="1"/>
  <c r="H20864" i="1"/>
  <c r="G20864" i="1"/>
  <c r="E20864" i="1"/>
  <c r="H20863" i="1"/>
  <c r="G20863" i="1"/>
  <c r="E20863" i="1"/>
  <c r="H20862" i="1"/>
  <c r="G20862" i="1"/>
  <c r="E20862" i="1"/>
  <c r="H20861" i="1"/>
  <c r="G20861" i="1"/>
  <c r="E20861" i="1"/>
  <c r="H20860" i="1"/>
  <c r="G20860" i="1"/>
  <c r="E20860" i="1"/>
  <c r="H20859" i="1"/>
  <c r="G20859" i="1"/>
  <c r="E20859" i="1"/>
  <c r="H20858" i="1"/>
  <c r="G20858" i="1"/>
  <c r="E20858" i="1"/>
  <c r="H20857" i="1"/>
  <c r="G20857" i="1"/>
  <c r="E20857" i="1"/>
  <c r="H20856" i="1"/>
  <c r="G20856" i="1"/>
  <c r="E20856" i="1"/>
  <c r="H20855" i="1"/>
  <c r="G20855" i="1"/>
  <c r="E20855" i="1"/>
  <c r="H20854" i="1"/>
  <c r="G20854" i="1"/>
  <c r="E20854" i="1"/>
  <c r="H20853" i="1"/>
  <c r="G20853" i="1"/>
  <c r="E20853" i="1"/>
  <c r="H20852" i="1"/>
  <c r="G20852" i="1"/>
  <c r="E20852" i="1"/>
  <c r="H20851" i="1"/>
  <c r="G20851" i="1"/>
  <c r="E20851" i="1"/>
  <c r="H20850" i="1"/>
  <c r="G20850" i="1"/>
  <c r="E20850" i="1"/>
  <c r="H20849" i="1"/>
  <c r="G20849" i="1"/>
  <c r="E20849" i="1"/>
  <c r="H20848" i="1"/>
  <c r="G20848" i="1"/>
  <c r="E20848" i="1"/>
  <c r="H20847" i="1"/>
  <c r="G20847" i="1"/>
  <c r="E20847" i="1"/>
  <c r="H20846" i="1"/>
  <c r="G20846" i="1"/>
  <c r="E20846" i="1"/>
  <c r="H20845" i="1"/>
  <c r="G20845" i="1"/>
  <c r="E20845" i="1"/>
  <c r="H20844" i="1"/>
  <c r="G20844" i="1"/>
  <c r="E20844" i="1"/>
  <c r="H20843" i="1"/>
  <c r="G20843" i="1"/>
  <c r="E20843" i="1"/>
  <c r="H20842" i="1"/>
  <c r="G20842" i="1"/>
  <c r="E20842" i="1"/>
  <c r="H20841" i="1"/>
  <c r="G20841" i="1"/>
  <c r="E20841" i="1"/>
  <c r="H20840" i="1"/>
  <c r="G20840" i="1"/>
  <c r="E20840" i="1"/>
  <c r="H20839" i="1"/>
  <c r="G20839" i="1"/>
  <c r="E20839" i="1"/>
  <c r="H20838" i="1"/>
  <c r="G20838" i="1"/>
  <c r="E20838" i="1"/>
  <c r="H20837" i="1"/>
  <c r="G20837" i="1"/>
  <c r="E20837" i="1"/>
  <c r="H20836" i="1"/>
  <c r="G20836" i="1"/>
  <c r="E20836" i="1"/>
  <c r="H20835" i="1"/>
  <c r="G20835" i="1"/>
  <c r="E20835" i="1"/>
  <c r="H20834" i="1"/>
  <c r="G20834" i="1"/>
  <c r="E20834" i="1"/>
  <c r="H20833" i="1"/>
  <c r="G20833" i="1"/>
  <c r="E20833" i="1"/>
  <c r="H20832" i="1"/>
  <c r="G20832" i="1"/>
  <c r="E20832" i="1"/>
  <c r="H20831" i="1"/>
  <c r="G20831" i="1"/>
  <c r="E20831" i="1"/>
  <c r="H20830" i="1"/>
  <c r="G20830" i="1"/>
  <c r="E20830" i="1"/>
  <c r="H20829" i="1"/>
  <c r="G20829" i="1"/>
  <c r="E20829" i="1"/>
  <c r="H20828" i="1"/>
  <c r="G20828" i="1"/>
  <c r="E20828" i="1"/>
  <c r="H20827" i="1"/>
  <c r="G20827" i="1"/>
  <c r="E20827" i="1"/>
  <c r="H20826" i="1"/>
  <c r="G20826" i="1"/>
  <c r="E20826" i="1"/>
  <c r="H20825" i="1"/>
  <c r="G20825" i="1"/>
  <c r="E20825" i="1"/>
  <c r="H20824" i="1"/>
  <c r="G20824" i="1"/>
  <c r="E20824" i="1"/>
  <c r="H20823" i="1"/>
  <c r="G20823" i="1"/>
  <c r="E20823" i="1"/>
  <c r="H20822" i="1"/>
  <c r="G20822" i="1"/>
  <c r="E20822" i="1"/>
  <c r="H20821" i="1"/>
  <c r="G20821" i="1"/>
  <c r="E20821" i="1"/>
  <c r="H20820" i="1"/>
  <c r="G20820" i="1"/>
  <c r="E20820" i="1"/>
  <c r="H20819" i="1"/>
  <c r="G20819" i="1"/>
  <c r="E20819" i="1"/>
  <c r="H20818" i="1"/>
  <c r="G20818" i="1"/>
  <c r="E20818" i="1"/>
  <c r="H20817" i="1"/>
  <c r="G20817" i="1"/>
  <c r="E20817" i="1"/>
  <c r="H20816" i="1"/>
  <c r="G20816" i="1"/>
  <c r="E20816" i="1"/>
  <c r="H20815" i="1"/>
  <c r="G20815" i="1"/>
  <c r="E20815" i="1"/>
  <c r="H20814" i="1"/>
  <c r="G20814" i="1"/>
  <c r="E20814" i="1"/>
  <c r="H20813" i="1"/>
  <c r="G20813" i="1"/>
  <c r="E20813" i="1"/>
  <c r="H20812" i="1"/>
  <c r="G20812" i="1"/>
  <c r="E20812" i="1"/>
  <c r="H20811" i="1"/>
  <c r="G20811" i="1"/>
  <c r="E20811" i="1"/>
  <c r="H20810" i="1"/>
  <c r="G20810" i="1"/>
  <c r="E20810" i="1"/>
  <c r="H20809" i="1"/>
  <c r="G20809" i="1"/>
  <c r="E20809" i="1"/>
  <c r="H20808" i="1"/>
  <c r="G20808" i="1"/>
  <c r="E20808" i="1"/>
  <c r="H20807" i="1"/>
  <c r="G20807" i="1"/>
  <c r="E20807" i="1"/>
  <c r="H20806" i="1"/>
  <c r="G20806" i="1"/>
  <c r="E20806" i="1"/>
  <c r="H20805" i="1"/>
  <c r="G20805" i="1"/>
  <c r="E20805" i="1"/>
  <c r="H20804" i="1"/>
  <c r="G20804" i="1"/>
  <c r="E20804" i="1"/>
  <c r="H20803" i="1"/>
  <c r="G20803" i="1"/>
  <c r="E20803" i="1"/>
  <c r="H20802" i="1"/>
  <c r="G20802" i="1"/>
  <c r="E20802" i="1"/>
  <c r="H20801" i="1"/>
  <c r="G20801" i="1"/>
  <c r="E20801" i="1"/>
  <c r="H20800" i="1"/>
  <c r="G20800" i="1"/>
  <c r="E20800" i="1"/>
  <c r="H20799" i="1"/>
  <c r="G20799" i="1"/>
  <c r="E20799" i="1"/>
  <c r="H20798" i="1"/>
  <c r="G20798" i="1"/>
  <c r="E20798" i="1"/>
  <c r="H20797" i="1"/>
  <c r="G20797" i="1"/>
  <c r="E20797" i="1"/>
  <c r="H20796" i="1"/>
  <c r="G20796" i="1"/>
  <c r="E20796" i="1"/>
  <c r="H20795" i="1"/>
  <c r="G20795" i="1"/>
  <c r="E20795" i="1"/>
  <c r="H20794" i="1"/>
  <c r="G20794" i="1"/>
  <c r="E20794" i="1"/>
  <c r="H20793" i="1"/>
  <c r="G20793" i="1"/>
  <c r="E20793" i="1"/>
  <c r="H20792" i="1"/>
  <c r="G20792" i="1"/>
  <c r="E20792" i="1"/>
  <c r="H20791" i="1"/>
  <c r="G20791" i="1"/>
  <c r="E20791" i="1"/>
  <c r="H20790" i="1"/>
  <c r="G20790" i="1"/>
  <c r="E20790" i="1"/>
  <c r="H20789" i="1"/>
  <c r="G20789" i="1"/>
  <c r="E20789" i="1"/>
  <c r="H20788" i="1"/>
  <c r="G20788" i="1"/>
  <c r="E20788" i="1"/>
  <c r="H20787" i="1"/>
  <c r="G20787" i="1"/>
  <c r="E20787" i="1"/>
  <c r="H20786" i="1"/>
  <c r="G20786" i="1"/>
  <c r="E20786" i="1"/>
  <c r="H20785" i="1"/>
  <c r="G20785" i="1"/>
  <c r="E20785" i="1"/>
  <c r="H20784" i="1"/>
  <c r="G20784" i="1"/>
  <c r="E20784" i="1"/>
  <c r="H20783" i="1"/>
  <c r="G20783" i="1"/>
  <c r="E20783" i="1"/>
  <c r="H20782" i="1"/>
  <c r="G20782" i="1"/>
  <c r="E20782" i="1"/>
  <c r="H20781" i="1"/>
  <c r="G20781" i="1"/>
  <c r="E20781" i="1"/>
  <c r="H20780" i="1"/>
  <c r="G20780" i="1"/>
  <c r="E20780" i="1"/>
  <c r="H20779" i="1"/>
  <c r="G20779" i="1"/>
  <c r="E20779" i="1"/>
  <c r="H20778" i="1"/>
  <c r="G20778" i="1"/>
  <c r="E20778" i="1"/>
  <c r="H20777" i="1"/>
  <c r="G20777" i="1"/>
  <c r="E20777" i="1"/>
  <c r="H20776" i="1"/>
  <c r="G20776" i="1"/>
  <c r="E20776" i="1"/>
  <c r="H20775" i="1"/>
  <c r="G20775" i="1"/>
  <c r="E20775" i="1"/>
  <c r="H20774" i="1"/>
  <c r="G20774" i="1"/>
  <c r="E20774" i="1"/>
  <c r="H20773" i="1"/>
  <c r="G20773" i="1"/>
  <c r="E20773" i="1"/>
  <c r="H20772" i="1"/>
  <c r="G20772" i="1"/>
  <c r="E20772" i="1"/>
  <c r="H20771" i="1"/>
  <c r="G20771" i="1"/>
  <c r="E20771" i="1"/>
  <c r="H20770" i="1"/>
  <c r="G20770" i="1"/>
  <c r="E20770" i="1"/>
  <c r="H20769" i="1"/>
  <c r="G20769" i="1"/>
  <c r="E20769" i="1"/>
  <c r="H20768" i="1"/>
  <c r="G20768" i="1"/>
  <c r="E20768" i="1"/>
  <c r="H20767" i="1"/>
  <c r="G20767" i="1"/>
  <c r="E20767" i="1"/>
  <c r="H20766" i="1"/>
  <c r="G20766" i="1"/>
  <c r="E20766" i="1"/>
  <c r="H20765" i="1"/>
  <c r="G20765" i="1"/>
  <c r="E20765" i="1"/>
  <c r="H20764" i="1"/>
  <c r="G20764" i="1"/>
  <c r="E20764" i="1"/>
  <c r="H20763" i="1"/>
  <c r="G20763" i="1"/>
  <c r="E20763" i="1"/>
  <c r="H20762" i="1"/>
  <c r="G20762" i="1"/>
  <c r="E20762" i="1"/>
  <c r="H20761" i="1"/>
  <c r="G20761" i="1"/>
  <c r="E20761" i="1"/>
  <c r="H20760" i="1"/>
  <c r="G20760" i="1"/>
  <c r="E20760" i="1"/>
  <c r="H20759" i="1"/>
  <c r="G20759" i="1"/>
  <c r="E20759" i="1"/>
  <c r="H20758" i="1"/>
  <c r="G20758" i="1"/>
  <c r="E20758" i="1"/>
  <c r="H20757" i="1"/>
  <c r="G20757" i="1"/>
  <c r="E20757" i="1"/>
  <c r="H20756" i="1"/>
  <c r="G20756" i="1"/>
  <c r="E20756" i="1"/>
  <c r="H20755" i="1"/>
  <c r="G20755" i="1"/>
  <c r="E20755" i="1"/>
  <c r="H20754" i="1"/>
  <c r="G20754" i="1"/>
  <c r="E20754" i="1"/>
  <c r="H20753" i="1"/>
  <c r="G20753" i="1"/>
  <c r="E20753" i="1"/>
  <c r="H20752" i="1"/>
  <c r="G20752" i="1"/>
  <c r="E20752" i="1"/>
  <c r="H20751" i="1"/>
  <c r="G20751" i="1"/>
  <c r="E20751" i="1"/>
  <c r="H20750" i="1"/>
  <c r="G20750" i="1"/>
  <c r="E20750" i="1"/>
  <c r="H20749" i="1"/>
  <c r="G20749" i="1"/>
  <c r="E20749" i="1"/>
  <c r="H20748" i="1"/>
  <c r="G20748" i="1"/>
  <c r="E20748" i="1"/>
  <c r="H20747" i="1"/>
  <c r="G20747" i="1"/>
  <c r="E20747" i="1"/>
  <c r="H20746" i="1"/>
  <c r="G20746" i="1"/>
  <c r="E20746" i="1"/>
  <c r="H20745" i="1"/>
  <c r="G20745" i="1"/>
  <c r="E20745" i="1"/>
  <c r="H20744" i="1"/>
  <c r="G20744" i="1"/>
  <c r="E20744" i="1"/>
  <c r="H20743" i="1"/>
  <c r="G20743" i="1"/>
  <c r="E20743" i="1"/>
  <c r="H20742" i="1"/>
  <c r="G20742" i="1"/>
  <c r="E20742" i="1"/>
  <c r="H20741" i="1"/>
  <c r="G20741" i="1"/>
  <c r="E20741" i="1"/>
  <c r="H20740" i="1"/>
  <c r="G20740" i="1"/>
  <c r="E20740" i="1"/>
  <c r="H20739" i="1"/>
  <c r="G20739" i="1"/>
  <c r="E20739" i="1"/>
  <c r="H20738" i="1"/>
  <c r="G20738" i="1"/>
  <c r="E20738" i="1"/>
  <c r="H20737" i="1"/>
  <c r="G20737" i="1"/>
  <c r="E20737" i="1"/>
  <c r="H20736" i="1"/>
  <c r="G20736" i="1"/>
  <c r="E20736" i="1"/>
  <c r="H20735" i="1"/>
  <c r="G20735" i="1"/>
  <c r="E20735" i="1"/>
  <c r="H20734" i="1"/>
  <c r="G20734" i="1"/>
  <c r="E20734" i="1"/>
  <c r="H20733" i="1"/>
  <c r="G20733" i="1"/>
  <c r="E20733" i="1"/>
  <c r="H20732" i="1"/>
  <c r="G20732" i="1"/>
  <c r="E20732" i="1"/>
  <c r="H20731" i="1"/>
  <c r="G20731" i="1"/>
  <c r="E20731" i="1"/>
  <c r="H20730" i="1"/>
  <c r="G20730" i="1"/>
  <c r="E20730" i="1"/>
  <c r="H20729" i="1"/>
  <c r="G20729" i="1"/>
  <c r="E20729" i="1"/>
  <c r="H20728" i="1"/>
  <c r="G20728" i="1"/>
  <c r="E20728" i="1"/>
  <c r="H20727" i="1"/>
  <c r="G20727" i="1"/>
  <c r="E20727" i="1"/>
  <c r="H20726" i="1"/>
  <c r="G20726" i="1"/>
  <c r="E20726" i="1"/>
  <c r="H20725" i="1"/>
  <c r="G20725" i="1"/>
  <c r="E20725" i="1"/>
  <c r="H20724" i="1"/>
  <c r="G20724" i="1"/>
  <c r="E20724" i="1"/>
  <c r="H20723" i="1"/>
  <c r="G20723" i="1"/>
  <c r="E20723" i="1"/>
  <c r="H20722" i="1"/>
  <c r="G20722" i="1"/>
  <c r="E20722" i="1"/>
  <c r="H20721" i="1"/>
  <c r="G20721" i="1"/>
  <c r="E20721" i="1"/>
  <c r="H20720" i="1"/>
  <c r="G20720" i="1"/>
  <c r="E20720" i="1"/>
  <c r="H20719" i="1"/>
  <c r="G20719" i="1"/>
  <c r="E20719" i="1"/>
  <c r="H20718" i="1"/>
  <c r="G20718" i="1"/>
  <c r="E20718" i="1"/>
  <c r="H20717" i="1"/>
  <c r="G20717" i="1"/>
  <c r="E20717" i="1"/>
  <c r="H20716" i="1"/>
  <c r="G20716" i="1"/>
  <c r="E20716" i="1"/>
  <c r="H20715" i="1"/>
  <c r="G20715" i="1"/>
  <c r="E20715" i="1"/>
  <c r="H20714" i="1"/>
  <c r="G20714" i="1"/>
  <c r="E20714" i="1"/>
  <c r="H20713" i="1"/>
  <c r="G20713" i="1"/>
  <c r="E20713" i="1"/>
  <c r="H20712" i="1"/>
  <c r="G20712" i="1"/>
  <c r="E20712" i="1"/>
  <c r="H20711" i="1"/>
  <c r="G20711" i="1"/>
  <c r="E20711" i="1"/>
  <c r="H20710" i="1"/>
  <c r="G20710" i="1"/>
  <c r="E20710" i="1"/>
  <c r="H20709" i="1"/>
  <c r="G20709" i="1"/>
  <c r="E20709" i="1"/>
  <c r="H20708" i="1"/>
  <c r="G20708" i="1"/>
  <c r="E20708" i="1"/>
  <c r="H20707" i="1"/>
  <c r="G20707" i="1"/>
  <c r="E20707" i="1"/>
  <c r="H20706" i="1"/>
  <c r="G20706" i="1"/>
  <c r="E20706" i="1"/>
  <c r="H20705" i="1"/>
  <c r="G20705" i="1"/>
  <c r="E20705" i="1"/>
  <c r="H20704" i="1"/>
  <c r="G20704" i="1"/>
  <c r="E20704" i="1"/>
  <c r="H20703" i="1"/>
  <c r="G20703" i="1"/>
  <c r="E20703" i="1"/>
  <c r="H20702" i="1"/>
  <c r="G20702" i="1"/>
  <c r="E20702" i="1"/>
  <c r="H20701" i="1"/>
  <c r="G20701" i="1"/>
  <c r="E20701" i="1"/>
  <c r="H20700" i="1"/>
  <c r="G20700" i="1"/>
  <c r="E20700" i="1"/>
  <c r="H20699" i="1"/>
  <c r="G20699" i="1"/>
  <c r="E20699" i="1"/>
  <c r="H20698" i="1"/>
  <c r="G20698" i="1"/>
  <c r="E20698" i="1"/>
  <c r="H20697" i="1"/>
  <c r="G20697" i="1"/>
  <c r="E20697" i="1"/>
  <c r="H20696" i="1"/>
  <c r="G20696" i="1"/>
  <c r="E20696" i="1"/>
  <c r="H20695" i="1"/>
  <c r="G20695" i="1"/>
  <c r="E20695" i="1"/>
  <c r="H20694" i="1"/>
  <c r="G20694" i="1"/>
  <c r="E20694" i="1"/>
  <c r="H20693" i="1"/>
  <c r="G20693" i="1"/>
  <c r="E20693" i="1"/>
  <c r="H20692" i="1"/>
  <c r="G20692" i="1"/>
  <c r="E20692" i="1"/>
  <c r="H20691" i="1"/>
  <c r="G20691" i="1"/>
  <c r="E20691" i="1"/>
  <c r="H20690" i="1"/>
  <c r="G20690" i="1"/>
  <c r="E20690" i="1"/>
  <c r="H20689" i="1"/>
  <c r="G20689" i="1"/>
  <c r="E20689" i="1"/>
  <c r="H20688" i="1"/>
  <c r="G20688" i="1"/>
  <c r="E20688" i="1"/>
  <c r="H20687" i="1"/>
  <c r="G20687" i="1"/>
  <c r="E20687" i="1"/>
  <c r="H20686" i="1"/>
  <c r="G20686" i="1"/>
  <c r="E20686" i="1"/>
  <c r="H20685" i="1"/>
  <c r="G20685" i="1"/>
  <c r="E20685" i="1"/>
  <c r="H20684" i="1"/>
  <c r="G20684" i="1"/>
  <c r="E20684" i="1"/>
  <c r="H20683" i="1"/>
  <c r="G20683" i="1"/>
  <c r="E20683" i="1"/>
  <c r="H20682" i="1"/>
  <c r="G20682" i="1"/>
  <c r="E20682" i="1"/>
  <c r="H20681" i="1"/>
  <c r="G20681" i="1"/>
  <c r="E20681" i="1"/>
  <c r="H20680" i="1"/>
  <c r="G20680" i="1"/>
  <c r="E20680" i="1"/>
  <c r="H20679" i="1"/>
  <c r="G20679" i="1"/>
  <c r="E20679" i="1"/>
  <c r="H20678" i="1"/>
  <c r="G20678" i="1"/>
  <c r="E20678" i="1"/>
  <c r="H20677" i="1"/>
  <c r="G20677" i="1"/>
  <c r="E20677" i="1"/>
  <c r="H20676" i="1"/>
  <c r="G20676" i="1"/>
  <c r="E20676" i="1"/>
  <c r="H20675" i="1"/>
  <c r="G20675" i="1"/>
  <c r="E20675" i="1"/>
  <c r="H20674" i="1"/>
  <c r="G20674" i="1"/>
  <c r="E20674" i="1"/>
  <c r="H20673" i="1"/>
  <c r="G20673" i="1"/>
  <c r="E20673" i="1"/>
  <c r="H20672" i="1"/>
  <c r="G20672" i="1"/>
  <c r="E20672" i="1"/>
  <c r="H20671" i="1"/>
  <c r="G20671" i="1"/>
  <c r="E20671" i="1"/>
  <c r="H20670" i="1"/>
  <c r="G20670" i="1"/>
  <c r="E20670" i="1"/>
  <c r="H20669" i="1"/>
  <c r="G20669" i="1"/>
  <c r="E20669" i="1"/>
  <c r="H20668" i="1"/>
  <c r="G20668" i="1"/>
  <c r="E20668" i="1"/>
  <c r="H20667" i="1"/>
  <c r="G20667" i="1"/>
  <c r="E20667" i="1"/>
  <c r="H20666" i="1"/>
  <c r="G20666" i="1"/>
  <c r="E20666" i="1"/>
  <c r="H20665" i="1"/>
  <c r="G20665" i="1"/>
  <c r="E20665" i="1"/>
  <c r="H20664" i="1"/>
  <c r="G20664" i="1"/>
  <c r="E20664" i="1"/>
  <c r="H20663" i="1"/>
  <c r="G20663" i="1"/>
  <c r="E20663" i="1"/>
  <c r="H20662" i="1"/>
  <c r="G20662" i="1"/>
  <c r="E20662" i="1"/>
  <c r="H20661" i="1"/>
  <c r="G20661" i="1"/>
  <c r="E20661" i="1"/>
  <c r="H20660" i="1"/>
  <c r="G20660" i="1"/>
  <c r="E20660" i="1"/>
  <c r="H20659" i="1"/>
  <c r="G20659" i="1"/>
  <c r="E20659" i="1"/>
  <c r="H20658" i="1"/>
  <c r="G20658" i="1"/>
  <c r="E20658" i="1"/>
  <c r="H20657" i="1"/>
  <c r="G20657" i="1"/>
  <c r="E20657" i="1"/>
  <c r="H20656" i="1"/>
  <c r="G20656" i="1"/>
  <c r="E20656" i="1"/>
  <c r="H20655" i="1"/>
  <c r="G20655" i="1"/>
  <c r="E20655" i="1"/>
  <c r="H20654" i="1"/>
  <c r="G20654" i="1"/>
  <c r="E20654" i="1"/>
  <c r="H20653" i="1"/>
  <c r="G20653" i="1"/>
  <c r="E20653" i="1"/>
  <c r="H20652" i="1"/>
  <c r="G20652" i="1"/>
  <c r="E20652" i="1"/>
  <c r="H20651" i="1"/>
  <c r="G20651" i="1"/>
  <c r="E20651" i="1"/>
  <c r="H20650" i="1"/>
  <c r="G20650" i="1"/>
  <c r="E20650" i="1"/>
  <c r="H20649" i="1"/>
  <c r="G20649" i="1"/>
  <c r="E20649" i="1"/>
  <c r="H20648" i="1"/>
  <c r="G20648" i="1"/>
  <c r="E20648" i="1"/>
  <c r="H20647" i="1"/>
  <c r="G20647" i="1"/>
  <c r="E20647" i="1"/>
  <c r="H20646" i="1"/>
  <c r="G20646" i="1"/>
  <c r="E20646" i="1"/>
  <c r="H20645" i="1"/>
  <c r="G20645" i="1"/>
  <c r="E20645" i="1"/>
  <c r="H20644" i="1"/>
  <c r="G20644" i="1"/>
  <c r="E20644" i="1"/>
  <c r="H20643" i="1"/>
  <c r="G20643" i="1"/>
  <c r="E20643" i="1"/>
  <c r="H20642" i="1"/>
  <c r="G20642" i="1"/>
  <c r="E20642" i="1"/>
  <c r="H20641" i="1"/>
  <c r="G20641" i="1"/>
  <c r="E20641" i="1"/>
  <c r="H20640" i="1"/>
  <c r="G20640" i="1"/>
  <c r="E20640" i="1"/>
  <c r="H20639" i="1"/>
  <c r="G20639" i="1"/>
  <c r="E20639" i="1"/>
  <c r="H20638" i="1"/>
  <c r="G20638" i="1"/>
  <c r="E20638" i="1"/>
  <c r="H20637" i="1"/>
  <c r="G20637" i="1"/>
  <c r="E20637" i="1"/>
  <c r="H20636" i="1"/>
  <c r="G20636" i="1"/>
  <c r="E20636" i="1"/>
  <c r="H20635" i="1"/>
  <c r="G20635" i="1"/>
  <c r="E20635" i="1"/>
  <c r="H20634" i="1"/>
  <c r="G20634" i="1"/>
  <c r="E20634" i="1"/>
  <c r="H20633" i="1"/>
  <c r="G20633" i="1"/>
  <c r="E20633" i="1"/>
  <c r="H20632" i="1"/>
  <c r="G20632" i="1"/>
  <c r="E20632" i="1"/>
  <c r="H20631" i="1"/>
  <c r="G20631" i="1"/>
  <c r="E20631" i="1"/>
  <c r="H20630" i="1"/>
  <c r="G20630" i="1"/>
  <c r="E20630" i="1"/>
  <c r="H20629" i="1"/>
  <c r="G20629" i="1"/>
  <c r="E20629" i="1"/>
  <c r="H20628" i="1"/>
  <c r="G20628" i="1"/>
  <c r="E20628" i="1"/>
  <c r="H20627" i="1"/>
  <c r="G20627" i="1"/>
  <c r="E20627" i="1"/>
  <c r="H20626" i="1"/>
  <c r="G20626" i="1"/>
  <c r="E20626" i="1"/>
  <c r="H20625" i="1"/>
  <c r="G20625" i="1"/>
  <c r="E20625" i="1"/>
  <c r="H20624" i="1"/>
  <c r="G20624" i="1"/>
  <c r="E20624" i="1"/>
  <c r="H20623" i="1"/>
  <c r="G20623" i="1"/>
  <c r="E20623" i="1"/>
  <c r="H20622" i="1"/>
  <c r="G20622" i="1"/>
  <c r="E20622" i="1"/>
  <c r="H20621" i="1"/>
  <c r="G20621" i="1"/>
  <c r="E20621" i="1"/>
  <c r="H20620" i="1"/>
  <c r="G20620" i="1"/>
  <c r="E20620" i="1"/>
  <c r="H20619" i="1"/>
  <c r="G20619" i="1"/>
  <c r="E20619" i="1"/>
  <c r="H20618" i="1"/>
  <c r="G20618" i="1"/>
  <c r="E20618" i="1"/>
  <c r="H20617" i="1"/>
  <c r="G20617" i="1"/>
  <c r="E20617" i="1"/>
  <c r="H20616" i="1"/>
  <c r="G20616" i="1"/>
  <c r="E20616" i="1"/>
  <c r="H20615" i="1"/>
  <c r="G20615" i="1"/>
  <c r="E20615" i="1"/>
  <c r="H20614" i="1"/>
  <c r="G20614" i="1"/>
  <c r="E20614" i="1"/>
  <c r="H20613" i="1"/>
  <c r="G20613" i="1"/>
  <c r="E20613" i="1"/>
  <c r="H20612" i="1"/>
  <c r="G20612" i="1"/>
  <c r="E20612" i="1"/>
  <c r="H20611" i="1"/>
  <c r="G20611" i="1"/>
  <c r="E20611" i="1"/>
  <c r="H20610" i="1"/>
  <c r="G20610" i="1"/>
  <c r="E20610" i="1"/>
  <c r="H20609" i="1"/>
  <c r="G20609" i="1"/>
  <c r="E20609" i="1"/>
  <c r="H20608" i="1"/>
  <c r="G20608" i="1"/>
  <c r="E20608" i="1"/>
  <c r="H20607" i="1"/>
  <c r="G20607" i="1"/>
  <c r="E20607" i="1"/>
  <c r="H20606" i="1"/>
  <c r="G20606" i="1"/>
  <c r="E20606" i="1"/>
  <c r="H20605" i="1"/>
  <c r="G20605" i="1"/>
  <c r="E20605" i="1"/>
  <c r="H20604" i="1"/>
  <c r="G20604" i="1"/>
  <c r="E20604" i="1"/>
  <c r="H20603" i="1"/>
  <c r="G20603" i="1"/>
  <c r="E20603" i="1"/>
  <c r="H20602" i="1"/>
  <c r="G20602" i="1"/>
  <c r="E20602" i="1"/>
  <c r="H20601" i="1"/>
  <c r="G20601" i="1"/>
  <c r="E20601" i="1"/>
  <c r="H20600" i="1"/>
  <c r="G20600" i="1"/>
  <c r="E20600" i="1"/>
  <c r="H20599" i="1"/>
  <c r="G20599" i="1"/>
  <c r="E20599" i="1"/>
  <c r="H20598" i="1"/>
  <c r="G20598" i="1"/>
  <c r="E20598" i="1"/>
  <c r="H20597" i="1"/>
  <c r="G20597" i="1"/>
  <c r="E20597" i="1"/>
  <c r="H20596" i="1"/>
  <c r="G20596" i="1"/>
  <c r="E20596" i="1"/>
  <c r="H20595" i="1"/>
  <c r="G20595" i="1"/>
  <c r="E20595" i="1"/>
  <c r="H20594" i="1"/>
  <c r="G20594" i="1"/>
  <c r="E20594" i="1"/>
  <c r="H20593" i="1"/>
  <c r="G20593" i="1"/>
  <c r="E20593" i="1"/>
  <c r="H20592" i="1"/>
  <c r="G20592" i="1"/>
  <c r="E20592" i="1"/>
  <c r="H20591" i="1"/>
  <c r="G20591" i="1"/>
  <c r="E20591" i="1"/>
  <c r="H20590" i="1"/>
  <c r="G20590" i="1"/>
  <c r="E20590" i="1"/>
  <c r="H20589" i="1"/>
  <c r="G20589" i="1"/>
  <c r="E20589" i="1"/>
  <c r="H20588" i="1"/>
  <c r="G20588" i="1"/>
  <c r="E20588" i="1"/>
  <c r="H20587" i="1"/>
  <c r="G20587" i="1"/>
  <c r="E20587" i="1"/>
  <c r="H20586" i="1"/>
  <c r="G20586" i="1"/>
  <c r="E20586" i="1"/>
  <c r="H20585" i="1"/>
  <c r="G20585" i="1"/>
  <c r="E20585" i="1"/>
  <c r="H20584" i="1"/>
  <c r="G20584" i="1"/>
  <c r="E20584" i="1"/>
  <c r="H20583" i="1"/>
  <c r="G20583" i="1"/>
  <c r="E20583" i="1"/>
  <c r="H20582" i="1"/>
  <c r="G20582" i="1"/>
  <c r="E20582" i="1"/>
  <c r="H20581" i="1"/>
  <c r="G20581" i="1"/>
  <c r="E20581" i="1"/>
  <c r="H20580" i="1"/>
  <c r="G20580" i="1"/>
  <c r="E20580" i="1"/>
  <c r="H20579" i="1"/>
  <c r="G20579" i="1"/>
  <c r="E20579" i="1"/>
  <c r="H20578" i="1"/>
  <c r="G20578" i="1"/>
  <c r="E20578" i="1"/>
  <c r="H20577" i="1"/>
  <c r="G20577" i="1"/>
  <c r="E20577" i="1"/>
  <c r="H20576" i="1"/>
  <c r="G20576" i="1"/>
  <c r="E20576" i="1"/>
  <c r="H20575" i="1"/>
  <c r="G20575" i="1"/>
  <c r="E20575" i="1"/>
  <c r="H20574" i="1"/>
  <c r="G20574" i="1"/>
  <c r="E20574" i="1"/>
  <c r="H20573" i="1"/>
  <c r="G20573" i="1"/>
  <c r="E20573" i="1"/>
  <c r="H20572" i="1"/>
  <c r="G20572" i="1"/>
  <c r="E20572" i="1"/>
  <c r="H20571" i="1"/>
  <c r="G20571" i="1"/>
  <c r="E20571" i="1"/>
  <c r="H20570" i="1"/>
  <c r="G20570" i="1"/>
  <c r="E20570" i="1"/>
  <c r="H20569" i="1"/>
  <c r="G20569" i="1"/>
  <c r="E20569" i="1"/>
  <c r="H20568" i="1"/>
  <c r="G20568" i="1"/>
  <c r="E20568" i="1"/>
  <c r="H20567" i="1"/>
  <c r="G20567" i="1"/>
  <c r="E20567" i="1"/>
  <c r="H20566" i="1"/>
  <c r="G20566" i="1"/>
  <c r="E20566" i="1"/>
  <c r="H20565" i="1"/>
  <c r="G20565" i="1"/>
  <c r="E20565" i="1"/>
  <c r="H20564" i="1"/>
  <c r="G20564" i="1"/>
  <c r="E20564" i="1"/>
  <c r="H20563" i="1"/>
  <c r="G20563" i="1"/>
  <c r="E20563" i="1"/>
  <c r="H20562" i="1"/>
  <c r="G20562" i="1"/>
  <c r="E20562" i="1"/>
  <c r="H20561" i="1"/>
  <c r="G20561" i="1"/>
  <c r="E20561" i="1"/>
  <c r="H20560" i="1"/>
  <c r="G20560" i="1"/>
  <c r="E20560" i="1"/>
  <c r="H20559" i="1"/>
  <c r="G20559" i="1"/>
  <c r="E20559" i="1"/>
  <c r="H20558" i="1"/>
  <c r="G20558" i="1"/>
  <c r="E20558" i="1"/>
  <c r="H20557" i="1"/>
  <c r="G20557" i="1"/>
  <c r="E20557" i="1"/>
  <c r="H20556" i="1"/>
  <c r="G20556" i="1"/>
  <c r="E20556" i="1"/>
  <c r="H20555" i="1"/>
  <c r="G20555" i="1"/>
  <c r="E20555" i="1"/>
  <c r="H20554" i="1"/>
  <c r="G20554" i="1"/>
  <c r="E20554" i="1"/>
  <c r="H20553" i="1"/>
  <c r="G20553" i="1"/>
  <c r="E20553" i="1"/>
  <c r="H20552" i="1"/>
  <c r="G20552" i="1"/>
  <c r="E20552" i="1"/>
  <c r="H20551" i="1"/>
  <c r="G20551" i="1"/>
  <c r="E20551" i="1"/>
  <c r="H20550" i="1"/>
  <c r="G20550" i="1"/>
  <c r="E20550" i="1"/>
  <c r="H20549" i="1"/>
  <c r="G20549" i="1"/>
  <c r="E20549" i="1"/>
  <c r="H20548" i="1"/>
  <c r="G20548" i="1"/>
  <c r="E20548" i="1"/>
  <c r="H20547" i="1"/>
  <c r="G20547" i="1"/>
  <c r="E20547" i="1"/>
  <c r="H20546" i="1"/>
  <c r="G20546" i="1"/>
  <c r="E20546" i="1"/>
  <c r="H20545" i="1"/>
  <c r="G20545" i="1"/>
  <c r="E20545" i="1"/>
  <c r="H20544" i="1"/>
  <c r="G20544" i="1"/>
  <c r="E20544" i="1"/>
  <c r="H20543" i="1"/>
  <c r="G20543" i="1"/>
  <c r="E20543" i="1"/>
  <c r="H20542" i="1"/>
  <c r="G20542" i="1"/>
  <c r="E20542" i="1"/>
  <c r="H20541" i="1"/>
  <c r="G20541" i="1"/>
  <c r="E20541" i="1"/>
  <c r="H20540" i="1"/>
  <c r="G20540" i="1"/>
  <c r="E20540" i="1"/>
  <c r="H20539" i="1"/>
  <c r="G20539" i="1"/>
  <c r="E20539" i="1"/>
  <c r="H20538" i="1"/>
  <c r="G20538" i="1"/>
  <c r="E20538" i="1"/>
  <c r="H20537" i="1"/>
  <c r="G20537" i="1"/>
  <c r="E20537" i="1"/>
  <c r="H20536" i="1"/>
  <c r="G20536" i="1"/>
  <c r="E20536" i="1"/>
  <c r="H20535" i="1"/>
  <c r="G20535" i="1"/>
  <c r="E20535" i="1"/>
  <c r="H20534" i="1"/>
  <c r="G20534" i="1"/>
  <c r="E20534" i="1"/>
  <c r="H20533" i="1"/>
  <c r="G20533" i="1"/>
  <c r="E20533" i="1"/>
  <c r="H20532" i="1"/>
  <c r="G20532" i="1"/>
  <c r="E20532" i="1"/>
  <c r="H20531" i="1"/>
  <c r="G20531" i="1"/>
  <c r="E20531" i="1"/>
  <c r="H20530" i="1"/>
  <c r="G20530" i="1"/>
  <c r="E20530" i="1"/>
  <c r="H20529" i="1"/>
  <c r="G20529" i="1"/>
  <c r="E20529" i="1"/>
  <c r="H20528" i="1"/>
  <c r="G20528" i="1"/>
  <c r="E20528" i="1"/>
  <c r="H20527" i="1"/>
  <c r="G20527" i="1"/>
  <c r="E20527" i="1"/>
  <c r="H20526" i="1"/>
  <c r="G20526" i="1"/>
  <c r="E20526" i="1"/>
  <c r="H20525" i="1"/>
  <c r="G20525" i="1"/>
  <c r="E20525" i="1"/>
  <c r="H20524" i="1"/>
  <c r="G20524" i="1"/>
  <c r="E20524" i="1"/>
  <c r="H20523" i="1"/>
  <c r="G20523" i="1"/>
  <c r="E20523" i="1"/>
  <c r="H20522" i="1"/>
  <c r="G20522" i="1"/>
  <c r="E20522" i="1"/>
  <c r="H20521" i="1"/>
  <c r="G20521" i="1"/>
  <c r="E20521" i="1"/>
  <c r="H20520" i="1"/>
  <c r="G20520" i="1"/>
  <c r="E20520" i="1"/>
  <c r="H20519" i="1"/>
  <c r="G20519" i="1"/>
  <c r="E20519" i="1"/>
  <c r="H20518" i="1"/>
  <c r="G20518" i="1"/>
  <c r="E20518" i="1"/>
  <c r="H20517" i="1"/>
  <c r="G20517" i="1"/>
  <c r="E20517" i="1"/>
  <c r="H20516" i="1"/>
  <c r="G20516" i="1"/>
  <c r="E20516" i="1"/>
  <c r="H20515" i="1"/>
  <c r="G20515" i="1"/>
  <c r="E20515" i="1"/>
  <c r="H20514" i="1"/>
  <c r="G20514" i="1"/>
  <c r="E20514" i="1"/>
  <c r="H20513" i="1"/>
  <c r="G20513" i="1"/>
  <c r="E20513" i="1"/>
  <c r="H20512" i="1"/>
  <c r="G20512" i="1"/>
  <c r="E20512" i="1"/>
  <c r="H20511" i="1"/>
  <c r="G20511" i="1"/>
  <c r="E20511" i="1"/>
  <c r="H20510" i="1"/>
  <c r="G20510" i="1"/>
  <c r="E20510" i="1"/>
  <c r="H20509" i="1"/>
  <c r="G20509" i="1"/>
  <c r="E20509" i="1"/>
  <c r="H20508" i="1"/>
  <c r="G20508" i="1"/>
  <c r="E20508" i="1"/>
  <c r="H20507" i="1"/>
  <c r="G20507" i="1"/>
  <c r="E20507" i="1"/>
  <c r="H20506" i="1"/>
  <c r="G20506" i="1"/>
  <c r="E20506" i="1"/>
  <c r="H20505" i="1"/>
  <c r="G20505" i="1"/>
  <c r="E20505" i="1"/>
  <c r="H20504" i="1"/>
  <c r="G20504" i="1"/>
  <c r="E20504" i="1"/>
  <c r="H20503" i="1"/>
  <c r="G20503" i="1"/>
  <c r="E20503" i="1"/>
  <c r="H20502" i="1"/>
  <c r="G20502" i="1"/>
  <c r="E20502" i="1"/>
  <c r="H20501" i="1"/>
  <c r="G20501" i="1"/>
  <c r="E20501" i="1"/>
  <c r="H20500" i="1"/>
  <c r="G20500" i="1"/>
  <c r="E20500" i="1"/>
  <c r="H20499" i="1"/>
  <c r="G20499" i="1"/>
  <c r="E20499" i="1"/>
  <c r="H20498" i="1"/>
  <c r="G20498" i="1"/>
  <c r="E20498" i="1"/>
  <c r="H20497" i="1"/>
  <c r="G20497" i="1"/>
  <c r="E20497" i="1"/>
  <c r="H20496" i="1"/>
  <c r="G20496" i="1"/>
  <c r="E20496" i="1"/>
  <c r="H20495" i="1"/>
  <c r="G20495" i="1"/>
  <c r="E20495" i="1"/>
  <c r="H20494" i="1"/>
  <c r="G20494" i="1"/>
  <c r="E20494" i="1"/>
  <c r="H20493" i="1"/>
  <c r="G20493" i="1"/>
  <c r="E20493" i="1"/>
  <c r="H20492" i="1"/>
  <c r="G20492" i="1"/>
  <c r="E20492" i="1"/>
  <c r="H20491" i="1"/>
  <c r="G20491" i="1"/>
  <c r="E20491" i="1"/>
  <c r="H20490" i="1"/>
  <c r="G20490" i="1"/>
  <c r="E20490" i="1"/>
  <c r="H20489" i="1"/>
  <c r="G20489" i="1"/>
  <c r="E20489" i="1"/>
  <c r="H20488" i="1"/>
  <c r="G20488" i="1"/>
  <c r="E20488" i="1"/>
  <c r="H20487" i="1"/>
  <c r="G20487" i="1"/>
  <c r="E20487" i="1"/>
  <c r="H20486" i="1"/>
  <c r="G20486" i="1"/>
  <c r="E20486" i="1"/>
  <c r="H20485" i="1"/>
  <c r="G20485" i="1"/>
  <c r="E20485" i="1"/>
  <c r="H20484" i="1"/>
  <c r="G20484" i="1"/>
  <c r="E20484" i="1"/>
  <c r="H20483" i="1"/>
  <c r="G20483" i="1"/>
  <c r="E20483" i="1"/>
  <c r="H20482" i="1"/>
  <c r="G20482" i="1"/>
  <c r="E20482" i="1"/>
  <c r="H20481" i="1"/>
  <c r="G20481" i="1"/>
  <c r="E20481" i="1"/>
  <c r="H20480" i="1"/>
  <c r="G20480" i="1"/>
  <c r="E20480" i="1"/>
  <c r="H20479" i="1"/>
  <c r="G20479" i="1"/>
  <c r="E20479" i="1"/>
  <c r="H20478" i="1"/>
  <c r="G20478" i="1"/>
  <c r="E20478" i="1"/>
  <c r="H20477" i="1"/>
  <c r="G20477" i="1"/>
  <c r="E20477" i="1"/>
  <c r="H20476" i="1"/>
  <c r="G20476" i="1"/>
  <c r="E20476" i="1"/>
  <c r="H20475" i="1"/>
  <c r="G20475" i="1"/>
  <c r="E20475" i="1"/>
  <c r="H20474" i="1"/>
  <c r="G20474" i="1"/>
  <c r="E20474" i="1"/>
  <c r="H20473" i="1"/>
  <c r="G20473" i="1"/>
  <c r="E20473" i="1"/>
  <c r="H20472" i="1"/>
  <c r="G20472" i="1"/>
  <c r="E20472" i="1"/>
  <c r="H20471" i="1"/>
  <c r="G20471" i="1"/>
  <c r="E20471" i="1"/>
  <c r="H20470" i="1"/>
  <c r="G20470" i="1"/>
  <c r="E20470" i="1"/>
  <c r="H20469" i="1"/>
  <c r="G20469" i="1"/>
  <c r="E20469" i="1"/>
  <c r="H20468" i="1"/>
  <c r="G20468" i="1"/>
  <c r="E20468" i="1"/>
  <c r="H20467" i="1"/>
  <c r="G20467" i="1"/>
  <c r="E20467" i="1"/>
  <c r="H20466" i="1"/>
  <c r="G20466" i="1"/>
  <c r="E20466" i="1"/>
  <c r="H20465" i="1"/>
  <c r="G20465" i="1"/>
  <c r="E20465" i="1"/>
  <c r="H20464" i="1"/>
  <c r="G20464" i="1"/>
  <c r="E20464" i="1"/>
  <c r="H20463" i="1"/>
  <c r="G20463" i="1"/>
  <c r="E20463" i="1"/>
  <c r="H20462" i="1"/>
  <c r="G20462" i="1"/>
  <c r="E20462" i="1"/>
  <c r="H20461" i="1"/>
  <c r="G20461" i="1"/>
  <c r="E20461" i="1"/>
  <c r="H20460" i="1"/>
  <c r="G20460" i="1"/>
  <c r="E20460" i="1"/>
  <c r="H20459" i="1"/>
  <c r="G20459" i="1"/>
  <c r="E20459" i="1"/>
  <c r="H20458" i="1"/>
  <c r="G20458" i="1"/>
  <c r="E20458" i="1"/>
  <c r="H20457" i="1"/>
  <c r="G20457" i="1"/>
  <c r="E20457" i="1"/>
  <c r="H20456" i="1"/>
  <c r="G20456" i="1"/>
  <c r="E20456" i="1"/>
  <c r="H20455" i="1"/>
  <c r="G20455" i="1"/>
  <c r="E20455" i="1"/>
  <c r="H20454" i="1"/>
  <c r="G20454" i="1"/>
  <c r="E20454" i="1"/>
  <c r="H20453" i="1"/>
  <c r="G20453" i="1"/>
  <c r="E20453" i="1"/>
  <c r="H20452" i="1"/>
  <c r="G20452" i="1"/>
  <c r="E20452" i="1"/>
  <c r="H20451" i="1"/>
  <c r="G20451" i="1"/>
  <c r="E20451" i="1"/>
  <c r="H20450" i="1"/>
  <c r="G20450" i="1"/>
  <c r="E20450" i="1"/>
  <c r="H20449" i="1"/>
  <c r="G20449" i="1"/>
  <c r="E20449" i="1"/>
  <c r="H20448" i="1"/>
  <c r="G20448" i="1"/>
  <c r="E20448" i="1"/>
  <c r="H20447" i="1"/>
  <c r="G20447" i="1"/>
  <c r="E20447" i="1"/>
  <c r="H20446" i="1"/>
  <c r="G20446" i="1"/>
  <c r="E20446" i="1"/>
  <c r="H20445" i="1"/>
  <c r="G20445" i="1"/>
  <c r="E20445" i="1"/>
  <c r="H20444" i="1"/>
  <c r="G20444" i="1"/>
  <c r="E20444" i="1"/>
  <c r="H20443" i="1"/>
  <c r="G20443" i="1"/>
  <c r="E20443" i="1"/>
  <c r="H20442" i="1"/>
  <c r="G20442" i="1"/>
  <c r="E20442" i="1"/>
  <c r="H20441" i="1"/>
  <c r="G20441" i="1"/>
  <c r="E20441" i="1"/>
  <c r="H20440" i="1"/>
  <c r="G20440" i="1"/>
  <c r="E20440" i="1"/>
  <c r="H20439" i="1"/>
  <c r="G20439" i="1"/>
  <c r="E20439" i="1"/>
  <c r="H20438" i="1"/>
  <c r="G20438" i="1"/>
  <c r="E20438" i="1"/>
  <c r="H20437" i="1"/>
  <c r="G20437" i="1"/>
  <c r="E20437" i="1"/>
  <c r="H20436" i="1"/>
  <c r="G20436" i="1"/>
  <c r="E20436" i="1"/>
  <c r="H20435" i="1"/>
  <c r="G20435" i="1"/>
  <c r="E20435" i="1"/>
  <c r="H20434" i="1"/>
  <c r="G20434" i="1"/>
  <c r="E20434" i="1"/>
  <c r="H20433" i="1"/>
  <c r="G20433" i="1"/>
  <c r="E20433" i="1"/>
  <c r="H20432" i="1"/>
  <c r="G20432" i="1"/>
  <c r="E20432" i="1"/>
  <c r="H20431" i="1"/>
  <c r="G20431" i="1"/>
  <c r="E20431" i="1"/>
  <c r="H20430" i="1"/>
  <c r="G20430" i="1"/>
  <c r="E20430" i="1"/>
  <c r="H20429" i="1"/>
  <c r="G20429" i="1"/>
  <c r="E20429" i="1"/>
  <c r="H20428" i="1"/>
  <c r="G20428" i="1"/>
  <c r="E20428" i="1"/>
  <c r="H20427" i="1"/>
  <c r="G20427" i="1"/>
  <c r="E20427" i="1"/>
  <c r="H20426" i="1"/>
  <c r="G20426" i="1"/>
  <c r="E20426" i="1"/>
  <c r="H20425" i="1"/>
  <c r="G20425" i="1"/>
  <c r="E20425" i="1"/>
  <c r="H20424" i="1"/>
  <c r="G20424" i="1"/>
  <c r="E20424" i="1"/>
  <c r="H20423" i="1"/>
  <c r="G20423" i="1"/>
  <c r="E20423" i="1"/>
  <c r="H20422" i="1"/>
  <c r="G20422" i="1"/>
  <c r="E20422" i="1"/>
  <c r="H20421" i="1"/>
  <c r="G20421" i="1"/>
  <c r="E20421" i="1"/>
  <c r="H20420" i="1"/>
  <c r="G20420" i="1"/>
  <c r="E20420" i="1"/>
  <c r="H20419" i="1"/>
  <c r="G20419" i="1"/>
  <c r="E20419" i="1"/>
  <c r="H20418" i="1"/>
  <c r="G20418" i="1"/>
  <c r="E20418" i="1"/>
  <c r="H20417" i="1"/>
  <c r="G20417" i="1"/>
  <c r="E20417" i="1"/>
  <c r="H20416" i="1"/>
  <c r="G20416" i="1"/>
  <c r="E20416" i="1"/>
  <c r="H20415" i="1"/>
  <c r="G20415" i="1"/>
  <c r="E20415" i="1"/>
  <c r="H20414" i="1"/>
  <c r="G20414" i="1"/>
  <c r="E20414" i="1"/>
  <c r="H20413" i="1"/>
  <c r="G20413" i="1"/>
  <c r="E20413" i="1"/>
  <c r="H20412" i="1"/>
  <c r="G20412" i="1"/>
  <c r="E20412" i="1"/>
  <c r="H20411" i="1"/>
  <c r="G20411" i="1"/>
  <c r="E20411" i="1"/>
  <c r="H20410" i="1"/>
  <c r="G20410" i="1"/>
  <c r="E20410" i="1"/>
  <c r="H20409" i="1"/>
  <c r="G20409" i="1"/>
  <c r="E20409" i="1"/>
  <c r="H20408" i="1"/>
  <c r="G20408" i="1"/>
  <c r="E20408" i="1"/>
  <c r="H20407" i="1"/>
  <c r="G20407" i="1"/>
  <c r="E20407" i="1"/>
  <c r="H20406" i="1"/>
  <c r="G20406" i="1"/>
  <c r="E20406" i="1"/>
  <c r="H20405" i="1"/>
  <c r="G20405" i="1"/>
  <c r="E20405" i="1"/>
  <c r="H20404" i="1"/>
  <c r="G20404" i="1"/>
  <c r="E20404" i="1"/>
  <c r="H20403" i="1"/>
  <c r="G20403" i="1"/>
  <c r="E20403" i="1"/>
  <c r="H20402" i="1"/>
  <c r="G20402" i="1"/>
  <c r="E20402" i="1"/>
  <c r="H20401" i="1"/>
  <c r="G20401" i="1"/>
  <c r="E20401" i="1"/>
  <c r="H20400" i="1"/>
  <c r="G20400" i="1"/>
  <c r="E20400" i="1"/>
  <c r="H20399" i="1"/>
  <c r="G20399" i="1"/>
  <c r="E20399" i="1"/>
  <c r="H20398" i="1"/>
  <c r="G20398" i="1"/>
  <c r="E20398" i="1"/>
  <c r="H20397" i="1"/>
  <c r="G20397" i="1"/>
  <c r="E20397" i="1"/>
  <c r="H20396" i="1"/>
  <c r="G20396" i="1"/>
  <c r="E20396" i="1"/>
  <c r="H20395" i="1"/>
  <c r="G20395" i="1"/>
  <c r="E20395" i="1"/>
  <c r="H20394" i="1"/>
  <c r="G20394" i="1"/>
  <c r="E20394" i="1"/>
  <c r="H20393" i="1"/>
  <c r="G20393" i="1"/>
  <c r="E20393" i="1"/>
  <c r="H20392" i="1"/>
  <c r="G20392" i="1"/>
  <c r="E20392" i="1"/>
  <c r="H20391" i="1"/>
  <c r="G20391" i="1"/>
  <c r="E20391" i="1"/>
  <c r="H20390" i="1"/>
  <c r="G20390" i="1"/>
  <c r="E20390" i="1"/>
  <c r="H20389" i="1"/>
  <c r="G20389" i="1"/>
  <c r="E20389" i="1"/>
  <c r="H20388" i="1"/>
  <c r="G20388" i="1"/>
  <c r="E20388" i="1"/>
  <c r="H20387" i="1"/>
  <c r="G20387" i="1"/>
  <c r="E20387" i="1"/>
  <c r="H20386" i="1"/>
  <c r="G20386" i="1"/>
  <c r="E20386" i="1"/>
  <c r="H20385" i="1"/>
  <c r="G20385" i="1"/>
  <c r="E20385" i="1"/>
  <c r="H20384" i="1"/>
  <c r="G20384" i="1"/>
  <c r="E20384" i="1"/>
  <c r="H20383" i="1"/>
  <c r="G20383" i="1"/>
  <c r="E20383" i="1"/>
  <c r="H20382" i="1"/>
  <c r="G20382" i="1"/>
  <c r="E20382" i="1"/>
  <c r="H20381" i="1"/>
  <c r="G20381" i="1"/>
  <c r="E20381" i="1"/>
  <c r="H20380" i="1"/>
  <c r="G20380" i="1"/>
  <c r="E20380" i="1"/>
  <c r="H20379" i="1"/>
  <c r="G20379" i="1"/>
  <c r="E20379" i="1"/>
  <c r="H20378" i="1"/>
  <c r="G20378" i="1"/>
  <c r="E20378" i="1"/>
  <c r="H20377" i="1"/>
  <c r="G20377" i="1"/>
  <c r="E20377" i="1"/>
  <c r="H20376" i="1"/>
  <c r="G20376" i="1"/>
  <c r="E20376" i="1"/>
  <c r="H20375" i="1"/>
  <c r="G20375" i="1"/>
  <c r="E20375" i="1"/>
  <c r="H20374" i="1"/>
  <c r="G20374" i="1"/>
  <c r="E20374" i="1"/>
  <c r="H20373" i="1"/>
  <c r="G20373" i="1"/>
  <c r="E20373" i="1"/>
  <c r="H20372" i="1"/>
  <c r="G20372" i="1"/>
  <c r="E20372" i="1"/>
  <c r="H20371" i="1"/>
  <c r="G20371" i="1"/>
  <c r="E20371" i="1"/>
  <c r="H20370" i="1"/>
  <c r="G20370" i="1"/>
  <c r="E20370" i="1"/>
  <c r="H20369" i="1"/>
  <c r="G20369" i="1"/>
  <c r="E20369" i="1"/>
  <c r="H20368" i="1"/>
  <c r="G20368" i="1"/>
  <c r="E20368" i="1"/>
  <c r="H20367" i="1"/>
  <c r="G20367" i="1"/>
  <c r="E20367" i="1"/>
  <c r="H20366" i="1"/>
  <c r="G20366" i="1"/>
  <c r="E20366" i="1"/>
  <c r="H20365" i="1"/>
  <c r="G20365" i="1"/>
  <c r="E20365" i="1"/>
  <c r="H20364" i="1"/>
  <c r="G20364" i="1"/>
  <c r="E20364" i="1"/>
  <c r="H20363" i="1"/>
  <c r="G20363" i="1"/>
  <c r="E20363" i="1"/>
  <c r="H20362" i="1"/>
  <c r="G20362" i="1"/>
  <c r="E20362" i="1"/>
  <c r="H20361" i="1"/>
  <c r="G20361" i="1"/>
  <c r="E20361" i="1"/>
  <c r="H20360" i="1"/>
  <c r="G20360" i="1"/>
  <c r="E20360" i="1"/>
  <c r="H20359" i="1"/>
  <c r="G20359" i="1"/>
  <c r="E20359" i="1"/>
  <c r="H20358" i="1"/>
  <c r="G20358" i="1"/>
  <c r="E20358" i="1"/>
  <c r="H20357" i="1"/>
  <c r="G20357" i="1"/>
  <c r="E20357" i="1"/>
  <c r="H20356" i="1"/>
  <c r="G20356" i="1"/>
  <c r="E20356" i="1"/>
  <c r="H20355" i="1"/>
  <c r="G20355" i="1"/>
  <c r="E20355" i="1"/>
  <c r="H20354" i="1"/>
  <c r="G20354" i="1"/>
  <c r="E20354" i="1"/>
  <c r="H20353" i="1"/>
  <c r="G20353" i="1"/>
  <c r="E20353" i="1"/>
  <c r="H20352" i="1"/>
  <c r="G20352" i="1"/>
  <c r="E20352" i="1"/>
  <c r="H20351" i="1"/>
  <c r="G20351" i="1"/>
  <c r="E20351" i="1"/>
  <c r="H20350" i="1"/>
  <c r="G20350" i="1"/>
  <c r="E20350" i="1"/>
  <c r="H20349" i="1"/>
  <c r="G20349" i="1"/>
  <c r="E20349" i="1"/>
  <c r="H20348" i="1"/>
  <c r="G20348" i="1"/>
  <c r="E20348" i="1"/>
  <c r="H20347" i="1"/>
  <c r="G20347" i="1"/>
  <c r="E20347" i="1"/>
  <c r="H20346" i="1"/>
  <c r="G20346" i="1"/>
  <c r="E20346" i="1"/>
  <c r="H20345" i="1"/>
  <c r="G20345" i="1"/>
  <c r="E20345" i="1"/>
  <c r="H20344" i="1"/>
  <c r="G20344" i="1"/>
  <c r="E20344" i="1"/>
  <c r="H20343" i="1"/>
  <c r="G20343" i="1"/>
  <c r="E20343" i="1"/>
  <c r="H20342" i="1"/>
  <c r="G20342" i="1"/>
  <c r="E20342" i="1"/>
  <c r="H20341" i="1"/>
  <c r="G20341" i="1"/>
  <c r="E20341" i="1"/>
  <c r="H20340" i="1"/>
  <c r="G20340" i="1"/>
  <c r="E20340" i="1"/>
  <c r="H20339" i="1"/>
  <c r="G20339" i="1"/>
  <c r="E20339" i="1"/>
  <c r="H20338" i="1"/>
  <c r="G20338" i="1"/>
  <c r="E20338" i="1"/>
  <c r="H20337" i="1"/>
  <c r="G20337" i="1"/>
  <c r="E20337" i="1"/>
  <c r="H20336" i="1"/>
  <c r="G20336" i="1"/>
  <c r="E20336" i="1"/>
  <c r="H20335" i="1"/>
  <c r="G20335" i="1"/>
  <c r="E20335" i="1"/>
  <c r="H20334" i="1"/>
  <c r="G20334" i="1"/>
  <c r="E20334" i="1"/>
  <c r="H20333" i="1"/>
  <c r="G20333" i="1"/>
  <c r="E20333" i="1"/>
  <c r="H20332" i="1"/>
  <c r="G20332" i="1"/>
  <c r="E20332" i="1"/>
  <c r="H20331" i="1"/>
  <c r="G20331" i="1"/>
  <c r="E20331" i="1"/>
  <c r="H20330" i="1"/>
  <c r="G20330" i="1"/>
  <c r="E20330" i="1"/>
  <c r="H20329" i="1"/>
  <c r="G20329" i="1"/>
  <c r="E20329" i="1"/>
  <c r="H20328" i="1"/>
  <c r="G20328" i="1"/>
  <c r="E20328" i="1"/>
  <c r="H20327" i="1"/>
  <c r="G20327" i="1"/>
  <c r="E20327" i="1"/>
  <c r="H20326" i="1"/>
  <c r="G20326" i="1"/>
  <c r="E20326" i="1"/>
  <c r="H20325" i="1"/>
  <c r="G20325" i="1"/>
  <c r="E20325" i="1"/>
  <c r="H20324" i="1"/>
  <c r="G20324" i="1"/>
  <c r="E20324" i="1"/>
  <c r="H20323" i="1"/>
  <c r="G20323" i="1"/>
  <c r="E20323" i="1"/>
  <c r="H20322" i="1"/>
  <c r="G20322" i="1"/>
  <c r="E20322" i="1"/>
  <c r="H20321" i="1"/>
  <c r="G20321" i="1"/>
  <c r="E20321" i="1"/>
  <c r="H20320" i="1"/>
  <c r="G20320" i="1"/>
  <c r="E20320" i="1"/>
  <c r="H20319" i="1"/>
  <c r="G20319" i="1"/>
  <c r="E20319" i="1"/>
  <c r="H20318" i="1"/>
  <c r="G20318" i="1"/>
  <c r="E20318" i="1"/>
  <c r="H20317" i="1"/>
  <c r="G20317" i="1"/>
  <c r="E20317" i="1"/>
  <c r="H20316" i="1"/>
  <c r="G20316" i="1"/>
  <c r="E20316" i="1"/>
  <c r="H20315" i="1"/>
  <c r="G20315" i="1"/>
  <c r="E20315" i="1"/>
  <c r="H20314" i="1"/>
  <c r="G20314" i="1"/>
  <c r="E20314" i="1"/>
  <c r="H20313" i="1"/>
  <c r="G20313" i="1"/>
  <c r="E20313" i="1"/>
  <c r="H20312" i="1"/>
  <c r="G20312" i="1"/>
  <c r="E20312" i="1"/>
  <c r="H20311" i="1"/>
  <c r="G20311" i="1"/>
  <c r="E20311" i="1"/>
  <c r="H20310" i="1"/>
  <c r="G20310" i="1"/>
  <c r="E20310" i="1"/>
  <c r="H20309" i="1"/>
  <c r="G20309" i="1"/>
  <c r="E20309" i="1"/>
  <c r="H20308" i="1"/>
  <c r="G20308" i="1"/>
  <c r="E20308" i="1"/>
  <c r="H20307" i="1"/>
  <c r="G20307" i="1"/>
  <c r="E20307" i="1"/>
  <c r="H20306" i="1"/>
  <c r="G20306" i="1"/>
  <c r="E20306" i="1"/>
  <c r="H20305" i="1"/>
  <c r="G20305" i="1"/>
  <c r="E20305" i="1"/>
  <c r="H20304" i="1"/>
  <c r="G20304" i="1"/>
  <c r="E20304" i="1"/>
  <c r="H20303" i="1"/>
  <c r="G20303" i="1"/>
  <c r="E20303" i="1"/>
  <c r="H20302" i="1"/>
  <c r="G20302" i="1"/>
  <c r="E20302" i="1"/>
  <c r="H20301" i="1"/>
  <c r="G20301" i="1"/>
  <c r="E20301" i="1"/>
  <c r="H20300" i="1"/>
  <c r="G20300" i="1"/>
  <c r="E20300" i="1"/>
  <c r="H20299" i="1"/>
  <c r="G20299" i="1"/>
  <c r="E20299" i="1"/>
  <c r="H20298" i="1"/>
  <c r="G20298" i="1"/>
  <c r="E20298" i="1"/>
  <c r="H20297" i="1"/>
  <c r="G20297" i="1"/>
  <c r="E20297" i="1"/>
  <c r="H20296" i="1"/>
  <c r="G20296" i="1"/>
  <c r="E20296" i="1"/>
  <c r="H20295" i="1"/>
  <c r="G20295" i="1"/>
  <c r="E20295" i="1"/>
  <c r="H20294" i="1"/>
  <c r="G20294" i="1"/>
  <c r="E20294" i="1"/>
  <c r="H20293" i="1"/>
  <c r="G20293" i="1"/>
  <c r="E20293" i="1"/>
  <c r="H20292" i="1"/>
  <c r="G20292" i="1"/>
  <c r="E20292" i="1"/>
  <c r="H20291" i="1"/>
  <c r="G20291" i="1"/>
  <c r="E20291" i="1"/>
  <c r="H20290" i="1"/>
  <c r="G20290" i="1"/>
  <c r="E20290" i="1"/>
  <c r="H20289" i="1"/>
  <c r="G20289" i="1"/>
  <c r="E20289" i="1"/>
  <c r="H20288" i="1"/>
  <c r="G20288" i="1"/>
  <c r="E20288" i="1"/>
  <c r="H20287" i="1"/>
  <c r="G20287" i="1"/>
  <c r="E20287" i="1"/>
  <c r="H20286" i="1"/>
  <c r="G20286" i="1"/>
  <c r="E20286" i="1"/>
  <c r="H20285" i="1"/>
  <c r="G20285" i="1"/>
  <c r="E20285" i="1"/>
  <c r="H20284" i="1"/>
  <c r="G20284" i="1"/>
  <c r="E20284" i="1"/>
  <c r="H20283" i="1"/>
  <c r="G20283" i="1"/>
  <c r="E20283" i="1"/>
  <c r="H20282" i="1"/>
  <c r="G20282" i="1"/>
  <c r="E20282" i="1"/>
  <c r="H20281" i="1"/>
  <c r="G20281" i="1"/>
  <c r="E20281" i="1"/>
  <c r="H20280" i="1"/>
  <c r="G20280" i="1"/>
  <c r="E20280" i="1"/>
  <c r="H20279" i="1"/>
  <c r="G20279" i="1"/>
  <c r="E20279" i="1"/>
  <c r="H20278" i="1"/>
  <c r="G20278" i="1"/>
  <c r="E20278" i="1"/>
  <c r="H20277" i="1"/>
  <c r="G20277" i="1"/>
  <c r="E20277" i="1"/>
  <c r="H20276" i="1"/>
  <c r="G20276" i="1"/>
  <c r="E20276" i="1"/>
  <c r="H20275" i="1"/>
  <c r="G20275" i="1"/>
  <c r="E20275" i="1"/>
  <c r="H20274" i="1"/>
  <c r="G20274" i="1"/>
  <c r="E20274" i="1"/>
  <c r="H20273" i="1"/>
  <c r="G20273" i="1"/>
  <c r="E20273" i="1"/>
  <c r="H20272" i="1"/>
  <c r="G20272" i="1"/>
  <c r="E20272" i="1"/>
  <c r="H20271" i="1"/>
  <c r="G20271" i="1"/>
  <c r="E20271" i="1"/>
  <c r="H20270" i="1"/>
  <c r="G20270" i="1"/>
  <c r="E20270" i="1"/>
  <c r="H20269" i="1"/>
  <c r="G20269" i="1"/>
  <c r="E20269" i="1"/>
  <c r="H20268" i="1"/>
  <c r="G20268" i="1"/>
  <c r="E20268" i="1"/>
  <c r="H20267" i="1"/>
  <c r="G20267" i="1"/>
  <c r="E20267" i="1"/>
  <c r="H20266" i="1"/>
  <c r="G20266" i="1"/>
  <c r="E20266" i="1"/>
  <c r="H20265" i="1"/>
  <c r="G20265" i="1"/>
  <c r="E20265" i="1"/>
  <c r="H20264" i="1"/>
  <c r="G20264" i="1"/>
  <c r="E20264" i="1"/>
  <c r="H20263" i="1"/>
  <c r="G20263" i="1"/>
  <c r="E20263" i="1"/>
  <c r="H20262" i="1"/>
  <c r="G20262" i="1"/>
  <c r="E20262" i="1"/>
  <c r="H20261" i="1"/>
  <c r="G20261" i="1"/>
  <c r="E20261" i="1"/>
  <c r="H20260" i="1"/>
  <c r="G20260" i="1"/>
  <c r="E20260" i="1"/>
  <c r="H20259" i="1"/>
  <c r="G20259" i="1"/>
  <c r="E20259" i="1"/>
  <c r="H20258" i="1"/>
  <c r="G20258" i="1"/>
  <c r="E20258" i="1"/>
  <c r="H20257" i="1"/>
  <c r="G20257" i="1"/>
  <c r="E20257" i="1"/>
  <c r="H20256" i="1"/>
  <c r="G20256" i="1"/>
  <c r="E20256" i="1"/>
  <c r="H20255" i="1"/>
  <c r="G20255" i="1"/>
  <c r="E20255" i="1"/>
  <c r="H20254" i="1"/>
  <c r="G20254" i="1"/>
  <c r="E20254" i="1"/>
  <c r="H20253" i="1"/>
  <c r="G20253" i="1"/>
  <c r="E20253" i="1"/>
  <c r="H20252" i="1"/>
  <c r="G20252" i="1"/>
  <c r="E20252" i="1"/>
  <c r="H20251" i="1"/>
  <c r="G20251" i="1"/>
  <c r="E20251" i="1"/>
  <c r="H20250" i="1"/>
  <c r="G20250" i="1"/>
  <c r="E20250" i="1"/>
  <c r="H20249" i="1"/>
  <c r="G20249" i="1"/>
  <c r="E20249" i="1"/>
  <c r="H20248" i="1"/>
  <c r="G20248" i="1"/>
  <c r="E20248" i="1"/>
  <c r="H20247" i="1"/>
  <c r="G20247" i="1"/>
  <c r="E20247" i="1"/>
  <c r="H20246" i="1"/>
  <c r="G20246" i="1"/>
  <c r="E20246" i="1"/>
  <c r="H20245" i="1"/>
  <c r="G20245" i="1"/>
  <c r="E20245" i="1"/>
  <c r="H20244" i="1"/>
  <c r="G20244" i="1"/>
  <c r="E20244" i="1"/>
  <c r="H20243" i="1"/>
  <c r="G20243" i="1"/>
  <c r="E20243" i="1"/>
  <c r="H20242" i="1"/>
  <c r="G20242" i="1"/>
  <c r="E20242" i="1"/>
  <c r="H20241" i="1"/>
  <c r="G20241" i="1"/>
  <c r="E20241" i="1"/>
  <c r="H20240" i="1"/>
  <c r="G20240" i="1"/>
  <c r="E20240" i="1"/>
  <c r="H20239" i="1"/>
  <c r="G20239" i="1"/>
  <c r="E20239" i="1"/>
  <c r="H20238" i="1"/>
  <c r="G20238" i="1"/>
  <c r="E20238" i="1"/>
  <c r="H20237" i="1"/>
  <c r="G20237" i="1"/>
  <c r="E20237" i="1"/>
  <c r="H20236" i="1"/>
  <c r="G20236" i="1"/>
  <c r="E20236" i="1"/>
  <c r="H20235" i="1"/>
  <c r="G20235" i="1"/>
  <c r="E20235" i="1"/>
  <c r="H20234" i="1"/>
  <c r="G20234" i="1"/>
  <c r="E20234" i="1"/>
  <c r="H20233" i="1"/>
  <c r="G20233" i="1"/>
  <c r="E20233" i="1"/>
  <c r="H20232" i="1"/>
  <c r="G20232" i="1"/>
  <c r="E20232" i="1"/>
  <c r="H20231" i="1"/>
  <c r="G20231" i="1"/>
  <c r="E20231" i="1"/>
  <c r="H20230" i="1"/>
  <c r="G20230" i="1"/>
  <c r="E20230" i="1"/>
  <c r="H20229" i="1"/>
  <c r="G20229" i="1"/>
  <c r="E20229" i="1"/>
  <c r="H20228" i="1"/>
  <c r="G20228" i="1"/>
  <c r="E20228" i="1"/>
  <c r="H20227" i="1"/>
  <c r="G20227" i="1"/>
  <c r="E20227" i="1"/>
  <c r="H20226" i="1"/>
  <c r="G20226" i="1"/>
  <c r="E20226" i="1"/>
  <c r="H20225" i="1"/>
  <c r="G20225" i="1"/>
  <c r="E20225" i="1"/>
  <c r="H20224" i="1"/>
  <c r="G20224" i="1"/>
  <c r="E20224" i="1"/>
  <c r="H20223" i="1"/>
  <c r="G20223" i="1"/>
  <c r="E20223" i="1"/>
  <c r="H20222" i="1"/>
  <c r="G20222" i="1"/>
  <c r="E20222" i="1"/>
  <c r="H20221" i="1"/>
  <c r="G20221" i="1"/>
  <c r="E20221" i="1"/>
  <c r="H20220" i="1"/>
  <c r="G20220" i="1"/>
  <c r="E20220" i="1"/>
  <c r="H20219" i="1"/>
  <c r="G20219" i="1"/>
  <c r="E20219" i="1"/>
  <c r="H20218" i="1"/>
  <c r="G20218" i="1"/>
  <c r="E20218" i="1"/>
  <c r="H20217" i="1"/>
  <c r="G20217" i="1"/>
  <c r="E20217" i="1"/>
  <c r="H20216" i="1"/>
  <c r="G20216" i="1"/>
  <c r="E20216" i="1"/>
  <c r="H20215" i="1"/>
  <c r="G20215" i="1"/>
  <c r="E20215" i="1"/>
  <c r="H20214" i="1"/>
  <c r="G20214" i="1"/>
  <c r="E20214" i="1"/>
  <c r="H20213" i="1"/>
  <c r="G20213" i="1"/>
  <c r="E20213" i="1"/>
  <c r="H20212" i="1"/>
  <c r="G20212" i="1"/>
  <c r="E20212" i="1"/>
  <c r="H20211" i="1"/>
  <c r="G20211" i="1"/>
  <c r="E20211" i="1"/>
  <c r="H20210" i="1"/>
  <c r="G20210" i="1"/>
  <c r="E20210" i="1"/>
  <c r="H20209" i="1"/>
  <c r="G20209" i="1"/>
  <c r="E20209" i="1"/>
  <c r="H20208" i="1"/>
  <c r="G20208" i="1"/>
  <c r="E20208" i="1"/>
  <c r="H20207" i="1"/>
  <c r="G20207" i="1"/>
  <c r="E20207" i="1"/>
  <c r="H20206" i="1"/>
  <c r="G20206" i="1"/>
  <c r="E20206" i="1"/>
  <c r="H20205" i="1"/>
  <c r="G20205" i="1"/>
  <c r="E20205" i="1"/>
  <c r="H20204" i="1"/>
  <c r="G20204" i="1"/>
  <c r="E20204" i="1"/>
  <c r="H20203" i="1"/>
  <c r="G20203" i="1"/>
  <c r="E20203" i="1"/>
  <c r="H20202" i="1"/>
  <c r="G20202" i="1"/>
  <c r="E20202" i="1"/>
  <c r="H20201" i="1"/>
  <c r="G20201" i="1"/>
  <c r="E20201" i="1"/>
  <c r="H20200" i="1"/>
  <c r="G20200" i="1"/>
  <c r="E20200" i="1"/>
  <c r="H20199" i="1"/>
  <c r="G20199" i="1"/>
  <c r="E20199" i="1"/>
  <c r="H20198" i="1"/>
  <c r="G20198" i="1"/>
  <c r="E20198" i="1"/>
  <c r="H20197" i="1"/>
  <c r="G20197" i="1"/>
  <c r="E20197" i="1"/>
  <c r="H20196" i="1"/>
  <c r="G20196" i="1"/>
  <c r="E20196" i="1"/>
  <c r="H20195" i="1"/>
  <c r="G20195" i="1"/>
  <c r="E20195" i="1"/>
  <c r="H20194" i="1"/>
  <c r="G20194" i="1"/>
  <c r="E20194" i="1"/>
  <c r="H20193" i="1"/>
  <c r="G20193" i="1"/>
  <c r="E20193" i="1"/>
  <c r="H20192" i="1"/>
  <c r="G20192" i="1"/>
  <c r="E20192" i="1"/>
  <c r="H20191" i="1"/>
  <c r="G20191" i="1"/>
  <c r="E20191" i="1"/>
  <c r="H20190" i="1"/>
  <c r="G20190" i="1"/>
  <c r="E20190" i="1"/>
  <c r="H20189" i="1"/>
  <c r="G20189" i="1"/>
  <c r="E20189" i="1"/>
  <c r="H20188" i="1"/>
  <c r="G20188" i="1"/>
  <c r="E20188" i="1"/>
  <c r="H20187" i="1"/>
  <c r="G20187" i="1"/>
  <c r="E20187" i="1"/>
  <c r="H20186" i="1"/>
  <c r="G20186" i="1"/>
  <c r="E20186" i="1"/>
  <c r="H20185" i="1"/>
  <c r="G20185" i="1"/>
  <c r="E20185" i="1"/>
  <c r="H20184" i="1"/>
  <c r="G20184" i="1"/>
  <c r="E20184" i="1"/>
  <c r="H20183" i="1"/>
  <c r="G20183" i="1"/>
  <c r="E20183" i="1"/>
  <c r="H20182" i="1"/>
  <c r="G20182" i="1"/>
  <c r="E20182" i="1"/>
  <c r="H20181" i="1"/>
  <c r="G20181" i="1"/>
  <c r="E20181" i="1"/>
  <c r="H20180" i="1"/>
  <c r="G20180" i="1"/>
  <c r="E20180" i="1"/>
  <c r="H20179" i="1"/>
  <c r="G20179" i="1"/>
  <c r="E20179" i="1"/>
  <c r="H20178" i="1"/>
  <c r="G20178" i="1"/>
  <c r="E20178" i="1"/>
  <c r="H20177" i="1"/>
  <c r="G20177" i="1"/>
  <c r="E20177" i="1"/>
  <c r="H20176" i="1"/>
  <c r="G20176" i="1"/>
  <c r="E20176" i="1"/>
  <c r="H20175" i="1"/>
  <c r="G20175" i="1"/>
  <c r="E20175" i="1"/>
  <c r="H20174" i="1"/>
  <c r="G20174" i="1"/>
  <c r="E20174" i="1"/>
  <c r="H20173" i="1"/>
  <c r="G20173" i="1"/>
  <c r="E20173" i="1"/>
  <c r="H20172" i="1"/>
  <c r="G20172" i="1"/>
  <c r="E20172" i="1"/>
  <c r="H20171" i="1"/>
  <c r="G20171" i="1"/>
  <c r="E20171" i="1"/>
  <c r="H20170" i="1"/>
  <c r="G20170" i="1"/>
  <c r="E20170" i="1"/>
  <c r="H20169" i="1"/>
  <c r="G20169" i="1"/>
  <c r="E20169" i="1"/>
  <c r="H20168" i="1"/>
  <c r="G20168" i="1"/>
  <c r="E20168" i="1"/>
  <c r="H20167" i="1"/>
  <c r="G20167" i="1"/>
  <c r="E20167" i="1"/>
  <c r="H20166" i="1"/>
  <c r="G20166" i="1"/>
  <c r="E20166" i="1"/>
  <c r="H20165" i="1"/>
  <c r="G20165" i="1"/>
  <c r="E20165" i="1"/>
  <c r="H20164" i="1"/>
  <c r="G20164" i="1"/>
  <c r="E20164" i="1"/>
  <c r="H20163" i="1"/>
  <c r="G20163" i="1"/>
  <c r="E20163" i="1"/>
  <c r="H20162" i="1"/>
  <c r="G20162" i="1"/>
  <c r="E20162" i="1"/>
  <c r="H20161" i="1"/>
  <c r="G20161" i="1"/>
  <c r="E20161" i="1"/>
  <c r="H20160" i="1"/>
  <c r="G20160" i="1"/>
  <c r="E20160" i="1"/>
  <c r="H20159" i="1"/>
  <c r="G20159" i="1"/>
  <c r="E20159" i="1"/>
  <c r="H20158" i="1"/>
  <c r="G20158" i="1"/>
  <c r="E20158" i="1"/>
  <c r="H20157" i="1"/>
  <c r="G20157" i="1"/>
  <c r="E20157" i="1"/>
  <c r="H20156" i="1"/>
  <c r="G20156" i="1"/>
  <c r="E20156" i="1"/>
  <c r="H20155" i="1"/>
  <c r="G20155" i="1"/>
  <c r="E20155" i="1"/>
  <c r="H20154" i="1"/>
  <c r="G20154" i="1"/>
  <c r="E20154" i="1"/>
  <c r="H20153" i="1"/>
  <c r="G20153" i="1"/>
  <c r="E20153" i="1"/>
  <c r="H20152" i="1"/>
  <c r="G20152" i="1"/>
  <c r="E20152" i="1"/>
  <c r="H20151" i="1"/>
  <c r="G20151" i="1"/>
  <c r="E20151" i="1"/>
  <c r="H20150" i="1"/>
  <c r="G20150" i="1"/>
  <c r="E20150" i="1"/>
  <c r="H20149" i="1"/>
  <c r="G20149" i="1"/>
  <c r="E20149" i="1"/>
  <c r="H20148" i="1"/>
  <c r="G20148" i="1"/>
  <c r="E20148" i="1"/>
  <c r="H20147" i="1"/>
  <c r="G20147" i="1"/>
  <c r="E20147" i="1"/>
  <c r="H20146" i="1"/>
  <c r="G20146" i="1"/>
  <c r="E20146" i="1"/>
  <c r="H20145" i="1"/>
  <c r="G20145" i="1"/>
  <c r="E20145" i="1"/>
  <c r="H20144" i="1"/>
  <c r="G20144" i="1"/>
  <c r="E20144" i="1"/>
  <c r="H20143" i="1"/>
  <c r="G20143" i="1"/>
  <c r="E20143" i="1"/>
  <c r="H20142" i="1"/>
  <c r="G20142" i="1"/>
  <c r="E20142" i="1"/>
  <c r="H20141" i="1"/>
  <c r="G20141" i="1"/>
  <c r="E20141" i="1"/>
  <c r="H20140" i="1"/>
  <c r="G20140" i="1"/>
  <c r="E20140" i="1"/>
  <c r="H20139" i="1"/>
  <c r="G20139" i="1"/>
  <c r="E20139" i="1"/>
  <c r="H20138" i="1"/>
  <c r="G20138" i="1"/>
  <c r="E20138" i="1"/>
  <c r="H20137" i="1"/>
  <c r="G20137" i="1"/>
  <c r="E20137" i="1"/>
  <c r="H20136" i="1"/>
  <c r="G20136" i="1"/>
  <c r="E20136" i="1"/>
  <c r="H20135" i="1"/>
  <c r="G20135" i="1"/>
  <c r="E20135" i="1"/>
  <c r="H20134" i="1"/>
  <c r="G20134" i="1"/>
  <c r="E20134" i="1"/>
  <c r="H20133" i="1"/>
  <c r="G20133" i="1"/>
  <c r="E20133" i="1"/>
  <c r="H20132" i="1"/>
  <c r="G20132" i="1"/>
  <c r="E20132" i="1"/>
  <c r="H20131" i="1"/>
  <c r="G20131" i="1"/>
  <c r="E20131" i="1"/>
  <c r="H20130" i="1"/>
  <c r="G20130" i="1"/>
  <c r="E20130" i="1"/>
  <c r="H20129" i="1"/>
  <c r="G20129" i="1"/>
  <c r="E20129" i="1"/>
  <c r="H20128" i="1"/>
  <c r="G20128" i="1"/>
  <c r="E20128" i="1"/>
  <c r="H20127" i="1"/>
  <c r="G20127" i="1"/>
  <c r="E20127" i="1"/>
  <c r="H20126" i="1"/>
  <c r="G20126" i="1"/>
  <c r="E20126" i="1"/>
  <c r="H20125" i="1"/>
  <c r="G20125" i="1"/>
  <c r="E20125" i="1"/>
  <c r="H20124" i="1"/>
  <c r="G20124" i="1"/>
  <c r="E20124" i="1"/>
  <c r="H20123" i="1"/>
  <c r="G20123" i="1"/>
  <c r="E20123" i="1"/>
  <c r="H20122" i="1"/>
  <c r="G20122" i="1"/>
  <c r="E20122" i="1"/>
  <c r="H20121" i="1"/>
  <c r="G20121" i="1"/>
  <c r="E20121" i="1"/>
  <c r="H20120" i="1"/>
  <c r="G20120" i="1"/>
  <c r="E20120" i="1"/>
  <c r="H20119" i="1"/>
  <c r="G20119" i="1"/>
  <c r="E20119" i="1"/>
  <c r="H20118" i="1"/>
  <c r="G20118" i="1"/>
  <c r="E20118" i="1"/>
  <c r="H20117" i="1"/>
  <c r="G20117" i="1"/>
  <c r="E20117" i="1"/>
  <c r="H20116" i="1"/>
  <c r="G20116" i="1"/>
  <c r="E20116" i="1"/>
  <c r="H20115" i="1"/>
  <c r="G20115" i="1"/>
  <c r="E20115" i="1"/>
  <c r="H20114" i="1"/>
  <c r="G20114" i="1"/>
  <c r="E20114" i="1"/>
  <c r="H20113" i="1"/>
  <c r="G20113" i="1"/>
  <c r="E20113" i="1"/>
  <c r="H20112" i="1"/>
  <c r="G20112" i="1"/>
  <c r="E20112" i="1"/>
  <c r="H20111" i="1"/>
  <c r="G20111" i="1"/>
  <c r="E20111" i="1"/>
  <c r="H20110" i="1"/>
  <c r="G20110" i="1"/>
  <c r="E20110" i="1"/>
  <c r="H20109" i="1"/>
  <c r="G20109" i="1"/>
  <c r="E20109" i="1"/>
  <c r="H20108" i="1"/>
  <c r="G20108" i="1"/>
  <c r="E20108" i="1"/>
  <c r="H20107" i="1"/>
  <c r="G20107" i="1"/>
  <c r="E20107" i="1"/>
  <c r="H20106" i="1"/>
  <c r="G20106" i="1"/>
  <c r="E20106" i="1"/>
  <c r="H20105" i="1"/>
  <c r="G20105" i="1"/>
  <c r="E20105" i="1"/>
  <c r="H20104" i="1"/>
  <c r="G20104" i="1"/>
  <c r="E20104" i="1"/>
  <c r="H20103" i="1"/>
  <c r="G20103" i="1"/>
  <c r="E20103" i="1"/>
  <c r="H20102" i="1"/>
  <c r="G20102" i="1"/>
  <c r="E20102" i="1"/>
  <c r="H20101" i="1"/>
  <c r="G20101" i="1"/>
  <c r="E20101" i="1"/>
  <c r="H20100" i="1"/>
  <c r="G20100" i="1"/>
  <c r="E20100" i="1"/>
  <c r="H20099" i="1"/>
  <c r="G20099" i="1"/>
  <c r="E20099" i="1"/>
  <c r="H20098" i="1"/>
  <c r="G20098" i="1"/>
  <c r="E20098" i="1"/>
  <c r="H20097" i="1"/>
  <c r="G20097" i="1"/>
  <c r="E20097" i="1"/>
  <c r="H20096" i="1"/>
  <c r="G20096" i="1"/>
  <c r="E20096" i="1"/>
  <c r="H20095" i="1"/>
  <c r="G20095" i="1"/>
  <c r="E20095" i="1"/>
  <c r="H20094" i="1"/>
  <c r="G20094" i="1"/>
  <c r="E20094" i="1"/>
  <c r="H20093" i="1"/>
  <c r="G20093" i="1"/>
  <c r="E20093" i="1"/>
  <c r="H20092" i="1"/>
  <c r="G20092" i="1"/>
  <c r="E20092" i="1"/>
  <c r="H20091" i="1"/>
  <c r="G20091" i="1"/>
  <c r="E20091" i="1"/>
  <c r="H20090" i="1"/>
  <c r="G20090" i="1"/>
  <c r="E20090" i="1"/>
  <c r="H20089" i="1"/>
  <c r="G20089" i="1"/>
  <c r="E20089" i="1"/>
  <c r="H20088" i="1"/>
  <c r="G20088" i="1"/>
  <c r="E20088" i="1"/>
  <c r="H20087" i="1"/>
  <c r="G20087" i="1"/>
  <c r="E20087" i="1"/>
  <c r="H20086" i="1"/>
  <c r="G20086" i="1"/>
  <c r="E20086" i="1"/>
  <c r="H20085" i="1"/>
  <c r="G20085" i="1"/>
  <c r="E20085" i="1"/>
  <c r="H20084" i="1"/>
  <c r="G20084" i="1"/>
  <c r="E20084" i="1"/>
  <c r="H20083" i="1"/>
  <c r="G20083" i="1"/>
  <c r="E20083" i="1"/>
  <c r="H20082" i="1"/>
  <c r="G20082" i="1"/>
  <c r="E20082" i="1"/>
  <c r="H20081" i="1"/>
  <c r="G20081" i="1"/>
  <c r="E20081" i="1"/>
  <c r="H20080" i="1"/>
  <c r="G20080" i="1"/>
  <c r="E20080" i="1"/>
  <c r="H20079" i="1"/>
  <c r="G20079" i="1"/>
  <c r="E20079" i="1"/>
  <c r="H20078" i="1"/>
  <c r="G20078" i="1"/>
  <c r="E20078" i="1"/>
  <c r="H20077" i="1"/>
  <c r="G20077" i="1"/>
  <c r="E20077" i="1"/>
  <c r="H20076" i="1"/>
  <c r="G20076" i="1"/>
  <c r="E20076" i="1"/>
  <c r="H20075" i="1"/>
  <c r="G20075" i="1"/>
  <c r="E20075" i="1"/>
  <c r="H20074" i="1"/>
  <c r="G20074" i="1"/>
  <c r="E20074" i="1"/>
  <c r="H20073" i="1"/>
  <c r="G20073" i="1"/>
  <c r="E20073" i="1"/>
  <c r="H20072" i="1"/>
  <c r="G20072" i="1"/>
  <c r="E20072" i="1"/>
  <c r="H20071" i="1"/>
  <c r="G20071" i="1"/>
  <c r="E20071" i="1"/>
  <c r="H20070" i="1"/>
  <c r="G20070" i="1"/>
  <c r="E20070" i="1"/>
  <c r="H20069" i="1"/>
  <c r="G20069" i="1"/>
  <c r="E20069" i="1"/>
  <c r="H20068" i="1"/>
  <c r="G20068" i="1"/>
  <c r="E20068" i="1"/>
  <c r="H20067" i="1"/>
  <c r="G20067" i="1"/>
  <c r="E20067" i="1"/>
  <c r="H20066" i="1"/>
  <c r="G20066" i="1"/>
  <c r="E20066" i="1"/>
  <c r="H20065" i="1"/>
  <c r="G20065" i="1"/>
  <c r="E20065" i="1"/>
  <c r="H20064" i="1"/>
  <c r="G20064" i="1"/>
  <c r="E20064" i="1"/>
  <c r="H20063" i="1"/>
  <c r="G20063" i="1"/>
  <c r="E20063" i="1"/>
  <c r="H20062" i="1"/>
  <c r="G20062" i="1"/>
  <c r="E20062" i="1"/>
  <c r="H20061" i="1"/>
  <c r="G20061" i="1"/>
  <c r="E20061" i="1"/>
  <c r="H20060" i="1"/>
  <c r="G20060" i="1"/>
  <c r="E20060" i="1"/>
  <c r="H20059" i="1"/>
  <c r="G20059" i="1"/>
  <c r="E20059" i="1"/>
  <c r="H20058" i="1"/>
  <c r="G20058" i="1"/>
  <c r="E20058" i="1"/>
  <c r="H20057" i="1"/>
  <c r="G20057" i="1"/>
  <c r="E20057" i="1"/>
  <c r="H20056" i="1"/>
  <c r="G20056" i="1"/>
  <c r="E20056" i="1"/>
  <c r="H20055" i="1"/>
  <c r="G20055" i="1"/>
  <c r="E20055" i="1"/>
  <c r="H20054" i="1"/>
  <c r="G20054" i="1"/>
  <c r="E20054" i="1"/>
  <c r="H20053" i="1"/>
  <c r="G20053" i="1"/>
  <c r="E20053" i="1"/>
  <c r="H20052" i="1"/>
  <c r="G20052" i="1"/>
  <c r="E20052" i="1"/>
  <c r="H20051" i="1"/>
  <c r="G20051" i="1"/>
  <c r="E20051" i="1"/>
  <c r="H20050" i="1"/>
  <c r="G20050" i="1"/>
  <c r="E20050" i="1"/>
  <c r="H20049" i="1"/>
  <c r="G20049" i="1"/>
  <c r="E20049" i="1"/>
  <c r="H20048" i="1"/>
  <c r="G20048" i="1"/>
  <c r="E20048" i="1"/>
  <c r="H20047" i="1"/>
  <c r="G20047" i="1"/>
  <c r="E20047" i="1"/>
  <c r="H20046" i="1"/>
  <c r="G20046" i="1"/>
  <c r="E20046" i="1"/>
  <c r="H20045" i="1"/>
  <c r="G20045" i="1"/>
  <c r="E20045" i="1"/>
  <c r="H20044" i="1"/>
  <c r="G20044" i="1"/>
  <c r="E20044" i="1"/>
  <c r="H20043" i="1"/>
  <c r="G20043" i="1"/>
  <c r="E20043" i="1"/>
  <c r="H20042" i="1"/>
  <c r="G20042" i="1"/>
  <c r="E20042" i="1"/>
  <c r="H20041" i="1"/>
  <c r="G20041" i="1"/>
  <c r="E20041" i="1"/>
  <c r="H20040" i="1"/>
  <c r="G20040" i="1"/>
  <c r="E20040" i="1"/>
  <c r="H20039" i="1"/>
  <c r="G20039" i="1"/>
  <c r="E20039" i="1"/>
  <c r="H20038" i="1"/>
  <c r="G20038" i="1"/>
  <c r="E20038" i="1"/>
  <c r="H20037" i="1"/>
  <c r="G20037" i="1"/>
  <c r="E20037" i="1"/>
  <c r="H20036" i="1"/>
  <c r="G20036" i="1"/>
  <c r="E20036" i="1"/>
  <c r="H20035" i="1"/>
  <c r="G20035" i="1"/>
  <c r="E20035" i="1"/>
  <c r="H20034" i="1"/>
  <c r="G20034" i="1"/>
  <c r="E20034" i="1"/>
  <c r="H20033" i="1"/>
  <c r="G20033" i="1"/>
  <c r="E20033" i="1"/>
  <c r="H20032" i="1"/>
  <c r="G20032" i="1"/>
  <c r="E20032" i="1"/>
  <c r="H20031" i="1"/>
  <c r="G20031" i="1"/>
  <c r="E20031" i="1"/>
  <c r="H20030" i="1"/>
  <c r="G20030" i="1"/>
  <c r="E20030" i="1"/>
  <c r="H20029" i="1"/>
  <c r="G20029" i="1"/>
  <c r="E20029" i="1"/>
  <c r="H20028" i="1"/>
  <c r="G20028" i="1"/>
  <c r="E20028" i="1"/>
  <c r="H20027" i="1"/>
  <c r="G20027" i="1"/>
  <c r="E20027" i="1"/>
  <c r="H20026" i="1"/>
  <c r="G20026" i="1"/>
  <c r="E20026" i="1"/>
  <c r="H20025" i="1"/>
  <c r="G20025" i="1"/>
  <c r="E20025" i="1"/>
  <c r="H20024" i="1"/>
  <c r="G20024" i="1"/>
  <c r="E20024" i="1"/>
  <c r="H20023" i="1"/>
  <c r="G20023" i="1"/>
  <c r="E20023" i="1"/>
  <c r="H20022" i="1"/>
  <c r="G20022" i="1"/>
  <c r="E20022" i="1"/>
  <c r="H20021" i="1"/>
  <c r="G20021" i="1"/>
  <c r="E20021" i="1"/>
  <c r="H20020" i="1"/>
  <c r="G20020" i="1"/>
  <c r="E20020" i="1"/>
  <c r="H20019" i="1"/>
  <c r="G20019" i="1"/>
  <c r="E20019" i="1"/>
  <c r="H20018" i="1"/>
  <c r="G20018" i="1"/>
  <c r="E20018" i="1"/>
  <c r="H20017" i="1"/>
  <c r="G20017" i="1"/>
  <c r="E20017" i="1"/>
  <c r="H20016" i="1"/>
  <c r="G20016" i="1"/>
  <c r="E20016" i="1"/>
  <c r="H20015" i="1"/>
  <c r="G20015" i="1"/>
  <c r="E20015" i="1"/>
  <c r="H20014" i="1"/>
  <c r="G20014" i="1"/>
  <c r="E20014" i="1"/>
  <c r="H20013" i="1"/>
  <c r="G20013" i="1"/>
  <c r="E20013" i="1"/>
  <c r="H20012" i="1"/>
  <c r="G20012" i="1"/>
  <c r="E20012" i="1"/>
  <c r="H20011" i="1"/>
  <c r="G20011" i="1"/>
  <c r="E20011" i="1"/>
  <c r="H20010" i="1"/>
  <c r="G20010" i="1"/>
  <c r="E20010" i="1"/>
  <c r="H20009" i="1"/>
  <c r="G20009" i="1"/>
  <c r="E20009" i="1"/>
  <c r="H20008" i="1"/>
  <c r="G20008" i="1"/>
  <c r="E20008" i="1"/>
  <c r="H20007" i="1"/>
  <c r="G20007" i="1"/>
  <c r="E20007" i="1"/>
  <c r="H20006" i="1"/>
  <c r="G20006" i="1"/>
  <c r="E20006" i="1"/>
  <c r="H20005" i="1"/>
  <c r="G20005" i="1"/>
  <c r="E20005" i="1"/>
  <c r="H20004" i="1"/>
  <c r="G20004" i="1"/>
  <c r="E20004" i="1"/>
  <c r="H20003" i="1"/>
  <c r="G20003" i="1"/>
  <c r="E20003" i="1"/>
  <c r="H20002" i="1"/>
  <c r="G20002" i="1"/>
  <c r="E20002" i="1"/>
  <c r="H20001" i="1"/>
  <c r="G20001" i="1"/>
  <c r="E20001" i="1"/>
  <c r="H20000" i="1"/>
  <c r="G20000" i="1"/>
  <c r="E20000" i="1"/>
  <c r="H19999" i="1"/>
  <c r="G19999" i="1"/>
  <c r="E19999" i="1"/>
  <c r="H19998" i="1"/>
  <c r="G19998" i="1"/>
  <c r="E19998" i="1"/>
  <c r="H19997" i="1"/>
  <c r="G19997" i="1"/>
  <c r="E19997" i="1"/>
  <c r="H19996" i="1"/>
  <c r="G19996" i="1"/>
  <c r="E19996" i="1"/>
  <c r="H19995" i="1"/>
  <c r="G19995" i="1"/>
  <c r="E19995" i="1"/>
  <c r="H19994" i="1"/>
  <c r="G19994" i="1"/>
  <c r="E19994" i="1"/>
  <c r="H19993" i="1"/>
  <c r="G19993" i="1"/>
  <c r="E19993" i="1"/>
  <c r="H19992" i="1"/>
  <c r="G19992" i="1"/>
  <c r="E19992" i="1"/>
  <c r="H19991" i="1"/>
  <c r="G19991" i="1"/>
  <c r="E19991" i="1"/>
  <c r="H19990" i="1"/>
  <c r="G19990" i="1"/>
  <c r="E19990" i="1"/>
  <c r="H19989" i="1"/>
  <c r="G19989" i="1"/>
  <c r="E19989" i="1"/>
  <c r="H19988" i="1"/>
  <c r="G19988" i="1"/>
  <c r="E19988" i="1"/>
  <c r="H19987" i="1"/>
  <c r="G19987" i="1"/>
  <c r="E19987" i="1"/>
  <c r="H19986" i="1"/>
  <c r="G19986" i="1"/>
  <c r="E19986" i="1"/>
  <c r="H19985" i="1"/>
  <c r="G19985" i="1"/>
  <c r="E19985" i="1"/>
  <c r="H19984" i="1"/>
  <c r="G19984" i="1"/>
  <c r="E19984" i="1"/>
  <c r="H19983" i="1"/>
  <c r="G19983" i="1"/>
  <c r="E19983" i="1"/>
  <c r="H19982" i="1"/>
  <c r="G19982" i="1"/>
  <c r="E19982" i="1"/>
  <c r="H19981" i="1"/>
  <c r="G19981" i="1"/>
  <c r="E19981" i="1"/>
  <c r="H19980" i="1"/>
  <c r="G19980" i="1"/>
  <c r="E19980" i="1"/>
  <c r="H19979" i="1"/>
  <c r="G19979" i="1"/>
  <c r="E19979" i="1"/>
  <c r="H19978" i="1"/>
  <c r="G19978" i="1"/>
  <c r="E19978" i="1"/>
  <c r="H19977" i="1"/>
  <c r="G19977" i="1"/>
  <c r="E19977" i="1"/>
  <c r="H19976" i="1"/>
  <c r="G19976" i="1"/>
  <c r="E19976" i="1"/>
  <c r="H19975" i="1"/>
  <c r="G19975" i="1"/>
  <c r="E19975" i="1"/>
  <c r="H19974" i="1"/>
  <c r="G19974" i="1"/>
  <c r="E19974" i="1"/>
  <c r="H19973" i="1"/>
  <c r="G19973" i="1"/>
  <c r="E19973" i="1"/>
  <c r="H19972" i="1"/>
  <c r="G19972" i="1"/>
  <c r="E19972" i="1"/>
  <c r="H19971" i="1"/>
  <c r="G19971" i="1"/>
  <c r="E19971" i="1"/>
  <c r="H19970" i="1"/>
  <c r="G19970" i="1"/>
  <c r="E19970" i="1"/>
  <c r="H19969" i="1"/>
  <c r="G19969" i="1"/>
  <c r="E19969" i="1"/>
  <c r="H19968" i="1"/>
  <c r="G19968" i="1"/>
  <c r="E19968" i="1"/>
  <c r="H19967" i="1"/>
  <c r="G19967" i="1"/>
  <c r="E19967" i="1"/>
  <c r="H19966" i="1"/>
  <c r="G19966" i="1"/>
  <c r="E19966" i="1"/>
  <c r="H19965" i="1"/>
  <c r="G19965" i="1"/>
  <c r="E19965" i="1"/>
  <c r="H19964" i="1"/>
  <c r="G19964" i="1"/>
  <c r="E19964" i="1"/>
  <c r="H19963" i="1"/>
  <c r="G19963" i="1"/>
  <c r="E19963" i="1"/>
  <c r="H19962" i="1"/>
  <c r="G19962" i="1"/>
  <c r="E19962" i="1"/>
  <c r="H19961" i="1"/>
  <c r="G19961" i="1"/>
  <c r="E19961" i="1"/>
  <c r="H19960" i="1"/>
  <c r="G19960" i="1"/>
  <c r="E19960" i="1"/>
  <c r="H19959" i="1"/>
  <c r="G19959" i="1"/>
  <c r="E19959" i="1"/>
  <c r="H19958" i="1"/>
  <c r="G19958" i="1"/>
  <c r="E19958" i="1"/>
  <c r="H19957" i="1"/>
  <c r="G19957" i="1"/>
  <c r="E19957" i="1"/>
  <c r="H19956" i="1"/>
  <c r="G19956" i="1"/>
  <c r="E19956" i="1"/>
  <c r="H19955" i="1"/>
  <c r="G19955" i="1"/>
  <c r="E19955" i="1"/>
  <c r="H19954" i="1"/>
  <c r="G19954" i="1"/>
  <c r="E19954" i="1"/>
  <c r="H19953" i="1"/>
  <c r="G19953" i="1"/>
  <c r="E19953" i="1"/>
  <c r="H19952" i="1"/>
  <c r="G19952" i="1"/>
  <c r="E19952" i="1"/>
  <c r="H19951" i="1"/>
  <c r="G19951" i="1"/>
  <c r="E19951" i="1"/>
  <c r="H19950" i="1"/>
  <c r="G19950" i="1"/>
  <c r="E19950" i="1"/>
  <c r="H19949" i="1"/>
  <c r="G19949" i="1"/>
  <c r="E19949" i="1"/>
  <c r="H19948" i="1"/>
  <c r="G19948" i="1"/>
  <c r="E19948" i="1"/>
  <c r="H19947" i="1"/>
  <c r="G19947" i="1"/>
  <c r="E19947" i="1"/>
  <c r="H19946" i="1"/>
  <c r="G19946" i="1"/>
  <c r="E19946" i="1"/>
  <c r="H19945" i="1"/>
  <c r="G19945" i="1"/>
  <c r="E19945" i="1"/>
  <c r="H19944" i="1"/>
  <c r="G19944" i="1"/>
  <c r="E19944" i="1"/>
  <c r="H19943" i="1"/>
  <c r="G19943" i="1"/>
  <c r="E19943" i="1"/>
  <c r="H19942" i="1"/>
  <c r="G19942" i="1"/>
  <c r="E19942" i="1"/>
  <c r="H19941" i="1"/>
  <c r="G19941" i="1"/>
  <c r="E19941" i="1"/>
  <c r="H19940" i="1"/>
  <c r="G19940" i="1"/>
  <c r="E19940" i="1"/>
  <c r="H19939" i="1"/>
  <c r="G19939" i="1"/>
  <c r="E19939" i="1"/>
  <c r="H19938" i="1"/>
  <c r="G19938" i="1"/>
  <c r="E19938" i="1"/>
  <c r="H19937" i="1"/>
  <c r="G19937" i="1"/>
  <c r="E19937" i="1"/>
  <c r="H19936" i="1"/>
  <c r="G19936" i="1"/>
  <c r="E19936" i="1"/>
  <c r="H19935" i="1"/>
  <c r="G19935" i="1"/>
  <c r="E19935" i="1"/>
  <c r="H19934" i="1"/>
  <c r="G19934" i="1"/>
  <c r="E19934" i="1"/>
  <c r="H19933" i="1"/>
  <c r="G19933" i="1"/>
  <c r="E19933" i="1"/>
  <c r="H19932" i="1"/>
  <c r="G19932" i="1"/>
  <c r="E19932" i="1"/>
  <c r="H19931" i="1"/>
  <c r="G19931" i="1"/>
  <c r="E19931" i="1"/>
  <c r="H19930" i="1"/>
  <c r="G19930" i="1"/>
  <c r="E19930" i="1"/>
  <c r="H19929" i="1"/>
  <c r="G19929" i="1"/>
  <c r="E19929" i="1"/>
  <c r="H19928" i="1"/>
  <c r="G19928" i="1"/>
  <c r="E19928" i="1"/>
  <c r="H19927" i="1"/>
  <c r="G19927" i="1"/>
  <c r="E19927" i="1"/>
  <c r="H19926" i="1"/>
  <c r="G19926" i="1"/>
  <c r="E19926" i="1"/>
  <c r="H19925" i="1"/>
  <c r="G19925" i="1"/>
  <c r="E19925" i="1"/>
  <c r="H19924" i="1"/>
  <c r="G19924" i="1"/>
  <c r="E19924" i="1"/>
  <c r="H19923" i="1"/>
  <c r="G19923" i="1"/>
  <c r="E19923" i="1"/>
  <c r="H19922" i="1"/>
  <c r="G19922" i="1"/>
  <c r="E19922" i="1"/>
  <c r="H19921" i="1"/>
  <c r="G19921" i="1"/>
  <c r="E19921" i="1"/>
  <c r="H19920" i="1"/>
  <c r="G19920" i="1"/>
  <c r="E19920" i="1"/>
  <c r="H19919" i="1"/>
  <c r="G19919" i="1"/>
  <c r="E19919" i="1"/>
  <c r="H19918" i="1"/>
  <c r="G19918" i="1"/>
  <c r="E19918" i="1"/>
  <c r="H19917" i="1"/>
  <c r="G19917" i="1"/>
  <c r="E19917" i="1"/>
  <c r="H19916" i="1"/>
  <c r="G19916" i="1"/>
  <c r="E19916" i="1"/>
  <c r="H19915" i="1"/>
  <c r="G19915" i="1"/>
  <c r="E19915" i="1"/>
  <c r="H19914" i="1"/>
  <c r="G19914" i="1"/>
  <c r="E19914" i="1"/>
  <c r="H19913" i="1"/>
  <c r="G19913" i="1"/>
  <c r="E19913" i="1"/>
  <c r="H19912" i="1"/>
  <c r="G19912" i="1"/>
  <c r="E19912" i="1"/>
  <c r="H19911" i="1"/>
  <c r="G19911" i="1"/>
  <c r="E19911" i="1"/>
  <c r="H19910" i="1"/>
  <c r="G19910" i="1"/>
  <c r="E19910" i="1"/>
  <c r="H19909" i="1"/>
  <c r="G19909" i="1"/>
  <c r="E19909" i="1"/>
  <c r="H19908" i="1"/>
  <c r="G19908" i="1"/>
  <c r="E19908" i="1"/>
  <c r="H19907" i="1"/>
  <c r="G19907" i="1"/>
  <c r="E19907" i="1"/>
  <c r="H19906" i="1"/>
  <c r="G19906" i="1"/>
  <c r="E19906" i="1"/>
  <c r="H19905" i="1"/>
  <c r="G19905" i="1"/>
  <c r="E19905" i="1"/>
  <c r="H19904" i="1"/>
  <c r="G19904" i="1"/>
  <c r="E19904" i="1"/>
  <c r="H19903" i="1"/>
  <c r="G19903" i="1"/>
  <c r="E19903" i="1"/>
  <c r="H19902" i="1"/>
  <c r="G19902" i="1"/>
  <c r="E19902" i="1"/>
  <c r="H19901" i="1"/>
  <c r="G19901" i="1"/>
  <c r="E19901" i="1"/>
  <c r="H19900" i="1"/>
  <c r="G19900" i="1"/>
  <c r="E19900" i="1"/>
  <c r="H19899" i="1"/>
  <c r="G19899" i="1"/>
  <c r="E19899" i="1"/>
  <c r="H19898" i="1"/>
  <c r="G19898" i="1"/>
  <c r="E19898" i="1"/>
  <c r="H19897" i="1"/>
  <c r="G19897" i="1"/>
  <c r="E19897" i="1"/>
  <c r="H19896" i="1"/>
  <c r="G19896" i="1"/>
  <c r="E19896" i="1"/>
  <c r="H19895" i="1"/>
  <c r="G19895" i="1"/>
  <c r="E19895" i="1"/>
  <c r="H19894" i="1"/>
  <c r="G19894" i="1"/>
  <c r="E19894" i="1"/>
  <c r="H19893" i="1"/>
  <c r="G19893" i="1"/>
  <c r="E19893" i="1"/>
  <c r="H19892" i="1"/>
  <c r="G19892" i="1"/>
  <c r="E19892" i="1"/>
  <c r="H19891" i="1"/>
  <c r="G19891" i="1"/>
  <c r="E19891" i="1"/>
  <c r="H19890" i="1"/>
  <c r="G19890" i="1"/>
  <c r="E19890" i="1"/>
  <c r="H19889" i="1"/>
  <c r="G19889" i="1"/>
  <c r="E19889" i="1"/>
  <c r="H19888" i="1"/>
  <c r="G19888" i="1"/>
  <c r="E19888" i="1"/>
  <c r="H19887" i="1"/>
  <c r="G19887" i="1"/>
  <c r="E19887" i="1"/>
  <c r="H19886" i="1"/>
  <c r="G19886" i="1"/>
  <c r="E19886" i="1"/>
  <c r="H19885" i="1"/>
  <c r="G19885" i="1"/>
  <c r="E19885" i="1"/>
  <c r="H19884" i="1"/>
  <c r="G19884" i="1"/>
  <c r="E19884" i="1"/>
  <c r="H19883" i="1"/>
  <c r="G19883" i="1"/>
  <c r="E19883" i="1"/>
  <c r="H19882" i="1"/>
  <c r="G19882" i="1"/>
  <c r="E19882" i="1"/>
  <c r="H19881" i="1"/>
  <c r="G19881" i="1"/>
  <c r="E19881" i="1"/>
  <c r="H19880" i="1"/>
  <c r="G19880" i="1"/>
  <c r="E19880" i="1"/>
  <c r="H19879" i="1"/>
  <c r="G19879" i="1"/>
  <c r="E19879" i="1"/>
  <c r="H19878" i="1"/>
  <c r="G19878" i="1"/>
  <c r="E19878" i="1"/>
  <c r="H19877" i="1"/>
  <c r="G19877" i="1"/>
  <c r="E19877" i="1"/>
  <c r="H19876" i="1"/>
  <c r="G19876" i="1"/>
  <c r="E19876" i="1"/>
  <c r="H19875" i="1"/>
  <c r="G19875" i="1"/>
  <c r="E19875" i="1"/>
  <c r="H19874" i="1"/>
  <c r="G19874" i="1"/>
  <c r="E19874" i="1"/>
  <c r="H19873" i="1"/>
  <c r="G19873" i="1"/>
  <c r="E19873" i="1"/>
  <c r="H19872" i="1"/>
  <c r="G19872" i="1"/>
  <c r="E19872" i="1"/>
  <c r="H19871" i="1"/>
  <c r="G19871" i="1"/>
  <c r="E19871" i="1"/>
  <c r="H19870" i="1"/>
  <c r="G19870" i="1"/>
  <c r="E19870" i="1"/>
  <c r="H19869" i="1"/>
  <c r="G19869" i="1"/>
  <c r="E19869" i="1"/>
  <c r="H19868" i="1"/>
  <c r="G19868" i="1"/>
  <c r="E19868" i="1"/>
  <c r="H19867" i="1"/>
  <c r="G19867" i="1"/>
  <c r="E19867" i="1"/>
  <c r="H19866" i="1"/>
  <c r="G19866" i="1"/>
  <c r="E19866" i="1"/>
  <c r="H19865" i="1"/>
  <c r="G19865" i="1"/>
  <c r="E19865" i="1"/>
  <c r="H19864" i="1"/>
  <c r="G19864" i="1"/>
  <c r="E19864" i="1"/>
  <c r="H19863" i="1"/>
  <c r="G19863" i="1"/>
  <c r="E19863" i="1"/>
  <c r="H19862" i="1"/>
  <c r="G19862" i="1"/>
  <c r="E19862" i="1"/>
  <c r="H19861" i="1"/>
  <c r="G19861" i="1"/>
  <c r="E19861" i="1"/>
  <c r="H19860" i="1"/>
  <c r="G19860" i="1"/>
  <c r="E19860" i="1"/>
  <c r="H19859" i="1"/>
  <c r="G19859" i="1"/>
  <c r="E19859" i="1"/>
  <c r="H19858" i="1"/>
  <c r="G19858" i="1"/>
  <c r="E19858" i="1"/>
  <c r="H19857" i="1"/>
  <c r="G19857" i="1"/>
  <c r="E19857" i="1"/>
  <c r="H19856" i="1"/>
  <c r="G19856" i="1"/>
  <c r="E19856" i="1"/>
  <c r="H19855" i="1"/>
  <c r="G19855" i="1"/>
  <c r="E19855" i="1"/>
  <c r="H19854" i="1"/>
  <c r="G19854" i="1"/>
  <c r="E19854" i="1"/>
  <c r="H19853" i="1"/>
  <c r="G19853" i="1"/>
  <c r="E19853" i="1"/>
  <c r="H19852" i="1"/>
  <c r="G19852" i="1"/>
  <c r="E19852" i="1"/>
  <c r="H19851" i="1"/>
  <c r="G19851" i="1"/>
  <c r="E19851" i="1"/>
  <c r="H19850" i="1"/>
  <c r="G19850" i="1"/>
  <c r="E19850" i="1"/>
  <c r="H19849" i="1"/>
  <c r="G19849" i="1"/>
  <c r="E19849" i="1"/>
  <c r="H19848" i="1"/>
  <c r="G19848" i="1"/>
  <c r="E19848" i="1"/>
  <c r="H19847" i="1"/>
  <c r="G19847" i="1"/>
  <c r="E19847" i="1"/>
  <c r="H19846" i="1"/>
  <c r="G19846" i="1"/>
  <c r="E19846" i="1"/>
  <c r="H19845" i="1"/>
  <c r="G19845" i="1"/>
  <c r="E19845" i="1"/>
  <c r="H19844" i="1"/>
  <c r="G19844" i="1"/>
  <c r="E19844" i="1"/>
  <c r="H19843" i="1"/>
  <c r="G19843" i="1"/>
  <c r="E19843" i="1"/>
  <c r="H19842" i="1"/>
  <c r="G19842" i="1"/>
  <c r="E19842" i="1"/>
  <c r="H19841" i="1"/>
  <c r="G19841" i="1"/>
  <c r="E19841" i="1"/>
  <c r="H19840" i="1"/>
  <c r="G19840" i="1"/>
  <c r="E19840" i="1"/>
  <c r="H19839" i="1"/>
  <c r="G19839" i="1"/>
  <c r="E19839" i="1"/>
  <c r="H19838" i="1"/>
  <c r="G19838" i="1"/>
  <c r="E19838" i="1"/>
  <c r="H19837" i="1"/>
  <c r="G19837" i="1"/>
  <c r="E19837" i="1"/>
  <c r="H19836" i="1"/>
  <c r="G19836" i="1"/>
  <c r="E19836" i="1"/>
  <c r="H19835" i="1"/>
  <c r="G19835" i="1"/>
  <c r="E19835" i="1"/>
  <c r="H19834" i="1"/>
  <c r="G19834" i="1"/>
  <c r="E19834" i="1"/>
  <c r="H19833" i="1"/>
  <c r="G19833" i="1"/>
  <c r="E19833" i="1"/>
  <c r="H19832" i="1"/>
  <c r="G19832" i="1"/>
  <c r="E19832" i="1"/>
  <c r="H19831" i="1"/>
  <c r="G19831" i="1"/>
  <c r="E19831" i="1"/>
  <c r="H19830" i="1"/>
  <c r="G19830" i="1"/>
  <c r="E19830" i="1"/>
  <c r="H19829" i="1"/>
  <c r="G19829" i="1"/>
  <c r="E19829" i="1"/>
  <c r="H19828" i="1"/>
  <c r="G19828" i="1"/>
  <c r="E19828" i="1"/>
  <c r="H19827" i="1"/>
  <c r="G19827" i="1"/>
  <c r="E19827" i="1"/>
  <c r="H19826" i="1"/>
  <c r="G19826" i="1"/>
  <c r="E19826" i="1"/>
  <c r="H19825" i="1"/>
  <c r="G19825" i="1"/>
  <c r="E19825" i="1"/>
  <c r="H19824" i="1"/>
  <c r="G19824" i="1"/>
  <c r="E19824" i="1"/>
  <c r="H19823" i="1"/>
  <c r="G19823" i="1"/>
  <c r="E19823" i="1"/>
  <c r="H19822" i="1"/>
  <c r="G19822" i="1"/>
  <c r="E19822" i="1"/>
  <c r="H19821" i="1"/>
  <c r="G19821" i="1"/>
  <c r="E19821" i="1"/>
  <c r="H19820" i="1"/>
  <c r="G19820" i="1"/>
  <c r="E19820" i="1"/>
  <c r="H19819" i="1"/>
  <c r="G19819" i="1"/>
  <c r="E19819" i="1"/>
  <c r="H19818" i="1"/>
  <c r="G19818" i="1"/>
  <c r="E19818" i="1"/>
  <c r="H19817" i="1"/>
  <c r="G19817" i="1"/>
  <c r="E19817" i="1"/>
  <c r="H19816" i="1"/>
  <c r="G19816" i="1"/>
  <c r="E19816" i="1"/>
  <c r="H19815" i="1"/>
  <c r="G19815" i="1"/>
  <c r="E19815" i="1"/>
  <c r="H19814" i="1"/>
  <c r="G19814" i="1"/>
  <c r="E19814" i="1"/>
  <c r="H19813" i="1"/>
  <c r="G19813" i="1"/>
  <c r="E19813" i="1"/>
  <c r="H19812" i="1"/>
  <c r="G19812" i="1"/>
  <c r="E19812" i="1"/>
  <c r="H19811" i="1"/>
  <c r="G19811" i="1"/>
  <c r="E19811" i="1"/>
  <c r="H19810" i="1"/>
  <c r="G19810" i="1"/>
  <c r="E19810" i="1"/>
  <c r="H19809" i="1"/>
  <c r="G19809" i="1"/>
  <c r="E19809" i="1"/>
  <c r="H19808" i="1"/>
  <c r="G19808" i="1"/>
  <c r="E19808" i="1"/>
  <c r="H19807" i="1"/>
  <c r="G19807" i="1"/>
  <c r="E19807" i="1"/>
  <c r="H19806" i="1"/>
  <c r="G19806" i="1"/>
  <c r="E19806" i="1"/>
  <c r="H19805" i="1"/>
  <c r="G19805" i="1"/>
  <c r="E19805" i="1"/>
  <c r="H19804" i="1"/>
  <c r="G19804" i="1"/>
  <c r="E19804" i="1"/>
  <c r="H19803" i="1"/>
  <c r="G19803" i="1"/>
  <c r="E19803" i="1"/>
  <c r="H19802" i="1"/>
  <c r="G19802" i="1"/>
  <c r="E19802" i="1"/>
  <c r="H19801" i="1"/>
  <c r="G19801" i="1"/>
  <c r="E19801" i="1"/>
  <c r="H19800" i="1"/>
  <c r="G19800" i="1"/>
  <c r="E19800" i="1"/>
  <c r="H19799" i="1"/>
  <c r="G19799" i="1"/>
  <c r="E19799" i="1"/>
  <c r="H19798" i="1"/>
  <c r="G19798" i="1"/>
  <c r="E19798" i="1"/>
  <c r="H19797" i="1"/>
  <c r="G19797" i="1"/>
  <c r="E19797" i="1"/>
  <c r="H19796" i="1"/>
  <c r="G19796" i="1"/>
  <c r="E19796" i="1"/>
  <c r="H19795" i="1"/>
  <c r="G19795" i="1"/>
  <c r="E19795" i="1"/>
  <c r="H19794" i="1"/>
  <c r="G19794" i="1"/>
  <c r="E19794" i="1"/>
  <c r="H19793" i="1"/>
  <c r="G19793" i="1"/>
  <c r="E19793" i="1"/>
  <c r="H19792" i="1"/>
  <c r="G19792" i="1"/>
  <c r="E19792" i="1"/>
  <c r="H19791" i="1"/>
  <c r="G19791" i="1"/>
  <c r="E19791" i="1"/>
  <c r="H19790" i="1"/>
  <c r="G19790" i="1"/>
  <c r="E19790" i="1"/>
  <c r="H19789" i="1"/>
  <c r="G19789" i="1"/>
  <c r="E19789" i="1"/>
  <c r="H19788" i="1"/>
  <c r="G19788" i="1"/>
  <c r="E19788" i="1"/>
  <c r="H19787" i="1"/>
  <c r="G19787" i="1"/>
  <c r="E19787" i="1"/>
  <c r="H19786" i="1"/>
  <c r="G19786" i="1"/>
  <c r="E19786" i="1"/>
  <c r="H19785" i="1"/>
  <c r="G19785" i="1"/>
  <c r="E19785" i="1"/>
  <c r="H19784" i="1"/>
  <c r="G19784" i="1"/>
  <c r="E19784" i="1"/>
  <c r="H19783" i="1"/>
  <c r="G19783" i="1"/>
  <c r="E19783" i="1"/>
  <c r="H19782" i="1"/>
  <c r="G19782" i="1"/>
  <c r="E19782" i="1"/>
  <c r="H19781" i="1"/>
  <c r="G19781" i="1"/>
  <c r="E19781" i="1"/>
  <c r="H19780" i="1"/>
  <c r="G19780" i="1"/>
  <c r="E19780" i="1"/>
  <c r="H19779" i="1"/>
  <c r="G19779" i="1"/>
  <c r="E19779" i="1"/>
  <c r="H19778" i="1"/>
  <c r="G19778" i="1"/>
  <c r="E19778" i="1"/>
  <c r="H19777" i="1"/>
  <c r="G19777" i="1"/>
  <c r="E19777" i="1"/>
  <c r="H19776" i="1"/>
  <c r="G19776" i="1"/>
  <c r="E19776" i="1"/>
  <c r="H19775" i="1"/>
  <c r="G19775" i="1"/>
  <c r="E19775" i="1"/>
  <c r="H19774" i="1"/>
  <c r="G19774" i="1"/>
  <c r="E19774" i="1"/>
  <c r="H19773" i="1"/>
  <c r="G19773" i="1"/>
  <c r="E19773" i="1"/>
  <c r="H19772" i="1"/>
  <c r="G19772" i="1"/>
  <c r="E19772" i="1"/>
  <c r="H19771" i="1"/>
  <c r="G19771" i="1"/>
  <c r="E19771" i="1"/>
  <c r="H19770" i="1"/>
  <c r="G19770" i="1"/>
  <c r="E19770" i="1"/>
  <c r="H19769" i="1"/>
  <c r="G19769" i="1"/>
  <c r="E19769" i="1"/>
  <c r="H19768" i="1"/>
  <c r="G19768" i="1"/>
  <c r="E19768" i="1"/>
  <c r="H19767" i="1"/>
  <c r="G19767" i="1"/>
  <c r="E19767" i="1"/>
  <c r="H19766" i="1"/>
  <c r="G19766" i="1"/>
  <c r="E19766" i="1"/>
  <c r="H19765" i="1"/>
  <c r="G19765" i="1"/>
  <c r="E19765" i="1"/>
  <c r="H19764" i="1"/>
  <c r="G19764" i="1"/>
  <c r="E19764" i="1"/>
  <c r="H19763" i="1"/>
  <c r="G19763" i="1"/>
  <c r="E19763" i="1"/>
  <c r="H19762" i="1"/>
  <c r="G19762" i="1"/>
  <c r="E19762" i="1"/>
  <c r="H19761" i="1"/>
  <c r="G19761" i="1"/>
  <c r="E19761" i="1"/>
  <c r="H19760" i="1"/>
  <c r="G19760" i="1"/>
  <c r="E19760" i="1"/>
  <c r="H19759" i="1"/>
  <c r="G19759" i="1"/>
  <c r="E19759" i="1"/>
  <c r="H19758" i="1"/>
  <c r="G19758" i="1"/>
  <c r="E19758" i="1"/>
  <c r="H19757" i="1"/>
  <c r="G19757" i="1"/>
  <c r="E19757" i="1"/>
  <c r="H19756" i="1"/>
  <c r="G19756" i="1"/>
  <c r="E19756" i="1"/>
  <c r="H19755" i="1"/>
  <c r="G19755" i="1"/>
  <c r="E19755" i="1"/>
  <c r="H19754" i="1"/>
  <c r="G19754" i="1"/>
  <c r="E19754" i="1"/>
  <c r="H19753" i="1"/>
  <c r="G19753" i="1"/>
  <c r="E19753" i="1"/>
  <c r="H19752" i="1"/>
  <c r="G19752" i="1"/>
  <c r="E19752" i="1"/>
  <c r="H19751" i="1"/>
  <c r="G19751" i="1"/>
  <c r="E19751" i="1"/>
  <c r="H19750" i="1"/>
  <c r="G19750" i="1"/>
  <c r="E19750" i="1"/>
  <c r="H19749" i="1"/>
  <c r="G19749" i="1"/>
  <c r="E19749" i="1"/>
  <c r="H19748" i="1"/>
  <c r="G19748" i="1"/>
  <c r="E19748" i="1"/>
  <c r="H19747" i="1"/>
  <c r="G19747" i="1"/>
  <c r="E19747" i="1"/>
  <c r="H19746" i="1"/>
  <c r="G19746" i="1"/>
  <c r="E19746" i="1"/>
  <c r="H19745" i="1"/>
  <c r="G19745" i="1"/>
  <c r="E19745" i="1"/>
  <c r="H19744" i="1"/>
  <c r="G19744" i="1"/>
  <c r="E19744" i="1"/>
  <c r="H19743" i="1"/>
  <c r="G19743" i="1"/>
  <c r="E19743" i="1"/>
  <c r="H19742" i="1"/>
  <c r="G19742" i="1"/>
  <c r="E19742" i="1"/>
  <c r="H19741" i="1"/>
  <c r="G19741" i="1"/>
  <c r="E19741" i="1"/>
  <c r="H19740" i="1"/>
  <c r="G19740" i="1"/>
  <c r="E19740" i="1"/>
  <c r="H19739" i="1"/>
  <c r="G19739" i="1"/>
  <c r="E19739" i="1"/>
  <c r="H19738" i="1"/>
  <c r="G19738" i="1"/>
  <c r="E19738" i="1"/>
  <c r="H19737" i="1"/>
  <c r="G19737" i="1"/>
  <c r="E19737" i="1"/>
  <c r="H19736" i="1"/>
  <c r="G19736" i="1"/>
  <c r="E19736" i="1"/>
  <c r="H19735" i="1"/>
  <c r="G19735" i="1"/>
  <c r="E19735" i="1"/>
  <c r="H19734" i="1"/>
  <c r="G19734" i="1"/>
  <c r="E19734" i="1"/>
  <c r="H19733" i="1"/>
  <c r="G19733" i="1"/>
  <c r="E19733" i="1"/>
  <c r="H19732" i="1"/>
  <c r="G19732" i="1"/>
  <c r="E19732" i="1"/>
  <c r="H19731" i="1"/>
  <c r="G19731" i="1"/>
  <c r="E19731" i="1"/>
  <c r="H19730" i="1"/>
  <c r="G19730" i="1"/>
  <c r="E19730" i="1"/>
  <c r="H19729" i="1"/>
  <c r="G19729" i="1"/>
  <c r="E19729" i="1"/>
  <c r="H19728" i="1"/>
  <c r="G19728" i="1"/>
  <c r="E19728" i="1"/>
  <c r="H19727" i="1"/>
  <c r="G19727" i="1"/>
  <c r="E19727" i="1"/>
  <c r="H19726" i="1"/>
  <c r="G19726" i="1"/>
  <c r="E19726" i="1"/>
  <c r="H19725" i="1"/>
  <c r="G19725" i="1"/>
  <c r="E19725" i="1"/>
  <c r="H19724" i="1"/>
  <c r="G19724" i="1"/>
  <c r="E19724" i="1"/>
  <c r="H19723" i="1"/>
  <c r="G19723" i="1"/>
  <c r="E19723" i="1"/>
  <c r="H19722" i="1"/>
  <c r="G19722" i="1"/>
  <c r="E19722" i="1"/>
  <c r="H19721" i="1"/>
  <c r="G19721" i="1"/>
  <c r="E19721" i="1"/>
  <c r="H19720" i="1"/>
  <c r="G19720" i="1"/>
  <c r="E19720" i="1"/>
  <c r="H19719" i="1"/>
  <c r="G19719" i="1"/>
  <c r="E19719" i="1"/>
  <c r="H19718" i="1"/>
  <c r="G19718" i="1"/>
  <c r="E19718" i="1"/>
  <c r="H19717" i="1"/>
  <c r="G19717" i="1"/>
  <c r="E19717" i="1"/>
  <c r="H19716" i="1"/>
  <c r="G19716" i="1"/>
  <c r="E19716" i="1"/>
  <c r="H19715" i="1"/>
  <c r="G19715" i="1"/>
  <c r="E19715" i="1"/>
  <c r="H19714" i="1"/>
  <c r="G19714" i="1"/>
  <c r="E19714" i="1"/>
  <c r="H19713" i="1"/>
  <c r="G19713" i="1"/>
  <c r="E19713" i="1"/>
  <c r="H19712" i="1"/>
  <c r="G19712" i="1"/>
  <c r="E19712" i="1"/>
  <c r="H19711" i="1"/>
  <c r="G19711" i="1"/>
  <c r="E19711" i="1"/>
  <c r="H19710" i="1"/>
  <c r="G19710" i="1"/>
  <c r="E19710" i="1"/>
  <c r="H19709" i="1"/>
  <c r="G19709" i="1"/>
  <c r="E19709" i="1"/>
  <c r="H19708" i="1"/>
  <c r="G19708" i="1"/>
  <c r="E19708" i="1"/>
  <c r="H19707" i="1"/>
  <c r="G19707" i="1"/>
  <c r="E19707" i="1"/>
  <c r="H19706" i="1"/>
  <c r="G19706" i="1"/>
  <c r="E19706" i="1"/>
  <c r="H19705" i="1"/>
  <c r="G19705" i="1"/>
  <c r="E19705" i="1"/>
  <c r="H19704" i="1"/>
  <c r="G19704" i="1"/>
  <c r="E19704" i="1"/>
  <c r="H19703" i="1"/>
  <c r="G19703" i="1"/>
  <c r="E19703" i="1"/>
  <c r="H19702" i="1"/>
  <c r="G19702" i="1"/>
  <c r="E19702" i="1"/>
  <c r="H19701" i="1"/>
  <c r="G19701" i="1"/>
  <c r="E19701" i="1"/>
  <c r="H19700" i="1"/>
  <c r="G19700" i="1"/>
  <c r="E19700" i="1"/>
  <c r="H19699" i="1"/>
  <c r="G19699" i="1"/>
  <c r="E19699" i="1"/>
  <c r="H19698" i="1"/>
  <c r="G19698" i="1"/>
  <c r="E19698" i="1"/>
  <c r="H19697" i="1"/>
  <c r="G19697" i="1"/>
  <c r="E19697" i="1"/>
  <c r="H19696" i="1"/>
  <c r="G19696" i="1"/>
  <c r="E19696" i="1"/>
  <c r="H19695" i="1"/>
  <c r="G19695" i="1"/>
  <c r="E19695" i="1"/>
  <c r="H19694" i="1"/>
  <c r="G19694" i="1"/>
  <c r="E19694" i="1"/>
  <c r="H19693" i="1"/>
  <c r="G19693" i="1"/>
  <c r="E19693" i="1"/>
  <c r="H19692" i="1"/>
  <c r="G19692" i="1"/>
  <c r="E19692" i="1"/>
  <c r="H19691" i="1"/>
  <c r="G19691" i="1"/>
  <c r="E19691" i="1"/>
  <c r="H19690" i="1"/>
  <c r="G19690" i="1"/>
  <c r="E19690" i="1"/>
  <c r="H19689" i="1"/>
  <c r="G19689" i="1"/>
  <c r="E19689" i="1"/>
  <c r="H19688" i="1"/>
  <c r="G19688" i="1"/>
  <c r="E19688" i="1"/>
  <c r="H19687" i="1"/>
  <c r="G19687" i="1"/>
  <c r="E19687" i="1"/>
  <c r="H19686" i="1"/>
  <c r="G19686" i="1"/>
  <c r="E19686" i="1"/>
  <c r="H19685" i="1"/>
  <c r="G19685" i="1"/>
  <c r="E19685" i="1"/>
  <c r="H19684" i="1"/>
  <c r="G19684" i="1"/>
  <c r="E19684" i="1"/>
  <c r="H19683" i="1"/>
  <c r="G19683" i="1"/>
  <c r="E19683" i="1"/>
  <c r="H19682" i="1"/>
  <c r="G19682" i="1"/>
  <c r="E19682" i="1"/>
  <c r="H19681" i="1"/>
  <c r="G19681" i="1"/>
  <c r="E19681" i="1"/>
  <c r="H19680" i="1"/>
  <c r="G19680" i="1"/>
  <c r="E19680" i="1"/>
  <c r="H19679" i="1"/>
  <c r="G19679" i="1"/>
  <c r="E19679" i="1"/>
  <c r="H19678" i="1"/>
  <c r="G19678" i="1"/>
  <c r="E19678" i="1"/>
  <c r="H19677" i="1"/>
  <c r="G19677" i="1"/>
  <c r="E19677" i="1"/>
  <c r="H19676" i="1"/>
  <c r="G19676" i="1"/>
  <c r="E19676" i="1"/>
  <c r="H19675" i="1"/>
  <c r="G19675" i="1"/>
  <c r="E19675" i="1"/>
  <c r="H19674" i="1"/>
  <c r="G19674" i="1"/>
  <c r="E19674" i="1"/>
  <c r="H19673" i="1"/>
  <c r="G19673" i="1"/>
  <c r="E19673" i="1"/>
  <c r="H19672" i="1"/>
  <c r="G19672" i="1"/>
  <c r="E19672" i="1"/>
  <c r="H19671" i="1"/>
  <c r="G19671" i="1"/>
  <c r="E19671" i="1"/>
  <c r="H19670" i="1"/>
  <c r="G19670" i="1"/>
  <c r="E19670" i="1"/>
  <c r="H19669" i="1"/>
  <c r="G19669" i="1"/>
  <c r="E19669" i="1"/>
  <c r="H19668" i="1"/>
  <c r="G19668" i="1"/>
  <c r="E19668" i="1"/>
  <c r="H19667" i="1"/>
  <c r="G19667" i="1"/>
  <c r="E19667" i="1"/>
  <c r="H19666" i="1"/>
  <c r="G19666" i="1"/>
  <c r="E19666" i="1"/>
  <c r="H19665" i="1"/>
  <c r="G19665" i="1"/>
  <c r="E19665" i="1"/>
  <c r="H19664" i="1"/>
  <c r="G19664" i="1"/>
  <c r="E19664" i="1"/>
  <c r="H19663" i="1"/>
  <c r="G19663" i="1"/>
  <c r="E19663" i="1"/>
  <c r="H19662" i="1"/>
  <c r="G19662" i="1"/>
  <c r="E19662" i="1"/>
  <c r="H19661" i="1"/>
  <c r="G19661" i="1"/>
  <c r="E19661" i="1"/>
  <c r="H19660" i="1"/>
  <c r="G19660" i="1"/>
  <c r="E19660" i="1"/>
  <c r="H19659" i="1"/>
  <c r="G19659" i="1"/>
  <c r="E19659" i="1"/>
  <c r="H19658" i="1"/>
  <c r="G19658" i="1"/>
  <c r="E19658" i="1"/>
  <c r="H19657" i="1"/>
  <c r="G19657" i="1"/>
  <c r="E19657" i="1"/>
  <c r="H19656" i="1"/>
  <c r="G19656" i="1"/>
  <c r="E19656" i="1"/>
  <c r="H19655" i="1"/>
  <c r="G19655" i="1"/>
  <c r="E19655" i="1"/>
  <c r="H19654" i="1"/>
  <c r="G19654" i="1"/>
  <c r="E19654" i="1"/>
  <c r="H19653" i="1"/>
  <c r="G19653" i="1"/>
  <c r="E19653" i="1"/>
  <c r="H19652" i="1"/>
  <c r="G19652" i="1"/>
  <c r="E19652" i="1"/>
  <c r="H19651" i="1"/>
  <c r="G19651" i="1"/>
  <c r="E19651" i="1"/>
  <c r="H19650" i="1"/>
  <c r="G19650" i="1"/>
  <c r="E19650" i="1"/>
  <c r="H19649" i="1"/>
  <c r="G19649" i="1"/>
  <c r="E19649" i="1"/>
  <c r="H19648" i="1"/>
  <c r="G19648" i="1"/>
  <c r="E19648" i="1"/>
  <c r="H19647" i="1"/>
  <c r="G19647" i="1"/>
  <c r="E19647" i="1"/>
  <c r="H19646" i="1"/>
  <c r="G19646" i="1"/>
  <c r="E19646" i="1"/>
  <c r="H19645" i="1"/>
  <c r="G19645" i="1"/>
  <c r="E19645" i="1"/>
  <c r="H19644" i="1"/>
  <c r="G19644" i="1"/>
  <c r="E19644" i="1"/>
  <c r="H19643" i="1"/>
  <c r="G19643" i="1"/>
  <c r="E19643" i="1"/>
  <c r="H19642" i="1"/>
  <c r="G19642" i="1"/>
  <c r="E19642" i="1"/>
  <c r="H19641" i="1"/>
  <c r="G19641" i="1"/>
  <c r="E19641" i="1"/>
  <c r="H19640" i="1"/>
  <c r="G19640" i="1"/>
  <c r="E19640" i="1"/>
  <c r="H19639" i="1"/>
  <c r="G19639" i="1"/>
  <c r="E19639" i="1"/>
  <c r="H19638" i="1"/>
  <c r="G19638" i="1"/>
  <c r="E19638" i="1"/>
  <c r="H19637" i="1"/>
  <c r="G19637" i="1"/>
  <c r="E19637" i="1"/>
  <c r="H19636" i="1"/>
  <c r="G19636" i="1"/>
  <c r="E19636" i="1"/>
  <c r="H19635" i="1"/>
  <c r="G19635" i="1"/>
  <c r="E19635" i="1"/>
  <c r="H19634" i="1"/>
  <c r="G19634" i="1"/>
  <c r="E19634" i="1"/>
  <c r="H19633" i="1"/>
  <c r="G19633" i="1"/>
  <c r="E19633" i="1"/>
  <c r="H19632" i="1"/>
  <c r="G19632" i="1"/>
  <c r="E19632" i="1"/>
  <c r="H19631" i="1"/>
  <c r="G19631" i="1"/>
  <c r="E19631" i="1"/>
  <c r="H19630" i="1"/>
  <c r="G19630" i="1"/>
  <c r="E19630" i="1"/>
  <c r="H19629" i="1"/>
  <c r="G19629" i="1"/>
  <c r="E19629" i="1"/>
  <c r="H19628" i="1"/>
  <c r="G19628" i="1"/>
  <c r="E19628" i="1"/>
  <c r="H19627" i="1"/>
  <c r="G19627" i="1"/>
  <c r="E19627" i="1"/>
  <c r="H19626" i="1"/>
  <c r="G19626" i="1"/>
  <c r="E19626" i="1"/>
  <c r="H19625" i="1"/>
  <c r="G19625" i="1"/>
  <c r="E19625" i="1"/>
  <c r="H19624" i="1"/>
  <c r="G19624" i="1"/>
  <c r="E19624" i="1"/>
  <c r="H19623" i="1"/>
  <c r="G19623" i="1"/>
  <c r="E19623" i="1"/>
  <c r="H19622" i="1"/>
  <c r="G19622" i="1"/>
  <c r="E19622" i="1"/>
  <c r="H19621" i="1"/>
  <c r="G19621" i="1"/>
  <c r="E19621" i="1"/>
  <c r="H19620" i="1"/>
  <c r="G19620" i="1"/>
  <c r="E19620" i="1"/>
  <c r="H19619" i="1"/>
  <c r="G19619" i="1"/>
  <c r="E19619" i="1"/>
  <c r="H19618" i="1"/>
  <c r="G19618" i="1"/>
  <c r="E19618" i="1"/>
  <c r="H19617" i="1"/>
  <c r="G19617" i="1"/>
  <c r="E19617" i="1"/>
  <c r="H19616" i="1"/>
  <c r="G19616" i="1"/>
  <c r="E19616" i="1"/>
  <c r="H19615" i="1"/>
  <c r="G19615" i="1"/>
  <c r="E19615" i="1"/>
  <c r="H19614" i="1"/>
  <c r="G19614" i="1"/>
  <c r="E19614" i="1"/>
  <c r="H19613" i="1"/>
  <c r="G19613" i="1"/>
  <c r="E19613" i="1"/>
  <c r="H19612" i="1"/>
  <c r="G19612" i="1"/>
  <c r="E19612" i="1"/>
  <c r="H19611" i="1"/>
  <c r="G19611" i="1"/>
  <c r="E19611" i="1"/>
  <c r="H19610" i="1"/>
  <c r="G19610" i="1"/>
  <c r="E19610" i="1"/>
  <c r="H19609" i="1"/>
  <c r="G19609" i="1"/>
  <c r="E19609" i="1"/>
  <c r="H19608" i="1"/>
  <c r="G19608" i="1"/>
  <c r="E19608" i="1"/>
  <c r="H19607" i="1"/>
  <c r="G19607" i="1"/>
  <c r="E19607" i="1"/>
  <c r="H19606" i="1"/>
  <c r="G19606" i="1"/>
  <c r="E19606" i="1"/>
  <c r="H19605" i="1"/>
  <c r="G19605" i="1"/>
  <c r="E19605" i="1"/>
  <c r="H19604" i="1"/>
  <c r="G19604" i="1"/>
  <c r="E19604" i="1"/>
  <c r="H19603" i="1"/>
  <c r="G19603" i="1"/>
  <c r="E19603" i="1"/>
  <c r="H19602" i="1"/>
  <c r="G19602" i="1"/>
  <c r="E19602" i="1"/>
  <c r="H19601" i="1"/>
  <c r="G19601" i="1"/>
  <c r="E19601" i="1"/>
  <c r="H19600" i="1"/>
  <c r="G19600" i="1"/>
  <c r="E19600" i="1"/>
  <c r="H19599" i="1"/>
  <c r="G19599" i="1"/>
  <c r="E19599" i="1"/>
  <c r="H19598" i="1"/>
  <c r="G19598" i="1"/>
  <c r="E19598" i="1"/>
  <c r="H19597" i="1"/>
  <c r="G19597" i="1"/>
  <c r="E19597" i="1"/>
  <c r="H19596" i="1"/>
  <c r="G19596" i="1"/>
  <c r="E19596" i="1"/>
  <c r="H19595" i="1"/>
  <c r="G19595" i="1"/>
  <c r="E19595" i="1"/>
  <c r="H19594" i="1"/>
  <c r="G19594" i="1"/>
  <c r="E19594" i="1"/>
  <c r="H19593" i="1"/>
  <c r="G19593" i="1"/>
  <c r="E19593" i="1"/>
  <c r="H19592" i="1"/>
  <c r="G19592" i="1"/>
  <c r="E19592" i="1"/>
  <c r="H19591" i="1"/>
  <c r="G19591" i="1"/>
  <c r="E19591" i="1"/>
  <c r="H19590" i="1"/>
  <c r="G19590" i="1"/>
  <c r="E19590" i="1"/>
  <c r="H19589" i="1"/>
  <c r="G19589" i="1"/>
  <c r="E19589" i="1"/>
  <c r="H19588" i="1"/>
  <c r="G19588" i="1"/>
  <c r="E19588" i="1"/>
  <c r="H19587" i="1"/>
  <c r="G19587" i="1"/>
  <c r="E19587" i="1"/>
  <c r="H19586" i="1"/>
  <c r="G19586" i="1"/>
  <c r="E19586" i="1"/>
  <c r="H19585" i="1"/>
  <c r="G19585" i="1"/>
  <c r="E19585" i="1"/>
  <c r="H19584" i="1"/>
  <c r="G19584" i="1"/>
  <c r="E19584" i="1"/>
  <c r="H19583" i="1"/>
  <c r="G19583" i="1"/>
  <c r="E19583" i="1"/>
  <c r="H19582" i="1"/>
  <c r="G19582" i="1"/>
  <c r="E19582" i="1"/>
  <c r="H19581" i="1"/>
  <c r="G19581" i="1"/>
  <c r="E19581" i="1"/>
  <c r="H19580" i="1"/>
  <c r="G19580" i="1"/>
  <c r="E19580" i="1"/>
  <c r="H19579" i="1"/>
  <c r="G19579" i="1"/>
  <c r="E19579" i="1"/>
  <c r="H19578" i="1"/>
  <c r="G19578" i="1"/>
  <c r="E19578" i="1"/>
  <c r="H19577" i="1"/>
  <c r="G19577" i="1"/>
  <c r="E19577" i="1"/>
  <c r="H19576" i="1"/>
  <c r="G19576" i="1"/>
  <c r="E19576" i="1"/>
  <c r="H19575" i="1"/>
  <c r="G19575" i="1"/>
  <c r="E19575" i="1"/>
  <c r="H19574" i="1"/>
  <c r="G19574" i="1"/>
  <c r="E19574" i="1"/>
  <c r="H19573" i="1"/>
  <c r="G19573" i="1"/>
  <c r="E19573" i="1"/>
  <c r="H19572" i="1"/>
  <c r="G19572" i="1"/>
  <c r="E19572" i="1"/>
  <c r="H19571" i="1"/>
  <c r="G19571" i="1"/>
  <c r="E19571" i="1"/>
  <c r="H19570" i="1"/>
  <c r="G19570" i="1"/>
  <c r="E19570" i="1"/>
  <c r="H19569" i="1"/>
  <c r="G19569" i="1"/>
  <c r="E19569" i="1"/>
  <c r="H19568" i="1"/>
  <c r="G19568" i="1"/>
  <c r="E19568" i="1"/>
  <c r="H19567" i="1"/>
  <c r="G19567" i="1"/>
  <c r="E19567" i="1"/>
  <c r="H19566" i="1"/>
  <c r="G19566" i="1"/>
  <c r="E19566" i="1"/>
  <c r="H19565" i="1"/>
  <c r="G19565" i="1"/>
  <c r="E19565" i="1"/>
  <c r="H19564" i="1"/>
  <c r="G19564" i="1"/>
  <c r="E19564" i="1"/>
  <c r="H19563" i="1"/>
  <c r="G19563" i="1"/>
  <c r="E19563" i="1"/>
  <c r="H19562" i="1"/>
  <c r="G19562" i="1"/>
  <c r="E19562" i="1"/>
  <c r="H19561" i="1"/>
  <c r="G19561" i="1"/>
  <c r="E19561" i="1"/>
  <c r="H19560" i="1"/>
  <c r="G19560" i="1"/>
  <c r="E19560" i="1"/>
  <c r="H19559" i="1"/>
  <c r="G19559" i="1"/>
  <c r="E19559" i="1"/>
  <c r="H19558" i="1"/>
  <c r="G19558" i="1"/>
  <c r="E19558" i="1"/>
  <c r="H19557" i="1"/>
  <c r="G19557" i="1"/>
  <c r="E19557" i="1"/>
  <c r="H19556" i="1"/>
  <c r="G19556" i="1"/>
  <c r="E19556" i="1"/>
  <c r="H19555" i="1"/>
  <c r="G19555" i="1"/>
  <c r="E19555" i="1"/>
  <c r="H19554" i="1"/>
  <c r="G19554" i="1"/>
  <c r="E19554" i="1"/>
  <c r="H19553" i="1"/>
  <c r="G19553" i="1"/>
  <c r="E19553" i="1"/>
  <c r="H19552" i="1"/>
  <c r="G19552" i="1"/>
  <c r="E19552" i="1"/>
  <c r="H19551" i="1"/>
  <c r="G19551" i="1"/>
  <c r="E19551" i="1"/>
  <c r="H19550" i="1"/>
  <c r="G19550" i="1"/>
  <c r="E19550" i="1"/>
  <c r="H19549" i="1"/>
  <c r="G19549" i="1"/>
  <c r="E19549" i="1"/>
  <c r="H19548" i="1"/>
  <c r="G19548" i="1"/>
  <c r="E19548" i="1"/>
  <c r="H19547" i="1"/>
  <c r="G19547" i="1"/>
  <c r="E19547" i="1"/>
  <c r="H19546" i="1"/>
  <c r="G19546" i="1"/>
  <c r="E19546" i="1"/>
  <c r="H19545" i="1"/>
  <c r="G19545" i="1"/>
  <c r="E19545" i="1"/>
  <c r="H19544" i="1"/>
  <c r="G19544" i="1"/>
  <c r="E19544" i="1"/>
  <c r="H19543" i="1"/>
  <c r="G19543" i="1"/>
  <c r="E19543" i="1"/>
  <c r="H19542" i="1"/>
  <c r="G19542" i="1"/>
  <c r="E19542" i="1"/>
  <c r="H19541" i="1"/>
  <c r="G19541" i="1"/>
  <c r="E19541" i="1"/>
  <c r="H19540" i="1"/>
  <c r="G19540" i="1"/>
  <c r="E19540" i="1"/>
  <c r="H19539" i="1"/>
  <c r="G19539" i="1"/>
  <c r="E19539" i="1"/>
  <c r="H19538" i="1"/>
  <c r="G19538" i="1"/>
  <c r="E19538" i="1"/>
  <c r="H19537" i="1"/>
  <c r="G19537" i="1"/>
  <c r="E19537" i="1"/>
  <c r="H19536" i="1"/>
  <c r="G19536" i="1"/>
  <c r="E19536" i="1"/>
  <c r="H19535" i="1"/>
  <c r="G19535" i="1"/>
  <c r="E19535" i="1"/>
  <c r="H19534" i="1"/>
  <c r="G19534" i="1"/>
  <c r="E19534" i="1"/>
  <c r="H19533" i="1"/>
  <c r="G19533" i="1"/>
  <c r="E19533" i="1"/>
  <c r="H19532" i="1"/>
  <c r="G19532" i="1"/>
  <c r="E19532" i="1"/>
  <c r="H19531" i="1"/>
  <c r="G19531" i="1"/>
  <c r="E19531" i="1"/>
  <c r="H19530" i="1"/>
  <c r="G19530" i="1"/>
  <c r="E19530" i="1"/>
  <c r="H19529" i="1"/>
  <c r="G19529" i="1"/>
  <c r="E19529" i="1"/>
  <c r="H19528" i="1"/>
  <c r="G19528" i="1"/>
  <c r="E19528" i="1"/>
  <c r="H19527" i="1"/>
  <c r="G19527" i="1"/>
  <c r="E19527" i="1"/>
  <c r="H19526" i="1"/>
  <c r="G19526" i="1"/>
  <c r="E19526" i="1"/>
  <c r="H19525" i="1"/>
  <c r="G19525" i="1"/>
  <c r="E19525" i="1"/>
  <c r="H19524" i="1"/>
  <c r="G19524" i="1"/>
  <c r="E19524" i="1"/>
  <c r="H19523" i="1"/>
  <c r="G19523" i="1"/>
  <c r="E19523" i="1"/>
  <c r="H19522" i="1"/>
  <c r="G19522" i="1"/>
  <c r="E19522" i="1"/>
  <c r="H19521" i="1"/>
  <c r="G19521" i="1"/>
  <c r="E19521" i="1"/>
  <c r="H19520" i="1"/>
  <c r="G19520" i="1"/>
  <c r="E19520" i="1"/>
  <c r="H19519" i="1"/>
  <c r="G19519" i="1"/>
  <c r="E19519" i="1"/>
  <c r="H19518" i="1"/>
  <c r="G19518" i="1"/>
  <c r="E19518" i="1"/>
  <c r="H19517" i="1"/>
  <c r="G19517" i="1"/>
  <c r="E19517" i="1"/>
  <c r="H19516" i="1"/>
  <c r="G19516" i="1"/>
  <c r="E19516" i="1"/>
  <c r="H19515" i="1"/>
  <c r="G19515" i="1"/>
  <c r="E19515" i="1"/>
  <c r="H19514" i="1"/>
  <c r="G19514" i="1"/>
  <c r="E19514" i="1"/>
  <c r="H19513" i="1"/>
  <c r="G19513" i="1"/>
  <c r="E19513" i="1"/>
  <c r="H19512" i="1"/>
  <c r="G19512" i="1"/>
  <c r="E19512" i="1"/>
  <c r="H19511" i="1"/>
  <c r="G19511" i="1"/>
  <c r="E19511" i="1"/>
  <c r="H19510" i="1"/>
  <c r="G19510" i="1"/>
  <c r="E19510" i="1"/>
  <c r="H19509" i="1"/>
  <c r="G19509" i="1"/>
  <c r="E19509" i="1"/>
  <c r="H19508" i="1"/>
  <c r="G19508" i="1"/>
  <c r="E19508" i="1"/>
  <c r="H19507" i="1"/>
  <c r="G19507" i="1"/>
  <c r="E19507" i="1"/>
  <c r="H19506" i="1"/>
  <c r="G19506" i="1"/>
  <c r="E19506" i="1"/>
  <c r="H19505" i="1"/>
  <c r="G19505" i="1"/>
  <c r="E19505" i="1"/>
  <c r="H19504" i="1"/>
  <c r="G19504" i="1"/>
  <c r="E19504" i="1"/>
  <c r="H19503" i="1"/>
  <c r="G19503" i="1"/>
  <c r="E19503" i="1"/>
  <c r="H19502" i="1"/>
  <c r="G19502" i="1"/>
  <c r="E19502" i="1"/>
  <c r="H19501" i="1"/>
  <c r="G19501" i="1"/>
  <c r="E19501" i="1"/>
  <c r="H19500" i="1"/>
  <c r="G19500" i="1"/>
  <c r="E19500" i="1"/>
  <c r="H19499" i="1"/>
  <c r="G19499" i="1"/>
  <c r="E19499" i="1"/>
  <c r="H19498" i="1"/>
  <c r="G19498" i="1"/>
  <c r="E19498" i="1"/>
  <c r="H19497" i="1"/>
  <c r="G19497" i="1"/>
  <c r="E19497" i="1"/>
  <c r="H19496" i="1"/>
  <c r="G19496" i="1"/>
  <c r="E19496" i="1"/>
  <c r="H19495" i="1"/>
  <c r="G19495" i="1"/>
  <c r="E19495" i="1"/>
  <c r="H19494" i="1"/>
  <c r="G19494" i="1"/>
  <c r="E19494" i="1"/>
  <c r="H19493" i="1"/>
  <c r="G19493" i="1"/>
  <c r="E19493" i="1"/>
  <c r="H19492" i="1"/>
  <c r="G19492" i="1"/>
  <c r="E19492" i="1"/>
  <c r="H19491" i="1"/>
  <c r="G19491" i="1"/>
  <c r="E19491" i="1"/>
  <c r="H19490" i="1"/>
  <c r="G19490" i="1"/>
  <c r="E19490" i="1"/>
  <c r="H19489" i="1"/>
  <c r="G19489" i="1"/>
  <c r="E19489" i="1"/>
  <c r="H19488" i="1"/>
  <c r="G19488" i="1"/>
  <c r="E19488" i="1"/>
  <c r="H19487" i="1"/>
  <c r="G19487" i="1"/>
  <c r="E19487" i="1"/>
  <c r="H19486" i="1"/>
  <c r="G19486" i="1"/>
  <c r="E19486" i="1"/>
  <c r="H19485" i="1"/>
  <c r="G19485" i="1"/>
  <c r="E19485" i="1"/>
  <c r="H19484" i="1"/>
  <c r="G19484" i="1"/>
  <c r="E19484" i="1"/>
  <c r="H19483" i="1"/>
  <c r="G19483" i="1"/>
  <c r="E19483" i="1"/>
  <c r="H19482" i="1"/>
  <c r="G19482" i="1"/>
  <c r="E19482" i="1"/>
  <c r="H19481" i="1"/>
  <c r="G19481" i="1"/>
  <c r="E19481" i="1"/>
  <c r="H19480" i="1"/>
  <c r="G19480" i="1"/>
  <c r="E19480" i="1"/>
  <c r="H19479" i="1"/>
  <c r="G19479" i="1"/>
  <c r="E19479" i="1"/>
  <c r="H19478" i="1"/>
  <c r="G19478" i="1"/>
  <c r="E19478" i="1"/>
  <c r="H19477" i="1"/>
  <c r="G19477" i="1"/>
  <c r="E19477" i="1"/>
  <c r="H19476" i="1"/>
  <c r="G19476" i="1"/>
  <c r="E19476" i="1"/>
  <c r="H19475" i="1"/>
  <c r="G19475" i="1"/>
  <c r="E19475" i="1"/>
  <c r="H19474" i="1"/>
  <c r="G19474" i="1"/>
  <c r="E19474" i="1"/>
  <c r="H19473" i="1"/>
  <c r="G19473" i="1"/>
  <c r="E19473" i="1"/>
  <c r="H19472" i="1"/>
  <c r="G19472" i="1"/>
  <c r="E19472" i="1"/>
  <c r="H19471" i="1"/>
  <c r="G19471" i="1"/>
  <c r="E19471" i="1"/>
  <c r="H19470" i="1"/>
  <c r="G19470" i="1"/>
  <c r="E19470" i="1"/>
  <c r="H19469" i="1"/>
  <c r="G19469" i="1"/>
  <c r="E19469" i="1"/>
  <c r="H19468" i="1"/>
  <c r="G19468" i="1"/>
  <c r="E19468" i="1"/>
  <c r="H19467" i="1"/>
  <c r="G19467" i="1"/>
  <c r="E19467" i="1"/>
  <c r="H19466" i="1"/>
  <c r="G19466" i="1"/>
  <c r="E19466" i="1"/>
  <c r="H19465" i="1"/>
  <c r="G19465" i="1"/>
  <c r="E19465" i="1"/>
  <c r="H19464" i="1"/>
  <c r="G19464" i="1"/>
  <c r="E19464" i="1"/>
  <c r="H19463" i="1"/>
  <c r="G19463" i="1"/>
  <c r="E19463" i="1"/>
  <c r="H19462" i="1"/>
  <c r="G19462" i="1"/>
  <c r="E19462" i="1"/>
  <c r="H19461" i="1"/>
  <c r="G19461" i="1"/>
  <c r="E19461" i="1"/>
  <c r="H19460" i="1"/>
  <c r="G19460" i="1"/>
  <c r="E19460" i="1"/>
  <c r="H19459" i="1"/>
  <c r="G19459" i="1"/>
  <c r="E19459" i="1"/>
  <c r="H19458" i="1"/>
  <c r="G19458" i="1"/>
  <c r="E19458" i="1"/>
  <c r="H19457" i="1"/>
  <c r="G19457" i="1"/>
  <c r="E19457" i="1"/>
  <c r="H19456" i="1"/>
  <c r="G19456" i="1"/>
  <c r="E19456" i="1"/>
  <c r="H19455" i="1"/>
  <c r="G19455" i="1"/>
  <c r="E19455" i="1"/>
  <c r="H19454" i="1"/>
  <c r="G19454" i="1"/>
  <c r="E19454" i="1"/>
  <c r="H19453" i="1"/>
  <c r="G19453" i="1"/>
  <c r="E19453" i="1"/>
  <c r="H19452" i="1"/>
  <c r="G19452" i="1"/>
  <c r="E19452" i="1"/>
  <c r="H19451" i="1"/>
  <c r="G19451" i="1"/>
  <c r="E19451" i="1"/>
  <c r="H19450" i="1"/>
  <c r="G19450" i="1"/>
  <c r="E19450" i="1"/>
  <c r="H19449" i="1"/>
  <c r="G19449" i="1"/>
  <c r="E19449" i="1"/>
  <c r="H19448" i="1"/>
  <c r="G19448" i="1"/>
  <c r="E19448" i="1"/>
  <c r="H19447" i="1"/>
  <c r="G19447" i="1"/>
  <c r="E19447" i="1"/>
  <c r="H19446" i="1"/>
  <c r="G19446" i="1"/>
  <c r="E19446" i="1"/>
  <c r="H19445" i="1"/>
  <c r="G19445" i="1"/>
  <c r="E19445" i="1"/>
  <c r="H19444" i="1"/>
  <c r="G19444" i="1"/>
  <c r="E19444" i="1"/>
  <c r="H19443" i="1"/>
  <c r="G19443" i="1"/>
  <c r="E19443" i="1"/>
  <c r="H19442" i="1"/>
  <c r="G19442" i="1"/>
  <c r="E19442" i="1"/>
  <c r="H19441" i="1"/>
  <c r="G19441" i="1"/>
  <c r="E19441" i="1"/>
  <c r="H19440" i="1"/>
  <c r="G19440" i="1"/>
  <c r="E19440" i="1"/>
  <c r="H19439" i="1"/>
  <c r="G19439" i="1"/>
  <c r="E19439" i="1"/>
  <c r="H19438" i="1"/>
  <c r="G19438" i="1"/>
  <c r="E19438" i="1"/>
  <c r="H19437" i="1"/>
  <c r="G19437" i="1"/>
  <c r="E19437" i="1"/>
  <c r="H19436" i="1"/>
  <c r="G19436" i="1"/>
  <c r="E19436" i="1"/>
  <c r="H19435" i="1"/>
  <c r="G19435" i="1"/>
  <c r="E19435" i="1"/>
  <c r="H19434" i="1"/>
  <c r="G19434" i="1"/>
  <c r="E19434" i="1"/>
  <c r="H19433" i="1"/>
  <c r="G19433" i="1"/>
  <c r="E19433" i="1"/>
  <c r="H19432" i="1"/>
  <c r="G19432" i="1"/>
  <c r="E19432" i="1"/>
  <c r="H19431" i="1"/>
  <c r="G19431" i="1"/>
  <c r="E19431" i="1"/>
  <c r="H19430" i="1"/>
  <c r="G19430" i="1"/>
  <c r="E19430" i="1"/>
  <c r="H19429" i="1"/>
  <c r="G19429" i="1"/>
  <c r="E19429" i="1"/>
  <c r="H19428" i="1"/>
  <c r="G19428" i="1"/>
  <c r="E19428" i="1"/>
  <c r="H19427" i="1"/>
  <c r="G19427" i="1"/>
  <c r="E19427" i="1"/>
  <c r="H19426" i="1"/>
  <c r="G19426" i="1"/>
  <c r="E19426" i="1"/>
  <c r="H19425" i="1"/>
  <c r="G19425" i="1"/>
  <c r="E19425" i="1"/>
  <c r="H19424" i="1"/>
  <c r="G19424" i="1"/>
  <c r="E19424" i="1"/>
  <c r="H19423" i="1"/>
  <c r="G19423" i="1"/>
  <c r="E19423" i="1"/>
  <c r="H19422" i="1"/>
  <c r="G19422" i="1"/>
  <c r="E19422" i="1"/>
  <c r="H19421" i="1"/>
  <c r="G19421" i="1"/>
  <c r="E19421" i="1"/>
  <c r="H19420" i="1"/>
  <c r="G19420" i="1"/>
  <c r="E19420" i="1"/>
  <c r="H19419" i="1"/>
  <c r="G19419" i="1"/>
  <c r="E19419" i="1"/>
  <c r="H19418" i="1"/>
  <c r="G19418" i="1"/>
  <c r="E19418" i="1"/>
  <c r="H19417" i="1"/>
  <c r="G19417" i="1"/>
  <c r="E19417" i="1"/>
  <c r="H19416" i="1"/>
  <c r="G19416" i="1"/>
  <c r="E19416" i="1"/>
  <c r="H19415" i="1"/>
  <c r="G19415" i="1"/>
  <c r="E19415" i="1"/>
  <c r="H19414" i="1"/>
  <c r="G19414" i="1"/>
  <c r="E19414" i="1"/>
  <c r="H19413" i="1"/>
  <c r="G19413" i="1"/>
  <c r="E19413" i="1"/>
  <c r="H19412" i="1"/>
  <c r="G19412" i="1"/>
  <c r="E19412" i="1"/>
  <c r="H19411" i="1"/>
  <c r="G19411" i="1"/>
  <c r="E19411" i="1"/>
  <c r="H19410" i="1"/>
  <c r="G19410" i="1"/>
  <c r="E19410" i="1"/>
  <c r="H19409" i="1"/>
  <c r="G19409" i="1"/>
  <c r="E19409" i="1"/>
  <c r="H19408" i="1"/>
  <c r="G19408" i="1"/>
  <c r="E19408" i="1"/>
  <c r="H19407" i="1"/>
  <c r="G19407" i="1"/>
  <c r="E19407" i="1"/>
  <c r="H19406" i="1"/>
  <c r="G19406" i="1"/>
  <c r="E19406" i="1"/>
  <c r="H19405" i="1"/>
  <c r="G19405" i="1"/>
  <c r="E19405" i="1"/>
  <c r="H19404" i="1"/>
  <c r="G19404" i="1"/>
  <c r="E19404" i="1"/>
  <c r="H19403" i="1"/>
  <c r="G19403" i="1"/>
  <c r="E19403" i="1"/>
  <c r="H19402" i="1"/>
  <c r="G19402" i="1"/>
  <c r="E19402" i="1"/>
  <c r="H19401" i="1"/>
  <c r="G19401" i="1"/>
  <c r="E19401" i="1"/>
  <c r="H19400" i="1"/>
  <c r="G19400" i="1"/>
  <c r="E19400" i="1"/>
  <c r="H19399" i="1"/>
  <c r="G19399" i="1"/>
  <c r="E19399" i="1"/>
  <c r="H19398" i="1"/>
  <c r="G19398" i="1"/>
  <c r="E19398" i="1"/>
  <c r="H19397" i="1"/>
  <c r="G19397" i="1"/>
  <c r="E19397" i="1"/>
  <c r="H19396" i="1"/>
  <c r="G19396" i="1"/>
  <c r="E19396" i="1"/>
  <c r="H19395" i="1"/>
  <c r="G19395" i="1"/>
  <c r="E19395" i="1"/>
  <c r="H19394" i="1"/>
  <c r="G19394" i="1"/>
  <c r="E19394" i="1"/>
  <c r="H19393" i="1"/>
  <c r="G19393" i="1"/>
  <c r="E19393" i="1"/>
  <c r="H19392" i="1"/>
  <c r="G19392" i="1"/>
  <c r="E19392" i="1"/>
  <c r="H19391" i="1"/>
  <c r="G19391" i="1"/>
  <c r="E19391" i="1"/>
  <c r="H19390" i="1"/>
  <c r="G19390" i="1"/>
  <c r="E19390" i="1"/>
  <c r="H19389" i="1"/>
  <c r="G19389" i="1"/>
  <c r="E19389" i="1"/>
  <c r="H19388" i="1"/>
  <c r="G19388" i="1"/>
  <c r="E19388" i="1"/>
  <c r="H19387" i="1"/>
  <c r="G19387" i="1"/>
  <c r="E19387" i="1"/>
  <c r="H19386" i="1"/>
  <c r="G19386" i="1"/>
  <c r="E19386" i="1"/>
  <c r="H19385" i="1"/>
  <c r="G19385" i="1"/>
  <c r="E19385" i="1"/>
  <c r="H19384" i="1"/>
  <c r="G19384" i="1"/>
  <c r="E19384" i="1"/>
  <c r="H19383" i="1"/>
  <c r="G19383" i="1"/>
  <c r="E19383" i="1"/>
  <c r="H19382" i="1"/>
  <c r="G19382" i="1"/>
  <c r="E19382" i="1"/>
  <c r="H19381" i="1"/>
  <c r="G19381" i="1"/>
  <c r="E19381" i="1"/>
  <c r="H19380" i="1"/>
  <c r="G19380" i="1"/>
  <c r="E19380" i="1"/>
  <c r="H19379" i="1"/>
  <c r="G19379" i="1"/>
  <c r="E19379" i="1"/>
  <c r="H19378" i="1"/>
  <c r="G19378" i="1"/>
  <c r="E19378" i="1"/>
  <c r="H19377" i="1"/>
  <c r="G19377" i="1"/>
  <c r="E19377" i="1"/>
  <c r="H19376" i="1"/>
  <c r="G19376" i="1"/>
  <c r="E19376" i="1"/>
  <c r="H19375" i="1"/>
  <c r="G19375" i="1"/>
  <c r="E19375" i="1"/>
  <c r="H19374" i="1"/>
  <c r="G19374" i="1"/>
  <c r="E19374" i="1"/>
  <c r="H19373" i="1"/>
  <c r="G19373" i="1"/>
  <c r="E19373" i="1"/>
  <c r="H19372" i="1"/>
  <c r="G19372" i="1"/>
  <c r="E19372" i="1"/>
  <c r="H19371" i="1"/>
  <c r="G19371" i="1"/>
  <c r="E19371" i="1"/>
  <c r="H19370" i="1"/>
  <c r="G19370" i="1"/>
  <c r="E19370" i="1"/>
  <c r="H19369" i="1"/>
  <c r="G19369" i="1"/>
  <c r="E19369" i="1"/>
  <c r="H19368" i="1"/>
  <c r="G19368" i="1"/>
  <c r="E19368" i="1"/>
  <c r="H19367" i="1"/>
  <c r="G19367" i="1"/>
  <c r="E19367" i="1"/>
  <c r="H19366" i="1"/>
  <c r="G19366" i="1"/>
  <c r="E19366" i="1"/>
  <c r="H19365" i="1"/>
  <c r="G19365" i="1"/>
  <c r="E19365" i="1"/>
  <c r="H19364" i="1"/>
  <c r="G19364" i="1"/>
  <c r="E19364" i="1"/>
  <c r="H19363" i="1"/>
  <c r="G19363" i="1"/>
  <c r="E19363" i="1"/>
  <c r="H19362" i="1"/>
  <c r="G19362" i="1"/>
  <c r="E19362" i="1"/>
  <c r="H19361" i="1"/>
  <c r="G19361" i="1"/>
  <c r="E19361" i="1"/>
  <c r="H19360" i="1"/>
  <c r="G19360" i="1"/>
  <c r="E19360" i="1"/>
  <c r="H19359" i="1"/>
  <c r="G19359" i="1"/>
  <c r="E19359" i="1"/>
  <c r="H19358" i="1"/>
  <c r="G19358" i="1"/>
  <c r="E19358" i="1"/>
  <c r="H19357" i="1"/>
  <c r="G19357" i="1"/>
  <c r="E19357" i="1"/>
  <c r="H19356" i="1"/>
  <c r="G19356" i="1"/>
  <c r="E19356" i="1"/>
  <c r="H19355" i="1"/>
  <c r="G19355" i="1"/>
  <c r="E19355" i="1"/>
  <c r="H19354" i="1"/>
  <c r="G19354" i="1"/>
  <c r="E19354" i="1"/>
  <c r="H19353" i="1"/>
  <c r="G19353" i="1"/>
  <c r="E19353" i="1"/>
  <c r="H19352" i="1"/>
  <c r="G19352" i="1"/>
  <c r="E19352" i="1"/>
  <c r="H19351" i="1"/>
  <c r="G19351" i="1"/>
  <c r="E19351" i="1"/>
  <c r="H19350" i="1"/>
  <c r="G19350" i="1"/>
  <c r="E19350" i="1"/>
  <c r="H19349" i="1"/>
  <c r="G19349" i="1"/>
  <c r="E19349" i="1"/>
  <c r="H19348" i="1"/>
  <c r="G19348" i="1"/>
  <c r="E19348" i="1"/>
  <c r="H19347" i="1"/>
  <c r="G19347" i="1"/>
  <c r="E19347" i="1"/>
  <c r="H19346" i="1"/>
  <c r="G19346" i="1"/>
  <c r="E19346" i="1"/>
  <c r="H19345" i="1"/>
  <c r="G19345" i="1"/>
  <c r="E19345" i="1"/>
  <c r="H19344" i="1"/>
  <c r="G19344" i="1"/>
  <c r="E19344" i="1"/>
  <c r="H19343" i="1"/>
  <c r="G19343" i="1"/>
  <c r="E19343" i="1"/>
  <c r="H19342" i="1"/>
  <c r="G19342" i="1"/>
  <c r="E19342" i="1"/>
  <c r="H19341" i="1"/>
  <c r="G19341" i="1"/>
  <c r="E19341" i="1"/>
  <c r="H19340" i="1"/>
  <c r="G19340" i="1"/>
  <c r="E19340" i="1"/>
  <c r="H19339" i="1"/>
  <c r="G19339" i="1"/>
  <c r="E19339" i="1"/>
  <c r="H19338" i="1"/>
  <c r="G19338" i="1"/>
  <c r="E19338" i="1"/>
  <c r="H19337" i="1"/>
  <c r="G19337" i="1"/>
  <c r="E19337" i="1"/>
  <c r="H19336" i="1"/>
  <c r="G19336" i="1"/>
  <c r="E19336" i="1"/>
  <c r="H19335" i="1"/>
  <c r="G19335" i="1"/>
  <c r="E19335" i="1"/>
  <c r="H19334" i="1"/>
  <c r="G19334" i="1"/>
  <c r="E19334" i="1"/>
  <c r="H19333" i="1"/>
  <c r="G19333" i="1"/>
  <c r="E19333" i="1"/>
  <c r="H19332" i="1"/>
  <c r="G19332" i="1"/>
  <c r="E19332" i="1"/>
  <c r="H19331" i="1"/>
  <c r="G19331" i="1"/>
  <c r="E19331" i="1"/>
  <c r="H19330" i="1"/>
  <c r="G19330" i="1"/>
  <c r="E19330" i="1"/>
  <c r="H19329" i="1"/>
  <c r="G19329" i="1"/>
  <c r="E19329" i="1"/>
  <c r="H19328" i="1"/>
  <c r="G19328" i="1"/>
  <c r="E19328" i="1"/>
  <c r="H19327" i="1"/>
  <c r="G19327" i="1"/>
  <c r="E19327" i="1"/>
  <c r="H19326" i="1"/>
  <c r="G19326" i="1"/>
  <c r="E19326" i="1"/>
  <c r="H19325" i="1"/>
  <c r="G19325" i="1"/>
  <c r="E19325" i="1"/>
  <c r="H19324" i="1"/>
  <c r="G19324" i="1"/>
  <c r="E19324" i="1"/>
  <c r="H19323" i="1"/>
  <c r="G19323" i="1"/>
  <c r="E19323" i="1"/>
  <c r="H19322" i="1"/>
  <c r="G19322" i="1"/>
  <c r="E19322" i="1"/>
  <c r="H19321" i="1"/>
  <c r="G19321" i="1"/>
  <c r="E19321" i="1"/>
  <c r="H19320" i="1"/>
  <c r="G19320" i="1"/>
  <c r="E19320" i="1"/>
  <c r="H19319" i="1"/>
  <c r="G19319" i="1"/>
  <c r="E19319" i="1"/>
  <c r="H19318" i="1"/>
  <c r="G19318" i="1"/>
  <c r="E19318" i="1"/>
  <c r="H19317" i="1"/>
  <c r="G19317" i="1"/>
  <c r="E19317" i="1"/>
  <c r="H19316" i="1"/>
  <c r="G19316" i="1"/>
  <c r="E19316" i="1"/>
  <c r="H19315" i="1"/>
  <c r="G19315" i="1"/>
  <c r="E19315" i="1"/>
  <c r="H19314" i="1"/>
  <c r="G19314" i="1"/>
  <c r="E19314" i="1"/>
  <c r="H19313" i="1"/>
  <c r="G19313" i="1"/>
  <c r="E19313" i="1"/>
  <c r="H19312" i="1"/>
  <c r="G19312" i="1"/>
  <c r="E19312" i="1"/>
  <c r="H19311" i="1"/>
  <c r="G19311" i="1"/>
  <c r="E19311" i="1"/>
  <c r="H19310" i="1"/>
  <c r="G19310" i="1"/>
  <c r="E19310" i="1"/>
  <c r="H19309" i="1"/>
  <c r="G19309" i="1"/>
  <c r="E19309" i="1"/>
  <c r="H19308" i="1"/>
  <c r="G19308" i="1"/>
  <c r="E19308" i="1"/>
  <c r="H19307" i="1"/>
  <c r="G19307" i="1"/>
  <c r="E19307" i="1"/>
  <c r="H19306" i="1"/>
  <c r="G19306" i="1"/>
  <c r="E19306" i="1"/>
  <c r="H19305" i="1"/>
  <c r="G19305" i="1"/>
  <c r="E19305" i="1"/>
  <c r="H19304" i="1"/>
  <c r="G19304" i="1"/>
  <c r="E19304" i="1"/>
  <c r="H19303" i="1"/>
  <c r="G19303" i="1"/>
  <c r="E19303" i="1"/>
  <c r="H19302" i="1"/>
  <c r="G19302" i="1"/>
  <c r="E19302" i="1"/>
  <c r="H19301" i="1"/>
  <c r="G19301" i="1"/>
  <c r="E19301" i="1"/>
  <c r="H19300" i="1"/>
  <c r="G19300" i="1"/>
  <c r="E19300" i="1"/>
  <c r="H19299" i="1"/>
  <c r="G19299" i="1"/>
  <c r="E19299" i="1"/>
  <c r="H19298" i="1"/>
  <c r="G19298" i="1"/>
  <c r="E19298" i="1"/>
  <c r="H19297" i="1"/>
  <c r="G19297" i="1"/>
  <c r="E19297" i="1"/>
  <c r="H19296" i="1"/>
  <c r="G19296" i="1"/>
  <c r="E19296" i="1"/>
  <c r="H19295" i="1"/>
  <c r="G19295" i="1"/>
  <c r="E19295" i="1"/>
  <c r="H19294" i="1"/>
  <c r="G19294" i="1"/>
  <c r="E19294" i="1"/>
  <c r="H19293" i="1"/>
  <c r="G19293" i="1"/>
  <c r="E19293" i="1"/>
  <c r="H19292" i="1"/>
  <c r="G19292" i="1"/>
  <c r="E19292" i="1"/>
  <c r="H19291" i="1"/>
  <c r="G19291" i="1"/>
  <c r="E19291" i="1"/>
  <c r="H19290" i="1"/>
  <c r="G19290" i="1"/>
  <c r="E19290" i="1"/>
  <c r="H19289" i="1"/>
  <c r="G19289" i="1"/>
  <c r="E19289" i="1"/>
  <c r="H19288" i="1"/>
  <c r="G19288" i="1"/>
  <c r="E19288" i="1"/>
  <c r="H19287" i="1"/>
  <c r="G19287" i="1"/>
  <c r="E19287" i="1"/>
  <c r="H19286" i="1"/>
  <c r="G19286" i="1"/>
  <c r="E19286" i="1"/>
  <c r="H19285" i="1"/>
  <c r="G19285" i="1"/>
  <c r="E19285" i="1"/>
  <c r="H19284" i="1"/>
  <c r="G19284" i="1"/>
  <c r="E19284" i="1"/>
  <c r="H19283" i="1"/>
  <c r="G19283" i="1"/>
  <c r="E19283" i="1"/>
  <c r="H19282" i="1"/>
  <c r="G19282" i="1"/>
  <c r="E19282" i="1"/>
  <c r="H19281" i="1"/>
  <c r="G19281" i="1"/>
  <c r="E19281" i="1"/>
  <c r="H19280" i="1"/>
  <c r="G19280" i="1"/>
  <c r="E19280" i="1"/>
  <c r="H19279" i="1"/>
  <c r="G19279" i="1"/>
  <c r="E19279" i="1"/>
  <c r="H19278" i="1"/>
  <c r="G19278" i="1"/>
  <c r="E19278" i="1"/>
  <c r="H19277" i="1"/>
  <c r="G19277" i="1"/>
  <c r="E19277" i="1"/>
  <c r="H19276" i="1"/>
  <c r="G19276" i="1"/>
  <c r="E19276" i="1"/>
  <c r="H19275" i="1"/>
  <c r="G19275" i="1"/>
  <c r="E19275" i="1"/>
  <c r="H19274" i="1"/>
  <c r="G19274" i="1"/>
  <c r="E19274" i="1"/>
  <c r="H19273" i="1"/>
  <c r="G19273" i="1"/>
  <c r="E19273" i="1"/>
  <c r="H19272" i="1"/>
  <c r="G19272" i="1"/>
  <c r="E19272" i="1"/>
  <c r="H19271" i="1"/>
  <c r="G19271" i="1"/>
  <c r="E19271" i="1"/>
  <c r="H19270" i="1"/>
  <c r="G19270" i="1"/>
  <c r="E19270" i="1"/>
  <c r="H19269" i="1"/>
  <c r="G19269" i="1"/>
  <c r="E19269" i="1"/>
  <c r="H19268" i="1"/>
  <c r="G19268" i="1"/>
  <c r="E19268" i="1"/>
  <c r="H19267" i="1"/>
  <c r="G19267" i="1"/>
  <c r="E19267" i="1"/>
  <c r="H19266" i="1"/>
  <c r="G19266" i="1"/>
  <c r="E19266" i="1"/>
  <c r="H19265" i="1"/>
  <c r="G19265" i="1"/>
  <c r="E19265" i="1"/>
  <c r="H19264" i="1"/>
  <c r="G19264" i="1"/>
  <c r="E19264" i="1"/>
  <c r="H19263" i="1"/>
  <c r="G19263" i="1"/>
  <c r="E19263" i="1"/>
  <c r="H19262" i="1"/>
  <c r="G19262" i="1"/>
  <c r="E19262" i="1"/>
  <c r="H19261" i="1"/>
  <c r="G19261" i="1"/>
  <c r="E19261" i="1"/>
  <c r="H19260" i="1"/>
  <c r="G19260" i="1"/>
  <c r="E19260" i="1"/>
  <c r="H19259" i="1"/>
  <c r="G19259" i="1"/>
  <c r="E19259" i="1"/>
  <c r="H19258" i="1"/>
  <c r="G19258" i="1"/>
  <c r="E19258" i="1"/>
  <c r="H19257" i="1"/>
  <c r="G19257" i="1"/>
  <c r="E19257" i="1"/>
  <c r="H19256" i="1"/>
  <c r="G19256" i="1"/>
  <c r="E19256" i="1"/>
  <c r="H19255" i="1"/>
  <c r="G19255" i="1"/>
  <c r="E19255" i="1"/>
  <c r="H19254" i="1"/>
  <c r="G19254" i="1"/>
  <c r="E19254" i="1"/>
  <c r="H19253" i="1"/>
  <c r="G19253" i="1"/>
  <c r="E19253" i="1"/>
  <c r="H19252" i="1"/>
  <c r="G19252" i="1"/>
  <c r="E19252" i="1"/>
  <c r="H19251" i="1"/>
  <c r="G19251" i="1"/>
  <c r="E19251" i="1"/>
  <c r="H19250" i="1"/>
  <c r="G19250" i="1"/>
  <c r="E19250" i="1"/>
  <c r="H19249" i="1"/>
  <c r="G19249" i="1"/>
  <c r="E19249" i="1"/>
  <c r="H19248" i="1"/>
  <c r="G19248" i="1"/>
  <c r="E19248" i="1"/>
  <c r="H19247" i="1"/>
  <c r="G19247" i="1"/>
  <c r="E19247" i="1"/>
  <c r="H19246" i="1"/>
  <c r="G19246" i="1"/>
  <c r="E19246" i="1"/>
  <c r="H19245" i="1"/>
  <c r="G19245" i="1"/>
  <c r="E19245" i="1"/>
  <c r="H19244" i="1"/>
  <c r="G19244" i="1"/>
  <c r="E19244" i="1"/>
  <c r="H19243" i="1"/>
  <c r="G19243" i="1"/>
  <c r="E19243" i="1"/>
  <c r="H19242" i="1"/>
  <c r="G19242" i="1"/>
  <c r="E19242" i="1"/>
  <c r="H19241" i="1"/>
  <c r="G19241" i="1"/>
  <c r="E19241" i="1"/>
  <c r="H19240" i="1"/>
  <c r="G19240" i="1"/>
  <c r="E19240" i="1"/>
  <c r="H19239" i="1"/>
  <c r="G19239" i="1"/>
  <c r="E19239" i="1"/>
  <c r="H19238" i="1"/>
  <c r="G19238" i="1"/>
  <c r="E19238" i="1"/>
  <c r="H19237" i="1"/>
  <c r="G19237" i="1"/>
  <c r="E19237" i="1"/>
  <c r="H19236" i="1"/>
  <c r="G19236" i="1"/>
  <c r="E19236" i="1"/>
  <c r="H19235" i="1"/>
  <c r="G19235" i="1"/>
  <c r="E19235" i="1"/>
  <c r="H19234" i="1"/>
  <c r="G19234" i="1"/>
  <c r="E19234" i="1"/>
  <c r="H19233" i="1"/>
  <c r="G19233" i="1"/>
  <c r="E19233" i="1"/>
  <c r="H19232" i="1"/>
  <c r="G19232" i="1"/>
  <c r="E19232" i="1"/>
  <c r="H19231" i="1"/>
  <c r="G19231" i="1"/>
  <c r="E19231" i="1"/>
  <c r="H19230" i="1"/>
  <c r="G19230" i="1"/>
  <c r="E19230" i="1"/>
  <c r="H19229" i="1"/>
  <c r="G19229" i="1"/>
  <c r="E19229" i="1"/>
  <c r="H19228" i="1"/>
  <c r="G19228" i="1"/>
  <c r="E19228" i="1"/>
  <c r="H19227" i="1"/>
  <c r="G19227" i="1"/>
  <c r="E19227" i="1"/>
  <c r="H19226" i="1"/>
  <c r="G19226" i="1"/>
  <c r="E19226" i="1"/>
  <c r="H19225" i="1"/>
  <c r="G19225" i="1"/>
  <c r="E19225" i="1"/>
  <c r="H19224" i="1"/>
  <c r="G19224" i="1"/>
  <c r="E19224" i="1"/>
  <c r="H19223" i="1"/>
  <c r="G19223" i="1"/>
  <c r="E19223" i="1"/>
  <c r="H19222" i="1"/>
  <c r="G19222" i="1"/>
  <c r="E19222" i="1"/>
  <c r="H19221" i="1"/>
  <c r="G19221" i="1"/>
  <c r="E19221" i="1"/>
  <c r="H19220" i="1"/>
  <c r="G19220" i="1"/>
  <c r="E19220" i="1"/>
  <c r="H19219" i="1"/>
  <c r="G19219" i="1"/>
  <c r="E19219" i="1"/>
  <c r="H19218" i="1"/>
  <c r="G19218" i="1"/>
  <c r="E19218" i="1"/>
  <c r="H19217" i="1"/>
  <c r="G19217" i="1"/>
  <c r="E19217" i="1"/>
  <c r="H19216" i="1"/>
  <c r="G19216" i="1"/>
  <c r="E19216" i="1"/>
  <c r="H19215" i="1"/>
  <c r="G19215" i="1"/>
  <c r="E19215" i="1"/>
  <c r="H19214" i="1"/>
  <c r="G19214" i="1"/>
  <c r="E19214" i="1"/>
  <c r="H19213" i="1"/>
  <c r="G19213" i="1"/>
  <c r="E19213" i="1"/>
  <c r="H19212" i="1"/>
  <c r="G19212" i="1"/>
  <c r="E19212" i="1"/>
  <c r="H19211" i="1"/>
  <c r="G19211" i="1"/>
  <c r="E19211" i="1"/>
  <c r="H19210" i="1"/>
  <c r="G19210" i="1"/>
  <c r="E19210" i="1"/>
  <c r="H19209" i="1"/>
  <c r="G19209" i="1"/>
  <c r="E19209" i="1"/>
  <c r="H19208" i="1"/>
  <c r="G19208" i="1"/>
  <c r="E19208" i="1"/>
  <c r="H19207" i="1"/>
  <c r="G19207" i="1"/>
  <c r="E19207" i="1"/>
  <c r="H19206" i="1"/>
  <c r="G19206" i="1"/>
  <c r="E19206" i="1"/>
  <c r="H19205" i="1"/>
  <c r="G19205" i="1"/>
  <c r="E19205" i="1"/>
  <c r="H19204" i="1"/>
  <c r="G19204" i="1"/>
  <c r="E19204" i="1"/>
  <c r="H19203" i="1"/>
  <c r="G19203" i="1"/>
  <c r="E19203" i="1"/>
  <c r="H19202" i="1"/>
  <c r="G19202" i="1"/>
  <c r="E19202" i="1"/>
  <c r="H19201" i="1"/>
  <c r="G19201" i="1"/>
  <c r="E19201" i="1"/>
  <c r="H19200" i="1"/>
  <c r="G19200" i="1"/>
  <c r="E19200" i="1"/>
  <c r="H19199" i="1"/>
  <c r="G19199" i="1"/>
  <c r="E19199" i="1"/>
  <c r="H19198" i="1"/>
  <c r="G19198" i="1"/>
  <c r="E19198" i="1"/>
  <c r="H19197" i="1"/>
  <c r="G19197" i="1"/>
  <c r="E19197" i="1"/>
  <c r="H19196" i="1"/>
  <c r="G19196" i="1"/>
  <c r="E19196" i="1"/>
  <c r="H19195" i="1"/>
  <c r="G19195" i="1"/>
  <c r="E19195" i="1"/>
  <c r="H19194" i="1"/>
  <c r="G19194" i="1"/>
  <c r="E19194" i="1"/>
  <c r="H19193" i="1"/>
  <c r="G19193" i="1"/>
  <c r="E19193" i="1"/>
  <c r="H19192" i="1"/>
  <c r="G19192" i="1"/>
  <c r="E19192" i="1"/>
  <c r="H19191" i="1"/>
  <c r="G19191" i="1"/>
  <c r="E19191" i="1"/>
  <c r="H19190" i="1"/>
  <c r="G19190" i="1"/>
  <c r="E19190" i="1"/>
  <c r="H19189" i="1"/>
  <c r="G19189" i="1"/>
  <c r="E19189" i="1"/>
  <c r="H19188" i="1"/>
  <c r="G19188" i="1"/>
  <c r="E19188" i="1"/>
  <c r="H19187" i="1"/>
  <c r="G19187" i="1"/>
  <c r="E19187" i="1"/>
  <c r="H19186" i="1"/>
  <c r="G19186" i="1"/>
  <c r="E19186" i="1"/>
  <c r="H19185" i="1"/>
  <c r="G19185" i="1"/>
  <c r="E19185" i="1"/>
  <c r="H19184" i="1"/>
  <c r="G19184" i="1"/>
  <c r="E19184" i="1"/>
  <c r="H19183" i="1"/>
  <c r="G19183" i="1"/>
  <c r="E19183" i="1"/>
  <c r="H19182" i="1"/>
  <c r="G19182" i="1"/>
  <c r="E19182" i="1"/>
  <c r="H19181" i="1"/>
  <c r="G19181" i="1"/>
  <c r="E19181" i="1"/>
  <c r="H19180" i="1"/>
  <c r="G19180" i="1"/>
  <c r="E19180" i="1"/>
  <c r="H19179" i="1"/>
  <c r="G19179" i="1"/>
  <c r="E19179" i="1"/>
  <c r="H19178" i="1"/>
  <c r="G19178" i="1"/>
  <c r="E19178" i="1"/>
  <c r="H19177" i="1"/>
  <c r="G19177" i="1"/>
  <c r="E19177" i="1"/>
  <c r="H19176" i="1"/>
  <c r="G19176" i="1"/>
  <c r="E19176" i="1"/>
  <c r="H19175" i="1"/>
  <c r="G19175" i="1"/>
  <c r="E19175" i="1"/>
  <c r="H19174" i="1"/>
  <c r="G19174" i="1"/>
  <c r="E19174" i="1"/>
  <c r="H19173" i="1"/>
  <c r="G19173" i="1"/>
  <c r="E19173" i="1"/>
  <c r="H19172" i="1"/>
  <c r="G19172" i="1"/>
  <c r="E19172" i="1"/>
  <c r="H19171" i="1"/>
  <c r="G19171" i="1"/>
  <c r="E19171" i="1"/>
  <c r="H19170" i="1"/>
  <c r="G19170" i="1"/>
  <c r="E19170" i="1"/>
  <c r="H19169" i="1"/>
  <c r="G19169" i="1"/>
  <c r="E19169" i="1"/>
  <c r="H19168" i="1"/>
  <c r="G19168" i="1"/>
  <c r="E19168" i="1"/>
  <c r="H19167" i="1"/>
  <c r="G19167" i="1"/>
  <c r="E19167" i="1"/>
  <c r="H19166" i="1"/>
  <c r="G19166" i="1"/>
  <c r="E19166" i="1"/>
  <c r="H19165" i="1"/>
  <c r="G19165" i="1"/>
  <c r="E19165" i="1"/>
  <c r="H19164" i="1"/>
  <c r="G19164" i="1"/>
  <c r="E19164" i="1"/>
  <c r="H19163" i="1"/>
  <c r="G19163" i="1"/>
  <c r="E19163" i="1"/>
  <c r="H19162" i="1"/>
  <c r="G19162" i="1"/>
  <c r="E19162" i="1"/>
  <c r="H19161" i="1"/>
  <c r="G19161" i="1"/>
  <c r="E19161" i="1"/>
  <c r="H19160" i="1"/>
  <c r="G19160" i="1"/>
  <c r="E19160" i="1"/>
  <c r="H19159" i="1"/>
  <c r="G19159" i="1"/>
  <c r="E19159" i="1"/>
  <c r="H19158" i="1"/>
  <c r="G19158" i="1"/>
  <c r="E19158" i="1"/>
  <c r="H19157" i="1"/>
  <c r="G19157" i="1"/>
  <c r="E19157" i="1"/>
  <c r="H19156" i="1"/>
  <c r="G19156" i="1"/>
  <c r="E19156" i="1"/>
  <c r="H19155" i="1"/>
  <c r="G19155" i="1"/>
  <c r="E19155" i="1"/>
  <c r="H19154" i="1"/>
  <c r="G19154" i="1"/>
  <c r="E19154" i="1"/>
  <c r="H19153" i="1"/>
  <c r="G19153" i="1"/>
  <c r="E19153" i="1"/>
  <c r="H19152" i="1"/>
  <c r="G19152" i="1"/>
  <c r="E19152" i="1"/>
  <c r="H19151" i="1"/>
  <c r="G19151" i="1"/>
  <c r="E19151" i="1"/>
  <c r="H19150" i="1"/>
  <c r="G19150" i="1"/>
  <c r="E19150" i="1"/>
  <c r="H19149" i="1"/>
  <c r="G19149" i="1"/>
  <c r="E19149" i="1"/>
  <c r="H19148" i="1"/>
  <c r="G19148" i="1"/>
  <c r="E19148" i="1"/>
  <c r="H19147" i="1"/>
  <c r="G19147" i="1"/>
  <c r="E19147" i="1"/>
  <c r="H19146" i="1"/>
  <c r="G19146" i="1"/>
  <c r="E19146" i="1"/>
  <c r="H19145" i="1"/>
  <c r="G19145" i="1"/>
  <c r="E19145" i="1"/>
  <c r="H19144" i="1"/>
  <c r="G19144" i="1"/>
  <c r="E19144" i="1"/>
  <c r="H19143" i="1"/>
  <c r="G19143" i="1"/>
  <c r="E19143" i="1"/>
  <c r="H19142" i="1"/>
  <c r="G19142" i="1"/>
  <c r="E19142" i="1"/>
  <c r="H19141" i="1"/>
  <c r="G19141" i="1"/>
  <c r="E19141" i="1"/>
  <c r="H19140" i="1"/>
  <c r="G19140" i="1"/>
  <c r="E19140" i="1"/>
  <c r="H19139" i="1"/>
  <c r="G19139" i="1"/>
  <c r="E19139" i="1"/>
  <c r="H19138" i="1"/>
  <c r="G19138" i="1"/>
  <c r="E19138" i="1"/>
  <c r="H19137" i="1"/>
  <c r="G19137" i="1"/>
  <c r="E19137" i="1"/>
  <c r="H19136" i="1"/>
  <c r="G19136" i="1"/>
  <c r="E19136" i="1"/>
  <c r="H19135" i="1"/>
  <c r="G19135" i="1"/>
  <c r="E19135" i="1"/>
  <c r="H19134" i="1"/>
  <c r="G19134" i="1"/>
  <c r="E19134" i="1"/>
  <c r="H19133" i="1"/>
  <c r="G19133" i="1"/>
  <c r="E19133" i="1"/>
  <c r="H19132" i="1"/>
  <c r="G19132" i="1"/>
  <c r="E19132" i="1"/>
  <c r="H19131" i="1"/>
  <c r="G19131" i="1"/>
  <c r="E19131" i="1"/>
  <c r="H19130" i="1"/>
  <c r="G19130" i="1"/>
  <c r="E19130" i="1"/>
  <c r="H19129" i="1"/>
  <c r="G19129" i="1"/>
  <c r="E19129" i="1"/>
  <c r="H19128" i="1"/>
  <c r="G19128" i="1"/>
  <c r="E19128" i="1"/>
  <c r="H19127" i="1"/>
  <c r="G19127" i="1"/>
  <c r="E19127" i="1"/>
  <c r="H19126" i="1"/>
  <c r="G19126" i="1"/>
  <c r="E19126" i="1"/>
  <c r="H19125" i="1"/>
  <c r="G19125" i="1"/>
  <c r="E19125" i="1"/>
  <c r="H19124" i="1"/>
  <c r="G19124" i="1"/>
  <c r="E19124" i="1"/>
  <c r="H19123" i="1"/>
  <c r="G19123" i="1"/>
  <c r="E19123" i="1"/>
  <c r="H19122" i="1"/>
  <c r="G19122" i="1"/>
  <c r="E19122" i="1"/>
  <c r="H19121" i="1"/>
  <c r="G19121" i="1"/>
  <c r="E19121" i="1"/>
  <c r="H19120" i="1"/>
  <c r="G19120" i="1"/>
  <c r="E19120" i="1"/>
  <c r="H19119" i="1"/>
  <c r="G19119" i="1"/>
  <c r="E19119" i="1"/>
  <c r="H19118" i="1"/>
  <c r="G19118" i="1"/>
  <c r="E19118" i="1"/>
  <c r="H19117" i="1"/>
  <c r="G19117" i="1"/>
  <c r="E19117" i="1"/>
  <c r="H19116" i="1"/>
  <c r="G19116" i="1"/>
  <c r="E19116" i="1"/>
  <c r="H19115" i="1"/>
  <c r="G19115" i="1"/>
  <c r="E19115" i="1"/>
  <c r="H19114" i="1"/>
  <c r="G19114" i="1"/>
  <c r="E19114" i="1"/>
  <c r="H19113" i="1"/>
  <c r="G19113" i="1"/>
  <c r="E19113" i="1"/>
  <c r="H19112" i="1"/>
  <c r="G19112" i="1"/>
  <c r="E19112" i="1"/>
  <c r="H19111" i="1"/>
  <c r="G19111" i="1"/>
  <c r="E19111" i="1"/>
  <c r="H19110" i="1"/>
  <c r="G19110" i="1"/>
  <c r="E19110" i="1"/>
  <c r="H19109" i="1"/>
  <c r="G19109" i="1"/>
  <c r="E19109" i="1"/>
  <c r="H19108" i="1"/>
  <c r="G19108" i="1"/>
  <c r="E19108" i="1"/>
  <c r="H19107" i="1"/>
  <c r="G19107" i="1"/>
  <c r="E19107" i="1"/>
  <c r="H19106" i="1"/>
  <c r="G19106" i="1"/>
  <c r="E19106" i="1"/>
  <c r="H19105" i="1"/>
  <c r="G19105" i="1"/>
  <c r="E19105" i="1"/>
  <c r="H19104" i="1"/>
  <c r="G19104" i="1"/>
  <c r="E19104" i="1"/>
  <c r="H19103" i="1"/>
  <c r="G19103" i="1"/>
  <c r="E19103" i="1"/>
  <c r="H19102" i="1"/>
  <c r="G19102" i="1"/>
  <c r="E19102" i="1"/>
  <c r="H19101" i="1"/>
  <c r="G19101" i="1"/>
  <c r="E19101" i="1"/>
  <c r="H19100" i="1"/>
  <c r="G19100" i="1"/>
  <c r="E19100" i="1"/>
  <c r="H19099" i="1"/>
  <c r="G19099" i="1"/>
  <c r="E19099" i="1"/>
  <c r="H19098" i="1"/>
  <c r="G19098" i="1"/>
  <c r="E19098" i="1"/>
  <c r="H19097" i="1"/>
  <c r="G19097" i="1"/>
  <c r="E19097" i="1"/>
  <c r="H19096" i="1"/>
  <c r="G19096" i="1"/>
  <c r="E19096" i="1"/>
  <c r="H19095" i="1"/>
  <c r="G19095" i="1"/>
  <c r="E19095" i="1"/>
  <c r="H19094" i="1"/>
  <c r="G19094" i="1"/>
  <c r="E19094" i="1"/>
  <c r="H19093" i="1"/>
  <c r="G19093" i="1"/>
  <c r="E19093" i="1"/>
  <c r="H19092" i="1"/>
  <c r="G19092" i="1"/>
  <c r="E19092" i="1"/>
  <c r="H19091" i="1"/>
  <c r="G19091" i="1"/>
  <c r="E19091" i="1"/>
  <c r="H19090" i="1"/>
  <c r="G19090" i="1"/>
  <c r="E19090" i="1"/>
  <c r="H19089" i="1"/>
  <c r="G19089" i="1"/>
  <c r="E19089" i="1"/>
  <c r="H19088" i="1"/>
  <c r="G19088" i="1"/>
  <c r="E19088" i="1"/>
  <c r="H19087" i="1"/>
  <c r="G19087" i="1"/>
  <c r="E19087" i="1"/>
  <c r="H19086" i="1"/>
  <c r="G19086" i="1"/>
  <c r="E19086" i="1"/>
  <c r="H19085" i="1"/>
  <c r="G19085" i="1"/>
  <c r="E19085" i="1"/>
  <c r="H19084" i="1"/>
  <c r="G19084" i="1"/>
  <c r="E19084" i="1"/>
  <c r="H19083" i="1"/>
  <c r="G19083" i="1"/>
  <c r="E19083" i="1"/>
  <c r="H19082" i="1"/>
  <c r="G19082" i="1"/>
  <c r="E19082" i="1"/>
  <c r="H19081" i="1"/>
  <c r="G19081" i="1"/>
  <c r="E19081" i="1"/>
  <c r="H19080" i="1"/>
  <c r="G19080" i="1"/>
  <c r="E19080" i="1"/>
  <c r="H19079" i="1"/>
  <c r="G19079" i="1"/>
  <c r="E19079" i="1"/>
  <c r="H19078" i="1"/>
  <c r="G19078" i="1"/>
  <c r="E19078" i="1"/>
  <c r="H19077" i="1"/>
  <c r="G19077" i="1"/>
  <c r="E19077" i="1"/>
  <c r="H19076" i="1"/>
  <c r="G19076" i="1"/>
  <c r="E19076" i="1"/>
  <c r="H19075" i="1"/>
  <c r="G19075" i="1"/>
  <c r="E19075" i="1"/>
  <c r="H19074" i="1"/>
  <c r="G19074" i="1"/>
  <c r="E19074" i="1"/>
  <c r="H19073" i="1"/>
  <c r="G19073" i="1"/>
  <c r="E19073" i="1"/>
  <c r="H19072" i="1"/>
  <c r="G19072" i="1"/>
  <c r="E19072" i="1"/>
  <c r="H19071" i="1"/>
  <c r="G19071" i="1"/>
  <c r="E19071" i="1"/>
  <c r="H19070" i="1"/>
  <c r="G19070" i="1"/>
  <c r="E19070" i="1"/>
  <c r="H19069" i="1"/>
  <c r="G19069" i="1"/>
  <c r="E19069" i="1"/>
  <c r="H19068" i="1"/>
  <c r="G19068" i="1"/>
  <c r="E19068" i="1"/>
  <c r="H19067" i="1"/>
  <c r="G19067" i="1"/>
  <c r="E19067" i="1"/>
  <c r="H19066" i="1"/>
  <c r="G19066" i="1"/>
  <c r="E19066" i="1"/>
  <c r="H19065" i="1"/>
  <c r="G19065" i="1"/>
  <c r="E19065" i="1"/>
  <c r="H19064" i="1"/>
  <c r="G19064" i="1"/>
  <c r="E19064" i="1"/>
  <c r="H19063" i="1"/>
  <c r="G19063" i="1"/>
  <c r="E19063" i="1"/>
  <c r="H19062" i="1"/>
  <c r="G19062" i="1"/>
  <c r="E19062" i="1"/>
  <c r="H19061" i="1"/>
  <c r="G19061" i="1"/>
  <c r="E19061" i="1"/>
  <c r="H19060" i="1"/>
  <c r="G19060" i="1"/>
  <c r="E19060" i="1"/>
  <c r="H19059" i="1"/>
  <c r="G19059" i="1"/>
  <c r="E19059" i="1"/>
  <c r="H19058" i="1"/>
  <c r="G19058" i="1"/>
  <c r="E19058" i="1"/>
  <c r="H19057" i="1"/>
  <c r="G19057" i="1"/>
  <c r="E19057" i="1"/>
  <c r="H19056" i="1"/>
  <c r="G19056" i="1"/>
  <c r="E19056" i="1"/>
  <c r="H19055" i="1"/>
  <c r="G19055" i="1"/>
  <c r="E19055" i="1"/>
  <c r="H19054" i="1"/>
  <c r="G19054" i="1"/>
  <c r="E19054" i="1"/>
  <c r="H19053" i="1"/>
  <c r="G19053" i="1"/>
  <c r="E19053" i="1"/>
  <c r="H19052" i="1"/>
  <c r="G19052" i="1"/>
  <c r="E19052" i="1"/>
  <c r="H19051" i="1"/>
  <c r="G19051" i="1"/>
  <c r="E19051" i="1"/>
  <c r="H19050" i="1"/>
  <c r="G19050" i="1"/>
  <c r="E19050" i="1"/>
  <c r="H19049" i="1"/>
  <c r="G19049" i="1"/>
  <c r="E19049" i="1"/>
  <c r="H19048" i="1"/>
  <c r="G19048" i="1"/>
  <c r="E19048" i="1"/>
  <c r="H19047" i="1"/>
  <c r="G19047" i="1"/>
  <c r="E19047" i="1"/>
  <c r="H19046" i="1"/>
  <c r="G19046" i="1"/>
  <c r="E19046" i="1"/>
  <c r="H19045" i="1"/>
  <c r="G19045" i="1"/>
  <c r="E19045" i="1"/>
  <c r="H19044" i="1"/>
  <c r="G19044" i="1"/>
  <c r="E19044" i="1"/>
  <c r="H19043" i="1"/>
  <c r="G19043" i="1"/>
  <c r="E19043" i="1"/>
  <c r="H19042" i="1"/>
  <c r="G19042" i="1"/>
  <c r="E19042" i="1"/>
  <c r="H19041" i="1"/>
  <c r="G19041" i="1"/>
  <c r="E19041" i="1"/>
  <c r="H19040" i="1"/>
  <c r="G19040" i="1"/>
  <c r="E19040" i="1"/>
  <c r="H19039" i="1"/>
  <c r="G19039" i="1"/>
  <c r="E19039" i="1"/>
  <c r="H19038" i="1"/>
  <c r="G19038" i="1"/>
  <c r="E19038" i="1"/>
  <c r="H19037" i="1"/>
  <c r="G19037" i="1"/>
  <c r="E19037" i="1"/>
  <c r="H19036" i="1"/>
  <c r="G19036" i="1"/>
  <c r="E19036" i="1"/>
  <c r="H19035" i="1"/>
  <c r="G19035" i="1"/>
  <c r="E19035" i="1"/>
  <c r="H19034" i="1"/>
  <c r="G19034" i="1"/>
  <c r="E19034" i="1"/>
  <c r="H19033" i="1"/>
  <c r="G19033" i="1"/>
  <c r="E19033" i="1"/>
  <c r="H19032" i="1"/>
  <c r="G19032" i="1"/>
  <c r="E19032" i="1"/>
  <c r="H19031" i="1"/>
  <c r="G19031" i="1"/>
  <c r="E19031" i="1"/>
  <c r="H19030" i="1"/>
  <c r="G19030" i="1"/>
  <c r="E19030" i="1"/>
  <c r="H19029" i="1"/>
  <c r="G19029" i="1"/>
  <c r="E19029" i="1"/>
  <c r="H19028" i="1"/>
  <c r="G19028" i="1"/>
  <c r="E19028" i="1"/>
  <c r="H19027" i="1"/>
  <c r="G19027" i="1"/>
  <c r="E19027" i="1"/>
  <c r="H19026" i="1"/>
  <c r="G19026" i="1"/>
  <c r="E19026" i="1"/>
  <c r="H19025" i="1"/>
  <c r="G19025" i="1"/>
  <c r="E19025" i="1"/>
  <c r="H19024" i="1"/>
  <c r="G19024" i="1"/>
  <c r="E19024" i="1"/>
  <c r="H19023" i="1"/>
  <c r="G19023" i="1"/>
  <c r="E19023" i="1"/>
  <c r="H19022" i="1"/>
  <c r="G19022" i="1"/>
  <c r="E19022" i="1"/>
  <c r="H19021" i="1"/>
  <c r="G19021" i="1"/>
  <c r="E19021" i="1"/>
  <c r="H19020" i="1"/>
  <c r="G19020" i="1"/>
  <c r="E19020" i="1"/>
  <c r="H19019" i="1"/>
  <c r="G19019" i="1"/>
  <c r="E19019" i="1"/>
  <c r="H19018" i="1"/>
  <c r="G19018" i="1"/>
  <c r="E19018" i="1"/>
  <c r="H19017" i="1"/>
  <c r="G19017" i="1"/>
  <c r="E19017" i="1"/>
  <c r="H19016" i="1"/>
  <c r="G19016" i="1"/>
  <c r="E19016" i="1"/>
  <c r="H19015" i="1"/>
  <c r="G19015" i="1"/>
  <c r="E19015" i="1"/>
  <c r="H19014" i="1"/>
  <c r="G19014" i="1"/>
  <c r="E19014" i="1"/>
  <c r="H19013" i="1"/>
  <c r="G19013" i="1"/>
  <c r="E19013" i="1"/>
  <c r="H19012" i="1"/>
  <c r="G19012" i="1"/>
  <c r="E19012" i="1"/>
  <c r="H19011" i="1"/>
  <c r="G19011" i="1"/>
  <c r="E19011" i="1"/>
  <c r="H19010" i="1"/>
  <c r="G19010" i="1"/>
  <c r="E19010" i="1"/>
  <c r="H19009" i="1"/>
  <c r="G19009" i="1"/>
  <c r="E19009" i="1"/>
  <c r="H19008" i="1"/>
  <c r="G19008" i="1"/>
  <c r="E19008" i="1"/>
  <c r="H19007" i="1"/>
  <c r="G19007" i="1"/>
  <c r="E19007" i="1"/>
  <c r="H19006" i="1"/>
  <c r="G19006" i="1"/>
  <c r="E19006" i="1"/>
  <c r="H19005" i="1"/>
  <c r="G19005" i="1"/>
  <c r="E19005" i="1"/>
  <c r="H19004" i="1"/>
  <c r="G19004" i="1"/>
  <c r="E19004" i="1"/>
  <c r="H19003" i="1"/>
  <c r="G19003" i="1"/>
  <c r="E19003" i="1"/>
  <c r="H19002" i="1"/>
  <c r="G19002" i="1"/>
  <c r="E19002" i="1"/>
  <c r="H19001" i="1"/>
  <c r="G19001" i="1"/>
  <c r="E19001" i="1"/>
  <c r="H19000" i="1"/>
  <c r="G19000" i="1"/>
  <c r="E19000" i="1"/>
  <c r="H18999" i="1"/>
  <c r="G18999" i="1"/>
  <c r="E18999" i="1"/>
  <c r="H18998" i="1"/>
  <c r="G18998" i="1"/>
  <c r="E18998" i="1"/>
  <c r="H18997" i="1"/>
  <c r="G18997" i="1"/>
  <c r="E18997" i="1"/>
  <c r="H18996" i="1"/>
  <c r="G18996" i="1"/>
  <c r="E18996" i="1"/>
  <c r="H18995" i="1"/>
  <c r="G18995" i="1"/>
  <c r="E18995" i="1"/>
  <c r="H18994" i="1"/>
  <c r="G18994" i="1"/>
  <c r="E18994" i="1"/>
  <c r="H18993" i="1"/>
  <c r="G18993" i="1"/>
  <c r="E18993" i="1"/>
  <c r="H18992" i="1"/>
  <c r="G18992" i="1"/>
  <c r="E18992" i="1"/>
  <c r="H18991" i="1"/>
  <c r="G18991" i="1"/>
  <c r="E18991" i="1"/>
  <c r="H18990" i="1"/>
  <c r="G18990" i="1"/>
  <c r="E18990" i="1"/>
  <c r="H18989" i="1"/>
  <c r="G18989" i="1"/>
  <c r="E18989" i="1"/>
  <c r="H18988" i="1"/>
  <c r="G18988" i="1"/>
  <c r="E18988" i="1"/>
  <c r="H18987" i="1"/>
  <c r="G18987" i="1"/>
  <c r="E18987" i="1"/>
  <c r="H18986" i="1"/>
  <c r="G18986" i="1"/>
  <c r="E18986" i="1"/>
  <c r="H18985" i="1"/>
  <c r="G18985" i="1"/>
  <c r="E18985" i="1"/>
  <c r="H18984" i="1"/>
  <c r="G18984" i="1"/>
  <c r="E18984" i="1"/>
  <c r="H18983" i="1"/>
  <c r="G18983" i="1"/>
  <c r="E18983" i="1"/>
  <c r="H18982" i="1"/>
  <c r="G18982" i="1"/>
  <c r="E18982" i="1"/>
  <c r="H18981" i="1"/>
  <c r="G18981" i="1"/>
  <c r="E18981" i="1"/>
  <c r="H18980" i="1"/>
  <c r="G18980" i="1"/>
  <c r="E18980" i="1"/>
  <c r="H18979" i="1"/>
  <c r="G18979" i="1"/>
  <c r="E18979" i="1"/>
  <c r="H18978" i="1"/>
  <c r="G18978" i="1"/>
  <c r="E18978" i="1"/>
  <c r="H18977" i="1"/>
  <c r="G18977" i="1"/>
  <c r="E18977" i="1"/>
  <c r="H18976" i="1"/>
  <c r="G18976" i="1"/>
  <c r="E18976" i="1"/>
  <c r="H18975" i="1"/>
  <c r="G18975" i="1"/>
  <c r="E18975" i="1"/>
  <c r="H18974" i="1"/>
  <c r="G18974" i="1"/>
  <c r="E18974" i="1"/>
  <c r="H18973" i="1"/>
  <c r="G18973" i="1"/>
  <c r="E18973" i="1"/>
  <c r="H18972" i="1"/>
  <c r="G18972" i="1"/>
  <c r="E18972" i="1"/>
  <c r="H18971" i="1"/>
  <c r="G18971" i="1"/>
  <c r="E18971" i="1"/>
  <c r="H18970" i="1"/>
  <c r="G18970" i="1"/>
  <c r="E18970" i="1"/>
  <c r="H18969" i="1"/>
  <c r="G18969" i="1"/>
  <c r="E18969" i="1"/>
  <c r="H18968" i="1"/>
  <c r="G18968" i="1"/>
  <c r="E18968" i="1"/>
  <c r="H18967" i="1"/>
  <c r="G18967" i="1"/>
  <c r="E18967" i="1"/>
  <c r="H18966" i="1"/>
  <c r="G18966" i="1"/>
  <c r="E18966" i="1"/>
  <c r="H18965" i="1"/>
  <c r="G18965" i="1"/>
  <c r="E18965" i="1"/>
  <c r="H18964" i="1"/>
  <c r="G18964" i="1"/>
  <c r="E18964" i="1"/>
  <c r="H18963" i="1"/>
  <c r="G18963" i="1"/>
  <c r="E18963" i="1"/>
  <c r="H18962" i="1"/>
  <c r="G18962" i="1"/>
  <c r="E18962" i="1"/>
  <c r="H18961" i="1"/>
  <c r="G18961" i="1"/>
  <c r="E18961" i="1"/>
  <c r="H18960" i="1"/>
  <c r="G18960" i="1"/>
  <c r="E18960" i="1"/>
  <c r="H18959" i="1"/>
  <c r="G18959" i="1"/>
  <c r="E18959" i="1"/>
  <c r="H18958" i="1"/>
  <c r="G18958" i="1"/>
  <c r="E18958" i="1"/>
  <c r="H18957" i="1"/>
  <c r="G18957" i="1"/>
  <c r="E18957" i="1"/>
  <c r="H18956" i="1"/>
  <c r="G18956" i="1"/>
  <c r="E18956" i="1"/>
  <c r="H18955" i="1"/>
  <c r="G18955" i="1"/>
  <c r="E18955" i="1"/>
  <c r="H18954" i="1"/>
  <c r="G18954" i="1"/>
  <c r="E18954" i="1"/>
  <c r="H18953" i="1"/>
  <c r="G18953" i="1"/>
  <c r="E18953" i="1"/>
  <c r="H18952" i="1"/>
  <c r="G18952" i="1"/>
  <c r="E18952" i="1"/>
  <c r="H18951" i="1"/>
  <c r="G18951" i="1"/>
  <c r="E18951" i="1"/>
  <c r="H18950" i="1"/>
  <c r="G18950" i="1"/>
  <c r="E18950" i="1"/>
  <c r="H18949" i="1"/>
  <c r="G18949" i="1"/>
  <c r="E18949" i="1"/>
  <c r="H18948" i="1"/>
  <c r="G18948" i="1"/>
  <c r="E18948" i="1"/>
  <c r="H18947" i="1"/>
  <c r="G18947" i="1"/>
  <c r="E18947" i="1"/>
  <c r="H18946" i="1"/>
  <c r="G18946" i="1"/>
  <c r="E18946" i="1"/>
  <c r="H18945" i="1"/>
  <c r="G18945" i="1"/>
  <c r="E18945" i="1"/>
  <c r="H18944" i="1"/>
  <c r="G18944" i="1"/>
  <c r="E18944" i="1"/>
  <c r="H18943" i="1"/>
  <c r="G18943" i="1"/>
  <c r="E18943" i="1"/>
  <c r="H18942" i="1"/>
  <c r="G18942" i="1"/>
  <c r="E18942" i="1"/>
  <c r="H18941" i="1"/>
  <c r="G18941" i="1"/>
  <c r="E18941" i="1"/>
  <c r="H18940" i="1"/>
  <c r="G18940" i="1"/>
  <c r="E18940" i="1"/>
  <c r="H18939" i="1"/>
  <c r="G18939" i="1"/>
  <c r="E18939" i="1"/>
  <c r="H18938" i="1"/>
  <c r="G18938" i="1"/>
  <c r="E18938" i="1"/>
  <c r="H18937" i="1"/>
  <c r="G18937" i="1"/>
  <c r="E18937" i="1"/>
  <c r="H18936" i="1"/>
  <c r="G18936" i="1"/>
  <c r="E18936" i="1"/>
  <c r="H18935" i="1"/>
  <c r="G18935" i="1"/>
  <c r="E18935" i="1"/>
  <c r="H18934" i="1"/>
  <c r="G18934" i="1"/>
  <c r="E18934" i="1"/>
  <c r="H18933" i="1"/>
  <c r="G18933" i="1"/>
  <c r="E18933" i="1"/>
  <c r="H18932" i="1"/>
  <c r="G18932" i="1"/>
  <c r="E18932" i="1"/>
  <c r="H18931" i="1"/>
  <c r="G18931" i="1"/>
  <c r="E18931" i="1"/>
  <c r="H18930" i="1"/>
  <c r="G18930" i="1"/>
  <c r="E18930" i="1"/>
  <c r="H18929" i="1"/>
  <c r="G18929" i="1"/>
  <c r="E18929" i="1"/>
  <c r="H18928" i="1"/>
  <c r="G18928" i="1"/>
  <c r="E18928" i="1"/>
  <c r="H18927" i="1"/>
  <c r="G18927" i="1"/>
  <c r="E18927" i="1"/>
  <c r="H18926" i="1"/>
  <c r="G18926" i="1"/>
  <c r="E18926" i="1"/>
  <c r="H18925" i="1"/>
  <c r="G18925" i="1"/>
  <c r="E18925" i="1"/>
  <c r="H18924" i="1"/>
  <c r="G18924" i="1"/>
  <c r="E18924" i="1"/>
  <c r="H18923" i="1"/>
  <c r="G18923" i="1"/>
  <c r="E18923" i="1"/>
  <c r="H18922" i="1"/>
  <c r="G18922" i="1"/>
  <c r="E18922" i="1"/>
  <c r="H18921" i="1"/>
  <c r="G18921" i="1"/>
  <c r="E18921" i="1"/>
  <c r="H18920" i="1"/>
  <c r="G18920" i="1"/>
  <c r="E18920" i="1"/>
  <c r="H18919" i="1"/>
  <c r="G18919" i="1"/>
  <c r="E18919" i="1"/>
  <c r="H18918" i="1"/>
  <c r="G18918" i="1"/>
  <c r="E18918" i="1"/>
  <c r="H18917" i="1"/>
  <c r="G18917" i="1"/>
  <c r="E18917" i="1"/>
  <c r="H18916" i="1"/>
  <c r="G18916" i="1"/>
  <c r="E18916" i="1"/>
  <c r="H18915" i="1"/>
  <c r="G18915" i="1"/>
  <c r="E18915" i="1"/>
  <c r="H18914" i="1"/>
  <c r="G18914" i="1"/>
  <c r="E18914" i="1"/>
  <c r="H18913" i="1"/>
  <c r="G18913" i="1"/>
  <c r="E18913" i="1"/>
  <c r="H18912" i="1"/>
  <c r="G18912" i="1"/>
  <c r="E18912" i="1"/>
  <c r="H18911" i="1"/>
  <c r="G18911" i="1"/>
  <c r="E18911" i="1"/>
  <c r="H18910" i="1"/>
  <c r="G18910" i="1"/>
  <c r="E18910" i="1"/>
  <c r="H18909" i="1"/>
  <c r="G18909" i="1"/>
  <c r="E18909" i="1"/>
  <c r="H18908" i="1"/>
  <c r="G18908" i="1"/>
  <c r="E18908" i="1"/>
  <c r="H18907" i="1"/>
  <c r="G18907" i="1"/>
  <c r="E18907" i="1"/>
  <c r="H18906" i="1"/>
  <c r="G18906" i="1"/>
  <c r="E18906" i="1"/>
  <c r="H18905" i="1"/>
  <c r="G18905" i="1"/>
  <c r="E18905" i="1"/>
  <c r="H18904" i="1"/>
  <c r="G18904" i="1"/>
  <c r="E18904" i="1"/>
  <c r="H18903" i="1"/>
  <c r="G18903" i="1"/>
  <c r="E18903" i="1"/>
  <c r="H18902" i="1"/>
  <c r="G18902" i="1"/>
  <c r="E18902" i="1"/>
  <c r="H18901" i="1"/>
  <c r="G18901" i="1"/>
  <c r="E18901" i="1"/>
  <c r="H18900" i="1"/>
  <c r="G18900" i="1"/>
  <c r="E18900" i="1"/>
  <c r="H18899" i="1"/>
  <c r="G18899" i="1"/>
  <c r="E18899" i="1"/>
  <c r="H18898" i="1"/>
  <c r="G18898" i="1"/>
  <c r="E18898" i="1"/>
  <c r="H18897" i="1"/>
  <c r="G18897" i="1"/>
  <c r="E18897" i="1"/>
  <c r="H18896" i="1"/>
  <c r="G18896" i="1"/>
  <c r="E18896" i="1"/>
  <c r="H18895" i="1"/>
  <c r="G18895" i="1"/>
  <c r="E18895" i="1"/>
  <c r="H18894" i="1"/>
  <c r="G18894" i="1"/>
  <c r="E18894" i="1"/>
  <c r="H18893" i="1"/>
  <c r="G18893" i="1"/>
  <c r="E18893" i="1"/>
  <c r="H18892" i="1"/>
  <c r="G18892" i="1"/>
  <c r="E18892" i="1"/>
  <c r="H18891" i="1"/>
  <c r="G18891" i="1"/>
  <c r="E18891" i="1"/>
  <c r="H18890" i="1"/>
  <c r="G18890" i="1"/>
  <c r="E18890" i="1"/>
  <c r="H18889" i="1"/>
  <c r="G18889" i="1"/>
  <c r="E18889" i="1"/>
  <c r="H18888" i="1"/>
  <c r="G18888" i="1"/>
  <c r="E18888" i="1"/>
  <c r="H18887" i="1"/>
  <c r="G18887" i="1"/>
  <c r="E18887" i="1"/>
  <c r="H18886" i="1"/>
  <c r="G18886" i="1"/>
  <c r="E18886" i="1"/>
  <c r="H18885" i="1"/>
  <c r="G18885" i="1"/>
  <c r="E18885" i="1"/>
  <c r="H18884" i="1"/>
  <c r="G18884" i="1"/>
  <c r="E18884" i="1"/>
  <c r="H18883" i="1"/>
  <c r="G18883" i="1"/>
  <c r="E18883" i="1"/>
  <c r="H18882" i="1"/>
  <c r="G18882" i="1"/>
  <c r="E18882" i="1"/>
  <c r="H18881" i="1"/>
  <c r="G18881" i="1"/>
  <c r="E18881" i="1"/>
  <c r="H18880" i="1"/>
  <c r="G18880" i="1"/>
  <c r="E18880" i="1"/>
  <c r="H18879" i="1"/>
  <c r="G18879" i="1"/>
  <c r="E18879" i="1"/>
  <c r="H18878" i="1"/>
  <c r="G18878" i="1"/>
  <c r="E18878" i="1"/>
  <c r="H18877" i="1"/>
  <c r="G18877" i="1"/>
  <c r="E18877" i="1"/>
  <c r="H18876" i="1"/>
  <c r="G18876" i="1"/>
  <c r="E18876" i="1"/>
  <c r="H18875" i="1"/>
  <c r="G18875" i="1"/>
  <c r="E18875" i="1"/>
  <c r="H18874" i="1"/>
  <c r="G18874" i="1"/>
  <c r="E18874" i="1"/>
  <c r="H18873" i="1"/>
  <c r="G18873" i="1"/>
  <c r="E18873" i="1"/>
  <c r="H18872" i="1"/>
  <c r="G18872" i="1"/>
  <c r="E18872" i="1"/>
  <c r="H18871" i="1"/>
  <c r="G18871" i="1"/>
  <c r="E18871" i="1"/>
  <c r="H18870" i="1"/>
  <c r="G18870" i="1"/>
  <c r="E18870" i="1"/>
  <c r="H18869" i="1"/>
  <c r="G18869" i="1"/>
  <c r="E18869" i="1"/>
  <c r="H18868" i="1"/>
  <c r="G18868" i="1"/>
  <c r="E18868" i="1"/>
  <c r="H18867" i="1"/>
  <c r="G18867" i="1"/>
  <c r="E18867" i="1"/>
  <c r="H18866" i="1"/>
  <c r="G18866" i="1"/>
  <c r="E18866" i="1"/>
  <c r="H18865" i="1"/>
  <c r="G18865" i="1"/>
  <c r="E18865" i="1"/>
  <c r="H18864" i="1"/>
  <c r="G18864" i="1"/>
  <c r="E18864" i="1"/>
  <c r="H18863" i="1"/>
  <c r="G18863" i="1"/>
  <c r="E18863" i="1"/>
  <c r="H18862" i="1"/>
  <c r="G18862" i="1"/>
  <c r="E18862" i="1"/>
  <c r="H18861" i="1"/>
  <c r="G18861" i="1"/>
  <c r="E18861" i="1"/>
  <c r="H18860" i="1"/>
  <c r="G18860" i="1"/>
  <c r="E18860" i="1"/>
  <c r="H18859" i="1"/>
  <c r="G18859" i="1"/>
  <c r="E18859" i="1"/>
  <c r="H18858" i="1"/>
  <c r="G18858" i="1"/>
  <c r="E18858" i="1"/>
  <c r="H18857" i="1"/>
  <c r="G18857" i="1"/>
  <c r="E18857" i="1"/>
  <c r="H18856" i="1"/>
  <c r="G18856" i="1"/>
  <c r="E18856" i="1"/>
  <c r="H18855" i="1"/>
  <c r="G18855" i="1"/>
  <c r="E18855" i="1"/>
  <c r="H18854" i="1"/>
  <c r="G18854" i="1"/>
  <c r="E18854" i="1"/>
  <c r="H18853" i="1"/>
  <c r="G18853" i="1"/>
  <c r="E18853" i="1"/>
  <c r="H18852" i="1"/>
  <c r="G18852" i="1"/>
  <c r="E18852" i="1"/>
  <c r="H18851" i="1"/>
  <c r="G18851" i="1"/>
  <c r="E18851" i="1"/>
  <c r="H18850" i="1"/>
  <c r="G18850" i="1"/>
  <c r="E18850" i="1"/>
  <c r="H18849" i="1"/>
  <c r="G18849" i="1"/>
  <c r="E18849" i="1"/>
  <c r="H18848" i="1"/>
  <c r="G18848" i="1"/>
  <c r="E18848" i="1"/>
  <c r="H18847" i="1"/>
  <c r="G18847" i="1"/>
  <c r="E18847" i="1"/>
  <c r="H18846" i="1"/>
  <c r="G18846" i="1"/>
  <c r="E18846" i="1"/>
  <c r="H18845" i="1"/>
  <c r="G18845" i="1"/>
  <c r="E18845" i="1"/>
  <c r="H18844" i="1"/>
  <c r="G18844" i="1"/>
  <c r="E18844" i="1"/>
  <c r="H18843" i="1"/>
  <c r="G18843" i="1"/>
  <c r="E18843" i="1"/>
  <c r="H18842" i="1"/>
  <c r="G18842" i="1"/>
  <c r="E18842" i="1"/>
  <c r="H18841" i="1"/>
  <c r="G18841" i="1"/>
  <c r="E18841" i="1"/>
  <c r="H18840" i="1"/>
  <c r="G18840" i="1"/>
  <c r="E18840" i="1"/>
  <c r="H18839" i="1"/>
  <c r="G18839" i="1"/>
  <c r="E18839" i="1"/>
  <c r="H18838" i="1"/>
  <c r="G18838" i="1"/>
  <c r="E18838" i="1"/>
  <c r="H18837" i="1"/>
  <c r="G18837" i="1"/>
  <c r="E18837" i="1"/>
  <c r="H18836" i="1"/>
  <c r="G18836" i="1"/>
  <c r="E18836" i="1"/>
  <c r="H18835" i="1"/>
  <c r="G18835" i="1"/>
  <c r="E18835" i="1"/>
  <c r="H18834" i="1"/>
  <c r="G18834" i="1"/>
  <c r="E18834" i="1"/>
  <c r="H18833" i="1"/>
  <c r="G18833" i="1"/>
  <c r="E18833" i="1"/>
  <c r="H18832" i="1"/>
  <c r="G18832" i="1"/>
  <c r="E18832" i="1"/>
  <c r="H18831" i="1"/>
  <c r="G18831" i="1"/>
  <c r="E18831" i="1"/>
  <c r="H18830" i="1"/>
  <c r="G18830" i="1"/>
  <c r="E18830" i="1"/>
  <c r="H18829" i="1"/>
  <c r="G18829" i="1"/>
  <c r="E18829" i="1"/>
  <c r="H18828" i="1"/>
  <c r="G18828" i="1"/>
  <c r="E18828" i="1"/>
  <c r="H18827" i="1"/>
  <c r="G18827" i="1"/>
  <c r="E18827" i="1"/>
  <c r="H18826" i="1"/>
  <c r="G18826" i="1"/>
  <c r="E18826" i="1"/>
  <c r="H18825" i="1"/>
  <c r="G18825" i="1"/>
  <c r="E18825" i="1"/>
  <c r="H18824" i="1"/>
  <c r="G18824" i="1"/>
  <c r="E18824" i="1"/>
  <c r="H18823" i="1"/>
  <c r="G18823" i="1"/>
  <c r="E18823" i="1"/>
  <c r="H18822" i="1"/>
  <c r="G18822" i="1"/>
  <c r="E18822" i="1"/>
  <c r="H18821" i="1"/>
  <c r="G18821" i="1"/>
  <c r="E18821" i="1"/>
  <c r="H18820" i="1"/>
  <c r="G18820" i="1"/>
  <c r="E18820" i="1"/>
  <c r="H18819" i="1"/>
  <c r="G18819" i="1"/>
  <c r="E18819" i="1"/>
  <c r="H18818" i="1"/>
  <c r="G18818" i="1"/>
  <c r="E18818" i="1"/>
  <c r="H18817" i="1"/>
  <c r="G18817" i="1"/>
  <c r="E18817" i="1"/>
  <c r="H18816" i="1"/>
  <c r="G18816" i="1"/>
  <c r="E18816" i="1"/>
  <c r="H18815" i="1"/>
  <c r="G18815" i="1"/>
  <c r="E18815" i="1"/>
  <c r="H18814" i="1"/>
  <c r="G18814" i="1"/>
  <c r="E18814" i="1"/>
  <c r="H18813" i="1"/>
  <c r="G18813" i="1"/>
  <c r="E18813" i="1"/>
  <c r="H18812" i="1"/>
  <c r="G18812" i="1"/>
  <c r="E18812" i="1"/>
  <c r="H18811" i="1"/>
  <c r="G18811" i="1"/>
  <c r="E18811" i="1"/>
  <c r="H18810" i="1"/>
  <c r="G18810" i="1"/>
  <c r="E18810" i="1"/>
  <c r="H18809" i="1"/>
  <c r="G18809" i="1"/>
  <c r="E18809" i="1"/>
  <c r="H18808" i="1"/>
  <c r="G18808" i="1"/>
  <c r="E18808" i="1"/>
  <c r="H18807" i="1"/>
  <c r="G18807" i="1"/>
  <c r="E18807" i="1"/>
  <c r="H18806" i="1"/>
  <c r="G18806" i="1"/>
  <c r="E18806" i="1"/>
  <c r="H18805" i="1"/>
  <c r="G18805" i="1"/>
  <c r="E18805" i="1"/>
  <c r="H18804" i="1"/>
  <c r="G18804" i="1"/>
  <c r="E18804" i="1"/>
  <c r="H18803" i="1"/>
  <c r="G18803" i="1"/>
  <c r="E18803" i="1"/>
  <c r="H18802" i="1"/>
  <c r="G18802" i="1"/>
  <c r="E18802" i="1"/>
  <c r="H18801" i="1"/>
  <c r="G18801" i="1"/>
  <c r="E18801" i="1"/>
  <c r="H18800" i="1"/>
  <c r="G18800" i="1"/>
  <c r="E18800" i="1"/>
  <c r="H18799" i="1"/>
  <c r="G18799" i="1"/>
  <c r="E18799" i="1"/>
  <c r="H18798" i="1"/>
  <c r="G18798" i="1"/>
  <c r="E18798" i="1"/>
  <c r="H18797" i="1"/>
  <c r="G18797" i="1"/>
  <c r="E18797" i="1"/>
  <c r="H18796" i="1"/>
  <c r="G18796" i="1"/>
  <c r="E18796" i="1"/>
  <c r="H18795" i="1"/>
  <c r="G18795" i="1"/>
  <c r="E18795" i="1"/>
  <c r="H18794" i="1"/>
  <c r="G18794" i="1"/>
  <c r="E18794" i="1"/>
  <c r="H18793" i="1"/>
  <c r="G18793" i="1"/>
  <c r="E18793" i="1"/>
  <c r="H18792" i="1"/>
  <c r="G18792" i="1"/>
  <c r="E18792" i="1"/>
  <c r="H18791" i="1"/>
  <c r="G18791" i="1"/>
  <c r="E18791" i="1"/>
  <c r="H18790" i="1"/>
  <c r="G18790" i="1"/>
  <c r="E18790" i="1"/>
  <c r="H18789" i="1"/>
  <c r="G18789" i="1"/>
  <c r="E18789" i="1"/>
  <c r="H18788" i="1"/>
  <c r="G18788" i="1"/>
  <c r="E18788" i="1"/>
  <c r="H18787" i="1"/>
  <c r="G18787" i="1"/>
  <c r="E18787" i="1"/>
  <c r="H18786" i="1"/>
  <c r="G18786" i="1"/>
  <c r="E18786" i="1"/>
  <c r="H18785" i="1"/>
  <c r="G18785" i="1"/>
  <c r="E18785" i="1"/>
  <c r="H18784" i="1"/>
  <c r="G18784" i="1"/>
  <c r="E18784" i="1"/>
  <c r="H18783" i="1"/>
  <c r="G18783" i="1"/>
  <c r="E18783" i="1"/>
  <c r="H18782" i="1"/>
  <c r="G18782" i="1"/>
  <c r="E18782" i="1"/>
  <c r="H18781" i="1"/>
  <c r="G18781" i="1"/>
  <c r="E18781" i="1"/>
  <c r="H18780" i="1"/>
  <c r="G18780" i="1"/>
  <c r="E18780" i="1"/>
  <c r="H18779" i="1"/>
  <c r="G18779" i="1"/>
  <c r="E18779" i="1"/>
  <c r="H18778" i="1"/>
  <c r="G18778" i="1"/>
  <c r="E18778" i="1"/>
  <c r="H18777" i="1"/>
  <c r="G18777" i="1"/>
  <c r="E18777" i="1"/>
  <c r="H18776" i="1"/>
  <c r="G18776" i="1"/>
  <c r="E18776" i="1"/>
  <c r="H18775" i="1"/>
  <c r="G18775" i="1"/>
  <c r="E18775" i="1"/>
  <c r="H18774" i="1"/>
  <c r="G18774" i="1"/>
  <c r="E18774" i="1"/>
  <c r="H18773" i="1"/>
  <c r="G18773" i="1"/>
  <c r="E18773" i="1"/>
  <c r="H18772" i="1"/>
  <c r="G18772" i="1"/>
  <c r="E18772" i="1"/>
  <c r="H18771" i="1"/>
  <c r="G18771" i="1"/>
  <c r="E18771" i="1"/>
  <c r="H18770" i="1"/>
  <c r="G18770" i="1"/>
  <c r="E18770" i="1"/>
  <c r="H18769" i="1"/>
  <c r="G18769" i="1"/>
  <c r="E18769" i="1"/>
  <c r="H18768" i="1"/>
  <c r="G18768" i="1"/>
  <c r="E18768" i="1"/>
  <c r="H18767" i="1"/>
  <c r="G18767" i="1"/>
  <c r="E18767" i="1"/>
  <c r="H18766" i="1"/>
  <c r="G18766" i="1"/>
  <c r="E18766" i="1"/>
  <c r="H18765" i="1"/>
  <c r="G18765" i="1"/>
  <c r="E18765" i="1"/>
  <c r="H18764" i="1"/>
  <c r="G18764" i="1"/>
  <c r="E18764" i="1"/>
  <c r="H18763" i="1"/>
  <c r="G18763" i="1"/>
  <c r="E18763" i="1"/>
  <c r="H18762" i="1"/>
  <c r="G18762" i="1"/>
  <c r="E18762" i="1"/>
  <c r="H18761" i="1"/>
  <c r="G18761" i="1"/>
  <c r="E18761" i="1"/>
  <c r="H18760" i="1"/>
  <c r="G18760" i="1"/>
  <c r="E18760" i="1"/>
  <c r="H18759" i="1"/>
  <c r="G18759" i="1"/>
  <c r="E18759" i="1"/>
  <c r="H18758" i="1"/>
  <c r="G18758" i="1"/>
  <c r="E18758" i="1"/>
  <c r="H18757" i="1"/>
  <c r="G18757" i="1"/>
  <c r="E18757" i="1"/>
  <c r="H18756" i="1"/>
  <c r="G18756" i="1"/>
  <c r="E18756" i="1"/>
  <c r="H18755" i="1"/>
  <c r="G18755" i="1"/>
  <c r="E18755" i="1"/>
  <c r="H18754" i="1"/>
  <c r="G18754" i="1"/>
  <c r="E18754" i="1"/>
  <c r="H18753" i="1"/>
  <c r="G18753" i="1"/>
  <c r="E18753" i="1"/>
  <c r="H18752" i="1"/>
  <c r="G18752" i="1"/>
  <c r="E18752" i="1"/>
  <c r="H18751" i="1"/>
  <c r="G18751" i="1"/>
  <c r="E18751" i="1"/>
  <c r="H18750" i="1"/>
  <c r="G18750" i="1"/>
  <c r="E18750" i="1"/>
  <c r="H18749" i="1"/>
  <c r="G18749" i="1"/>
  <c r="E18749" i="1"/>
  <c r="H18748" i="1"/>
  <c r="G18748" i="1"/>
  <c r="E18748" i="1"/>
  <c r="H18747" i="1"/>
  <c r="G18747" i="1"/>
  <c r="E18747" i="1"/>
  <c r="H18746" i="1"/>
  <c r="G18746" i="1"/>
  <c r="E18746" i="1"/>
  <c r="H18745" i="1"/>
  <c r="G18745" i="1"/>
  <c r="E18745" i="1"/>
  <c r="H18744" i="1"/>
  <c r="G18744" i="1"/>
  <c r="E18744" i="1"/>
  <c r="H18743" i="1"/>
  <c r="G18743" i="1"/>
  <c r="E18743" i="1"/>
  <c r="H18742" i="1"/>
  <c r="G18742" i="1"/>
  <c r="E18742" i="1"/>
  <c r="H18741" i="1"/>
  <c r="G18741" i="1"/>
  <c r="E18741" i="1"/>
  <c r="H18740" i="1"/>
  <c r="G18740" i="1"/>
  <c r="E18740" i="1"/>
  <c r="H18739" i="1"/>
  <c r="G18739" i="1"/>
  <c r="E18739" i="1"/>
  <c r="H18738" i="1"/>
  <c r="G18738" i="1"/>
  <c r="E18738" i="1"/>
  <c r="H18737" i="1"/>
  <c r="G18737" i="1"/>
  <c r="E18737" i="1"/>
  <c r="H18736" i="1"/>
  <c r="G18736" i="1"/>
  <c r="E18736" i="1"/>
  <c r="H18735" i="1"/>
  <c r="G18735" i="1"/>
  <c r="E18735" i="1"/>
  <c r="H18734" i="1"/>
  <c r="G18734" i="1"/>
  <c r="E18734" i="1"/>
  <c r="H18733" i="1"/>
  <c r="G18733" i="1"/>
  <c r="E18733" i="1"/>
  <c r="H18732" i="1"/>
  <c r="G18732" i="1"/>
  <c r="E18732" i="1"/>
  <c r="H18731" i="1"/>
  <c r="G18731" i="1"/>
  <c r="E18731" i="1"/>
  <c r="H18730" i="1"/>
  <c r="G18730" i="1"/>
  <c r="E18730" i="1"/>
  <c r="H18729" i="1"/>
  <c r="G18729" i="1"/>
  <c r="E18729" i="1"/>
  <c r="H18728" i="1"/>
  <c r="G18728" i="1"/>
  <c r="E18728" i="1"/>
  <c r="H18727" i="1"/>
  <c r="G18727" i="1"/>
  <c r="E18727" i="1"/>
  <c r="H18726" i="1"/>
  <c r="G18726" i="1"/>
  <c r="E18726" i="1"/>
  <c r="H18725" i="1"/>
  <c r="G18725" i="1"/>
  <c r="E18725" i="1"/>
  <c r="H18724" i="1"/>
  <c r="G18724" i="1"/>
  <c r="E18724" i="1"/>
  <c r="H18723" i="1"/>
  <c r="G18723" i="1"/>
  <c r="E18723" i="1"/>
  <c r="H18722" i="1"/>
  <c r="G18722" i="1"/>
  <c r="E18722" i="1"/>
  <c r="H18721" i="1"/>
  <c r="G18721" i="1"/>
  <c r="E18721" i="1"/>
  <c r="H18720" i="1"/>
  <c r="G18720" i="1"/>
  <c r="E18720" i="1"/>
  <c r="H18719" i="1"/>
  <c r="G18719" i="1"/>
  <c r="E18719" i="1"/>
  <c r="H18718" i="1"/>
  <c r="G18718" i="1"/>
  <c r="E18718" i="1"/>
  <c r="H18717" i="1"/>
  <c r="G18717" i="1"/>
  <c r="E18717" i="1"/>
  <c r="H18716" i="1"/>
  <c r="G18716" i="1"/>
  <c r="E18716" i="1"/>
  <c r="H18715" i="1"/>
  <c r="G18715" i="1"/>
  <c r="E18715" i="1"/>
  <c r="H18714" i="1"/>
  <c r="G18714" i="1"/>
  <c r="E18714" i="1"/>
  <c r="H18713" i="1"/>
  <c r="G18713" i="1"/>
  <c r="E18713" i="1"/>
  <c r="H18712" i="1"/>
  <c r="G18712" i="1"/>
  <c r="E18712" i="1"/>
  <c r="H18711" i="1"/>
  <c r="G18711" i="1"/>
  <c r="E18711" i="1"/>
  <c r="H18710" i="1"/>
  <c r="G18710" i="1"/>
  <c r="E18710" i="1"/>
  <c r="H18709" i="1"/>
  <c r="G18709" i="1"/>
  <c r="E18709" i="1"/>
  <c r="H18708" i="1"/>
  <c r="G18708" i="1"/>
  <c r="E18708" i="1"/>
  <c r="H18707" i="1"/>
  <c r="G18707" i="1"/>
  <c r="E18707" i="1"/>
  <c r="H18706" i="1"/>
  <c r="G18706" i="1"/>
  <c r="E18706" i="1"/>
  <c r="H18705" i="1"/>
  <c r="G18705" i="1"/>
  <c r="E18705" i="1"/>
  <c r="H18704" i="1"/>
  <c r="G18704" i="1"/>
  <c r="E18704" i="1"/>
  <c r="H18703" i="1"/>
  <c r="G18703" i="1"/>
  <c r="E18703" i="1"/>
  <c r="H18702" i="1"/>
  <c r="G18702" i="1"/>
  <c r="E18702" i="1"/>
  <c r="H18701" i="1"/>
  <c r="G18701" i="1"/>
  <c r="E18701" i="1"/>
  <c r="H18700" i="1"/>
  <c r="G18700" i="1"/>
  <c r="E18700" i="1"/>
  <c r="H18699" i="1"/>
  <c r="G18699" i="1"/>
  <c r="E18699" i="1"/>
  <c r="H18698" i="1"/>
  <c r="G18698" i="1"/>
  <c r="E18698" i="1"/>
  <c r="H18697" i="1"/>
  <c r="G18697" i="1"/>
  <c r="E18697" i="1"/>
  <c r="H18696" i="1"/>
  <c r="G18696" i="1"/>
  <c r="E18696" i="1"/>
  <c r="H18695" i="1"/>
  <c r="G18695" i="1"/>
  <c r="E18695" i="1"/>
  <c r="H18694" i="1"/>
  <c r="G18694" i="1"/>
  <c r="E18694" i="1"/>
  <c r="H18693" i="1"/>
  <c r="G18693" i="1"/>
  <c r="E18693" i="1"/>
  <c r="H18692" i="1"/>
  <c r="G18692" i="1"/>
  <c r="E18692" i="1"/>
  <c r="H18691" i="1"/>
  <c r="G18691" i="1"/>
  <c r="E18691" i="1"/>
  <c r="H18690" i="1"/>
  <c r="G18690" i="1"/>
  <c r="E18690" i="1"/>
  <c r="H18689" i="1"/>
  <c r="G18689" i="1"/>
  <c r="E18689" i="1"/>
  <c r="H18688" i="1"/>
  <c r="G18688" i="1"/>
  <c r="E18688" i="1"/>
  <c r="H18687" i="1"/>
  <c r="G18687" i="1"/>
  <c r="E18687" i="1"/>
  <c r="H18686" i="1"/>
  <c r="G18686" i="1"/>
  <c r="E18686" i="1"/>
  <c r="H18685" i="1"/>
  <c r="G18685" i="1"/>
  <c r="E18685" i="1"/>
  <c r="H18684" i="1"/>
  <c r="G18684" i="1"/>
  <c r="E18684" i="1"/>
  <c r="H18683" i="1"/>
  <c r="G18683" i="1"/>
  <c r="E18683" i="1"/>
  <c r="H18682" i="1"/>
  <c r="G18682" i="1"/>
  <c r="E18682" i="1"/>
  <c r="H18681" i="1"/>
  <c r="G18681" i="1"/>
  <c r="E18681" i="1"/>
  <c r="H18680" i="1"/>
  <c r="G18680" i="1"/>
  <c r="E18680" i="1"/>
  <c r="H18679" i="1"/>
  <c r="G18679" i="1"/>
  <c r="E18679" i="1"/>
  <c r="H18678" i="1"/>
  <c r="G18678" i="1"/>
  <c r="E18678" i="1"/>
  <c r="H18677" i="1"/>
  <c r="G18677" i="1"/>
  <c r="E18677" i="1"/>
  <c r="H18676" i="1"/>
  <c r="G18676" i="1"/>
  <c r="E18676" i="1"/>
  <c r="H18675" i="1"/>
  <c r="G18675" i="1"/>
  <c r="E18675" i="1"/>
  <c r="H18674" i="1"/>
  <c r="G18674" i="1"/>
  <c r="E18674" i="1"/>
  <c r="H18673" i="1"/>
  <c r="G18673" i="1"/>
  <c r="E18673" i="1"/>
  <c r="H18672" i="1"/>
  <c r="G18672" i="1"/>
  <c r="E18672" i="1"/>
  <c r="H18671" i="1"/>
  <c r="G18671" i="1"/>
  <c r="E18671" i="1"/>
  <c r="H18670" i="1"/>
  <c r="G18670" i="1"/>
  <c r="E18670" i="1"/>
  <c r="H18669" i="1"/>
  <c r="G18669" i="1"/>
  <c r="E18669" i="1"/>
  <c r="H18668" i="1"/>
  <c r="G18668" i="1"/>
  <c r="E18668" i="1"/>
  <c r="H18667" i="1"/>
  <c r="G18667" i="1"/>
  <c r="E18667" i="1"/>
  <c r="H18666" i="1"/>
  <c r="G18666" i="1"/>
  <c r="E18666" i="1"/>
  <c r="H18665" i="1"/>
  <c r="G18665" i="1"/>
  <c r="E18665" i="1"/>
  <c r="H18664" i="1"/>
  <c r="G18664" i="1"/>
  <c r="E18664" i="1"/>
  <c r="H18663" i="1"/>
  <c r="G18663" i="1"/>
  <c r="E18663" i="1"/>
  <c r="H18662" i="1"/>
  <c r="G18662" i="1"/>
  <c r="E18662" i="1"/>
  <c r="H18661" i="1"/>
  <c r="G18661" i="1"/>
  <c r="E18661" i="1"/>
  <c r="H18660" i="1"/>
  <c r="G18660" i="1"/>
  <c r="E18660" i="1"/>
  <c r="H18659" i="1"/>
  <c r="G18659" i="1"/>
  <c r="E18659" i="1"/>
  <c r="H18658" i="1"/>
  <c r="G18658" i="1"/>
  <c r="E18658" i="1"/>
  <c r="H18657" i="1"/>
  <c r="G18657" i="1"/>
  <c r="E18657" i="1"/>
  <c r="H18656" i="1"/>
  <c r="G18656" i="1"/>
  <c r="E18656" i="1"/>
  <c r="H18655" i="1"/>
  <c r="G18655" i="1"/>
  <c r="E18655" i="1"/>
  <c r="H18654" i="1"/>
  <c r="G18654" i="1"/>
  <c r="E18654" i="1"/>
  <c r="H18653" i="1"/>
  <c r="G18653" i="1"/>
  <c r="E18653" i="1"/>
  <c r="H18652" i="1"/>
  <c r="G18652" i="1"/>
  <c r="E18652" i="1"/>
  <c r="H18651" i="1"/>
  <c r="G18651" i="1"/>
  <c r="E18651" i="1"/>
  <c r="H18650" i="1"/>
  <c r="G18650" i="1"/>
  <c r="E18650" i="1"/>
  <c r="H18649" i="1"/>
  <c r="G18649" i="1"/>
  <c r="E18649" i="1"/>
  <c r="H18648" i="1"/>
  <c r="G18648" i="1"/>
  <c r="E18648" i="1"/>
  <c r="H18647" i="1"/>
  <c r="G18647" i="1"/>
  <c r="E18647" i="1"/>
  <c r="H18646" i="1"/>
  <c r="G18646" i="1"/>
  <c r="E18646" i="1"/>
  <c r="H18645" i="1"/>
  <c r="G18645" i="1"/>
  <c r="E18645" i="1"/>
  <c r="H18644" i="1"/>
  <c r="G18644" i="1"/>
  <c r="E18644" i="1"/>
  <c r="H18643" i="1"/>
  <c r="G18643" i="1"/>
  <c r="E18643" i="1"/>
  <c r="H18642" i="1"/>
  <c r="G18642" i="1"/>
  <c r="E18642" i="1"/>
  <c r="H18641" i="1"/>
  <c r="G18641" i="1"/>
  <c r="E18641" i="1"/>
  <c r="H18640" i="1"/>
  <c r="G18640" i="1"/>
  <c r="E18640" i="1"/>
  <c r="H18639" i="1"/>
  <c r="G18639" i="1"/>
  <c r="E18639" i="1"/>
  <c r="H18638" i="1"/>
  <c r="G18638" i="1"/>
  <c r="E18638" i="1"/>
  <c r="H18637" i="1"/>
  <c r="G18637" i="1"/>
  <c r="E18637" i="1"/>
  <c r="H18636" i="1"/>
  <c r="G18636" i="1"/>
  <c r="E18636" i="1"/>
  <c r="H18635" i="1"/>
  <c r="G18635" i="1"/>
  <c r="E18635" i="1"/>
  <c r="H18634" i="1"/>
  <c r="G18634" i="1"/>
  <c r="E18634" i="1"/>
  <c r="H18633" i="1"/>
  <c r="G18633" i="1"/>
  <c r="E18633" i="1"/>
  <c r="H18632" i="1"/>
  <c r="G18632" i="1"/>
  <c r="E18632" i="1"/>
  <c r="H18631" i="1"/>
  <c r="G18631" i="1"/>
  <c r="E18631" i="1"/>
  <c r="H18630" i="1"/>
  <c r="G18630" i="1"/>
  <c r="E18630" i="1"/>
  <c r="H18629" i="1"/>
  <c r="G18629" i="1"/>
  <c r="E18629" i="1"/>
  <c r="H18628" i="1"/>
  <c r="G18628" i="1"/>
  <c r="E18628" i="1"/>
  <c r="H18627" i="1"/>
  <c r="G18627" i="1"/>
  <c r="E18627" i="1"/>
  <c r="H18626" i="1"/>
  <c r="G18626" i="1"/>
  <c r="E18626" i="1"/>
  <c r="H18625" i="1"/>
  <c r="G18625" i="1"/>
  <c r="E18625" i="1"/>
  <c r="H18624" i="1"/>
  <c r="G18624" i="1"/>
  <c r="E18624" i="1"/>
  <c r="H18623" i="1"/>
  <c r="G18623" i="1"/>
  <c r="E18623" i="1"/>
  <c r="H18622" i="1"/>
  <c r="G18622" i="1"/>
  <c r="E18622" i="1"/>
  <c r="H18621" i="1"/>
  <c r="G18621" i="1"/>
  <c r="E18621" i="1"/>
  <c r="H18620" i="1"/>
  <c r="G18620" i="1"/>
  <c r="E18620" i="1"/>
  <c r="H18619" i="1"/>
  <c r="G18619" i="1"/>
  <c r="E18619" i="1"/>
  <c r="H18618" i="1"/>
  <c r="G18618" i="1"/>
  <c r="E18618" i="1"/>
  <c r="H18617" i="1"/>
  <c r="G18617" i="1"/>
  <c r="E18617" i="1"/>
  <c r="H18616" i="1"/>
  <c r="G18616" i="1"/>
  <c r="E18616" i="1"/>
  <c r="H18615" i="1"/>
  <c r="G18615" i="1"/>
  <c r="E18615" i="1"/>
  <c r="H18614" i="1"/>
  <c r="G18614" i="1"/>
  <c r="E18614" i="1"/>
  <c r="H18613" i="1"/>
  <c r="G18613" i="1"/>
  <c r="E18613" i="1"/>
  <c r="H18612" i="1"/>
  <c r="G18612" i="1"/>
  <c r="E18612" i="1"/>
  <c r="H18611" i="1"/>
  <c r="G18611" i="1"/>
  <c r="E18611" i="1"/>
  <c r="H18610" i="1"/>
  <c r="G18610" i="1"/>
  <c r="E18610" i="1"/>
  <c r="H18609" i="1"/>
  <c r="G18609" i="1"/>
  <c r="E18609" i="1"/>
  <c r="H18608" i="1"/>
  <c r="G18608" i="1"/>
  <c r="E18608" i="1"/>
  <c r="H18607" i="1"/>
  <c r="G18607" i="1"/>
  <c r="E18607" i="1"/>
  <c r="H18606" i="1"/>
  <c r="G18606" i="1"/>
  <c r="E18606" i="1"/>
  <c r="H18605" i="1"/>
  <c r="G18605" i="1"/>
  <c r="E18605" i="1"/>
  <c r="H18604" i="1"/>
  <c r="G18604" i="1"/>
  <c r="E18604" i="1"/>
  <c r="H18603" i="1"/>
  <c r="G18603" i="1"/>
  <c r="E18603" i="1"/>
  <c r="H18602" i="1"/>
  <c r="G18602" i="1"/>
  <c r="E18602" i="1"/>
  <c r="H18601" i="1"/>
  <c r="G18601" i="1"/>
  <c r="E18601" i="1"/>
  <c r="H18600" i="1"/>
  <c r="G18600" i="1"/>
  <c r="E18600" i="1"/>
  <c r="H18599" i="1"/>
  <c r="G18599" i="1"/>
  <c r="E18599" i="1"/>
  <c r="H18598" i="1"/>
  <c r="G18598" i="1"/>
  <c r="E18598" i="1"/>
  <c r="H18597" i="1"/>
  <c r="G18597" i="1"/>
  <c r="E18597" i="1"/>
  <c r="H18596" i="1"/>
  <c r="G18596" i="1"/>
  <c r="E18596" i="1"/>
  <c r="H18595" i="1"/>
  <c r="G18595" i="1"/>
  <c r="E18595" i="1"/>
  <c r="H18594" i="1"/>
  <c r="G18594" i="1"/>
  <c r="E18594" i="1"/>
  <c r="H18593" i="1"/>
  <c r="G18593" i="1"/>
  <c r="E18593" i="1"/>
  <c r="H18592" i="1"/>
  <c r="G18592" i="1"/>
  <c r="E18592" i="1"/>
  <c r="H18591" i="1"/>
  <c r="G18591" i="1"/>
  <c r="E18591" i="1"/>
  <c r="H18590" i="1"/>
  <c r="G18590" i="1"/>
  <c r="E18590" i="1"/>
  <c r="H18589" i="1"/>
  <c r="G18589" i="1"/>
  <c r="E18589" i="1"/>
  <c r="H18588" i="1"/>
  <c r="G18588" i="1"/>
  <c r="E18588" i="1"/>
  <c r="H18587" i="1"/>
  <c r="G18587" i="1"/>
  <c r="E18587" i="1"/>
  <c r="H18586" i="1"/>
  <c r="G18586" i="1"/>
  <c r="E18586" i="1"/>
  <c r="H18585" i="1"/>
  <c r="G18585" i="1"/>
  <c r="E18585" i="1"/>
  <c r="H18584" i="1"/>
  <c r="G18584" i="1"/>
  <c r="E18584" i="1"/>
  <c r="H18583" i="1"/>
  <c r="G18583" i="1"/>
  <c r="E18583" i="1"/>
  <c r="H18582" i="1"/>
  <c r="G18582" i="1"/>
  <c r="E18582" i="1"/>
  <c r="H18581" i="1"/>
  <c r="G18581" i="1"/>
  <c r="E18581" i="1"/>
  <c r="H18580" i="1"/>
  <c r="G18580" i="1"/>
  <c r="E18580" i="1"/>
  <c r="H18579" i="1"/>
  <c r="G18579" i="1"/>
  <c r="E18579" i="1"/>
  <c r="H18578" i="1"/>
  <c r="G18578" i="1"/>
  <c r="E18578" i="1"/>
  <c r="H18577" i="1"/>
  <c r="G18577" i="1"/>
  <c r="E18577" i="1"/>
  <c r="H18576" i="1"/>
  <c r="G18576" i="1"/>
  <c r="E18576" i="1"/>
  <c r="H18575" i="1"/>
  <c r="G18575" i="1"/>
  <c r="E18575" i="1"/>
  <c r="H18574" i="1"/>
  <c r="G18574" i="1"/>
  <c r="E18574" i="1"/>
  <c r="H18573" i="1"/>
  <c r="G18573" i="1"/>
  <c r="E18573" i="1"/>
  <c r="H18572" i="1"/>
  <c r="G18572" i="1"/>
  <c r="E18572" i="1"/>
  <c r="H18571" i="1"/>
  <c r="G18571" i="1"/>
  <c r="E18571" i="1"/>
  <c r="H18570" i="1"/>
  <c r="G18570" i="1"/>
  <c r="E18570" i="1"/>
  <c r="H18569" i="1"/>
  <c r="G18569" i="1"/>
  <c r="E18569" i="1"/>
  <c r="H18568" i="1"/>
  <c r="G18568" i="1"/>
  <c r="E18568" i="1"/>
  <c r="H18567" i="1"/>
  <c r="G18567" i="1"/>
  <c r="E18567" i="1"/>
  <c r="H18566" i="1"/>
  <c r="G18566" i="1"/>
  <c r="E18566" i="1"/>
  <c r="H18565" i="1"/>
  <c r="G18565" i="1"/>
  <c r="E18565" i="1"/>
  <c r="H18564" i="1"/>
  <c r="G18564" i="1"/>
  <c r="E18564" i="1"/>
  <c r="H18563" i="1"/>
  <c r="G18563" i="1"/>
  <c r="E18563" i="1"/>
  <c r="H18562" i="1"/>
  <c r="G18562" i="1"/>
  <c r="E18562" i="1"/>
  <c r="H18561" i="1"/>
  <c r="G18561" i="1"/>
  <c r="E18561" i="1"/>
  <c r="H18560" i="1"/>
  <c r="G18560" i="1"/>
  <c r="E18560" i="1"/>
  <c r="H18559" i="1"/>
  <c r="G18559" i="1"/>
  <c r="E18559" i="1"/>
  <c r="H18558" i="1"/>
  <c r="G18558" i="1"/>
  <c r="E18558" i="1"/>
  <c r="H18557" i="1"/>
  <c r="G18557" i="1"/>
  <c r="E18557" i="1"/>
  <c r="H18556" i="1"/>
  <c r="G18556" i="1"/>
  <c r="E18556" i="1"/>
  <c r="H18555" i="1"/>
  <c r="G18555" i="1"/>
  <c r="E18555" i="1"/>
  <c r="H18554" i="1"/>
  <c r="G18554" i="1"/>
  <c r="E18554" i="1"/>
  <c r="H18553" i="1"/>
  <c r="G18553" i="1"/>
  <c r="E18553" i="1"/>
  <c r="H18552" i="1"/>
  <c r="G18552" i="1"/>
  <c r="E18552" i="1"/>
  <c r="H18551" i="1"/>
  <c r="G18551" i="1"/>
  <c r="E18551" i="1"/>
  <c r="H18550" i="1"/>
  <c r="G18550" i="1"/>
  <c r="E18550" i="1"/>
  <c r="H18549" i="1"/>
  <c r="G18549" i="1"/>
  <c r="E18549" i="1"/>
  <c r="H18548" i="1"/>
  <c r="G18548" i="1"/>
  <c r="E18548" i="1"/>
  <c r="H18547" i="1"/>
  <c r="G18547" i="1"/>
  <c r="E18547" i="1"/>
  <c r="H18546" i="1"/>
  <c r="G18546" i="1"/>
  <c r="E18546" i="1"/>
  <c r="H18545" i="1"/>
  <c r="G18545" i="1"/>
  <c r="E18545" i="1"/>
  <c r="H18544" i="1"/>
  <c r="G18544" i="1"/>
  <c r="E18544" i="1"/>
  <c r="H18543" i="1"/>
  <c r="G18543" i="1"/>
  <c r="E18543" i="1"/>
  <c r="H18542" i="1"/>
  <c r="G18542" i="1"/>
  <c r="E18542" i="1"/>
  <c r="H18541" i="1"/>
  <c r="G18541" i="1"/>
  <c r="E18541" i="1"/>
  <c r="H18540" i="1"/>
  <c r="G18540" i="1"/>
  <c r="E18540" i="1"/>
  <c r="H18539" i="1"/>
  <c r="G18539" i="1"/>
  <c r="E18539" i="1"/>
  <c r="H18538" i="1"/>
  <c r="G18538" i="1"/>
  <c r="E18538" i="1"/>
  <c r="H18537" i="1"/>
  <c r="G18537" i="1"/>
  <c r="E18537" i="1"/>
  <c r="H18536" i="1"/>
  <c r="G18536" i="1"/>
  <c r="E18536" i="1"/>
  <c r="H18535" i="1"/>
  <c r="G18535" i="1"/>
  <c r="E18535" i="1"/>
  <c r="H18534" i="1"/>
  <c r="G18534" i="1"/>
  <c r="E18534" i="1"/>
  <c r="H18533" i="1"/>
  <c r="G18533" i="1"/>
  <c r="E18533" i="1"/>
  <c r="H18532" i="1"/>
  <c r="G18532" i="1"/>
  <c r="E18532" i="1"/>
  <c r="H18531" i="1"/>
  <c r="G18531" i="1"/>
  <c r="E18531" i="1"/>
  <c r="H18530" i="1"/>
  <c r="G18530" i="1"/>
  <c r="E18530" i="1"/>
  <c r="H18529" i="1"/>
  <c r="G18529" i="1"/>
  <c r="E18529" i="1"/>
  <c r="H18528" i="1"/>
  <c r="G18528" i="1"/>
  <c r="E18528" i="1"/>
  <c r="H18527" i="1"/>
  <c r="G18527" i="1"/>
  <c r="E18527" i="1"/>
  <c r="H18526" i="1"/>
  <c r="G18526" i="1"/>
  <c r="E18526" i="1"/>
  <c r="H18525" i="1"/>
  <c r="G18525" i="1"/>
  <c r="E18525" i="1"/>
  <c r="H18524" i="1"/>
  <c r="G18524" i="1"/>
  <c r="E18524" i="1"/>
  <c r="H18523" i="1"/>
  <c r="G18523" i="1"/>
  <c r="E18523" i="1"/>
  <c r="H18522" i="1"/>
  <c r="G18522" i="1"/>
  <c r="E18522" i="1"/>
  <c r="H18521" i="1"/>
  <c r="G18521" i="1"/>
  <c r="E18521" i="1"/>
  <c r="H18520" i="1"/>
  <c r="G18520" i="1"/>
  <c r="E18520" i="1"/>
  <c r="H18519" i="1"/>
  <c r="G18519" i="1"/>
  <c r="E18519" i="1"/>
  <c r="H18518" i="1"/>
  <c r="G18518" i="1"/>
  <c r="E18518" i="1"/>
  <c r="H18517" i="1"/>
  <c r="G18517" i="1"/>
  <c r="E18517" i="1"/>
  <c r="H18516" i="1"/>
  <c r="G18516" i="1"/>
  <c r="E18516" i="1"/>
  <c r="H18515" i="1"/>
  <c r="G18515" i="1"/>
  <c r="E18515" i="1"/>
  <c r="H18514" i="1"/>
  <c r="G18514" i="1"/>
  <c r="E18514" i="1"/>
  <c r="H18513" i="1"/>
  <c r="G18513" i="1"/>
  <c r="E18513" i="1"/>
  <c r="H18512" i="1"/>
  <c r="G18512" i="1"/>
  <c r="E18512" i="1"/>
  <c r="H18511" i="1"/>
  <c r="G18511" i="1"/>
  <c r="E18511" i="1"/>
  <c r="H18510" i="1"/>
  <c r="G18510" i="1"/>
  <c r="E18510" i="1"/>
  <c r="H18509" i="1"/>
  <c r="G18509" i="1"/>
  <c r="E18509" i="1"/>
  <c r="H18508" i="1"/>
  <c r="G18508" i="1"/>
  <c r="E18508" i="1"/>
  <c r="H18507" i="1"/>
  <c r="G18507" i="1"/>
  <c r="E18507" i="1"/>
  <c r="H18506" i="1"/>
  <c r="G18506" i="1"/>
  <c r="E18506" i="1"/>
  <c r="H18505" i="1"/>
  <c r="G18505" i="1"/>
  <c r="E18505" i="1"/>
  <c r="H18504" i="1"/>
  <c r="G18504" i="1"/>
  <c r="E18504" i="1"/>
  <c r="H18503" i="1"/>
  <c r="G18503" i="1"/>
  <c r="E18503" i="1"/>
  <c r="H18502" i="1"/>
  <c r="G18502" i="1"/>
  <c r="E18502" i="1"/>
  <c r="H18501" i="1"/>
  <c r="G18501" i="1"/>
  <c r="E18501" i="1"/>
  <c r="H18500" i="1"/>
  <c r="G18500" i="1"/>
  <c r="E18500" i="1"/>
  <c r="H18499" i="1"/>
  <c r="G18499" i="1"/>
  <c r="E18499" i="1"/>
  <c r="H18498" i="1"/>
  <c r="G18498" i="1"/>
  <c r="E18498" i="1"/>
  <c r="H18497" i="1"/>
  <c r="G18497" i="1"/>
  <c r="E18497" i="1"/>
  <c r="H18496" i="1"/>
  <c r="G18496" i="1"/>
  <c r="E18496" i="1"/>
  <c r="H18495" i="1"/>
  <c r="G18495" i="1"/>
  <c r="E18495" i="1"/>
  <c r="H18494" i="1"/>
  <c r="G18494" i="1"/>
  <c r="E18494" i="1"/>
  <c r="H18493" i="1"/>
  <c r="G18493" i="1"/>
  <c r="E18493" i="1"/>
  <c r="H18492" i="1"/>
  <c r="G18492" i="1"/>
  <c r="E18492" i="1"/>
  <c r="H18491" i="1"/>
  <c r="G18491" i="1"/>
  <c r="E18491" i="1"/>
  <c r="H18490" i="1"/>
  <c r="G18490" i="1"/>
  <c r="E18490" i="1"/>
  <c r="H18489" i="1"/>
  <c r="G18489" i="1"/>
  <c r="E18489" i="1"/>
  <c r="H18488" i="1"/>
  <c r="G18488" i="1"/>
  <c r="E18488" i="1"/>
  <c r="H18487" i="1"/>
  <c r="G18487" i="1"/>
  <c r="E18487" i="1"/>
  <c r="H18486" i="1"/>
  <c r="G18486" i="1"/>
  <c r="E18486" i="1"/>
  <c r="H18485" i="1"/>
  <c r="G18485" i="1"/>
  <c r="E18485" i="1"/>
  <c r="H18484" i="1"/>
  <c r="G18484" i="1"/>
  <c r="E18484" i="1"/>
  <c r="H18483" i="1"/>
  <c r="G18483" i="1"/>
  <c r="E18483" i="1"/>
  <c r="H18482" i="1"/>
  <c r="G18482" i="1"/>
  <c r="E18482" i="1"/>
  <c r="H18481" i="1"/>
  <c r="G18481" i="1"/>
  <c r="E18481" i="1"/>
  <c r="H18480" i="1"/>
  <c r="G18480" i="1"/>
  <c r="E18480" i="1"/>
  <c r="H18479" i="1"/>
  <c r="G18479" i="1"/>
  <c r="E18479" i="1"/>
  <c r="H18478" i="1"/>
  <c r="G18478" i="1"/>
  <c r="E18478" i="1"/>
  <c r="H18477" i="1"/>
  <c r="G18477" i="1"/>
  <c r="E18477" i="1"/>
  <c r="H18476" i="1"/>
  <c r="G18476" i="1"/>
  <c r="E18476" i="1"/>
  <c r="H18475" i="1"/>
  <c r="G18475" i="1"/>
  <c r="E18475" i="1"/>
  <c r="H18474" i="1"/>
  <c r="G18474" i="1"/>
  <c r="E18474" i="1"/>
  <c r="H18473" i="1"/>
  <c r="G18473" i="1"/>
  <c r="E18473" i="1"/>
  <c r="H18472" i="1"/>
  <c r="G18472" i="1"/>
  <c r="E18472" i="1"/>
  <c r="H18471" i="1"/>
  <c r="G18471" i="1"/>
  <c r="E18471" i="1"/>
  <c r="H18470" i="1"/>
  <c r="G18470" i="1"/>
  <c r="E18470" i="1"/>
  <c r="H18469" i="1"/>
  <c r="G18469" i="1"/>
  <c r="E18469" i="1"/>
  <c r="H18468" i="1"/>
  <c r="G18468" i="1"/>
  <c r="E18468" i="1"/>
  <c r="H18467" i="1"/>
  <c r="G18467" i="1"/>
  <c r="E18467" i="1"/>
  <c r="H18466" i="1"/>
  <c r="G18466" i="1"/>
  <c r="E18466" i="1"/>
  <c r="H18465" i="1"/>
  <c r="G18465" i="1"/>
  <c r="E18465" i="1"/>
  <c r="H18464" i="1"/>
  <c r="G18464" i="1"/>
  <c r="E18464" i="1"/>
  <c r="H18463" i="1"/>
  <c r="G18463" i="1"/>
  <c r="E18463" i="1"/>
  <c r="H18462" i="1"/>
  <c r="G18462" i="1"/>
  <c r="E18462" i="1"/>
  <c r="H18461" i="1"/>
  <c r="G18461" i="1"/>
  <c r="E18461" i="1"/>
  <c r="H18460" i="1"/>
  <c r="G18460" i="1"/>
  <c r="E18460" i="1"/>
  <c r="H18459" i="1"/>
  <c r="G18459" i="1"/>
  <c r="E18459" i="1"/>
  <c r="H18458" i="1"/>
  <c r="G18458" i="1"/>
  <c r="E18458" i="1"/>
  <c r="H18457" i="1"/>
  <c r="G18457" i="1"/>
  <c r="E18457" i="1"/>
  <c r="H18456" i="1"/>
  <c r="G18456" i="1"/>
  <c r="E18456" i="1"/>
  <c r="H18455" i="1"/>
  <c r="G18455" i="1"/>
  <c r="E18455" i="1"/>
  <c r="H18454" i="1"/>
  <c r="G18454" i="1"/>
  <c r="E18454" i="1"/>
  <c r="H18453" i="1"/>
  <c r="G18453" i="1"/>
  <c r="E18453" i="1"/>
  <c r="H18452" i="1"/>
  <c r="G18452" i="1"/>
  <c r="E18452" i="1"/>
  <c r="H18451" i="1"/>
  <c r="G18451" i="1"/>
  <c r="E18451" i="1"/>
  <c r="H18450" i="1"/>
  <c r="G18450" i="1"/>
  <c r="E18450" i="1"/>
  <c r="H18449" i="1"/>
  <c r="G18449" i="1"/>
  <c r="E18449" i="1"/>
  <c r="H18448" i="1"/>
  <c r="G18448" i="1"/>
  <c r="E18448" i="1"/>
  <c r="H18447" i="1"/>
  <c r="G18447" i="1"/>
  <c r="E18447" i="1"/>
  <c r="H18446" i="1"/>
  <c r="G18446" i="1"/>
  <c r="E18446" i="1"/>
  <c r="H18445" i="1"/>
  <c r="G18445" i="1"/>
  <c r="E18445" i="1"/>
  <c r="H18444" i="1"/>
  <c r="G18444" i="1"/>
  <c r="E18444" i="1"/>
  <c r="H18443" i="1"/>
  <c r="G18443" i="1"/>
  <c r="E18443" i="1"/>
  <c r="H18442" i="1"/>
  <c r="G18442" i="1"/>
  <c r="E18442" i="1"/>
  <c r="H18441" i="1"/>
  <c r="G18441" i="1"/>
  <c r="E18441" i="1"/>
  <c r="H18440" i="1"/>
  <c r="G18440" i="1"/>
  <c r="E18440" i="1"/>
  <c r="H18439" i="1"/>
  <c r="G18439" i="1"/>
  <c r="E18439" i="1"/>
  <c r="H18438" i="1"/>
  <c r="G18438" i="1"/>
  <c r="E18438" i="1"/>
  <c r="H18437" i="1"/>
  <c r="G18437" i="1"/>
  <c r="E18437" i="1"/>
  <c r="H18436" i="1"/>
  <c r="G18436" i="1"/>
  <c r="E18436" i="1"/>
  <c r="H18435" i="1"/>
  <c r="G18435" i="1"/>
  <c r="E18435" i="1"/>
  <c r="H18434" i="1"/>
  <c r="G18434" i="1"/>
  <c r="E18434" i="1"/>
  <c r="H18433" i="1"/>
  <c r="G18433" i="1"/>
  <c r="E18433" i="1"/>
  <c r="H18432" i="1"/>
  <c r="G18432" i="1"/>
  <c r="E18432" i="1"/>
  <c r="H18431" i="1"/>
  <c r="G18431" i="1"/>
  <c r="E18431" i="1"/>
  <c r="H18430" i="1"/>
  <c r="G18430" i="1"/>
  <c r="E18430" i="1"/>
  <c r="H18429" i="1"/>
  <c r="G18429" i="1"/>
  <c r="E18429" i="1"/>
  <c r="H18428" i="1"/>
  <c r="G18428" i="1"/>
  <c r="E18428" i="1"/>
  <c r="H18427" i="1"/>
  <c r="G18427" i="1"/>
  <c r="E18427" i="1"/>
  <c r="H18426" i="1"/>
  <c r="G18426" i="1"/>
  <c r="E18426" i="1"/>
  <c r="H18425" i="1"/>
  <c r="G18425" i="1"/>
  <c r="E18425" i="1"/>
  <c r="H18424" i="1"/>
  <c r="G18424" i="1"/>
  <c r="E18424" i="1"/>
  <c r="H18423" i="1"/>
  <c r="G18423" i="1"/>
  <c r="E18423" i="1"/>
  <c r="H18422" i="1"/>
  <c r="G18422" i="1"/>
  <c r="E18422" i="1"/>
  <c r="H18421" i="1"/>
  <c r="G18421" i="1"/>
  <c r="E18421" i="1"/>
  <c r="H18420" i="1"/>
  <c r="G18420" i="1"/>
  <c r="E18420" i="1"/>
  <c r="H18419" i="1"/>
  <c r="G18419" i="1"/>
  <c r="E18419" i="1"/>
  <c r="H18418" i="1"/>
  <c r="G18418" i="1"/>
  <c r="E18418" i="1"/>
  <c r="H18417" i="1"/>
  <c r="G18417" i="1"/>
  <c r="E18417" i="1"/>
  <c r="H18416" i="1"/>
  <c r="G18416" i="1"/>
  <c r="E18416" i="1"/>
  <c r="H18415" i="1"/>
  <c r="G18415" i="1"/>
  <c r="E18415" i="1"/>
  <c r="H18414" i="1"/>
  <c r="G18414" i="1"/>
  <c r="E18414" i="1"/>
  <c r="H18413" i="1"/>
  <c r="G18413" i="1"/>
  <c r="E18413" i="1"/>
  <c r="H18412" i="1"/>
  <c r="G18412" i="1"/>
  <c r="E18412" i="1"/>
  <c r="H18411" i="1"/>
  <c r="G18411" i="1"/>
  <c r="E18411" i="1"/>
  <c r="H18410" i="1"/>
  <c r="G18410" i="1"/>
  <c r="E18410" i="1"/>
  <c r="H18409" i="1"/>
  <c r="G18409" i="1"/>
  <c r="E18409" i="1"/>
  <c r="H18408" i="1"/>
  <c r="G18408" i="1"/>
  <c r="E18408" i="1"/>
  <c r="H18407" i="1"/>
  <c r="G18407" i="1"/>
  <c r="E18407" i="1"/>
  <c r="H18406" i="1"/>
  <c r="G18406" i="1"/>
  <c r="E18406" i="1"/>
  <c r="H18405" i="1"/>
  <c r="G18405" i="1"/>
  <c r="E18405" i="1"/>
  <c r="H18404" i="1"/>
  <c r="G18404" i="1"/>
  <c r="E18404" i="1"/>
  <c r="H18403" i="1"/>
  <c r="G18403" i="1"/>
  <c r="E18403" i="1"/>
  <c r="H18402" i="1"/>
  <c r="G18402" i="1"/>
  <c r="E18402" i="1"/>
  <c r="H18401" i="1"/>
  <c r="G18401" i="1"/>
  <c r="E18401" i="1"/>
  <c r="H18400" i="1"/>
  <c r="G18400" i="1"/>
  <c r="E18400" i="1"/>
  <c r="H18399" i="1"/>
  <c r="G18399" i="1"/>
  <c r="E18399" i="1"/>
  <c r="H18398" i="1"/>
  <c r="G18398" i="1"/>
  <c r="E18398" i="1"/>
  <c r="H18397" i="1"/>
  <c r="G18397" i="1"/>
  <c r="E18397" i="1"/>
  <c r="H18396" i="1"/>
  <c r="G18396" i="1"/>
  <c r="E18396" i="1"/>
  <c r="H18395" i="1"/>
  <c r="G18395" i="1"/>
  <c r="E18395" i="1"/>
  <c r="H18394" i="1"/>
  <c r="G18394" i="1"/>
  <c r="E18394" i="1"/>
  <c r="H18393" i="1"/>
  <c r="G18393" i="1"/>
  <c r="E18393" i="1"/>
  <c r="H18392" i="1"/>
  <c r="G18392" i="1"/>
  <c r="E18392" i="1"/>
  <c r="H18391" i="1"/>
  <c r="G18391" i="1"/>
  <c r="E18391" i="1"/>
  <c r="H18390" i="1"/>
  <c r="G18390" i="1"/>
  <c r="E18390" i="1"/>
  <c r="H18389" i="1"/>
  <c r="G18389" i="1"/>
  <c r="E18389" i="1"/>
  <c r="H18388" i="1"/>
  <c r="G18388" i="1"/>
  <c r="E18388" i="1"/>
  <c r="H18387" i="1"/>
  <c r="G18387" i="1"/>
  <c r="E18387" i="1"/>
  <c r="H18386" i="1"/>
  <c r="G18386" i="1"/>
  <c r="E18386" i="1"/>
  <c r="H18385" i="1"/>
  <c r="G18385" i="1"/>
  <c r="E18385" i="1"/>
  <c r="H18384" i="1"/>
  <c r="G18384" i="1"/>
  <c r="E18384" i="1"/>
  <c r="H18383" i="1"/>
  <c r="G18383" i="1"/>
  <c r="E18383" i="1"/>
  <c r="H18382" i="1"/>
  <c r="G18382" i="1"/>
  <c r="E18382" i="1"/>
  <c r="H18381" i="1"/>
  <c r="G18381" i="1"/>
  <c r="E18381" i="1"/>
  <c r="H18380" i="1"/>
  <c r="G18380" i="1"/>
  <c r="E18380" i="1"/>
  <c r="H18379" i="1"/>
  <c r="G18379" i="1"/>
  <c r="E18379" i="1"/>
  <c r="H18378" i="1"/>
  <c r="G18378" i="1"/>
  <c r="E18378" i="1"/>
  <c r="H18377" i="1"/>
  <c r="G18377" i="1"/>
  <c r="E18377" i="1"/>
  <c r="H18376" i="1"/>
  <c r="G18376" i="1"/>
  <c r="E18376" i="1"/>
  <c r="H18375" i="1"/>
  <c r="G18375" i="1"/>
  <c r="E18375" i="1"/>
  <c r="H18374" i="1"/>
  <c r="G18374" i="1"/>
  <c r="E18374" i="1"/>
  <c r="H18373" i="1"/>
  <c r="G18373" i="1"/>
  <c r="E18373" i="1"/>
  <c r="H18372" i="1"/>
  <c r="G18372" i="1"/>
  <c r="E18372" i="1"/>
  <c r="H18371" i="1"/>
  <c r="G18371" i="1"/>
  <c r="E18371" i="1"/>
  <c r="H18370" i="1"/>
  <c r="G18370" i="1"/>
  <c r="E18370" i="1"/>
  <c r="H18369" i="1"/>
  <c r="G18369" i="1"/>
  <c r="E18369" i="1"/>
  <c r="H18368" i="1"/>
  <c r="G18368" i="1"/>
  <c r="E18368" i="1"/>
  <c r="H18367" i="1"/>
  <c r="G18367" i="1"/>
  <c r="E18367" i="1"/>
  <c r="H18366" i="1"/>
  <c r="G18366" i="1"/>
  <c r="E18366" i="1"/>
  <c r="H18365" i="1"/>
  <c r="G18365" i="1"/>
  <c r="E18365" i="1"/>
  <c r="H18364" i="1"/>
  <c r="G18364" i="1"/>
  <c r="E18364" i="1"/>
  <c r="H18363" i="1"/>
  <c r="G18363" i="1"/>
  <c r="E18363" i="1"/>
  <c r="H18362" i="1"/>
  <c r="G18362" i="1"/>
  <c r="E18362" i="1"/>
  <c r="H18361" i="1"/>
  <c r="G18361" i="1"/>
  <c r="E18361" i="1"/>
  <c r="H18360" i="1"/>
  <c r="G18360" i="1"/>
  <c r="E18360" i="1"/>
  <c r="H18359" i="1"/>
  <c r="G18359" i="1"/>
  <c r="E18359" i="1"/>
  <c r="H18358" i="1"/>
  <c r="G18358" i="1"/>
  <c r="E18358" i="1"/>
  <c r="H18357" i="1"/>
  <c r="G18357" i="1"/>
  <c r="E18357" i="1"/>
  <c r="H18356" i="1"/>
  <c r="G18356" i="1"/>
  <c r="E18356" i="1"/>
  <c r="H18355" i="1"/>
  <c r="G18355" i="1"/>
  <c r="E18355" i="1"/>
  <c r="H18354" i="1"/>
  <c r="G18354" i="1"/>
  <c r="E18354" i="1"/>
  <c r="H18353" i="1"/>
  <c r="G18353" i="1"/>
  <c r="E18353" i="1"/>
  <c r="H18352" i="1"/>
  <c r="G18352" i="1"/>
  <c r="E18352" i="1"/>
  <c r="H18351" i="1"/>
  <c r="G18351" i="1"/>
  <c r="E18351" i="1"/>
  <c r="H18350" i="1"/>
  <c r="G18350" i="1"/>
  <c r="E18350" i="1"/>
  <c r="H18349" i="1"/>
  <c r="G18349" i="1"/>
  <c r="E18349" i="1"/>
  <c r="H18348" i="1"/>
  <c r="G18348" i="1"/>
  <c r="E18348" i="1"/>
  <c r="H18347" i="1"/>
  <c r="G18347" i="1"/>
  <c r="E18347" i="1"/>
  <c r="H18346" i="1"/>
  <c r="G18346" i="1"/>
  <c r="E18346" i="1"/>
  <c r="H18345" i="1"/>
  <c r="G18345" i="1"/>
  <c r="E18345" i="1"/>
  <c r="H18344" i="1"/>
  <c r="G18344" i="1"/>
  <c r="E18344" i="1"/>
  <c r="H18343" i="1"/>
  <c r="G18343" i="1"/>
  <c r="E18343" i="1"/>
  <c r="H18342" i="1"/>
  <c r="G18342" i="1"/>
  <c r="E18342" i="1"/>
  <c r="H18341" i="1"/>
  <c r="G18341" i="1"/>
  <c r="E18341" i="1"/>
  <c r="H18340" i="1"/>
  <c r="G18340" i="1"/>
  <c r="E18340" i="1"/>
  <c r="H18339" i="1"/>
  <c r="G18339" i="1"/>
  <c r="E18339" i="1"/>
  <c r="H18338" i="1"/>
  <c r="G18338" i="1"/>
  <c r="E18338" i="1"/>
  <c r="H18337" i="1"/>
  <c r="G18337" i="1"/>
  <c r="E18337" i="1"/>
  <c r="H18336" i="1"/>
  <c r="G18336" i="1"/>
  <c r="E18336" i="1"/>
  <c r="H18335" i="1"/>
  <c r="G18335" i="1"/>
  <c r="E18335" i="1"/>
  <c r="H18334" i="1"/>
  <c r="G18334" i="1"/>
  <c r="E18334" i="1"/>
  <c r="H18333" i="1"/>
  <c r="G18333" i="1"/>
  <c r="E18333" i="1"/>
  <c r="H18332" i="1"/>
  <c r="G18332" i="1"/>
  <c r="E18332" i="1"/>
  <c r="H18331" i="1"/>
  <c r="G18331" i="1"/>
  <c r="E18331" i="1"/>
  <c r="H18330" i="1"/>
  <c r="G18330" i="1"/>
  <c r="E18330" i="1"/>
  <c r="H18329" i="1"/>
  <c r="G18329" i="1"/>
  <c r="E18329" i="1"/>
  <c r="H18328" i="1"/>
  <c r="G18328" i="1"/>
  <c r="E18328" i="1"/>
  <c r="H18327" i="1"/>
  <c r="G18327" i="1"/>
  <c r="E18327" i="1"/>
  <c r="H18326" i="1"/>
  <c r="G18326" i="1"/>
  <c r="E18326" i="1"/>
  <c r="H18325" i="1"/>
  <c r="G18325" i="1"/>
  <c r="E18325" i="1"/>
  <c r="H18324" i="1"/>
  <c r="G18324" i="1"/>
  <c r="E18324" i="1"/>
  <c r="H18323" i="1"/>
  <c r="G18323" i="1"/>
  <c r="E18323" i="1"/>
  <c r="H18322" i="1"/>
  <c r="G18322" i="1"/>
  <c r="E18322" i="1"/>
  <c r="H18321" i="1"/>
  <c r="G18321" i="1"/>
  <c r="E18321" i="1"/>
  <c r="H18320" i="1"/>
  <c r="G18320" i="1"/>
  <c r="E18320" i="1"/>
  <c r="H18319" i="1"/>
  <c r="G18319" i="1"/>
  <c r="E18319" i="1"/>
  <c r="H18318" i="1"/>
  <c r="G18318" i="1"/>
  <c r="E18318" i="1"/>
  <c r="H18317" i="1"/>
  <c r="G18317" i="1"/>
  <c r="E18317" i="1"/>
  <c r="H18316" i="1"/>
  <c r="G18316" i="1"/>
  <c r="E18316" i="1"/>
  <c r="H18315" i="1"/>
  <c r="G18315" i="1"/>
  <c r="E18315" i="1"/>
  <c r="H18314" i="1"/>
  <c r="G18314" i="1"/>
  <c r="E18314" i="1"/>
  <c r="H18313" i="1"/>
  <c r="G18313" i="1"/>
  <c r="E18313" i="1"/>
  <c r="H18312" i="1"/>
  <c r="G18312" i="1"/>
  <c r="E18312" i="1"/>
  <c r="H18311" i="1"/>
  <c r="G18311" i="1"/>
  <c r="E18311" i="1"/>
  <c r="H18310" i="1"/>
  <c r="G18310" i="1"/>
  <c r="E18310" i="1"/>
  <c r="H18309" i="1"/>
  <c r="G18309" i="1"/>
  <c r="E18309" i="1"/>
  <c r="H18308" i="1"/>
  <c r="G18308" i="1"/>
  <c r="E18308" i="1"/>
  <c r="H18307" i="1"/>
  <c r="G18307" i="1"/>
  <c r="E18307" i="1"/>
  <c r="H18306" i="1"/>
  <c r="G18306" i="1"/>
  <c r="E18306" i="1"/>
  <c r="H18305" i="1"/>
  <c r="G18305" i="1"/>
  <c r="E18305" i="1"/>
  <c r="H18304" i="1"/>
  <c r="G18304" i="1"/>
  <c r="E18304" i="1"/>
  <c r="H18303" i="1"/>
  <c r="G18303" i="1"/>
  <c r="E18303" i="1"/>
  <c r="H18302" i="1"/>
  <c r="G18302" i="1"/>
  <c r="E18302" i="1"/>
  <c r="H18301" i="1"/>
  <c r="G18301" i="1"/>
  <c r="E18301" i="1"/>
  <c r="H18300" i="1"/>
  <c r="G18300" i="1"/>
  <c r="E18300" i="1"/>
  <c r="H18299" i="1"/>
  <c r="G18299" i="1"/>
  <c r="E18299" i="1"/>
  <c r="H18298" i="1"/>
  <c r="G18298" i="1"/>
  <c r="E18298" i="1"/>
  <c r="H18297" i="1"/>
  <c r="G18297" i="1"/>
  <c r="E18297" i="1"/>
  <c r="H18296" i="1"/>
  <c r="G18296" i="1"/>
  <c r="E18296" i="1"/>
  <c r="H18295" i="1"/>
  <c r="G18295" i="1"/>
  <c r="E18295" i="1"/>
  <c r="H18294" i="1"/>
  <c r="G18294" i="1"/>
  <c r="E18294" i="1"/>
  <c r="H18293" i="1"/>
  <c r="G18293" i="1"/>
  <c r="E18293" i="1"/>
  <c r="H18292" i="1"/>
  <c r="G18292" i="1"/>
  <c r="E18292" i="1"/>
  <c r="H18291" i="1"/>
  <c r="G18291" i="1"/>
  <c r="E18291" i="1"/>
  <c r="H18290" i="1"/>
  <c r="G18290" i="1"/>
  <c r="E18290" i="1"/>
  <c r="H18289" i="1"/>
  <c r="G18289" i="1"/>
  <c r="E18289" i="1"/>
  <c r="H18288" i="1"/>
  <c r="G18288" i="1"/>
  <c r="E18288" i="1"/>
  <c r="H18287" i="1"/>
  <c r="G18287" i="1"/>
  <c r="E18287" i="1"/>
  <c r="H18286" i="1"/>
  <c r="G18286" i="1"/>
  <c r="E18286" i="1"/>
  <c r="H18285" i="1"/>
  <c r="G18285" i="1"/>
  <c r="E18285" i="1"/>
  <c r="H18284" i="1"/>
  <c r="G18284" i="1"/>
  <c r="E18284" i="1"/>
  <c r="H18283" i="1"/>
  <c r="G18283" i="1"/>
  <c r="E18283" i="1"/>
  <c r="H18282" i="1"/>
  <c r="G18282" i="1"/>
  <c r="E18282" i="1"/>
  <c r="H18281" i="1"/>
  <c r="G18281" i="1"/>
  <c r="E18281" i="1"/>
  <c r="H18280" i="1"/>
  <c r="G18280" i="1"/>
  <c r="E18280" i="1"/>
  <c r="H18279" i="1"/>
  <c r="G18279" i="1"/>
  <c r="E18279" i="1"/>
  <c r="H18278" i="1"/>
  <c r="G18278" i="1"/>
  <c r="E18278" i="1"/>
  <c r="H18277" i="1"/>
  <c r="G18277" i="1"/>
  <c r="E18277" i="1"/>
  <c r="H18276" i="1"/>
  <c r="G18276" i="1"/>
  <c r="E18276" i="1"/>
  <c r="H18275" i="1"/>
  <c r="G18275" i="1"/>
  <c r="E18275" i="1"/>
  <c r="H18274" i="1"/>
  <c r="G18274" i="1"/>
  <c r="E18274" i="1"/>
  <c r="H18273" i="1"/>
  <c r="G18273" i="1"/>
  <c r="E18273" i="1"/>
  <c r="H18272" i="1"/>
  <c r="G18272" i="1"/>
  <c r="E18272" i="1"/>
  <c r="H18271" i="1"/>
  <c r="G18271" i="1"/>
  <c r="E18271" i="1"/>
  <c r="H18270" i="1"/>
  <c r="G18270" i="1"/>
  <c r="E18270" i="1"/>
  <c r="H18269" i="1"/>
  <c r="G18269" i="1"/>
  <c r="E18269" i="1"/>
  <c r="H18268" i="1"/>
  <c r="G18268" i="1"/>
  <c r="E18268" i="1"/>
  <c r="H18267" i="1"/>
  <c r="G18267" i="1"/>
  <c r="E18267" i="1"/>
  <c r="H18266" i="1"/>
  <c r="G18266" i="1"/>
  <c r="E18266" i="1"/>
  <c r="H18265" i="1"/>
  <c r="G18265" i="1"/>
  <c r="E18265" i="1"/>
  <c r="H18264" i="1"/>
  <c r="G18264" i="1"/>
  <c r="E18264" i="1"/>
  <c r="H18263" i="1"/>
  <c r="G18263" i="1"/>
  <c r="E18263" i="1"/>
  <c r="H18262" i="1"/>
  <c r="G18262" i="1"/>
  <c r="E18262" i="1"/>
  <c r="H18261" i="1"/>
  <c r="G18261" i="1"/>
  <c r="E18261" i="1"/>
  <c r="H18260" i="1"/>
  <c r="G18260" i="1"/>
  <c r="E18260" i="1"/>
  <c r="H18259" i="1"/>
  <c r="G18259" i="1"/>
  <c r="E18259" i="1"/>
  <c r="H18258" i="1"/>
  <c r="G18258" i="1"/>
  <c r="E18258" i="1"/>
  <c r="H18257" i="1"/>
  <c r="G18257" i="1"/>
  <c r="E18257" i="1"/>
  <c r="H18256" i="1"/>
  <c r="G18256" i="1"/>
  <c r="E18256" i="1"/>
  <c r="H18255" i="1"/>
  <c r="G18255" i="1"/>
  <c r="E18255" i="1"/>
  <c r="H18254" i="1"/>
  <c r="G18254" i="1"/>
  <c r="E18254" i="1"/>
  <c r="H18253" i="1"/>
  <c r="G18253" i="1"/>
  <c r="E18253" i="1"/>
  <c r="H18252" i="1"/>
  <c r="G18252" i="1"/>
  <c r="E18252" i="1"/>
  <c r="H18251" i="1"/>
  <c r="G18251" i="1"/>
  <c r="E18251" i="1"/>
  <c r="H18250" i="1"/>
  <c r="G18250" i="1"/>
  <c r="E18250" i="1"/>
  <c r="H18249" i="1"/>
  <c r="G18249" i="1"/>
  <c r="E18249" i="1"/>
  <c r="H18248" i="1"/>
  <c r="G18248" i="1"/>
  <c r="E18248" i="1"/>
  <c r="H18247" i="1"/>
  <c r="G18247" i="1"/>
  <c r="E18247" i="1"/>
  <c r="H18246" i="1"/>
  <c r="G18246" i="1"/>
  <c r="E18246" i="1"/>
  <c r="H18245" i="1"/>
  <c r="G18245" i="1"/>
  <c r="E18245" i="1"/>
  <c r="H18244" i="1"/>
  <c r="G18244" i="1"/>
  <c r="E18244" i="1"/>
  <c r="H18243" i="1"/>
  <c r="G18243" i="1"/>
  <c r="E18243" i="1"/>
  <c r="H18242" i="1"/>
  <c r="G18242" i="1"/>
  <c r="E18242" i="1"/>
  <c r="H18241" i="1"/>
  <c r="G18241" i="1"/>
  <c r="E18241" i="1"/>
  <c r="H18240" i="1"/>
  <c r="G18240" i="1"/>
  <c r="E18240" i="1"/>
  <c r="H18239" i="1"/>
  <c r="G18239" i="1"/>
  <c r="E18239" i="1"/>
  <c r="H18238" i="1"/>
  <c r="G18238" i="1"/>
  <c r="E18238" i="1"/>
  <c r="H18237" i="1"/>
  <c r="G18237" i="1"/>
  <c r="E18237" i="1"/>
  <c r="H18236" i="1"/>
  <c r="G18236" i="1"/>
  <c r="E18236" i="1"/>
  <c r="H18235" i="1"/>
  <c r="G18235" i="1"/>
  <c r="E18235" i="1"/>
  <c r="H18234" i="1"/>
  <c r="G18234" i="1"/>
  <c r="E18234" i="1"/>
  <c r="H18233" i="1"/>
  <c r="G18233" i="1"/>
  <c r="E18233" i="1"/>
  <c r="H18232" i="1"/>
  <c r="G18232" i="1"/>
  <c r="E18232" i="1"/>
  <c r="H18231" i="1"/>
  <c r="G18231" i="1"/>
  <c r="E18231" i="1"/>
  <c r="H18230" i="1"/>
  <c r="G18230" i="1"/>
  <c r="E18230" i="1"/>
  <c r="H18229" i="1"/>
  <c r="G18229" i="1"/>
  <c r="E18229" i="1"/>
  <c r="H18228" i="1"/>
  <c r="G18228" i="1"/>
  <c r="E18228" i="1"/>
  <c r="H18227" i="1"/>
  <c r="G18227" i="1"/>
  <c r="E18227" i="1"/>
  <c r="H18226" i="1"/>
  <c r="G18226" i="1"/>
  <c r="E18226" i="1"/>
  <c r="H18225" i="1"/>
  <c r="G18225" i="1"/>
  <c r="E18225" i="1"/>
  <c r="H18224" i="1"/>
  <c r="G18224" i="1"/>
  <c r="E18224" i="1"/>
  <c r="H18223" i="1"/>
  <c r="G18223" i="1"/>
  <c r="E18223" i="1"/>
  <c r="H18222" i="1"/>
  <c r="G18222" i="1"/>
  <c r="E18222" i="1"/>
  <c r="H18221" i="1"/>
  <c r="G18221" i="1"/>
  <c r="E18221" i="1"/>
  <c r="H18220" i="1"/>
  <c r="G18220" i="1"/>
  <c r="E18220" i="1"/>
  <c r="H18219" i="1"/>
  <c r="G18219" i="1"/>
  <c r="E18219" i="1"/>
  <c r="H18218" i="1"/>
  <c r="G18218" i="1"/>
  <c r="E18218" i="1"/>
  <c r="H18217" i="1"/>
  <c r="G18217" i="1"/>
  <c r="E18217" i="1"/>
  <c r="H18216" i="1"/>
  <c r="G18216" i="1"/>
  <c r="E18216" i="1"/>
  <c r="H18215" i="1"/>
  <c r="G18215" i="1"/>
  <c r="E18215" i="1"/>
  <c r="H18214" i="1"/>
  <c r="G18214" i="1"/>
  <c r="E18214" i="1"/>
  <c r="H18213" i="1"/>
  <c r="G18213" i="1"/>
  <c r="E18213" i="1"/>
  <c r="H18212" i="1"/>
  <c r="G18212" i="1"/>
  <c r="E18212" i="1"/>
  <c r="H18211" i="1"/>
  <c r="G18211" i="1"/>
  <c r="E18211" i="1"/>
  <c r="H18210" i="1"/>
  <c r="G18210" i="1"/>
  <c r="E18210" i="1"/>
  <c r="H18209" i="1"/>
  <c r="G18209" i="1"/>
  <c r="E18209" i="1"/>
  <c r="H18208" i="1"/>
  <c r="G18208" i="1"/>
  <c r="E18208" i="1"/>
  <c r="H18207" i="1"/>
  <c r="G18207" i="1"/>
  <c r="E18207" i="1"/>
  <c r="H18206" i="1"/>
  <c r="G18206" i="1"/>
  <c r="E18206" i="1"/>
  <c r="H18205" i="1"/>
  <c r="G18205" i="1"/>
  <c r="E18205" i="1"/>
  <c r="H18204" i="1"/>
  <c r="G18204" i="1"/>
  <c r="E18204" i="1"/>
  <c r="H18203" i="1"/>
  <c r="G18203" i="1"/>
  <c r="E18203" i="1"/>
  <c r="H18202" i="1"/>
  <c r="G18202" i="1"/>
  <c r="E18202" i="1"/>
  <c r="H18201" i="1"/>
  <c r="G18201" i="1"/>
  <c r="E18201" i="1"/>
  <c r="H18200" i="1"/>
  <c r="G18200" i="1"/>
  <c r="E18200" i="1"/>
  <c r="H18199" i="1"/>
  <c r="G18199" i="1"/>
  <c r="E18199" i="1"/>
  <c r="H18198" i="1"/>
  <c r="G18198" i="1"/>
  <c r="E18198" i="1"/>
  <c r="H18197" i="1"/>
  <c r="G18197" i="1"/>
  <c r="E18197" i="1"/>
  <c r="H18196" i="1"/>
  <c r="G18196" i="1"/>
  <c r="E18196" i="1"/>
  <c r="H18195" i="1"/>
  <c r="G18195" i="1"/>
  <c r="E18195" i="1"/>
  <c r="H18194" i="1"/>
  <c r="G18194" i="1"/>
  <c r="E18194" i="1"/>
  <c r="H18193" i="1"/>
  <c r="G18193" i="1"/>
  <c r="E18193" i="1"/>
  <c r="H18192" i="1"/>
  <c r="G18192" i="1"/>
  <c r="E18192" i="1"/>
  <c r="H18191" i="1"/>
  <c r="G18191" i="1"/>
  <c r="E18191" i="1"/>
  <c r="H18190" i="1"/>
  <c r="G18190" i="1"/>
  <c r="E18190" i="1"/>
  <c r="H18189" i="1"/>
  <c r="G18189" i="1"/>
  <c r="E18189" i="1"/>
  <c r="H18188" i="1"/>
  <c r="G18188" i="1"/>
  <c r="E18188" i="1"/>
  <c r="H18187" i="1"/>
  <c r="G18187" i="1"/>
  <c r="E18187" i="1"/>
  <c r="H18186" i="1"/>
  <c r="G18186" i="1"/>
  <c r="E18186" i="1"/>
  <c r="H18185" i="1"/>
  <c r="G18185" i="1"/>
  <c r="E18185" i="1"/>
  <c r="H18184" i="1"/>
  <c r="G18184" i="1"/>
  <c r="E18184" i="1"/>
  <c r="H18183" i="1"/>
  <c r="G18183" i="1"/>
  <c r="E18183" i="1"/>
  <c r="H18182" i="1"/>
  <c r="G18182" i="1"/>
  <c r="E18182" i="1"/>
  <c r="H18181" i="1"/>
  <c r="G18181" i="1"/>
  <c r="E18181" i="1"/>
  <c r="H18180" i="1"/>
  <c r="G18180" i="1"/>
  <c r="E18180" i="1"/>
  <c r="H18179" i="1"/>
  <c r="G18179" i="1"/>
  <c r="E18179" i="1"/>
  <c r="H18178" i="1"/>
  <c r="G18178" i="1"/>
  <c r="E18178" i="1"/>
  <c r="H18177" i="1"/>
  <c r="G18177" i="1"/>
  <c r="E18177" i="1"/>
  <c r="H18176" i="1"/>
  <c r="G18176" i="1"/>
  <c r="E18176" i="1"/>
  <c r="H18175" i="1"/>
  <c r="G18175" i="1"/>
  <c r="E18175" i="1"/>
  <c r="H18174" i="1"/>
  <c r="G18174" i="1"/>
  <c r="E18174" i="1"/>
  <c r="H18173" i="1"/>
  <c r="G18173" i="1"/>
  <c r="E18173" i="1"/>
  <c r="H18172" i="1"/>
  <c r="G18172" i="1"/>
  <c r="E18172" i="1"/>
  <c r="H18171" i="1"/>
  <c r="G18171" i="1"/>
  <c r="E18171" i="1"/>
  <c r="H18170" i="1"/>
  <c r="G18170" i="1"/>
  <c r="E18170" i="1"/>
  <c r="H18169" i="1"/>
  <c r="G18169" i="1"/>
  <c r="E18169" i="1"/>
  <c r="H18168" i="1"/>
  <c r="G18168" i="1"/>
  <c r="E18168" i="1"/>
  <c r="H18167" i="1"/>
  <c r="G18167" i="1"/>
  <c r="E18167" i="1"/>
  <c r="H18166" i="1"/>
  <c r="G18166" i="1"/>
  <c r="E18166" i="1"/>
  <c r="H18165" i="1"/>
  <c r="G18165" i="1"/>
  <c r="E18165" i="1"/>
  <c r="H18164" i="1"/>
  <c r="G18164" i="1"/>
  <c r="E18164" i="1"/>
  <c r="H18163" i="1"/>
  <c r="G18163" i="1"/>
  <c r="E18163" i="1"/>
  <c r="H18162" i="1"/>
  <c r="G18162" i="1"/>
  <c r="E18162" i="1"/>
  <c r="H18161" i="1"/>
  <c r="G18161" i="1"/>
  <c r="E18161" i="1"/>
  <c r="H18160" i="1"/>
  <c r="G18160" i="1"/>
  <c r="E18160" i="1"/>
  <c r="H18159" i="1"/>
  <c r="G18159" i="1"/>
  <c r="E18159" i="1"/>
  <c r="H18158" i="1"/>
  <c r="G18158" i="1"/>
  <c r="E18158" i="1"/>
  <c r="H18157" i="1"/>
  <c r="G18157" i="1"/>
  <c r="E18157" i="1"/>
  <c r="H18156" i="1"/>
  <c r="G18156" i="1"/>
  <c r="E18156" i="1"/>
  <c r="H18155" i="1"/>
  <c r="G18155" i="1"/>
  <c r="E18155" i="1"/>
  <c r="H18154" i="1"/>
  <c r="G18154" i="1"/>
  <c r="E18154" i="1"/>
  <c r="H18153" i="1"/>
  <c r="G18153" i="1"/>
  <c r="E18153" i="1"/>
  <c r="H18152" i="1"/>
  <c r="G18152" i="1"/>
  <c r="E18152" i="1"/>
  <c r="H18151" i="1"/>
  <c r="G18151" i="1"/>
  <c r="E18151" i="1"/>
  <c r="H18150" i="1"/>
  <c r="G18150" i="1"/>
  <c r="E18150" i="1"/>
  <c r="H18149" i="1"/>
  <c r="G18149" i="1"/>
  <c r="E18149" i="1"/>
  <c r="H18148" i="1"/>
  <c r="G18148" i="1"/>
  <c r="E18148" i="1"/>
  <c r="H18147" i="1"/>
  <c r="G18147" i="1"/>
  <c r="E18147" i="1"/>
  <c r="H18146" i="1"/>
  <c r="G18146" i="1"/>
  <c r="E18146" i="1"/>
  <c r="H18145" i="1"/>
  <c r="G18145" i="1"/>
  <c r="E18145" i="1"/>
  <c r="H18144" i="1"/>
  <c r="G18144" i="1"/>
  <c r="E18144" i="1"/>
  <c r="H18143" i="1"/>
  <c r="G18143" i="1"/>
  <c r="E18143" i="1"/>
  <c r="H18142" i="1"/>
  <c r="G18142" i="1"/>
  <c r="E18142" i="1"/>
  <c r="H18141" i="1"/>
  <c r="G18141" i="1"/>
  <c r="E18141" i="1"/>
  <c r="H18140" i="1"/>
  <c r="G18140" i="1"/>
  <c r="E18140" i="1"/>
  <c r="H18139" i="1"/>
  <c r="G18139" i="1"/>
  <c r="E18139" i="1"/>
  <c r="H18138" i="1"/>
  <c r="G18138" i="1"/>
  <c r="E18138" i="1"/>
  <c r="H18137" i="1"/>
  <c r="G18137" i="1"/>
  <c r="E18137" i="1"/>
  <c r="H18136" i="1"/>
  <c r="G18136" i="1"/>
  <c r="E18136" i="1"/>
  <c r="H18135" i="1"/>
  <c r="G18135" i="1"/>
  <c r="E18135" i="1"/>
  <c r="H18134" i="1"/>
  <c r="G18134" i="1"/>
  <c r="E18134" i="1"/>
  <c r="H18133" i="1"/>
  <c r="G18133" i="1"/>
  <c r="E18133" i="1"/>
  <c r="H18132" i="1"/>
  <c r="G18132" i="1"/>
  <c r="E18132" i="1"/>
  <c r="H18131" i="1"/>
  <c r="G18131" i="1"/>
  <c r="E18131" i="1"/>
  <c r="H18130" i="1"/>
  <c r="G18130" i="1"/>
  <c r="E18130" i="1"/>
  <c r="H18129" i="1"/>
  <c r="G18129" i="1"/>
  <c r="E18129" i="1"/>
  <c r="H18128" i="1"/>
  <c r="G18128" i="1"/>
  <c r="E18128" i="1"/>
  <c r="H18127" i="1"/>
  <c r="G18127" i="1"/>
  <c r="E18127" i="1"/>
  <c r="H18126" i="1"/>
  <c r="G18126" i="1"/>
  <c r="E18126" i="1"/>
  <c r="H18125" i="1"/>
  <c r="G18125" i="1"/>
  <c r="E18125" i="1"/>
  <c r="H18124" i="1"/>
  <c r="G18124" i="1"/>
  <c r="E18124" i="1"/>
  <c r="H18123" i="1"/>
  <c r="G18123" i="1"/>
  <c r="E18123" i="1"/>
  <c r="H18122" i="1"/>
  <c r="G18122" i="1"/>
  <c r="E18122" i="1"/>
  <c r="H18121" i="1"/>
  <c r="G18121" i="1"/>
  <c r="E18121" i="1"/>
  <c r="H18120" i="1"/>
  <c r="G18120" i="1"/>
  <c r="E18120" i="1"/>
  <c r="H18119" i="1"/>
  <c r="G18119" i="1"/>
  <c r="E18119" i="1"/>
  <c r="H18118" i="1"/>
  <c r="G18118" i="1"/>
  <c r="E18118" i="1"/>
  <c r="H18117" i="1"/>
  <c r="G18117" i="1"/>
  <c r="E18117" i="1"/>
  <c r="H18116" i="1"/>
  <c r="G18116" i="1"/>
  <c r="E18116" i="1"/>
  <c r="H18115" i="1"/>
  <c r="G18115" i="1"/>
  <c r="E18115" i="1"/>
  <c r="H18114" i="1"/>
  <c r="G18114" i="1"/>
  <c r="E18114" i="1"/>
  <c r="H18113" i="1"/>
  <c r="G18113" i="1"/>
  <c r="E18113" i="1"/>
  <c r="H18112" i="1"/>
  <c r="G18112" i="1"/>
  <c r="E18112" i="1"/>
  <c r="H18111" i="1"/>
  <c r="G18111" i="1"/>
  <c r="E18111" i="1"/>
  <c r="H18110" i="1"/>
  <c r="G18110" i="1"/>
  <c r="E18110" i="1"/>
  <c r="H18109" i="1"/>
  <c r="G18109" i="1"/>
  <c r="E18109" i="1"/>
  <c r="H18108" i="1"/>
  <c r="G18108" i="1"/>
  <c r="E18108" i="1"/>
  <c r="H18107" i="1"/>
  <c r="G18107" i="1"/>
  <c r="E18107" i="1"/>
  <c r="H18106" i="1"/>
  <c r="G18106" i="1"/>
  <c r="E18106" i="1"/>
  <c r="H18105" i="1"/>
  <c r="G18105" i="1"/>
  <c r="E18105" i="1"/>
  <c r="H18104" i="1"/>
  <c r="G18104" i="1"/>
  <c r="E18104" i="1"/>
  <c r="H18103" i="1"/>
  <c r="G18103" i="1"/>
  <c r="E18103" i="1"/>
  <c r="H18102" i="1"/>
  <c r="G18102" i="1"/>
  <c r="E18102" i="1"/>
  <c r="H18101" i="1"/>
  <c r="G18101" i="1"/>
  <c r="E18101" i="1"/>
  <c r="H18100" i="1"/>
  <c r="G18100" i="1"/>
  <c r="E18100" i="1"/>
  <c r="H18099" i="1"/>
  <c r="G18099" i="1"/>
  <c r="E18099" i="1"/>
  <c r="H18098" i="1"/>
  <c r="G18098" i="1"/>
  <c r="E18098" i="1"/>
  <c r="H18097" i="1"/>
  <c r="G18097" i="1"/>
  <c r="E18097" i="1"/>
  <c r="H18096" i="1"/>
  <c r="G18096" i="1"/>
  <c r="E18096" i="1"/>
  <c r="H18095" i="1"/>
  <c r="G18095" i="1"/>
  <c r="E18095" i="1"/>
  <c r="H18094" i="1"/>
  <c r="G18094" i="1"/>
  <c r="E18094" i="1"/>
  <c r="H18093" i="1"/>
  <c r="G18093" i="1"/>
  <c r="E18093" i="1"/>
  <c r="H18092" i="1"/>
  <c r="G18092" i="1"/>
  <c r="E18092" i="1"/>
  <c r="H18091" i="1"/>
  <c r="G18091" i="1"/>
  <c r="E18091" i="1"/>
  <c r="H18090" i="1"/>
  <c r="G18090" i="1"/>
  <c r="E18090" i="1"/>
  <c r="H18089" i="1"/>
  <c r="G18089" i="1"/>
  <c r="E18089" i="1"/>
  <c r="H18088" i="1"/>
  <c r="G18088" i="1"/>
  <c r="E18088" i="1"/>
  <c r="H18087" i="1"/>
  <c r="G18087" i="1"/>
  <c r="E18087" i="1"/>
  <c r="H18086" i="1"/>
  <c r="G18086" i="1"/>
  <c r="E18086" i="1"/>
  <c r="H18085" i="1"/>
  <c r="G18085" i="1"/>
  <c r="E18085" i="1"/>
  <c r="H18084" i="1"/>
  <c r="G18084" i="1"/>
  <c r="E18084" i="1"/>
  <c r="H18083" i="1"/>
  <c r="G18083" i="1"/>
  <c r="E18083" i="1"/>
  <c r="H18082" i="1"/>
  <c r="G18082" i="1"/>
  <c r="E18082" i="1"/>
  <c r="H18081" i="1"/>
  <c r="G18081" i="1"/>
  <c r="E18081" i="1"/>
  <c r="H18080" i="1"/>
  <c r="G18080" i="1"/>
  <c r="E18080" i="1"/>
  <c r="H18079" i="1"/>
  <c r="G18079" i="1"/>
  <c r="E18079" i="1"/>
  <c r="H18078" i="1"/>
  <c r="G18078" i="1"/>
  <c r="E18078" i="1"/>
  <c r="H18077" i="1"/>
  <c r="G18077" i="1"/>
  <c r="E18077" i="1"/>
  <c r="H18076" i="1"/>
  <c r="G18076" i="1"/>
  <c r="E18076" i="1"/>
  <c r="H18075" i="1"/>
  <c r="G18075" i="1"/>
  <c r="E18075" i="1"/>
  <c r="H18074" i="1"/>
  <c r="G18074" i="1"/>
  <c r="E18074" i="1"/>
  <c r="H18073" i="1"/>
  <c r="G18073" i="1"/>
  <c r="E18073" i="1"/>
  <c r="H18072" i="1"/>
  <c r="G18072" i="1"/>
  <c r="E18072" i="1"/>
  <c r="H18071" i="1"/>
  <c r="G18071" i="1"/>
  <c r="E18071" i="1"/>
  <c r="H18070" i="1"/>
  <c r="G18070" i="1"/>
  <c r="E18070" i="1"/>
  <c r="H18069" i="1"/>
  <c r="G18069" i="1"/>
  <c r="E18069" i="1"/>
  <c r="H18068" i="1"/>
  <c r="G18068" i="1"/>
  <c r="E18068" i="1"/>
  <c r="H18067" i="1"/>
  <c r="G18067" i="1"/>
  <c r="E18067" i="1"/>
  <c r="H18066" i="1"/>
  <c r="G18066" i="1"/>
  <c r="E18066" i="1"/>
  <c r="H18065" i="1"/>
  <c r="G18065" i="1"/>
  <c r="E18065" i="1"/>
  <c r="H18064" i="1"/>
  <c r="G18064" i="1"/>
  <c r="E18064" i="1"/>
  <c r="H18063" i="1"/>
  <c r="G18063" i="1"/>
  <c r="E18063" i="1"/>
  <c r="H18062" i="1"/>
  <c r="G18062" i="1"/>
  <c r="E18062" i="1"/>
  <c r="H18061" i="1"/>
  <c r="G18061" i="1"/>
  <c r="E18061" i="1"/>
  <c r="H18060" i="1"/>
  <c r="G18060" i="1"/>
  <c r="E18060" i="1"/>
  <c r="H18059" i="1"/>
  <c r="G18059" i="1"/>
  <c r="E18059" i="1"/>
  <c r="H18058" i="1"/>
  <c r="G18058" i="1"/>
  <c r="E18058" i="1"/>
  <c r="H18057" i="1"/>
  <c r="G18057" i="1"/>
  <c r="E18057" i="1"/>
  <c r="H18056" i="1"/>
  <c r="G18056" i="1"/>
  <c r="E18056" i="1"/>
  <c r="H18055" i="1"/>
  <c r="G18055" i="1"/>
  <c r="E18055" i="1"/>
  <c r="H18054" i="1"/>
  <c r="G18054" i="1"/>
  <c r="E18054" i="1"/>
  <c r="H18053" i="1"/>
  <c r="G18053" i="1"/>
  <c r="E18053" i="1"/>
  <c r="H18052" i="1"/>
  <c r="G18052" i="1"/>
  <c r="E18052" i="1"/>
  <c r="H18051" i="1"/>
  <c r="G18051" i="1"/>
  <c r="E18051" i="1"/>
  <c r="H18050" i="1"/>
  <c r="G18050" i="1"/>
  <c r="E18050" i="1"/>
  <c r="H18049" i="1"/>
  <c r="G18049" i="1"/>
  <c r="E18049" i="1"/>
  <c r="H18048" i="1"/>
  <c r="G18048" i="1"/>
  <c r="E18048" i="1"/>
  <c r="H18047" i="1"/>
  <c r="G18047" i="1"/>
  <c r="E18047" i="1"/>
  <c r="H18046" i="1"/>
  <c r="G18046" i="1"/>
  <c r="E18046" i="1"/>
  <c r="H18045" i="1"/>
  <c r="G18045" i="1"/>
  <c r="E18045" i="1"/>
  <c r="H18044" i="1"/>
  <c r="G18044" i="1"/>
  <c r="E18044" i="1"/>
  <c r="H18043" i="1"/>
  <c r="G18043" i="1"/>
  <c r="E18043" i="1"/>
  <c r="H18042" i="1"/>
  <c r="G18042" i="1"/>
  <c r="E18042" i="1"/>
  <c r="H18041" i="1"/>
  <c r="G18041" i="1"/>
  <c r="E18041" i="1"/>
  <c r="H18040" i="1"/>
  <c r="G18040" i="1"/>
  <c r="E18040" i="1"/>
  <c r="H18039" i="1"/>
  <c r="G18039" i="1"/>
  <c r="E18039" i="1"/>
  <c r="H18038" i="1"/>
  <c r="G18038" i="1"/>
  <c r="E18038" i="1"/>
  <c r="H18037" i="1"/>
  <c r="G18037" i="1"/>
  <c r="E18037" i="1"/>
  <c r="H18036" i="1"/>
  <c r="G18036" i="1"/>
  <c r="E18036" i="1"/>
  <c r="H18035" i="1"/>
  <c r="G18035" i="1"/>
  <c r="E18035" i="1"/>
  <c r="H18034" i="1"/>
  <c r="G18034" i="1"/>
  <c r="E18034" i="1"/>
  <c r="H18033" i="1"/>
  <c r="G18033" i="1"/>
  <c r="E18033" i="1"/>
  <c r="H18032" i="1"/>
  <c r="G18032" i="1"/>
  <c r="E18032" i="1"/>
  <c r="H18031" i="1"/>
  <c r="G18031" i="1"/>
  <c r="E18031" i="1"/>
  <c r="H18030" i="1"/>
  <c r="G18030" i="1"/>
  <c r="E18030" i="1"/>
  <c r="H18029" i="1"/>
  <c r="G18029" i="1"/>
  <c r="E18029" i="1"/>
  <c r="H18028" i="1"/>
  <c r="G18028" i="1"/>
  <c r="E18028" i="1"/>
  <c r="H18027" i="1"/>
  <c r="G18027" i="1"/>
  <c r="E18027" i="1"/>
  <c r="H18026" i="1"/>
  <c r="G18026" i="1"/>
  <c r="E18026" i="1"/>
  <c r="H18025" i="1"/>
  <c r="G18025" i="1"/>
  <c r="E18025" i="1"/>
  <c r="H18024" i="1"/>
  <c r="G18024" i="1"/>
  <c r="E18024" i="1"/>
  <c r="H18023" i="1"/>
  <c r="G18023" i="1"/>
  <c r="E18023" i="1"/>
  <c r="H18022" i="1"/>
  <c r="G18022" i="1"/>
  <c r="E18022" i="1"/>
  <c r="H18021" i="1"/>
  <c r="G18021" i="1"/>
  <c r="E18021" i="1"/>
  <c r="H18020" i="1"/>
  <c r="G18020" i="1"/>
  <c r="E18020" i="1"/>
  <c r="H18019" i="1"/>
  <c r="G18019" i="1"/>
  <c r="E18019" i="1"/>
  <c r="H18018" i="1"/>
  <c r="G18018" i="1"/>
  <c r="E18018" i="1"/>
  <c r="H18017" i="1"/>
  <c r="G18017" i="1"/>
  <c r="E18017" i="1"/>
  <c r="H18016" i="1"/>
  <c r="G18016" i="1"/>
  <c r="E18016" i="1"/>
  <c r="H18015" i="1"/>
  <c r="G18015" i="1"/>
  <c r="E18015" i="1"/>
  <c r="H18014" i="1"/>
  <c r="G18014" i="1"/>
  <c r="E18014" i="1"/>
  <c r="H18013" i="1"/>
  <c r="G18013" i="1"/>
  <c r="E18013" i="1"/>
  <c r="H18012" i="1"/>
  <c r="G18012" i="1"/>
  <c r="E18012" i="1"/>
  <c r="H18011" i="1"/>
  <c r="G18011" i="1"/>
  <c r="E18011" i="1"/>
  <c r="H18010" i="1"/>
  <c r="G18010" i="1"/>
  <c r="E18010" i="1"/>
  <c r="H18009" i="1"/>
  <c r="G18009" i="1"/>
  <c r="E18009" i="1"/>
  <c r="H18008" i="1"/>
  <c r="G18008" i="1"/>
  <c r="E18008" i="1"/>
  <c r="H18007" i="1"/>
  <c r="G18007" i="1"/>
  <c r="E18007" i="1"/>
  <c r="H18006" i="1"/>
  <c r="G18006" i="1"/>
  <c r="E18006" i="1"/>
  <c r="H18005" i="1"/>
  <c r="G18005" i="1"/>
  <c r="E18005" i="1"/>
  <c r="H18004" i="1"/>
  <c r="G18004" i="1"/>
  <c r="E18004" i="1"/>
  <c r="H18003" i="1"/>
  <c r="G18003" i="1"/>
  <c r="E18003" i="1"/>
  <c r="H18002" i="1"/>
  <c r="G18002" i="1"/>
  <c r="E18002" i="1"/>
  <c r="H18001" i="1"/>
  <c r="G18001" i="1"/>
  <c r="E18001" i="1"/>
  <c r="H18000" i="1"/>
  <c r="G18000" i="1"/>
  <c r="E18000" i="1"/>
  <c r="H17999" i="1"/>
  <c r="G17999" i="1"/>
  <c r="E17999" i="1"/>
  <c r="H17998" i="1"/>
  <c r="G17998" i="1"/>
  <c r="E17998" i="1"/>
  <c r="H17997" i="1"/>
  <c r="G17997" i="1"/>
  <c r="E17997" i="1"/>
  <c r="H17996" i="1"/>
  <c r="G17996" i="1"/>
  <c r="E17996" i="1"/>
  <c r="H17995" i="1"/>
  <c r="G17995" i="1"/>
  <c r="E17995" i="1"/>
  <c r="H17994" i="1"/>
  <c r="G17994" i="1"/>
  <c r="E17994" i="1"/>
  <c r="H17993" i="1"/>
  <c r="G17993" i="1"/>
  <c r="E17993" i="1"/>
  <c r="H17992" i="1"/>
  <c r="G17992" i="1"/>
  <c r="E17992" i="1"/>
  <c r="H17991" i="1"/>
  <c r="G17991" i="1"/>
  <c r="E17991" i="1"/>
  <c r="H17990" i="1"/>
  <c r="G17990" i="1"/>
  <c r="E17990" i="1"/>
  <c r="H17989" i="1"/>
  <c r="G17989" i="1"/>
  <c r="E17989" i="1"/>
  <c r="H17988" i="1"/>
  <c r="G17988" i="1"/>
  <c r="E17988" i="1"/>
  <c r="H17987" i="1"/>
  <c r="G17987" i="1"/>
  <c r="E17987" i="1"/>
  <c r="H17986" i="1"/>
  <c r="G17986" i="1"/>
  <c r="E17986" i="1"/>
  <c r="H17985" i="1"/>
  <c r="G17985" i="1"/>
  <c r="E17985" i="1"/>
  <c r="H17984" i="1"/>
  <c r="G17984" i="1"/>
  <c r="E17984" i="1"/>
  <c r="H17983" i="1"/>
  <c r="G17983" i="1"/>
  <c r="E17983" i="1"/>
  <c r="H17982" i="1"/>
  <c r="G17982" i="1"/>
  <c r="E17982" i="1"/>
  <c r="H17981" i="1"/>
  <c r="G17981" i="1"/>
  <c r="E17981" i="1"/>
  <c r="H17980" i="1"/>
  <c r="G17980" i="1"/>
  <c r="E17980" i="1"/>
  <c r="H17979" i="1"/>
  <c r="G17979" i="1"/>
  <c r="E17979" i="1"/>
  <c r="H17978" i="1"/>
  <c r="G17978" i="1"/>
  <c r="E17978" i="1"/>
  <c r="H17977" i="1"/>
  <c r="G17977" i="1"/>
  <c r="E17977" i="1"/>
  <c r="H17976" i="1"/>
  <c r="G17976" i="1"/>
  <c r="E17976" i="1"/>
  <c r="H17975" i="1"/>
  <c r="G17975" i="1"/>
  <c r="E17975" i="1"/>
  <c r="H17974" i="1"/>
  <c r="G17974" i="1"/>
  <c r="E17974" i="1"/>
  <c r="H17973" i="1"/>
  <c r="G17973" i="1"/>
  <c r="E17973" i="1"/>
  <c r="H17972" i="1"/>
  <c r="G17972" i="1"/>
  <c r="E17972" i="1"/>
  <c r="H17971" i="1"/>
  <c r="G17971" i="1"/>
  <c r="E17971" i="1"/>
  <c r="H17970" i="1"/>
  <c r="G17970" i="1"/>
  <c r="E17970" i="1"/>
  <c r="H17969" i="1"/>
  <c r="G17969" i="1"/>
  <c r="E17969" i="1"/>
  <c r="H17968" i="1"/>
  <c r="G17968" i="1"/>
  <c r="E17968" i="1"/>
  <c r="H17967" i="1"/>
  <c r="G17967" i="1"/>
  <c r="E17967" i="1"/>
  <c r="H17966" i="1"/>
  <c r="G17966" i="1"/>
  <c r="E17966" i="1"/>
  <c r="H17965" i="1"/>
  <c r="G17965" i="1"/>
  <c r="E17965" i="1"/>
  <c r="H17964" i="1"/>
  <c r="G17964" i="1"/>
  <c r="E17964" i="1"/>
  <c r="H17963" i="1"/>
  <c r="G17963" i="1"/>
  <c r="E17963" i="1"/>
  <c r="H17962" i="1"/>
  <c r="G17962" i="1"/>
  <c r="E17962" i="1"/>
  <c r="H17961" i="1"/>
  <c r="G17961" i="1"/>
  <c r="E17961" i="1"/>
  <c r="H17960" i="1"/>
  <c r="G17960" i="1"/>
  <c r="E17960" i="1"/>
  <c r="H17959" i="1"/>
  <c r="G17959" i="1"/>
  <c r="E17959" i="1"/>
  <c r="H17958" i="1"/>
  <c r="G17958" i="1"/>
  <c r="E17958" i="1"/>
  <c r="H17957" i="1"/>
  <c r="G17957" i="1"/>
  <c r="E17957" i="1"/>
  <c r="H17956" i="1"/>
  <c r="G17956" i="1"/>
  <c r="E17956" i="1"/>
  <c r="H17955" i="1"/>
  <c r="G17955" i="1"/>
  <c r="E17955" i="1"/>
  <c r="H17954" i="1"/>
  <c r="G17954" i="1"/>
  <c r="E17954" i="1"/>
  <c r="H17953" i="1"/>
  <c r="G17953" i="1"/>
  <c r="E17953" i="1"/>
  <c r="H17952" i="1"/>
  <c r="G17952" i="1"/>
  <c r="E17952" i="1"/>
  <c r="H17951" i="1"/>
  <c r="G17951" i="1"/>
  <c r="E17951" i="1"/>
  <c r="H17950" i="1"/>
  <c r="G17950" i="1"/>
  <c r="E17950" i="1"/>
  <c r="H17949" i="1"/>
  <c r="G17949" i="1"/>
  <c r="E17949" i="1"/>
  <c r="H17948" i="1"/>
  <c r="G17948" i="1"/>
  <c r="E17948" i="1"/>
  <c r="H17947" i="1"/>
  <c r="G17947" i="1"/>
  <c r="E17947" i="1"/>
  <c r="H17946" i="1"/>
  <c r="G17946" i="1"/>
  <c r="E17946" i="1"/>
  <c r="H17945" i="1"/>
  <c r="G17945" i="1"/>
  <c r="E17945" i="1"/>
  <c r="H17944" i="1"/>
  <c r="G17944" i="1"/>
  <c r="E17944" i="1"/>
  <c r="H17943" i="1"/>
  <c r="G17943" i="1"/>
  <c r="E17943" i="1"/>
  <c r="H17942" i="1"/>
  <c r="G17942" i="1"/>
  <c r="E17942" i="1"/>
  <c r="H17941" i="1"/>
  <c r="G17941" i="1"/>
  <c r="E17941" i="1"/>
  <c r="H17940" i="1"/>
  <c r="G17940" i="1"/>
  <c r="E17940" i="1"/>
  <c r="H17939" i="1"/>
  <c r="G17939" i="1"/>
  <c r="E17939" i="1"/>
  <c r="H17938" i="1"/>
  <c r="G17938" i="1"/>
  <c r="E17938" i="1"/>
  <c r="H17937" i="1"/>
  <c r="G17937" i="1"/>
  <c r="E17937" i="1"/>
  <c r="H17936" i="1"/>
  <c r="G17936" i="1"/>
  <c r="E17936" i="1"/>
  <c r="H17935" i="1"/>
  <c r="G17935" i="1"/>
  <c r="E17935" i="1"/>
  <c r="H17934" i="1"/>
  <c r="G17934" i="1"/>
  <c r="E17934" i="1"/>
  <c r="H17933" i="1"/>
  <c r="G17933" i="1"/>
  <c r="E17933" i="1"/>
  <c r="H17932" i="1"/>
  <c r="G17932" i="1"/>
  <c r="E17932" i="1"/>
  <c r="H17931" i="1"/>
  <c r="G17931" i="1"/>
  <c r="E17931" i="1"/>
  <c r="H17930" i="1"/>
  <c r="G17930" i="1"/>
  <c r="E17930" i="1"/>
  <c r="H17929" i="1"/>
  <c r="G17929" i="1"/>
  <c r="E17929" i="1"/>
  <c r="H17928" i="1"/>
  <c r="G17928" i="1"/>
  <c r="E17928" i="1"/>
  <c r="H17927" i="1"/>
  <c r="G17927" i="1"/>
  <c r="E17927" i="1"/>
  <c r="H17926" i="1"/>
  <c r="G17926" i="1"/>
  <c r="E17926" i="1"/>
  <c r="H17925" i="1"/>
  <c r="G17925" i="1"/>
  <c r="E17925" i="1"/>
  <c r="H17924" i="1"/>
  <c r="G17924" i="1"/>
  <c r="E17924" i="1"/>
  <c r="H17923" i="1"/>
  <c r="G17923" i="1"/>
  <c r="E17923" i="1"/>
  <c r="H17922" i="1"/>
  <c r="G17922" i="1"/>
  <c r="E17922" i="1"/>
  <c r="H17921" i="1"/>
  <c r="G17921" i="1"/>
  <c r="E17921" i="1"/>
  <c r="H17920" i="1"/>
  <c r="G17920" i="1"/>
  <c r="E17920" i="1"/>
  <c r="H17919" i="1"/>
  <c r="G17919" i="1"/>
  <c r="E17919" i="1"/>
  <c r="H17918" i="1"/>
  <c r="G17918" i="1"/>
  <c r="E17918" i="1"/>
  <c r="H17917" i="1"/>
  <c r="G17917" i="1"/>
  <c r="E17917" i="1"/>
  <c r="H17916" i="1"/>
  <c r="G17916" i="1"/>
  <c r="E17916" i="1"/>
  <c r="H17915" i="1"/>
  <c r="G17915" i="1"/>
  <c r="E17915" i="1"/>
  <c r="H17914" i="1"/>
  <c r="G17914" i="1"/>
  <c r="E17914" i="1"/>
  <c r="H17913" i="1"/>
  <c r="G17913" i="1"/>
  <c r="E17913" i="1"/>
  <c r="H17912" i="1"/>
  <c r="G17912" i="1"/>
  <c r="E17912" i="1"/>
  <c r="H17911" i="1"/>
  <c r="G17911" i="1"/>
  <c r="E17911" i="1"/>
  <c r="H17910" i="1"/>
  <c r="G17910" i="1"/>
  <c r="E17910" i="1"/>
  <c r="H17909" i="1"/>
  <c r="G17909" i="1"/>
  <c r="E17909" i="1"/>
  <c r="H17908" i="1"/>
  <c r="G17908" i="1"/>
  <c r="E17908" i="1"/>
  <c r="H17907" i="1"/>
  <c r="G17907" i="1"/>
  <c r="E17907" i="1"/>
  <c r="H17906" i="1"/>
  <c r="G17906" i="1"/>
  <c r="E17906" i="1"/>
  <c r="H17905" i="1"/>
  <c r="G17905" i="1"/>
  <c r="E17905" i="1"/>
  <c r="H17904" i="1"/>
  <c r="G17904" i="1"/>
  <c r="E17904" i="1"/>
  <c r="H17903" i="1"/>
  <c r="G17903" i="1"/>
  <c r="E17903" i="1"/>
  <c r="H17902" i="1"/>
  <c r="G17902" i="1"/>
  <c r="E17902" i="1"/>
  <c r="H17901" i="1"/>
  <c r="G17901" i="1"/>
  <c r="E17901" i="1"/>
  <c r="H17900" i="1"/>
  <c r="G17900" i="1"/>
  <c r="E17900" i="1"/>
  <c r="H17899" i="1"/>
  <c r="G17899" i="1"/>
  <c r="E17899" i="1"/>
  <c r="H17898" i="1"/>
  <c r="G17898" i="1"/>
  <c r="E17898" i="1"/>
  <c r="H17897" i="1"/>
  <c r="G17897" i="1"/>
  <c r="E17897" i="1"/>
  <c r="H17896" i="1"/>
  <c r="G17896" i="1"/>
  <c r="E17896" i="1"/>
  <c r="H17895" i="1"/>
  <c r="G17895" i="1"/>
  <c r="E17895" i="1"/>
  <c r="H17894" i="1"/>
  <c r="G17894" i="1"/>
  <c r="E17894" i="1"/>
  <c r="H17893" i="1"/>
  <c r="G17893" i="1"/>
  <c r="E17893" i="1"/>
  <c r="H17892" i="1"/>
  <c r="G17892" i="1"/>
  <c r="E17892" i="1"/>
  <c r="H17891" i="1"/>
  <c r="G17891" i="1"/>
  <c r="E17891" i="1"/>
  <c r="H17890" i="1"/>
  <c r="G17890" i="1"/>
  <c r="E17890" i="1"/>
  <c r="H17889" i="1"/>
  <c r="G17889" i="1"/>
  <c r="E17889" i="1"/>
  <c r="H17888" i="1"/>
  <c r="G17888" i="1"/>
  <c r="E17888" i="1"/>
  <c r="H17887" i="1"/>
  <c r="G17887" i="1"/>
  <c r="E17887" i="1"/>
  <c r="H17886" i="1"/>
  <c r="G17886" i="1"/>
  <c r="E17886" i="1"/>
  <c r="H17885" i="1"/>
  <c r="G17885" i="1"/>
  <c r="E17885" i="1"/>
  <c r="H17884" i="1"/>
  <c r="G17884" i="1"/>
  <c r="E17884" i="1"/>
  <c r="H17883" i="1"/>
  <c r="G17883" i="1"/>
  <c r="E17883" i="1"/>
  <c r="H17882" i="1"/>
  <c r="G17882" i="1"/>
  <c r="E17882" i="1"/>
  <c r="H17881" i="1"/>
  <c r="G17881" i="1"/>
  <c r="E17881" i="1"/>
  <c r="H17880" i="1"/>
  <c r="G17880" i="1"/>
  <c r="E17880" i="1"/>
  <c r="H17879" i="1"/>
  <c r="G17879" i="1"/>
  <c r="E17879" i="1"/>
  <c r="H17878" i="1"/>
  <c r="G17878" i="1"/>
  <c r="E17878" i="1"/>
  <c r="H17877" i="1"/>
  <c r="G17877" i="1"/>
  <c r="E17877" i="1"/>
  <c r="H17876" i="1"/>
  <c r="G17876" i="1"/>
  <c r="E17876" i="1"/>
  <c r="H17875" i="1"/>
  <c r="G17875" i="1"/>
  <c r="E17875" i="1"/>
  <c r="H17874" i="1"/>
  <c r="G17874" i="1"/>
  <c r="E17874" i="1"/>
  <c r="H17873" i="1"/>
  <c r="G17873" i="1"/>
  <c r="E17873" i="1"/>
  <c r="H17872" i="1"/>
  <c r="G17872" i="1"/>
  <c r="E17872" i="1"/>
  <c r="H17871" i="1"/>
  <c r="G17871" i="1"/>
  <c r="E17871" i="1"/>
  <c r="H17870" i="1"/>
  <c r="G17870" i="1"/>
  <c r="E17870" i="1"/>
  <c r="H17869" i="1"/>
  <c r="G17869" i="1"/>
  <c r="E17869" i="1"/>
  <c r="H17868" i="1"/>
  <c r="G17868" i="1"/>
  <c r="E17868" i="1"/>
  <c r="H17867" i="1"/>
  <c r="G17867" i="1"/>
  <c r="E17867" i="1"/>
  <c r="H17866" i="1"/>
  <c r="G17866" i="1"/>
  <c r="E17866" i="1"/>
  <c r="H17865" i="1"/>
  <c r="G17865" i="1"/>
  <c r="E17865" i="1"/>
  <c r="H17864" i="1"/>
  <c r="G17864" i="1"/>
  <c r="E17864" i="1"/>
  <c r="H17863" i="1"/>
  <c r="G17863" i="1"/>
  <c r="E17863" i="1"/>
  <c r="H17862" i="1"/>
  <c r="G17862" i="1"/>
  <c r="E17862" i="1"/>
  <c r="H17861" i="1"/>
  <c r="G17861" i="1"/>
  <c r="E17861" i="1"/>
  <c r="H17860" i="1"/>
  <c r="G17860" i="1"/>
  <c r="E17860" i="1"/>
  <c r="H17859" i="1"/>
  <c r="G17859" i="1"/>
  <c r="E17859" i="1"/>
  <c r="H17858" i="1"/>
  <c r="G17858" i="1"/>
  <c r="E17858" i="1"/>
  <c r="H17857" i="1"/>
  <c r="G17857" i="1"/>
  <c r="E17857" i="1"/>
  <c r="H17856" i="1"/>
  <c r="G17856" i="1"/>
  <c r="E17856" i="1"/>
  <c r="H17855" i="1"/>
  <c r="G17855" i="1"/>
  <c r="E17855" i="1"/>
  <c r="H17854" i="1"/>
  <c r="G17854" i="1"/>
  <c r="E17854" i="1"/>
  <c r="H17853" i="1"/>
  <c r="G17853" i="1"/>
  <c r="E17853" i="1"/>
  <c r="H17852" i="1"/>
  <c r="G17852" i="1"/>
  <c r="E17852" i="1"/>
  <c r="H17851" i="1"/>
  <c r="G17851" i="1"/>
  <c r="E17851" i="1"/>
  <c r="H17850" i="1"/>
  <c r="G17850" i="1"/>
  <c r="E17850" i="1"/>
  <c r="H17849" i="1"/>
  <c r="G17849" i="1"/>
  <c r="E17849" i="1"/>
  <c r="H17848" i="1"/>
  <c r="G17848" i="1"/>
  <c r="E17848" i="1"/>
  <c r="H17847" i="1"/>
  <c r="G17847" i="1"/>
  <c r="E17847" i="1"/>
  <c r="H17846" i="1"/>
  <c r="G17846" i="1"/>
  <c r="E17846" i="1"/>
  <c r="H17845" i="1"/>
  <c r="G17845" i="1"/>
  <c r="E17845" i="1"/>
  <c r="H17844" i="1"/>
  <c r="G17844" i="1"/>
  <c r="E17844" i="1"/>
  <c r="H17843" i="1"/>
  <c r="G17843" i="1"/>
  <c r="E17843" i="1"/>
  <c r="H17842" i="1"/>
  <c r="G17842" i="1"/>
  <c r="E17842" i="1"/>
  <c r="H17841" i="1"/>
  <c r="G17841" i="1"/>
  <c r="E17841" i="1"/>
  <c r="H17840" i="1"/>
  <c r="G17840" i="1"/>
  <c r="E17840" i="1"/>
  <c r="H17839" i="1"/>
  <c r="G17839" i="1"/>
  <c r="E17839" i="1"/>
  <c r="H17838" i="1"/>
  <c r="G17838" i="1"/>
  <c r="E17838" i="1"/>
  <c r="H17837" i="1"/>
  <c r="G17837" i="1"/>
  <c r="E17837" i="1"/>
  <c r="H17836" i="1"/>
  <c r="G17836" i="1"/>
  <c r="E17836" i="1"/>
  <c r="H17835" i="1"/>
  <c r="G17835" i="1"/>
  <c r="E17835" i="1"/>
  <c r="H17834" i="1"/>
  <c r="G17834" i="1"/>
  <c r="E17834" i="1"/>
  <c r="H17833" i="1"/>
  <c r="G17833" i="1"/>
  <c r="E17833" i="1"/>
  <c r="H17832" i="1"/>
  <c r="G17832" i="1"/>
  <c r="E17832" i="1"/>
  <c r="H17831" i="1"/>
  <c r="G17831" i="1"/>
  <c r="E17831" i="1"/>
  <c r="H17830" i="1"/>
  <c r="G17830" i="1"/>
  <c r="E17830" i="1"/>
  <c r="H17829" i="1"/>
  <c r="G17829" i="1"/>
  <c r="E17829" i="1"/>
  <c r="H17828" i="1"/>
  <c r="G17828" i="1"/>
  <c r="E17828" i="1"/>
  <c r="H17827" i="1"/>
  <c r="G17827" i="1"/>
  <c r="E17827" i="1"/>
  <c r="H17826" i="1"/>
  <c r="G17826" i="1"/>
  <c r="E17826" i="1"/>
  <c r="H17825" i="1"/>
  <c r="G17825" i="1"/>
  <c r="E17825" i="1"/>
  <c r="H17824" i="1"/>
  <c r="G17824" i="1"/>
  <c r="E17824" i="1"/>
  <c r="H17823" i="1"/>
  <c r="G17823" i="1"/>
  <c r="E17823" i="1"/>
  <c r="H17822" i="1"/>
  <c r="G17822" i="1"/>
  <c r="E17822" i="1"/>
  <c r="H17821" i="1"/>
  <c r="G17821" i="1"/>
  <c r="E17821" i="1"/>
  <c r="H17820" i="1"/>
  <c r="G17820" i="1"/>
  <c r="E17820" i="1"/>
  <c r="H17819" i="1"/>
  <c r="G17819" i="1"/>
  <c r="E17819" i="1"/>
  <c r="H17818" i="1"/>
  <c r="G17818" i="1"/>
  <c r="E17818" i="1"/>
  <c r="H17817" i="1"/>
  <c r="G17817" i="1"/>
  <c r="E17817" i="1"/>
  <c r="H17816" i="1"/>
  <c r="G17816" i="1"/>
  <c r="E17816" i="1"/>
  <c r="H17815" i="1"/>
  <c r="G17815" i="1"/>
  <c r="E17815" i="1"/>
  <c r="H17814" i="1"/>
  <c r="G17814" i="1"/>
  <c r="E17814" i="1"/>
  <c r="H17813" i="1"/>
  <c r="G17813" i="1"/>
  <c r="E17813" i="1"/>
  <c r="H17812" i="1"/>
  <c r="G17812" i="1"/>
  <c r="E17812" i="1"/>
  <c r="H17811" i="1"/>
  <c r="G17811" i="1"/>
  <c r="E17811" i="1"/>
  <c r="H17810" i="1"/>
  <c r="G17810" i="1"/>
  <c r="E17810" i="1"/>
  <c r="H17809" i="1"/>
  <c r="G17809" i="1"/>
  <c r="E17809" i="1"/>
  <c r="H17808" i="1"/>
  <c r="G17808" i="1"/>
  <c r="E17808" i="1"/>
  <c r="H17807" i="1"/>
  <c r="G17807" i="1"/>
  <c r="E17807" i="1"/>
  <c r="H17806" i="1"/>
  <c r="G17806" i="1"/>
  <c r="E17806" i="1"/>
  <c r="H17805" i="1"/>
  <c r="G17805" i="1"/>
  <c r="E17805" i="1"/>
  <c r="H17804" i="1"/>
  <c r="G17804" i="1"/>
  <c r="E17804" i="1"/>
  <c r="H17803" i="1"/>
  <c r="G17803" i="1"/>
  <c r="E17803" i="1"/>
  <c r="H17802" i="1"/>
  <c r="G17802" i="1"/>
  <c r="E17802" i="1"/>
  <c r="H17801" i="1"/>
  <c r="G17801" i="1"/>
  <c r="E17801" i="1"/>
  <c r="H17800" i="1"/>
  <c r="G17800" i="1"/>
  <c r="E17800" i="1"/>
  <c r="H17799" i="1"/>
  <c r="G17799" i="1"/>
  <c r="E17799" i="1"/>
  <c r="H17798" i="1"/>
  <c r="G17798" i="1"/>
  <c r="E17798" i="1"/>
  <c r="H17797" i="1"/>
  <c r="G17797" i="1"/>
  <c r="E17797" i="1"/>
  <c r="H17796" i="1"/>
  <c r="G17796" i="1"/>
  <c r="E17796" i="1"/>
  <c r="H17795" i="1"/>
  <c r="G17795" i="1"/>
  <c r="E17795" i="1"/>
  <c r="H17794" i="1"/>
  <c r="G17794" i="1"/>
  <c r="E17794" i="1"/>
  <c r="H17793" i="1"/>
  <c r="G17793" i="1"/>
  <c r="E17793" i="1"/>
  <c r="H17792" i="1"/>
  <c r="G17792" i="1"/>
  <c r="E17792" i="1"/>
  <c r="H17791" i="1"/>
  <c r="G17791" i="1"/>
  <c r="E17791" i="1"/>
  <c r="H17790" i="1"/>
  <c r="G17790" i="1"/>
  <c r="E17790" i="1"/>
  <c r="H17789" i="1"/>
  <c r="G17789" i="1"/>
  <c r="E17789" i="1"/>
  <c r="H17788" i="1"/>
  <c r="G17788" i="1"/>
  <c r="E17788" i="1"/>
  <c r="H17787" i="1"/>
  <c r="G17787" i="1"/>
  <c r="E17787" i="1"/>
  <c r="H17786" i="1"/>
  <c r="G17786" i="1"/>
  <c r="E17786" i="1"/>
  <c r="H17785" i="1"/>
  <c r="G17785" i="1"/>
  <c r="E17785" i="1"/>
  <c r="H17784" i="1"/>
  <c r="G17784" i="1"/>
  <c r="E17784" i="1"/>
  <c r="H17783" i="1"/>
  <c r="G17783" i="1"/>
  <c r="E17783" i="1"/>
  <c r="H17782" i="1"/>
  <c r="G17782" i="1"/>
  <c r="E17782" i="1"/>
  <c r="H17781" i="1"/>
  <c r="G17781" i="1"/>
  <c r="E17781" i="1"/>
  <c r="H17780" i="1"/>
  <c r="G17780" i="1"/>
  <c r="E17780" i="1"/>
  <c r="H17779" i="1"/>
  <c r="G17779" i="1"/>
  <c r="E17779" i="1"/>
  <c r="H17778" i="1"/>
  <c r="G17778" i="1"/>
  <c r="E17778" i="1"/>
  <c r="H17777" i="1"/>
  <c r="G17777" i="1"/>
  <c r="E17777" i="1"/>
  <c r="H17776" i="1"/>
  <c r="G17776" i="1"/>
  <c r="E17776" i="1"/>
  <c r="H17775" i="1"/>
  <c r="G17775" i="1"/>
  <c r="E17775" i="1"/>
  <c r="H17774" i="1"/>
  <c r="G17774" i="1"/>
  <c r="E17774" i="1"/>
  <c r="H17773" i="1"/>
  <c r="G17773" i="1"/>
  <c r="E17773" i="1"/>
  <c r="H17772" i="1"/>
  <c r="G17772" i="1"/>
  <c r="E17772" i="1"/>
  <c r="H17771" i="1"/>
  <c r="G17771" i="1"/>
  <c r="E17771" i="1"/>
  <c r="H17770" i="1"/>
  <c r="G17770" i="1"/>
  <c r="E17770" i="1"/>
  <c r="H17769" i="1"/>
  <c r="G17769" i="1"/>
  <c r="E17769" i="1"/>
  <c r="H17768" i="1"/>
  <c r="G17768" i="1"/>
  <c r="E17768" i="1"/>
  <c r="H17767" i="1"/>
  <c r="G17767" i="1"/>
  <c r="E17767" i="1"/>
  <c r="H17766" i="1"/>
  <c r="G17766" i="1"/>
  <c r="E17766" i="1"/>
  <c r="H17765" i="1"/>
  <c r="G17765" i="1"/>
  <c r="E17765" i="1"/>
  <c r="H17764" i="1"/>
  <c r="G17764" i="1"/>
  <c r="E17764" i="1"/>
  <c r="H17763" i="1"/>
  <c r="G17763" i="1"/>
  <c r="E17763" i="1"/>
  <c r="H17762" i="1"/>
  <c r="G17762" i="1"/>
  <c r="E17762" i="1"/>
  <c r="H17761" i="1"/>
  <c r="G17761" i="1"/>
  <c r="E17761" i="1"/>
  <c r="H17760" i="1"/>
  <c r="G17760" i="1"/>
  <c r="E17760" i="1"/>
  <c r="H17759" i="1"/>
  <c r="G17759" i="1"/>
  <c r="E17759" i="1"/>
  <c r="H17758" i="1"/>
  <c r="G17758" i="1"/>
  <c r="E17758" i="1"/>
  <c r="H17757" i="1"/>
  <c r="G17757" i="1"/>
  <c r="E17757" i="1"/>
  <c r="H17756" i="1"/>
  <c r="G17756" i="1"/>
  <c r="E17756" i="1"/>
  <c r="H17755" i="1"/>
  <c r="G17755" i="1"/>
  <c r="E17755" i="1"/>
  <c r="H17754" i="1"/>
  <c r="G17754" i="1"/>
  <c r="E17754" i="1"/>
  <c r="H17753" i="1"/>
  <c r="G17753" i="1"/>
  <c r="E17753" i="1"/>
  <c r="H17752" i="1"/>
  <c r="G17752" i="1"/>
  <c r="E17752" i="1"/>
  <c r="H17751" i="1"/>
  <c r="G17751" i="1"/>
  <c r="E17751" i="1"/>
  <c r="H17750" i="1"/>
  <c r="G17750" i="1"/>
  <c r="E17750" i="1"/>
  <c r="H17749" i="1"/>
  <c r="G17749" i="1"/>
  <c r="E17749" i="1"/>
  <c r="H17748" i="1"/>
  <c r="G17748" i="1"/>
  <c r="E17748" i="1"/>
  <c r="H17747" i="1"/>
  <c r="G17747" i="1"/>
  <c r="E17747" i="1"/>
  <c r="H17746" i="1"/>
  <c r="G17746" i="1"/>
  <c r="E17746" i="1"/>
  <c r="H17745" i="1"/>
  <c r="G17745" i="1"/>
  <c r="E17745" i="1"/>
  <c r="H17744" i="1"/>
  <c r="G17744" i="1"/>
  <c r="E17744" i="1"/>
  <c r="H17743" i="1"/>
  <c r="G17743" i="1"/>
  <c r="E17743" i="1"/>
  <c r="H17742" i="1"/>
  <c r="G17742" i="1"/>
  <c r="E17742" i="1"/>
  <c r="H17741" i="1"/>
  <c r="G17741" i="1"/>
  <c r="E17741" i="1"/>
  <c r="H17740" i="1"/>
  <c r="G17740" i="1"/>
  <c r="E17740" i="1"/>
  <c r="H17739" i="1"/>
  <c r="G17739" i="1"/>
  <c r="E17739" i="1"/>
  <c r="H17738" i="1"/>
  <c r="G17738" i="1"/>
  <c r="E17738" i="1"/>
  <c r="H17737" i="1"/>
  <c r="G17737" i="1"/>
  <c r="E17737" i="1"/>
  <c r="H17736" i="1"/>
  <c r="G17736" i="1"/>
  <c r="E17736" i="1"/>
  <c r="H17735" i="1"/>
  <c r="G17735" i="1"/>
  <c r="E17735" i="1"/>
  <c r="H17734" i="1"/>
  <c r="G17734" i="1"/>
  <c r="E17734" i="1"/>
  <c r="H17733" i="1"/>
  <c r="G17733" i="1"/>
  <c r="E17733" i="1"/>
  <c r="H17732" i="1"/>
  <c r="G17732" i="1"/>
  <c r="E17732" i="1"/>
  <c r="H17731" i="1"/>
  <c r="G17731" i="1"/>
  <c r="E17731" i="1"/>
  <c r="H17730" i="1"/>
  <c r="G17730" i="1"/>
  <c r="E17730" i="1"/>
  <c r="H17729" i="1"/>
  <c r="G17729" i="1"/>
  <c r="E17729" i="1"/>
  <c r="H17728" i="1"/>
  <c r="G17728" i="1"/>
  <c r="E17728" i="1"/>
  <c r="H17727" i="1"/>
  <c r="G17727" i="1"/>
  <c r="E17727" i="1"/>
  <c r="H17726" i="1"/>
  <c r="G17726" i="1"/>
  <c r="E17726" i="1"/>
  <c r="H17725" i="1"/>
  <c r="G17725" i="1"/>
  <c r="E17725" i="1"/>
  <c r="H17724" i="1"/>
  <c r="G17724" i="1"/>
  <c r="E17724" i="1"/>
  <c r="H17723" i="1"/>
  <c r="G17723" i="1"/>
  <c r="E17723" i="1"/>
  <c r="H17722" i="1"/>
  <c r="G17722" i="1"/>
  <c r="E17722" i="1"/>
  <c r="H17721" i="1"/>
  <c r="G17721" i="1"/>
  <c r="E17721" i="1"/>
  <c r="H17720" i="1"/>
  <c r="G17720" i="1"/>
  <c r="E17720" i="1"/>
  <c r="H17719" i="1"/>
  <c r="G17719" i="1"/>
  <c r="E17719" i="1"/>
  <c r="H17718" i="1"/>
  <c r="G17718" i="1"/>
  <c r="E17718" i="1"/>
  <c r="H17717" i="1"/>
  <c r="G17717" i="1"/>
  <c r="E17717" i="1"/>
  <c r="H17716" i="1"/>
  <c r="G17716" i="1"/>
  <c r="E17716" i="1"/>
  <c r="H17715" i="1"/>
  <c r="G17715" i="1"/>
  <c r="E17715" i="1"/>
  <c r="H17714" i="1"/>
  <c r="G17714" i="1"/>
  <c r="E17714" i="1"/>
  <c r="H17713" i="1"/>
  <c r="G17713" i="1"/>
  <c r="E17713" i="1"/>
  <c r="H17712" i="1"/>
  <c r="G17712" i="1"/>
  <c r="E17712" i="1"/>
  <c r="H17711" i="1"/>
  <c r="G17711" i="1"/>
  <c r="E17711" i="1"/>
  <c r="H17710" i="1"/>
  <c r="G17710" i="1"/>
  <c r="E17710" i="1"/>
  <c r="H17709" i="1"/>
  <c r="G17709" i="1"/>
  <c r="E17709" i="1"/>
  <c r="H17708" i="1"/>
  <c r="G17708" i="1"/>
  <c r="E17708" i="1"/>
  <c r="H17707" i="1"/>
  <c r="G17707" i="1"/>
  <c r="E17707" i="1"/>
  <c r="H17706" i="1"/>
  <c r="G17706" i="1"/>
  <c r="E17706" i="1"/>
  <c r="H17705" i="1"/>
  <c r="G17705" i="1"/>
  <c r="E17705" i="1"/>
  <c r="H17704" i="1"/>
  <c r="G17704" i="1"/>
  <c r="E17704" i="1"/>
  <c r="H17703" i="1"/>
  <c r="G17703" i="1"/>
  <c r="E17703" i="1"/>
  <c r="H17702" i="1"/>
  <c r="G17702" i="1"/>
  <c r="E17702" i="1"/>
  <c r="H17701" i="1"/>
  <c r="G17701" i="1"/>
  <c r="E17701" i="1"/>
  <c r="H17700" i="1"/>
  <c r="G17700" i="1"/>
  <c r="E17700" i="1"/>
  <c r="H17699" i="1"/>
  <c r="G17699" i="1"/>
  <c r="E17699" i="1"/>
  <c r="H17698" i="1"/>
  <c r="G17698" i="1"/>
  <c r="E17698" i="1"/>
  <c r="H17697" i="1"/>
  <c r="G17697" i="1"/>
  <c r="E17697" i="1"/>
  <c r="H17696" i="1"/>
  <c r="G17696" i="1"/>
  <c r="E17696" i="1"/>
  <c r="H17695" i="1"/>
  <c r="G17695" i="1"/>
  <c r="E17695" i="1"/>
  <c r="H17694" i="1"/>
  <c r="G17694" i="1"/>
  <c r="E17694" i="1"/>
  <c r="H17693" i="1"/>
  <c r="G17693" i="1"/>
  <c r="E17693" i="1"/>
  <c r="H17692" i="1"/>
  <c r="G17692" i="1"/>
  <c r="E17692" i="1"/>
  <c r="H17691" i="1"/>
  <c r="G17691" i="1"/>
  <c r="E17691" i="1"/>
  <c r="H17690" i="1"/>
  <c r="G17690" i="1"/>
  <c r="E17690" i="1"/>
  <c r="H17689" i="1"/>
  <c r="G17689" i="1"/>
  <c r="E17689" i="1"/>
  <c r="H17688" i="1"/>
  <c r="G17688" i="1"/>
  <c r="E17688" i="1"/>
  <c r="H17687" i="1"/>
  <c r="G17687" i="1"/>
  <c r="E17687" i="1"/>
  <c r="H17686" i="1"/>
  <c r="G17686" i="1"/>
  <c r="E17686" i="1"/>
  <c r="H17685" i="1"/>
  <c r="G17685" i="1"/>
  <c r="E17685" i="1"/>
  <c r="H17684" i="1"/>
  <c r="G17684" i="1"/>
  <c r="E17684" i="1"/>
  <c r="H17683" i="1"/>
  <c r="G17683" i="1"/>
  <c r="E17683" i="1"/>
  <c r="H17682" i="1"/>
  <c r="G17682" i="1"/>
  <c r="E17682" i="1"/>
  <c r="H17681" i="1"/>
  <c r="G17681" i="1"/>
  <c r="E17681" i="1"/>
  <c r="H17680" i="1"/>
  <c r="G17680" i="1"/>
  <c r="E17680" i="1"/>
  <c r="H17679" i="1"/>
  <c r="G17679" i="1"/>
  <c r="E17679" i="1"/>
  <c r="H17678" i="1"/>
  <c r="G17678" i="1"/>
  <c r="E17678" i="1"/>
  <c r="H17677" i="1"/>
  <c r="G17677" i="1"/>
  <c r="E17677" i="1"/>
  <c r="H17676" i="1"/>
  <c r="G17676" i="1"/>
  <c r="E17676" i="1"/>
  <c r="H17675" i="1"/>
  <c r="G17675" i="1"/>
  <c r="E17675" i="1"/>
  <c r="H17674" i="1"/>
  <c r="G17674" i="1"/>
  <c r="E17674" i="1"/>
  <c r="H17673" i="1"/>
  <c r="G17673" i="1"/>
  <c r="E17673" i="1"/>
  <c r="H17672" i="1"/>
  <c r="G17672" i="1"/>
  <c r="E17672" i="1"/>
  <c r="H17671" i="1"/>
  <c r="G17671" i="1"/>
  <c r="E17671" i="1"/>
  <c r="H17670" i="1"/>
  <c r="G17670" i="1"/>
  <c r="E17670" i="1"/>
  <c r="H17669" i="1"/>
  <c r="G17669" i="1"/>
  <c r="E17669" i="1"/>
  <c r="H17668" i="1"/>
  <c r="G17668" i="1"/>
  <c r="E17668" i="1"/>
  <c r="H17667" i="1"/>
  <c r="G17667" i="1"/>
  <c r="E17667" i="1"/>
  <c r="H17666" i="1"/>
  <c r="G17666" i="1"/>
  <c r="E17666" i="1"/>
  <c r="H17665" i="1"/>
  <c r="G17665" i="1"/>
  <c r="E17665" i="1"/>
  <c r="H17664" i="1"/>
  <c r="G17664" i="1"/>
  <c r="E17664" i="1"/>
  <c r="H17663" i="1"/>
  <c r="G17663" i="1"/>
  <c r="E17663" i="1"/>
  <c r="H17662" i="1"/>
  <c r="G17662" i="1"/>
  <c r="E17662" i="1"/>
  <c r="H17661" i="1"/>
  <c r="G17661" i="1"/>
  <c r="E17661" i="1"/>
  <c r="H17660" i="1"/>
  <c r="G17660" i="1"/>
  <c r="E17660" i="1"/>
  <c r="H17659" i="1"/>
  <c r="G17659" i="1"/>
  <c r="E17659" i="1"/>
  <c r="H17658" i="1"/>
  <c r="G17658" i="1"/>
  <c r="E17658" i="1"/>
  <c r="H17657" i="1"/>
  <c r="G17657" i="1"/>
  <c r="E17657" i="1"/>
  <c r="H17656" i="1"/>
  <c r="G17656" i="1"/>
  <c r="E17656" i="1"/>
  <c r="H17655" i="1"/>
  <c r="G17655" i="1"/>
  <c r="E17655" i="1"/>
  <c r="H17654" i="1"/>
  <c r="G17654" i="1"/>
  <c r="E17654" i="1"/>
  <c r="H17653" i="1"/>
  <c r="G17653" i="1"/>
  <c r="E17653" i="1"/>
  <c r="H17652" i="1"/>
  <c r="G17652" i="1"/>
  <c r="E17652" i="1"/>
  <c r="H17651" i="1"/>
  <c r="G17651" i="1"/>
  <c r="E17651" i="1"/>
  <c r="H17650" i="1"/>
  <c r="G17650" i="1"/>
  <c r="E17650" i="1"/>
  <c r="H17649" i="1"/>
  <c r="G17649" i="1"/>
  <c r="E17649" i="1"/>
  <c r="H17648" i="1"/>
  <c r="G17648" i="1"/>
  <c r="E17648" i="1"/>
  <c r="H17647" i="1"/>
  <c r="G17647" i="1"/>
  <c r="E17647" i="1"/>
  <c r="H17646" i="1"/>
  <c r="G17646" i="1"/>
  <c r="E17646" i="1"/>
  <c r="H17645" i="1"/>
  <c r="G17645" i="1"/>
  <c r="E17645" i="1"/>
  <c r="H17644" i="1"/>
  <c r="G17644" i="1"/>
  <c r="E17644" i="1"/>
  <c r="H17643" i="1"/>
  <c r="G17643" i="1"/>
  <c r="E17643" i="1"/>
  <c r="H17642" i="1"/>
  <c r="G17642" i="1"/>
  <c r="E17642" i="1"/>
  <c r="H17641" i="1"/>
  <c r="G17641" i="1"/>
  <c r="E17641" i="1"/>
  <c r="H17640" i="1"/>
  <c r="G17640" i="1"/>
  <c r="E17640" i="1"/>
  <c r="H17639" i="1"/>
  <c r="G17639" i="1"/>
  <c r="E17639" i="1"/>
  <c r="H17638" i="1"/>
  <c r="G17638" i="1"/>
  <c r="E17638" i="1"/>
  <c r="H17637" i="1"/>
  <c r="G17637" i="1"/>
  <c r="E17637" i="1"/>
  <c r="H17636" i="1"/>
  <c r="G17636" i="1"/>
  <c r="E17636" i="1"/>
  <c r="H17635" i="1"/>
  <c r="G17635" i="1"/>
  <c r="E17635" i="1"/>
  <c r="H17634" i="1"/>
  <c r="G17634" i="1"/>
  <c r="E17634" i="1"/>
  <c r="H17633" i="1"/>
  <c r="G17633" i="1"/>
  <c r="E17633" i="1"/>
  <c r="H17632" i="1"/>
  <c r="G17632" i="1"/>
  <c r="E17632" i="1"/>
  <c r="H17631" i="1"/>
  <c r="G17631" i="1"/>
  <c r="E17631" i="1"/>
  <c r="H17630" i="1"/>
  <c r="G17630" i="1"/>
  <c r="E17630" i="1"/>
  <c r="H17629" i="1"/>
  <c r="G17629" i="1"/>
  <c r="E17629" i="1"/>
  <c r="H17628" i="1"/>
  <c r="G17628" i="1"/>
  <c r="E17628" i="1"/>
  <c r="H17627" i="1"/>
  <c r="G17627" i="1"/>
  <c r="E17627" i="1"/>
  <c r="H17626" i="1"/>
  <c r="G17626" i="1"/>
  <c r="E17626" i="1"/>
  <c r="H17625" i="1"/>
  <c r="G17625" i="1"/>
  <c r="E17625" i="1"/>
  <c r="H17624" i="1"/>
  <c r="G17624" i="1"/>
  <c r="E17624" i="1"/>
  <c r="H17623" i="1"/>
  <c r="G17623" i="1"/>
  <c r="E17623" i="1"/>
  <c r="H17622" i="1"/>
  <c r="G17622" i="1"/>
  <c r="E17622" i="1"/>
  <c r="H17621" i="1"/>
  <c r="G17621" i="1"/>
  <c r="E17621" i="1"/>
  <c r="H17620" i="1"/>
  <c r="G17620" i="1"/>
  <c r="E17620" i="1"/>
  <c r="H17619" i="1"/>
  <c r="G17619" i="1"/>
  <c r="E17619" i="1"/>
  <c r="H17618" i="1"/>
  <c r="G17618" i="1"/>
  <c r="E17618" i="1"/>
  <c r="H17617" i="1"/>
  <c r="G17617" i="1"/>
  <c r="E17617" i="1"/>
  <c r="H17616" i="1"/>
  <c r="G17616" i="1"/>
  <c r="E17616" i="1"/>
  <c r="H17615" i="1"/>
  <c r="G17615" i="1"/>
  <c r="E17615" i="1"/>
  <c r="H17614" i="1"/>
  <c r="G17614" i="1"/>
  <c r="E17614" i="1"/>
  <c r="H17613" i="1"/>
  <c r="G17613" i="1"/>
  <c r="E17613" i="1"/>
  <c r="H17612" i="1"/>
  <c r="G17612" i="1"/>
  <c r="E17612" i="1"/>
  <c r="H17611" i="1"/>
  <c r="G17611" i="1"/>
  <c r="E17611" i="1"/>
  <c r="H17610" i="1"/>
  <c r="G17610" i="1"/>
  <c r="E17610" i="1"/>
  <c r="H17609" i="1"/>
  <c r="G17609" i="1"/>
  <c r="E17609" i="1"/>
  <c r="H17608" i="1"/>
  <c r="G17608" i="1"/>
  <c r="E17608" i="1"/>
  <c r="H17607" i="1"/>
  <c r="G17607" i="1"/>
  <c r="E17607" i="1"/>
  <c r="H17606" i="1"/>
  <c r="G17606" i="1"/>
  <c r="E17606" i="1"/>
  <c r="H17605" i="1"/>
  <c r="G17605" i="1"/>
  <c r="E17605" i="1"/>
  <c r="H17604" i="1"/>
  <c r="G17604" i="1"/>
  <c r="E17604" i="1"/>
  <c r="H17603" i="1"/>
  <c r="G17603" i="1"/>
  <c r="E17603" i="1"/>
  <c r="H17602" i="1"/>
  <c r="G17602" i="1"/>
  <c r="E17602" i="1"/>
  <c r="H17601" i="1"/>
  <c r="G17601" i="1"/>
  <c r="E17601" i="1"/>
  <c r="H17600" i="1"/>
  <c r="G17600" i="1"/>
  <c r="E17600" i="1"/>
  <c r="H17599" i="1"/>
  <c r="G17599" i="1"/>
  <c r="E17599" i="1"/>
  <c r="H17598" i="1"/>
  <c r="G17598" i="1"/>
  <c r="E17598" i="1"/>
  <c r="H17597" i="1"/>
  <c r="G17597" i="1"/>
  <c r="E17597" i="1"/>
  <c r="H17596" i="1"/>
  <c r="G17596" i="1"/>
  <c r="E17596" i="1"/>
  <c r="H17595" i="1"/>
  <c r="G17595" i="1"/>
  <c r="E17595" i="1"/>
  <c r="H17594" i="1"/>
  <c r="G17594" i="1"/>
  <c r="E17594" i="1"/>
  <c r="H17593" i="1"/>
  <c r="G17593" i="1"/>
  <c r="E17593" i="1"/>
  <c r="H17592" i="1"/>
  <c r="G17592" i="1"/>
  <c r="E17592" i="1"/>
  <c r="H17591" i="1"/>
  <c r="G17591" i="1"/>
  <c r="E17591" i="1"/>
  <c r="H17590" i="1"/>
  <c r="G17590" i="1"/>
  <c r="E17590" i="1"/>
  <c r="H17589" i="1"/>
  <c r="G17589" i="1"/>
  <c r="E17589" i="1"/>
  <c r="H17588" i="1"/>
  <c r="G17588" i="1"/>
  <c r="E17588" i="1"/>
  <c r="H17587" i="1"/>
  <c r="G17587" i="1"/>
  <c r="E17587" i="1"/>
  <c r="H17586" i="1"/>
  <c r="G17586" i="1"/>
  <c r="E17586" i="1"/>
  <c r="H17585" i="1"/>
  <c r="G17585" i="1"/>
  <c r="E17585" i="1"/>
  <c r="H17584" i="1"/>
  <c r="G17584" i="1"/>
  <c r="E17584" i="1"/>
  <c r="H17583" i="1"/>
  <c r="G17583" i="1"/>
  <c r="E17583" i="1"/>
  <c r="H17582" i="1"/>
  <c r="G17582" i="1"/>
  <c r="E17582" i="1"/>
  <c r="H17581" i="1"/>
  <c r="G17581" i="1"/>
  <c r="E17581" i="1"/>
  <c r="H17580" i="1"/>
  <c r="G17580" i="1"/>
  <c r="E17580" i="1"/>
  <c r="H17579" i="1"/>
  <c r="G17579" i="1"/>
  <c r="E17579" i="1"/>
  <c r="H17578" i="1"/>
  <c r="G17578" i="1"/>
  <c r="E17578" i="1"/>
  <c r="H17577" i="1"/>
  <c r="G17577" i="1"/>
  <c r="E17577" i="1"/>
  <c r="H17576" i="1"/>
  <c r="G17576" i="1"/>
  <c r="E17576" i="1"/>
  <c r="H17575" i="1"/>
  <c r="G17575" i="1"/>
  <c r="E17575" i="1"/>
  <c r="H17574" i="1"/>
  <c r="G17574" i="1"/>
  <c r="E17574" i="1"/>
  <c r="H17573" i="1"/>
  <c r="G17573" i="1"/>
  <c r="E17573" i="1"/>
  <c r="H17572" i="1"/>
  <c r="G17572" i="1"/>
  <c r="E17572" i="1"/>
  <c r="H17571" i="1"/>
  <c r="G17571" i="1"/>
  <c r="E17571" i="1"/>
  <c r="H17570" i="1"/>
  <c r="G17570" i="1"/>
  <c r="E17570" i="1"/>
  <c r="H17569" i="1"/>
  <c r="G17569" i="1"/>
  <c r="E17569" i="1"/>
  <c r="H17568" i="1"/>
  <c r="G17568" i="1"/>
  <c r="E17568" i="1"/>
  <c r="H17567" i="1"/>
  <c r="G17567" i="1"/>
  <c r="E17567" i="1"/>
  <c r="H17566" i="1"/>
  <c r="G17566" i="1"/>
  <c r="E17566" i="1"/>
  <c r="H17565" i="1"/>
  <c r="G17565" i="1"/>
  <c r="E17565" i="1"/>
  <c r="H17564" i="1"/>
  <c r="G17564" i="1"/>
  <c r="E17564" i="1"/>
  <c r="H17563" i="1"/>
  <c r="G17563" i="1"/>
  <c r="E17563" i="1"/>
  <c r="H17562" i="1"/>
  <c r="G17562" i="1"/>
  <c r="E17562" i="1"/>
  <c r="H17561" i="1"/>
  <c r="G17561" i="1"/>
  <c r="E17561" i="1"/>
  <c r="H17560" i="1"/>
  <c r="G17560" i="1"/>
  <c r="E17560" i="1"/>
  <c r="H17559" i="1"/>
  <c r="G17559" i="1"/>
  <c r="E17559" i="1"/>
  <c r="H17558" i="1"/>
  <c r="G17558" i="1"/>
  <c r="E17558" i="1"/>
  <c r="H17557" i="1"/>
  <c r="G17557" i="1"/>
  <c r="E17557" i="1"/>
  <c r="H17556" i="1"/>
  <c r="G17556" i="1"/>
  <c r="E17556" i="1"/>
  <c r="H17555" i="1"/>
  <c r="G17555" i="1"/>
  <c r="E17555" i="1"/>
  <c r="H17554" i="1"/>
  <c r="G17554" i="1"/>
  <c r="E17554" i="1"/>
  <c r="H17553" i="1"/>
  <c r="G17553" i="1"/>
  <c r="E17553" i="1"/>
  <c r="H17552" i="1"/>
  <c r="G17552" i="1"/>
  <c r="E17552" i="1"/>
  <c r="H17551" i="1"/>
  <c r="G17551" i="1"/>
  <c r="E17551" i="1"/>
  <c r="H17550" i="1"/>
  <c r="G17550" i="1"/>
  <c r="E17550" i="1"/>
  <c r="H17549" i="1"/>
  <c r="G17549" i="1"/>
  <c r="E17549" i="1"/>
  <c r="H17548" i="1"/>
  <c r="G17548" i="1"/>
  <c r="E17548" i="1"/>
  <c r="H17547" i="1"/>
  <c r="G17547" i="1"/>
  <c r="E17547" i="1"/>
  <c r="H17546" i="1"/>
  <c r="G17546" i="1"/>
  <c r="E17546" i="1"/>
  <c r="H17545" i="1"/>
  <c r="G17545" i="1"/>
  <c r="E17545" i="1"/>
  <c r="H17544" i="1"/>
  <c r="G17544" i="1"/>
  <c r="E17544" i="1"/>
  <c r="H17543" i="1"/>
  <c r="G17543" i="1"/>
  <c r="E17543" i="1"/>
  <c r="H17542" i="1"/>
  <c r="G17542" i="1"/>
  <c r="E17542" i="1"/>
  <c r="H17541" i="1"/>
  <c r="G17541" i="1"/>
  <c r="E17541" i="1"/>
  <c r="H17540" i="1"/>
  <c r="G17540" i="1"/>
  <c r="E17540" i="1"/>
  <c r="H17539" i="1"/>
  <c r="G17539" i="1"/>
  <c r="E17539" i="1"/>
  <c r="H17538" i="1"/>
  <c r="G17538" i="1"/>
  <c r="E17538" i="1"/>
  <c r="H17537" i="1"/>
  <c r="G17537" i="1"/>
  <c r="E17537" i="1"/>
  <c r="H17536" i="1"/>
  <c r="G17536" i="1"/>
  <c r="E17536" i="1"/>
  <c r="H17535" i="1"/>
  <c r="G17535" i="1"/>
  <c r="E17535" i="1"/>
  <c r="H17534" i="1"/>
  <c r="G17534" i="1"/>
  <c r="E17534" i="1"/>
  <c r="H17533" i="1"/>
  <c r="G17533" i="1"/>
  <c r="E17533" i="1"/>
  <c r="H17532" i="1"/>
  <c r="G17532" i="1"/>
  <c r="E17532" i="1"/>
  <c r="H17531" i="1"/>
  <c r="G17531" i="1"/>
  <c r="E17531" i="1"/>
  <c r="H17530" i="1"/>
  <c r="G17530" i="1"/>
  <c r="E17530" i="1"/>
  <c r="H17529" i="1"/>
  <c r="G17529" i="1"/>
  <c r="E17529" i="1"/>
  <c r="H17528" i="1"/>
  <c r="G17528" i="1"/>
  <c r="E17528" i="1"/>
  <c r="H17527" i="1"/>
  <c r="G17527" i="1"/>
  <c r="E17527" i="1"/>
  <c r="H17526" i="1"/>
  <c r="G17526" i="1"/>
  <c r="E17526" i="1"/>
  <c r="H17525" i="1"/>
  <c r="G17525" i="1"/>
  <c r="E17525" i="1"/>
  <c r="H17524" i="1"/>
  <c r="G17524" i="1"/>
  <c r="E17524" i="1"/>
  <c r="H17523" i="1"/>
  <c r="G17523" i="1"/>
  <c r="E17523" i="1"/>
  <c r="H17522" i="1"/>
  <c r="G17522" i="1"/>
  <c r="E17522" i="1"/>
  <c r="H17521" i="1"/>
  <c r="G17521" i="1"/>
  <c r="E17521" i="1"/>
  <c r="H17520" i="1"/>
  <c r="G17520" i="1"/>
  <c r="E17520" i="1"/>
  <c r="H17519" i="1"/>
  <c r="G17519" i="1"/>
  <c r="E17519" i="1"/>
  <c r="H17518" i="1"/>
  <c r="G17518" i="1"/>
  <c r="E17518" i="1"/>
  <c r="H17517" i="1"/>
  <c r="G17517" i="1"/>
  <c r="E17517" i="1"/>
  <c r="H17516" i="1"/>
  <c r="G17516" i="1"/>
  <c r="E17516" i="1"/>
  <c r="H17515" i="1"/>
  <c r="G17515" i="1"/>
  <c r="E17515" i="1"/>
  <c r="H17514" i="1"/>
  <c r="G17514" i="1"/>
  <c r="E17514" i="1"/>
  <c r="H17513" i="1"/>
  <c r="G17513" i="1"/>
  <c r="E17513" i="1"/>
  <c r="H17512" i="1"/>
  <c r="G17512" i="1"/>
  <c r="E17512" i="1"/>
  <c r="H17511" i="1"/>
  <c r="G17511" i="1"/>
  <c r="E17511" i="1"/>
  <c r="H17510" i="1"/>
  <c r="G17510" i="1"/>
  <c r="E17510" i="1"/>
  <c r="H17509" i="1"/>
  <c r="G17509" i="1"/>
  <c r="E17509" i="1"/>
  <c r="H17508" i="1"/>
  <c r="G17508" i="1"/>
  <c r="E17508" i="1"/>
  <c r="H17507" i="1"/>
  <c r="G17507" i="1"/>
  <c r="E17507" i="1"/>
  <c r="H17506" i="1"/>
  <c r="G17506" i="1"/>
  <c r="E17506" i="1"/>
  <c r="H17505" i="1"/>
  <c r="G17505" i="1"/>
  <c r="E17505" i="1"/>
  <c r="H17504" i="1"/>
  <c r="G17504" i="1"/>
  <c r="E17504" i="1"/>
  <c r="H17503" i="1"/>
  <c r="G17503" i="1"/>
  <c r="E17503" i="1"/>
  <c r="H17502" i="1"/>
  <c r="G17502" i="1"/>
  <c r="E17502" i="1"/>
  <c r="H17501" i="1"/>
  <c r="G17501" i="1"/>
  <c r="E17501" i="1"/>
  <c r="H17500" i="1"/>
  <c r="G17500" i="1"/>
  <c r="E17500" i="1"/>
  <c r="H17499" i="1"/>
  <c r="G17499" i="1"/>
  <c r="E17499" i="1"/>
  <c r="H17498" i="1"/>
  <c r="G17498" i="1"/>
  <c r="E17498" i="1"/>
  <c r="H17497" i="1"/>
  <c r="G17497" i="1"/>
  <c r="E17497" i="1"/>
  <c r="H17496" i="1"/>
  <c r="G17496" i="1"/>
  <c r="E17496" i="1"/>
  <c r="H17495" i="1"/>
  <c r="G17495" i="1"/>
  <c r="E17495" i="1"/>
  <c r="H17494" i="1"/>
  <c r="G17494" i="1"/>
  <c r="E17494" i="1"/>
  <c r="H17493" i="1"/>
  <c r="G17493" i="1"/>
  <c r="E17493" i="1"/>
  <c r="H17492" i="1"/>
  <c r="G17492" i="1"/>
  <c r="E17492" i="1"/>
  <c r="H17491" i="1"/>
  <c r="G17491" i="1"/>
  <c r="E17491" i="1"/>
  <c r="H17490" i="1"/>
  <c r="G17490" i="1"/>
  <c r="E17490" i="1"/>
  <c r="H17489" i="1"/>
  <c r="G17489" i="1"/>
  <c r="E17489" i="1"/>
  <c r="H17488" i="1"/>
  <c r="G17488" i="1"/>
  <c r="E17488" i="1"/>
  <c r="H17487" i="1"/>
  <c r="G17487" i="1"/>
  <c r="E17487" i="1"/>
  <c r="H17486" i="1"/>
  <c r="G17486" i="1"/>
  <c r="E17486" i="1"/>
  <c r="H17485" i="1"/>
  <c r="G17485" i="1"/>
  <c r="E17485" i="1"/>
  <c r="H17484" i="1"/>
  <c r="G17484" i="1"/>
  <c r="E17484" i="1"/>
  <c r="H17483" i="1"/>
  <c r="G17483" i="1"/>
  <c r="E17483" i="1"/>
  <c r="H17482" i="1"/>
  <c r="G17482" i="1"/>
  <c r="E17482" i="1"/>
  <c r="H17481" i="1"/>
  <c r="G17481" i="1"/>
  <c r="E17481" i="1"/>
  <c r="H17480" i="1"/>
  <c r="G17480" i="1"/>
  <c r="E17480" i="1"/>
  <c r="H17479" i="1"/>
  <c r="G17479" i="1"/>
  <c r="E17479" i="1"/>
  <c r="H17478" i="1"/>
  <c r="G17478" i="1"/>
  <c r="E17478" i="1"/>
  <c r="H17477" i="1"/>
  <c r="G17477" i="1"/>
  <c r="E17477" i="1"/>
  <c r="H17476" i="1"/>
  <c r="G17476" i="1"/>
  <c r="E17476" i="1"/>
  <c r="H17475" i="1"/>
  <c r="G17475" i="1"/>
  <c r="E17475" i="1"/>
  <c r="H17474" i="1"/>
  <c r="G17474" i="1"/>
  <c r="E17474" i="1"/>
  <c r="H17473" i="1"/>
  <c r="G17473" i="1"/>
  <c r="E17473" i="1"/>
  <c r="H17472" i="1"/>
  <c r="G17472" i="1"/>
  <c r="E17472" i="1"/>
  <c r="H17471" i="1"/>
  <c r="G17471" i="1"/>
  <c r="E17471" i="1"/>
  <c r="H17470" i="1"/>
  <c r="G17470" i="1"/>
  <c r="E17470" i="1"/>
  <c r="H17469" i="1"/>
  <c r="G17469" i="1"/>
  <c r="E17469" i="1"/>
  <c r="H17468" i="1"/>
  <c r="G17468" i="1"/>
  <c r="E17468" i="1"/>
  <c r="H17467" i="1"/>
  <c r="G17467" i="1"/>
  <c r="E17467" i="1"/>
  <c r="H17466" i="1"/>
  <c r="G17466" i="1"/>
  <c r="E17466" i="1"/>
  <c r="H17465" i="1"/>
  <c r="G17465" i="1"/>
  <c r="E17465" i="1"/>
  <c r="H17464" i="1"/>
  <c r="G17464" i="1"/>
  <c r="E17464" i="1"/>
  <c r="H17463" i="1"/>
  <c r="G17463" i="1"/>
  <c r="E17463" i="1"/>
  <c r="H17462" i="1"/>
  <c r="G17462" i="1"/>
  <c r="E17462" i="1"/>
  <c r="H17461" i="1"/>
  <c r="G17461" i="1"/>
  <c r="E17461" i="1"/>
  <c r="H17460" i="1"/>
  <c r="G17460" i="1"/>
  <c r="E17460" i="1"/>
  <c r="H17459" i="1"/>
  <c r="G17459" i="1"/>
  <c r="E17459" i="1"/>
  <c r="H17458" i="1"/>
  <c r="G17458" i="1"/>
  <c r="E17458" i="1"/>
  <c r="H17457" i="1"/>
  <c r="G17457" i="1"/>
  <c r="E17457" i="1"/>
  <c r="H17456" i="1"/>
  <c r="G17456" i="1"/>
  <c r="E17456" i="1"/>
  <c r="H17455" i="1"/>
  <c r="G17455" i="1"/>
  <c r="E17455" i="1"/>
  <c r="H17454" i="1"/>
  <c r="G17454" i="1"/>
  <c r="E17454" i="1"/>
  <c r="H17453" i="1"/>
  <c r="G17453" i="1"/>
  <c r="E17453" i="1"/>
  <c r="H17452" i="1"/>
  <c r="G17452" i="1"/>
  <c r="E17452" i="1"/>
  <c r="H17451" i="1"/>
  <c r="G17451" i="1"/>
  <c r="E17451" i="1"/>
  <c r="H17450" i="1"/>
  <c r="G17450" i="1"/>
  <c r="E17450" i="1"/>
  <c r="H17449" i="1"/>
  <c r="G17449" i="1"/>
  <c r="E17449" i="1"/>
  <c r="H17448" i="1"/>
  <c r="G17448" i="1"/>
  <c r="E17448" i="1"/>
  <c r="H17447" i="1"/>
  <c r="G17447" i="1"/>
  <c r="E17447" i="1"/>
  <c r="H17446" i="1"/>
  <c r="G17446" i="1"/>
  <c r="E17446" i="1"/>
  <c r="H17445" i="1"/>
  <c r="G17445" i="1"/>
  <c r="E17445" i="1"/>
  <c r="H17444" i="1"/>
  <c r="G17444" i="1"/>
  <c r="E17444" i="1"/>
  <c r="H17443" i="1"/>
  <c r="G17443" i="1"/>
  <c r="E17443" i="1"/>
  <c r="H17442" i="1"/>
  <c r="G17442" i="1"/>
  <c r="E17442" i="1"/>
  <c r="H17441" i="1"/>
  <c r="G17441" i="1"/>
  <c r="E17441" i="1"/>
  <c r="H17440" i="1"/>
  <c r="G17440" i="1"/>
  <c r="E17440" i="1"/>
  <c r="H17439" i="1"/>
  <c r="G17439" i="1"/>
  <c r="E17439" i="1"/>
  <c r="H17438" i="1"/>
  <c r="G17438" i="1"/>
  <c r="E17438" i="1"/>
  <c r="H17437" i="1"/>
  <c r="G17437" i="1"/>
  <c r="E17437" i="1"/>
  <c r="H17436" i="1"/>
  <c r="G17436" i="1"/>
  <c r="E17436" i="1"/>
  <c r="H17435" i="1"/>
  <c r="G17435" i="1"/>
  <c r="E17435" i="1"/>
  <c r="H17434" i="1"/>
  <c r="G17434" i="1"/>
  <c r="E17434" i="1"/>
  <c r="H17433" i="1"/>
  <c r="G17433" i="1"/>
  <c r="E17433" i="1"/>
  <c r="H17432" i="1"/>
  <c r="G17432" i="1"/>
  <c r="E17432" i="1"/>
  <c r="H17431" i="1"/>
  <c r="G17431" i="1"/>
  <c r="E17431" i="1"/>
  <c r="H17430" i="1"/>
  <c r="G17430" i="1"/>
  <c r="E17430" i="1"/>
  <c r="H17429" i="1"/>
  <c r="G17429" i="1"/>
  <c r="E17429" i="1"/>
  <c r="H17428" i="1"/>
  <c r="G17428" i="1"/>
  <c r="E17428" i="1"/>
  <c r="H17427" i="1"/>
  <c r="G17427" i="1"/>
  <c r="E17427" i="1"/>
  <c r="H17426" i="1"/>
  <c r="G17426" i="1"/>
  <c r="E17426" i="1"/>
  <c r="H17425" i="1"/>
  <c r="G17425" i="1"/>
  <c r="E17425" i="1"/>
  <c r="H17424" i="1"/>
  <c r="G17424" i="1"/>
  <c r="E17424" i="1"/>
  <c r="H17423" i="1"/>
  <c r="G17423" i="1"/>
  <c r="E17423" i="1"/>
  <c r="H17422" i="1"/>
  <c r="G17422" i="1"/>
  <c r="E17422" i="1"/>
  <c r="H17421" i="1"/>
  <c r="G17421" i="1"/>
  <c r="E17421" i="1"/>
  <c r="H17420" i="1"/>
  <c r="G17420" i="1"/>
  <c r="E17420" i="1"/>
  <c r="H17419" i="1"/>
  <c r="G17419" i="1"/>
  <c r="E17419" i="1"/>
  <c r="H17418" i="1"/>
  <c r="G17418" i="1"/>
  <c r="E17418" i="1"/>
  <c r="H17417" i="1"/>
  <c r="G17417" i="1"/>
  <c r="E17417" i="1"/>
  <c r="H17416" i="1"/>
  <c r="G17416" i="1"/>
  <c r="E17416" i="1"/>
  <c r="H17415" i="1"/>
  <c r="G17415" i="1"/>
  <c r="E17415" i="1"/>
  <c r="H17414" i="1"/>
  <c r="G17414" i="1"/>
  <c r="E17414" i="1"/>
  <c r="H17413" i="1"/>
  <c r="G17413" i="1"/>
  <c r="E17413" i="1"/>
  <c r="H17412" i="1"/>
  <c r="G17412" i="1"/>
  <c r="E17412" i="1"/>
  <c r="H17411" i="1"/>
  <c r="G17411" i="1"/>
  <c r="E17411" i="1"/>
  <c r="H17410" i="1"/>
  <c r="G17410" i="1"/>
  <c r="E17410" i="1"/>
  <c r="H17409" i="1"/>
  <c r="G17409" i="1"/>
  <c r="E17409" i="1"/>
  <c r="H17408" i="1"/>
  <c r="G17408" i="1"/>
  <c r="E17408" i="1"/>
  <c r="H17407" i="1"/>
  <c r="G17407" i="1"/>
  <c r="E17407" i="1"/>
  <c r="H17406" i="1"/>
  <c r="G17406" i="1"/>
  <c r="E17406" i="1"/>
  <c r="H17405" i="1"/>
  <c r="G17405" i="1"/>
  <c r="E17405" i="1"/>
  <c r="H17404" i="1"/>
  <c r="G17404" i="1"/>
  <c r="E17404" i="1"/>
  <c r="H17403" i="1"/>
  <c r="G17403" i="1"/>
  <c r="E17403" i="1"/>
  <c r="H17402" i="1"/>
  <c r="G17402" i="1"/>
  <c r="E17402" i="1"/>
  <c r="H17401" i="1"/>
  <c r="G17401" i="1"/>
  <c r="E17401" i="1"/>
  <c r="H17400" i="1"/>
  <c r="G17400" i="1"/>
  <c r="E17400" i="1"/>
  <c r="H17399" i="1"/>
  <c r="G17399" i="1"/>
  <c r="E17399" i="1"/>
  <c r="H17398" i="1"/>
  <c r="G17398" i="1"/>
  <c r="E17398" i="1"/>
  <c r="H17397" i="1"/>
  <c r="G17397" i="1"/>
  <c r="E17397" i="1"/>
  <c r="H17396" i="1"/>
  <c r="G17396" i="1"/>
  <c r="E17396" i="1"/>
  <c r="H17395" i="1"/>
  <c r="G17395" i="1"/>
  <c r="E17395" i="1"/>
  <c r="H17394" i="1"/>
  <c r="G17394" i="1"/>
  <c r="E17394" i="1"/>
  <c r="H17393" i="1"/>
  <c r="G17393" i="1"/>
  <c r="E17393" i="1"/>
  <c r="H17392" i="1"/>
  <c r="G17392" i="1"/>
  <c r="E17392" i="1"/>
  <c r="H17391" i="1"/>
  <c r="G17391" i="1"/>
  <c r="E17391" i="1"/>
  <c r="H17390" i="1"/>
  <c r="G17390" i="1"/>
  <c r="E17390" i="1"/>
  <c r="H17389" i="1"/>
  <c r="G17389" i="1"/>
  <c r="E17389" i="1"/>
  <c r="H17388" i="1"/>
  <c r="G17388" i="1"/>
  <c r="E17388" i="1"/>
  <c r="H17387" i="1"/>
  <c r="G17387" i="1"/>
  <c r="E17387" i="1"/>
  <c r="H17386" i="1"/>
  <c r="G17386" i="1"/>
  <c r="E17386" i="1"/>
  <c r="H17385" i="1"/>
  <c r="G17385" i="1"/>
  <c r="E17385" i="1"/>
  <c r="H17384" i="1"/>
  <c r="G17384" i="1"/>
  <c r="E17384" i="1"/>
  <c r="H17383" i="1"/>
  <c r="G17383" i="1"/>
  <c r="E17383" i="1"/>
  <c r="H17382" i="1"/>
  <c r="G17382" i="1"/>
  <c r="E17382" i="1"/>
  <c r="H17381" i="1"/>
  <c r="G17381" i="1"/>
  <c r="E17381" i="1"/>
  <c r="H17380" i="1"/>
  <c r="G17380" i="1"/>
  <c r="E17380" i="1"/>
  <c r="H17379" i="1"/>
  <c r="G17379" i="1"/>
  <c r="E17379" i="1"/>
  <c r="H17378" i="1"/>
  <c r="G17378" i="1"/>
  <c r="E17378" i="1"/>
  <c r="H17377" i="1"/>
  <c r="G17377" i="1"/>
  <c r="E17377" i="1"/>
  <c r="H17376" i="1"/>
  <c r="G17376" i="1"/>
  <c r="E17376" i="1"/>
  <c r="H17375" i="1"/>
  <c r="G17375" i="1"/>
  <c r="E17375" i="1"/>
  <c r="H17374" i="1"/>
  <c r="G17374" i="1"/>
  <c r="E17374" i="1"/>
  <c r="H17373" i="1"/>
  <c r="G17373" i="1"/>
  <c r="E17373" i="1"/>
  <c r="H17372" i="1"/>
  <c r="G17372" i="1"/>
  <c r="E17372" i="1"/>
  <c r="H17371" i="1"/>
  <c r="G17371" i="1"/>
  <c r="E17371" i="1"/>
  <c r="H17370" i="1"/>
  <c r="G17370" i="1"/>
  <c r="E17370" i="1"/>
  <c r="H17369" i="1"/>
  <c r="G17369" i="1"/>
  <c r="E17369" i="1"/>
  <c r="H17368" i="1"/>
  <c r="G17368" i="1"/>
  <c r="E17368" i="1"/>
  <c r="H17367" i="1"/>
  <c r="G17367" i="1"/>
  <c r="E17367" i="1"/>
  <c r="H17366" i="1"/>
  <c r="G17366" i="1"/>
  <c r="E17366" i="1"/>
  <c r="H17365" i="1"/>
  <c r="G17365" i="1"/>
  <c r="E17365" i="1"/>
  <c r="H17364" i="1"/>
  <c r="G17364" i="1"/>
  <c r="E17364" i="1"/>
  <c r="H17363" i="1"/>
  <c r="G17363" i="1"/>
  <c r="E17363" i="1"/>
  <c r="H17362" i="1"/>
  <c r="G17362" i="1"/>
  <c r="E17362" i="1"/>
  <c r="H17361" i="1"/>
  <c r="G17361" i="1"/>
  <c r="E17361" i="1"/>
  <c r="H17360" i="1"/>
  <c r="G17360" i="1"/>
  <c r="E17360" i="1"/>
  <c r="H17359" i="1"/>
  <c r="G17359" i="1"/>
  <c r="E17359" i="1"/>
  <c r="H17358" i="1"/>
  <c r="G17358" i="1"/>
  <c r="E17358" i="1"/>
  <c r="H17357" i="1"/>
  <c r="G17357" i="1"/>
  <c r="E17357" i="1"/>
  <c r="H17356" i="1"/>
  <c r="G17356" i="1"/>
  <c r="E17356" i="1"/>
  <c r="H17355" i="1"/>
  <c r="G17355" i="1"/>
  <c r="E17355" i="1"/>
  <c r="H17354" i="1"/>
  <c r="G17354" i="1"/>
  <c r="E17354" i="1"/>
  <c r="H17353" i="1"/>
  <c r="G17353" i="1"/>
  <c r="E17353" i="1"/>
  <c r="H17352" i="1"/>
  <c r="G17352" i="1"/>
  <c r="E17352" i="1"/>
  <c r="H17351" i="1"/>
  <c r="G17351" i="1"/>
  <c r="E17351" i="1"/>
  <c r="H17350" i="1"/>
  <c r="G17350" i="1"/>
  <c r="E17350" i="1"/>
  <c r="H17349" i="1"/>
  <c r="G17349" i="1"/>
  <c r="E17349" i="1"/>
  <c r="H17348" i="1"/>
  <c r="G17348" i="1"/>
  <c r="E17348" i="1"/>
  <c r="H17347" i="1"/>
  <c r="G17347" i="1"/>
  <c r="E17347" i="1"/>
  <c r="H17346" i="1"/>
  <c r="G17346" i="1"/>
  <c r="E17346" i="1"/>
  <c r="H17345" i="1"/>
  <c r="G17345" i="1"/>
  <c r="E17345" i="1"/>
  <c r="H17344" i="1"/>
  <c r="G17344" i="1"/>
  <c r="E17344" i="1"/>
  <c r="H17343" i="1"/>
  <c r="G17343" i="1"/>
  <c r="E17343" i="1"/>
  <c r="H17342" i="1"/>
  <c r="G17342" i="1"/>
  <c r="E17342" i="1"/>
  <c r="H17341" i="1"/>
  <c r="G17341" i="1"/>
  <c r="E17341" i="1"/>
  <c r="H17340" i="1"/>
  <c r="G17340" i="1"/>
  <c r="E17340" i="1"/>
  <c r="H17339" i="1"/>
  <c r="G17339" i="1"/>
  <c r="E17339" i="1"/>
  <c r="H17338" i="1"/>
  <c r="G17338" i="1"/>
  <c r="E17338" i="1"/>
  <c r="H17337" i="1"/>
  <c r="G17337" i="1"/>
  <c r="E17337" i="1"/>
  <c r="H17336" i="1"/>
  <c r="G17336" i="1"/>
  <c r="E17336" i="1"/>
  <c r="H17335" i="1"/>
  <c r="G17335" i="1"/>
  <c r="E17335" i="1"/>
  <c r="H17334" i="1"/>
  <c r="G17334" i="1"/>
  <c r="E17334" i="1"/>
  <c r="H17333" i="1"/>
  <c r="G17333" i="1"/>
  <c r="E17333" i="1"/>
  <c r="H17332" i="1"/>
  <c r="G17332" i="1"/>
  <c r="E17332" i="1"/>
  <c r="H17331" i="1"/>
  <c r="G17331" i="1"/>
  <c r="E17331" i="1"/>
  <c r="H17330" i="1"/>
  <c r="G17330" i="1"/>
  <c r="E17330" i="1"/>
  <c r="H17329" i="1"/>
  <c r="G17329" i="1"/>
  <c r="E17329" i="1"/>
  <c r="H17328" i="1"/>
  <c r="G17328" i="1"/>
  <c r="E17328" i="1"/>
  <c r="H17327" i="1"/>
  <c r="G17327" i="1"/>
  <c r="E17327" i="1"/>
  <c r="H17326" i="1"/>
  <c r="G17326" i="1"/>
  <c r="E17326" i="1"/>
  <c r="H17325" i="1"/>
  <c r="G17325" i="1"/>
  <c r="E17325" i="1"/>
  <c r="H17324" i="1"/>
  <c r="G17324" i="1"/>
  <c r="E17324" i="1"/>
  <c r="H17323" i="1"/>
  <c r="G17323" i="1"/>
  <c r="E17323" i="1"/>
  <c r="H17322" i="1"/>
  <c r="G17322" i="1"/>
  <c r="E17322" i="1"/>
  <c r="H17321" i="1"/>
  <c r="G17321" i="1"/>
  <c r="E17321" i="1"/>
  <c r="H17320" i="1"/>
  <c r="G17320" i="1"/>
  <c r="E17320" i="1"/>
  <c r="H17319" i="1"/>
  <c r="G17319" i="1"/>
  <c r="E17319" i="1"/>
  <c r="H17318" i="1"/>
  <c r="G17318" i="1"/>
  <c r="E17318" i="1"/>
  <c r="H17317" i="1"/>
  <c r="G17317" i="1"/>
  <c r="E17317" i="1"/>
  <c r="H17316" i="1"/>
  <c r="G17316" i="1"/>
  <c r="E17316" i="1"/>
  <c r="H17315" i="1"/>
  <c r="G17315" i="1"/>
  <c r="E17315" i="1"/>
  <c r="H17314" i="1"/>
  <c r="G17314" i="1"/>
  <c r="E17314" i="1"/>
  <c r="H17313" i="1"/>
  <c r="G17313" i="1"/>
  <c r="E17313" i="1"/>
  <c r="H17312" i="1"/>
  <c r="G17312" i="1"/>
  <c r="E17312" i="1"/>
  <c r="H17311" i="1"/>
  <c r="G17311" i="1"/>
  <c r="E17311" i="1"/>
  <c r="H17310" i="1"/>
  <c r="G17310" i="1"/>
  <c r="E17310" i="1"/>
  <c r="H17309" i="1"/>
  <c r="G17309" i="1"/>
  <c r="E17309" i="1"/>
  <c r="H17308" i="1"/>
  <c r="G17308" i="1"/>
  <c r="E17308" i="1"/>
  <c r="H17307" i="1"/>
  <c r="G17307" i="1"/>
  <c r="E17307" i="1"/>
  <c r="H17306" i="1"/>
  <c r="G17306" i="1"/>
  <c r="E17306" i="1"/>
  <c r="H17305" i="1"/>
  <c r="G17305" i="1"/>
  <c r="E17305" i="1"/>
  <c r="H17304" i="1"/>
  <c r="G17304" i="1"/>
  <c r="E17304" i="1"/>
  <c r="H17303" i="1"/>
  <c r="G17303" i="1"/>
  <c r="E17303" i="1"/>
  <c r="H17302" i="1"/>
  <c r="G17302" i="1"/>
  <c r="E17302" i="1"/>
  <c r="H17301" i="1"/>
  <c r="G17301" i="1"/>
  <c r="E17301" i="1"/>
  <c r="H17300" i="1"/>
  <c r="G17300" i="1"/>
  <c r="E17300" i="1"/>
  <c r="H17299" i="1"/>
  <c r="G17299" i="1"/>
  <c r="E17299" i="1"/>
  <c r="H17298" i="1"/>
  <c r="G17298" i="1"/>
  <c r="E17298" i="1"/>
  <c r="H17297" i="1"/>
  <c r="G17297" i="1"/>
  <c r="E17297" i="1"/>
  <c r="H17296" i="1"/>
  <c r="G17296" i="1"/>
  <c r="E17296" i="1"/>
  <c r="H17295" i="1"/>
  <c r="G17295" i="1"/>
  <c r="E17295" i="1"/>
  <c r="H17294" i="1"/>
  <c r="G17294" i="1"/>
  <c r="E17294" i="1"/>
  <c r="H17293" i="1"/>
  <c r="G17293" i="1"/>
  <c r="E17293" i="1"/>
  <c r="H17292" i="1"/>
  <c r="G17292" i="1"/>
  <c r="E17292" i="1"/>
  <c r="H17291" i="1"/>
  <c r="G17291" i="1"/>
  <c r="E17291" i="1"/>
  <c r="H17290" i="1"/>
  <c r="G17290" i="1"/>
  <c r="E17290" i="1"/>
  <c r="H17289" i="1"/>
  <c r="G17289" i="1"/>
  <c r="E17289" i="1"/>
  <c r="H17288" i="1"/>
  <c r="G17288" i="1"/>
  <c r="E17288" i="1"/>
  <c r="H17287" i="1"/>
  <c r="G17287" i="1"/>
  <c r="E17287" i="1"/>
  <c r="H17286" i="1"/>
  <c r="G17286" i="1"/>
  <c r="E17286" i="1"/>
  <c r="H17285" i="1"/>
  <c r="G17285" i="1"/>
  <c r="E17285" i="1"/>
  <c r="H17284" i="1"/>
  <c r="G17284" i="1"/>
  <c r="E17284" i="1"/>
  <c r="H17283" i="1"/>
  <c r="G17283" i="1"/>
  <c r="E17283" i="1"/>
  <c r="H17282" i="1"/>
  <c r="G17282" i="1"/>
  <c r="E17282" i="1"/>
  <c r="H17281" i="1"/>
  <c r="G17281" i="1"/>
  <c r="E17281" i="1"/>
  <c r="H17280" i="1"/>
  <c r="G17280" i="1"/>
  <c r="E17280" i="1"/>
  <c r="H17279" i="1"/>
  <c r="G17279" i="1"/>
  <c r="E17279" i="1"/>
  <c r="H17278" i="1"/>
  <c r="G17278" i="1"/>
  <c r="E17278" i="1"/>
  <c r="H17277" i="1"/>
  <c r="G17277" i="1"/>
  <c r="E17277" i="1"/>
  <c r="H17276" i="1"/>
  <c r="G17276" i="1"/>
  <c r="E17276" i="1"/>
  <c r="H17275" i="1"/>
  <c r="G17275" i="1"/>
  <c r="E17275" i="1"/>
  <c r="H17274" i="1"/>
  <c r="G17274" i="1"/>
  <c r="E17274" i="1"/>
  <c r="H17273" i="1"/>
  <c r="G17273" i="1"/>
  <c r="E17273" i="1"/>
  <c r="H17272" i="1"/>
  <c r="G17272" i="1"/>
  <c r="E17272" i="1"/>
  <c r="H17271" i="1"/>
  <c r="G17271" i="1"/>
  <c r="E17271" i="1"/>
  <c r="H17270" i="1"/>
  <c r="G17270" i="1"/>
  <c r="E17270" i="1"/>
  <c r="H17269" i="1"/>
  <c r="G17269" i="1"/>
  <c r="E17269" i="1"/>
  <c r="H17268" i="1"/>
  <c r="G17268" i="1"/>
  <c r="E17268" i="1"/>
  <c r="H17267" i="1"/>
  <c r="G17267" i="1"/>
  <c r="E17267" i="1"/>
  <c r="H17266" i="1"/>
  <c r="G17266" i="1"/>
  <c r="E17266" i="1"/>
  <c r="H17265" i="1"/>
  <c r="G17265" i="1"/>
  <c r="E17265" i="1"/>
  <c r="H17264" i="1"/>
  <c r="G17264" i="1"/>
  <c r="E17264" i="1"/>
  <c r="H17263" i="1"/>
  <c r="G17263" i="1"/>
  <c r="E17263" i="1"/>
  <c r="H17262" i="1"/>
  <c r="G17262" i="1"/>
  <c r="E17262" i="1"/>
  <c r="H17261" i="1"/>
  <c r="G17261" i="1"/>
  <c r="E17261" i="1"/>
  <c r="H17260" i="1"/>
  <c r="G17260" i="1"/>
  <c r="E17260" i="1"/>
  <c r="H17259" i="1"/>
  <c r="G17259" i="1"/>
  <c r="E17259" i="1"/>
  <c r="H17258" i="1"/>
  <c r="G17258" i="1"/>
  <c r="E17258" i="1"/>
  <c r="H17257" i="1"/>
  <c r="G17257" i="1"/>
  <c r="E17257" i="1"/>
  <c r="H17256" i="1"/>
  <c r="G17256" i="1"/>
  <c r="E17256" i="1"/>
  <c r="H17255" i="1"/>
  <c r="G17255" i="1"/>
  <c r="E17255" i="1"/>
  <c r="H17254" i="1"/>
  <c r="G17254" i="1"/>
  <c r="E17254" i="1"/>
  <c r="H17253" i="1"/>
  <c r="G17253" i="1"/>
  <c r="E17253" i="1"/>
  <c r="H17252" i="1"/>
  <c r="G17252" i="1"/>
  <c r="E17252" i="1"/>
  <c r="H17251" i="1"/>
  <c r="G17251" i="1"/>
  <c r="E17251" i="1"/>
  <c r="H17250" i="1"/>
  <c r="G17250" i="1"/>
  <c r="E17250" i="1"/>
  <c r="H17249" i="1"/>
  <c r="G17249" i="1"/>
  <c r="E17249" i="1"/>
  <c r="H17248" i="1"/>
  <c r="G17248" i="1"/>
  <c r="E17248" i="1"/>
  <c r="H17247" i="1"/>
  <c r="G17247" i="1"/>
  <c r="E17247" i="1"/>
  <c r="H17246" i="1"/>
  <c r="G17246" i="1"/>
  <c r="E17246" i="1"/>
  <c r="H17245" i="1"/>
  <c r="G17245" i="1"/>
  <c r="E17245" i="1"/>
  <c r="H17244" i="1"/>
  <c r="G17244" i="1"/>
  <c r="E17244" i="1"/>
  <c r="H17243" i="1"/>
  <c r="G17243" i="1"/>
  <c r="E17243" i="1"/>
  <c r="H17242" i="1"/>
  <c r="G17242" i="1"/>
  <c r="E17242" i="1"/>
  <c r="H17241" i="1"/>
  <c r="G17241" i="1"/>
  <c r="E17241" i="1"/>
  <c r="H17240" i="1"/>
  <c r="G17240" i="1"/>
  <c r="E17240" i="1"/>
  <c r="H17239" i="1"/>
  <c r="G17239" i="1"/>
  <c r="E17239" i="1"/>
  <c r="H17238" i="1"/>
  <c r="G17238" i="1"/>
  <c r="E17238" i="1"/>
  <c r="H17237" i="1"/>
  <c r="G17237" i="1"/>
  <c r="E17237" i="1"/>
  <c r="H17236" i="1"/>
  <c r="G17236" i="1"/>
  <c r="E17236" i="1"/>
  <c r="H17235" i="1"/>
  <c r="G17235" i="1"/>
  <c r="E17235" i="1"/>
  <c r="H17234" i="1"/>
  <c r="G17234" i="1"/>
  <c r="E17234" i="1"/>
  <c r="H17233" i="1"/>
  <c r="G17233" i="1"/>
  <c r="E17233" i="1"/>
  <c r="H17232" i="1"/>
  <c r="G17232" i="1"/>
  <c r="E17232" i="1"/>
  <c r="H17231" i="1"/>
  <c r="G17231" i="1"/>
  <c r="E17231" i="1"/>
  <c r="H17230" i="1"/>
  <c r="G17230" i="1"/>
  <c r="E17230" i="1"/>
  <c r="H17229" i="1"/>
  <c r="G17229" i="1"/>
  <c r="E17229" i="1"/>
  <c r="H17228" i="1"/>
  <c r="G17228" i="1"/>
  <c r="E17228" i="1"/>
  <c r="H17227" i="1"/>
  <c r="G17227" i="1"/>
  <c r="E17227" i="1"/>
  <c r="H17226" i="1"/>
  <c r="G17226" i="1"/>
  <c r="E17226" i="1"/>
  <c r="H17225" i="1"/>
  <c r="G17225" i="1"/>
  <c r="E17225" i="1"/>
  <c r="H17224" i="1"/>
  <c r="G17224" i="1"/>
  <c r="E17224" i="1"/>
  <c r="H17223" i="1"/>
  <c r="G17223" i="1"/>
  <c r="E17223" i="1"/>
  <c r="H17222" i="1"/>
  <c r="G17222" i="1"/>
  <c r="E17222" i="1"/>
  <c r="H17221" i="1"/>
  <c r="G17221" i="1"/>
  <c r="E17221" i="1"/>
  <c r="H17220" i="1"/>
  <c r="G17220" i="1"/>
  <c r="E17220" i="1"/>
  <c r="H17219" i="1"/>
  <c r="G17219" i="1"/>
  <c r="E17219" i="1"/>
  <c r="H17218" i="1"/>
  <c r="G17218" i="1"/>
  <c r="E17218" i="1"/>
  <c r="H17217" i="1"/>
  <c r="G17217" i="1"/>
  <c r="E17217" i="1"/>
  <c r="H17216" i="1"/>
  <c r="G17216" i="1"/>
  <c r="E17216" i="1"/>
  <c r="H17215" i="1"/>
  <c r="G17215" i="1"/>
  <c r="E17215" i="1"/>
  <c r="H17214" i="1"/>
  <c r="G17214" i="1"/>
  <c r="E17214" i="1"/>
  <c r="H17213" i="1"/>
  <c r="G17213" i="1"/>
  <c r="E17213" i="1"/>
  <c r="H17212" i="1"/>
  <c r="G17212" i="1"/>
  <c r="E17212" i="1"/>
  <c r="H17211" i="1"/>
  <c r="G17211" i="1"/>
  <c r="E17211" i="1"/>
  <c r="H17210" i="1"/>
  <c r="G17210" i="1"/>
  <c r="E17210" i="1"/>
  <c r="H17209" i="1"/>
  <c r="G17209" i="1"/>
  <c r="E17209" i="1"/>
  <c r="H17208" i="1"/>
  <c r="G17208" i="1"/>
  <c r="E17208" i="1"/>
  <c r="H17207" i="1"/>
  <c r="G17207" i="1"/>
  <c r="E17207" i="1"/>
  <c r="H17206" i="1"/>
  <c r="G17206" i="1"/>
  <c r="E17206" i="1"/>
  <c r="H17205" i="1"/>
  <c r="G17205" i="1"/>
  <c r="E17205" i="1"/>
  <c r="H17204" i="1"/>
  <c r="G17204" i="1"/>
  <c r="E17204" i="1"/>
  <c r="H17203" i="1"/>
  <c r="G17203" i="1"/>
  <c r="E17203" i="1"/>
  <c r="H17202" i="1"/>
  <c r="G17202" i="1"/>
  <c r="E17202" i="1"/>
  <c r="H17201" i="1"/>
  <c r="G17201" i="1"/>
  <c r="E17201" i="1"/>
  <c r="H17200" i="1"/>
  <c r="G17200" i="1"/>
  <c r="E17200" i="1"/>
  <c r="H17199" i="1"/>
  <c r="G17199" i="1"/>
  <c r="E17199" i="1"/>
  <c r="H17198" i="1"/>
  <c r="G17198" i="1"/>
  <c r="E17198" i="1"/>
  <c r="H17197" i="1"/>
  <c r="G17197" i="1"/>
  <c r="E17197" i="1"/>
  <c r="H17196" i="1"/>
  <c r="G17196" i="1"/>
  <c r="E17196" i="1"/>
  <c r="H17195" i="1"/>
  <c r="G17195" i="1"/>
  <c r="E17195" i="1"/>
  <c r="H17194" i="1"/>
  <c r="G17194" i="1"/>
  <c r="E17194" i="1"/>
  <c r="H17193" i="1"/>
  <c r="G17193" i="1"/>
  <c r="E17193" i="1"/>
  <c r="H17192" i="1"/>
  <c r="G17192" i="1"/>
  <c r="E17192" i="1"/>
  <c r="H17191" i="1"/>
  <c r="G17191" i="1"/>
  <c r="E17191" i="1"/>
  <c r="H17190" i="1"/>
  <c r="G17190" i="1"/>
  <c r="E17190" i="1"/>
  <c r="H17189" i="1"/>
  <c r="G17189" i="1"/>
  <c r="E17189" i="1"/>
  <c r="H17188" i="1"/>
  <c r="G17188" i="1"/>
  <c r="E17188" i="1"/>
  <c r="H17187" i="1"/>
  <c r="G17187" i="1"/>
  <c r="E17187" i="1"/>
  <c r="H17186" i="1"/>
  <c r="G17186" i="1"/>
  <c r="E17186" i="1"/>
  <c r="H17185" i="1"/>
  <c r="G17185" i="1"/>
  <c r="E17185" i="1"/>
  <c r="H17184" i="1"/>
  <c r="G17184" i="1"/>
  <c r="E17184" i="1"/>
  <c r="H17183" i="1"/>
  <c r="G17183" i="1"/>
  <c r="E17183" i="1"/>
  <c r="H17182" i="1"/>
  <c r="G17182" i="1"/>
  <c r="E17182" i="1"/>
  <c r="H17181" i="1"/>
  <c r="G17181" i="1"/>
  <c r="E17181" i="1"/>
  <c r="H17180" i="1"/>
  <c r="G17180" i="1"/>
  <c r="E17180" i="1"/>
  <c r="H17179" i="1"/>
  <c r="G17179" i="1"/>
  <c r="E17179" i="1"/>
  <c r="H17178" i="1"/>
  <c r="G17178" i="1"/>
  <c r="E17178" i="1"/>
  <c r="H17177" i="1"/>
  <c r="G17177" i="1"/>
  <c r="E17177" i="1"/>
  <c r="H17176" i="1"/>
  <c r="G17176" i="1"/>
  <c r="E17176" i="1"/>
  <c r="H17175" i="1"/>
  <c r="G17175" i="1"/>
  <c r="E17175" i="1"/>
  <c r="H17174" i="1"/>
  <c r="G17174" i="1"/>
  <c r="E17174" i="1"/>
  <c r="H17173" i="1"/>
  <c r="G17173" i="1"/>
  <c r="E17173" i="1"/>
  <c r="H17172" i="1"/>
  <c r="G17172" i="1"/>
  <c r="E17172" i="1"/>
  <c r="H17171" i="1"/>
  <c r="G17171" i="1"/>
  <c r="E17171" i="1"/>
  <c r="H17170" i="1"/>
  <c r="G17170" i="1"/>
  <c r="E17170" i="1"/>
  <c r="H17169" i="1"/>
  <c r="G17169" i="1"/>
  <c r="E17169" i="1"/>
  <c r="H17168" i="1"/>
  <c r="G17168" i="1"/>
  <c r="E17168" i="1"/>
  <c r="H17167" i="1"/>
  <c r="G17167" i="1"/>
  <c r="E17167" i="1"/>
  <c r="H17166" i="1"/>
  <c r="G17166" i="1"/>
  <c r="E17166" i="1"/>
  <c r="H17165" i="1"/>
  <c r="G17165" i="1"/>
  <c r="E17165" i="1"/>
  <c r="H17164" i="1"/>
  <c r="G17164" i="1"/>
  <c r="E17164" i="1"/>
  <c r="H17163" i="1"/>
  <c r="G17163" i="1"/>
  <c r="E17163" i="1"/>
  <c r="H17162" i="1"/>
  <c r="G17162" i="1"/>
  <c r="E17162" i="1"/>
  <c r="H17161" i="1"/>
  <c r="G17161" i="1"/>
  <c r="E17161" i="1"/>
  <c r="H17160" i="1"/>
  <c r="G17160" i="1"/>
  <c r="E17160" i="1"/>
  <c r="H17159" i="1"/>
  <c r="G17159" i="1"/>
  <c r="E17159" i="1"/>
  <c r="H17158" i="1"/>
  <c r="G17158" i="1"/>
  <c r="E17158" i="1"/>
  <c r="H17157" i="1"/>
  <c r="G17157" i="1"/>
  <c r="E17157" i="1"/>
  <c r="H17156" i="1"/>
  <c r="G17156" i="1"/>
  <c r="E17156" i="1"/>
  <c r="H17155" i="1"/>
  <c r="G17155" i="1"/>
  <c r="E17155" i="1"/>
  <c r="H17154" i="1"/>
  <c r="G17154" i="1"/>
  <c r="E17154" i="1"/>
  <c r="H17153" i="1"/>
  <c r="G17153" i="1"/>
  <c r="E17153" i="1"/>
  <c r="H17152" i="1"/>
  <c r="G17152" i="1"/>
  <c r="E17152" i="1"/>
  <c r="H17151" i="1"/>
  <c r="G17151" i="1"/>
  <c r="E17151" i="1"/>
  <c r="H17150" i="1"/>
  <c r="G17150" i="1"/>
  <c r="E17150" i="1"/>
  <c r="H17149" i="1"/>
  <c r="G17149" i="1"/>
  <c r="E17149" i="1"/>
  <c r="H17148" i="1"/>
  <c r="G17148" i="1"/>
  <c r="E17148" i="1"/>
  <c r="H17147" i="1"/>
  <c r="G17147" i="1"/>
  <c r="E17147" i="1"/>
  <c r="H17146" i="1"/>
  <c r="G17146" i="1"/>
  <c r="E17146" i="1"/>
  <c r="H17145" i="1"/>
  <c r="G17145" i="1"/>
  <c r="E17145" i="1"/>
  <c r="H17144" i="1"/>
  <c r="G17144" i="1"/>
  <c r="E17144" i="1"/>
  <c r="H17143" i="1"/>
  <c r="G17143" i="1"/>
  <c r="E17143" i="1"/>
  <c r="H17142" i="1"/>
  <c r="G17142" i="1"/>
  <c r="E17142" i="1"/>
  <c r="H17141" i="1"/>
  <c r="G17141" i="1"/>
  <c r="E17141" i="1"/>
  <c r="H17140" i="1"/>
  <c r="G17140" i="1"/>
  <c r="E17140" i="1"/>
  <c r="H17139" i="1"/>
  <c r="G17139" i="1"/>
  <c r="E17139" i="1"/>
  <c r="H17138" i="1"/>
  <c r="G17138" i="1"/>
  <c r="E17138" i="1"/>
  <c r="H17137" i="1"/>
  <c r="G17137" i="1"/>
  <c r="E17137" i="1"/>
  <c r="H17136" i="1"/>
  <c r="G17136" i="1"/>
  <c r="E17136" i="1"/>
  <c r="H17135" i="1"/>
  <c r="G17135" i="1"/>
  <c r="E17135" i="1"/>
  <c r="H17134" i="1"/>
  <c r="G17134" i="1"/>
  <c r="E17134" i="1"/>
  <c r="H17133" i="1"/>
  <c r="G17133" i="1"/>
  <c r="E17133" i="1"/>
  <c r="H17132" i="1"/>
  <c r="G17132" i="1"/>
  <c r="E17132" i="1"/>
  <c r="H17131" i="1"/>
  <c r="G17131" i="1"/>
  <c r="E17131" i="1"/>
  <c r="H17130" i="1"/>
  <c r="G17130" i="1"/>
  <c r="E17130" i="1"/>
  <c r="H17129" i="1"/>
  <c r="G17129" i="1"/>
  <c r="E17129" i="1"/>
  <c r="H17128" i="1"/>
  <c r="G17128" i="1"/>
  <c r="E17128" i="1"/>
  <c r="H17127" i="1"/>
  <c r="G17127" i="1"/>
  <c r="E17127" i="1"/>
  <c r="H17126" i="1"/>
  <c r="G17126" i="1"/>
  <c r="E17126" i="1"/>
  <c r="H17125" i="1"/>
  <c r="G17125" i="1"/>
  <c r="E17125" i="1"/>
  <c r="H17124" i="1"/>
  <c r="G17124" i="1"/>
  <c r="E17124" i="1"/>
  <c r="H17123" i="1"/>
  <c r="G17123" i="1"/>
  <c r="E17123" i="1"/>
  <c r="H17122" i="1"/>
  <c r="G17122" i="1"/>
  <c r="E17122" i="1"/>
  <c r="H17121" i="1"/>
  <c r="G17121" i="1"/>
  <c r="E17121" i="1"/>
  <c r="H17120" i="1"/>
  <c r="G17120" i="1"/>
  <c r="E17120" i="1"/>
  <c r="H17119" i="1"/>
  <c r="G17119" i="1"/>
  <c r="E17119" i="1"/>
  <c r="H17118" i="1"/>
  <c r="G17118" i="1"/>
  <c r="E17118" i="1"/>
  <c r="H17117" i="1"/>
  <c r="G17117" i="1"/>
  <c r="E17117" i="1"/>
  <c r="H17116" i="1"/>
  <c r="G17116" i="1"/>
  <c r="E17116" i="1"/>
  <c r="H17115" i="1"/>
  <c r="G17115" i="1"/>
  <c r="E17115" i="1"/>
  <c r="H17114" i="1"/>
  <c r="G17114" i="1"/>
  <c r="E17114" i="1"/>
  <c r="H17113" i="1"/>
  <c r="G17113" i="1"/>
  <c r="E17113" i="1"/>
  <c r="H17112" i="1"/>
  <c r="G17112" i="1"/>
  <c r="E17112" i="1"/>
  <c r="H17111" i="1"/>
  <c r="G17111" i="1"/>
  <c r="E17111" i="1"/>
  <c r="H17110" i="1"/>
  <c r="G17110" i="1"/>
  <c r="E17110" i="1"/>
  <c r="H17109" i="1"/>
  <c r="G17109" i="1"/>
  <c r="E17109" i="1"/>
  <c r="H17108" i="1"/>
  <c r="G17108" i="1"/>
  <c r="E17108" i="1"/>
  <c r="H17107" i="1"/>
  <c r="G17107" i="1"/>
  <c r="E17107" i="1"/>
  <c r="H17106" i="1"/>
  <c r="G17106" i="1"/>
  <c r="E17106" i="1"/>
  <c r="H17105" i="1"/>
  <c r="G17105" i="1"/>
  <c r="E17105" i="1"/>
  <c r="H17104" i="1"/>
  <c r="G17104" i="1"/>
  <c r="E17104" i="1"/>
  <c r="H17103" i="1"/>
  <c r="G17103" i="1"/>
  <c r="E17103" i="1"/>
  <c r="H17102" i="1"/>
  <c r="G17102" i="1"/>
  <c r="E17102" i="1"/>
  <c r="H17101" i="1"/>
  <c r="G17101" i="1"/>
  <c r="E17101" i="1"/>
  <c r="H17100" i="1"/>
  <c r="G17100" i="1"/>
  <c r="E17100" i="1"/>
  <c r="H17099" i="1"/>
  <c r="G17099" i="1"/>
  <c r="E17099" i="1"/>
  <c r="H17098" i="1"/>
  <c r="G17098" i="1"/>
  <c r="E17098" i="1"/>
  <c r="H17097" i="1"/>
  <c r="G17097" i="1"/>
  <c r="E17097" i="1"/>
  <c r="H17096" i="1"/>
  <c r="G17096" i="1"/>
  <c r="E17096" i="1"/>
  <c r="H17095" i="1"/>
  <c r="G17095" i="1"/>
  <c r="E17095" i="1"/>
  <c r="H17094" i="1"/>
  <c r="G17094" i="1"/>
  <c r="E17094" i="1"/>
  <c r="H17093" i="1"/>
  <c r="G17093" i="1"/>
  <c r="E17093" i="1"/>
  <c r="H17092" i="1"/>
  <c r="G17092" i="1"/>
  <c r="E17092" i="1"/>
  <c r="H17091" i="1"/>
  <c r="G17091" i="1"/>
  <c r="E17091" i="1"/>
  <c r="H17090" i="1"/>
  <c r="G17090" i="1"/>
  <c r="E17090" i="1"/>
  <c r="H17089" i="1"/>
  <c r="G17089" i="1"/>
  <c r="E17089" i="1"/>
  <c r="H17088" i="1"/>
  <c r="G17088" i="1"/>
  <c r="E17088" i="1"/>
  <c r="H17087" i="1"/>
  <c r="G17087" i="1"/>
  <c r="E17087" i="1"/>
  <c r="H17086" i="1"/>
  <c r="G17086" i="1"/>
  <c r="E17086" i="1"/>
  <c r="H17085" i="1"/>
  <c r="G17085" i="1"/>
  <c r="E17085" i="1"/>
  <c r="H17084" i="1"/>
  <c r="G17084" i="1"/>
  <c r="E17084" i="1"/>
  <c r="H17083" i="1"/>
  <c r="G17083" i="1"/>
  <c r="E17083" i="1"/>
  <c r="H17082" i="1"/>
  <c r="G17082" i="1"/>
  <c r="E17082" i="1"/>
  <c r="H17081" i="1"/>
  <c r="G17081" i="1"/>
  <c r="E17081" i="1"/>
  <c r="H17080" i="1"/>
  <c r="G17080" i="1"/>
  <c r="E17080" i="1"/>
  <c r="H17079" i="1"/>
  <c r="G17079" i="1"/>
  <c r="E17079" i="1"/>
  <c r="H17078" i="1"/>
  <c r="G17078" i="1"/>
  <c r="E17078" i="1"/>
  <c r="H17077" i="1"/>
  <c r="G17077" i="1"/>
  <c r="E17077" i="1"/>
  <c r="H17076" i="1"/>
  <c r="G17076" i="1"/>
  <c r="E17076" i="1"/>
  <c r="H17075" i="1"/>
  <c r="G17075" i="1"/>
  <c r="E17075" i="1"/>
  <c r="H17074" i="1"/>
  <c r="G17074" i="1"/>
  <c r="E17074" i="1"/>
  <c r="H17073" i="1"/>
  <c r="G17073" i="1"/>
  <c r="E17073" i="1"/>
  <c r="H17072" i="1"/>
  <c r="G17072" i="1"/>
  <c r="E17072" i="1"/>
  <c r="H17071" i="1"/>
  <c r="G17071" i="1"/>
  <c r="E17071" i="1"/>
  <c r="H17070" i="1"/>
  <c r="G17070" i="1"/>
  <c r="E17070" i="1"/>
  <c r="H17069" i="1"/>
  <c r="G17069" i="1"/>
  <c r="E17069" i="1"/>
  <c r="H17068" i="1"/>
  <c r="G17068" i="1"/>
  <c r="E17068" i="1"/>
  <c r="H17067" i="1"/>
  <c r="G17067" i="1"/>
  <c r="E17067" i="1"/>
  <c r="H17066" i="1"/>
  <c r="G17066" i="1"/>
  <c r="E17066" i="1"/>
  <c r="H17065" i="1"/>
  <c r="G17065" i="1"/>
  <c r="E17065" i="1"/>
  <c r="H17064" i="1"/>
  <c r="G17064" i="1"/>
  <c r="E17064" i="1"/>
  <c r="H17063" i="1"/>
  <c r="G17063" i="1"/>
  <c r="E17063" i="1"/>
  <c r="H17062" i="1"/>
  <c r="G17062" i="1"/>
  <c r="E17062" i="1"/>
  <c r="H17061" i="1"/>
  <c r="G17061" i="1"/>
  <c r="E17061" i="1"/>
  <c r="H17060" i="1"/>
  <c r="G17060" i="1"/>
  <c r="E17060" i="1"/>
  <c r="H17059" i="1"/>
  <c r="G17059" i="1"/>
  <c r="E17059" i="1"/>
  <c r="H17058" i="1"/>
  <c r="G17058" i="1"/>
  <c r="E17058" i="1"/>
  <c r="H17057" i="1"/>
  <c r="G17057" i="1"/>
  <c r="E17057" i="1"/>
  <c r="H17056" i="1"/>
  <c r="G17056" i="1"/>
  <c r="E17056" i="1"/>
  <c r="H17055" i="1"/>
  <c r="G17055" i="1"/>
  <c r="E17055" i="1"/>
  <c r="H17054" i="1"/>
  <c r="G17054" i="1"/>
  <c r="E17054" i="1"/>
  <c r="H17053" i="1"/>
  <c r="G17053" i="1"/>
  <c r="E17053" i="1"/>
  <c r="H17052" i="1"/>
  <c r="G17052" i="1"/>
  <c r="E17052" i="1"/>
  <c r="H17051" i="1"/>
  <c r="G17051" i="1"/>
  <c r="E17051" i="1"/>
  <c r="H17050" i="1"/>
  <c r="G17050" i="1"/>
  <c r="E17050" i="1"/>
  <c r="H17049" i="1"/>
  <c r="G17049" i="1"/>
  <c r="E17049" i="1"/>
  <c r="H17048" i="1"/>
  <c r="G17048" i="1"/>
  <c r="E17048" i="1"/>
  <c r="H17047" i="1"/>
  <c r="G17047" i="1"/>
  <c r="E17047" i="1"/>
  <c r="H17046" i="1"/>
  <c r="G17046" i="1"/>
  <c r="E17046" i="1"/>
  <c r="H17045" i="1"/>
  <c r="G17045" i="1"/>
  <c r="E17045" i="1"/>
  <c r="H17044" i="1"/>
  <c r="G17044" i="1"/>
  <c r="E17044" i="1"/>
  <c r="H17043" i="1"/>
  <c r="G17043" i="1"/>
  <c r="E17043" i="1"/>
  <c r="H17042" i="1"/>
  <c r="G17042" i="1"/>
  <c r="E17042" i="1"/>
  <c r="H17041" i="1"/>
  <c r="G17041" i="1"/>
  <c r="E17041" i="1"/>
  <c r="H17040" i="1"/>
  <c r="G17040" i="1"/>
  <c r="E17040" i="1"/>
  <c r="H17039" i="1"/>
  <c r="G17039" i="1"/>
  <c r="E17039" i="1"/>
  <c r="H17038" i="1"/>
  <c r="G17038" i="1"/>
  <c r="E17038" i="1"/>
  <c r="H17037" i="1"/>
  <c r="G17037" i="1"/>
  <c r="E17037" i="1"/>
  <c r="H17036" i="1"/>
  <c r="G17036" i="1"/>
  <c r="E17036" i="1"/>
  <c r="H17035" i="1"/>
  <c r="G17035" i="1"/>
  <c r="E17035" i="1"/>
  <c r="H17034" i="1"/>
  <c r="G17034" i="1"/>
  <c r="E17034" i="1"/>
  <c r="H17033" i="1"/>
  <c r="G17033" i="1"/>
  <c r="E17033" i="1"/>
  <c r="H17032" i="1"/>
  <c r="G17032" i="1"/>
  <c r="E17032" i="1"/>
  <c r="H17031" i="1"/>
  <c r="G17031" i="1"/>
  <c r="E17031" i="1"/>
  <c r="H17030" i="1"/>
  <c r="G17030" i="1"/>
  <c r="E17030" i="1"/>
  <c r="H17029" i="1"/>
  <c r="G17029" i="1"/>
  <c r="E17029" i="1"/>
  <c r="H17028" i="1"/>
  <c r="G17028" i="1"/>
  <c r="E17028" i="1"/>
  <c r="H17027" i="1"/>
  <c r="G17027" i="1"/>
  <c r="E17027" i="1"/>
  <c r="H17026" i="1"/>
  <c r="G17026" i="1"/>
  <c r="E17026" i="1"/>
  <c r="H17025" i="1"/>
  <c r="G17025" i="1"/>
  <c r="E17025" i="1"/>
  <c r="H17024" i="1"/>
  <c r="G17024" i="1"/>
  <c r="E17024" i="1"/>
  <c r="H17023" i="1"/>
  <c r="G17023" i="1"/>
  <c r="E17023" i="1"/>
  <c r="H17022" i="1"/>
  <c r="G17022" i="1"/>
  <c r="E17022" i="1"/>
  <c r="H17021" i="1"/>
  <c r="G17021" i="1"/>
  <c r="E17021" i="1"/>
  <c r="H17020" i="1"/>
  <c r="G17020" i="1"/>
  <c r="E17020" i="1"/>
  <c r="H17019" i="1"/>
  <c r="G17019" i="1"/>
  <c r="E17019" i="1"/>
  <c r="H17018" i="1"/>
  <c r="G17018" i="1"/>
  <c r="E17018" i="1"/>
  <c r="H17017" i="1"/>
  <c r="G17017" i="1"/>
  <c r="E17017" i="1"/>
  <c r="H17016" i="1"/>
  <c r="G17016" i="1"/>
  <c r="E17016" i="1"/>
  <c r="H17015" i="1"/>
  <c r="G17015" i="1"/>
  <c r="E17015" i="1"/>
  <c r="H17014" i="1"/>
  <c r="G17014" i="1"/>
  <c r="E17014" i="1"/>
  <c r="H17013" i="1"/>
  <c r="G17013" i="1"/>
  <c r="E17013" i="1"/>
  <c r="H17012" i="1"/>
  <c r="G17012" i="1"/>
  <c r="E17012" i="1"/>
  <c r="H17011" i="1"/>
  <c r="G17011" i="1"/>
  <c r="E17011" i="1"/>
  <c r="H17010" i="1"/>
  <c r="G17010" i="1"/>
  <c r="E17010" i="1"/>
  <c r="H17009" i="1"/>
  <c r="G17009" i="1"/>
  <c r="E17009" i="1"/>
  <c r="H17008" i="1"/>
  <c r="G17008" i="1"/>
  <c r="E17008" i="1"/>
  <c r="H17007" i="1"/>
  <c r="G17007" i="1"/>
  <c r="E17007" i="1"/>
  <c r="H17006" i="1"/>
  <c r="G17006" i="1"/>
  <c r="E17006" i="1"/>
  <c r="H17005" i="1"/>
  <c r="G17005" i="1"/>
  <c r="E17005" i="1"/>
  <c r="H17004" i="1"/>
  <c r="G17004" i="1"/>
  <c r="E17004" i="1"/>
  <c r="H17003" i="1"/>
  <c r="G17003" i="1"/>
  <c r="E17003" i="1"/>
  <c r="H17002" i="1"/>
  <c r="G17002" i="1"/>
  <c r="E17002" i="1"/>
  <c r="H17001" i="1"/>
  <c r="G17001" i="1"/>
  <c r="E17001" i="1"/>
  <c r="H17000" i="1"/>
  <c r="G17000" i="1"/>
  <c r="E17000" i="1"/>
  <c r="H16999" i="1"/>
  <c r="G16999" i="1"/>
  <c r="E16999" i="1"/>
  <c r="H16998" i="1"/>
  <c r="G16998" i="1"/>
  <c r="E16998" i="1"/>
  <c r="H16997" i="1"/>
  <c r="G16997" i="1"/>
  <c r="E16997" i="1"/>
  <c r="H16996" i="1"/>
  <c r="G16996" i="1"/>
  <c r="E16996" i="1"/>
  <c r="H16995" i="1"/>
  <c r="G16995" i="1"/>
  <c r="E16995" i="1"/>
  <c r="H16994" i="1"/>
  <c r="G16994" i="1"/>
  <c r="E16994" i="1"/>
  <c r="H16993" i="1"/>
  <c r="G16993" i="1"/>
  <c r="E16993" i="1"/>
  <c r="H16992" i="1"/>
  <c r="G16992" i="1"/>
  <c r="E16992" i="1"/>
  <c r="H16991" i="1"/>
  <c r="G16991" i="1"/>
  <c r="E16991" i="1"/>
  <c r="H16990" i="1"/>
  <c r="G16990" i="1"/>
  <c r="E16990" i="1"/>
  <c r="H16989" i="1"/>
  <c r="G16989" i="1"/>
  <c r="E16989" i="1"/>
  <c r="H16988" i="1"/>
  <c r="G16988" i="1"/>
  <c r="E16988" i="1"/>
  <c r="H16987" i="1"/>
  <c r="G16987" i="1"/>
  <c r="E16987" i="1"/>
  <c r="H16986" i="1"/>
  <c r="G16986" i="1"/>
  <c r="E16986" i="1"/>
  <c r="H16985" i="1"/>
  <c r="G16985" i="1"/>
  <c r="E16985" i="1"/>
  <c r="H16984" i="1"/>
  <c r="G16984" i="1"/>
  <c r="E16984" i="1"/>
  <c r="H16983" i="1"/>
  <c r="G16983" i="1"/>
  <c r="E16983" i="1"/>
  <c r="H16982" i="1"/>
  <c r="G16982" i="1"/>
  <c r="E16982" i="1"/>
  <c r="H16981" i="1"/>
  <c r="G16981" i="1"/>
  <c r="E16981" i="1"/>
  <c r="H16980" i="1"/>
  <c r="G16980" i="1"/>
  <c r="E16980" i="1"/>
  <c r="H16979" i="1"/>
  <c r="G16979" i="1"/>
  <c r="E16979" i="1"/>
  <c r="H16978" i="1"/>
  <c r="G16978" i="1"/>
  <c r="E16978" i="1"/>
  <c r="H16977" i="1"/>
  <c r="G16977" i="1"/>
  <c r="E16977" i="1"/>
  <c r="H16976" i="1"/>
  <c r="G16976" i="1"/>
  <c r="E16976" i="1"/>
  <c r="H16975" i="1"/>
  <c r="G16975" i="1"/>
  <c r="E16975" i="1"/>
  <c r="H16974" i="1"/>
  <c r="G16974" i="1"/>
  <c r="E16974" i="1"/>
  <c r="H16973" i="1"/>
  <c r="G16973" i="1"/>
  <c r="E16973" i="1"/>
  <c r="H16972" i="1"/>
  <c r="G16972" i="1"/>
  <c r="E16972" i="1"/>
  <c r="H16971" i="1"/>
  <c r="G16971" i="1"/>
  <c r="E16971" i="1"/>
  <c r="H16970" i="1"/>
  <c r="G16970" i="1"/>
  <c r="E16970" i="1"/>
  <c r="H16969" i="1"/>
  <c r="G16969" i="1"/>
  <c r="E16969" i="1"/>
  <c r="H16968" i="1"/>
  <c r="G16968" i="1"/>
  <c r="E16968" i="1"/>
  <c r="H16967" i="1"/>
  <c r="G16967" i="1"/>
  <c r="E16967" i="1"/>
  <c r="H16966" i="1"/>
  <c r="G16966" i="1"/>
  <c r="E16966" i="1"/>
  <c r="H16965" i="1"/>
  <c r="G16965" i="1"/>
  <c r="E16965" i="1"/>
  <c r="H16964" i="1"/>
  <c r="G16964" i="1"/>
  <c r="E16964" i="1"/>
  <c r="H16963" i="1"/>
  <c r="G16963" i="1"/>
  <c r="E16963" i="1"/>
  <c r="H16962" i="1"/>
  <c r="G16962" i="1"/>
  <c r="E16962" i="1"/>
  <c r="H16961" i="1"/>
  <c r="G16961" i="1"/>
  <c r="E16961" i="1"/>
  <c r="H16960" i="1"/>
  <c r="G16960" i="1"/>
  <c r="E16960" i="1"/>
  <c r="H16959" i="1"/>
  <c r="G16959" i="1"/>
  <c r="E16959" i="1"/>
  <c r="H16958" i="1"/>
  <c r="G16958" i="1"/>
  <c r="E16958" i="1"/>
  <c r="H16957" i="1"/>
  <c r="G16957" i="1"/>
  <c r="E16957" i="1"/>
  <c r="H16956" i="1"/>
  <c r="G16956" i="1"/>
  <c r="E16956" i="1"/>
  <c r="H16955" i="1"/>
  <c r="G16955" i="1"/>
  <c r="E16955" i="1"/>
  <c r="H16954" i="1"/>
  <c r="G16954" i="1"/>
  <c r="E16954" i="1"/>
  <c r="H16953" i="1"/>
  <c r="G16953" i="1"/>
  <c r="E16953" i="1"/>
  <c r="H16952" i="1"/>
  <c r="G16952" i="1"/>
  <c r="E16952" i="1"/>
  <c r="H16951" i="1"/>
  <c r="G16951" i="1"/>
  <c r="E16951" i="1"/>
  <c r="H16950" i="1"/>
  <c r="G16950" i="1"/>
  <c r="E16950" i="1"/>
  <c r="H16949" i="1"/>
  <c r="G16949" i="1"/>
  <c r="E16949" i="1"/>
  <c r="H16948" i="1"/>
  <c r="G16948" i="1"/>
  <c r="E16948" i="1"/>
  <c r="H16947" i="1"/>
  <c r="G16947" i="1"/>
  <c r="E16947" i="1"/>
  <c r="H16946" i="1"/>
  <c r="G16946" i="1"/>
  <c r="E16946" i="1"/>
  <c r="H16945" i="1"/>
  <c r="G16945" i="1"/>
  <c r="E16945" i="1"/>
  <c r="H16944" i="1"/>
  <c r="G16944" i="1"/>
  <c r="E16944" i="1"/>
  <c r="H16943" i="1"/>
  <c r="G16943" i="1"/>
  <c r="E16943" i="1"/>
  <c r="H16942" i="1"/>
  <c r="G16942" i="1"/>
  <c r="E16942" i="1"/>
  <c r="H16941" i="1"/>
  <c r="G16941" i="1"/>
  <c r="E16941" i="1"/>
  <c r="H16940" i="1"/>
  <c r="G16940" i="1"/>
  <c r="E16940" i="1"/>
  <c r="H16939" i="1"/>
  <c r="G16939" i="1"/>
  <c r="E16939" i="1"/>
  <c r="H16938" i="1"/>
  <c r="G16938" i="1"/>
  <c r="E16938" i="1"/>
  <c r="H16937" i="1"/>
  <c r="G16937" i="1"/>
  <c r="E16937" i="1"/>
  <c r="H16936" i="1"/>
  <c r="G16936" i="1"/>
  <c r="E16936" i="1"/>
  <c r="H16935" i="1"/>
  <c r="G16935" i="1"/>
  <c r="E16935" i="1"/>
  <c r="H16934" i="1"/>
  <c r="G16934" i="1"/>
  <c r="E16934" i="1"/>
  <c r="H16933" i="1"/>
  <c r="G16933" i="1"/>
  <c r="E16933" i="1"/>
  <c r="H16932" i="1"/>
  <c r="G16932" i="1"/>
  <c r="E16932" i="1"/>
  <c r="H16931" i="1"/>
  <c r="G16931" i="1"/>
  <c r="E16931" i="1"/>
  <c r="H16930" i="1"/>
  <c r="G16930" i="1"/>
  <c r="E16930" i="1"/>
  <c r="H16929" i="1"/>
  <c r="G16929" i="1"/>
  <c r="E16929" i="1"/>
  <c r="H16928" i="1"/>
  <c r="G16928" i="1"/>
  <c r="E16928" i="1"/>
  <c r="H16927" i="1"/>
  <c r="G16927" i="1"/>
  <c r="E16927" i="1"/>
  <c r="H16926" i="1"/>
  <c r="G16926" i="1"/>
  <c r="E16926" i="1"/>
  <c r="H16925" i="1"/>
  <c r="G16925" i="1"/>
  <c r="E16925" i="1"/>
  <c r="H16924" i="1"/>
  <c r="G16924" i="1"/>
  <c r="E16924" i="1"/>
  <c r="H16923" i="1"/>
  <c r="G16923" i="1"/>
  <c r="E16923" i="1"/>
  <c r="H16922" i="1"/>
  <c r="G16922" i="1"/>
  <c r="E16922" i="1"/>
  <c r="H16921" i="1"/>
  <c r="G16921" i="1"/>
  <c r="E16921" i="1"/>
  <c r="H16920" i="1"/>
  <c r="G16920" i="1"/>
  <c r="E16920" i="1"/>
  <c r="H16919" i="1"/>
  <c r="G16919" i="1"/>
  <c r="E16919" i="1"/>
  <c r="H16918" i="1"/>
  <c r="G16918" i="1"/>
  <c r="E16918" i="1"/>
  <c r="H16917" i="1"/>
  <c r="G16917" i="1"/>
  <c r="E16917" i="1"/>
  <c r="H16916" i="1"/>
  <c r="G16916" i="1"/>
  <c r="E16916" i="1"/>
  <c r="H16915" i="1"/>
  <c r="G16915" i="1"/>
  <c r="E16915" i="1"/>
  <c r="H16914" i="1"/>
  <c r="G16914" i="1"/>
  <c r="E16914" i="1"/>
  <c r="H16913" i="1"/>
  <c r="G16913" i="1"/>
  <c r="E16913" i="1"/>
  <c r="H16912" i="1"/>
  <c r="G16912" i="1"/>
  <c r="E16912" i="1"/>
  <c r="H16911" i="1"/>
  <c r="G16911" i="1"/>
  <c r="E16911" i="1"/>
  <c r="H16910" i="1"/>
  <c r="G16910" i="1"/>
  <c r="E16910" i="1"/>
  <c r="H16909" i="1"/>
  <c r="G16909" i="1"/>
  <c r="E16909" i="1"/>
  <c r="H16908" i="1"/>
  <c r="G16908" i="1"/>
  <c r="E16908" i="1"/>
  <c r="H16907" i="1"/>
  <c r="G16907" i="1"/>
  <c r="E16907" i="1"/>
  <c r="H16906" i="1"/>
  <c r="G16906" i="1"/>
  <c r="E16906" i="1"/>
  <c r="H16905" i="1"/>
  <c r="G16905" i="1"/>
  <c r="E16905" i="1"/>
  <c r="H16904" i="1"/>
  <c r="G16904" i="1"/>
  <c r="E16904" i="1"/>
  <c r="H16903" i="1"/>
  <c r="G16903" i="1"/>
  <c r="E16903" i="1"/>
  <c r="H16902" i="1"/>
  <c r="G16902" i="1"/>
  <c r="E16902" i="1"/>
  <c r="H16901" i="1"/>
  <c r="G16901" i="1"/>
  <c r="E16901" i="1"/>
  <c r="H16900" i="1"/>
  <c r="G16900" i="1"/>
  <c r="E16900" i="1"/>
  <c r="H16899" i="1"/>
  <c r="G16899" i="1"/>
  <c r="E16899" i="1"/>
  <c r="H16898" i="1"/>
  <c r="G16898" i="1"/>
  <c r="E16898" i="1"/>
  <c r="H16897" i="1"/>
  <c r="G16897" i="1"/>
  <c r="E16897" i="1"/>
  <c r="H16896" i="1"/>
  <c r="G16896" i="1"/>
  <c r="E16896" i="1"/>
  <c r="H16895" i="1"/>
  <c r="G16895" i="1"/>
  <c r="E16895" i="1"/>
  <c r="H16894" i="1"/>
  <c r="G16894" i="1"/>
  <c r="E16894" i="1"/>
  <c r="H16893" i="1"/>
  <c r="G16893" i="1"/>
  <c r="E16893" i="1"/>
  <c r="H16892" i="1"/>
  <c r="G16892" i="1"/>
  <c r="E16892" i="1"/>
  <c r="H16891" i="1"/>
  <c r="G16891" i="1"/>
  <c r="E16891" i="1"/>
  <c r="H16890" i="1"/>
  <c r="G16890" i="1"/>
  <c r="E16890" i="1"/>
  <c r="H16889" i="1"/>
  <c r="G16889" i="1"/>
  <c r="E16889" i="1"/>
  <c r="H16888" i="1"/>
  <c r="G16888" i="1"/>
  <c r="E16888" i="1"/>
  <c r="H16887" i="1"/>
  <c r="G16887" i="1"/>
  <c r="E16887" i="1"/>
  <c r="H16886" i="1"/>
  <c r="G16886" i="1"/>
  <c r="E16886" i="1"/>
  <c r="H16885" i="1"/>
  <c r="G16885" i="1"/>
  <c r="E16885" i="1"/>
  <c r="H16884" i="1"/>
  <c r="G16884" i="1"/>
  <c r="E16884" i="1"/>
  <c r="H16883" i="1"/>
  <c r="G16883" i="1"/>
  <c r="E16883" i="1"/>
  <c r="H16882" i="1"/>
  <c r="G16882" i="1"/>
  <c r="E16882" i="1"/>
  <c r="H16881" i="1"/>
  <c r="G16881" i="1"/>
  <c r="E16881" i="1"/>
  <c r="H16880" i="1"/>
  <c r="G16880" i="1"/>
  <c r="E16880" i="1"/>
  <c r="H16879" i="1"/>
  <c r="G16879" i="1"/>
  <c r="E16879" i="1"/>
  <c r="H16878" i="1"/>
  <c r="G16878" i="1"/>
  <c r="E16878" i="1"/>
  <c r="H16877" i="1"/>
  <c r="G16877" i="1"/>
  <c r="E16877" i="1"/>
  <c r="H16876" i="1"/>
  <c r="G16876" i="1"/>
  <c r="E16876" i="1"/>
  <c r="H16875" i="1"/>
  <c r="G16875" i="1"/>
  <c r="E16875" i="1"/>
  <c r="H16874" i="1"/>
  <c r="G16874" i="1"/>
  <c r="E16874" i="1"/>
  <c r="H16873" i="1"/>
  <c r="G16873" i="1"/>
  <c r="E16873" i="1"/>
  <c r="H16872" i="1"/>
  <c r="G16872" i="1"/>
  <c r="E16872" i="1"/>
  <c r="H16871" i="1"/>
  <c r="G16871" i="1"/>
  <c r="E16871" i="1"/>
  <c r="H16870" i="1"/>
  <c r="G16870" i="1"/>
  <c r="E16870" i="1"/>
  <c r="H16869" i="1"/>
  <c r="G16869" i="1"/>
  <c r="E16869" i="1"/>
  <c r="H16868" i="1"/>
  <c r="G16868" i="1"/>
  <c r="E16868" i="1"/>
  <c r="H16867" i="1"/>
  <c r="G16867" i="1"/>
  <c r="E16867" i="1"/>
  <c r="H16866" i="1"/>
  <c r="G16866" i="1"/>
  <c r="E16866" i="1"/>
  <c r="H16865" i="1"/>
  <c r="G16865" i="1"/>
  <c r="E16865" i="1"/>
  <c r="H16864" i="1"/>
  <c r="G16864" i="1"/>
  <c r="E16864" i="1"/>
  <c r="H16863" i="1"/>
  <c r="G16863" i="1"/>
  <c r="E16863" i="1"/>
  <c r="H16862" i="1"/>
  <c r="G16862" i="1"/>
  <c r="E16862" i="1"/>
  <c r="H16861" i="1"/>
  <c r="G16861" i="1"/>
  <c r="E16861" i="1"/>
  <c r="H16860" i="1"/>
  <c r="G16860" i="1"/>
  <c r="E16860" i="1"/>
  <c r="H16859" i="1"/>
  <c r="G16859" i="1"/>
  <c r="E16859" i="1"/>
  <c r="H16858" i="1"/>
  <c r="G16858" i="1"/>
  <c r="E16858" i="1"/>
  <c r="H16857" i="1"/>
  <c r="G16857" i="1"/>
  <c r="E16857" i="1"/>
  <c r="H16856" i="1"/>
  <c r="G16856" i="1"/>
  <c r="E16856" i="1"/>
  <c r="H16855" i="1"/>
  <c r="G16855" i="1"/>
  <c r="E16855" i="1"/>
  <c r="H16854" i="1"/>
  <c r="G16854" i="1"/>
  <c r="E16854" i="1"/>
  <c r="H16853" i="1"/>
  <c r="G16853" i="1"/>
  <c r="E16853" i="1"/>
  <c r="H16852" i="1"/>
  <c r="G16852" i="1"/>
  <c r="E16852" i="1"/>
  <c r="H16851" i="1"/>
  <c r="G16851" i="1"/>
  <c r="E16851" i="1"/>
  <c r="H16850" i="1"/>
  <c r="G16850" i="1"/>
  <c r="E16850" i="1"/>
  <c r="H16849" i="1"/>
  <c r="G16849" i="1"/>
  <c r="E16849" i="1"/>
  <c r="H16848" i="1"/>
  <c r="G16848" i="1"/>
  <c r="E16848" i="1"/>
  <c r="H16847" i="1"/>
  <c r="G16847" i="1"/>
  <c r="E16847" i="1"/>
  <c r="H16846" i="1"/>
  <c r="G16846" i="1"/>
  <c r="E16846" i="1"/>
  <c r="H16845" i="1"/>
  <c r="G16845" i="1"/>
  <c r="E16845" i="1"/>
  <c r="H16844" i="1"/>
  <c r="G16844" i="1"/>
  <c r="E16844" i="1"/>
  <c r="H16843" i="1"/>
  <c r="G16843" i="1"/>
  <c r="E16843" i="1"/>
  <c r="H16842" i="1"/>
  <c r="G16842" i="1"/>
  <c r="E16842" i="1"/>
  <c r="H16841" i="1"/>
  <c r="G16841" i="1"/>
  <c r="E16841" i="1"/>
  <c r="H16840" i="1"/>
  <c r="G16840" i="1"/>
  <c r="E16840" i="1"/>
  <c r="H16839" i="1"/>
  <c r="G16839" i="1"/>
  <c r="E16839" i="1"/>
  <c r="H16838" i="1"/>
  <c r="G16838" i="1"/>
  <c r="E16838" i="1"/>
  <c r="H16837" i="1"/>
  <c r="G16837" i="1"/>
  <c r="E16837" i="1"/>
  <c r="H16836" i="1"/>
  <c r="G16836" i="1"/>
  <c r="E16836" i="1"/>
  <c r="H16835" i="1"/>
  <c r="G16835" i="1"/>
  <c r="E16835" i="1"/>
  <c r="H16834" i="1"/>
  <c r="G16834" i="1"/>
  <c r="E16834" i="1"/>
  <c r="H16833" i="1"/>
  <c r="G16833" i="1"/>
  <c r="E16833" i="1"/>
  <c r="H16832" i="1"/>
  <c r="G16832" i="1"/>
  <c r="E16832" i="1"/>
  <c r="H16831" i="1"/>
  <c r="G16831" i="1"/>
  <c r="E16831" i="1"/>
  <c r="H16830" i="1"/>
  <c r="G16830" i="1"/>
  <c r="E16830" i="1"/>
  <c r="H16829" i="1"/>
  <c r="G16829" i="1"/>
  <c r="E16829" i="1"/>
  <c r="H16828" i="1"/>
  <c r="G16828" i="1"/>
  <c r="E16828" i="1"/>
  <c r="H16827" i="1"/>
  <c r="G16827" i="1"/>
  <c r="E16827" i="1"/>
  <c r="H16826" i="1"/>
  <c r="G16826" i="1"/>
  <c r="E16826" i="1"/>
  <c r="H16825" i="1"/>
  <c r="G16825" i="1"/>
  <c r="E16825" i="1"/>
  <c r="H16824" i="1"/>
  <c r="G16824" i="1"/>
  <c r="E16824" i="1"/>
  <c r="H16823" i="1"/>
  <c r="G16823" i="1"/>
  <c r="E16823" i="1"/>
  <c r="H16822" i="1"/>
  <c r="G16822" i="1"/>
  <c r="E16822" i="1"/>
  <c r="H16821" i="1"/>
  <c r="G16821" i="1"/>
  <c r="E16821" i="1"/>
  <c r="H16820" i="1"/>
  <c r="G16820" i="1"/>
  <c r="E16820" i="1"/>
  <c r="H16819" i="1"/>
  <c r="G16819" i="1"/>
  <c r="E16819" i="1"/>
  <c r="H16818" i="1"/>
  <c r="G16818" i="1"/>
  <c r="E16818" i="1"/>
  <c r="H16817" i="1"/>
  <c r="G16817" i="1"/>
  <c r="E16817" i="1"/>
  <c r="H16816" i="1"/>
  <c r="G16816" i="1"/>
  <c r="E16816" i="1"/>
  <c r="H16815" i="1"/>
  <c r="G16815" i="1"/>
  <c r="E16815" i="1"/>
  <c r="H16814" i="1"/>
  <c r="G16814" i="1"/>
  <c r="E16814" i="1"/>
  <c r="H16813" i="1"/>
  <c r="G16813" i="1"/>
  <c r="E16813" i="1"/>
  <c r="H16812" i="1"/>
  <c r="G16812" i="1"/>
  <c r="E16812" i="1"/>
  <c r="H16811" i="1"/>
  <c r="G16811" i="1"/>
  <c r="E16811" i="1"/>
  <c r="H16810" i="1"/>
  <c r="G16810" i="1"/>
  <c r="E16810" i="1"/>
  <c r="H16809" i="1"/>
  <c r="G16809" i="1"/>
  <c r="E16809" i="1"/>
  <c r="H16808" i="1"/>
  <c r="G16808" i="1"/>
  <c r="E16808" i="1"/>
  <c r="H16807" i="1"/>
  <c r="G16807" i="1"/>
  <c r="E16807" i="1"/>
  <c r="H16806" i="1"/>
  <c r="G16806" i="1"/>
  <c r="E16806" i="1"/>
  <c r="H16805" i="1"/>
  <c r="G16805" i="1"/>
  <c r="E16805" i="1"/>
  <c r="H16804" i="1"/>
  <c r="G16804" i="1"/>
  <c r="E16804" i="1"/>
  <c r="H16803" i="1"/>
  <c r="G16803" i="1"/>
  <c r="E16803" i="1"/>
  <c r="H16802" i="1"/>
  <c r="G16802" i="1"/>
  <c r="E16802" i="1"/>
  <c r="H16801" i="1"/>
  <c r="G16801" i="1"/>
  <c r="E16801" i="1"/>
  <c r="H16800" i="1"/>
  <c r="G16800" i="1"/>
  <c r="E16800" i="1"/>
  <c r="H16799" i="1"/>
  <c r="G16799" i="1"/>
  <c r="E16799" i="1"/>
  <c r="H16798" i="1"/>
  <c r="G16798" i="1"/>
  <c r="E16798" i="1"/>
  <c r="H16797" i="1"/>
  <c r="G16797" i="1"/>
  <c r="E16797" i="1"/>
  <c r="H16796" i="1"/>
  <c r="G16796" i="1"/>
  <c r="E16796" i="1"/>
  <c r="H16795" i="1"/>
  <c r="G16795" i="1"/>
  <c r="E16795" i="1"/>
  <c r="H16794" i="1"/>
  <c r="G16794" i="1"/>
  <c r="E16794" i="1"/>
  <c r="H16793" i="1"/>
  <c r="G16793" i="1"/>
  <c r="E16793" i="1"/>
  <c r="H16792" i="1"/>
  <c r="G16792" i="1"/>
  <c r="E16792" i="1"/>
  <c r="H16791" i="1"/>
  <c r="G16791" i="1"/>
  <c r="E16791" i="1"/>
  <c r="H16790" i="1"/>
  <c r="G16790" i="1"/>
  <c r="E16790" i="1"/>
  <c r="H16789" i="1"/>
  <c r="G16789" i="1"/>
  <c r="E16789" i="1"/>
  <c r="H16788" i="1"/>
  <c r="G16788" i="1"/>
  <c r="E16788" i="1"/>
  <c r="H16787" i="1"/>
  <c r="G16787" i="1"/>
  <c r="E16787" i="1"/>
  <c r="H16786" i="1"/>
  <c r="G16786" i="1"/>
  <c r="E16786" i="1"/>
  <c r="H16785" i="1"/>
  <c r="G16785" i="1"/>
  <c r="E16785" i="1"/>
  <c r="H16784" i="1"/>
  <c r="G16784" i="1"/>
  <c r="E16784" i="1"/>
  <c r="H16783" i="1"/>
  <c r="G16783" i="1"/>
  <c r="E16783" i="1"/>
  <c r="H16782" i="1"/>
  <c r="G16782" i="1"/>
  <c r="E16782" i="1"/>
  <c r="H16781" i="1"/>
  <c r="G16781" i="1"/>
  <c r="E16781" i="1"/>
  <c r="H16780" i="1"/>
  <c r="G16780" i="1"/>
  <c r="E16780" i="1"/>
  <c r="H16779" i="1"/>
  <c r="G16779" i="1"/>
  <c r="E16779" i="1"/>
  <c r="H16778" i="1"/>
  <c r="G16778" i="1"/>
  <c r="E16778" i="1"/>
  <c r="H16777" i="1"/>
  <c r="G16777" i="1"/>
  <c r="E16777" i="1"/>
  <c r="H16776" i="1"/>
  <c r="G16776" i="1"/>
  <c r="E16776" i="1"/>
  <c r="H16775" i="1"/>
  <c r="G16775" i="1"/>
  <c r="E16775" i="1"/>
  <c r="H16774" i="1"/>
  <c r="G16774" i="1"/>
  <c r="E16774" i="1"/>
  <c r="H16773" i="1"/>
  <c r="G16773" i="1"/>
  <c r="E16773" i="1"/>
  <c r="H16772" i="1"/>
  <c r="G16772" i="1"/>
  <c r="E16772" i="1"/>
  <c r="H16771" i="1"/>
  <c r="G16771" i="1"/>
  <c r="E16771" i="1"/>
  <c r="H16770" i="1"/>
  <c r="G16770" i="1"/>
  <c r="E16770" i="1"/>
  <c r="H16769" i="1"/>
  <c r="G16769" i="1"/>
  <c r="E16769" i="1"/>
  <c r="H16768" i="1"/>
  <c r="G16768" i="1"/>
  <c r="E16768" i="1"/>
  <c r="H16767" i="1"/>
  <c r="G16767" i="1"/>
  <c r="E16767" i="1"/>
  <c r="H16766" i="1"/>
  <c r="G16766" i="1"/>
  <c r="E16766" i="1"/>
  <c r="H16765" i="1"/>
  <c r="G16765" i="1"/>
  <c r="E16765" i="1"/>
  <c r="H16764" i="1"/>
  <c r="G16764" i="1"/>
  <c r="E16764" i="1"/>
  <c r="H16763" i="1"/>
  <c r="G16763" i="1"/>
  <c r="E16763" i="1"/>
  <c r="H16762" i="1"/>
  <c r="G16762" i="1"/>
  <c r="E16762" i="1"/>
  <c r="H16761" i="1"/>
  <c r="G16761" i="1"/>
  <c r="E16761" i="1"/>
  <c r="H16760" i="1"/>
  <c r="G16760" i="1"/>
  <c r="E16760" i="1"/>
  <c r="H16759" i="1"/>
  <c r="G16759" i="1"/>
  <c r="E16759" i="1"/>
  <c r="H16758" i="1"/>
  <c r="G16758" i="1"/>
  <c r="E16758" i="1"/>
  <c r="H16757" i="1"/>
  <c r="G16757" i="1"/>
  <c r="E16757" i="1"/>
  <c r="H16756" i="1"/>
  <c r="G16756" i="1"/>
  <c r="E16756" i="1"/>
  <c r="H16755" i="1"/>
  <c r="G16755" i="1"/>
  <c r="E16755" i="1"/>
  <c r="H16754" i="1"/>
  <c r="G16754" i="1"/>
  <c r="E16754" i="1"/>
  <c r="H16753" i="1"/>
  <c r="G16753" i="1"/>
  <c r="E16753" i="1"/>
  <c r="H16752" i="1"/>
  <c r="G16752" i="1"/>
  <c r="E16752" i="1"/>
  <c r="H16751" i="1"/>
  <c r="G16751" i="1"/>
  <c r="E16751" i="1"/>
  <c r="H16750" i="1"/>
  <c r="G16750" i="1"/>
  <c r="E16750" i="1"/>
  <c r="H16749" i="1"/>
  <c r="G16749" i="1"/>
  <c r="E16749" i="1"/>
  <c r="H16748" i="1"/>
  <c r="G16748" i="1"/>
  <c r="E16748" i="1"/>
  <c r="H16747" i="1"/>
  <c r="G16747" i="1"/>
  <c r="E16747" i="1"/>
  <c r="H16746" i="1"/>
  <c r="G16746" i="1"/>
  <c r="E16746" i="1"/>
  <c r="H16745" i="1"/>
  <c r="G16745" i="1"/>
  <c r="E16745" i="1"/>
  <c r="H16744" i="1"/>
  <c r="G16744" i="1"/>
  <c r="E16744" i="1"/>
  <c r="H16743" i="1"/>
  <c r="G16743" i="1"/>
  <c r="E16743" i="1"/>
  <c r="H16742" i="1"/>
  <c r="G16742" i="1"/>
  <c r="E16742" i="1"/>
  <c r="H16741" i="1"/>
  <c r="G16741" i="1"/>
  <c r="E16741" i="1"/>
  <c r="H16740" i="1"/>
  <c r="G16740" i="1"/>
  <c r="E16740" i="1"/>
  <c r="H16739" i="1"/>
  <c r="G16739" i="1"/>
  <c r="E16739" i="1"/>
  <c r="H16738" i="1"/>
  <c r="G16738" i="1"/>
  <c r="E16738" i="1"/>
  <c r="H16737" i="1"/>
  <c r="G16737" i="1"/>
  <c r="E16737" i="1"/>
  <c r="H16736" i="1"/>
  <c r="G16736" i="1"/>
  <c r="E16736" i="1"/>
  <c r="H16735" i="1"/>
  <c r="G16735" i="1"/>
  <c r="E16735" i="1"/>
  <c r="H16734" i="1"/>
  <c r="G16734" i="1"/>
  <c r="E16734" i="1"/>
  <c r="H16733" i="1"/>
  <c r="G16733" i="1"/>
  <c r="E16733" i="1"/>
  <c r="H16732" i="1"/>
  <c r="G16732" i="1"/>
  <c r="E16732" i="1"/>
  <c r="H16731" i="1"/>
  <c r="G16731" i="1"/>
  <c r="E16731" i="1"/>
  <c r="H16730" i="1"/>
  <c r="G16730" i="1"/>
  <c r="E16730" i="1"/>
  <c r="H16729" i="1"/>
  <c r="G16729" i="1"/>
  <c r="E16729" i="1"/>
  <c r="H16728" i="1"/>
  <c r="G16728" i="1"/>
  <c r="E16728" i="1"/>
  <c r="H16727" i="1"/>
  <c r="G16727" i="1"/>
  <c r="E16727" i="1"/>
  <c r="H16726" i="1"/>
  <c r="G16726" i="1"/>
  <c r="E16726" i="1"/>
  <c r="H16725" i="1"/>
  <c r="G16725" i="1"/>
  <c r="E16725" i="1"/>
  <c r="H16724" i="1"/>
  <c r="G16724" i="1"/>
  <c r="E16724" i="1"/>
  <c r="H16723" i="1"/>
  <c r="G16723" i="1"/>
  <c r="E16723" i="1"/>
  <c r="H16722" i="1"/>
  <c r="G16722" i="1"/>
  <c r="E16722" i="1"/>
  <c r="H16721" i="1"/>
  <c r="G16721" i="1"/>
  <c r="E16721" i="1"/>
  <c r="H16720" i="1"/>
  <c r="G16720" i="1"/>
  <c r="E16720" i="1"/>
  <c r="H16719" i="1"/>
  <c r="G16719" i="1"/>
  <c r="E16719" i="1"/>
  <c r="H16718" i="1"/>
  <c r="G16718" i="1"/>
  <c r="E16718" i="1"/>
  <c r="H16717" i="1"/>
  <c r="G16717" i="1"/>
  <c r="E16717" i="1"/>
  <c r="H16716" i="1"/>
  <c r="G16716" i="1"/>
  <c r="E16716" i="1"/>
  <c r="H16715" i="1"/>
  <c r="G16715" i="1"/>
  <c r="E16715" i="1"/>
  <c r="H16714" i="1"/>
  <c r="G16714" i="1"/>
  <c r="E16714" i="1"/>
  <c r="H16713" i="1"/>
  <c r="G16713" i="1"/>
  <c r="E16713" i="1"/>
  <c r="H16712" i="1"/>
  <c r="G16712" i="1"/>
  <c r="E16712" i="1"/>
  <c r="H16711" i="1"/>
  <c r="G16711" i="1"/>
  <c r="E16711" i="1"/>
  <c r="H16710" i="1"/>
  <c r="G16710" i="1"/>
  <c r="E16710" i="1"/>
  <c r="H16709" i="1"/>
  <c r="G16709" i="1"/>
  <c r="E16709" i="1"/>
  <c r="H16708" i="1"/>
  <c r="G16708" i="1"/>
  <c r="E16708" i="1"/>
  <c r="H16707" i="1"/>
  <c r="G16707" i="1"/>
  <c r="E16707" i="1"/>
  <c r="H16706" i="1"/>
  <c r="G16706" i="1"/>
  <c r="E16706" i="1"/>
  <c r="H16705" i="1"/>
  <c r="G16705" i="1"/>
  <c r="E16705" i="1"/>
  <c r="H16704" i="1"/>
  <c r="G16704" i="1"/>
  <c r="E16704" i="1"/>
  <c r="H16703" i="1"/>
  <c r="G16703" i="1"/>
  <c r="E16703" i="1"/>
  <c r="H16702" i="1"/>
  <c r="G16702" i="1"/>
  <c r="E16702" i="1"/>
  <c r="H16701" i="1"/>
  <c r="G16701" i="1"/>
  <c r="E16701" i="1"/>
  <c r="H16700" i="1"/>
  <c r="G16700" i="1"/>
  <c r="E16700" i="1"/>
  <c r="H16699" i="1"/>
  <c r="G16699" i="1"/>
  <c r="E16699" i="1"/>
  <c r="H16698" i="1"/>
  <c r="G16698" i="1"/>
  <c r="E16698" i="1"/>
  <c r="H16697" i="1"/>
  <c r="G16697" i="1"/>
  <c r="E16697" i="1"/>
  <c r="H16696" i="1"/>
  <c r="G16696" i="1"/>
  <c r="E16696" i="1"/>
  <c r="H16695" i="1"/>
  <c r="G16695" i="1"/>
  <c r="E16695" i="1"/>
  <c r="H16694" i="1"/>
  <c r="G16694" i="1"/>
  <c r="E16694" i="1"/>
  <c r="H16693" i="1"/>
  <c r="G16693" i="1"/>
  <c r="E16693" i="1"/>
  <c r="H16692" i="1"/>
  <c r="G16692" i="1"/>
  <c r="E16692" i="1"/>
  <c r="H16691" i="1"/>
  <c r="G16691" i="1"/>
  <c r="E16691" i="1"/>
  <c r="H16690" i="1"/>
  <c r="G16690" i="1"/>
  <c r="E16690" i="1"/>
  <c r="H16689" i="1"/>
  <c r="G16689" i="1"/>
  <c r="E16689" i="1"/>
  <c r="H16688" i="1"/>
  <c r="G16688" i="1"/>
  <c r="E16688" i="1"/>
  <c r="H16687" i="1"/>
  <c r="G16687" i="1"/>
  <c r="E16687" i="1"/>
  <c r="H16686" i="1"/>
  <c r="G16686" i="1"/>
  <c r="E16686" i="1"/>
  <c r="H16685" i="1"/>
  <c r="G16685" i="1"/>
  <c r="E16685" i="1"/>
  <c r="H16684" i="1"/>
  <c r="G16684" i="1"/>
  <c r="E16684" i="1"/>
  <c r="H16683" i="1"/>
  <c r="G16683" i="1"/>
  <c r="E16683" i="1"/>
  <c r="H16682" i="1"/>
  <c r="G16682" i="1"/>
  <c r="E16682" i="1"/>
  <c r="H16681" i="1"/>
  <c r="G16681" i="1"/>
  <c r="E16681" i="1"/>
  <c r="H16680" i="1"/>
  <c r="G16680" i="1"/>
  <c r="E16680" i="1"/>
  <c r="H16679" i="1"/>
  <c r="G16679" i="1"/>
  <c r="E16679" i="1"/>
  <c r="H16678" i="1"/>
  <c r="G16678" i="1"/>
  <c r="E16678" i="1"/>
  <c r="H16677" i="1"/>
  <c r="G16677" i="1"/>
  <c r="E16677" i="1"/>
  <c r="H16676" i="1"/>
  <c r="G16676" i="1"/>
  <c r="E16676" i="1"/>
  <c r="H16675" i="1"/>
  <c r="G16675" i="1"/>
  <c r="E16675" i="1"/>
  <c r="H16674" i="1"/>
  <c r="G16674" i="1"/>
  <c r="E16674" i="1"/>
  <c r="H16673" i="1"/>
  <c r="G16673" i="1"/>
  <c r="E16673" i="1"/>
  <c r="H16672" i="1"/>
  <c r="G16672" i="1"/>
  <c r="E16672" i="1"/>
  <c r="H16671" i="1"/>
  <c r="G16671" i="1"/>
  <c r="E16671" i="1"/>
  <c r="H16670" i="1"/>
  <c r="G16670" i="1"/>
  <c r="E16670" i="1"/>
  <c r="H16669" i="1"/>
  <c r="G16669" i="1"/>
  <c r="E16669" i="1"/>
  <c r="H16668" i="1"/>
  <c r="G16668" i="1"/>
  <c r="E16668" i="1"/>
  <c r="H16667" i="1"/>
  <c r="G16667" i="1"/>
  <c r="E16667" i="1"/>
  <c r="H16666" i="1"/>
  <c r="G16666" i="1"/>
  <c r="E16666" i="1"/>
  <c r="H16665" i="1"/>
  <c r="G16665" i="1"/>
  <c r="E16665" i="1"/>
  <c r="H16664" i="1"/>
  <c r="G16664" i="1"/>
  <c r="E16664" i="1"/>
  <c r="H16663" i="1"/>
  <c r="G16663" i="1"/>
  <c r="E16663" i="1"/>
  <c r="H16662" i="1"/>
  <c r="G16662" i="1"/>
  <c r="E16662" i="1"/>
  <c r="H16661" i="1"/>
  <c r="G16661" i="1"/>
  <c r="E16661" i="1"/>
  <c r="H16660" i="1"/>
  <c r="G16660" i="1"/>
  <c r="E16660" i="1"/>
  <c r="H16659" i="1"/>
  <c r="G16659" i="1"/>
  <c r="E16659" i="1"/>
  <c r="H16658" i="1"/>
  <c r="G16658" i="1"/>
  <c r="E16658" i="1"/>
  <c r="H16657" i="1"/>
  <c r="G16657" i="1"/>
  <c r="E16657" i="1"/>
  <c r="H16656" i="1"/>
  <c r="G16656" i="1"/>
  <c r="E16656" i="1"/>
  <c r="H16655" i="1"/>
  <c r="G16655" i="1"/>
  <c r="E16655" i="1"/>
  <c r="H16654" i="1"/>
  <c r="G16654" i="1"/>
  <c r="E16654" i="1"/>
  <c r="H16653" i="1"/>
  <c r="G16653" i="1"/>
  <c r="E16653" i="1"/>
  <c r="H16652" i="1"/>
  <c r="G16652" i="1"/>
  <c r="E16652" i="1"/>
  <c r="H16651" i="1"/>
  <c r="G16651" i="1"/>
  <c r="E16651" i="1"/>
  <c r="H16650" i="1"/>
  <c r="G16650" i="1"/>
  <c r="E16650" i="1"/>
  <c r="H16649" i="1"/>
  <c r="G16649" i="1"/>
  <c r="E16649" i="1"/>
  <c r="H16648" i="1"/>
  <c r="G16648" i="1"/>
  <c r="E16648" i="1"/>
  <c r="H16647" i="1"/>
  <c r="G16647" i="1"/>
  <c r="E16647" i="1"/>
  <c r="H16646" i="1"/>
  <c r="G16646" i="1"/>
  <c r="E16646" i="1"/>
  <c r="H16645" i="1"/>
  <c r="G16645" i="1"/>
  <c r="E16645" i="1"/>
  <c r="H16644" i="1"/>
  <c r="G16644" i="1"/>
  <c r="E16644" i="1"/>
  <c r="H16643" i="1"/>
  <c r="G16643" i="1"/>
  <c r="E16643" i="1"/>
  <c r="H16642" i="1"/>
  <c r="G16642" i="1"/>
  <c r="E16642" i="1"/>
  <c r="H16641" i="1"/>
  <c r="G16641" i="1"/>
  <c r="E16641" i="1"/>
  <c r="H16640" i="1"/>
  <c r="G16640" i="1"/>
  <c r="E16640" i="1"/>
  <c r="H16639" i="1"/>
  <c r="G16639" i="1"/>
  <c r="E16639" i="1"/>
  <c r="H16638" i="1"/>
  <c r="G16638" i="1"/>
  <c r="E16638" i="1"/>
  <c r="H16637" i="1"/>
  <c r="G16637" i="1"/>
  <c r="E16637" i="1"/>
  <c r="H16636" i="1"/>
  <c r="G16636" i="1"/>
  <c r="E16636" i="1"/>
  <c r="H16635" i="1"/>
  <c r="G16635" i="1"/>
  <c r="E16635" i="1"/>
  <c r="H16634" i="1"/>
  <c r="G16634" i="1"/>
  <c r="E16634" i="1"/>
  <c r="H16633" i="1"/>
  <c r="G16633" i="1"/>
  <c r="E16633" i="1"/>
  <c r="H16632" i="1"/>
  <c r="G16632" i="1"/>
  <c r="E16632" i="1"/>
  <c r="H16631" i="1"/>
  <c r="G16631" i="1"/>
  <c r="E16631" i="1"/>
  <c r="H16630" i="1"/>
  <c r="G16630" i="1"/>
  <c r="E16630" i="1"/>
  <c r="H16629" i="1"/>
  <c r="G16629" i="1"/>
  <c r="E16629" i="1"/>
  <c r="H16628" i="1"/>
  <c r="G16628" i="1"/>
  <c r="E16628" i="1"/>
  <c r="H16627" i="1"/>
  <c r="G16627" i="1"/>
  <c r="E16627" i="1"/>
  <c r="H16626" i="1"/>
  <c r="G16626" i="1"/>
  <c r="E16626" i="1"/>
  <c r="H16625" i="1"/>
  <c r="G16625" i="1"/>
  <c r="E16625" i="1"/>
  <c r="H16624" i="1"/>
  <c r="G16624" i="1"/>
  <c r="E16624" i="1"/>
  <c r="H16623" i="1"/>
  <c r="G16623" i="1"/>
  <c r="E16623" i="1"/>
  <c r="H16622" i="1"/>
  <c r="G16622" i="1"/>
  <c r="E16622" i="1"/>
  <c r="H16621" i="1"/>
  <c r="G16621" i="1"/>
  <c r="E16621" i="1"/>
  <c r="H16620" i="1"/>
  <c r="G16620" i="1"/>
  <c r="E16620" i="1"/>
  <c r="H16619" i="1"/>
  <c r="G16619" i="1"/>
  <c r="E16619" i="1"/>
  <c r="H16618" i="1"/>
  <c r="G16618" i="1"/>
  <c r="E16618" i="1"/>
  <c r="H16617" i="1"/>
  <c r="G16617" i="1"/>
  <c r="E16617" i="1"/>
  <c r="H16616" i="1"/>
  <c r="G16616" i="1"/>
  <c r="E16616" i="1"/>
  <c r="H16615" i="1"/>
  <c r="G16615" i="1"/>
  <c r="E16615" i="1"/>
  <c r="H16614" i="1"/>
  <c r="G16614" i="1"/>
  <c r="E16614" i="1"/>
  <c r="H16613" i="1"/>
  <c r="G16613" i="1"/>
  <c r="E16613" i="1"/>
  <c r="H16612" i="1"/>
  <c r="G16612" i="1"/>
  <c r="E16612" i="1"/>
  <c r="H16611" i="1"/>
  <c r="G16611" i="1"/>
  <c r="E16611" i="1"/>
  <c r="H16610" i="1"/>
  <c r="G16610" i="1"/>
  <c r="E16610" i="1"/>
  <c r="H16609" i="1"/>
  <c r="G16609" i="1"/>
  <c r="E16609" i="1"/>
  <c r="H16608" i="1"/>
  <c r="G16608" i="1"/>
  <c r="E16608" i="1"/>
  <c r="H16607" i="1"/>
  <c r="G16607" i="1"/>
  <c r="E16607" i="1"/>
  <c r="H16606" i="1"/>
  <c r="G16606" i="1"/>
  <c r="E16606" i="1"/>
  <c r="H16605" i="1"/>
  <c r="G16605" i="1"/>
  <c r="E16605" i="1"/>
  <c r="H16604" i="1"/>
  <c r="G16604" i="1"/>
  <c r="E16604" i="1"/>
  <c r="H16603" i="1"/>
  <c r="G16603" i="1"/>
  <c r="E16603" i="1"/>
  <c r="H16602" i="1"/>
  <c r="G16602" i="1"/>
  <c r="E16602" i="1"/>
  <c r="H16601" i="1"/>
  <c r="G16601" i="1"/>
  <c r="E16601" i="1"/>
  <c r="H16600" i="1"/>
  <c r="G16600" i="1"/>
  <c r="E16600" i="1"/>
  <c r="H16599" i="1"/>
  <c r="G16599" i="1"/>
  <c r="E16599" i="1"/>
  <c r="H16598" i="1"/>
  <c r="G16598" i="1"/>
  <c r="E16598" i="1"/>
  <c r="H16597" i="1"/>
  <c r="G16597" i="1"/>
  <c r="E16597" i="1"/>
  <c r="H16596" i="1"/>
  <c r="G16596" i="1"/>
  <c r="E16596" i="1"/>
  <c r="H16595" i="1"/>
  <c r="G16595" i="1"/>
  <c r="E16595" i="1"/>
  <c r="H16594" i="1"/>
  <c r="G16594" i="1"/>
  <c r="E16594" i="1"/>
  <c r="H16593" i="1"/>
  <c r="G16593" i="1"/>
  <c r="E16593" i="1"/>
  <c r="H16592" i="1"/>
  <c r="G16592" i="1"/>
  <c r="E16592" i="1"/>
  <c r="H16591" i="1"/>
  <c r="G16591" i="1"/>
  <c r="E16591" i="1"/>
  <c r="H16590" i="1"/>
  <c r="G16590" i="1"/>
  <c r="E16590" i="1"/>
  <c r="H16589" i="1"/>
  <c r="G16589" i="1"/>
  <c r="E16589" i="1"/>
  <c r="H16588" i="1"/>
  <c r="G16588" i="1"/>
  <c r="E16588" i="1"/>
  <c r="H16587" i="1"/>
  <c r="G16587" i="1"/>
  <c r="E16587" i="1"/>
  <c r="H16586" i="1"/>
  <c r="G16586" i="1"/>
  <c r="E16586" i="1"/>
  <c r="H16585" i="1"/>
  <c r="G16585" i="1"/>
  <c r="E16585" i="1"/>
  <c r="H16584" i="1"/>
  <c r="G16584" i="1"/>
  <c r="E16584" i="1"/>
  <c r="H16583" i="1"/>
  <c r="G16583" i="1"/>
  <c r="E16583" i="1"/>
  <c r="H16582" i="1"/>
  <c r="G16582" i="1"/>
  <c r="E16582" i="1"/>
  <c r="H16581" i="1"/>
  <c r="G16581" i="1"/>
  <c r="E16581" i="1"/>
  <c r="H16580" i="1"/>
  <c r="G16580" i="1"/>
  <c r="E16580" i="1"/>
  <c r="H16579" i="1"/>
  <c r="G16579" i="1"/>
  <c r="E16579" i="1"/>
  <c r="H16578" i="1"/>
  <c r="G16578" i="1"/>
  <c r="E16578" i="1"/>
  <c r="H16577" i="1"/>
  <c r="G16577" i="1"/>
  <c r="E16577" i="1"/>
  <c r="H16576" i="1"/>
  <c r="G16576" i="1"/>
  <c r="E16576" i="1"/>
  <c r="H16575" i="1"/>
  <c r="G16575" i="1"/>
  <c r="E16575" i="1"/>
  <c r="H16574" i="1"/>
  <c r="G16574" i="1"/>
  <c r="E16574" i="1"/>
  <c r="H16573" i="1"/>
  <c r="G16573" i="1"/>
  <c r="E16573" i="1"/>
  <c r="H16572" i="1"/>
  <c r="G16572" i="1"/>
  <c r="E16572" i="1"/>
  <c r="H16571" i="1"/>
  <c r="G16571" i="1"/>
  <c r="E16571" i="1"/>
  <c r="H16570" i="1"/>
  <c r="G16570" i="1"/>
  <c r="E16570" i="1"/>
  <c r="H16569" i="1"/>
  <c r="G16569" i="1"/>
  <c r="E16569" i="1"/>
  <c r="H16568" i="1"/>
  <c r="G16568" i="1"/>
  <c r="E16568" i="1"/>
  <c r="H16567" i="1"/>
  <c r="G16567" i="1"/>
  <c r="E16567" i="1"/>
  <c r="H16566" i="1"/>
  <c r="G16566" i="1"/>
  <c r="E16566" i="1"/>
  <c r="H16565" i="1"/>
  <c r="G16565" i="1"/>
  <c r="E16565" i="1"/>
  <c r="H16564" i="1"/>
  <c r="G16564" i="1"/>
  <c r="E16564" i="1"/>
  <c r="H16563" i="1"/>
  <c r="G16563" i="1"/>
  <c r="E16563" i="1"/>
  <c r="H16562" i="1"/>
  <c r="G16562" i="1"/>
  <c r="E16562" i="1"/>
  <c r="H16561" i="1"/>
  <c r="G16561" i="1"/>
  <c r="E16561" i="1"/>
  <c r="H16560" i="1"/>
  <c r="G16560" i="1"/>
  <c r="E16560" i="1"/>
  <c r="H16559" i="1"/>
  <c r="G16559" i="1"/>
  <c r="E16559" i="1"/>
  <c r="H16558" i="1"/>
  <c r="G16558" i="1"/>
  <c r="E16558" i="1"/>
  <c r="H16557" i="1"/>
  <c r="G16557" i="1"/>
  <c r="E16557" i="1"/>
  <c r="H16556" i="1"/>
  <c r="G16556" i="1"/>
  <c r="E16556" i="1"/>
  <c r="H16555" i="1"/>
  <c r="G16555" i="1"/>
  <c r="E16555" i="1"/>
  <c r="H16554" i="1"/>
  <c r="G16554" i="1"/>
  <c r="E16554" i="1"/>
  <c r="H16553" i="1"/>
  <c r="G16553" i="1"/>
  <c r="E16553" i="1"/>
  <c r="H16552" i="1"/>
  <c r="G16552" i="1"/>
  <c r="E16552" i="1"/>
  <c r="H16551" i="1"/>
  <c r="G16551" i="1"/>
  <c r="E16551" i="1"/>
  <c r="H16550" i="1"/>
  <c r="G16550" i="1"/>
  <c r="E16550" i="1"/>
  <c r="H16549" i="1"/>
  <c r="G16549" i="1"/>
  <c r="E16549" i="1"/>
  <c r="H16548" i="1"/>
  <c r="G16548" i="1"/>
  <c r="E16548" i="1"/>
  <c r="H16547" i="1"/>
  <c r="G16547" i="1"/>
  <c r="E16547" i="1"/>
  <c r="H16546" i="1"/>
  <c r="G16546" i="1"/>
  <c r="E16546" i="1"/>
  <c r="H16545" i="1"/>
  <c r="G16545" i="1"/>
  <c r="E16545" i="1"/>
  <c r="H16544" i="1"/>
  <c r="G16544" i="1"/>
  <c r="E16544" i="1"/>
  <c r="H16543" i="1"/>
  <c r="G16543" i="1"/>
  <c r="E16543" i="1"/>
  <c r="H16542" i="1"/>
  <c r="G16542" i="1"/>
  <c r="E16542" i="1"/>
  <c r="H16541" i="1"/>
  <c r="G16541" i="1"/>
  <c r="E16541" i="1"/>
  <c r="H16540" i="1"/>
  <c r="G16540" i="1"/>
  <c r="E16540" i="1"/>
  <c r="H16539" i="1"/>
  <c r="G16539" i="1"/>
  <c r="E16539" i="1"/>
  <c r="H16538" i="1"/>
  <c r="G16538" i="1"/>
  <c r="E16538" i="1"/>
  <c r="H16537" i="1"/>
  <c r="G16537" i="1"/>
  <c r="E16537" i="1"/>
  <c r="H16536" i="1"/>
  <c r="G16536" i="1"/>
  <c r="E16536" i="1"/>
  <c r="H16535" i="1"/>
  <c r="G16535" i="1"/>
  <c r="E16535" i="1"/>
  <c r="H16534" i="1"/>
  <c r="G16534" i="1"/>
  <c r="E16534" i="1"/>
  <c r="H16533" i="1"/>
  <c r="G16533" i="1"/>
  <c r="E16533" i="1"/>
  <c r="H16532" i="1"/>
  <c r="G16532" i="1"/>
  <c r="E16532" i="1"/>
  <c r="H16531" i="1"/>
  <c r="G16531" i="1"/>
  <c r="E16531" i="1"/>
  <c r="H16530" i="1"/>
  <c r="G16530" i="1"/>
  <c r="E16530" i="1"/>
  <c r="H16529" i="1"/>
  <c r="G16529" i="1"/>
  <c r="E16529" i="1"/>
  <c r="H16528" i="1"/>
  <c r="G16528" i="1"/>
  <c r="E16528" i="1"/>
  <c r="H16527" i="1"/>
  <c r="G16527" i="1"/>
  <c r="E16527" i="1"/>
  <c r="H16526" i="1"/>
  <c r="G16526" i="1"/>
  <c r="E16526" i="1"/>
  <c r="H16525" i="1"/>
  <c r="G16525" i="1"/>
  <c r="E16525" i="1"/>
  <c r="H16524" i="1"/>
  <c r="G16524" i="1"/>
  <c r="E16524" i="1"/>
  <c r="H16523" i="1"/>
  <c r="G16523" i="1"/>
  <c r="E16523" i="1"/>
  <c r="H16522" i="1"/>
  <c r="G16522" i="1"/>
  <c r="E16522" i="1"/>
  <c r="H16521" i="1"/>
  <c r="G16521" i="1"/>
  <c r="E16521" i="1"/>
  <c r="H16520" i="1"/>
  <c r="G16520" i="1"/>
  <c r="E16520" i="1"/>
  <c r="H16519" i="1"/>
  <c r="G16519" i="1"/>
  <c r="E16519" i="1"/>
  <c r="H16518" i="1"/>
  <c r="G16518" i="1"/>
  <c r="E16518" i="1"/>
  <c r="H16517" i="1"/>
  <c r="G16517" i="1"/>
  <c r="E16517" i="1"/>
  <c r="H16516" i="1"/>
  <c r="G16516" i="1"/>
  <c r="E16516" i="1"/>
  <c r="H16515" i="1"/>
  <c r="G16515" i="1"/>
  <c r="E16515" i="1"/>
  <c r="H16514" i="1"/>
  <c r="G16514" i="1"/>
  <c r="E16514" i="1"/>
  <c r="H16513" i="1"/>
  <c r="G16513" i="1"/>
  <c r="E16513" i="1"/>
  <c r="H16512" i="1"/>
  <c r="G16512" i="1"/>
  <c r="E16512" i="1"/>
  <c r="H16511" i="1"/>
  <c r="G16511" i="1"/>
  <c r="E16511" i="1"/>
  <c r="H16510" i="1"/>
  <c r="G16510" i="1"/>
  <c r="E16510" i="1"/>
  <c r="H16509" i="1"/>
  <c r="G16509" i="1"/>
  <c r="E16509" i="1"/>
  <c r="H16508" i="1"/>
  <c r="G16508" i="1"/>
  <c r="E16508" i="1"/>
  <c r="H16507" i="1"/>
  <c r="G16507" i="1"/>
  <c r="E16507" i="1"/>
  <c r="H16506" i="1"/>
  <c r="G16506" i="1"/>
  <c r="E16506" i="1"/>
  <c r="H16505" i="1"/>
  <c r="G16505" i="1"/>
  <c r="E16505" i="1"/>
  <c r="H16504" i="1"/>
  <c r="G16504" i="1"/>
  <c r="E16504" i="1"/>
  <c r="H16503" i="1"/>
  <c r="G16503" i="1"/>
  <c r="E16503" i="1"/>
  <c r="H16502" i="1"/>
  <c r="G16502" i="1"/>
  <c r="E16502" i="1"/>
  <c r="H16501" i="1"/>
  <c r="G16501" i="1"/>
  <c r="E16501" i="1"/>
  <c r="H16500" i="1"/>
  <c r="G16500" i="1"/>
  <c r="E16500" i="1"/>
  <c r="H16499" i="1"/>
  <c r="G16499" i="1"/>
  <c r="E16499" i="1"/>
  <c r="H16498" i="1"/>
  <c r="G16498" i="1"/>
  <c r="E16498" i="1"/>
  <c r="H16497" i="1"/>
  <c r="G16497" i="1"/>
  <c r="E16497" i="1"/>
  <c r="H16496" i="1"/>
  <c r="G16496" i="1"/>
  <c r="E16496" i="1"/>
  <c r="H16495" i="1"/>
  <c r="G16495" i="1"/>
  <c r="E16495" i="1"/>
  <c r="H16494" i="1"/>
  <c r="G16494" i="1"/>
  <c r="E16494" i="1"/>
  <c r="H16493" i="1"/>
  <c r="G16493" i="1"/>
  <c r="E16493" i="1"/>
  <c r="H16492" i="1"/>
  <c r="G16492" i="1"/>
  <c r="E16492" i="1"/>
  <c r="H16491" i="1"/>
  <c r="G16491" i="1"/>
  <c r="E16491" i="1"/>
  <c r="H16490" i="1"/>
  <c r="G16490" i="1"/>
  <c r="E16490" i="1"/>
  <c r="H16489" i="1"/>
  <c r="G16489" i="1"/>
  <c r="E16489" i="1"/>
  <c r="H16488" i="1"/>
  <c r="G16488" i="1"/>
  <c r="E16488" i="1"/>
  <c r="H16487" i="1"/>
  <c r="G16487" i="1"/>
  <c r="E16487" i="1"/>
  <c r="H16486" i="1"/>
  <c r="G16486" i="1"/>
  <c r="E16486" i="1"/>
  <c r="H16485" i="1"/>
  <c r="G16485" i="1"/>
  <c r="E16485" i="1"/>
  <c r="H16484" i="1"/>
  <c r="G16484" i="1"/>
  <c r="E16484" i="1"/>
  <c r="H16483" i="1"/>
  <c r="G16483" i="1"/>
  <c r="E16483" i="1"/>
  <c r="H16482" i="1"/>
  <c r="G16482" i="1"/>
  <c r="E16482" i="1"/>
  <c r="H16481" i="1"/>
  <c r="G16481" i="1"/>
  <c r="E16481" i="1"/>
  <c r="H16480" i="1"/>
  <c r="G16480" i="1"/>
  <c r="E16480" i="1"/>
  <c r="H16479" i="1"/>
  <c r="G16479" i="1"/>
  <c r="E16479" i="1"/>
  <c r="H16478" i="1"/>
  <c r="G16478" i="1"/>
  <c r="E16478" i="1"/>
  <c r="H16477" i="1"/>
  <c r="G16477" i="1"/>
  <c r="E16477" i="1"/>
  <c r="H16476" i="1"/>
  <c r="G16476" i="1"/>
  <c r="E16476" i="1"/>
  <c r="H16475" i="1"/>
  <c r="G16475" i="1"/>
  <c r="E16475" i="1"/>
  <c r="H16474" i="1"/>
  <c r="G16474" i="1"/>
  <c r="E16474" i="1"/>
  <c r="H16473" i="1"/>
  <c r="G16473" i="1"/>
  <c r="E16473" i="1"/>
  <c r="H16472" i="1"/>
  <c r="G16472" i="1"/>
  <c r="E16472" i="1"/>
  <c r="H16471" i="1"/>
  <c r="G16471" i="1"/>
  <c r="E16471" i="1"/>
  <c r="H16470" i="1"/>
  <c r="G16470" i="1"/>
  <c r="E16470" i="1"/>
  <c r="H16469" i="1"/>
  <c r="G16469" i="1"/>
  <c r="E16469" i="1"/>
  <c r="H16468" i="1"/>
  <c r="G16468" i="1"/>
  <c r="E16468" i="1"/>
  <c r="H16467" i="1"/>
  <c r="G16467" i="1"/>
  <c r="E16467" i="1"/>
  <c r="H16466" i="1"/>
  <c r="G16466" i="1"/>
  <c r="E16466" i="1"/>
  <c r="H16465" i="1"/>
  <c r="G16465" i="1"/>
  <c r="E16465" i="1"/>
  <c r="H16464" i="1"/>
  <c r="G16464" i="1"/>
  <c r="E16464" i="1"/>
  <c r="H16463" i="1"/>
  <c r="G16463" i="1"/>
  <c r="E16463" i="1"/>
  <c r="H16462" i="1"/>
  <c r="G16462" i="1"/>
  <c r="E16462" i="1"/>
  <c r="H16461" i="1"/>
  <c r="G16461" i="1"/>
  <c r="E16461" i="1"/>
  <c r="H16460" i="1"/>
  <c r="G16460" i="1"/>
  <c r="E16460" i="1"/>
  <c r="H16459" i="1"/>
  <c r="G16459" i="1"/>
  <c r="E16459" i="1"/>
  <c r="H16458" i="1"/>
  <c r="G16458" i="1"/>
  <c r="E16458" i="1"/>
  <c r="H16457" i="1"/>
  <c r="G16457" i="1"/>
  <c r="E16457" i="1"/>
  <c r="H16456" i="1"/>
  <c r="G16456" i="1"/>
  <c r="E16456" i="1"/>
  <c r="H16455" i="1"/>
  <c r="G16455" i="1"/>
  <c r="E16455" i="1"/>
  <c r="H16454" i="1"/>
  <c r="G16454" i="1"/>
  <c r="E16454" i="1"/>
  <c r="H16453" i="1"/>
  <c r="G16453" i="1"/>
  <c r="E16453" i="1"/>
  <c r="H16452" i="1"/>
  <c r="G16452" i="1"/>
  <c r="E16452" i="1"/>
  <c r="H16451" i="1"/>
  <c r="G16451" i="1"/>
  <c r="E16451" i="1"/>
  <c r="H16450" i="1"/>
  <c r="G16450" i="1"/>
  <c r="E16450" i="1"/>
  <c r="H16449" i="1"/>
  <c r="G16449" i="1"/>
  <c r="E16449" i="1"/>
  <c r="H16448" i="1"/>
  <c r="G16448" i="1"/>
  <c r="E16448" i="1"/>
  <c r="H16447" i="1"/>
  <c r="G16447" i="1"/>
  <c r="E16447" i="1"/>
  <c r="H16446" i="1"/>
  <c r="G16446" i="1"/>
  <c r="E16446" i="1"/>
  <c r="H16445" i="1"/>
  <c r="G16445" i="1"/>
  <c r="E16445" i="1"/>
  <c r="H16444" i="1"/>
  <c r="G16444" i="1"/>
  <c r="E16444" i="1"/>
  <c r="H16443" i="1"/>
  <c r="G16443" i="1"/>
  <c r="E16443" i="1"/>
  <c r="H16442" i="1"/>
  <c r="G16442" i="1"/>
  <c r="E16442" i="1"/>
  <c r="H16441" i="1"/>
  <c r="G16441" i="1"/>
  <c r="E16441" i="1"/>
  <c r="H16440" i="1"/>
  <c r="G16440" i="1"/>
  <c r="E16440" i="1"/>
  <c r="H16439" i="1"/>
  <c r="G16439" i="1"/>
  <c r="E16439" i="1"/>
  <c r="H16438" i="1"/>
  <c r="G16438" i="1"/>
  <c r="E16438" i="1"/>
  <c r="H16437" i="1"/>
  <c r="G16437" i="1"/>
  <c r="E16437" i="1"/>
  <c r="H16436" i="1"/>
  <c r="G16436" i="1"/>
  <c r="E16436" i="1"/>
  <c r="H16435" i="1"/>
  <c r="G16435" i="1"/>
  <c r="E16435" i="1"/>
  <c r="H16434" i="1"/>
  <c r="G16434" i="1"/>
  <c r="E16434" i="1"/>
  <c r="H16433" i="1"/>
  <c r="G16433" i="1"/>
  <c r="E16433" i="1"/>
  <c r="H16432" i="1"/>
  <c r="G16432" i="1"/>
  <c r="E16432" i="1"/>
  <c r="H16431" i="1"/>
  <c r="G16431" i="1"/>
  <c r="E16431" i="1"/>
  <c r="H16430" i="1"/>
  <c r="G16430" i="1"/>
  <c r="E16430" i="1"/>
  <c r="H16429" i="1"/>
  <c r="G16429" i="1"/>
  <c r="E16429" i="1"/>
  <c r="H16428" i="1"/>
  <c r="G16428" i="1"/>
  <c r="E16428" i="1"/>
  <c r="H16427" i="1"/>
  <c r="G16427" i="1"/>
  <c r="E16427" i="1"/>
  <c r="H16426" i="1"/>
  <c r="G16426" i="1"/>
  <c r="E16426" i="1"/>
  <c r="H16425" i="1"/>
  <c r="G16425" i="1"/>
  <c r="E16425" i="1"/>
  <c r="H16424" i="1"/>
  <c r="G16424" i="1"/>
  <c r="E16424" i="1"/>
  <c r="H16423" i="1"/>
  <c r="G16423" i="1"/>
  <c r="E16423" i="1"/>
  <c r="H16422" i="1"/>
  <c r="G16422" i="1"/>
  <c r="E16422" i="1"/>
  <c r="H16421" i="1"/>
  <c r="G16421" i="1"/>
  <c r="E16421" i="1"/>
  <c r="H16420" i="1"/>
  <c r="G16420" i="1"/>
  <c r="E16420" i="1"/>
  <c r="H16419" i="1"/>
  <c r="G16419" i="1"/>
  <c r="E16419" i="1"/>
  <c r="H16418" i="1"/>
  <c r="G16418" i="1"/>
  <c r="E16418" i="1"/>
  <c r="H16417" i="1"/>
  <c r="G16417" i="1"/>
  <c r="E16417" i="1"/>
  <c r="H16416" i="1"/>
  <c r="G16416" i="1"/>
  <c r="E16416" i="1"/>
  <c r="H16415" i="1"/>
  <c r="G16415" i="1"/>
  <c r="E16415" i="1"/>
  <c r="H16414" i="1"/>
  <c r="G16414" i="1"/>
  <c r="E16414" i="1"/>
  <c r="H16413" i="1"/>
  <c r="G16413" i="1"/>
  <c r="E16413" i="1"/>
  <c r="H16412" i="1"/>
  <c r="G16412" i="1"/>
  <c r="E16412" i="1"/>
  <c r="H16411" i="1"/>
  <c r="G16411" i="1"/>
  <c r="E16411" i="1"/>
  <c r="H16410" i="1"/>
  <c r="G16410" i="1"/>
  <c r="E16410" i="1"/>
  <c r="H16409" i="1"/>
  <c r="G16409" i="1"/>
  <c r="E16409" i="1"/>
  <c r="H16408" i="1"/>
  <c r="G16408" i="1"/>
  <c r="E16408" i="1"/>
  <c r="H16407" i="1"/>
  <c r="G16407" i="1"/>
  <c r="E16407" i="1"/>
  <c r="H16406" i="1"/>
  <c r="G16406" i="1"/>
  <c r="E16406" i="1"/>
  <c r="H16405" i="1"/>
  <c r="G16405" i="1"/>
  <c r="E16405" i="1"/>
  <c r="H16404" i="1"/>
  <c r="G16404" i="1"/>
  <c r="E16404" i="1"/>
  <c r="H16403" i="1"/>
  <c r="G16403" i="1"/>
  <c r="E16403" i="1"/>
  <c r="H16402" i="1"/>
  <c r="G16402" i="1"/>
  <c r="E16402" i="1"/>
  <c r="H16401" i="1"/>
  <c r="G16401" i="1"/>
  <c r="E16401" i="1"/>
  <c r="H16400" i="1"/>
  <c r="G16400" i="1"/>
  <c r="E16400" i="1"/>
  <c r="H16399" i="1"/>
  <c r="G16399" i="1"/>
  <c r="E16399" i="1"/>
  <c r="H16398" i="1"/>
  <c r="G16398" i="1"/>
  <c r="E16398" i="1"/>
  <c r="H16397" i="1"/>
  <c r="G16397" i="1"/>
  <c r="E16397" i="1"/>
  <c r="H16396" i="1"/>
  <c r="G16396" i="1"/>
  <c r="E16396" i="1"/>
  <c r="H16395" i="1"/>
  <c r="G16395" i="1"/>
  <c r="E16395" i="1"/>
  <c r="H16394" i="1"/>
  <c r="G16394" i="1"/>
  <c r="E16394" i="1"/>
  <c r="H16393" i="1"/>
  <c r="G16393" i="1"/>
  <c r="E16393" i="1"/>
  <c r="H16392" i="1"/>
  <c r="G16392" i="1"/>
  <c r="E16392" i="1"/>
  <c r="H16391" i="1"/>
  <c r="G16391" i="1"/>
  <c r="E16391" i="1"/>
  <c r="H16390" i="1"/>
  <c r="G16390" i="1"/>
  <c r="E16390" i="1"/>
  <c r="H16389" i="1"/>
  <c r="G16389" i="1"/>
  <c r="E16389" i="1"/>
  <c r="H16388" i="1"/>
  <c r="G16388" i="1"/>
  <c r="E16388" i="1"/>
  <c r="H16387" i="1"/>
  <c r="G16387" i="1"/>
  <c r="E16387" i="1"/>
  <c r="H16386" i="1"/>
  <c r="G16386" i="1"/>
  <c r="E16386" i="1"/>
  <c r="H16385" i="1"/>
  <c r="G16385" i="1"/>
  <c r="E16385" i="1"/>
  <c r="H16384" i="1"/>
  <c r="G16384" i="1"/>
  <c r="E16384" i="1"/>
  <c r="H16383" i="1"/>
  <c r="G16383" i="1"/>
  <c r="E16383" i="1"/>
  <c r="H16382" i="1"/>
  <c r="G16382" i="1"/>
  <c r="E16382" i="1"/>
  <c r="H16381" i="1"/>
  <c r="G16381" i="1"/>
  <c r="E16381" i="1"/>
  <c r="H16380" i="1"/>
  <c r="G16380" i="1"/>
  <c r="E16380" i="1"/>
  <c r="H16379" i="1"/>
  <c r="G16379" i="1"/>
  <c r="E16379" i="1"/>
  <c r="H16378" i="1"/>
  <c r="G16378" i="1"/>
  <c r="E16378" i="1"/>
  <c r="H16377" i="1"/>
  <c r="G16377" i="1"/>
  <c r="E16377" i="1"/>
  <c r="H16376" i="1"/>
  <c r="G16376" i="1"/>
  <c r="E16376" i="1"/>
  <c r="H16375" i="1"/>
  <c r="G16375" i="1"/>
  <c r="E16375" i="1"/>
  <c r="H16374" i="1"/>
  <c r="G16374" i="1"/>
  <c r="E16374" i="1"/>
  <c r="H16373" i="1"/>
  <c r="G16373" i="1"/>
  <c r="E16373" i="1"/>
  <c r="H16372" i="1"/>
  <c r="G16372" i="1"/>
  <c r="E16372" i="1"/>
  <c r="H16371" i="1"/>
  <c r="G16371" i="1"/>
  <c r="E16371" i="1"/>
  <c r="H16370" i="1"/>
  <c r="G16370" i="1"/>
  <c r="E16370" i="1"/>
  <c r="H16369" i="1"/>
  <c r="G16369" i="1"/>
  <c r="E16369" i="1"/>
  <c r="H16368" i="1"/>
  <c r="G16368" i="1"/>
  <c r="E16368" i="1"/>
  <c r="H16367" i="1"/>
  <c r="G16367" i="1"/>
  <c r="E16367" i="1"/>
  <c r="H16366" i="1"/>
  <c r="G16366" i="1"/>
  <c r="E16366" i="1"/>
  <c r="H16365" i="1"/>
  <c r="G16365" i="1"/>
  <c r="E16365" i="1"/>
  <c r="H16364" i="1"/>
  <c r="G16364" i="1"/>
  <c r="E16364" i="1"/>
  <c r="H16363" i="1"/>
  <c r="G16363" i="1"/>
  <c r="E16363" i="1"/>
  <c r="H16362" i="1"/>
  <c r="G16362" i="1"/>
  <c r="E16362" i="1"/>
  <c r="H16361" i="1"/>
  <c r="G16361" i="1"/>
  <c r="E16361" i="1"/>
  <c r="H16360" i="1"/>
  <c r="G16360" i="1"/>
  <c r="E16360" i="1"/>
  <c r="H16359" i="1"/>
  <c r="G16359" i="1"/>
  <c r="E16359" i="1"/>
  <c r="H16358" i="1"/>
  <c r="G16358" i="1"/>
  <c r="E16358" i="1"/>
  <c r="H16357" i="1"/>
  <c r="G16357" i="1"/>
  <c r="E16357" i="1"/>
  <c r="H16356" i="1"/>
  <c r="G16356" i="1"/>
  <c r="E16356" i="1"/>
  <c r="H16355" i="1"/>
  <c r="G16355" i="1"/>
  <c r="E16355" i="1"/>
  <c r="H16354" i="1"/>
  <c r="G16354" i="1"/>
  <c r="E16354" i="1"/>
  <c r="H16353" i="1"/>
  <c r="G16353" i="1"/>
  <c r="E16353" i="1"/>
  <c r="H16352" i="1"/>
  <c r="G16352" i="1"/>
  <c r="E16352" i="1"/>
  <c r="H16351" i="1"/>
  <c r="G16351" i="1"/>
  <c r="E16351" i="1"/>
  <c r="H16350" i="1"/>
  <c r="G16350" i="1"/>
  <c r="E16350" i="1"/>
  <c r="H16349" i="1"/>
  <c r="G16349" i="1"/>
  <c r="E16349" i="1"/>
  <c r="H16348" i="1"/>
  <c r="G16348" i="1"/>
  <c r="E16348" i="1"/>
  <c r="H16347" i="1"/>
  <c r="G16347" i="1"/>
  <c r="E16347" i="1"/>
  <c r="H16346" i="1"/>
  <c r="G16346" i="1"/>
  <c r="E16346" i="1"/>
  <c r="H16345" i="1"/>
  <c r="G16345" i="1"/>
  <c r="E16345" i="1"/>
  <c r="H16344" i="1"/>
  <c r="G16344" i="1"/>
  <c r="E16344" i="1"/>
  <c r="H16343" i="1"/>
  <c r="G16343" i="1"/>
  <c r="E16343" i="1"/>
  <c r="H16342" i="1"/>
  <c r="G16342" i="1"/>
  <c r="E16342" i="1"/>
  <c r="H16341" i="1"/>
  <c r="G16341" i="1"/>
  <c r="E16341" i="1"/>
  <c r="H16340" i="1"/>
  <c r="G16340" i="1"/>
  <c r="E16340" i="1"/>
  <c r="H16339" i="1"/>
  <c r="G16339" i="1"/>
  <c r="E16339" i="1"/>
  <c r="H16338" i="1"/>
  <c r="G16338" i="1"/>
  <c r="E16338" i="1"/>
  <c r="H16337" i="1"/>
  <c r="G16337" i="1"/>
  <c r="E16337" i="1"/>
  <c r="H16336" i="1"/>
  <c r="G16336" i="1"/>
  <c r="E16336" i="1"/>
  <c r="H16335" i="1"/>
  <c r="G16335" i="1"/>
  <c r="E16335" i="1"/>
  <c r="H16334" i="1"/>
  <c r="G16334" i="1"/>
  <c r="E16334" i="1"/>
  <c r="H16333" i="1"/>
  <c r="G16333" i="1"/>
  <c r="E16333" i="1"/>
  <c r="H16332" i="1"/>
  <c r="G16332" i="1"/>
  <c r="E16332" i="1"/>
  <c r="H16331" i="1"/>
  <c r="G16331" i="1"/>
  <c r="E16331" i="1"/>
  <c r="H16330" i="1"/>
  <c r="G16330" i="1"/>
  <c r="E16330" i="1"/>
  <c r="H16329" i="1"/>
  <c r="G16329" i="1"/>
  <c r="E16329" i="1"/>
  <c r="H16328" i="1"/>
  <c r="G16328" i="1"/>
  <c r="E16328" i="1"/>
  <c r="H16327" i="1"/>
  <c r="G16327" i="1"/>
  <c r="E16327" i="1"/>
  <c r="H16326" i="1"/>
  <c r="G16326" i="1"/>
  <c r="E16326" i="1"/>
  <c r="H16325" i="1"/>
  <c r="G16325" i="1"/>
  <c r="E16325" i="1"/>
  <c r="H16324" i="1"/>
  <c r="G16324" i="1"/>
  <c r="E16324" i="1"/>
  <c r="H16323" i="1"/>
  <c r="G16323" i="1"/>
  <c r="E16323" i="1"/>
  <c r="H16322" i="1"/>
  <c r="G16322" i="1"/>
  <c r="E16322" i="1"/>
  <c r="H16321" i="1"/>
  <c r="G16321" i="1"/>
  <c r="E16321" i="1"/>
  <c r="H16320" i="1"/>
  <c r="G16320" i="1"/>
  <c r="E16320" i="1"/>
  <c r="H16319" i="1"/>
  <c r="G16319" i="1"/>
  <c r="E16319" i="1"/>
  <c r="H16318" i="1"/>
  <c r="G16318" i="1"/>
  <c r="E16318" i="1"/>
  <c r="H16317" i="1"/>
  <c r="G16317" i="1"/>
  <c r="E16317" i="1"/>
  <c r="H16316" i="1"/>
  <c r="G16316" i="1"/>
  <c r="E16316" i="1"/>
  <c r="H16315" i="1"/>
  <c r="G16315" i="1"/>
  <c r="E16315" i="1"/>
  <c r="H16314" i="1"/>
  <c r="G16314" i="1"/>
  <c r="E16314" i="1"/>
  <c r="H16313" i="1"/>
  <c r="G16313" i="1"/>
  <c r="E16313" i="1"/>
  <c r="H16312" i="1"/>
  <c r="G16312" i="1"/>
  <c r="E16312" i="1"/>
  <c r="H16311" i="1"/>
  <c r="G16311" i="1"/>
  <c r="E16311" i="1"/>
  <c r="H16310" i="1"/>
  <c r="G16310" i="1"/>
  <c r="E16310" i="1"/>
  <c r="H16309" i="1"/>
  <c r="G16309" i="1"/>
  <c r="E16309" i="1"/>
  <c r="H16308" i="1"/>
  <c r="G16308" i="1"/>
  <c r="E16308" i="1"/>
  <c r="H16307" i="1"/>
  <c r="G16307" i="1"/>
  <c r="E16307" i="1"/>
  <c r="H16306" i="1"/>
  <c r="G16306" i="1"/>
  <c r="E16306" i="1"/>
  <c r="H16305" i="1"/>
  <c r="G16305" i="1"/>
  <c r="E16305" i="1"/>
  <c r="H16304" i="1"/>
  <c r="G16304" i="1"/>
  <c r="E16304" i="1"/>
  <c r="H16303" i="1"/>
  <c r="G16303" i="1"/>
  <c r="E16303" i="1"/>
  <c r="H16302" i="1"/>
  <c r="G16302" i="1"/>
  <c r="E16302" i="1"/>
  <c r="H16301" i="1"/>
  <c r="G16301" i="1"/>
  <c r="E16301" i="1"/>
  <c r="H16300" i="1"/>
  <c r="G16300" i="1"/>
  <c r="E16300" i="1"/>
  <c r="H16299" i="1"/>
  <c r="G16299" i="1"/>
  <c r="E16299" i="1"/>
  <c r="H16298" i="1"/>
  <c r="G16298" i="1"/>
  <c r="E16298" i="1"/>
  <c r="H16297" i="1"/>
  <c r="G16297" i="1"/>
  <c r="E16297" i="1"/>
  <c r="H16296" i="1"/>
  <c r="G16296" i="1"/>
  <c r="E16296" i="1"/>
  <c r="H16295" i="1"/>
  <c r="G16295" i="1"/>
  <c r="E16295" i="1"/>
  <c r="H16294" i="1"/>
  <c r="G16294" i="1"/>
  <c r="E16294" i="1"/>
  <c r="H16293" i="1"/>
  <c r="G16293" i="1"/>
  <c r="E16293" i="1"/>
  <c r="H16292" i="1"/>
  <c r="G16292" i="1"/>
  <c r="E16292" i="1"/>
  <c r="H16291" i="1"/>
  <c r="G16291" i="1"/>
  <c r="E16291" i="1"/>
  <c r="H16290" i="1"/>
  <c r="G16290" i="1"/>
  <c r="E16290" i="1"/>
  <c r="H16289" i="1"/>
  <c r="G16289" i="1"/>
  <c r="E16289" i="1"/>
  <c r="H16288" i="1"/>
  <c r="G16288" i="1"/>
  <c r="E16288" i="1"/>
  <c r="H16287" i="1"/>
  <c r="G16287" i="1"/>
  <c r="E16287" i="1"/>
  <c r="H16286" i="1"/>
  <c r="G16286" i="1"/>
  <c r="E16286" i="1"/>
  <c r="H16285" i="1"/>
  <c r="G16285" i="1"/>
  <c r="E16285" i="1"/>
  <c r="H16284" i="1"/>
  <c r="G16284" i="1"/>
  <c r="E16284" i="1"/>
  <c r="H16283" i="1"/>
  <c r="G16283" i="1"/>
  <c r="E16283" i="1"/>
  <c r="H16282" i="1"/>
  <c r="G16282" i="1"/>
  <c r="E16282" i="1"/>
  <c r="H16281" i="1"/>
  <c r="G16281" i="1"/>
  <c r="E16281" i="1"/>
  <c r="H16280" i="1"/>
  <c r="G16280" i="1"/>
  <c r="E16280" i="1"/>
  <c r="H16279" i="1"/>
  <c r="G16279" i="1"/>
  <c r="E16279" i="1"/>
  <c r="H16278" i="1"/>
  <c r="G16278" i="1"/>
  <c r="E16278" i="1"/>
  <c r="H16277" i="1"/>
  <c r="G16277" i="1"/>
  <c r="E16277" i="1"/>
  <c r="H16276" i="1"/>
  <c r="G16276" i="1"/>
  <c r="E16276" i="1"/>
  <c r="H16275" i="1"/>
  <c r="G16275" i="1"/>
  <c r="E16275" i="1"/>
  <c r="H16274" i="1"/>
  <c r="G16274" i="1"/>
  <c r="E16274" i="1"/>
  <c r="H16273" i="1"/>
  <c r="G16273" i="1"/>
  <c r="E16273" i="1"/>
  <c r="H16272" i="1"/>
  <c r="G16272" i="1"/>
  <c r="E16272" i="1"/>
  <c r="H16271" i="1"/>
  <c r="G16271" i="1"/>
  <c r="E16271" i="1"/>
  <c r="H16270" i="1"/>
  <c r="G16270" i="1"/>
  <c r="E16270" i="1"/>
  <c r="H16269" i="1"/>
  <c r="G16269" i="1"/>
  <c r="E16269" i="1"/>
  <c r="H16268" i="1"/>
  <c r="G16268" i="1"/>
  <c r="E16268" i="1"/>
  <c r="H16267" i="1"/>
  <c r="G16267" i="1"/>
  <c r="E16267" i="1"/>
  <c r="H16266" i="1"/>
  <c r="G16266" i="1"/>
  <c r="E16266" i="1"/>
  <c r="H16265" i="1"/>
  <c r="G16265" i="1"/>
  <c r="E16265" i="1"/>
  <c r="H16264" i="1"/>
  <c r="G16264" i="1"/>
  <c r="E16264" i="1"/>
  <c r="H16263" i="1"/>
  <c r="G16263" i="1"/>
  <c r="E16263" i="1"/>
  <c r="H16262" i="1"/>
  <c r="G16262" i="1"/>
  <c r="E16262" i="1"/>
  <c r="H16261" i="1"/>
  <c r="G16261" i="1"/>
  <c r="E16261" i="1"/>
  <c r="H16260" i="1"/>
  <c r="G16260" i="1"/>
  <c r="E16260" i="1"/>
  <c r="H16259" i="1"/>
  <c r="G16259" i="1"/>
  <c r="E16259" i="1"/>
  <c r="H16258" i="1"/>
  <c r="G16258" i="1"/>
  <c r="E16258" i="1"/>
  <c r="H16257" i="1"/>
  <c r="G16257" i="1"/>
  <c r="E16257" i="1"/>
  <c r="H16256" i="1"/>
  <c r="G16256" i="1"/>
  <c r="E16256" i="1"/>
  <c r="H16255" i="1"/>
  <c r="G16255" i="1"/>
  <c r="E16255" i="1"/>
  <c r="H16254" i="1"/>
  <c r="G16254" i="1"/>
  <c r="E16254" i="1"/>
  <c r="H16253" i="1"/>
  <c r="G16253" i="1"/>
  <c r="E16253" i="1"/>
  <c r="H16252" i="1"/>
  <c r="G16252" i="1"/>
  <c r="E16252" i="1"/>
  <c r="H16251" i="1"/>
  <c r="G16251" i="1"/>
  <c r="E16251" i="1"/>
  <c r="H16250" i="1"/>
  <c r="G16250" i="1"/>
  <c r="E16250" i="1"/>
  <c r="H16249" i="1"/>
  <c r="G16249" i="1"/>
  <c r="E16249" i="1"/>
  <c r="H16248" i="1"/>
  <c r="G16248" i="1"/>
  <c r="E16248" i="1"/>
  <c r="H16247" i="1"/>
  <c r="G16247" i="1"/>
  <c r="E16247" i="1"/>
  <c r="H16246" i="1"/>
  <c r="G16246" i="1"/>
  <c r="E16246" i="1"/>
  <c r="H16245" i="1"/>
  <c r="G16245" i="1"/>
  <c r="E16245" i="1"/>
  <c r="H16244" i="1"/>
  <c r="G16244" i="1"/>
  <c r="E16244" i="1"/>
  <c r="H16243" i="1"/>
  <c r="G16243" i="1"/>
  <c r="E16243" i="1"/>
  <c r="H16242" i="1"/>
  <c r="G16242" i="1"/>
  <c r="E16242" i="1"/>
  <c r="H16241" i="1"/>
  <c r="G16241" i="1"/>
  <c r="E16241" i="1"/>
  <c r="H16240" i="1"/>
  <c r="G16240" i="1"/>
  <c r="E16240" i="1"/>
  <c r="H16239" i="1"/>
  <c r="G16239" i="1"/>
  <c r="E16239" i="1"/>
  <c r="H16238" i="1"/>
  <c r="G16238" i="1"/>
  <c r="E16238" i="1"/>
  <c r="H16237" i="1"/>
  <c r="G16237" i="1"/>
  <c r="E16237" i="1"/>
  <c r="H16236" i="1"/>
  <c r="G16236" i="1"/>
  <c r="E16236" i="1"/>
  <c r="H16235" i="1"/>
  <c r="G16235" i="1"/>
  <c r="E16235" i="1"/>
  <c r="H16234" i="1"/>
  <c r="G16234" i="1"/>
  <c r="E16234" i="1"/>
  <c r="H16233" i="1"/>
  <c r="G16233" i="1"/>
  <c r="E16233" i="1"/>
  <c r="H16232" i="1"/>
  <c r="G16232" i="1"/>
  <c r="E16232" i="1"/>
  <c r="H16231" i="1"/>
  <c r="G16231" i="1"/>
  <c r="E16231" i="1"/>
  <c r="H16230" i="1"/>
  <c r="G16230" i="1"/>
  <c r="E16230" i="1"/>
  <c r="H16229" i="1"/>
  <c r="G16229" i="1"/>
  <c r="E16229" i="1"/>
  <c r="H16228" i="1"/>
  <c r="G16228" i="1"/>
  <c r="E16228" i="1"/>
  <c r="H16227" i="1"/>
  <c r="G16227" i="1"/>
  <c r="E16227" i="1"/>
  <c r="H16226" i="1"/>
  <c r="G16226" i="1"/>
  <c r="E16226" i="1"/>
  <c r="H16225" i="1"/>
  <c r="G16225" i="1"/>
  <c r="E16225" i="1"/>
  <c r="H16224" i="1"/>
  <c r="G16224" i="1"/>
  <c r="E16224" i="1"/>
  <c r="H16223" i="1"/>
  <c r="G16223" i="1"/>
  <c r="E16223" i="1"/>
  <c r="H16222" i="1"/>
  <c r="G16222" i="1"/>
  <c r="E16222" i="1"/>
  <c r="H16221" i="1"/>
  <c r="G16221" i="1"/>
  <c r="E16221" i="1"/>
  <c r="H16220" i="1"/>
  <c r="G16220" i="1"/>
  <c r="E16220" i="1"/>
  <c r="H16219" i="1"/>
  <c r="G16219" i="1"/>
  <c r="E16219" i="1"/>
  <c r="H16218" i="1"/>
  <c r="G16218" i="1"/>
  <c r="E16218" i="1"/>
  <c r="H16217" i="1"/>
  <c r="G16217" i="1"/>
  <c r="E16217" i="1"/>
  <c r="H16216" i="1"/>
  <c r="G16216" i="1"/>
  <c r="E16216" i="1"/>
  <c r="H16215" i="1"/>
  <c r="G16215" i="1"/>
  <c r="E16215" i="1"/>
  <c r="H16214" i="1"/>
  <c r="G16214" i="1"/>
  <c r="E16214" i="1"/>
  <c r="H16213" i="1"/>
  <c r="G16213" i="1"/>
  <c r="E16213" i="1"/>
  <c r="H16212" i="1"/>
  <c r="G16212" i="1"/>
  <c r="E16212" i="1"/>
  <c r="H16211" i="1"/>
  <c r="G16211" i="1"/>
  <c r="E16211" i="1"/>
  <c r="H16210" i="1"/>
  <c r="G16210" i="1"/>
  <c r="E16210" i="1"/>
  <c r="H16209" i="1"/>
  <c r="G16209" i="1"/>
  <c r="E16209" i="1"/>
  <c r="H16208" i="1"/>
  <c r="G16208" i="1"/>
  <c r="E16208" i="1"/>
  <c r="H16207" i="1"/>
  <c r="G16207" i="1"/>
  <c r="E16207" i="1"/>
  <c r="H16206" i="1"/>
  <c r="G16206" i="1"/>
  <c r="E16206" i="1"/>
  <c r="H16205" i="1"/>
  <c r="G16205" i="1"/>
  <c r="E16205" i="1"/>
  <c r="H16204" i="1"/>
  <c r="G16204" i="1"/>
  <c r="E16204" i="1"/>
  <c r="H16203" i="1"/>
  <c r="G16203" i="1"/>
  <c r="E16203" i="1"/>
  <c r="H16202" i="1"/>
  <c r="G16202" i="1"/>
  <c r="E16202" i="1"/>
  <c r="H16201" i="1"/>
  <c r="G16201" i="1"/>
  <c r="E16201" i="1"/>
  <c r="H16200" i="1"/>
  <c r="G16200" i="1"/>
  <c r="E16200" i="1"/>
  <c r="H16199" i="1"/>
  <c r="G16199" i="1"/>
  <c r="E16199" i="1"/>
  <c r="H16198" i="1"/>
  <c r="G16198" i="1"/>
  <c r="E16198" i="1"/>
  <c r="H16197" i="1"/>
  <c r="G16197" i="1"/>
  <c r="E16197" i="1"/>
  <c r="H16196" i="1"/>
  <c r="G16196" i="1"/>
  <c r="E16196" i="1"/>
  <c r="H16195" i="1"/>
  <c r="G16195" i="1"/>
  <c r="E16195" i="1"/>
  <c r="H16194" i="1"/>
  <c r="G16194" i="1"/>
  <c r="E16194" i="1"/>
  <c r="H16193" i="1"/>
  <c r="G16193" i="1"/>
  <c r="E16193" i="1"/>
  <c r="H16192" i="1"/>
  <c r="G16192" i="1"/>
  <c r="E16192" i="1"/>
  <c r="H16191" i="1"/>
  <c r="G16191" i="1"/>
  <c r="E16191" i="1"/>
  <c r="H16190" i="1"/>
  <c r="G16190" i="1"/>
  <c r="E16190" i="1"/>
  <c r="H16189" i="1"/>
  <c r="G16189" i="1"/>
  <c r="E16189" i="1"/>
  <c r="H16188" i="1"/>
  <c r="G16188" i="1"/>
  <c r="E16188" i="1"/>
  <c r="H16187" i="1"/>
  <c r="G16187" i="1"/>
  <c r="E16187" i="1"/>
  <c r="H16186" i="1"/>
  <c r="G16186" i="1"/>
  <c r="E16186" i="1"/>
  <c r="H16185" i="1"/>
  <c r="G16185" i="1"/>
  <c r="E16185" i="1"/>
  <c r="H16184" i="1"/>
  <c r="G16184" i="1"/>
  <c r="E16184" i="1"/>
  <c r="H16183" i="1"/>
  <c r="G16183" i="1"/>
  <c r="E16183" i="1"/>
  <c r="H16182" i="1"/>
  <c r="G16182" i="1"/>
  <c r="E16182" i="1"/>
  <c r="H16181" i="1"/>
  <c r="G16181" i="1"/>
  <c r="E16181" i="1"/>
  <c r="H16180" i="1"/>
  <c r="G16180" i="1"/>
  <c r="E16180" i="1"/>
  <c r="H16179" i="1"/>
  <c r="G16179" i="1"/>
  <c r="E16179" i="1"/>
  <c r="H16178" i="1"/>
  <c r="G16178" i="1"/>
  <c r="E16178" i="1"/>
  <c r="H16177" i="1"/>
  <c r="G16177" i="1"/>
  <c r="E16177" i="1"/>
  <c r="H16176" i="1"/>
  <c r="G16176" i="1"/>
  <c r="E16176" i="1"/>
  <c r="H16175" i="1"/>
  <c r="G16175" i="1"/>
  <c r="E16175" i="1"/>
  <c r="H16174" i="1"/>
  <c r="G16174" i="1"/>
  <c r="E16174" i="1"/>
  <c r="H16173" i="1"/>
  <c r="G16173" i="1"/>
  <c r="E16173" i="1"/>
  <c r="H16172" i="1"/>
  <c r="G16172" i="1"/>
  <c r="E16172" i="1"/>
  <c r="H16171" i="1"/>
  <c r="G16171" i="1"/>
  <c r="E16171" i="1"/>
  <c r="H16170" i="1"/>
  <c r="G16170" i="1"/>
  <c r="E16170" i="1"/>
  <c r="H16169" i="1"/>
  <c r="G16169" i="1"/>
  <c r="E16169" i="1"/>
  <c r="H16168" i="1"/>
  <c r="G16168" i="1"/>
  <c r="E16168" i="1"/>
  <c r="H16167" i="1"/>
  <c r="G16167" i="1"/>
  <c r="E16167" i="1"/>
  <c r="H16166" i="1"/>
  <c r="G16166" i="1"/>
  <c r="E16166" i="1"/>
  <c r="H16165" i="1"/>
  <c r="G16165" i="1"/>
  <c r="E16165" i="1"/>
  <c r="H16164" i="1"/>
  <c r="G16164" i="1"/>
  <c r="E16164" i="1"/>
  <c r="H16163" i="1"/>
  <c r="G16163" i="1"/>
  <c r="E16163" i="1"/>
  <c r="H16162" i="1"/>
  <c r="G16162" i="1"/>
  <c r="E16162" i="1"/>
  <c r="H16161" i="1"/>
  <c r="G16161" i="1"/>
  <c r="E16161" i="1"/>
  <c r="H16160" i="1"/>
  <c r="G16160" i="1"/>
  <c r="E16160" i="1"/>
  <c r="H16159" i="1"/>
  <c r="G16159" i="1"/>
  <c r="E16159" i="1"/>
  <c r="H16158" i="1"/>
  <c r="G16158" i="1"/>
  <c r="E16158" i="1"/>
  <c r="H16157" i="1"/>
  <c r="G16157" i="1"/>
  <c r="E16157" i="1"/>
  <c r="H16156" i="1"/>
  <c r="G16156" i="1"/>
  <c r="E16156" i="1"/>
  <c r="H16155" i="1"/>
  <c r="G16155" i="1"/>
  <c r="E16155" i="1"/>
  <c r="H16154" i="1"/>
  <c r="G16154" i="1"/>
  <c r="E16154" i="1"/>
  <c r="H16153" i="1"/>
  <c r="G16153" i="1"/>
  <c r="E16153" i="1"/>
  <c r="H16152" i="1"/>
  <c r="G16152" i="1"/>
  <c r="E16152" i="1"/>
  <c r="H16151" i="1"/>
  <c r="G16151" i="1"/>
  <c r="E16151" i="1"/>
  <c r="H16150" i="1"/>
  <c r="G16150" i="1"/>
  <c r="E16150" i="1"/>
  <c r="H16149" i="1"/>
  <c r="G16149" i="1"/>
  <c r="E16149" i="1"/>
  <c r="H16148" i="1"/>
  <c r="G16148" i="1"/>
  <c r="E16148" i="1"/>
  <c r="H16147" i="1"/>
  <c r="G16147" i="1"/>
  <c r="E16147" i="1"/>
  <c r="H16146" i="1"/>
  <c r="G16146" i="1"/>
  <c r="E16146" i="1"/>
  <c r="H16145" i="1"/>
  <c r="G16145" i="1"/>
  <c r="E16145" i="1"/>
  <c r="H16144" i="1"/>
  <c r="G16144" i="1"/>
  <c r="E16144" i="1"/>
  <c r="H16143" i="1"/>
  <c r="G16143" i="1"/>
  <c r="E16143" i="1"/>
  <c r="H16142" i="1"/>
  <c r="G16142" i="1"/>
  <c r="E16142" i="1"/>
  <c r="H16141" i="1"/>
  <c r="G16141" i="1"/>
  <c r="E16141" i="1"/>
  <c r="H16140" i="1"/>
  <c r="G16140" i="1"/>
  <c r="E16140" i="1"/>
  <c r="H16139" i="1"/>
  <c r="G16139" i="1"/>
  <c r="E16139" i="1"/>
  <c r="H16138" i="1"/>
  <c r="G16138" i="1"/>
  <c r="E16138" i="1"/>
  <c r="H16137" i="1"/>
  <c r="G16137" i="1"/>
  <c r="E16137" i="1"/>
  <c r="H16136" i="1"/>
  <c r="G16136" i="1"/>
  <c r="E16136" i="1"/>
  <c r="H16135" i="1"/>
  <c r="G16135" i="1"/>
  <c r="E16135" i="1"/>
  <c r="H16134" i="1"/>
  <c r="G16134" i="1"/>
  <c r="E16134" i="1"/>
  <c r="H16133" i="1"/>
  <c r="G16133" i="1"/>
  <c r="E16133" i="1"/>
  <c r="H16132" i="1"/>
  <c r="G16132" i="1"/>
  <c r="E16132" i="1"/>
  <c r="H16131" i="1"/>
  <c r="G16131" i="1"/>
  <c r="E16131" i="1"/>
  <c r="H16130" i="1"/>
  <c r="G16130" i="1"/>
  <c r="E16130" i="1"/>
  <c r="H16129" i="1"/>
  <c r="G16129" i="1"/>
  <c r="E16129" i="1"/>
  <c r="H16128" i="1"/>
  <c r="G16128" i="1"/>
  <c r="E16128" i="1"/>
  <c r="H16127" i="1"/>
  <c r="G16127" i="1"/>
  <c r="E16127" i="1"/>
  <c r="H16126" i="1"/>
  <c r="G16126" i="1"/>
  <c r="E16126" i="1"/>
  <c r="H16125" i="1"/>
  <c r="G16125" i="1"/>
  <c r="E16125" i="1"/>
  <c r="H16124" i="1"/>
  <c r="G16124" i="1"/>
  <c r="E16124" i="1"/>
  <c r="H16123" i="1"/>
  <c r="G16123" i="1"/>
  <c r="E16123" i="1"/>
  <c r="H16122" i="1"/>
  <c r="G16122" i="1"/>
  <c r="E16122" i="1"/>
  <c r="H16121" i="1"/>
  <c r="G16121" i="1"/>
  <c r="E16121" i="1"/>
  <c r="H16120" i="1"/>
  <c r="G16120" i="1"/>
  <c r="E16120" i="1"/>
  <c r="H16119" i="1"/>
  <c r="G16119" i="1"/>
  <c r="E16119" i="1"/>
  <c r="H16118" i="1"/>
  <c r="G16118" i="1"/>
  <c r="E16118" i="1"/>
  <c r="H16117" i="1"/>
  <c r="G16117" i="1"/>
  <c r="E16117" i="1"/>
  <c r="H16116" i="1"/>
  <c r="G16116" i="1"/>
  <c r="E16116" i="1"/>
  <c r="H16115" i="1"/>
  <c r="G16115" i="1"/>
  <c r="E16115" i="1"/>
  <c r="H16114" i="1"/>
  <c r="G16114" i="1"/>
  <c r="E16114" i="1"/>
  <c r="H16113" i="1"/>
  <c r="G16113" i="1"/>
  <c r="E16113" i="1"/>
  <c r="H16112" i="1"/>
  <c r="G16112" i="1"/>
  <c r="E16112" i="1"/>
  <c r="H16111" i="1"/>
  <c r="G16111" i="1"/>
  <c r="E16111" i="1"/>
  <c r="H16110" i="1"/>
  <c r="G16110" i="1"/>
  <c r="E16110" i="1"/>
  <c r="H16109" i="1"/>
  <c r="G16109" i="1"/>
  <c r="E16109" i="1"/>
  <c r="H16108" i="1"/>
  <c r="G16108" i="1"/>
  <c r="E16108" i="1"/>
  <c r="H16107" i="1"/>
  <c r="G16107" i="1"/>
  <c r="E16107" i="1"/>
  <c r="H16106" i="1"/>
  <c r="G16106" i="1"/>
  <c r="E16106" i="1"/>
  <c r="H16105" i="1"/>
  <c r="G16105" i="1"/>
  <c r="E16105" i="1"/>
  <c r="H16104" i="1"/>
  <c r="G16104" i="1"/>
  <c r="E16104" i="1"/>
  <c r="H16103" i="1"/>
  <c r="G16103" i="1"/>
  <c r="E16103" i="1"/>
  <c r="H16102" i="1"/>
  <c r="G16102" i="1"/>
  <c r="E16102" i="1"/>
  <c r="H16101" i="1"/>
  <c r="G16101" i="1"/>
  <c r="E16101" i="1"/>
  <c r="H16100" i="1"/>
  <c r="G16100" i="1"/>
  <c r="E16100" i="1"/>
  <c r="H16099" i="1"/>
  <c r="G16099" i="1"/>
  <c r="E16099" i="1"/>
  <c r="H16098" i="1"/>
  <c r="G16098" i="1"/>
  <c r="E16098" i="1"/>
  <c r="H16097" i="1"/>
  <c r="G16097" i="1"/>
  <c r="E16097" i="1"/>
  <c r="H16096" i="1"/>
  <c r="G16096" i="1"/>
  <c r="E16096" i="1"/>
  <c r="H16095" i="1"/>
  <c r="G16095" i="1"/>
  <c r="E16095" i="1"/>
  <c r="H16094" i="1"/>
  <c r="G16094" i="1"/>
  <c r="E16094" i="1"/>
  <c r="H16093" i="1"/>
  <c r="G16093" i="1"/>
  <c r="E16093" i="1"/>
  <c r="H16092" i="1"/>
  <c r="G16092" i="1"/>
  <c r="E16092" i="1"/>
  <c r="H16091" i="1"/>
  <c r="G16091" i="1"/>
  <c r="E16091" i="1"/>
  <c r="H16090" i="1"/>
  <c r="G16090" i="1"/>
  <c r="E16090" i="1"/>
  <c r="H16089" i="1"/>
  <c r="G16089" i="1"/>
  <c r="E16089" i="1"/>
  <c r="H16088" i="1"/>
  <c r="G16088" i="1"/>
  <c r="E16088" i="1"/>
  <c r="H16087" i="1"/>
  <c r="G16087" i="1"/>
  <c r="E16087" i="1"/>
  <c r="H16086" i="1"/>
  <c r="G16086" i="1"/>
  <c r="E16086" i="1"/>
  <c r="H16085" i="1"/>
  <c r="G16085" i="1"/>
  <c r="E16085" i="1"/>
  <c r="H16084" i="1"/>
  <c r="G16084" i="1"/>
  <c r="E16084" i="1"/>
  <c r="H16083" i="1"/>
  <c r="G16083" i="1"/>
  <c r="E16083" i="1"/>
  <c r="H16082" i="1"/>
  <c r="G16082" i="1"/>
  <c r="E16082" i="1"/>
  <c r="H16081" i="1"/>
  <c r="G16081" i="1"/>
  <c r="E16081" i="1"/>
  <c r="H16080" i="1"/>
  <c r="G16080" i="1"/>
  <c r="E16080" i="1"/>
  <c r="H16079" i="1"/>
  <c r="G16079" i="1"/>
  <c r="E16079" i="1"/>
  <c r="H16078" i="1"/>
  <c r="G16078" i="1"/>
  <c r="E16078" i="1"/>
  <c r="H16077" i="1"/>
  <c r="G16077" i="1"/>
  <c r="E16077" i="1"/>
  <c r="H16076" i="1"/>
  <c r="G16076" i="1"/>
  <c r="E16076" i="1"/>
  <c r="H16075" i="1"/>
  <c r="G16075" i="1"/>
  <c r="E16075" i="1"/>
  <c r="H16074" i="1"/>
  <c r="G16074" i="1"/>
  <c r="E16074" i="1"/>
  <c r="H16073" i="1"/>
  <c r="G16073" i="1"/>
  <c r="E16073" i="1"/>
  <c r="H16072" i="1"/>
  <c r="G16072" i="1"/>
  <c r="E16072" i="1"/>
  <c r="H16071" i="1"/>
  <c r="G16071" i="1"/>
  <c r="E16071" i="1"/>
  <c r="H16070" i="1"/>
  <c r="G16070" i="1"/>
  <c r="E16070" i="1"/>
  <c r="H16069" i="1"/>
  <c r="G16069" i="1"/>
  <c r="E16069" i="1"/>
  <c r="H16068" i="1"/>
  <c r="G16068" i="1"/>
  <c r="E16068" i="1"/>
  <c r="H16067" i="1"/>
  <c r="G16067" i="1"/>
  <c r="E16067" i="1"/>
  <c r="H16066" i="1"/>
  <c r="G16066" i="1"/>
  <c r="E16066" i="1"/>
  <c r="H16065" i="1"/>
  <c r="G16065" i="1"/>
  <c r="E16065" i="1"/>
  <c r="H16064" i="1"/>
  <c r="G16064" i="1"/>
  <c r="E16064" i="1"/>
  <c r="H16063" i="1"/>
  <c r="G16063" i="1"/>
  <c r="E16063" i="1"/>
  <c r="H16062" i="1"/>
  <c r="G16062" i="1"/>
  <c r="E16062" i="1"/>
  <c r="H16061" i="1"/>
  <c r="G16061" i="1"/>
  <c r="E16061" i="1"/>
  <c r="H16060" i="1"/>
  <c r="G16060" i="1"/>
  <c r="E16060" i="1"/>
  <c r="H16059" i="1"/>
  <c r="G16059" i="1"/>
  <c r="E16059" i="1"/>
  <c r="H16058" i="1"/>
  <c r="G16058" i="1"/>
  <c r="E16058" i="1"/>
  <c r="H16057" i="1"/>
  <c r="G16057" i="1"/>
  <c r="E16057" i="1"/>
  <c r="H16056" i="1"/>
  <c r="G16056" i="1"/>
  <c r="E16056" i="1"/>
  <c r="H16055" i="1"/>
  <c r="G16055" i="1"/>
  <c r="E16055" i="1"/>
  <c r="H16054" i="1"/>
  <c r="G16054" i="1"/>
  <c r="E16054" i="1"/>
  <c r="H16053" i="1"/>
  <c r="G16053" i="1"/>
  <c r="E16053" i="1"/>
  <c r="H16052" i="1"/>
  <c r="G16052" i="1"/>
  <c r="E16052" i="1"/>
  <c r="H16051" i="1"/>
  <c r="G16051" i="1"/>
  <c r="E16051" i="1"/>
  <c r="H16050" i="1"/>
  <c r="G16050" i="1"/>
  <c r="E16050" i="1"/>
  <c r="H16049" i="1"/>
  <c r="G16049" i="1"/>
  <c r="E16049" i="1"/>
  <c r="H16048" i="1"/>
  <c r="G16048" i="1"/>
  <c r="E16048" i="1"/>
  <c r="H16047" i="1"/>
  <c r="G16047" i="1"/>
  <c r="E16047" i="1"/>
  <c r="H16046" i="1"/>
  <c r="G16046" i="1"/>
  <c r="E16046" i="1"/>
  <c r="H16045" i="1"/>
  <c r="G16045" i="1"/>
  <c r="E16045" i="1"/>
  <c r="H16044" i="1"/>
  <c r="G16044" i="1"/>
  <c r="E16044" i="1"/>
  <c r="H16043" i="1"/>
  <c r="G16043" i="1"/>
  <c r="E16043" i="1"/>
  <c r="H16042" i="1"/>
  <c r="G16042" i="1"/>
  <c r="E16042" i="1"/>
  <c r="H16041" i="1"/>
  <c r="G16041" i="1"/>
  <c r="E16041" i="1"/>
  <c r="H16040" i="1"/>
  <c r="G16040" i="1"/>
  <c r="E16040" i="1"/>
  <c r="H16039" i="1"/>
  <c r="G16039" i="1"/>
  <c r="E16039" i="1"/>
  <c r="H16038" i="1"/>
  <c r="G16038" i="1"/>
  <c r="E16038" i="1"/>
  <c r="H16037" i="1"/>
  <c r="G16037" i="1"/>
  <c r="E16037" i="1"/>
  <c r="H16036" i="1"/>
  <c r="G16036" i="1"/>
  <c r="E16036" i="1"/>
  <c r="H16035" i="1"/>
  <c r="G16035" i="1"/>
  <c r="E16035" i="1"/>
  <c r="H16034" i="1"/>
  <c r="G16034" i="1"/>
  <c r="E16034" i="1"/>
  <c r="H16033" i="1"/>
  <c r="G16033" i="1"/>
  <c r="E16033" i="1"/>
  <c r="H16032" i="1"/>
  <c r="G16032" i="1"/>
  <c r="E16032" i="1"/>
  <c r="H16031" i="1"/>
  <c r="G16031" i="1"/>
  <c r="E16031" i="1"/>
  <c r="H16030" i="1"/>
  <c r="G16030" i="1"/>
  <c r="E16030" i="1"/>
  <c r="H16029" i="1"/>
  <c r="G16029" i="1"/>
  <c r="E16029" i="1"/>
  <c r="H16028" i="1"/>
  <c r="G16028" i="1"/>
  <c r="E16028" i="1"/>
  <c r="H16027" i="1"/>
  <c r="G16027" i="1"/>
  <c r="E16027" i="1"/>
  <c r="H16026" i="1"/>
  <c r="G16026" i="1"/>
  <c r="E16026" i="1"/>
  <c r="H16025" i="1"/>
  <c r="G16025" i="1"/>
  <c r="E16025" i="1"/>
  <c r="H16024" i="1"/>
  <c r="G16024" i="1"/>
  <c r="E16024" i="1"/>
  <c r="H16023" i="1"/>
  <c r="G16023" i="1"/>
  <c r="E16023" i="1"/>
  <c r="H16022" i="1"/>
  <c r="G16022" i="1"/>
  <c r="E16022" i="1"/>
  <c r="H16021" i="1"/>
  <c r="G16021" i="1"/>
  <c r="E16021" i="1"/>
  <c r="H16020" i="1"/>
  <c r="G16020" i="1"/>
  <c r="E16020" i="1"/>
  <c r="H16019" i="1"/>
  <c r="G16019" i="1"/>
  <c r="E16019" i="1"/>
  <c r="H16018" i="1"/>
  <c r="G16018" i="1"/>
  <c r="E16018" i="1"/>
  <c r="H16017" i="1"/>
  <c r="G16017" i="1"/>
  <c r="E16017" i="1"/>
  <c r="H16016" i="1"/>
  <c r="G16016" i="1"/>
  <c r="E16016" i="1"/>
  <c r="H16015" i="1"/>
  <c r="G16015" i="1"/>
  <c r="E16015" i="1"/>
  <c r="H16014" i="1"/>
  <c r="G16014" i="1"/>
  <c r="E16014" i="1"/>
  <c r="H16013" i="1"/>
  <c r="G16013" i="1"/>
  <c r="E16013" i="1"/>
  <c r="H16012" i="1"/>
  <c r="G16012" i="1"/>
  <c r="E16012" i="1"/>
  <c r="H16011" i="1"/>
  <c r="G16011" i="1"/>
  <c r="E16011" i="1"/>
  <c r="H16010" i="1"/>
  <c r="G16010" i="1"/>
  <c r="E16010" i="1"/>
  <c r="H16009" i="1"/>
  <c r="G16009" i="1"/>
  <c r="E16009" i="1"/>
  <c r="H16008" i="1"/>
  <c r="G16008" i="1"/>
  <c r="E16008" i="1"/>
  <c r="H16007" i="1"/>
  <c r="G16007" i="1"/>
  <c r="E16007" i="1"/>
  <c r="H16006" i="1"/>
  <c r="G16006" i="1"/>
  <c r="E16006" i="1"/>
  <c r="H16005" i="1"/>
  <c r="G16005" i="1"/>
  <c r="E16005" i="1"/>
  <c r="H16004" i="1"/>
  <c r="G16004" i="1"/>
  <c r="E16004" i="1"/>
  <c r="H16003" i="1"/>
  <c r="G16003" i="1"/>
  <c r="E16003" i="1"/>
  <c r="H16002" i="1"/>
  <c r="G16002" i="1"/>
  <c r="E16002" i="1"/>
  <c r="H16001" i="1"/>
  <c r="G16001" i="1"/>
  <c r="E16001" i="1"/>
  <c r="H16000" i="1"/>
  <c r="G16000" i="1"/>
  <c r="E16000" i="1"/>
  <c r="H15999" i="1"/>
  <c r="G15999" i="1"/>
  <c r="E15999" i="1"/>
  <c r="H15998" i="1"/>
  <c r="G15998" i="1"/>
  <c r="E15998" i="1"/>
  <c r="H15997" i="1"/>
  <c r="G15997" i="1"/>
  <c r="E15997" i="1"/>
  <c r="H15996" i="1"/>
  <c r="G15996" i="1"/>
  <c r="E15996" i="1"/>
  <c r="H15995" i="1"/>
  <c r="G15995" i="1"/>
  <c r="E15995" i="1"/>
  <c r="H15994" i="1"/>
  <c r="G15994" i="1"/>
  <c r="E15994" i="1"/>
  <c r="H15993" i="1"/>
  <c r="G15993" i="1"/>
  <c r="E15993" i="1"/>
  <c r="H15992" i="1"/>
  <c r="G15992" i="1"/>
  <c r="E15992" i="1"/>
  <c r="H15991" i="1"/>
  <c r="G15991" i="1"/>
  <c r="E15991" i="1"/>
  <c r="H15990" i="1"/>
  <c r="G15990" i="1"/>
  <c r="E15990" i="1"/>
  <c r="H15989" i="1"/>
  <c r="G15989" i="1"/>
  <c r="E15989" i="1"/>
  <c r="H15988" i="1"/>
  <c r="G15988" i="1"/>
  <c r="E15988" i="1"/>
  <c r="H15987" i="1"/>
  <c r="G15987" i="1"/>
  <c r="E15987" i="1"/>
  <c r="H15986" i="1"/>
  <c r="G15986" i="1"/>
  <c r="E15986" i="1"/>
  <c r="H15985" i="1"/>
  <c r="G15985" i="1"/>
  <c r="E15985" i="1"/>
  <c r="H15984" i="1"/>
  <c r="G15984" i="1"/>
  <c r="E15984" i="1"/>
  <c r="H15983" i="1"/>
  <c r="G15983" i="1"/>
  <c r="E15983" i="1"/>
  <c r="H15982" i="1"/>
  <c r="G15982" i="1"/>
  <c r="E15982" i="1"/>
  <c r="H15981" i="1"/>
  <c r="G15981" i="1"/>
  <c r="E15981" i="1"/>
  <c r="H15980" i="1"/>
  <c r="G15980" i="1"/>
  <c r="E15980" i="1"/>
  <c r="H15979" i="1"/>
  <c r="G15979" i="1"/>
  <c r="E15979" i="1"/>
  <c r="H15978" i="1"/>
  <c r="G15978" i="1"/>
  <c r="E15978" i="1"/>
  <c r="H15977" i="1"/>
  <c r="G15977" i="1"/>
  <c r="E15977" i="1"/>
  <c r="H15976" i="1"/>
  <c r="G15976" i="1"/>
  <c r="E15976" i="1"/>
  <c r="H15975" i="1"/>
  <c r="G15975" i="1"/>
  <c r="E15975" i="1"/>
  <c r="H15974" i="1"/>
  <c r="G15974" i="1"/>
  <c r="E15974" i="1"/>
  <c r="H15973" i="1"/>
  <c r="G15973" i="1"/>
  <c r="E15973" i="1"/>
  <c r="H15972" i="1"/>
  <c r="G15972" i="1"/>
  <c r="E15972" i="1"/>
  <c r="H15971" i="1"/>
  <c r="G15971" i="1"/>
  <c r="E15971" i="1"/>
  <c r="H15970" i="1"/>
  <c r="G15970" i="1"/>
  <c r="E15970" i="1"/>
  <c r="H15969" i="1"/>
  <c r="G15969" i="1"/>
  <c r="E15969" i="1"/>
  <c r="H15968" i="1"/>
  <c r="G15968" i="1"/>
  <c r="E15968" i="1"/>
  <c r="H15967" i="1"/>
  <c r="G15967" i="1"/>
  <c r="E15967" i="1"/>
  <c r="H15966" i="1"/>
  <c r="G15966" i="1"/>
  <c r="E15966" i="1"/>
  <c r="H15965" i="1"/>
  <c r="G15965" i="1"/>
  <c r="E15965" i="1"/>
  <c r="H15964" i="1"/>
  <c r="G15964" i="1"/>
  <c r="E15964" i="1"/>
  <c r="H15963" i="1"/>
  <c r="G15963" i="1"/>
  <c r="E15963" i="1"/>
  <c r="H15962" i="1"/>
  <c r="G15962" i="1"/>
  <c r="E15962" i="1"/>
  <c r="H15961" i="1"/>
  <c r="G15961" i="1"/>
  <c r="E15961" i="1"/>
  <c r="H15960" i="1"/>
  <c r="G15960" i="1"/>
  <c r="E15960" i="1"/>
  <c r="H15959" i="1"/>
  <c r="G15959" i="1"/>
  <c r="E15959" i="1"/>
  <c r="H15958" i="1"/>
  <c r="G15958" i="1"/>
  <c r="E15958" i="1"/>
  <c r="H15957" i="1"/>
  <c r="G15957" i="1"/>
  <c r="E15957" i="1"/>
  <c r="H15956" i="1"/>
  <c r="G15956" i="1"/>
  <c r="E15956" i="1"/>
  <c r="H15955" i="1"/>
  <c r="G15955" i="1"/>
  <c r="E15955" i="1"/>
  <c r="H15954" i="1"/>
  <c r="G15954" i="1"/>
  <c r="E15954" i="1"/>
  <c r="H15953" i="1"/>
  <c r="G15953" i="1"/>
  <c r="E15953" i="1"/>
  <c r="H15952" i="1"/>
  <c r="G15952" i="1"/>
  <c r="E15952" i="1"/>
  <c r="H15951" i="1"/>
  <c r="G15951" i="1"/>
  <c r="E15951" i="1"/>
  <c r="H15950" i="1"/>
  <c r="G15950" i="1"/>
  <c r="E15950" i="1"/>
  <c r="H15949" i="1"/>
  <c r="G15949" i="1"/>
  <c r="E15949" i="1"/>
  <c r="H15948" i="1"/>
  <c r="G15948" i="1"/>
  <c r="E15948" i="1"/>
  <c r="H15947" i="1"/>
  <c r="G15947" i="1"/>
  <c r="E15947" i="1"/>
  <c r="H15946" i="1"/>
  <c r="G15946" i="1"/>
  <c r="E15946" i="1"/>
  <c r="H15945" i="1"/>
  <c r="G15945" i="1"/>
  <c r="E15945" i="1"/>
  <c r="H15944" i="1"/>
  <c r="G15944" i="1"/>
  <c r="E15944" i="1"/>
  <c r="H15943" i="1"/>
  <c r="G15943" i="1"/>
  <c r="E15943" i="1"/>
  <c r="H15942" i="1"/>
  <c r="G15942" i="1"/>
  <c r="E15942" i="1"/>
  <c r="H15941" i="1"/>
  <c r="G15941" i="1"/>
  <c r="E15941" i="1"/>
  <c r="H15940" i="1"/>
  <c r="G15940" i="1"/>
  <c r="E15940" i="1"/>
  <c r="H15939" i="1"/>
  <c r="G15939" i="1"/>
  <c r="E15939" i="1"/>
  <c r="H15938" i="1"/>
  <c r="G15938" i="1"/>
  <c r="E15938" i="1"/>
  <c r="H15937" i="1"/>
  <c r="G15937" i="1"/>
  <c r="E15937" i="1"/>
  <c r="H15936" i="1"/>
  <c r="G15936" i="1"/>
  <c r="E15936" i="1"/>
  <c r="H15935" i="1"/>
  <c r="G15935" i="1"/>
  <c r="E15935" i="1"/>
  <c r="H15934" i="1"/>
  <c r="G15934" i="1"/>
  <c r="E15934" i="1"/>
  <c r="H15933" i="1"/>
  <c r="G15933" i="1"/>
  <c r="E15933" i="1"/>
  <c r="H15932" i="1"/>
  <c r="G15932" i="1"/>
  <c r="E15932" i="1"/>
  <c r="H15931" i="1"/>
  <c r="G15931" i="1"/>
  <c r="E15931" i="1"/>
  <c r="H15930" i="1"/>
  <c r="G15930" i="1"/>
  <c r="E15930" i="1"/>
  <c r="H15929" i="1"/>
  <c r="G15929" i="1"/>
  <c r="E15929" i="1"/>
  <c r="H15928" i="1"/>
  <c r="G15928" i="1"/>
  <c r="E15928" i="1"/>
  <c r="H15927" i="1"/>
  <c r="G15927" i="1"/>
  <c r="E15927" i="1"/>
  <c r="H15926" i="1"/>
  <c r="G15926" i="1"/>
  <c r="E15926" i="1"/>
  <c r="H15925" i="1"/>
  <c r="G15925" i="1"/>
  <c r="E15925" i="1"/>
  <c r="H15924" i="1"/>
  <c r="G15924" i="1"/>
  <c r="E15924" i="1"/>
  <c r="H15923" i="1"/>
  <c r="G15923" i="1"/>
  <c r="E15923" i="1"/>
  <c r="H15922" i="1"/>
  <c r="G15922" i="1"/>
  <c r="E15922" i="1"/>
  <c r="H15921" i="1"/>
  <c r="G15921" i="1"/>
  <c r="E15921" i="1"/>
  <c r="H15920" i="1"/>
  <c r="G15920" i="1"/>
  <c r="E15920" i="1"/>
  <c r="H15919" i="1"/>
  <c r="G15919" i="1"/>
  <c r="E15919" i="1"/>
  <c r="H15918" i="1"/>
  <c r="G15918" i="1"/>
  <c r="E15918" i="1"/>
  <c r="H15917" i="1"/>
  <c r="G15917" i="1"/>
  <c r="E15917" i="1"/>
  <c r="H15916" i="1"/>
  <c r="G15916" i="1"/>
  <c r="E15916" i="1"/>
  <c r="H15915" i="1"/>
  <c r="G15915" i="1"/>
  <c r="E15915" i="1"/>
  <c r="H15914" i="1"/>
  <c r="G15914" i="1"/>
  <c r="E15914" i="1"/>
  <c r="H15913" i="1"/>
  <c r="G15913" i="1"/>
  <c r="E15913" i="1"/>
  <c r="H15912" i="1"/>
  <c r="G15912" i="1"/>
  <c r="E15912" i="1"/>
  <c r="H15911" i="1"/>
  <c r="G15911" i="1"/>
  <c r="E15911" i="1"/>
  <c r="H15910" i="1"/>
  <c r="G15910" i="1"/>
  <c r="E15910" i="1"/>
  <c r="H15909" i="1"/>
  <c r="G15909" i="1"/>
  <c r="E15909" i="1"/>
  <c r="H15908" i="1"/>
  <c r="G15908" i="1"/>
  <c r="E15908" i="1"/>
  <c r="H15907" i="1"/>
  <c r="G15907" i="1"/>
  <c r="E15907" i="1"/>
  <c r="H15906" i="1"/>
  <c r="G15906" i="1"/>
  <c r="E15906" i="1"/>
  <c r="H15905" i="1"/>
  <c r="G15905" i="1"/>
  <c r="E15905" i="1"/>
  <c r="H15904" i="1"/>
  <c r="G15904" i="1"/>
  <c r="E15904" i="1"/>
  <c r="H15903" i="1"/>
  <c r="G15903" i="1"/>
  <c r="E15903" i="1"/>
  <c r="H15902" i="1"/>
  <c r="G15902" i="1"/>
  <c r="E15902" i="1"/>
  <c r="H15901" i="1"/>
  <c r="G15901" i="1"/>
  <c r="E15901" i="1"/>
  <c r="H15900" i="1"/>
  <c r="G15900" i="1"/>
  <c r="E15900" i="1"/>
  <c r="H15899" i="1"/>
  <c r="G15899" i="1"/>
  <c r="E15899" i="1"/>
  <c r="H15898" i="1"/>
  <c r="G15898" i="1"/>
  <c r="E15898" i="1"/>
  <c r="H15897" i="1"/>
  <c r="G15897" i="1"/>
  <c r="E15897" i="1"/>
  <c r="H15896" i="1"/>
  <c r="G15896" i="1"/>
  <c r="E15896" i="1"/>
  <c r="H15895" i="1"/>
  <c r="G15895" i="1"/>
  <c r="E15895" i="1"/>
  <c r="H15894" i="1"/>
  <c r="G15894" i="1"/>
  <c r="E15894" i="1"/>
  <c r="H15893" i="1"/>
  <c r="G15893" i="1"/>
  <c r="E15893" i="1"/>
  <c r="H15892" i="1"/>
  <c r="G15892" i="1"/>
  <c r="E15892" i="1"/>
  <c r="H15891" i="1"/>
  <c r="G15891" i="1"/>
  <c r="E15891" i="1"/>
  <c r="H15890" i="1"/>
  <c r="G15890" i="1"/>
  <c r="E15890" i="1"/>
  <c r="H15889" i="1"/>
  <c r="G15889" i="1"/>
  <c r="E15889" i="1"/>
  <c r="H15888" i="1"/>
  <c r="G15888" i="1"/>
  <c r="E15888" i="1"/>
  <c r="H15887" i="1"/>
  <c r="G15887" i="1"/>
  <c r="E15887" i="1"/>
  <c r="H15886" i="1"/>
  <c r="G15886" i="1"/>
  <c r="E15886" i="1"/>
  <c r="H15885" i="1"/>
  <c r="G15885" i="1"/>
  <c r="E15885" i="1"/>
  <c r="H15884" i="1"/>
  <c r="G15884" i="1"/>
  <c r="E15884" i="1"/>
  <c r="H15883" i="1"/>
  <c r="G15883" i="1"/>
  <c r="E15883" i="1"/>
  <c r="H15882" i="1"/>
  <c r="G15882" i="1"/>
  <c r="E15882" i="1"/>
  <c r="H15881" i="1"/>
  <c r="G15881" i="1"/>
  <c r="E15881" i="1"/>
  <c r="H15880" i="1"/>
  <c r="G15880" i="1"/>
  <c r="E15880" i="1"/>
  <c r="H15879" i="1"/>
  <c r="G15879" i="1"/>
  <c r="E15879" i="1"/>
  <c r="H15878" i="1"/>
  <c r="G15878" i="1"/>
  <c r="E15878" i="1"/>
  <c r="H15877" i="1"/>
  <c r="G15877" i="1"/>
  <c r="E15877" i="1"/>
  <c r="H15876" i="1"/>
  <c r="G15876" i="1"/>
  <c r="E15876" i="1"/>
  <c r="H15875" i="1"/>
  <c r="G15875" i="1"/>
  <c r="E15875" i="1"/>
  <c r="H15874" i="1"/>
  <c r="G15874" i="1"/>
  <c r="E15874" i="1"/>
  <c r="H15873" i="1"/>
  <c r="G15873" i="1"/>
  <c r="E15873" i="1"/>
  <c r="H15872" i="1"/>
  <c r="G15872" i="1"/>
  <c r="E15872" i="1"/>
  <c r="H15871" i="1"/>
  <c r="G15871" i="1"/>
  <c r="E15871" i="1"/>
  <c r="H15870" i="1"/>
  <c r="G15870" i="1"/>
  <c r="E15870" i="1"/>
  <c r="H15869" i="1"/>
  <c r="G15869" i="1"/>
  <c r="E15869" i="1"/>
  <c r="H15868" i="1"/>
  <c r="G15868" i="1"/>
  <c r="E15868" i="1"/>
  <c r="H15867" i="1"/>
  <c r="G15867" i="1"/>
  <c r="E15867" i="1"/>
  <c r="H15866" i="1"/>
  <c r="G15866" i="1"/>
  <c r="E15866" i="1"/>
  <c r="H15865" i="1"/>
  <c r="G15865" i="1"/>
  <c r="E15865" i="1"/>
  <c r="H15864" i="1"/>
  <c r="G15864" i="1"/>
  <c r="E15864" i="1"/>
  <c r="H15863" i="1"/>
  <c r="G15863" i="1"/>
  <c r="E15863" i="1"/>
  <c r="H15862" i="1"/>
  <c r="G15862" i="1"/>
  <c r="E15862" i="1"/>
  <c r="H15861" i="1"/>
  <c r="G15861" i="1"/>
  <c r="E15861" i="1"/>
  <c r="H15860" i="1"/>
  <c r="G15860" i="1"/>
  <c r="E15860" i="1"/>
  <c r="H15859" i="1"/>
  <c r="G15859" i="1"/>
  <c r="E15859" i="1"/>
  <c r="H15858" i="1"/>
  <c r="G15858" i="1"/>
  <c r="E15858" i="1"/>
  <c r="H15857" i="1"/>
  <c r="G15857" i="1"/>
  <c r="E15857" i="1"/>
  <c r="H15856" i="1"/>
  <c r="G15856" i="1"/>
  <c r="E15856" i="1"/>
  <c r="H15855" i="1"/>
  <c r="G15855" i="1"/>
  <c r="E15855" i="1"/>
  <c r="H15854" i="1"/>
  <c r="G15854" i="1"/>
  <c r="E15854" i="1"/>
  <c r="H15853" i="1"/>
  <c r="G15853" i="1"/>
  <c r="E15853" i="1"/>
  <c r="H15852" i="1"/>
  <c r="G15852" i="1"/>
  <c r="E15852" i="1"/>
  <c r="H15851" i="1"/>
  <c r="G15851" i="1"/>
  <c r="E15851" i="1"/>
  <c r="H15850" i="1"/>
  <c r="G15850" i="1"/>
  <c r="E15850" i="1"/>
  <c r="H15849" i="1"/>
  <c r="G15849" i="1"/>
  <c r="E15849" i="1"/>
  <c r="H15848" i="1"/>
  <c r="G15848" i="1"/>
  <c r="E15848" i="1"/>
  <c r="H15847" i="1"/>
  <c r="G15847" i="1"/>
  <c r="E15847" i="1"/>
  <c r="H15846" i="1"/>
  <c r="G15846" i="1"/>
  <c r="E15846" i="1"/>
  <c r="H15845" i="1"/>
  <c r="G15845" i="1"/>
  <c r="E15845" i="1"/>
  <c r="H15844" i="1"/>
  <c r="G15844" i="1"/>
  <c r="E15844" i="1"/>
  <c r="H15843" i="1"/>
  <c r="G15843" i="1"/>
  <c r="E15843" i="1"/>
  <c r="H15842" i="1"/>
  <c r="G15842" i="1"/>
  <c r="E15842" i="1"/>
  <c r="H15841" i="1"/>
  <c r="G15841" i="1"/>
  <c r="E15841" i="1"/>
  <c r="H15840" i="1"/>
  <c r="G15840" i="1"/>
  <c r="E15840" i="1"/>
  <c r="H15839" i="1"/>
  <c r="G15839" i="1"/>
  <c r="E15839" i="1"/>
  <c r="H15838" i="1"/>
  <c r="G15838" i="1"/>
  <c r="E15838" i="1"/>
  <c r="H15837" i="1"/>
  <c r="G15837" i="1"/>
  <c r="E15837" i="1"/>
  <c r="H15836" i="1"/>
  <c r="G15836" i="1"/>
  <c r="E15836" i="1"/>
  <c r="H15835" i="1"/>
  <c r="G15835" i="1"/>
  <c r="E15835" i="1"/>
  <c r="H15834" i="1"/>
  <c r="G15834" i="1"/>
  <c r="E15834" i="1"/>
  <c r="H15833" i="1"/>
  <c r="G15833" i="1"/>
  <c r="E15833" i="1"/>
  <c r="H15832" i="1"/>
  <c r="G15832" i="1"/>
  <c r="E15832" i="1"/>
  <c r="H15831" i="1"/>
  <c r="G15831" i="1"/>
  <c r="E15831" i="1"/>
  <c r="H15830" i="1"/>
  <c r="G15830" i="1"/>
  <c r="E15830" i="1"/>
  <c r="H15829" i="1"/>
  <c r="G15829" i="1"/>
  <c r="E15829" i="1"/>
  <c r="H15828" i="1"/>
  <c r="G15828" i="1"/>
  <c r="E15828" i="1"/>
  <c r="H15827" i="1"/>
  <c r="G15827" i="1"/>
  <c r="E15827" i="1"/>
  <c r="H15826" i="1"/>
  <c r="G15826" i="1"/>
  <c r="E15826" i="1"/>
  <c r="H15825" i="1"/>
  <c r="G15825" i="1"/>
  <c r="E15825" i="1"/>
  <c r="H15824" i="1"/>
  <c r="G15824" i="1"/>
  <c r="E15824" i="1"/>
  <c r="H15823" i="1"/>
  <c r="G15823" i="1"/>
  <c r="E15823" i="1"/>
  <c r="H15822" i="1"/>
  <c r="G15822" i="1"/>
  <c r="E15822" i="1"/>
  <c r="H15821" i="1"/>
  <c r="G15821" i="1"/>
  <c r="E15821" i="1"/>
  <c r="H15820" i="1"/>
  <c r="G15820" i="1"/>
  <c r="E15820" i="1"/>
  <c r="H15819" i="1"/>
  <c r="G15819" i="1"/>
  <c r="E15819" i="1"/>
  <c r="H15818" i="1"/>
  <c r="G15818" i="1"/>
  <c r="E15818" i="1"/>
  <c r="H15817" i="1"/>
  <c r="G15817" i="1"/>
  <c r="E15817" i="1"/>
  <c r="H15816" i="1"/>
  <c r="G15816" i="1"/>
  <c r="E15816" i="1"/>
  <c r="H15815" i="1"/>
  <c r="G15815" i="1"/>
  <c r="E15815" i="1"/>
  <c r="H15814" i="1"/>
  <c r="G15814" i="1"/>
  <c r="E15814" i="1"/>
  <c r="H15813" i="1"/>
  <c r="G15813" i="1"/>
  <c r="E15813" i="1"/>
  <c r="H15812" i="1"/>
  <c r="G15812" i="1"/>
  <c r="E15812" i="1"/>
  <c r="H15811" i="1"/>
  <c r="G15811" i="1"/>
  <c r="E15811" i="1"/>
  <c r="H15810" i="1"/>
  <c r="G15810" i="1"/>
  <c r="E15810" i="1"/>
  <c r="H15809" i="1"/>
  <c r="G15809" i="1"/>
  <c r="E15809" i="1"/>
  <c r="H15808" i="1"/>
  <c r="G15808" i="1"/>
  <c r="E15808" i="1"/>
  <c r="H15807" i="1"/>
  <c r="G15807" i="1"/>
  <c r="E15807" i="1"/>
  <c r="H15806" i="1"/>
  <c r="G15806" i="1"/>
  <c r="E15806" i="1"/>
  <c r="H15805" i="1"/>
  <c r="G15805" i="1"/>
  <c r="E15805" i="1"/>
  <c r="H15804" i="1"/>
  <c r="G15804" i="1"/>
  <c r="E15804" i="1"/>
  <c r="H15803" i="1"/>
  <c r="G15803" i="1"/>
  <c r="E15803" i="1"/>
  <c r="H15802" i="1"/>
  <c r="G15802" i="1"/>
  <c r="E15802" i="1"/>
  <c r="H15801" i="1"/>
  <c r="G15801" i="1"/>
  <c r="E15801" i="1"/>
  <c r="H15800" i="1"/>
  <c r="G15800" i="1"/>
  <c r="E15800" i="1"/>
  <c r="H15799" i="1"/>
  <c r="G15799" i="1"/>
  <c r="E15799" i="1"/>
  <c r="H15798" i="1"/>
  <c r="G15798" i="1"/>
  <c r="E15798" i="1"/>
  <c r="H15797" i="1"/>
  <c r="G15797" i="1"/>
  <c r="E15797" i="1"/>
  <c r="H15796" i="1"/>
  <c r="G15796" i="1"/>
  <c r="E15796" i="1"/>
  <c r="H15795" i="1"/>
  <c r="G15795" i="1"/>
  <c r="E15795" i="1"/>
  <c r="H15794" i="1"/>
  <c r="G15794" i="1"/>
  <c r="E15794" i="1"/>
  <c r="H15793" i="1"/>
  <c r="G15793" i="1"/>
  <c r="E15793" i="1"/>
  <c r="H15792" i="1"/>
  <c r="G15792" i="1"/>
  <c r="E15792" i="1"/>
  <c r="H15791" i="1"/>
  <c r="G15791" i="1"/>
  <c r="E15791" i="1"/>
  <c r="H15790" i="1"/>
  <c r="G15790" i="1"/>
  <c r="E15790" i="1"/>
  <c r="H15789" i="1"/>
  <c r="G15789" i="1"/>
  <c r="E15789" i="1"/>
  <c r="H15788" i="1"/>
  <c r="G15788" i="1"/>
  <c r="E15788" i="1"/>
  <c r="H15787" i="1"/>
  <c r="G15787" i="1"/>
  <c r="E15787" i="1"/>
  <c r="H15786" i="1"/>
  <c r="G15786" i="1"/>
  <c r="E15786" i="1"/>
  <c r="H15785" i="1"/>
  <c r="G15785" i="1"/>
  <c r="E15785" i="1"/>
  <c r="H15784" i="1"/>
  <c r="G15784" i="1"/>
  <c r="E15784" i="1"/>
  <c r="H15783" i="1"/>
  <c r="G15783" i="1"/>
  <c r="E15783" i="1"/>
  <c r="H15782" i="1"/>
  <c r="G15782" i="1"/>
  <c r="E15782" i="1"/>
  <c r="H15781" i="1"/>
  <c r="G15781" i="1"/>
  <c r="E15781" i="1"/>
  <c r="H15780" i="1"/>
  <c r="G15780" i="1"/>
  <c r="E15780" i="1"/>
  <c r="H15779" i="1"/>
  <c r="G15779" i="1"/>
  <c r="E15779" i="1"/>
  <c r="H15778" i="1"/>
  <c r="G15778" i="1"/>
  <c r="E15778" i="1"/>
  <c r="H15777" i="1"/>
  <c r="G15777" i="1"/>
  <c r="E15777" i="1"/>
  <c r="H15776" i="1"/>
  <c r="G15776" i="1"/>
  <c r="E15776" i="1"/>
  <c r="H15775" i="1"/>
  <c r="G15775" i="1"/>
  <c r="E15775" i="1"/>
  <c r="H15774" i="1"/>
  <c r="G15774" i="1"/>
  <c r="E15774" i="1"/>
  <c r="H15773" i="1"/>
  <c r="G15773" i="1"/>
  <c r="E15773" i="1"/>
  <c r="H15772" i="1"/>
  <c r="G15772" i="1"/>
  <c r="E15772" i="1"/>
  <c r="H15771" i="1"/>
  <c r="G15771" i="1"/>
  <c r="E15771" i="1"/>
  <c r="H15770" i="1"/>
  <c r="G15770" i="1"/>
  <c r="E15770" i="1"/>
  <c r="H15769" i="1"/>
  <c r="G15769" i="1"/>
  <c r="E15769" i="1"/>
  <c r="H15768" i="1"/>
  <c r="G15768" i="1"/>
  <c r="E15768" i="1"/>
  <c r="H15767" i="1"/>
  <c r="G15767" i="1"/>
  <c r="E15767" i="1"/>
  <c r="H15766" i="1"/>
  <c r="G15766" i="1"/>
  <c r="E15766" i="1"/>
  <c r="H15765" i="1"/>
  <c r="G15765" i="1"/>
  <c r="E15765" i="1"/>
  <c r="H15764" i="1"/>
  <c r="G15764" i="1"/>
  <c r="E15764" i="1"/>
  <c r="H15763" i="1"/>
  <c r="G15763" i="1"/>
  <c r="E15763" i="1"/>
  <c r="H15762" i="1"/>
  <c r="G15762" i="1"/>
  <c r="E15762" i="1"/>
  <c r="H15761" i="1"/>
  <c r="G15761" i="1"/>
  <c r="E15761" i="1"/>
  <c r="H15760" i="1"/>
  <c r="G15760" i="1"/>
  <c r="E15760" i="1"/>
  <c r="H15759" i="1"/>
  <c r="G15759" i="1"/>
  <c r="E15759" i="1"/>
  <c r="H15758" i="1"/>
  <c r="G15758" i="1"/>
  <c r="E15758" i="1"/>
  <c r="H15757" i="1"/>
  <c r="G15757" i="1"/>
  <c r="E15757" i="1"/>
  <c r="H15756" i="1"/>
  <c r="G15756" i="1"/>
  <c r="E15756" i="1"/>
  <c r="H15755" i="1"/>
  <c r="G15755" i="1"/>
  <c r="E15755" i="1"/>
  <c r="H15754" i="1"/>
  <c r="G15754" i="1"/>
  <c r="E15754" i="1"/>
  <c r="H15753" i="1"/>
  <c r="G15753" i="1"/>
  <c r="E15753" i="1"/>
  <c r="H15752" i="1"/>
  <c r="G15752" i="1"/>
  <c r="E15752" i="1"/>
  <c r="H15751" i="1"/>
  <c r="G15751" i="1"/>
  <c r="E15751" i="1"/>
  <c r="H15750" i="1"/>
  <c r="G15750" i="1"/>
  <c r="E15750" i="1"/>
  <c r="H15749" i="1"/>
  <c r="G15749" i="1"/>
  <c r="E15749" i="1"/>
  <c r="H15748" i="1"/>
  <c r="G15748" i="1"/>
  <c r="E15748" i="1"/>
  <c r="H15747" i="1"/>
  <c r="G15747" i="1"/>
  <c r="E15747" i="1"/>
  <c r="H15746" i="1"/>
  <c r="G15746" i="1"/>
  <c r="E15746" i="1"/>
  <c r="H15745" i="1"/>
  <c r="G15745" i="1"/>
  <c r="E15745" i="1"/>
  <c r="H15744" i="1"/>
  <c r="G15744" i="1"/>
  <c r="E15744" i="1"/>
  <c r="H15743" i="1"/>
  <c r="G15743" i="1"/>
  <c r="E15743" i="1"/>
  <c r="H15742" i="1"/>
  <c r="G15742" i="1"/>
  <c r="E15742" i="1"/>
  <c r="H15741" i="1"/>
  <c r="G15741" i="1"/>
  <c r="E15741" i="1"/>
  <c r="H15740" i="1"/>
  <c r="G15740" i="1"/>
  <c r="E15740" i="1"/>
  <c r="H15739" i="1"/>
  <c r="G15739" i="1"/>
  <c r="E15739" i="1"/>
  <c r="H15738" i="1"/>
  <c r="G15738" i="1"/>
  <c r="E15738" i="1"/>
  <c r="H15737" i="1"/>
  <c r="G15737" i="1"/>
  <c r="E15737" i="1"/>
  <c r="H15736" i="1"/>
  <c r="G15736" i="1"/>
  <c r="E15736" i="1"/>
  <c r="H15735" i="1"/>
  <c r="G15735" i="1"/>
  <c r="E15735" i="1"/>
  <c r="H15734" i="1"/>
  <c r="G15734" i="1"/>
  <c r="E15734" i="1"/>
  <c r="H15733" i="1"/>
  <c r="G15733" i="1"/>
  <c r="E15733" i="1"/>
  <c r="H15732" i="1"/>
  <c r="G15732" i="1"/>
  <c r="E15732" i="1"/>
  <c r="H15731" i="1"/>
  <c r="G15731" i="1"/>
  <c r="E15731" i="1"/>
  <c r="H15730" i="1"/>
  <c r="G15730" i="1"/>
  <c r="E15730" i="1"/>
  <c r="H15729" i="1"/>
  <c r="G15729" i="1"/>
  <c r="E15729" i="1"/>
  <c r="H15728" i="1"/>
  <c r="G15728" i="1"/>
  <c r="E15728" i="1"/>
  <c r="H15727" i="1"/>
  <c r="G15727" i="1"/>
  <c r="E15727" i="1"/>
  <c r="H15726" i="1"/>
  <c r="G15726" i="1"/>
  <c r="E15726" i="1"/>
  <c r="H15725" i="1"/>
  <c r="G15725" i="1"/>
  <c r="E15725" i="1"/>
  <c r="H15724" i="1"/>
  <c r="G15724" i="1"/>
  <c r="E15724" i="1"/>
  <c r="H15723" i="1"/>
  <c r="G15723" i="1"/>
  <c r="E15723" i="1"/>
  <c r="H15722" i="1"/>
  <c r="G15722" i="1"/>
  <c r="E15722" i="1"/>
  <c r="H15721" i="1"/>
  <c r="G15721" i="1"/>
  <c r="E15721" i="1"/>
  <c r="H15720" i="1"/>
  <c r="G15720" i="1"/>
  <c r="E15720" i="1"/>
  <c r="H15719" i="1"/>
  <c r="G15719" i="1"/>
  <c r="E15719" i="1"/>
  <c r="H15718" i="1"/>
  <c r="G15718" i="1"/>
  <c r="E15718" i="1"/>
  <c r="H15717" i="1"/>
  <c r="G15717" i="1"/>
  <c r="E15717" i="1"/>
  <c r="H15716" i="1"/>
  <c r="G15716" i="1"/>
  <c r="E15716" i="1"/>
  <c r="H15715" i="1"/>
  <c r="G15715" i="1"/>
  <c r="E15715" i="1"/>
  <c r="H15714" i="1"/>
  <c r="G15714" i="1"/>
  <c r="E15714" i="1"/>
  <c r="H15713" i="1"/>
  <c r="G15713" i="1"/>
  <c r="E15713" i="1"/>
  <c r="H15712" i="1"/>
  <c r="G15712" i="1"/>
  <c r="E15712" i="1"/>
  <c r="H15711" i="1"/>
  <c r="G15711" i="1"/>
  <c r="E15711" i="1"/>
  <c r="H15710" i="1"/>
  <c r="G15710" i="1"/>
  <c r="E15710" i="1"/>
  <c r="H15709" i="1"/>
  <c r="G15709" i="1"/>
  <c r="E15709" i="1"/>
  <c r="H15708" i="1"/>
  <c r="G15708" i="1"/>
  <c r="E15708" i="1"/>
  <c r="H15707" i="1"/>
  <c r="G15707" i="1"/>
  <c r="E15707" i="1"/>
  <c r="H15706" i="1"/>
  <c r="G15706" i="1"/>
  <c r="E15706" i="1"/>
  <c r="H15705" i="1"/>
  <c r="G15705" i="1"/>
  <c r="E15705" i="1"/>
  <c r="H15704" i="1"/>
  <c r="G15704" i="1"/>
  <c r="E15704" i="1"/>
  <c r="H15703" i="1"/>
  <c r="G15703" i="1"/>
  <c r="E15703" i="1"/>
  <c r="H15702" i="1"/>
  <c r="G15702" i="1"/>
  <c r="E15702" i="1"/>
  <c r="H15701" i="1"/>
  <c r="G15701" i="1"/>
  <c r="E15701" i="1"/>
  <c r="H15700" i="1"/>
  <c r="G15700" i="1"/>
  <c r="E15700" i="1"/>
  <c r="H15699" i="1"/>
  <c r="G15699" i="1"/>
  <c r="E15699" i="1"/>
  <c r="H15698" i="1"/>
  <c r="G15698" i="1"/>
  <c r="E15698" i="1"/>
  <c r="H15697" i="1"/>
  <c r="G15697" i="1"/>
  <c r="E15697" i="1"/>
  <c r="H15696" i="1"/>
  <c r="G15696" i="1"/>
  <c r="E15696" i="1"/>
  <c r="H15695" i="1"/>
  <c r="G15695" i="1"/>
  <c r="E15695" i="1"/>
  <c r="H15694" i="1"/>
  <c r="G15694" i="1"/>
  <c r="E15694" i="1"/>
  <c r="H15693" i="1"/>
  <c r="G15693" i="1"/>
  <c r="E15693" i="1"/>
  <c r="H15692" i="1"/>
  <c r="G15692" i="1"/>
  <c r="E15692" i="1"/>
  <c r="H15691" i="1"/>
  <c r="G15691" i="1"/>
  <c r="E15691" i="1"/>
  <c r="H15690" i="1"/>
  <c r="G15690" i="1"/>
  <c r="E15690" i="1"/>
  <c r="H15689" i="1"/>
  <c r="G15689" i="1"/>
  <c r="E15689" i="1"/>
  <c r="H15688" i="1"/>
  <c r="G15688" i="1"/>
  <c r="E15688" i="1"/>
  <c r="H15687" i="1"/>
  <c r="G15687" i="1"/>
  <c r="E15687" i="1"/>
  <c r="H15686" i="1"/>
  <c r="G15686" i="1"/>
  <c r="E15686" i="1"/>
  <c r="H15685" i="1"/>
  <c r="G15685" i="1"/>
  <c r="E15685" i="1"/>
  <c r="H15684" i="1"/>
  <c r="G15684" i="1"/>
  <c r="E15684" i="1"/>
  <c r="H15683" i="1"/>
  <c r="G15683" i="1"/>
  <c r="E15683" i="1"/>
  <c r="H15682" i="1"/>
  <c r="G15682" i="1"/>
  <c r="E15682" i="1"/>
  <c r="H15681" i="1"/>
  <c r="G15681" i="1"/>
  <c r="E15681" i="1"/>
  <c r="H15680" i="1"/>
  <c r="G15680" i="1"/>
  <c r="E15680" i="1"/>
  <c r="H15679" i="1"/>
  <c r="G15679" i="1"/>
  <c r="E15679" i="1"/>
  <c r="H15678" i="1"/>
  <c r="G15678" i="1"/>
  <c r="E15678" i="1"/>
  <c r="H15677" i="1"/>
  <c r="G15677" i="1"/>
  <c r="E15677" i="1"/>
  <c r="H15676" i="1"/>
  <c r="G15676" i="1"/>
  <c r="E15676" i="1"/>
  <c r="H15675" i="1"/>
  <c r="G15675" i="1"/>
  <c r="E15675" i="1"/>
  <c r="H15674" i="1"/>
  <c r="G15674" i="1"/>
  <c r="E15674" i="1"/>
  <c r="H15673" i="1"/>
  <c r="G15673" i="1"/>
  <c r="E15673" i="1"/>
  <c r="H15672" i="1"/>
  <c r="G15672" i="1"/>
  <c r="E15672" i="1"/>
  <c r="H15671" i="1"/>
  <c r="G15671" i="1"/>
  <c r="E15671" i="1"/>
  <c r="H15670" i="1"/>
  <c r="G15670" i="1"/>
  <c r="E15670" i="1"/>
  <c r="H15669" i="1"/>
  <c r="G15669" i="1"/>
  <c r="E15669" i="1"/>
  <c r="H15668" i="1"/>
  <c r="G15668" i="1"/>
  <c r="E15668" i="1"/>
  <c r="H15667" i="1"/>
  <c r="G15667" i="1"/>
  <c r="E15667" i="1"/>
  <c r="H15666" i="1"/>
  <c r="G15666" i="1"/>
  <c r="E15666" i="1"/>
  <c r="H15665" i="1"/>
  <c r="G15665" i="1"/>
  <c r="E15665" i="1"/>
  <c r="H15664" i="1"/>
  <c r="G15664" i="1"/>
  <c r="E15664" i="1"/>
  <c r="H15663" i="1"/>
  <c r="G15663" i="1"/>
  <c r="E15663" i="1"/>
  <c r="H15662" i="1"/>
  <c r="G15662" i="1"/>
  <c r="E15662" i="1"/>
  <c r="H15661" i="1"/>
  <c r="G15661" i="1"/>
  <c r="E15661" i="1"/>
  <c r="H15660" i="1"/>
  <c r="G15660" i="1"/>
  <c r="E15660" i="1"/>
  <c r="H15659" i="1"/>
  <c r="G15659" i="1"/>
  <c r="E15659" i="1"/>
  <c r="H15658" i="1"/>
  <c r="G15658" i="1"/>
  <c r="E15658" i="1"/>
  <c r="H15657" i="1"/>
  <c r="G15657" i="1"/>
  <c r="E15657" i="1"/>
  <c r="H15656" i="1"/>
  <c r="G15656" i="1"/>
  <c r="E15656" i="1"/>
  <c r="H15655" i="1"/>
  <c r="G15655" i="1"/>
  <c r="E15655" i="1"/>
  <c r="H15654" i="1"/>
  <c r="G15654" i="1"/>
  <c r="E15654" i="1"/>
  <c r="H15653" i="1"/>
  <c r="G15653" i="1"/>
  <c r="E15653" i="1"/>
  <c r="H15652" i="1"/>
  <c r="G15652" i="1"/>
  <c r="E15652" i="1"/>
  <c r="H15651" i="1"/>
  <c r="G15651" i="1"/>
  <c r="E15651" i="1"/>
  <c r="H15650" i="1"/>
  <c r="G15650" i="1"/>
  <c r="E15650" i="1"/>
  <c r="H15649" i="1"/>
  <c r="G15649" i="1"/>
  <c r="E15649" i="1"/>
  <c r="H15648" i="1"/>
  <c r="G15648" i="1"/>
  <c r="E15648" i="1"/>
  <c r="H15647" i="1"/>
  <c r="G15647" i="1"/>
  <c r="E15647" i="1"/>
  <c r="H15646" i="1"/>
  <c r="G15646" i="1"/>
  <c r="E15646" i="1"/>
  <c r="H15645" i="1"/>
  <c r="G15645" i="1"/>
  <c r="E15645" i="1"/>
  <c r="H15644" i="1"/>
  <c r="G15644" i="1"/>
  <c r="E15644" i="1"/>
  <c r="H15643" i="1"/>
  <c r="G15643" i="1"/>
  <c r="E15643" i="1"/>
  <c r="H15642" i="1"/>
  <c r="G15642" i="1"/>
  <c r="E15642" i="1"/>
  <c r="H15641" i="1"/>
  <c r="G15641" i="1"/>
  <c r="E15641" i="1"/>
  <c r="H15640" i="1"/>
  <c r="G15640" i="1"/>
  <c r="E15640" i="1"/>
  <c r="H15639" i="1"/>
  <c r="G15639" i="1"/>
  <c r="E15639" i="1"/>
  <c r="H15638" i="1"/>
  <c r="G15638" i="1"/>
  <c r="E15638" i="1"/>
  <c r="H15637" i="1"/>
  <c r="G15637" i="1"/>
  <c r="E15637" i="1"/>
  <c r="H15636" i="1"/>
  <c r="G15636" i="1"/>
  <c r="E15636" i="1"/>
  <c r="H15635" i="1"/>
  <c r="G15635" i="1"/>
  <c r="E15635" i="1"/>
  <c r="H15634" i="1"/>
  <c r="G15634" i="1"/>
  <c r="E15634" i="1"/>
  <c r="H15633" i="1"/>
  <c r="G15633" i="1"/>
  <c r="E15633" i="1"/>
  <c r="H15632" i="1"/>
  <c r="G15632" i="1"/>
  <c r="E15632" i="1"/>
  <c r="H15631" i="1"/>
  <c r="G15631" i="1"/>
  <c r="E15631" i="1"/>
  <c r="H15630" i="1"/>
  <c r="G15630" i="1"/>
  <c r="E15630" i="1"/>
  <c r="H15629" i="1"/>
  <c r="G15629" i="1"/>
  <c r="E15629" i="1"/>
  <c r="H15628" i="1"/>
  <c r="G15628" i="1"/>
  <c r="E15628" i="1"/>
  <c r="H15627" i="1"/>
  <c r="G15627" i="1"/>
  <c r="E15627" i="1"/>
  <c r="H15626" i="1"/>
  <c r="G15626" i="1"/>
  <c r="E15626" i="1"/>
  <c r="H15625" i="1"/>
  <c r="G15625" i="1"/>
  <c r="E15625" i="1"/>
  <c r="H15624" i="1"/>
  <c r="G15624" i="1"/>
  <c r="E15624" i="1"/>
  <c r="H15623" i="1"/>
  <c r="G15623" i="1"/>
  <c r="E15623" i="1"/>
  <c r="H15622" i="1"/>
  <c r="G15622" i="1"/>
  <c r="E15622" i="1"/>
  <c r="H15621" i="1"/>
  <c r="G15621" i="1"/>
  <c r="E15621" i="1"/>
  <c r="H15620" i="1"/>
  <c r="G15620" i="1"/>
  <c r="E15620" i="1"/>
  <c r="H15619" i="1"/>
  <c r="G15619" i="1"/>
  <c r="E15619" i="1"/>
  <c r="H15618" i="1"/>
  <c r="G15618" i="1"/>
  <c r="E15618" i="1"/>
  <c r="H15617" i="1"/>
  <c r="G15617" i="1"/>
  <c r="E15617" i="1"/>
  <c r="H15616" i="1"/>
  <c r="G15616" i="1"/>
  <c r="E15616" i="1"/>
  <c r="H15615" i="1"/>
  <c r="G15615" i="1"/>
  <c r="E15615" i="1"/>
  <c r="H15614" i="1"/>
  <c r="G15614" i="1"/>
  <c r="E15614" i="1"/>
  <c r="H15613" i="1"/>
  <c r="G15613" i="1"/>
  <c r="E15613" i="1"/>
  <c r="H15612" i="1"/>
  <c r="G15612" i="1"/>
  <c r="E15612" i="1"/>
  <c r="H15611" i="1"/>
  <c r="G15611" i="1"/>
  <c r="E15611" i="1"/>
  <c r="H15610" i="1"/>
  <c r="G15610" i="1"/>
  <c r="E15610" i="1"/>
  <c r="H15609" i="1"/>
  <c r="G15609" i="1"/>
  <c r="E15609" i="1"/>
  <c r="H15608" i="1"/>
  <c r="G15608" i="1"/>
  <c r="E15608" i="1"/>
  <c r="H15607" i="1"/>
  <c r="G15607" i="1"/>
  <c r="E15607" i="1"/>
  <c r="H15606" i="1"/>
  <c r="G15606" i="1"/>
  <c r="E15606" i="1"/>
  <c r="H15605" i="1"/>
  <c r="G15605" i="1"/>
  <c r="E15605" i="1"/>
  <c r="H15604" i="1"/>
  <c r="G15604" i="1"/>
  <c r="E15604" i="1"/>
  <c r="H15603" i="1"/>
  <c r="G15603" i="1"/>
  <c r="E15603" i="1"/>
  <c r="H15602" i="1"/>
  <c r="G15602" i="1"/>
  <c r="E15602" i="1"/>
  <c r="H15601" i="1"/>
  <c r="G15601" i="1"/>
  <c r="E15601" i="1"/>
  <c r="H15600" i="1"/>
  <c r="G15600" i="1"/>
  <c r="E15600" i="1"/>
  <c r="H15599" i="1"/>
  <c r="G15599" i="1"/>
  <c r="E15599" i="1"/>
  <c r="H15598" i="1"/>
  <c r="G15598" i="1"/>
  <c r="E15598" i="1"/>
  <c r="H15597" i="1"/>
  <c r="G15597" i="1"/>
  <c r="E15597" i="1"/>
  <c r="H15596" i="1"/>
  <c r="G15596" i="1"/>
  <c r="E15596" i="1"/>
  <c r="H15595" i="1"/>
  <c r="G15595" i="1"/>
  <c r="E15595" i="1"/>
  <c r="H15594" i="1"/>
  <c r="G15594" i="1"/>
  <c r="E15594" i="1"/>
  <c r="H15593" i="1"/>
  <c r="G15593" i="1"/>
  <c r="E15593" i="1"/>
  <c r="H15592" i="1"/>
  <c r="G15592" i="1"/>
  <c r="E15592" i="1"/>
  <c r="H15591" i="1"/>
  <c r="G15591" i="1"/>
  <c r="E15591" i="1"/>
  <c r="H15590" i="1"/>
  <c r="G15590" i="1"/>
  <c r="E15590" i="1"/>
  <c r="H15589" i="1"/>
  <c r="G15589" i="1"/>
  <c r="E15589" i="1"/>
  <c r="H15588" i="1"/>
  <c r="G15588" i="1"/>
  <c r="E15588" i="1"/>
  <c r="H15587" i="1"/>
  <c r="G15587" i="1"/>
  <c r="E15587" i="1"/>
  <c r="H15586" i="1"/>
  <c r="G15586" i="1"/>
  <c r="E15586" i="1"/>
  <c r="H15585" i="1"/>
  <c r="G15585" i="1"/>
  <c r="E15585" i="1"/>
  <c r="H15584" i="1"/>
  <c r="G15584" i="1"/>
  <c r="E15584" i="1"/>
  <c r="H15583" i="1"/>
  <c r="G15583" i="1"/>
  <c r="E15583" i="1"/>
  <c r="H15582" i="1"/>
  <c r="G15582" i="1"/>
  <c r="E15582" i="1"/>
  <c r="H15581" i="1"/>
  <c r="G15581" i="1"/>
  <c r="E15581" i="1"/>
  <c r="H15580" i="1"/>
  <c r="G15580" i="1"/>
  <c r="E15580" i="1"/>
  <c r="H15579" i="1"/>
  <c r="G15579" i="1"/>
  <c r="E15579" i="1"/>
  <c r="H15578" i="1"/>
  <c r="G15578" i="1"/>
  <c r="E15578" i="1"/>
  <c r="H15577" i="1"/>
  <c r="G15577" i="1"/>
  <c r="E15577" i="1"/>
  <c r="H15576" i="1"/>
  <c r="G15576" i="1"/>
  <c r="E15576" i="1"/>
  <c r="H15575" i="1"/>
  <c r="G15575" i="1"/>
  <c r="E15575" i="1"/>
  <c r="H15574" i="1"/>
  <c r="G15574" i="1"/>
  <c r="E15574" i="1"/>
  <c r="H15573" i="1"/>
  <c r="G15573" i="1"/>
  <c r="E15573" i="1"/>
  <c r="H15572" i="1"/>
  <c r="G15572" i="1"/>
  <c r="E15572" i="1"/>
  <c r="H15571" i="1"/>
  <c r="G15571" i="1"/>
  <c r="E15571" i="1"/>
  <c r="H15570" i="1"/>
  <c r="G15570" i="1"/>
  <c r="E15570" i="1"/>
  <c r="H15569" i="1"/>
  <c r="G15569" i="1"/>
  <c r="E15569" i="1"/>
  <c r="H15568" i="1"/>
  <c r="G15568" i="1"/>
  <c r="E15568" i="1"/>
  <c r="H15567" i="1"/>
  <c r="G15567" i="1"/>
  <c r="E15567" i="1"/>
  <c r="H15566" i="1"/>
  <c r="G15566" i="1"/>
  <c r="E15566" i="1"/>
  <c r="H15565" i="1"/>
  <c r="G15565" i="1"/>
  <c r="E15565" i="1"/>
  <c r="H15564" i="1"/>
  <c r="G15564" i="1"/>
  <c r="E15564" i="1"/>
  <c r="H15563" i="1"/>
  <c r="G15563" i="1"/>
  <c r="E15563" i="1"/>
  <c r="H15562" i="1"/>
  <c r="G15562" i="1"/>
  <c r="E15562" i="1"/>
  <c r="H15561" i="1"/>
  <c r="G15561" i="1"/>
  <c r="E15561" i="1"/>
  <c r="H15560" i="1"/>
  <c r="G15560" i="1"/>
  <c r="E15560" i="1"/>
  <c r="H15559" i="1"/>
  <c r="G15559" i="1"/>
  <c r="E15559" i="1"/>
  <c r="H15558" i="1"/>
  <c r="G15558" i="1"/>
  <c r="E15558" i="1"/>
  <c r="H15557" i="1"/>
  <c r="G15557" i="1"/>
  <c r="E15557" i="1"/>
  <c r="H15556" i="1"/>
  <c r="G15556" i="1"/>
  <c r="E15556" i="1"/>
  <c r="H15555" i="1"/>
  <c r="G15555" i="1"/>
  <c r="E15555" i="1"/>
  <c r="H15554" i="1"/>
  <c r="G15554" i="1"/>
  <c r="E15554" i="1"/>
  <c r="H15553" i="1"/>
  <c r="G15553" i="1"/>
  <c r="E15553" i="1"/>
  <c r="H15552" i="1"/>
  <c r="G15552" i="1"/>
  <c r="E15552" i="1"/>
  <c r="H15551" i="1"/>
  <c r="G15551" i="1"/>
  <c r="E15551" i="1"/>
  <c r="H15550" i="1"/>
  <c r="G15550" i="1"/>
  <c r="E15550" i="1"/>
  <c r="H15549" i="1"/>
  <c r="G15549" i="1"/>
  <c r="E15549" i="1"/>
  <c r="H15548" i="1"/>
  <c r="G15548" i="1"/>
  <c r="E15548" i="1"/>
  <c r="H15547" i="1"/>
  <c r="G15547" i="1"/>
  <c r="E15547" i="1"/>
  <c r="H15546" i="1"/>
  <c r="G15546" i="1"/>
  <c r="E15546" i="1"/>
  <c r="H15545" i="1"/>
  <c r="G15545" i="1"/>
  <c r="E15545" i="1"/>
  <c r="H15544" i="1"/>
  <c r="G15544" i="1"/>
  <c r="E15544" i="1"/>
  <c r="H15543" i="1"/>
  <c r="G15543" i="1"/>
  <c r="E15543" i="1"/>
  <c r="H15542" i="1"/>
  <c r="G15542" i="1"/>
  <c r="E15542" i="1"/>
  <c r="H15541" i="1"/>
  <c r="G15541" i="1"/>
  <c r="E15541" i="1"/>
  <c r="H15540" i="1"/>
  <c r="G15540" i="1"/>
  <c r="E15540" i="1"/>
  <c r="H15539" i="1"/>
  <c r="G15539" i="1"/>
  <c r="E15539" i="1"/>
  <c r="H15538" i="1"/>
  <c r="G15538" i="1"/>
  <c r="E15538" i="1"/>
  <c r="H15537" i="1"/>
  <c r="G15537" i="1"/>
  <c r="E15537" i="1"/>
  <c r="H15536" i="1"/>
  <c r="G15536" i="1"/>
  <c r="E15536" i="1"/>
  <c r="H15535" i="1"/>
  <c r="G15535" i="1"/>
  <c r="E15535" i="1"/>
  <c r="H15534" i="1"/>
  <c r="G15534" i="1"/>
  <c r="E15534" i="1"/>
  <c r="H15533" i="1"/>
  <c r="G15533" i="1"/>
  <c r="E15533" i="1"/>
  <c r="H15532" i="1"/>
  <c r="G15532" i="1"/>
  <c r="E15532" i="1"/>
  <c r="H15531" i="1"/>
  <c r="G15531" i="1"/>
  <c r="E15531" i="1"/>
  <c r="H15530" i="1"/>
  <c r="G15530" i="1"/>
  <c r="E15530" i="1"/>
  <c r="H15529" i="1"/>
  <c r="G15529" i="1"/>
  <c r="E15529" i="1"/>
  <c r="H15528" i="1"/>
  <c r="G15528" i="1"/>
  <c r="E15528" i="1"/>
  <c r="H15527" i="1"/>
  <c r="G15527" i="1"/>
  <c r="E15527" i="1"/>
  <c r="H15526" i="1"/>
  <c r="G15526" i="1"/>
  <c r="E15526" i="1"/>
  <c r="H15525" i="1"/>
  <c r="G15525" i="1"/>
  <c r="E15525" i="1"/>
  <c r="H15524" i="1"/>
  <c r="G15524" i="1"/>
  <c r="E15524" i="1"/>
  <c r="H15523" i="1"/>
  <c r="G15523" i="1"/>
  <c r="E15523" i="1"/>
  <c r="H15522" i="1"/>
  <c r="G15522" i="1"/>
  <c r="E15522" i="1"/>
  <c r="H15521" i="1"/>
  <c r="G15521" i="1"/>
  <c r="E15521" i="1"/>
  <c r="H15520" i="1"/>
  <c r="G15520" i="1"/>
  <c r="E15520" i="1"/>
  <c r="H15519" i="1"/>
  <c r="G15519" i="1"/>
  <c r="E15519" i="1"/>
  <c r="H15518" i="1"/>
  <c r="G15518" i="1"/>
  <c r="E15518" i="1"/>
  <c r="H15517" i="1"/>
  <c r="G15517" i="1"/>
  <c r="E15517" i="1"/>
  <c r="H15516" i="1"/>
  <c r="G15516" i="1"/>
  <c r="E15516" i="1"/>
  <c r="H15515" i="1"/>
  <c r="G15515" i="1"/>
  <c r="E15515" i="1"/>
  <c r="H15514" i="1"/>
  <c r="G15514" i="1"/>
  <c r="E15514" i="1"/>
  <c r="H15513" i="1"/>
  <c r="G15513" i="1"/>
  <c r="E15513" i="1"/>
  <c r="H15512" i="1"/>
  <c r="G15512" i="1"/>
  <c r="E15512" i="1"/>
  <c r="H15511" i="1"/>
  <c r="G15511" i="1"/>
  <c r="E15511" i="1"/>
  <c r="H15510" i="1"/>
  <c r="G15510" i="1"/>
  <c r="E15510" i="1"/>
  <c r="H15509" i="1"/>
  <c r="G15509" i="1"/>
  <c r="E15509" i="1"/>
  <c r="H15508" i="1"/>
  <c r="G15508" i="1"/>
  <c r="E15508" i="1"/>
  <c r="H15507" i="1"/>
  <c r="G15507" i="1"/>
  <c r="E15507" i="1"/>
  <c r="H15506" i="1"/>
  <c r="G15506" i="1"/>
  <c r="E15506" i="1"/>
  <c r="H15505" i="1"/>
  <c r="G15505" i="1"/>
  <c r="E15505" i="1"/>
  <c r="H15504" i="1"/>
  <c r="G15504" i="1"/>
  <c r="E15504" i="1"/>
  <c r="H15503" i="1"/>
  <c r="G15503" i="1"/>
  <c r="E15503" i="1"/>
  <c r="H15502" i="1"/>
  <c r="G15502" i="1"/>
  <c r="E15502" i="1"/>
  <c r="H15501" i="1"/>
  <c r="G15501" i="1"/>
  <c r="E15501" i="1"/>
  <c r="H15500" i="1"/>
  <c r="G15500" i="1"/>
  <c r="E15500" i="1"/>
  <c r="H15499" i="1"/>
  <c r="G15499" i="1"/>
  <c r="E15499" i="1"/>
  <c r="H15498" i="1"/>
  <c r="G15498" i="1"/>
  <c r="E15498" i="1"/>
  <c r="H15497" i="1"/>
  <c r="G15497" i="1"/>
  <c r="E15497" i="1"/>
  <c r="H15496" i="1"/>
  <c r="G15496" i="1"/>
  <c r="E15496" i="1"/>
  <c r="H15495" i="1"/>
  <c r="G15495" i="1"/>
  <c r="E15495" i="1"/>
  <c r="H15494" i="1"/>
  <c r="G15494" i="1"/>
  <c r="E15494" i="1"/>
  <c r="H15493" i="1"/>
  <c r="G15493" i="1"/>
  <c r="E15493" i="1"/>
  <c r="H15492" i="1"/>
  <c r="G15492" i="1"/>
  <c r="E15492" i="1"/>
  <c r="H15491" i="1"/>
  <c r="G15491" i="1"/>
  <c r="E15491" i="1"/>
  <c r="H15490" i="1"/>
  <c r="G15490" i="1"/>
  <c r="E15490" i="1"/>
  <c r="H15489" i="1"/>
  <c r="G15489" i="1"/>
  <c r="E15489" i="1"/>
  <c r="H15488" i="1"/>
  <c r="G15488" i="1"/>
  <c r="E15488" i="1"/>
  <c r="H15487" i="1"/>
  <c r="G15487" i="1"/>
  <c r="E15487" i="1"/>
  <c r="H15486" i="1"/>
  <c r="G15486" i="1"/>
  <c r="E15486" i="1"/>
  <c r="H15485" i="1"/>
  <c r="G15485" i="1"/>
  <c r="E15485" i="1"/>
  <c r="H15484" i="1"/>
  <c r="G15484" i="1"/>
  <c r="E15484" i="1"/>
  <c r="H15483" i="1"/>
  <c r="G15483" i="1"/>
  <c r="E15483" i="1"/>
  <c r="H15482" i="1"/>
  <c r="G15482" i="1"/>
  <c r="E15482" i="1"/>
  <c r="H15481" i="1"/>
  <c r="G15481" i="1"/>
  <c r="E15481" i="1"/>
  <c r="H15480" i="1"/>
  <c r="G15480" i="1"/>
  <c r="E15480" i="1"/>
  <c r="H15479" i="1"/>
  <c r="G15479" i="1"/>
  <c r="E15479" i="1"/>
  <c r="H15478" i="1"/>
  <c r="G15478" i="1"/>
  <c r="E15478" i="1"/>
  <c r="H15477" i="1"/>
  <c r="G15477" i="1"/>
  <c r="E15477" i="1"/>
  <c r="H15476" i="1"/>
  <c r="G15476" i="1"/>
  <c r="E15476" i="1"/>
  <c r="H15475" i="1"/>
  <c r="G15475" i="1"/>
  <c r="E15475" i="1"/>
  <c r="H15474" i="1"/>
  <c r="G15474" i="1"/>
  <c r="E15474" i="1"/>
  <c r="H15473" i="1"/>
  <c r="G15473" i="1"/>
  <c r="E15473" i="1"/>
  <c r="H15472" i="1"/>
  <c r="G15472" i="1"/>
  <c r="E15472" i="1"/>
  <c r="H15471" i="1"/>
  <c r="G15471" i="1"/>
  <c r="E15471" i="1"/>
  <c r="H15470" i="1"/>
  <c r="G15470" i="1"/>
  <c r="E15470" i="1"/>
  <c r="H15469" i="1"/>
  <c r="G15469" i="1"/>
  <c r="E15469" i="1"/>
  <c r="H15468" i="1"/>
  <c r="G15468" i="1"/>
  <c r="E15468" i="1"/>
  <c r="H15467" i="1"/>
  <c r="G15467" i="1"/>
  <c r="E15467" i="1"/>
  <c r="H15466" i="1"/>
  <c r="G15466" i="1"/>
  <c r="E15466" i="1"/>
  <c r="H15465" i="1"/>
  <c r="G15465" i="1"/>
  <c r="E15465" i="1"/>
  <c r="H15464" i="1"/>
  <c r="G15464" i="1"/>
  <c r="E15464" i="1"/>
  <c r="H15463" i="1"/>
  <c r="G15463" i="1"/>
  <c r="E15463" i="1"/>
  <c r="H15462" i="1"/>
  <c r="G15462" i="1"/>
  <c r="E15462" i="1"/>
  <c r="H15461" i="1"/>
  <c r="G15461" i="1"/>
  <c r="E15461" i="1"/>
  <c r="H15460" i="1"/>
  <c r="G15460" i="1"/>
  <c r="E15460" i="1"/>
  <c r="H15459" i="1"/>
  <c r="G15459" i="1"/>
  <c r="E15459" i="1"/>
  <c r="H15458" i="1"/>
  <c r="G15458" i="1"/>
  <c r="E15458" i="1"/>
  <c r="H15457" i="1"/>
  <c r="G15457" i="1"/>
  <c r="E15457" i="1"/>
  <c r="H15456" i="1"/>
  <c r="G15456" i="1"/>
  <c r="E15456" i="1"/>
  <c r="H15455" i="1"/>
  <c r="G15455" i="1"/>
  <c r="E15455" i="1"/>
  <c r="H15454" i="1"/>
  <c r="G15454" i="1"/>
  <c r="E15454" i="1"/>
  <c r="H15453" i="1"/>
  <c r="G15453" i="1"/>
  <c r="E15453" i="1"/>
  <c r="H15452" i="1"/>
  <c r="G15452" i="1"/>
  <c r="E15452" i="1"/>
  <c r="H15451" i="1"/>
  <c r="G15451" i="1"/>
  <c r="E15451" i="1"/>
  <c r="H15450" i="1"/>
  <c r="G15450" i="1"/>
  <c r="E15450" i="1"/>
  <c r="H15449" i="1"/>
  <c r="G15449" i="1"/>
  <c r="E15449" i="1"/>
  <c r="H15448" i="1"/>
  <c r="G15448" i="1"/>
  <c r="E15448" i="1"/>
  <c r="H15447" i="1"/>
  <c r="G15447" i="1"/>
  <c r="E15447" i="1"/>
  <c r="H15446" i="1"/>
  <c r="G15446" i="1"/>
  <c r="E15446" i="1"/>
  <c r="H15445" i="1"/>
  <c r="G15445" i="1"/>
  <c r="E15445" i="1"/>
  <c r="H15444" i="1"/>
  <c r="G15444" i="1"/>
  <c r="E15444" i="1"/>
  <c r="H15443" i="1"/>
  <c r="G15443" i="1"/>
  <c r="E15443" i="1"/>
  <c r="H15442" i="1"/>
  <c r="G15442" i="1"/>
  <c r="E15442" i="1"/>
  <c r="H15441" i="1"/>
  <c r="G15441" i="1"/>
  <c r="E15441" i="1"/>
  <c r="H15440" i="1"/>
  <c r="G15440" i="1"/>
  <c r="E15440" i="1"/>
  <c r="H15439" i="1"/>
  <c r="G15439" i="1"/>
  <c r="E15439" i="1"/>
  <c r="H15438" i="1"/>
  <c r="G15438" i="1"/>
  <c r="E15438" i="1"/>
  <c r="H15437" i="1"/>
  <c r="G15437" i="1"/>
  <c r="E15437" i="1"/>
  <c r="H15436" i="1"/>
  <c r="G15436" i="1"/>
  <c r="E15436" i="1"/>
  <c r="H15435" i="1"/>
  <c r="G15435" i="1"/>
  <c r="E15435" i="1"/>
  <c r="H15434" i="1"/>
  <c r="G15434" i="1"/>
  <c r="E15434" i="1"/>
  <c r="H15433" i="1"/>
  <c r="G15433" i="1"/>
  <c r="E15433" i="1"/>
  <c r="H15432" i="1"/>
  <c r="G15432" i="1"/>
  <c r="E15432" i="1"/>
  <c r="H15431" i="1"/>
  <c r="G15431" i="1"/>
  <c r="E15431" i="1"/>
  <c r="H15430" i="1"/>
  <c r="G15430" i="1"/>
  <c r="E15430" i="1"/>
  <c r="H15429" i="1"/>
  <c r="G15429" i="1"/>
  <c r="E15429" i="1"/>
  <c r="H15428" i="1"/>
  <c r="G15428" i="1"/>
  <c r="E15428" i="1"/>
  <c r="H15427" i="1"/>
  <c r="G15427" i="1"/>
  <c r="E15427" i="1"/>
  <c r="H15426" i="1"/>
  <c r="G15426" i="1"/>
  <c r="E15426" i="1"/>
  <c r="H15425" i="1"/>
  <c r="G15425" i="1"/>
  <c r="E15425" i="1"/>
  <c r="H15424" i="1"/>
  <c r="G15424" i="1"/>
  <c r="E15424" i="1"/>
  <c r="H15423" i="1"/>
  <c r="G15423" i="1"/>
  <c r="E15423" i="1"/>
  <c r="H15422" i="1"/>
  <c r="G15422" i="1"/>
  <c r="E15422" i="1"/>
  <c r="H15421" i="1"/>
  <c r="G15421" i="1"/>
  <c r="E15421" i="1"/>
  <c r="H15420" i="1"/>
  <c r="G15420" i="1"/>
  <c r="E15420" i="1"/>
  <c r="H15419" i="1"/>
  <c r="G15419" i="1"/>
  <c r="E15419" i="1"/>
  <c r="H15418" i="1"/>
  <c r="G15418" i="1"/>
  <c r="E15418" i="1"/>
  <c r="H15417" i="1"/>
  <c r="G15417" i="1"/>
  <c r="E15417" i="1"/>
  <c r="H15416" i="1"/>
  <c r="G15416" i="1"/>
  <c r="E15416" i="1"/>
  <c r="H15415" i="1"/>
  <c r="G15415" i="1"/>
  <c r="E15415" i="1"/>
  <c r="H15414" i="1"/>
  <c r="G15414" i="1"/>
  <c r="E15414" i="1"/>
  <c r="H15413" i="1"/>
  <c r="G15413" i="1"/>
  <c r="E15413" i="1"/>
  <c r="H15412" i="1"/>
  <c r="G15412" i="1"/>
  <c r="E15412" i="1"/>
  <c r="H15411" i="1"/>
  <c r="G15411" i="1"/>
  <c r="E15411" i="1"/>
  <c r="H15410" i="1"/>
  <c r="G15410" i="1"/>
  <c r="E15410" i="1"/>
  <c r="H15409" i="1"/>
  <c r="G15409" i="1"/>
  <c r="E15409" i="1"/>
  <c r="H15408" i="1"/>
  <c r="G15408" i="1"/>
  <c r="E15408" i="1"/>
  <c r="H15407" i="1"/>
  <c r="G15407" i="1"/>
  <c r="E15407" i="1"/>
  <c r="H15406" i="1"/>
  <c r="G15406" i="1"/>
  <c r="E15406" i="1"/>
  <c r="H15405" i="1"/>
  <c r="G15405" i="1"/>
  <c r="E15405" i="1"/>
  <c r="H15404" i="1"/>
  <c r="G15404" i="1"/>
  <c r="E15404" i="1"/>
  <c r="H15403" i="1"/>
  <c r="G15403" i="1"/>
  <c r="E15403" i="1"/>
  <c r="H15402" i="1"/>
  <c r="G15402" i="1"/>
  <c r="E15402" i="1"/>
  <c r="H15401" i="1"/>
  <c r="G15401" i="1"/>
  <c r="E15401" i="1"/>
  <c r="H15400" i="1"/>
  <c r="G15400" i="1"/>
  <c r="E15400" i="1"/>
  <c r="H15399" i="1"/>
  <c r="G15399" i="1"/>
  <c r="E15399" i="1"/>
  <c r="H15398" i="1"/>
  <c r="G15398" i="1"/>
  <c r="E15398" i="1"/>
  <c r="H15397" i="1"/>
  <c r="G15397" i="1"/>
  <c r="E15397" i="1"/>
  <c r="H15396" i="1"/>
  <c r="G15396" i="1"/>
  <c r="E15396" i="1"/>
  <c r="H15395" i="1"/>
  <c r="G15395" i="1"/>
  <c r="E15395" i="1"/>
  <c r="H15394" i="1"/>
  <c r="G15394" i="1"/>
  <c r="E15394" i="1"/>
  <c r="H15393" i="1"/>
  <c r="G15393" i="1"/>
  <c r="E15393" i="1"/>
  <c r="H15392" i="1"/>
  <c r="G15392" i="1"/>
  <c r="E15392" i="1"/>
  <c r="H15391" i="1"/>
  <c r="G15391" i="1"/>
  <c r="E15391" i="1"/>
  <c r="H15390" i="1"/>
  <c r="G15390" i="1"/>
  <c r="E15390" i="1"/>
  <c r="H15389" i="1"/>
  <c r="G15389" i="1"/>
  <c r="E15389" i="1"/>
  <c r="H15388" i="1"/>
  <c r="G15388" i="1"/>
  <c r="E15388" i="1"/>
  <c r="H15387" i="1"/>
  <c r="G15387" i="1"/>
  <c r="E15387" i="1"/>
  <c r="H15386" i="1"/>
  <c r="G15386" i="1"/>
  <c r="E15386" i="1"/>
  <c r="H15385" i="1"/>
  <c r="G15385" i="1"/>
  <c r="E15385" i="1"/>
  <c r="H15384" i="1"/>
  <c r="G15384" i="1"/>
  <c r="E15384" i="1"/>
  <c r="H15383" i="1"/>
  <c r="G15383" i="1"/>
  <c r="E15383" i="1"/>
  <c r="H15382" i="1"/>
  <c r="G15382" i="1"/>
  <c r="E15382" i="1"/>
  <c r="H15381" i="1"/>
  <c r="G15381" i="1"/>
  <c r="E15381" i="1"/>
  <c r="H15380" i="1"/>
  <c r="G15380" i="1"/>
  <c r="E15380" i="1"/>
  <c r="H15379" i="1"/>
  <c r="G15379" i="1"/>
  <c r="E15379" i="1"/>
  <c r="H15378" i="1"/>
  <c r="G15378" i="1"/>
  <c r="E15378" i="1"/>
  <c r="H15377" i="1"/>
  <c r="G15377" i="1"/>
  <c r="E15377" i="1"/>
  <c r="H15376" i="1"/>
  <c r="G15376" i="1"/>
  <c r="E15376" i="1"/>
  <c r="H15375" i="1"/>
  <c r="G15375" i="1"/>
  <c r="E15375" i="1"/>
  <c r="H15374" i="1"/>
  <c r="G15374" i="1"/>
  <c r="E15374" i="1"/>
  <c r="H15373" i="1"/>
  <c r="G15373" i="1"/>
  <c r="E15373" i="1"/>
  <c r="H15372" i="1"/>
  <c r="G15372" i="1"/>
  <c r="E15372" i="1"/>
  <c r="H15371" i="1"/>
  <c r="G15371" i="1"/>
  <c r="E15371" i="1"/>
  <c r="H15370" i="1"/>
  <c r="G15370" i="1"/>
  <c r="E15370" i="1"/>
  <c r="H15369" i="1"/>
  <c r="G15369" i="1"/>
  <c r="E15369" i="1"/>
  <c r="H15368" i="1"/>
  <c r="G15368" i="1"/>
  <c r="E15368" i="1"/>
  <c r="H15367" i="1"/>
  <c r="G15367" i="1"/>
  <c r="E15367" i="1"/>
  <c r="H15366" i="1"/>
  <c r="G15366" i="1"/>
  <c r="E15366" i="1"/>
  <c r="H15365" i="1"/>
  <c r="G15365" i="1"/>
  <c r="E15365" i="1"/>
  <c r="H15364" i="1"/>
  <c r="G15364" i="1"/>
  <c r="E15364" i="1"/>
  <c r="H15363" i="1"/>
  <c r="G15363" i="1"/>
  <c r="E15363" i="1"/>
  <c r="H15362" i="1"/>
  <c r="G15362" i="1"/>
  <c r="E15362" i="1"/>
  <c r="H15361" i="1"/>
  <c r="G15361" i="1"/>
  <c r="E15361" i="1"/>
  <c r="H15360" i="1"/>
  <c r="G15360" i="1"/>
  <c r="E15360" i="1"/>
  <c r="H15359" i="1"/>
  <c r="G15359" i="1"/>
  <c r="E15359" i="1"/>
  <c r="H15358" i="1"/>
  <c r="G15358" i="1"/>
  <c r="E15358" i="1"/>
  <c r="H15357" i="1"/>
  <c r="G15357" i="1"/>
  <c r="E15357" i="1"/>
  <c r="H15356" i="1"/>
  <c r="G15356" i="1"/>
  <c r="E15356" i="1"/>
  <c r="H15355" i="1"/>
  <c r="G15355" i="1"/>
  <c r="E15355" i="1"/>
  <c r="H15354" i="1"/>
  <c r="G15354" i="1"/>
  <c r="E15354" i="1"/>
  <c r="H15353" i="1"/>
  <c r="G15353" i="1"/>
  <c r="E15353" i="1"/>
  <c r="H15352" i="1"/>
  <c r="G15352" i="1"/>
  <c r="E15352" i="1"/>
  <c r="H15351" i="1"/>
  <c r="G15351" i="1"/>
  <c r="E15351" i="1"/>
  <c r="H15350" i="1"/>
  <c r="G15350" i="1"/>
  <c r="E15350" i="1"/>
  <c r="H15349" i="1"/>
  <c r="G15349" i="1"/>
  <c r="E15349" i="1"/>
  <c r="H15348" i="1"/>
  <c r="G15348" i="1"/>
  <c r="E15348" i="1"/>
  <c r="H15347" i="1"/>
  <c r="G15347" i="1"/>
  <c r="E15347" i="1"/>
  <c r="H15346" i="1"/>
  <c r="G15346" i="1"/>
  <c r="E15346" i="1"/>
  <c r="H15345" i="1"/>
  <c r="G15345" i="1"/>
  <c r="E15345" i="1"/>
  <c r="H15344" i="1"/>
  <c r="G15344" i="1"/>
  <c r="E15344" i="1"/>
  <c r="H15343" i="1"/>
  <c r="G15343" i="1"/>
  <c r="E15343" i="1"/>
  <c r="H15342" i="1"/>
  <c r="G15342" i="1"/>
  <c r="E15342" i="1"/>
  <c r="H15341" i="1"/>
  <c r="G15341" i="1"/>
  <c r="E15341" i="1"/>
  <c r="H15340" i="1"/>
  <c r="G15340" i="1"/>
  <c r="E15340" i="1"/>
  <c r="H15339" i="1"/>
  <c r="G15339" i="1"/>
  <c r="E15339" i="1"/>
  <c r="H15338" i="1"/>
  <c r="G15338" i="1"/>
  <c r="E15338" i="1"/>
  <c r="H15337" i="1"/>
  <c r="G15337" i="1"/>
  <c r="E15337" i="1"/>
  <c r="H15336" i="1"/>
  <c r="G15336" i="1"/>
  <c r="E15336" i="1"/>
  <c r="H15335" i="1"/>
  <c r="G15335" i="1"/>
  <c r="E15335" i="1"/>
  <c r="H15334" i="1"/>
  <c r="G15334" i="1"/>
  <c r="E15334" i="1"/>
  <c r="H15333" i="1"/>
  <c r="G15333" i="1"/>
  <c r="E15333" i="1"/>
  <c r="H15332" i="1"/>
  <c r="G15332" i="1"/>
  <c r="E15332" i="1"/>
  <c r="H15331" i="1"/>
  <c r="G15331" i="1"/>
  <c r="E15331" i="1"/>
  <c r="H15330" i="1"/>
  <c r="G15330" i="1"/>
  <c r="E15330" i="1"/>
  <c r="H15329" i="1"/>
  <c r="G15329" i="1"/>
  <c r="E15329" i="1"/>
  <c r="H15328" i="1"/>
  <c r="G15328" i="1"/>
  <c r="E15328" i="1"/>
  <c r="H15327" i="1"/>
  <c r="G15327" i="1"/>
  <c r="E15327" i="1"/>
  <c r="H15326" i="1"/>
  <c r="G15326" i="1"/>
  <c r="E15326" i="1"/>
  <c r="H15325" i="1"/>
  <c r="G15325" i="1"/>
  <c r="E15325" i="1"/>
  <c r="H15324" i="1"/>
  <c r="G15324" i="1"/>
  <c r="E15324" i="1"/>
  <c r="H15323" i="1"/>
  <c r="G15323" i="1"/>
  <c r="E15323" i="1"/>
  <c r="H15322" i="1"/>
  <c r="G15322" i="1"/>
  <c r="E15322" i="1"/>
  <c r="H15321" i="1"/>
  <c r="G15321" i="1"/>
  <c r="E15321" i="1"/>
  <c r="H15320" i="1"/>
  <c r="G15320" i="1"/>
  <c r="E15320" i="1"/>
  <c r="H15319" i="1"/>
  <c r="G15319" i="1"/>
  <c r="E15319" i="1"/>
  <c r="H15318" i="1"/>
  <c r="G15318" i="1"/>
  <c r="E15318" i="1"/>
  <c r="H15317" i="1"/>
  <c r="G15317" i="1"/>
  <c r="E15317" i="1"/>
  <c r="H15316" i="1"/>
  <c r="G15316" i="1"/>
  <c r="E15316" i="1"/>
  <c r="H15315" i="1"/>
  <c r="G15315" i="1"/>
  <c r="E15315" i="1"/>
  <c r="H15314" i="1"/>
  <c r="G15314" i="1"/>
  <c r="E15314" i="1"/>
  <c r="H15313" i="1"/>
  <c r="G15313" i="1"/>
  <c r="E15313" i="1"/>
  <c r="H15312" i="1"/>
  <c r="G15312" i="1"/>
  <c r="E15312" i="1"/>
  <c r="H15311" i="1"/>
  <c r="G15311" i="1"/>
  <c r="E15311" i="1"/>
  <c r="H15310" i="1"/>
  <c r="G15310" i="1"/>
  <c r="E15310" i="1"/>
  <c r="H15309" i="1"/>
  <c r="G15309" i="1"/>
  <c r="E15309" i="1"/>
  <c r="H15308" i="1"/>
  <c r="G15308" i="1"/>
  <c r="E15308" i="1"/>
  <c r="H15307" i="1"/>
  <c r="G15307" i="1"/>
  <c r="E15307" i="1"/>
  <c r="H15306" i="1"/>
  <c r="G15306" i="1"/>
  <c r="E15306" i="1"/>
  <c r="H15305" i="1"/>
  <c r="G15305" i="1"/>
  <c r="E15305" i="1"/>
  <c r="H15304" i="1"/>
  <c r="G15304" i="1"/>
  <c r="E15304" i="1"/>
  <c r="H15303" i="1"/>
  <c r="G15303" i="1"/>
  <c r="E15303" i="1"/>
  <c r="H15302" i="1"/>
  <c r="G15302" i="1"/>
  <c r="E15302" i="1"/>
  <c r="H15301" i="1"/>
  <c r="G15301" i="1"/>
  <c r="E15301" i="1"/>
  <c r="H15300" i="1"/>
  <c r="G15300" i="1"/>
  <c r="E15300" i="1"/>
  <c r="H15299" i="1"/>
  <c r="G15299" i="1"/>
  <c r="E15299" i="1"/>
  <c r="H15298" i="1"/>
  <c r="G15298" i="1"/>
  <c r="E15298" i="1"/>
  <c r="H15297" i="1"/>
  <c r="G15297" i="1"/>
  <c r="E15297" i="1"/>
  <c r="H15296" i="1"/>
  <c r="G15296" i="1"/>
  <c r="E15296" i="1"/>
  <c r="H15295" i="1"/>
  <c r="G15295" i="1"/>
  <c r="E15295" i="1"/>
  <c r="H15294" i="1"/>
  <c r="G15294" i="1"/>
  <c r="E15294" i="1"/>
  <c r="H15293" i="1"/>
  <c r="G15293" i="1"/>
  <c r="E15293" i="1"/>
  <c r="H15292" i="1"/>
  <c r="G15292" i="1"/>
  <c r="E15292" i="1"/>
  <c r="H15291" i="1"/>
  <c r="G15291" i="1"/>
  <c r="E15291" i="1"/>
  <c r="H15290" i="1"/>
  <c r="G15290" i="1"/>
  <c r="E15290" i="1"/>
  <c r="H15289" i="1"/>
  <c r="G15289" i="1"/>
  <c r="E15289" i="1"/>
  <c r="H15288" i="1"/>
  <c r="G15288" i="1"/>
  <c r="E15288" i="1"/>
  <c r="H15287" i="1"/>
  <c r="G15287" i="1"/>
  <c r="E15287" i="1"/>
  <c r="H15286" i="1"/>
  <c r="G15286" i="1"/>
  <c r="E15286" i="1"/>
  <c r="H15285" i="1"/>
  <c r="G15285" i="1"/>
  <c r="E15285" i="1"/>
  <c r="H15284" i="1"/>
  <c r="G15284" i="1"/>
  <c r="E15284" i="1"/>
  <c r="H15283" i="1"/>
  <c r="G15283" i="1"/>
  <c r="E15283" i="1"/>
  <c r="H15282" i="1"/>
  <c r="G15282" i="1"/>
  <c r="E15282" i="1"/>
  <c r="H15281" i="1"/>
  <c r="G15281" i="1"/>
  <c r="E15281" i="1"/>
  <c r="H15280" i="1"/>
  <c r="G15280" i="1"/>
  <c r="E15280" i="1"/>
  <c r="H15279" i="1"/>
  <c r="G15279" i="1"/>
  <c r="E15279" i="1"/>
  <c r="H15278" i="1"/>
  <c r="G15278" i="1"/>
  <c r="E15278" i="1"/>
  <c r="H15277" i="1"/>
  <c r="G15277" i="1"/>
  <c r="E15277" i="1"/>
  <c r="H15276" i="1"/>
  <c r="G15276" i="1"/>
  <c r="E15276" i="1"/>
  <c r="H15275" i="1"/>
  <c r="G15275" i="1"/>
  <c r="E15275" i="1"/>
  <c r="H15274" i="1"/>
  <c r="G15274" i="1"/>
  <c r="E15274" i="1"/>
  <c r="H15273" i="1"/>
  <c r="G15273" i="1"/>
  <c r="E15273" i="1"/>
  <c r="H15272" i="1"/>
  <c r="G15272" i="1"/>
  <c r="E15272" i="1"/>
  <c r="H15271" i="1"/>
  <c r="G15271" i="1"/>
  <c r="E15271" i="1"/>
  <c r="H15270" i="1"/>
  <c r="G15270" i="1"/>
  <c r="E15270" i="1"/>
  <c r="H15269" i="1"/>
  <c r="G15269" i="1"/>
  <c r="E15269" i="1"/>
  <c r="H15268" i="1"/>
  <c r="G15268" i="1"/>
  <c r="E15268" i="1"/>
  <c r="H15267" i="1"/>
  <c r="G15267" i="1"/>
  <c r="E15267" i="1"/>
  <c r="H15266" i="1"/>
  <c r="G15266" i="1"/>
  <c r="E15266" i="1"/>
  <c r="H15265" i="1"/>
  <c r="G15265" i="1"/>
  <c r="E15265" i="1"/>
  <c r="H15264" i="1"/>
  <c r="G15264" i="1"/>
  <c r="E15264" i="1"/>
  <c r="H15263" i="1"/>
  <c r="G15263" i="1"/>
  <c r="E15263" i="1"/>
  <c r="H15262" i="1"/>
  <c r="G15262" i="1"/>
  <c r="E15262" i="1"/>
  <c r="H15261" i="1"/>
  <c r="G15261" i="1"/>
  <c r="E15261" i="1"/>
  <c r="H15260" i="1"/>
  <c r="G15260" i="1"/>
  <c r="E15260" i="1"/>
  <c r="H15259" i="1"/>
  <c r="G15259" i="1"/>
  <c r="E15259" i="1"/>
  <c r="H15258" i="1"/>
  <c r="G15258" i="1"/>
  <c r="E15258" i="1"/>
  <c r="H15257" i="1"/>
  <c r="G15257" i="1"/>
  <c r="E15257" i="1"/>
  <c r="H15256" i="1"/>
  <c r="G15256" i="1"/>
  <c r="E15256" i="1"/>
  <c r="H15255" i="1"/>
  <c r="G15255" i="1"/>
  <c r="E15255" i="1"/>
  <c r="H15254" i="1"/>
  <c r="G15254" i="1"/>
  <c r="E15254" i="1"/>
  <c r="H15253" i="1"/>
  <c r="G15253" i="1"/>
  <c r="E15253" i="1"/>
  <c r="H15252" i="1"/>
  <c r="G15252" i="1"/>
  <c r="E15252" i="1"/>
  <c r="H15251" i="1"/>
  <c r="G15251" i="1"/>
  <c r="E15251" i="1"/>
  <c r="H15250" i="1"/>
  <c r="G15250" i="1"/>
  <c r="E15250" i="1"/>
  <c r="H15249" i="1"/>
  <c r="G15249" i="1"/>
  <c r="E15249" i="1"/>
  <c r="H15248" i="1"/>
  <c r="G15248" i="1"/>
  <c r="E15248" i="1"/>
  <c r="H15247" i="1"/>
  <c r="G15247" i="1"/>
  <c r="E15247" i="1"/>
  <c r="H15246" i="1"/>
  <c r="G15246" i="1"/>
  <c r="E15246" i="1"/>
  <c r="H15245" i="1"/>
  <c r="G15245" i="1"/>
  <c r="E15245" i="1"/>
  <c r="H15244" i="1"/>
  <c r="G15244" i="1"/>
  <c r="E15244" i="1"/>
  <c r="H15243" i="1"/>
  <c r="G15243" i="1"/>
  <c r="E15243" i="1"/>
  <c r="H15242" i="1"/>
  <c r="G15242" i="1"/>
  <c r="E15242" i="1"/>
  <c r="H15241" i="1"/>
  <c r="G15241" i="1"/>
  <c r="E15241" i="1"/>
  <c r="H15240" i="1"/>
  <c r="G15240" i="1"/>
  <c r="E15240" i="1"/>
  <c r="H15239" i="1"/>
  <c r="G15239" i="1"/>
  <c r="E15239" i="1"/>
  <c r="H15238" i="1"/>
  <c r="G15238" i="1"/>
  <c r="E15238" i="1"/>
  <c r="H15237" i="1"/>
  <c r="G15237" i="1"/>
  <c r="E15237" i="1"/>
  <c r="H15236" i="1"/>
  <c r="G15236" i="1"/>
  <c r="E15236" i="1"/>
  <c r="H15235" i="1"/>
  <c r="G15235" i="1"/>
  <c r="E15235" i="1"/>
  <c r="H15234" i="1"/>
  <c r="G15234" i="1"/>
  <c r="E15234" i="1"/>
  <c r="H15233" i="1"/>
  <c r="G15233" i="1"/>
  <c r="E15233" i="1"/>
  <c r="H15232" i="1"/>
  <c r="G15232" i="1"/>
  <c r="E15232" i="1"/>
  <c r="H15231" i="1"/>
  <c r="G15231" i="1"/>
  <c r="E15231" i="1"/>
  <c r="H15230" i="1"/>
  <c r="G15230" i="1"/>
  <c r="E15230" i="1"/>
  <c r="H15229" i="1"/>
  <c r="G15229" i="1"/>
  <c r="E15229" i="1"/>
  <c r="H15228" i="1"/>
  <c r="G15228" i="1"/>
  <c r="E15228" i="1"/>
  <c r="H15227" i="1"/>
  <c r="G15227" i="1"/>
  <c r="E15227" i="1"/>
  <c r="H15226" i="1"/>
  <c r="G15226" i="1"/>
  <c r="E15226" i="1"/>
  <c r="H15225" i="1"/>
  <c r="G15225" i="1"/>
  <c r="E15225" i="1"/>
  <c r="H15224" i="1"/>
  <c r="G15224" i="1"/>
  <c r="E15224" i="1"/>
  <c r="H15223" i="1"/>
  <c r="G15223" i="1"/>
  <c r="E15223" i="1"/>
  <c r="H15222" i="1"/>
  <c r="G15222" i="1"/>
  <c r="E15222" i="1"/>
  <c r="H15221" i="1"/>
  <c r="G15221" i="1"/>
  <c r="E15221" i="1"/>
  <c r="H15220" i="1"/>
  <c r="G15220" i="1"/>
  <c r="E15220" i="1"/>
  <c r="H15219" i="1"/>
  <c r="G15219" i="1"/>
  <c r="E15219" i="1"/>
  <c r="H15218" i="1"/>
  <c r="G15218" i="1"/>
  <c r="E15218" i="1"/>
  <c r="H15217" i="1"/>
  <c r="G15217" i="1"/>
  <c r="E15217" i="1"/>
  <c r="H15216" i="1"/>
  <c r="G15216" i="1"/>
  <c r="E15216" i="1"/>
  <c r="H15215" i="1"/>
  <c r="G15215" i="1"/>
  <c r="E15215" i="1"/>
  <c r="H15214" i="1"/>
  <c r="G15214" i="1"/>
  <c r="E15214" i="1"/>
  <c r="H15213" i="1"/>
  <c r="G15213" i="1"/>
  <c r="E15213" i="1"/>
  <c r="H15212" i="1"/>
  <c r="G15212" i="1"/>
  <c r="E15212" i="1"/>
  <c r="H15211" i="1"/>
  <c r="G15211" i="1"/>
  <c r="E15211" i="1"/>
  <c r="H15210" i="1"/>
  <c r="G15210" i="1"/>
  <c r="E15210" i="1"/>
  <c r="H15209" i="1"/>
  <c r="G15209" i="1"/>
  <c r="E15209" i="1"/>
  <c r="H15208" i="1"/>
  <c r="G15208" i="1"/>
  <c r="E15208" i="1"/>
  <c r="H15207" i="1"/>
  <c r="G15207" i="1"/>
  <c r="E15207" i="1"/>
  <c r="H15206" i="1"/>
  <c r="G15206" i="1"/>
  <c r="E15206" i="1"/>
  <c r="H15205" i="1"/>
  <c r="G15205" i="1"/>
  <c r="E15205" i="1"/>
  <c r="H15204" i="1"/>
  <c r="G15204" i="1"/>
  <c r="E15204" i="1"/>
  <c r="H15203" i="1"/>
  <c r="G15203" i="1"/>
  <c r="E15203" i="1"/>
  <c r="H15202" i="1"/>
  <c r="G15202" i="1"/>
  <c r="E15202" i="1"/>
  <c r="H15201" i="1"/>
  <c r="G15201" i="1"/>
  <c r="E15201" i="1"/>
  <c r="H15200" i="1"/>
  <c r="G15200" i="1"/>
  <c r="E15200" i="1"/>
  <c r="H15199" i="1"/>
  <c r="G15199" i="1"/>
  <c r="E15199" i="1"/>
  <c r="H15198" i="1"/>
  <c r="G15198" i="1"/>
  <c r="E15198" i="1"/>
  <c r="H15197" i="1"/>
  <c r="G15197" i="1"/>
  <c r="E15197" i="1"/>
  <c r="H15196" i="1"/>
  <c r="G15196" i="1"/>
  <c r="E15196" i="1"/>
  <c r="H15195" i="1"/>
  <c r="G15195" i="1"/>
  <c r="E15195" i="1"/>
  <c r="H15194" i="1"/>
  <c r="G15194" i="1"/>
  <c r="E15194" i="1"/>
  <c r="H15193" i="1"/>
  <c r="G15193" i="1"/>
  <c r="E15193" i="1"/>
  <c r="H15192" i="1"/>
  <c r="G15192" i="1"/>
  <c r="E15192" i="1"/>
  <c r="H15191" i="1"/>
  <c r="G15191" i="1"/>
  <c r="E15191" i="1"/>
  <c r="H15190" i="1"/>
  <c r="G15190" i="1"/>
  <c r="E15190" i="1"/>
  <c r="H15189" i="1"/>
  <c r="G15189" i="1"/>
  <c r="E15189" i="1"/>
  <c r="H15188" i="1"/>
  <c r="G15188" i="1"/>
  <c r="E15188" i="1"/>
  <c r="H15187" i="1"/>
  <c r="G15187" i="1"/>
  <c r="E15187" i="1"/>
  <c r="H15186" i="1"/>
  <c r="G15186" i="1"/>
  <c r="E15186" i="1"/>
  <c r="H15185" i="1"/>
  <c r="G15185" i="1"/>
  <c r="E15185" i="1"/>
  <c r="H15184" i="1"/>
  <c r="G15184" i="1"/>
  <c r="E15184" i="1"/>
  <c r="H15183" i="1"/>
  <c r="G15183" i="1"/>
  <c r="E15183" i="1"/>
  <c r="H15182" i="1"/>
  <c r="G15182" i="1"/>
  <c r="E15182" i="1"/>
  <c r="H15181" i="1"/>
  <c r="G15181" i="1"/>
  <c r="E15181" i="1"/>
  <c r="H15180" i="1"/>
  <c r="G15180" i="1"/>
  <c r="E15180" i="1"/>
  <c r="H15179" i="1"/>
  <c r="G15179" i="1"/>
  <c r="E15179" i="1"/>
  <c r="H15178" i="1"/>
  <c r="G15178" i="1"/>
  <c r="E15178" i="1"/>
  <c r="H15177" i="1"/>
  <c r="G15177" i="1"/>
  <c r="E15177" i="1"/>
  <c r="H15176" i="1"/>
  <c r="G15176" i="1"/>
  <c r="E15176" i="1"/>
  <c r="H15175" i="1"/>
  <c r="G15175" i="1"/>
  <c r="E15175" i="1"/>
  <c r="H15174" i="1"/>
  <c r="G15174" i="1"/>
  <c r="E15174" i="1"/>
  <c r="H15173" i="1"/>
  <c r="G15173" i="1"/>
  <c r="E15173" i="1"/>
  <c r="H15172" i="1"/>
  <c r="G15172" i="1"/>
  <c r="E15172" i="1"/>
  <c r="H15171" i="1"/>
  <c r="G15171" i="1"/>
  <c r="E15171" i="1"/>
  <c r="H15170" i="1"/>
  <c r="G15170" i="1"/>
  <c r="E15170" i="1"/>
  <c r="H15169" i="1"/>
  <c r="G15169" i="1"/>
  <c r="E15169" i="1"/>
  <c r="H15168" i="1"/>
  <c r="G15168" i="1"/>
  <c r="E15168" i="1"/>
  <c r="H15167" i="1"/>
  <c r="G15167" i="1"/>
  <c r="E15167" i="1"/>
  <c r="H15166" i="1"/>
  <c r="G15166" i="1"/>
  <c r="E15166" i="1"/>
  <c r="H15165" i="1"/>
  <c r="G15165" i="1"/>
  <c r="E15165" i="1"/>
  <c r="H15164" i="1"/>
  <c r="G15164" i="1"/>
  <c r="E15164" i="1"/>
  <c r="H15163" i="1"/>
  <c r="G15163" i="1"/>
  <c r="E15163" i="1"/>
  <c r="H15162" i="1"/>
  <c r="G15162" i="1"/>
  <c r="E15162" i="1"/>
  <c r="H15161" i="1"/>
  <c r="G15161" i="1"/>
  <c r="E15161" i="1"/>
  <c r="H15160" i="1"/>
  <c r="G15160" i="1"/>
  <c r="E15160" i="1"/>
  <c r="H15159" i="1"/>
  <c r="G15159" i="1"/>
  <c r="E15159" i="1"/>
  <c r="H15158" i="1"/>
  <c r="G15158" i="1"/>
  <c r="E15158" i="1"/>
  <c r="H15157" i="1"/>
  <c r="G15157" i="1"/>
  <c r="E15157" i="1"/>
  <c r="H15156" i="1"/>
  <c r="G15156" i="1"/>
  <c r="E15156" i="1"/>
  <c r="H15155" i="1"/>
  <c r="G15155" i="1"/>
  <c r="E15155" i="1"/>
  <c r="H15154" i="1"/>
  <c r="G15154" i="1"/>
  <c r="E15154" i="1"/>
  <c r="H15153" i="1"/>
  <c r="G15153" i="1"/>
  <c r="E15153" i="1"/>
  <c r="H15152" i="1"/>
  <c r="G15152" i="1"/>
  <c r="E15152" i="1"/>
  <c r="H15151" i="1"/>
  <c r="G15151" i="1"/>
  <c r="E15151" i="1"/>
  <c r="H15150" i="1"/>
  <c r="G15150" i="1"/>
  <c r="E15150" i="1"/>
  <c r="H15149" i="1"/>
  <c r="G15149" i="1"/>
  <c r="E15149" i="1"/>
  <c r="H15148" i="1"/>
  <c r="G15148" i="1"/>
  <c r="E15148" i="1"/>
  <c r="H15147" i="1"/>
  <c r="G15147" i="1"/>
  <c r="E15147" i="1"/>
  <c r="H15146" i="1"/>
  <c r="G15146" i="1"/>
  <c r="E15146" i="1"/>
  <c r="H15145" i="1"/>
  <c r="G15145" i="1"/>
  <c r="E15145" i="1"/>
  <c r="H15144" i="1"/>
  <c r="G15144" i="1"/>
  <c r="E15144" i="1"/>
  <c r="H15143" i="1"/>
  <c r="G15143" i="1"/>
  <c r="E15143" i="1"/>
  <c r="H15142" i="1"/>
  <c r="G15142" i="1"/>
  <c r="E15142" i="1"/>
  <c r="H15141" i="1"/>
  <c r="G15141" i="1"/>
  <c r="E15141" i="1"/>
  <c r="H15140" i="1"/>
  <c r="G15140" i="1"/>
  <c r="E15140" i="1"/>
  <c r="H15139" i="1"/>
  <c r="G15139" i="1"/>
  <c r="E15139" i="1"/>
  <c r="H15138" i="1"/>
  <c r="G15138" i="1"/>
  <c r="E15138" i="1"/>
  <c r="H15137" i="1"/>
  <c r="G15137" i="1"/>
  <c r="E15137" i="1"/>
  <c r="H15136" i="1"/>
  <c r="G15136" i="1"/>
  <c r="E15136" i="1"/>
  <c r="H15135" i="1"/>
  <c r="G15135" i="1"/>
  <c r="E15135" i="1"/>
  <c r="H15134" i="1"/>
  <c r="G15134" i="1"/>
  <c r="E15134" i="1"/>
  <c r="H15133" i="1"/>
  <c r="G15133" i="1"/>
  <c r="E15133" i="1"/>
  <c r="H15132" i="1"/>
  <c r="G15132" i="1"/>
  <c r="E15132" i="1"/>
  <c r="H15131" i="1"/>
  <c r="G15131" i="1"/>
  <c r="E15131" i="1"/>
  <c r="H15130" i="1"/>
  <c r="G15130" i="1"/>
  <c r="E15130" i="1"/>
  <c r="H15129" i="1"/>
  <c r="G15129" i="1"/>
  <c r="E15129" i="1"/>
  <c r="H15128" i="1"/>
  <c r="G15128" i="1"/>
  <c r="E15128" i="1"/>
  <c r="H15127" i="1"/>
  <c r="G15127" i="1"/>
  <c r="E15127" i="1"/>
  <c r="H15126" i="1"/>
  <c r="G15126" i="1"/>
  <c r="E15126" i="1"/>
  <c r="H15125" i="1"/>
  <c r="G15125" i="1"/>
  <c r="E15125" i="1"/>
  <c r="H15124" i="1"/>
  <c r="G15124" i="1"/>
  <c r="E15124" i="1"/>
  <c r="H15123" i="1"/>
  <c r="G15123" i="1"/>
  <c r="E15123" i="1"/>
  <c r="H15122" i="1"/>
  <c r="G15122" i="1"/>
  <c r="E15122" i="1"/>
  <c r="H15121" i="1"/>
  <c r="G15121" i="1"/>
  <c r="E15121" i="1"/>
  <c r="H15120" i="1"/>
  <c r="G15120" i="1"/>
  <c r="E15120" i="1"/>
  <c r="H15119" i="1"/>
  <c r="G15119" i="1"/>
  <c r="E15119" i="1"/>
  <c r="H15118" i="1"/>
  <c r="G15118" i="1"/>
  <c r="E15118" i="1"/>
  <c r="H15117" i="1"/>
  <c r="G15117" i="1"/>
  <c r="E15117" i="1"/>
  <c r="H15116" i="1"/>
  <c r="G15116" i="1"/>
  <c r="E15116" i="1"/>
  <c r="H15115" i="1"/>
  <c r="G15115" i="1"/>
  <c r="E15115" i="1"/>
  <c r="H15114" i="1"/>
  <c r="G15114" i="1"/>
  <c r="E15114" i="1"/>
  <c r="H15113" i="1"/>
  <c r="G15113" i="1"/>
  <c r="E15113" i="1"/>
  <c r="H15112" i="1"/>
  <c r="G15112" i="1"/>
  <c r="E15112" i="1"/>
  <c r="H15111" i="1"/>
  <c r="G15111" i="1"/>
  <c r="E15111" i="1"/>
  <c r="H15110" i="1"/>
  <c r="G15110" i="1"/>
  <c r="E15110" i="1"/>
  <c r="H15109" i="1"/>
  <c r="G15109" i="1"/>
  <c r="E15109" i="1"/>
  <c r="H15108" i="1"/>
  <c r="G15108" i="1"/>
  <c r="E15108" i="1"/>
  <c r="H15107" i="1"/>
  <c r="G15107" i="1"/>
  <c r="E15107" i="1"/>
  <c r="H15106" i="1"/>
  <c r="G15106" i="1"/>
  <c r="E15106" i="1"/>
  <c r="H15105" i="1"/>
  <c r="G15105" i="1"/>
  <c r="E15105" i="1"/>
  <c r="H15104" i="1"/>
  <c r="G15104" i="1"/>
  <c r="E15104" i="1"/>
  <c r="H15103" i="1"/>
  <c r="G15103" i="1"/>
  <c r="E15103" i="1"/>
  <c r="H15102" i="1"/>
  <c r="G15102" i="1"/>
  <c r="E15102" i="1"/>
  <c r="H15101" i="1"/>
  <c r="G15101" i="1"/>
  <c r="E15101" i="1"/>
  <c r="H15100" i="1"/>
  <c r="G15100" i="1"/>
  <c r="E15100" i="1"/>
  <c r="H15099" i="1"/>
  <c r="G15099" i="1"/>
  <c r="E15099" i="1"/>
  <c r="H15098" i="1"/>
  <c r="G15098" i="1"/>
  <c r="E15098" i="1"/>
  <c r="H15097" i="1"/>
  <c r="G15097" i="1"/>
  <c r="E15097" i="1"/>
  <c r="H15096" i="1"/>
  <c r="G15096" i="1"/>
  <c r="E15096" i="1"/>
  <c r="H15095" i="1"/>
  <c r="G15095" i="1"/>
  <c r="E15095" i="1"/>
  <c r="H15094" i="1"/>
  <c r="G15094" i="1"/>
  <c r="E15094" i="1"/>
  <c r="H15093" i="1"/>
  <c r="G15093" i="1"/>
  <c r="E15093" i="1"/>
  <c r="H15092" i="1"/>
  <c r="G15092" i="1"/>
  <c r="E15092" i="1"/>
  <c r="H15091" i="1"/>
  <c r="G15091" i="1"/>
  <c r="E15091" i="1"/>
  <c r="H15090" i="1"/>
  <c r="G15090" i="1"/>
  <c r="E15090" i="1"/>
  <c r="H15089" i="1"/>
  <c r="G15089" i="1"/>
  <c r="E15089" i="1"/>
  <c r="H15088" i="1"/>
  <c r="G15088" i="1"/>
  <c r="E15088" i="1"/>
  <c r="H15087" i="1"/>
  <c r="G15087" i="1"/>
  <c r="E15087" i="1"/>
  <c r="H15086" i="1"/>
  <c r="G15086" i="1"/>
  <c r="E15086" i="1"/>
  <c r="H15085" i="1"/>
  <c r="G15085" i="1"/>
  <c r="E15085" i="1"/>
  <c r="H15084" i="1"/>
  <c r="G15084" i="1"/>
  <c r="E15084" i="1"/>
  <c r="H15083" i="1"/>
  <c r="G15083" i="1"/>
  <c r="E15083" i="1"/>
  <c r="H15082" i="1"/>
  <c r="G15082" i="1"/>
  <c r="E15082" i="1"/>
  <c r="H15081" i="1"/>
  <c r="G15081" i="1"/>
  <c r="E15081" i="1"/>
  <c r="H15080" i="1"/>
  <c r="G15080" i="1"/>
  <c r="E15080" i="1"/>
  <c r="H15079" i="1"/>
  <c r="G15079" i="1"/>
  <c r="E15079" i="1"/>
  <c r="H15078" i="1"/>
  <c r="G15078" i="1"/>
  <c r="E15078" i="1"/>
  <c r="H15077" i="1"/>
  <c r="G15077" i="1"/>
  <c r="E15077" i="1"/>
  <c r="H15076" i="1"/>
  <c r="G15076" i="1"/>
  <c r="E15076" i="1"/>
  <c r="H15075" i="1"/>
  <c r="G15075" i="1"/>
  <c r="E15075" i="1"/>
  <c r="H15074" i="1"/>
  <c r="G15074" i="1"/>
  <c r="E15074" i="1"/>
  <c r="H15073" i="1"/>
  <c r="G15073" i="1"/>
  <c r="E15073" i="1"/>
  <c r="H15072" i="1"/>
  <c r="G15072" i="1"/>
  <c r="E15072" i="1"/>
  <c r="H15071" i="1"/>
  <c r="G15071" i="1"/>
  <c r="E15071" i="1"/>
  <c r="H15070" i="1"/>
  <c r="G15070" i="1"/>
  <c r="E15070" i="1"/>
  <c r="H15069" i="1"/>
  <c r="G15069" i="1"/>
  <c r="E15069" i="1"/>
  <c r="H15068" i="1"/>
  <c r="G15068" i="1"/>
  <c r="E15068" i="1"/>
  <c r="H15067" i="1"/>
  <c r="G15067" i="1"/>
  <c r="E15067" i="1"/>
  <c r="H15066" i="1"/>
  <c r="G15066" i="1"/>
  <c r="E15066" i="1"/>
  <c r="H15065" i="1"/>
  <c r="G15065" i="1"/>
  <c r="E15065" i="1"/>
  <c r="H15064" i="1"/>
  <c r="G15064" i="1"/>
  <c r="E15064" i="1"/>
  <c r="H15063" i="1"/>
  <c r="G15063" i="1"/>
  <c r="E15063" i="1"/>
  <c r="H15062" i="1"/>
  <c r="G15062" i="1"/>
  <c r="E15062" i="1"/>
  <c r="H15061" i="1"/>
  <c r="G15061" i="1"/>
  <c r="E15061" i="1"/>
  <c r="H15060" i="1"/>
  <c r="G15060" i="1"/>
  <c r="E15060" i="1"/>
  <c r="H15059" i="1"/>
  <c r="G15059" i="1"/>
  <c r="E15059" i="1"/>
  <c r="H15058" i="1"/>
  <c r="G15058" i="1"/>
  <c r="E15058" i="1"/>
  <c r="H15057" i="1"/>
  <c r="G15057" i="1"/>
  <c r="E15057" i="1"/>
  <c r="H15056" i="1"/>
  <c r="G15056" i="1"/>
  <c r="E15056" i="1"/>
  <c r="H15055" i="1"/>
  <c r="G15055" i="1"/>
  <c r="E15055" i="1"/>
  <c r="H15054" i="1"/>
  <c r="G15054" i="1"/>
  <c r="E15054" i="1"/>
  <c r="H15053" i="1"/>
  <c r="G15053" i="1"/>
  <c r="E15053" i="1"/>
  <c r="H15052" i="1"/>
  <c r="G15052" i="1"/>
  <c r="E15052" i="1"/>
  <c r="H15051" i="1"/>
  <c r="G15051" i="1"/>
  <c r="E15051" i="1"/>
  <c r="H15050" i="1"/>
  <c r="G15050" i="1"/>
  <c r="E15050" i="1"/>
  <c r="H15049" i="1"/>
  <c r="G15049" i="1"/>
  <c r="E15049" i="1"/>
  <c r="H15048" i="1"/>
  <c r="G15048" i="1"/>
  <c r="E15048" i="1"/>
  <c r="H15047" i="1"/>
  <c r="G15047" i="1"/>
  <c r="E15047" i="1"/>
  <c r="H15046" i="1"/>
  <c r="G15046" i="1"/>
  <c r="E15046" i="1"/>
  <c r="H15045" i="1"/>
  <c r="G15045" i="1"/>
  <c r="E15045" i="1"/>
  <c r="H15044" i="1"/>
  <c r="G15044" i="1"/>
  <c r="E15044" i="1"/>
  <c r="H15043" i="1"/>
  <c r="G15043" i="1"/>
  <c r="E15043" i="1"/>
  <c r="H15042" i="1"/>
  <c r="G15042" i="1"/>
  <c r="E15042" i="1"/>
  <c r="H15041" i="1"/>
  <c r="G15041" i="1"/>
  <c r="E15041" i="1"/>
  <c r="H15040" i="1"/>
  <c r="G15040" i="1"/>
  <c r="E15040" i="1"/>
  <c r="H15039" i="1"/>
  <c r="G15039" i="1"/>
  <c r="E15039" i="1"/>
  <c r="H15038" i="1"/>
  <c r="G15038" i="1"/>
  <c r="E15038" i="1"/>
  <c r="H15037" i="1"/>
  <c r="G15037" i="1"/>
  <c r="E15037" i="1"/>
  <c r="H15036" i="1"/>
  <c r="G15036" i="1"/>
  <c r="E15036" i="1"/>
  <c r="H15035" i="1"/>
  <c r="G15035" i="1"/>
  <c r="E15035" i="1"/>
  <c r="H15034" i="1"/>
  <c r="G15034" i="1"/>
  <c r="E15034" i="1"/>
  <c r="H15033" i="1"/>
  <c r="G15033" i="1"/>
  <c r="E15033" i="1"/>
  <c r="H15032" i="1"/>
  <c r="G15032" i="1"/>
  <c r="E15032" i="1"/>
  <c r="H15031" i="1"/>
  <c r="G15031" i="1"/>
  <c r="E15031" i="1"/>
  <c r="H15030" i="1"/>
  <c r="G15030" i="1"/>
  <c r="E15030" i="1"/>
  <c r="H15029" i="1"/>
  <c r="G15029" i="1"/>
  <c r="E15029" i="1"/>
  <c r="H15028" i="1"/>
  <c r="G15028" i="1"/>
  <c r="E15028" i="1"/>
  <c r="H15027" i="1"/>
  <c r="G15027" i="1"/>
  <c r="E15027" i="1"/>
  <c r="H15026" i="1"/>
  <c r="G15026" i="1"/>
  <c r="E15026" i="1"/>
  <c r="H15025" i="1"/>
  <c r="G15025" i="1"/>
  <c r="E15025" i="1"/>
  <c r="H15024" i="1"/>
  <c r="G15024" i="1"/>
  <c r="E15024" i="1"/>
  <c r="H15023" i="1"/>
  <c r="G15023" i="1"/>
  <c r="E15023" i="1"/>
  <c r="H15022" i="1"/>
  <c r="G15022" i="1"/>
  <c r="E15022" i="1"/>
  <c r="H15021" i="1"/>
  <c r="G15021" i="1"/>
  <c r="E15021" i="1"/>
  <c r="H15020" i="1"/>
  <c r="G15020" i="1"/>
  <c r="E15020" i="1"/>
  <c r="H15019" i="1"/>
  <c r="G15019" i="1"/>
  <c r="E15019" i="1"/>
  <c r="H15018" i="1"/>
  <c r="G15018" i="1"/>
  <c r="E15018" i="1"/>
  <c r="H15017" i="1"/>
  <c r="G15017" i="1"/>
  <c r="E15017" i="1"/>
  <c r="H15016" i="1"/>
  <c r="G15016" i="1"/>
  <c r="E15016" i="1"/>
  <c r="H15015" i="1"/>
  <c r="G15015" i="1"/>
  <c r="E15015" i="1"/>
  <c r="H15014" i="1"/>
  <c r="G15014" i="1"/>
  <c r="E15014" i="1"/>
  <c r="H15013" i="1"/>
  <c r="G15013" i="1"/>
  <c r="E15013" i="1"/>
  <c r="H15012" i="1"/>
  <c r="G15012" i="1"/>
  <c r="E15012" i="1"/>
  <c r="H15011" i="1"/>
  <c r="G15011" i="1"/>
  <c r="E15011" i="1"/>
  <c r="H15010" i="1"/>
  <c r="G15010" i="1"/>
  <c r="E15010" i="1"/>
  <c r="H15009" i="1"/>
  <c r="G15009" i="1"/>
  <c r="E15009" i="1"/>
  <c r="H15008" i="1"/>
  <c r="G15008" i="1"/>
  <c r="E15008" i="1"/>
  <c r="H15007" i="1"/>
  <c r="G15007" i="1"/>
  <c r="E15007" i="1"/>
  <c r="H15006" i="1"/>
  <c r="G15006" i="1"/>
  <c r="E15006" i="1"/>
  <c r="H15005" i="1"/>
  <c r="G15005" i="1"/>
  <c r="E15005" i="1"/>
  <c r="H15004" i="1"/>
  <c r="G15004" i="1"/>
  <c r="E15004" i="1"/>
  <c r="H15003" i="1"/>
  <c r="G15003" i="1"/>
  <c r="E15003" i="1"/>
  <c r="H15002" i="1"/>
  <c r="G15002" i="1"/>
  <c r="E15002" i="1"/>
  <c r="H15001" i="1"/>
  <c r="G15001" i="1"/>
  <c r="E15001" i="1"/>
  <c r="H15000" i="1"/>
  <c r="G15000" i="1"/>
  <c r="E15000" i="1"/>
  <c r="H14999" i="1"/>
  <c r="G14999" i="1"/>
  <c r="E14999" i="1"/>
  <c r="H14998" i="1"/>
  <c r="G14998" i="1"/>
  <c r="E14998" i="1"/>
  <c r="H14997" i="1"/>
  <c r="G14997" i="1"/>
  <c r="E14997" i="1"/>
  <c r="H14996" i="1"/>
  <c r="G14996" i="1"/>
  <c r="E14996" i="1"/>
  <c r="H14995" i="1"/>
  <c r="G14995" i="1"/>
  <c r="E14995" i="1"/>
  <c r="H14994" i="1"/>
  <c r="G14994" i="1"/>
  <c r="E14994" i="1"/>
  <c r="H14993" i="1"/>
  <c r="G14993" i="1"/>
  <c r="E14993" i="1"/>
  <c r="H14992" i="1"/>
  <c r="G14992" i="1"/>
  <c r="E14992" i="1"/>
  <c r="H14991" i="1"/>
  <c r="G14991" i="1"/>
  <c r="E14991" i="1"/>
  <c r="H14990" i="1"/>
  <c r="G14990" i="1"/>
  <c r="E14990" i="1"/>
  <c r="H14989" i="1"/>
  <c r="G14989" i="1"/>
  <c r="E14989" i="1"/>
  <c r="H14988" i="1"/>
  <c r="G14988" i="1"/>
  <c r="E14988" i="1"/>
  <c r="H14987" i="1"/>
  <c r="G14987" i="1"/>
  <c r="E14987" i="1"/>
  <c r="H14986" i="1"/>
  <c r="G14986" i="1"/>
  <c r="E14986" i="1"/>
  <c r="H14985" i="1"/>
  <c r="G14985" i="1"/>
  <c r="E14985" i="1"/>
  <c r="H14984" i="1"/>
  <c r="G14984" i="1"/>
  <c r="E14984" i="1"/>
  <c r="H14983" i="1"/>
  <c r="G14983" i="1"/>
  <c r="E14983" i="1"/>
  <c r="H14982" i="1"/>
  <c r="G14982" i="1"/>
  <c r="E14982" i="1"/>
  <c r="H14981" i="1"/>
  <c r="G14981" i="1"/>
  <c r="E14981" i="1"/>
  <c r="H14980" i="1"/>
  <c r="G14980" i="1"/>
  <c r="E14980" i="1"/>
  <c r="H14979" i="1"/>
  <c r="G14979" i="1"/>
  <c r="E14979" i="1"/>
  <c r="H14978" i="1"/>
  <c r="G14978" i="1"/>
  <c r="E14978" i="1"/>
  <c r="H14977" i="1"/>
  <c r="G14977" i="1"/>
  <c r="E14977" i="1"/>
  <c r="H14976" i="1"/>
  <c r="G14976" i="1"/>
  <c r="E14976" i="1"/>
  <c r="H14975" i="1"/>
  <c r="G14975" i="1"/>
  <c r="E14975" i="1"/>
  <c r="H14974" i="1"/>
  <c r="G14974" i="1"/>
  <c r="E14974" i="1"/>
  <c r="H14973" i="1"/>
  <c r="G14973" i="1"/>
  <c r="E14973" i="1"/>
  <c r="H14972" i="1"/>
  <c r="G14972" i="1"/>
  <c r="E14972" i="1"/>
  <c r="H14971" i="1"/>
  <c r="G14971" i="1"/>
  <c r="E14971" i="1"/>
  <c r="H14970" i="1"/>
  <c r="G14970" i="1"/>
  <c r="E14970" i="1"/>
  <c r="H14969" i="1"/>
  <c r="G14969" i="1"/>
  <c r="E14969" i="1"/>
  <c r="H14968" i="1"/>
  <c r="G14968" i="1"/>
  <c r="E14968" i="1"/>
  <c r="H14967" i="1"/>
  <c r="G14967" i="1"/>
  <c r="E14967" i="1"/>
  <c r="H14966" i="1"/>
  <c r="G14966" i="1"/>
  <c r="E14966" i="1"/>
  <c r="H14965" i="1"/>
  <c r="G14965" i="1"/>
  <c r="E14965" i="1"/>
  <c r="H14964" i="1"/>
  <c r="G14964" i="1"/>
  <c r="E14964" i="1"/>
  <c r="H14963" i="1"/>
  <c r="G14963" i="1"/>
  <c r="E14963" i="1"/>
  <c r="H14962" i="1"/>
  <c r="G14962" i="1"/>
  <c r="E14962" i="1"/>
  <c r="H14961" i="1"/>
  <c r="G14961" i="1"/>
  <c r="E14961" i="1"/>
  <c r="H14960" i="1"/>
  <c r="G14960" i="1"/>
  <c r="E14960" i="1"/>
  <c r="H14959" i="1"/>
  <c r="G14959" i="1"/>
  <c r="E14959" i="1"/>
  <c r="H14958" i="1"/>
  <c r="G14958" i="1"/>
  <c r="E14958" i="1"/>
  <c r="H14957" i="1"/>
  <c r="G14957" i="1"/>
  <c r="E14957" i="1"/>
  <c r="H14956" i="1"/>
  <c r="G14956" i="1"/>
  <c r="E14956" i="1"/>
  <c r="H14955" i="1"/>
  <c r="G14955" i="1"/>
  <c r="E14955" i="1"/>
  <c r="H14954" i="1"/>
  <c r="G14954" i="1"/>
  <c r="E14954" i="1"/>
  <c r="H14953" i="1"/>
  <c r="G14953" i="1"/>
  <c r="E14953" i="1"/>
  <c r="H14952" i="1"/>
  <c r="G14952" i="1"/>
  <c r="E14952" i="1"/>
  <c r="H14951" i="1"/>
  <c r="G14951" i="1"/>
  <c r="E14951" i="1"/>
  <c r="H14950" i="1"/>
  <c r="G14950" i="1"/>
  <c r="E14950" i="1"/>
  <c r="H14949" i="1"/>
  <c r="G14949" i="1"/>
  <c r="E14949" i="1"/>
  <c r="H14948" i="1"/>
  <c r="G14948" i="1"/>
  <c r="E14948" i="1"/>
  <c r="H14947" i="1"/>
  <c r="G14947" i="1"/>
  <c r="E14947" i="1"/>
  <c r="H14946" i="1"/>
  <c r="G14946" i="1"/>
  <c r="E14946" i="1"/>
  <c r="H14945" i="1"/>
  <c r="G14945" i="1"/>
  <c r="E14945" i="1"/>
  <c r="H14944" i="1"/>
  <c r="G14944" i="1"/>
  <c r="E14944" i="1"/>
  <c r="H14943" i="1"/>
  <c r="G14943" i="1"/>
  <c r="E14943" i="1"/>
  <c r="H14942" i="1"/>
  <c r="G14942" i="1"/>
  <c r="E14942" i="1"/>
  <c r="H14941" i="1"/>
  <c r="G14941" i="1"/>
  <c r="E14941" i="1"/>
  <c r="H14940" i="1"/>
  <c r="G14940" i="1"/>
  <c r="E14940" i="1"/>
  <c r="H14939" i="1"/>
  <c r="G14939" i="1"/>
  <c r="E14939" i="1"/>
  <c r="H14938" i="1"/>
  <c r="G14938" i="1"/>
  <c r="E14938" i="1"/>
  <c r="H14937" i="1"/>
  <c r="G14937" i="1"/>
  <c r="E14937" i="1"/>
  <c r="H14936" i="1"/>
  <c r="G14936" i="1"/>
  <c r="E14936" i="1"/>
  <c r="H14935" i="1"/>
  <c r="G14935" i="1"/>
  <c r="E14935" i="1"/>
  <c r="H14934" i="1"/>
  <c r="G14934" i="1"/>
  <c r="E14934" i="1"/>
  <c r="H14933" i="1"/>
  <c r="G14933" i="1"/>
  <c r="E14933" i="1"/>
  <c r="H14932" i="1"/>
  <c r="G14932" i="1"/>
  <c r="E14932" i="1"/>
  <c r="H14931" i="1"/>
  <c r="G14931" i="1"/>
  <c r="E14931" i="1"/>
  <c r="H14930" i="1"/>
  <c r="G14930" i="1"/>
  <c r="E14930" i="1"/>
  <c r="H14929" i="1"/>
  <c r="G14929" i="1"/>
  <c r="E14929" i="1"/>
  <c r="H14928" i="1"/>
  <c r="G14928" i="1"/>
  <c r="E14928" i="1"/>
  <c r="H14927" i="1"/>
  <c r="G14927" i="1"/>
  <c r="E14927" i="1"/>
  <c r="H14926" i="1"/>
  <c r="G14926" i="1"/>
  <c r="E14926" i="1"/>
  <c r="H14925" i="1"/>
  <c r="G14925" i="1"/>
  <c r="E14925" i="1"/>
  <c r="H14924" i="1"/>
  <c r="G14924" i="1"/>
  <c r="E14924" i="1"/>
  <c r="H14923" i="1"/>
  <c r="G14923" i="1"/>
  <c r="E14923" i="1"/>
  <c r="H14922" i="1"/>
  <c r="G14922" i="1"/>
  <c r="E14922" i="1"/>
  <c r="H14921" i="1"/>
  <c r="G14921" i="1"/>
  <c r="E14921" i="1"/>
  <c r="H14920" i="1"/>
  <c r="G14920" i="1"/>
  <c r="E14920" i="1"/>
  <c r="H14919" i="1"/>
  <c r="G14919" i="1"/>
  <c r="E14919" i="1"/>
  <c r="H14918" i="1"/>
  <c r="G14918" i="1"/>
  <c r="E14918" i="1"/>
  <c r="H14917" i="1"/>
  <c r="G14917" i="1"/>
  <c r="E14917" i="1"/>
  <c r="H14916" i="1"/>
  <c r="G14916" i="1"/>
  <c r="E14916" i="1"/>
  <c r="H14915" i="1"/>
  <c r="G14915" i="1"/>
  <c r="E14915" i="1"/>
  <c r="H14914" i="1"/>
  <c r="G14914" i="1"/>
  <c r="E14914" i="1"/>
  <c r="H14913" i="1"/>
  <c r="G14913" i="1"/>
  <c r="E14913" i="1"/>
  <c r="H14912" i="1"/>
  <c r="G14912" i="1"/>
  <c r="E14912" i="1"/>
  <c r="H14911" i="1"/>
  <c r="G14911" i="1"/>
  <c r="E14911" i="1"/>
  <c r="H14910" i="1"/>
  <c r="G14910" i="1"/>
  <c r="E14910" i="1"/>
  <c r="H14909" i="1"/>
  <c r="G14909" i="1"/>
  <c r="E14909" i="1"/>
  <c r="H14908" i="1"/>
  <c r="G14908" i="1"/>
  <c r="E14908" i="1"/>
  <c r="H14907" i="1"/>
  <c r="G14907" i="1"/>
  <c r="E14907" i="1"/>
  <c r="H14906" i="1"/>
  <c r="G14906" i="1"/>
  <c r="E14906" i="1"/>
  <c r="H14905" i="1"/>
  <c r="G14905" i="1"/>
  <c r="E14905" i="1"/>
  <c r="H14904" i="1"/>
  <c r="G14904" i="1"/>
  <c r="E14904" i="1"/>
  <c r="H14903" i="1"/>
  <c r="G14903" i="1"/>
  <c r="E14903" i="1"/>
  <c r="H14902" i="1"/>
  <c r="G14902" i="1"/>
  <c r="E14902" i="1"/>
  <c r="H14901" i="1"/>
  <c r="G14901" i="1"/>
  <c r="E14901" i="1"/>
  <c r="H14900" i="1"/>
  <c r="G14900" i="1"/>
  <c r="E14900" i="1"/>
  <c r="H14899" i="1"/>
  <c r="G14899" i="1"/>
  <c r="E14899" i="1"/>
  <c r="H14898" i="1"/>
  <c r="G14898" i="1"/>
  <c r="E14898" i="1"/>
  <c r="H14897" i="1"/>
  <c r="G14897" i="1"/>
  <c r="E14897" i="1"/>
  <c r="H14896" i="1"/>
  <c r="G14896" i="1"/>
  <c r="E14896" i="1"/>
  <c r="H14895" i="1"/>
  <c r="G14895" i="1"/>
  <c r="E14895" i="1"/>
  <c r="H14894" i="1"/>
  <c r="G14894" i="1"/>
  <c r="E14894" i="1"/>
  <c r="H14893" i="1"/>
  <c r="G14893" i="1"/>
  <c r="E14893" i="1"/>
  <c r="H14892" i="1"/>
  <c r="G14892" i="1"/>
  <c r="E14892" i="1"/>
  <c r="H14891" i="1"/>
  <c r="G14891" i="1"/>
  <c r="E14891" i="1"/>
  <c r="H14890" i="1"/>
  <c r="G14890" i="1"/>
  <c r="E14890" i="1"/>
  <c r="H14889" i="1"/>
  <c r="G14889" i="1"/>
  <c r="E14889" i="1"/>
  <c r="H14888" i="1"/>
  <c r="G14888" i="1"/>
  <c r="E14888" i="1"/>
  <c r="H14887" i="1"/>
  <c r="G14887" i="1"/>
  <c r="E14887" i="1"/>
  <c r="H14886" i="1"/>
  <c r="G14886" i="1"/>
  <c r="E14886" i="1"/>
  <c r="H14885" i="1"/>
  <c r="G14885" i="1"/>
  <c r="E14885" i="1"/>
  <c r="H14884" i="1"/>
  <c r="G14884" i="1"/>
  <c r="E14884" i="1"/>
  <c r="H14883" i="1"/>
  <c r="G14883" i="1"/>
  <c r="E14883" i="1"/>
  <c r="H14882" i="1"/>
  <c r="G14882" i="1"/>
  <c r="E14882" i="1"/>
  <c r="H14881" i="1"/>
  <c r="G14881" i="1"/>
  <c r="E14881" i="1"/>
  <c r="H14880" i="1"/>
  <c r="G14880" i="1"/>
  <c r="E14880" i="1"/>
  <c r="H14879" i="1"/>
  <c r="G14879" i="1"/>
  <c r="E14879" i="1"/>
  <c r="H14878" i="1"/>
  <c r="G14878" i="1"/>
  <c r="E14878" i="1"/>
  <c r="H14877" i="1"/>
  <c r="G14877" i="1"/>
  <c r="E14877" i="1"/>
  <c r="H14876" i="1"/>
  <c r="G14876" i="1"/>
  <c r="E14876" i="1"/>
  <c r="H14875" i="1"/>
  <c r="G14875" i="1"/>
  <c r="E14875" i="1"/>
  <c r="H14874" i="1"/>
  <c r="G14874" i="1"/>
  <c r="E14874" i="1"/>
  <c r="H14873" i="1"/>
  <c r="G14873" i="1"/>
  <c r="E14873" i="1"/>
  <c r="H14872" i="1"/>
  <c r="G14872" i="1"/>
  <c r="E14872" i="1"/>
  <c r="H14871" i="1"/>
  <c r="G14871" i="1"/>
  <c r="E14871" i="1"/>
  <c r="H14870" i="1"/>
  <c r="G14870" i="1"/>
  <c r="E14870" i="1"/>
  <c r="H14869" i="1"/>
  <c r="G14869" i="1"/>
  <c r="E14869" i="1"/>
  <c r="H14868" i="1"/>
  <c r="G14868" i="1"/>
  <c r="E14868" i="1"/>
  <c r="H14867" i="1"/>
  <c r="G14867" i="1"/>
  <c r="E14867" i="1"/>
  <c r="H14866" i="1"/>
  <c r="G14866" i="1"/>
  <c r="E14866" i="1"/>
  <c r="H14865" i="1"/>
  <c r="G14865" i="1"/>
  <c r="E14865" i="1"/>
  <c r="H14864" i="1"/>
  <c r="G14864" i="1"/>
  <c r="E14864" i="1"/>
  <c r="H14863" i="1"/>
  <c r="G14863" i="1"/>
  <c r="E14863" i="1"/>
  <c r="H14862" i="1"/>
  <c r="G14862" i="1"/>
  <c r="E14862" i="1"/>
  <c r="H14861" i="1"/>
  <c r="G14861" i="1"/>
  <c r="E14861" i="1"/>
  <c r="H14860" i="1"/>
  <c r="G14860" i="1"/>
  <c r="E14860" i="1"/>
  <c r="H14859" i="1"/>
  <c r="G14859" i="1"/>
  <c r="E14859" i="1"/>
  <c r="H14858" i="1"/>
  <c r="G14858" i="1"/>
  <c r="E14858" i="1"/>
  <c r="H14857" i="1"/>
  <c r="G14857" i="1"/>
  <c r="E14857" i="1"/>
  <c r="H14856" i="1"/>
  <c r="G14856" i="1"/>
  <c r="E14856" i="1"/>
  <c r="H14855" i="1"/>
  <c r="G14855" i="1"/>
  <c r="E14855" i="1"/>
  <c r="H14854" i="1"/>
  <c r="G14854" i="1"/>
  <c r="E14854" i="1"/>
  <c r="H14853" i="1"/>
  <c r="G14853" i="1"/>
  <c r="E14853" i="1"/>
  <c r="H14852" i="1"/>
  <c r="G14852" i="1"/>
  <c r="E14852" i="1"/>
  <c r="H14851" i="1"/>
  <c r="G14851" i="1"/>
  <c r="E14851" i="1"/>
  <c r="H14850" i="1"/>
  <c r="G14850" i="1"/>
  <c r="E14850" i="1"/>
  <c r="H14849" i="1"/>
  <c r="G14849" i="1"/>
  <c r="E14849" i="1"/>
  <c r="H14848" i="1"/>
  <c r="G14848" i="1"/>
  <c r="E14848" i="1"/>
  <c r="H14847" i="1"/>
  <c r="G14847" i="1"/>
  <c r="E14847" i="1"/>
  <c r="H14846" i="1"/>
  <c r="G14846" i="1"/>
  <c r="E14846" i="1"/>
  <c r="H14845" i="1"/>
  <c r="G14845" i="1"/>
  <c r="E14845" i="1"/>
  <c r="H14844" i="1"/>
  <c r="G14844" i="1"/>
  <c r="E14844" i="1"/>
  <c r="H14843" i="1"/>
  <c r="G14843" i="1"/>
  <c r="E14843" i="1"/>
  <c r="H14842" i="1"/>
  <c r="G14842" i="1"/>
  <c r="E14842" i="1"/>
  <c r="H14841" i="1"/>
  <c r="G14841" i="1"/>
  <c r="E14841" i="1"/>
  <c r="H14840" i="1"/>
  <c r="G14840" i="1"/>
  <c r="E14840" i="1"/>
  <c r="H14839" i="1"/>
  <c r="G14839" i="1"/>
  <c r="E14839" i="1"/>
  <c r="H14838" i="1"/>
  <c r="G14838" i="1"/>
  <c r="E14838" i="1"/>
  <c r="H14837" i="1"/>
  <c r="G14837" i="1"/>
  <c r="E14837" i="1"/>
  <c r="H14836" i="1"/>
  <c r="G14836" i="1"/>
  <c r="E14836" i="1"/>
  <c r="H14835" i="1"/>
  <c r="G14835" i="1"/>
  <c r="E14835" i="1"/>
  <c r="H14834" i="1"/>
  <c r="G14834" i="1"/>
  <c r="E14834" i="1"/>
  <c r="H14833" i="1"/>
  <c r="G14833" i="1"/>
  <c r="E14833" i="1"/>
  <c r="H14832" i="1"/>
  <c r="G14832" i="1"/>
  <c r="E14832" i="1"/>
  <c r="H14831" i="1"/>
  <c r="G14831" i="1"/>
  <c r="E14831" i="1"/>
  <c r="H14830" i="1"/>
  <c r="G14830" i="1"/>
  <c r="E14830" i="1"/>
  <c r="H14829" i="1"/>
  <c r="G14829" i="1"/>
  <c r="E14829" i="1"/>
  <c r="H14828" i="1"/>
  <c r="G14828" i="1"/>
  <c r="E14828" i="1"/>
  <c r="H14827" i="1"/>
  <c r="G14827" i="1"/>
  <c r="E14827" i="1"/>
  <c r="H14826" i="1"/>
  <c r="G14826" i="1"/>
  <c r="E14826" i="1"/>
  <c r="H14825" i="1"/>
  <c r="G14825" i="1"/>
  <c r="E14825" i="1"/>
  <c r="H14824" i="1"/>
  <c r="G14824" i="1"/>
  <c r="E14824" i="1"/>
  <c r="H14823" i="1"/>
  <c r="G14823" i="1"/>
  <c r="E14823" i="1"/>
  <c r="H14822" i="1"/>
  <c r="G14822" i="1"/>
  <c r="E14822" i="1"/>
  <c r="H14821" i="1"/>
  <c r="G14821" i="1"/>
  <c r="E14821" i="1"/>
  <c r="H14820" i="1"/>
  <c r="G14820" i="1"/>
  <c r="E14820" i="1"/>
  <c r="H14819" i="1"/>
  <c r="G14819" i="1"/>
  <c r="E14819" i="1"/>
  <c r="H14818" i="1"/>
  <c r="G14818" i="1"/>
  <c r="E14818" i="1"/>
  <c r="H14817" i="1"/>
  <c r="G14817" i="1"/>
  <c r="E14817" i="1"/>
  <c r="H14816" i="1"/>
  <c r="G14816" i="1"/>
  <c r="E14816" i="1"/>
  <c r="H14815" i="1"/>
  <c r="G14815" i="1"/>
  <c r="E14815" i="1"/>
  <c r="H14814" i="1"/>
  <c r="G14814" i="1"/>
  <c r="E14814" i="1"/>
  <c r="H14813" i="1"/>
  <c r="G14813" i="1"/>
  <c r="E14813" i="1"/>
  <c r="H14812" i="1"/>
  <c r="G14812" i="1"/>
  <c r="E14812" i="1"/>
  <c r="H14811" i="1"/>
  <c r="G14811" i="1"/>
  <c r="E14811" i="1"/>
  <c r="H14810" i="1"/>
  <c r="G14810" i="1"/>
  <c r="E14810" i="1"/>
  <c r="H14809" i="1"/>
  <c r="G14809" i="1"/>
  <c r="E14809" i="1"/>
  <c r="H14808" i="1"/>
  <c r="G14808" i="1"/>
  <c r="E14808" i="1"/>
  <c r="H14807" i="1"/>
  <c r="G14807" i="1"/>
  <c r="E14807" i="1"/>
  <c r="H14806" i="1"/>
  <c r="G14806" i="1"/>
  <c r="E14806" i="1"/>
  <c r="H14805" i="1"/>
  <c r="G14805" i="1"/>
  <c r="E14805" i="1"/>
  <c r="H14804" i="1"/>
  <c r="G14804" i="1"/>
  <c r="E14804" i="1"/>
  <c r="H14803" i="1"/>
  <c r="G14803" i="1"/>
  <c r="E14803" i="1"/>
  <c r="H14802" i="1"/>
  <c r="G14802" i="1"/>
  <c r="E14802" i="1"/>
  <c r="H14801" i="1"/>
  <c r="G14801" i="1"/>
  <c r="E14801" i="1"/>
  <c r="H14800" i="1"/>
  <c r="G14800" i="1"/>
  <c r="E14800" i="1"/>
  <c r="H14799" i="1"/>
  <c r="G14799" i="1"/>
  <c r="E14799" i="1"/>
  <c r="H14798" i="1"/>
  <c r="G14798" i="1"/>
  <c r="E14798" i="1"/>
  <c r="H14797" i="1"/>
  <c r="G14797" i="1"/>
  <c r="E14797" i="1"/>
  <c r="H14796" i="1"/>
  <c r="G14796" i="1"/>
  <c r="E14796" i="1"/>
  <c r="H14795" i="1"/>
  <c r="G14795" i="1"/>
  <c r="E14795" i="1"/>
  <c r="H14794" i="1"/>
  <c r="G14794" i="1"/>
  <c r="E14794" i="1"/>
  <c r="H14793" i="1"/>
  <c r="G14793" i="1"/>
  <c r="E14793" i="1"/>
  <c r="H14792" i="1"/>
  <c r="G14792" i="1"/>
  <c r="E14792" i="1"/>
  <c r="H14791" i="1"/>
  <c r="G14791" i="1"/>
  <c r="E14791" i="1"/>
  <c r="H14790" i="1"/>
  <c r="G14790" i="1"/>
  <c r="E14790" i="1"/>
  <c r="H14789" i="1"/>
  <c r="G14789" i="1"/>
  <c r="E14789" i="1"/>
  <c r="H14788" i="1"/>
  <c r="G14788" i="1"/>
  <c r="E14788" i="1"/>
  <c r="H14787" i="1"/>
  <c r="G14787" i="1"/>
  <c r="E14787" i="1"/>
  <c r="H14786" i="1"/>
  <c r="G14786" i="1"/>
  <c r="E14786" i="1"/>
  <c r="H14785" i="1"/>
  <c r="G14785" i="1"/>
  <c r="E14785" i="1"/>
  <c r="H14784" i="1"/>
  <c r="G14784" i="1"/>
  <c r="E14784" i="1"/>
  <c r="H14783" i="1"/>
  <c r="G14783" i="1"/>
  <c r="E14783" i="1"/>
  <c r="H14782" i="1"/>
  <c r="G14782" i="1"/>
  <c r="E14782" i="1"/>
  <c r="H14781" i="1"/>
  <c r="G14781" i="1"/>
  <c r="E14781" i="1"/>
  <c r="H14780" i="1"/>
  <c r="G14780" i="1"/>
  <c r="E14780" i="1"/>
  <c r="H14779" i="1"/>
  <c r="G14779" i="1"/>
  <c r="E14779" i="1"/>
  <c r="H14778" i="1"/>
  <c r="G14778" i="1"/>
  <c r="E14778" i="1"/>
  <c r="H14777" i="1"/>
  <c r="G14777" i="1"/>
  <c r="E14777" i="1"/>
  <c r="H14776" i="1"/>
  <c r="G14776" i="1"/>
  <c r="E14776" i="1"/>
  <c r="H14775" i="1"/>
  <c r="G14775" i="1"/>
  <c r="E14775" i="1"/>
  <c r="H14774" i="1"/>
  <c r="G14774" i="1"/>
  <c r="E14774" i="1"/>
  <c r="H14773" i="1"/>
  <c r="G14773" i="1"/>
  <c r="E14773" i="1"/>
  <c r="H14772" i="1"/>
  <c r="G14772" i="1"/>
  <c r="E14772" i="1"/>
  <c r="H14771" i="1"/>
  <c r="G14771" i="1"/>
  <c r="E14771" i="1"/>
  <c r="H14770" i="1"/>
  <c r="G14770" i="1"/>
  <c r="E14770" i="1"/>
  <c r="H14769" i="1"/>
  <c r="G14769" i="1"/>
  <c r="E14769" i="1"/>
  <c r="H14768" i="1"/>
  <c r="G14768" i="1"/>
  <c r="E14768" i="1"/>
  <c r="H14767" i="1"/>
  <c r="G14767" i="1"/>
  <c r="E14767" i="1"/>
  <c r="H14766" i="1"/>
  <c r="G14766" i="1"/>
  <c r="E14766" i="1"/>
  <c r="H14765" i="1"/>
  <c r="G14765" i="1"/>
  <c r="E14765" i="1"/>
  <c r="H14764" i="1"/>
  <c r="G14764" i="1"/>
  <c r="E14764" i="1"/>
  <c r="H14763" i="1"/>
  <c r="G14763" i="1"/>
  <c r="E14763" i="1"/>
  <c r="H14762" i="1"/>
  <c r="G14762" i="1"/>
  <c r="E14762" i="1"/>
  <c r="H14761" i="1"/>
  <c r="G14761" i="1"/>
  <c r="E14761" i="1"/>
  <c r="H14760" i="1"/>
  <c r="G14760" i="1"/>
  <c r="E14760" i="1"/>
  <c r="H14759" i="1"/>
  <c r="G14759" i="1"/>
  <c r="E14759" i="1"/>
  <c r="H14758" i="1"/>
  <c r="G14758" i="1"/>
  <c r="E14758" i="1"/>
  <c r="H14757" i="1"/>
  <c r="G14757" i="1"/>
  <c r="E14757" i="1"/>
  <c r="H14756" i="1"/>
  <c r="G14756" i="1"/>
  <c r="E14756" i="1"/>
  <c r="H14755" i="1"/>
  <c r="G14755" i="1"/>
  <c r="E14755" i="1"/>
  <c r="H14754" i="1"/>
  <c r="G14754" i="1"/>
  <c r="E14754" i="1"/>
  <c r="H14753" i="1"/>
  <c r="G14753" i="1"/>
  <c r="E14753" i="1"/>
  <c r="H14752" i="1"/>
  <c r="G14752" i="1"/>
  <c r="E14752" i="1"/>
  <c r="H14751" i="1"/>
  <c r="G14751" i="1"/>
  <c r="E14751" i="1"/>
  <c r="H14750" i="1"/>
  <c r="G14750" i="1"/>
  <c r="E14750" i="1"/>
  <c r="H14749" i="1"/>
  <c r="G14749" i="1"/>
  <c r="E14749" i="1"/>
  <c r="H14748" i="1"/>
  <c r="G14748" i="1"/>
  <c r="E14748" i="1"/>
  <c r="H14747" i="1"/>
  <c r="G14747" i="1"/>
  <c r="E14747" i="1"/>
  <c r="H14746" i="1"/>
  <c r="G14746" i="1"/>
  <c r="E14746" i="1"/>
  <c r="H14745" i="1"/>
  <c r="G14745" i="1"/>
  <c r="E14745" i="1"/>
  <c r="H14744" i="1"/>
  <c r="G14744" i="1"/>
  <c r="E14744" i="1"/>
  <c r="H14743" i="1"/>
  <c r="G14743" i="1"/>
  <c r="E14743" i="1"/>
  <c r="H14742" i="1"/>
  <c r="G14742" i="1"/>
  <c r="E14742" i="1"/>
  <c r="H14741" i="1"/>
  <c r="G14741" i="1"/>
  <c r="E14741" i="1"/>
  <c r="H14740" i="1"/>
  <c r="G14740" i="1"/>
  <c r="E14740" i="1"/>
  <c r="H14739" i="1"/>
  <c r="G14739" i="1"/>
  <c r="E14739" i="1"/>
  <c r="H14738" i="1"/>
  <c r="G14738" i="1"/>
  <c r="E14738" i="1"/>
  <c r="H14737" i="1"/>
  <c r="G14737" i="1"/>
  <c r="E14737" i="1"/>
  <c r="H14736" i="1"/>
  <c r="G14736" i="1"/>
  <c r="E14736" i="1"/>
  <c r="H14735" i="1"/>
  <c r="G14735" i="1"/>
  <c r="E14735" i="1"/>
  <c r="H14734" i="1"/>
  <c r="G14734" i="1"/>
  <c r="E14734" i="1"/>
  <c r="H14733" i="1"/>
  <c r="G14733" i="1"/>
  <c r="E14733" i="1"/>
  <c r="H14732" i="1"/>
  <c r="G14732" i="1"/>
  <c r="E14732" i="1"/>
  <c r="H14731" i="1"/>
  <c r="G14731" i="1"/>
  <c r="E14731" i="1"/>
  <c r="H14730" i="1"/>
  <c r="G14730" i="1"/>
  <c r="E14730" i="1"/>
  <c r="H14729" i="1"/>
  <c r="G14729" i="1"/>
  <c r="E14729" i="1"/>
  <c r="H14728" i="1"/>
  <c r="G14728" i="1"/>
  <c r="E14728" i="1"/>
  <c r="H14727" i="1"/>
  <c r="G14727" i="1"/>
  <c r="E14727" i="1"/>
  <c r="H14726" i="1"/>
  <c r="G14726" i="1"/>
  <c r="E14726" i="1"/>
  <c r="H14725" i="1"/>
  <c r="G14725" i="1"/>
  <c r="E14725" i="1"/>
  <c r="H14724" i="1"/>
  <c r="G14724" i="1"/>
  <c r="E14724" i="1"/>
  <c r="H14723" i="1"/>
  <c r="G14723" i="1"/>
  <c r="E14723" i="1"/>
  <c r="H14722" i="1"/>
  <c r="G14722" i="1"/>
  <c r="E14722" i="1"/>
  <c r="H14721" i="1"/>
  <c r="G14721" i="1"/>
  <c r="E14721" i="1"/>
  <c r="H14720" i="1"/>
  <c r="G14720" i="1"/>
  <c r="E14720" i="1"/>
  <c r="H14719" i="1"/>
  <c r="G14719" i="1"/>
  <c r="E14719" i="1"/>
  <c r="H14718" i="1"/>
  <c r="G14718" i="1"/>
  <c r="E14718" i="1"/>
  <c r="H14717" i="1"/>
  <c r="G14717" i="1"/>
  <c r="E14717" i="1"/>
  <c r="H14716" i="1"/>
  <c r="G14716" i="1"/>
  <c r="E14716" i="1"/>
  <c r="H14715" i="1"/>
  <c r="G14715" i="1"/>
  <c r="E14715" i="1"/>
  <c r="H14714" i="1"/>
  <c r="G14714" i="1"/>
  <c r="E14714" i="1"/>
  <c r="H14713" i="1"/>
  <c r="G14713" i="1"/>
  <c r="E14713" i="1"/>
  <c r="H14712" i="1"/>
  <c r="G14712" i="1"/>
  <c r="E14712" i="1"/>
  <c r="H14711" i="1"/>
  <c r="G14711" i="1"/>
  <c r="E14711" i="1"/>
  <c r="H14710" i="1"/>
  <c r="G14710" i="1"/>
  <c r="E14710" i="1"/>
  <c r="H14709" i="1"/>
  <c r="G14709" i="1"/>
  <c r="E14709" i="1"/>
  <c r="H14708" i="1"/>
  <c r="G14708" i="1"/>
  <c r="E14708" i="1"/>
  <c r="H14707" i="1"/>
  <c r="G14707" i="1"/>
  <c r="E14707" i="1"/>
  <c r="H14706" i="1"/>
  <c r="G14706" i="1"/>
  <c r="E14706" i="1"/>
  <c r="H14705" i="1"/>
  <c r="G14705" i="1"/>
  <c r="E14705" i="1"/>
  <c r="H14704" i="1"/>
  <c r="G14704" i="1"/>
  <c r="E14704" i="1"/>
  <c r="H14703" i="1"/>
  <c r="G14703" i="1"/>
  <c r="E14703" i="1"/>
  <c r="H14702" i="1"/>
  <c r="G14702" i="1"/>
  <c r="E14702" i="1"/>
  <c r="H14701" i="1"/>
  <c r="G14701" i="1"/>
  <c r="E14701" i="1"/>
  <c r="H14700" i="1"/>
  <c r="G14700" i="1"/>
  <c r="E14700" i="1"/>
  <c r="H14699" i="1"/>
  <c r="G14699" i="1"/>
  <c r="E14699" i="1"/>
  <c r="H14698" i="1"/>
  <c r="G14698" i="1"/>
  <c r="E14698" i="1"/>
  <c r="H14697" i="1"/>
  <c r="G14697" i="1"/>
  <c r="E14697" i="1"/>
  <c r="H14696" i="1"/>
  <c r="G14696" i="1"/>
  <c r="E14696" i="1"/>
  <c r="H14695" i="1"/>
  <c r="G14695" i="1"/>
  <c r="E14695" i="1"/>
  <c r="H14694" i="1"/>
  <c r="G14694" i="1"/>
  <c r="E14694" i="1"/>
  <c r="H14693" i="1"/>
  <c r="G14693" i="1"/>
  <c r="E14693" i="1"/>
  <c r="H14692" i="1"/>
  <c r="G14692" i="1"/>
  <c r="E14692" i="1"/>
  <c r="H14691" i="1"/>
  <c r="G14691" i="1"/>
  <c r="E14691" i="1"/>
  <c r="H14690" i="1"/>
  <c r="G14690" i="1"/>
  <c r="E14690" i="1"/>
  <c r="H14689" i="1"/>
  <c r="G14689" i="1"/>
  <c r="E14689" i="1"/>
  <c r="H14688" i="1"/>
  <c r="G14688" i="1"/>
  <c r="E14688" i="1"/>
  <c r="H14687" i="1"/>
  <c r="G14687" i="1"/>
  <c r="E14687" i="1"/>
  <c r="H14686" i="1"/>
  <c r="G14686" i="1"/>
  <c r="E14686" i="1"/>
  <c r="H14685" i="1"/>
  <c r="G14685" i="1"/>
  <c r="E14685" i="1"/>
  <c r="H14684" i="1"/>
  <c r="G14684" i="1"/>
  <c r="E14684" i="1"/>
  <c r="H14683" i="1"/>
  <c r="G14683" i="1"/>
  <c r="E14683" i="1"/>
  <c r="H14682" i="1"/>
  <c r="G14682" i="1"/>
  <c r="E14682" i="1"/>
  <c r="H14681" i="1"/>
  <c r="G14681" i="1"/>
  <c r="E14681" i="1"/>
  <c r="H14680" i="1"/>
  <c r="G14680" i="1"/>
  <c r="E14680" i="1"/>
  <c r="H14679" i="1"/>
  <c r="G14679" i="1"/>
  <c r="E14679" i="1"/>
  <c r="H14678" i="1"/>
  <c r="G14678" i="1"/>
  <c r="E14678" i="1"/>
  <c r="H14677" i="1"/>
  <c r="G14677" i="1"/>
  <c r="E14677" i="1"/>
  <c r="H14676" i="1"/>
  <c r="G14676" i="1"/>
  <c r="E14676" i="1"/>
  <c r="H14675" i="1"/>
  <c r="G14675" i="1"/>
  <c r="E14675" i="1"/>
  <c r="H14674" i="1"/>
  <c r="G14674" i="1"/>
  <c r="E14674" i="1"/>
  <c r="H14673" i="1"/>
  <c r="G14673" i="1"/>
  <c r="E14673" i="1"/>
  <c r="H14672" i="1"/>
  <c r="G14672" i="1"/>
  <c r="E14672" i="1"/>
  <c r="H14671" i="1"/>
  <c r="G14671" i="1"/>
  <c r="E14671" i="1"/>
  <c r="H14670" i="1"/>
  <c r="G14670" i="1"/>
  <c r="E14670" i="1"/>
  <c r="H14669" i="1"/>
  <c r="G14669" i="1"/>
  <c r="E14669" i="1"/>
  <c r="H14668" i="1"/>
  <c r="G14668" i="1"/>
  <c r="E14668" i="1"/>
  <c r="H14667" i="1"/>
  <c r="G14667" i="1"/>
  <c r="E14667" i="1"/>
  <c r="H14666" i="1"/>
  <c r="G14666" i="1"/>
  <c r="E14666" i="1"/>
  <c r="H14665" i="1"/>
  <c r="G14665" i="1"/>
  <c r="E14665" i="1"/>
  <c r="H14664" i="1"/>
  <c r="G14664" i="1"/>
  <c r="E14664" i="1"/>
  <c r="H14663" i="1"/>
  <c r="G14663" i="1"/>
  <c r="E14663" i="1"/>
  <c r="H14662" i="1"/>
  <c r="G14662" i="1"/>
  <c r="E14662" i="1"/>
  <c r="H14661" i="1"/>
  <c r="G14661" i="1"/>
  <c r="E14661" i="1"/>
  <c r="H14660" i="1"/>
  <c r="G14660" i="1"/>
  <c r="E14660" i="1"/>
  <c r="H14659" i="1"/>
  <c r="G14659" i="1"/>
  <c r="E14659" i="1"/>
  <c r="H14658" i="1"/>
  <c r="G14658" i="1"/>
  <c r="E14658" i="1"/>
  <c r="H14657" i="1"/>
  <c r="G14657" i="1"/>
  <c r="E14657" i="1"/>
  <c r="H14656" i="1"/>
  <c r="G14656" i="1"/>
  <c r="E14656" i="1"/>
  <c r="H14655" i="1"/>
  <c r="G14655" i="1"/>
  <c r="E14655" i="1"/>
  <c r="H14654" i="1"/>
  <c r="G14654" i="1"/>
  <c r="E14654" i="1"/>
  <c r="H14653" i="1"/>
  <c r="G14653" i="1"/>
  <c r="E14653" i="1"/>
  <c r="H14652" i="1"/>
  <c r="G14652" i="1"/>
  <c r="E14652" i="1"/>
  <c r="H14651" i="1"/>
  <c r="G14651" i="1"/>
  <c r="E14651" i="1"/>
  <c r="H14650" i="1"/>
  <c r="G14650" i="1"/>
  <c r="E14650" i="1"/>
  <c r="H14649" i="1"/>
  <c r="G14649" i="1"/>
  <c r="E14649" i="1"/>
  <c r="H14648" i="1"/>
  <c r="G14648" i="1"/>
  <c r="E14648" i="1"/>
  <c r="H14647" i="1"/>
  <c r="G14647" i="1"/>
  <c r="E14647" i="1"/>
  <c r="H14646" i="1"/>
  <c r="G14646" i="1"/>
  <c r="E14646" i="1"/>
  <c r="H14645" i="1"/>
  <c r="G14645" i="1"/>
  <c r="E14645" i="1"/>
  <c r="H14644" i="1"/>
  <c r="G14644" i="1"/>
  <c r="E14644" i="1"/>
  <c r="H14643" i="1"/>
  <c r="G14643" i="1"/>
  <c r="E14643" i="1"/>
  <c r="H14642" i="1"/>
  <c r="G14642" i="1"/>
  <c r="E14642" i="1"/>
  <c r="H14641" i="1"/>
  <c r="G14641" i="1"/>
  <c r="E14641" i="1"/>
  <c r="H14640" i="1"/>
  <c r="G14640" i="1"/>
  <c r="E14640" i="1"/>
  <c r="H14639" i="1"/>
  <c r="G14639" i="1"/>
  <c r="E14639" i="1"/>
  <c r="H14638" i="1"/>
  <c r="G14638" i="1"/>
  <c r="E14638" i="1"/>
  <c r="H14637" i="1"/>
  <c r="G14637" i="1"/>
  <c r="E14637" i="1"/>
  <c r="H14636" i="1"/>
  <c r="G14636" i="1"/>
  <c r="E14636" i="1"/>
  <c r="H14635" i="1"/>
  <c r="G14635" i="1"/>
  <c r="E14635" i="1"/>
  <c r="H14634" i="1"/>
  <c r="G14634" i="1"/>
  <c r="E14634" i="1"/>
  <c r="H14633" i="1"/>
  <c r="G14633" i="1"/>
  <c r="E14633" i="1"/>
  <c r="H14632" i="1"/>
  <c r="G14632" i="1"/>
  <c r="E14632" i="1"/>
  <c r="H14631" i="1"/>
  <c r="G14631" i="1"/>
  <c r="E14631" i="1"/>
  <c r="H14630" i="1"/>
  <c r="G14630" i="1"/>
  <c r="E14630" i="1"/>
  <c r="H14629" i="1"/>
  <c r="G14629" i="1"/>
  <c r="E14629" i="1"/>
  <c r="H14628" i="1"/>
  <c r="G14628" i="1"/>
  <c r="E14628" i="1"/>
  <c r="H14627" i="1"/>
  <c r="G14627" i="1"/>
  <c r="E14627" i="1"/>
  <c r="H14626" i="1"/>
  <c r="G14626" i="1"/>
  <c r="E14626" i="1"/>
  <c r="H14625" i="1"/>
  <c r="G14625" i="1"/>
  <c r="E14625" i="1"/>
  <c r="H14624" i="1"/>
  <c r="G14624" i="1"/>
  <c r="E14624" i="1"/>
  <c r="H14623" i="1"/>
  <c r="G14623" i="1"/>
  <c r="E14623" i="1"/>
  <c r="H14622" i="1"/>
  <c r="G14622" i="1"/>
  <c r="E14622" i="1"/>
  <c r="H14621" i="1"/>
  <c r="G14621" i="1"/>
  <c r="E14621" i="1"/>
  <c r="H14620" i="1"/>
  <c r="G14620" i="1"/>
  <c r="E14620" i="1"/>
  <c r="H14619" i="1"/>
  <c r="G14619" i="1"/>
  <c r="E14619" i="1"/>
  <c r="H14618" i="1"/>
  <c r="G14618" i="1"/>
  <c r="E14618" i="1"/>
  <c r="H14617" i="1"/>
  <c r="G14617" i="1"/>
  <c r="E14617" i="1"/>
  <c r="H14616" i="1"/>
  <c r="G14616" i="1"/>
  <c r="E14616" i="1"/>
  <c r="H14615" i="1"/>
  <c r="G14615" i="1"/>
  <c r="E14615" i="1"/>
  <c r="H14614" i="1"/>
  <c r="G14614" i="1"/>
  <c r="E14614" i="1"/>
  <c r="H14613" i="1"/>
  <c r="G14613" i="1"/>
  <c r="E14613" i="1"/>
  <c r="H14612" i="1"/>
  <c r="G14612" i="1"/>
  <c r="E14612" i="1"/>
  <c r="H14611" i="1"/>
  <c r="G14611" i="1"/>
  <c r="E14611" i="1"/>
  <c r="H14610" i="1"/>
  <c r="G14610" i="1"/>
  <c r="E14610" i="1"/>
  <c r="H14609" i="1"/>
  <c r="G14609" i="1"/>
  <c r="E14609" i="1"/>
  <c r="H14608" i="1"/>
  <c r="G14608" i="1"/>
  <c r="E14608" i="1"/>
  <c r="H14607" i="1"/>
  <c r="G14607" i="1"/>
  <c r="E14607" i="1"/>
  <c r="H14606" i="1"/>
  <c r="G14606" i="1"/>
  <c r="E14606" i="1"/>
  <c r="H14605" i="1"/>
  <c r="G14605" i="1"/>
  <c r="E14605" i="1"/>
  <c r="H14604" i="1"/>
  <c r="G14604" i="1"/>
  <c r="E14604" i="1"/>
  <c r="H14603" i="1"/>
  <c r="G14603" i="1"/>
  <c r="E14603" i="1"/>
  <c r="H14602" i="1"/>
  <c r="G14602" i="1"/>
  <c r="E14602" i="1"/>
  <c r="H14601" i="1"/>
  <c r="G14601" i="1"/>
  <c r="E14601" i="1"/>
  <c r="H14600" i="1"/>
  <c r="G14600" i="1"/>
  <c r="E14600" i="1"/>
  <c r="H14599" i="1"/>
  <c r="G14599" i="1"/>
  <c r="E14599" i="1"/>
  <c r="H14598" i="1"/>
  <c r="G14598" i="1"/>
  <c r="E14598" i="1"/>
  <c r="H14597" i="1"/>
  <c r="G14597" i="1"/>
  <c r="E14597" i="1"/>
  <c r="H14596" i="1"/>
  <c r="G14596" i="1"/>
  <c r="E14596" i="1"/>
  <c r="H14595" i="1"/>
  <c r="G14595" i="1"/>
  <c r="E14595" i="1"/>
  <c r="H14594" i="1"/>
  <c r="G14594" i="1"/>
  <c r="E14594" i="1"/>
  <c r="H14593" i="1"/>
  <c r="G14593" i="1"/>
  <c r="E14593" i="1"/>
  <c r="H14592" i="1"/>
  <c r="G14592" i="1"/>
  <c r="E14592" i="1"/>
  <c r="H14591" i="1"/>
  <c r="G14591" i="1"/>
  <c r="E14591" i="1"/>
  <c r="H14590" i="1"/>
  <c r="G14590" i="1"/>
  <c r="E14590" i="1"/>
  <c r="H14589" i="1"/>
  <c r="G14589" i="1"/>
  <c r="E14589" i="1"/>
  <c r="H14588" i="1"/>
  <c r="G14588" i="1"/>
  <c r="E14588" i="1"/>
  <c r="H14587" i="1"/>
  <c r="G14587" i="1"/>
  <c r="E14587" i="1"/>
  <c r="H14586" i="1"/>
  <c r="G14586" i="1"/>
  <c r="E14586" i="1"/>
  <c r="H14585" i="1"/>
  <c r="G14585" i="1"/>
  <c r="E14585" i="1"/>
  <c r="H14584" i="1"/>
  <c r="G14584" i="1"/>
  <c r="E14584" i="1"/>
  <c r="H14583" i="1"/>
  <c r="G14583" i="1"/>
  <c r="E14583" i="1"/>
  <c r="H14582" i="1"/>
  <c r="G14582" i="1"/>
  <c r="E14582" i="1"/>
  <c r="H14581" i="1"/>
  <c r="G14581" i="1"/>
  <c r="E14581" i="1"/>
  <c r="H14580" i="1"/>
  <c r="G14580" i="1"/>
  <c r="E14580" i="1"/>
  <c r="H14579" i="1"/>
  <c r="G14579" i="1"/>
  <c r="E14579" i="1"/>
  <c r="H14578" i="1"/>
  <c r="G14578" i="1"/>
  <c r="E14578" i="1"/>
  <c r="H14577" i="1"/>
  <c r="G14577" i="1"/>
  <c r="E14577" i="1"/>
  <c r="H14576" i="1"/>
  <c r="G14576" i="1"/>
  <c r="E14576" i="1"/>
  <c r="H14575" i="1"/>
  <c r="G14575" i="1"/>
  <c r="E14575" i="1"/>
  <c r="H14574" i="1"/>
  <c r="G14574" i="1"/>
  <c r="E14574" i="1"/>
  <c r="H14573" i="1"/>
  <c r="G14573" i="1"/>
  <c r="E14573" i="1"/>
  <c r="H14572" i="1"/>
  <c r="G14572" i="1"/>
  <c r="E14572" i="1"/>
  <c r="H14571" i="1"/>
  <c r="G14571" i="1"/>
  <c r="E14571" i="1"/>
  <c r="H14570" i="1"/>
  <c r="G14570" i="1"/>
  <c r="E14570" i="1"/>
  <c r="H14569" i="1"/>
  <c r="G14569" i="1"/>
  <c r="E14569" i="1"/>
  <c r="H14568" i="1"/>
  <c r="G14568" i="1"/>
  <c r="E14568" i="1"/>
  <c r="H14567" i="1"/>
  <c r="G14567" i="1"/>
  <c r="E14567" i="1"/>
  <c r="H14566" i="1"/>
  <c r="G14566" i="1"/>
  <c r="E14566" i="1"/>
  <c r="H14565" i="1"/>
  <c r="G14565" i="1"/>
  <c r="E14565" i="1"/>
  <c r="H14564" i="1"/>
  <c r="G14564" i="1"/>
  <c r="E14564" i="1"/>
  <c r="H14563" i="1"/>
  <c r="G14563" i="1"/>
  <c r="E14563" i="1"/>
  <c r="H14562" i="1"/>
  <c r="G14562" i="1"/>
  <c r="E14562" i="1"/>
  <c r="H14561" i="1"/>
  <c r="G14561" i="1"/>
  <c r="E14561" i="1"/>
  <c r="H14560" i="1"/>
  <c r="G14560" i="1"/>
  <c r="E14560" i="1"/>
  <c r="H14559" i="1"/>
  <c r="G14559" i="1"/>
  <c r="E14559" i="1"/>
  <c r="H14558" i="1"/>
  <c r="G14558" i="1"/>
  <c r="E14558" i="1"/>
  <c r="H14557" i="1"/>
  <c r="G14557" i="1"/>
  <c r="E14557" i="1"/>
  <c r="H14556" i="1"/>
  <c r="G14556" i="1"/>
  <c r="E14556" i="1"/>
  <c r="H14555" i="1"/>
  <c r="G14555" i="1"/>
  <c r="E14555" i="1"/>
  <c r="H14554" i="1"/>
  <c r="G14554" i="1"/>
  <c r="E14554" i="1"/>
  <c r="H14553" i="1"/>
  <c r="G14553" i="1"/>
  <c r="E14553" i="1"/>
  <c r="H14552" i="1"/>
  <c r="G14552" i="1"/>
  <c r="E14552" i="1"/>
  <c r="H14551" i="1"/>
  <c r="G14551" i="1"/>
  <c r="E14551" i="1"/>
  <c r="H14550" i="1"/>
  <c r="G14550" i="1"/>
  <c r="E14550" i="1"/>
  <c r="H14549" i="1"/>
  <c r="G14549" i="1"/>
  <c r="E14549" i="1"/>
  <c r="H14548" i="1"/>
  <c r="G14548" i="1"/>
  <c r="E14548" i="1"/>
  <c r="H14547" i="1"/>
  <c r="G14547" i="1"/>
  <c r="E14547" i="1"/>
  <c r="H14546" i="1"/>
  <c r="G14546" i="1"/>
  <c r="E14546" i="1"/>
  <c r="H14545" i="1"/>
  <c r="G14545" i="1"/>
  <c r="E14545" i="1"/>
  <c r="H14544" i="1"/>
  <c r="G14544" i="1"/>
  <c r="E14544" i="1"/>
  <c r="H14543" i="1"/>
  <c r="G14543" i="1"/>
  <c r="E14543" i="1"/>
  <c r="H14542" i="1"/>
  <c r="G14542" i="1"/>
  <c r="E14542" i="1"/>
  <c r="H14541" i="1"/>
  <c r="G14541" i="1"/>
  <c r="E14541" i="1"/>
  <c r="H14540" i="1"/>
  <c r="G14540" i="1"/>
  <c r="E14540" i="1"/>
  <c r="H14539" i="1"/>
  <c r="G14539" i="1"/>
  <c r="E14539" i="1"/>
  <c r="H14538" i="1"/>
  <c r="G14538" i="1"/>
  <c r="E14538" i="1"/>
  <c r="H14537" i="1"/>
  <c r="G14537" i="1"/>
  <c r="E14537" i="1"/>
  <c r="H14536" i="1"/>
  <c r="G14536" i="1"/>
  <c r="E14536" i="1"/>
  <c r="H14535" i="1"/>
  <c r="G14535" i="1"/>
  <c r="E14535" i="1"/>
  <c r="H14534" i="1"/>
  <c r="G14534" i="1"/>
  <c r="E14534" i="1"/>
  <c r="H14533" i="1"/>
  <c r="G14533" i="1"/>
  <c r="E14533" i="1"/>
  <c r="H14532" i="1"/>
  <c r="G14532" i="1"/>
  <c r="E14532" i="1"/>
  <c r="H14531" i="1"/>
  <c r="G14531" i="1"/>
  <c r="E14531" i="1"/>
  <c r="H14530" i="1"/>
  <c r="G14530" i="1"/>
  <c r="E14530" i="1"/>
  <c r="H14529" i="1"/>
  <c r="G14529" i="1"/>
  <c r="E14529" i="1"/>
  <c r="H14528" i="1"/>
  <c r="G14528" i="1"/>
  <c r="E14528" i="1"/>
  <c r="H14527" i="1"/>
  <c r="G14527" i="1"/>
  <c r="E14527" i="1"/>
  <c r="H14526" i="1"/>
  <c r="G14526" i="1"/>
  <c r="E14526" i="1"/>
  <c r="H14525" i="1"/>
  <c r="G14525" i="1"/>
  <c r="E14525" i="1"/>
  <c r="H14524" i="1"/>
  <c r="G14524" i="1"/>
  <c r="E14524" i="1"/>
  <c r="H14523" i="1"/>
  <c r="G14523" i="1"/>
  <c r="E14523" i="1"/>
  <c r="H14522" i="1"/>
  <c r="G14522" i="1"/>
  <c r="E14522" i="1"/>
  <c r="H14521" i="1"/>
  <c r="G14521" i="1"/>
  <c r="E14521" i="1"/>
  <c r="H14520" i="1"/>
  <c r="G14520" i="1"/>
  <c r="E14520" i="1"/>
  <c r="H14519" i="1"/>
  <c r="G14519" i="1"/>
  <c r="E14519" i="1"/>
  <c r="H14518" i="1"/>
  <c r="G14518" i="1"/>
  <c r="E14518" i="1"/>
  <c r="H14517" i="1"/>
  <c r="G14517" i="1"/>
  <c r="E14517" i="1"/>
  <c r="H14516" i="1"/>
  <c r="G14516" i="1"/>
  <c r="E14516" i="1"/>
  <c r="H14515" i="1"/>
  <c r="G14515" i="1"/>
  <c r="E14515" i="1"/>
  <c r="H14514" i="1"/>
  <c r="G14514" i="1"/>
  <c r="E14514" i="1"/>
  <c r="H14513" i="1"/>
  <c r="G14513" i="1"/>
  <c r="E14513" i="1"/>
  <c r="H14512" i="1"/>
  <c r="G14512" i="1"/>
  <c r="E14512" i="1"/>
  <c r="H14511" i="1"/>
  <c r="G14511" i="1"/>
  <c r="E14511" i="1"/>
  <c r="H14510" i="1"/>
  <c r="G14510" i="1"/>
  <c r="E14510" i="1"/>
  <c r="H14509" i="1"/>
  <c r="G14509" i="1"/>
  <c r="E14509" i="1"/>
  <c r="H14508" i="1"/>
  <c r="G14508" i="1"/>
  <c r="E14508" i="1"/>
  <c r="H14507" i="1"/>
  <c r="G14507" i="1"/>
  <c r="E14507" i="1"/>
  <c r="H14506" i="1"/>
  <c r="G14506" i="1"/>
  <c r="E14506" i="1"/>
  <c r="H14505" i="1"/>
  <c r="G14505" i="1"/>
  <c r="E14505" i="1"/>
  <c r="H14504" i="1"/>
  <c r="G14504" i="1"/>
  <c r="E14504" i="1"/>
  <c r="H14503" i="1"/>
  <c r="G14503" i="1"/>
  <c r="E14503" i="1"/>
  <c r="H14502" i="1"/>
  <c r="G14502" i="1"/>
  <c r="E14502" i="1"/>
  <c r="H14501" i="1"/>
  <c r="G14501" i="1"/>
  <c r="E14501" i="1"/>
  <c r="H14500" i="1"/>
  <c r="G14500" i="1"/>
  <c r="E14500" i="1"/>
  <c r="H14499" i="1"/>
  <c r="G14499" i="1"/>
  <c r="E14499" i="1"/>
  <c r="H14498" i="1"/>
  <c r="G14498" i="1"/>
  <c r="E14498" i="1"/>
  <c r="H14497" i="1"/>
  <c r="G14497" i="1"/>
  <c r="E14497" i="1"/>
  <c r="H14496" i="1"/>
  <c r="G14496" i="1"/>
  <c r="E14496" i="1"/>
  <c r="H14495" i="1"/>
  <c r="G14495" i="1"/>
  <c r="E14495" i="1"/>
  <c r="H14494" i="1"/>
  <c r="G14494" i="1"/>
  <c r="E14494" i="1"/>
  <c r="H14493" i="1"/>
  <c r="G14493" i="1"/>
  <c r="E14493" i="1"/>
  <c r="H14492" i="1"/>
  <c r="G14492" i="1"/>
  <c r="E14492" i="1"/>
  <c r="H14491" i="1"/>
  <c r="G14491" i="1"/>
  <c r="E14491" i="1"/>
  <c r="H14490" i="1"/>
  <c r="G14490" i="1"/>
  <c r="E14490" i="1"/>
  <c r="H14489" i="1"/>
  <c r="G14489" i="1"/>
  <c r="E14489" i="1"/>
  <c r="H14488" i="1"/>
  <c r="G14488" i="1"/>
  <c r="E14488" i="1"/>
  <c r="H14487" i="1"/>
  <c r="G14487" i="1"/>
  <c r="E14487" i="1"/>
  <c r="H14486" i="1"/>
  <c r="G14486" i="1"/>
  <c r="E14486" i="1"/>
  <c r="H14485" i="1"/>
  <c r="G14485" i="1"/>
  <c r="E14485" i="1"/>
  <c r="H14484" i="1"/>
  <c r="G14484" i="1"/>
  <c r="E14484" i="1"/>
  <c r="H14483" i="1"/>
  <c r="G14483" i="1"/>
  <c r="E14483" i="1"/>
  <c r="H14482" i="1"/>
  <c r="G14482" i="1"/>
  <c r="E14482" i="1"/>
  <c r="H14481" i="1"/>
  <c r="G14481" i="1"/>
  <c r="E14481" i="1"/>
  <c r="H14480" i="1"/>
  <c r="G14480" i="1"/>
  <c r="E14480" i="1"/>
  <c r="H14479" i="1"/>
  <c r="G14479" i="1"/>
  <c r="E14479" i="1"/>
  <c r="H14478" i="1"/>
  <c r="G14478" i="1"/>
  <c r="E14478" i="1"/>
  <c r="H14477" i="1"/>
  <c r="G14477" i="1"/>
  <c r="E14477" i="1"/>
  <c r="H14476" i="1"/>
  <c r="G14476" i="1"/>
  <c r="E14476" i="1"/>
  <c r="H14475" i="1"/>
  <c r="G14475" i="1"/>
  <c r="E14475" i="1"/>
  <c r="H14474" i="1"/>
  <c r="G14474" i="1"/>
  <c r="E14474" i="1"/>
  <c r="H14473" i="1"/>
  <c r="G14473" i="1"/>
  <c r="E14473" i="1"/>
  <c r="H14472" i="1"/>
  <c r="G14472" i="1"/>
  <c r="E14472" i="1"/>
  <c r="H14471" i="1"/>
  <c r="G14471" i="1"/>
  <c r="E14471" i="1"/>
  <c r="H14470" i="1"/>
  <c r="G14470" i="1"/>
  <c r="E14470" i="1"/>
  <c r="H14469" i="1"/>
  <c r="G14469" i="1"/>
  <c r="E14469" i="1"/>
  <c r="H14468" i="1"/>
  <c r="G14468" i="1"/>
  <c r="E14468" i="1"/>
  <c r="H14467" i="1"/>
  <c r="G14467" i="1"/>
  <c r="E14467" i="1"/>
  <c r="H14466" i="1"/>
  <c r="G14466" i="1"/>
  <c r="E14466" i="1"/>
  <c r="H14465" i="1"/>
  <c r="G14465" i="1"/>
  <c r="E14465" i="1"/>
  <c r="H14464" i="1"/>
  <c r="G14464" i="1"/>
  <c r="E14464" i="1"/>
  <c r="H14463" i="1"/>
  <c r="G14463" i="1"/>
  <c r="E14463" i="1"/>
  <c r="H14462" i="1"/>
  <c r="G14462" i="1"/>
  <c r="E14462" i="1"/>
  <c r="H14461" i="1"/>
  <c r="G14461" i="1"/>
  <c r="E14461" i="1"/>
  <c r="H14460" i="1"/>
  <c r="G14460" i="1"/>
  <c r="E14460" i="1"/>
  <c r="H14459" i="1"/>
  <c r="G14459" i="1"/>
  <c r="E14459" i="1"/>
  <c r="H14458" i="1"/>
  <c r="G14458" i="1"/>
  <c r="E14458" i="1"/>
  <c r="H14457" i="1"/>
  <c r="G14457" i="1"/>
  <c r="E14457" i="1"/>
  <c r="H14456" i="1"/>
  <c r="G14456" i="1"/>
  <c r="E14456" i="1"/>
  <c r="H14455" i="1"/>
  <c r="G14455" i="1"/>
  <c r="E14455" i="1"/>
  <c r="H14454" i="1"/>
  <c r="G14454" i="1"/>
  <c r="E14454" i="1"/>
  <c r="H14453" i="1"/>
  <c r="G14453" i="1"/>
  <c r="E14453" i="1"/>
  <c r="H14452" i="1"/>
  <c r="G14452" i="1"/>
  <c r="E14452" i="1"/>
  <c r="H14451" i="1"/>
  <c r="G14451" i="1"/>
  <c r="E14451" i="1"/>
  <c r="H14450" i="1"/>
  <c r="G14450" i="1"/>
  <c r="E14450" i="1"/>
  <c r="H14449" i="1"/>
  <c r="G14449" i="1"/>
  <c r="E14449" i="1"/>
  <c r="H14448" i="1"/>
  <c r="G14448" i="1"/>
  <c r="E14448" i="1"/>
  <c r="H14447" i="1"/>
  <c r="G14447" i="1"/>
  <c r="E14447" i="1"/>
  <c r="H14446" i="1"/>
  <c r="G14446" i="1"/>
  <c r="E14446" i="1"/>
  <c r="H14445" i="1"/>
  <c r="G14445" i="1"/>
  <c r="E14445" i="1"/>
  <c r="H14444" i="1"/>
  <c r="G14444" i="1"/>
  <c r="E14444" i="1"/>
  <c r="H14443" i="1"/>
  <c r="G14443" i="1"/>
  <c r="E14443" i="1"/>
  <c r="H14442" i="1"/>
  <c r="G14442" i="1"/>
  <c r="E14442" i="1"/>
  <c r="H14441" i="1"/>
  <c r="G14441" i="1"/>
  <c r="E14441" i="1"/>
  <c r="H14440" i="1"/>
  <c r="G14440" i="1"/>
  <c r="E14440" i="1"/>
  <c r="H14439" i="1"/>
  <c r="G14439" i="1"/>
  <c r="E14439" i="1"/>
  <c r="H14438" i="1"/>
  <c r="G14438" i="1"/>
  <c r="E14438" i="1"/>
  <c r="H14437" i="1"/>
  <c r="G14437" i="1"/>
  <c r="E14437" i="1"/>
  <c r="H14436" i="1"/>
  <c r="G14436" i="1"/>
  <c r="E14436" i="1"/>
  <c r="H14435" i="1"/>
  <c r="G14435" i="1"/>
  <c r="E14435" i="1"/>
  <c r="H14434" i="1"/>
  <c r="G14434" i="1"/>
  <c r="E14434" i="1"/>
  <c r="H14433" i="1"/>
  <c r="G14433" i="1"/>
  <c r="E14433" i="1"/>
  <c r="H14432" i="1"/>
  <c r="G14432" i="1"/>
  <c r="E14432" i="1"/>
  <c r="H14431" i="1"/>
  <c r="G14431" i="1"/>
  <c r="E14431" i="1"/>
  <c r="H14430" i="1"/>
  <c r="G14430" i="1"/>
  <c r="E14430" i="1"/>
  <c r="H14429" i="1"/>
  <c r="G14429" i="1"/>
  <c r="E14429" i="1"/>
  <c r="H14428" i="1"/>
  <c r="G14428" i="1"/>
  <c r="E14428" i="1"/>
  <c r="H14427" i="1"/>
  <c r="G14427" i="1"/>
  <c r="E14427" i="1"/>
  <c r="H14426" i="1"/>
  <c r="G14426" i="1"/>
  <c r="E14426" i="1"/>
  <c r="H14425" i="1"/>
  <c r="G14425" i="1"/>
  <c r="E14425" i="1"/>
  <c r="H14424" i="1"/>
  <c r="G14424" i="1"/>
  <c r="E14424" i="1"/>
  <c r="H14423" i="1"/>
  <c r="G14423" i="1"/>
  <c r="E14423" i="1"/>
  <c r="H14422" i="1"/>
  <c r="G14422" i="1"/>
  <c r="E14422" i="1"/>
  <c r="H14421" i="1"/>
  <c r="G14421" i="1"/>
  <c r="E14421" i="1"/>
  <c r="H14420" i="1"/>
  <c r="G14420" i="1"/>
  <c r="E14420" i="1"/>
  <c r="H14419" i="1"/>
  <c r="G14419" i="1"/>
  <c r="E14419" i="1"/>
  <c r="H14418" i="1"/>
  <c r="G14418" i="1"/>
  <c r="E14418" i="1"/>
  <c r="H14417" i="1"/>
  <c r="G14417" i="1"/>
  <c r="E14417" i="1"/>
  <c r="H14416" i="1"/>
  <c r="G14416" i="1"/>
  <c r="E14416" i="1"/>
  <c r="H14415" i="1"/>
  <c r="G14415" i="1"/>
  <c r="E14415" i="1"/>
  <c r="H14414" i="1"/>
  <c r="G14414" i="1"/>
  <c r="E14414" i="1"/>
  <c r="H14413" i="1"/>
  <c r="G14413" i="1"/>
  <c r="E14413" i="1"/>
  <c r="H14412" i="1"/>
  <c r="G14412" i="1"/>
  <c r="E14412" i="1"/>
  <c r="H14411" i="1"/>
  <c r="G14411" i="1"/>
  <c r="E14411" i="1"/>
  <c r="H14410" i="1"/>
  <c r="G14410" i="1"/>
  <c r="E14410" i="1"/>
  <c r="H14409" i="1"/>
  <c r="G14409" i="1"/>
  <c r="E14409" i="1"/>
  <c r="H14408" i="1"/>
  <c r="G14408" i="1"/>
  <c r="E14408" i="1"/>
  <c r="H14407" i="1"/>
  <c r="G14407" i="1"/>
  <c r="E14407" i="1"/>
  <c r="H14406" i="1"/>
  <c r="G14406" i="1"/>
  <c r="E14406" i="1"/>
  <c r="H14405" i="1"/>
  <c r="G14405" i="1"/>
  <c r="E14405" i="1"/>
  <c r="H14404" i="1"/>
  <c r="G14404" i="1"/>
  <c r="E14404" i="1"/>
  <c r="H14403" i="1"/>
  <c r="G14403" i="1"/>
  <c r="E14403" i="1"/>
  <c r="H14402" i="1"/>
  <c r="G14402" i="1"/>
  <c r="E14402" i="1"/>
  <c r="H14401" i="1"/>
  <c r="G14401" i="1"/>
  <c r="E14401" i="1"/>
  <c r="H14400" i="1"/>
  <c r="G14400" i="1"/>
  <c r="E14400" i="1"/>
  <c r="H14399" i="1"/>
  <c r="G14399" i="1"/>
  <c r="E14399" i="1"/>
  <c r="H14398" i="1"/>
  <c r="G14398" i="1"/>
  <c r="E14398" i="1"/>
  <c r="H14397" i="1"/>
  <c r="G14397" i="1"/>
  <c r="E14397" i="1"/>
  <c r="H14396" i="1"/>
  <c r="G14396" i="1"/>
  <c r="E14396" i="1"/>
  <c r="H14395" i="1"/>
  <c r="G14395" i="1"/>
  <c r="E14395" i="1"/>
  <c r="H14394" i="1"/>
  <c r="G14394" i="1"/>
  <c r="E14394" i="1"/>
  <c r="H14393" i="1"/>
  <c r="G14393" i="1"/>
  <c r="E14393" i="1"/>
  <c r="H14392" i="1"/>
  <c r="G14392" i="1"/>
  <c r="E14392" i="1"/>
  <c r="H14391" i="1"/>
  <c r="G14391" i="1"/>
  <c r="E14391" i="1"/>
  <c r="H14390" i="1"/>
  <c r="G14390" i="1"/>
  <c r="E14390" i="1"/>
  <c r="H14389" i="1"/>
  <c r="G14389" i="1"/>
  <c r="E14389" i="1"/>
  <c r="H14388" i="1"/>
  <c r="G14388" i="1"/>
  <c r="E14388" i="1"/>
  <c r="H14387" i="1"/>
  <c r="G14387" i="1"/>
  <c r="E14387" i="1"/>
  <c r="H14386" i="1"/>
  <c r="G14386" i="1"/>
  <c r="E14386" i="1"/>
  <c r="H14385" i="1"/>
  <c r="G14385" i="1"/>
  <c r="E14385" i="1"/>
  <c r="H14384" i="1"/>
  <c r="G14384" i="1"/>
  <c r="E14384" i="1"/>
  <c r="H14383" i="1"/>
  <c r="G14383" i="1"/>
  <c r="E14383" i="1"/>
  <c r="H14382" i="1"/>
  <c r="G14382" i="1"/>
  <c r="E14382" i="1"/>
  <c r="H14381" i="1"/>
  <c r="G14381" i="1"/>
  <c r="E14381" i="1"/>
  <c r="H14380" i="1"/>
  <c r="G14380" i="1"/>
  <c r="E14380" i="1"/>
  <c r="H14379" i="1"/>
  <c r="G14379" i="1"/>
  <c r="E14379" i="1"/>
  <c r="H14378" i="1"/>
  <c r="G14378" i="1"/>
  <c r="E14378" i="1"/>
  <c r="H14377" i="1"/>
  <c r="G14377" i="1"/>
  <c r="E14377" i="1"/>
  <c r="H14376" i="1"/>
  <c r="G14376" i="1"/>
  <c r="E14376" i="1"/>
  <c r="H14375" i="1"/>
  <c r="G14375" i="1"/>
  <c r="E14375" i="1"/>
  <c r="H14374" i="1"/>
  <c r="G14374" i="1"/>
  <c r="E14374" i="1"/>
  <c r="H14373" i="1"/>
  <c r="G14373" i="1"/>
  <c r="E14373" i="1"/>
  <c r="H14372" i="1"/>
  <c r="G14372" i="1"/>
  <c r="E14372" i="1"/>
  <c r="H14371" i="1"/>
  <c r="G14371" i="1"/>
  <c r="E14371" i="1"/>
  <c r="H14370" i="1"/>
  <c r="G14370" i="1"/>
  <c r="E14370" i="1"/>
  <c r="H14369" i="1"/>
  <c r="G14369" i="1"/>
  <c r="E14369" i="1"/>
  <c r="H14368" i="1"/>
  <c r="G14368" i="1"/>
  <c r="E14368" i="1"/>
  <c r="H14367" i="1"/>
  <c r="G14367" i="1"/>
  <c r="E14367" i="1"/>
  <c r="H14366" i="1"/>
  <c r="G14366" i="1"/>
  <c r="E14366" i="1"/>
  <c r="H14365" i="1"/>
  <c r="G14365" i="1"/>
  <c r="E14365" i="1"/>
  <c r="H14364" i="1"/>
  <c r="G14364" i="1"/>
  <c r="E14364" i="1"/>
  <c r="H14363" i="1"/>
  <c r="G14363" i="1"/>
  <c r="E14363" i="1"/>
  <c r="H14362" i="1"/>
  <c r="G14362" i="1"/>
  <c r="E14362" i="1"/>
  <c r="H14361" i="1"/>
  <c r="G14361" i="1"/>
  <c r="E14361" i="1"/>
  <c r="H14360" i="1"/>
  <c r="G14360" i="1"/>
  <c r="E14360" i="1"/>
  <c r="H14359" i="1"/>
  <c r="G14359" i="1"/>
  <c r="E14359" i="1"/>
  <c r="H14358" i="1"/>
  <c r="G14358" i="1"/>
  <c r="E14358" i="1"/>
  <c r="H14357" i="1"/>
  <c r="G14357" i="1"/>
  <c r="E14357" i="1"/>
  <c r="H14356" i="1"/>
  <c r="G14356" i="1"/>
  <c r="E14356" i="1"/>
  <c r="H14355" i="1"/>
  <c r="G14355" i="1"/>
  <c r="E14355" i="1"/>
  <c r="H14354" i="1"/>
  <c r="G14354" i="1"/>
  <c r="E14354" i="1"/>
  <c r="H14353" i="1"/>
  <c r="G14353" i="1"/>
  <c r="E14353" i="1"/>
  <c r="H14352" i="1"/>
  <c r="G14352" i="1"/>
  <c r="E14352" i="1"/>
  <c r="H14351" i="1"/>
  <c r="G14351" i="1"/>
  <c r="E14351" i="1"/>
  <c r="H14350" i="1"/>
  <c r="G14350" i="1"/>
  <c r="E14350" i="1"/>
  <c r="H14349" i="1"/>
  <c r="G14349" i="1"/>
  <c r="E14349" i="1"/>
  <c r="H14348" i="1"/>
  <c r="G14348" i="1"/>
  <c r="E14348" i="1"/>
  <c r="H14347" i="1"/>
  <c r="G14347" i="1"/>
  <c r="E14347" i="1"/>
  <c r="H14346" i="1"/>
  <c r="G14346" i="1"/>
  <c r="E14346" i="1"/>
  <c r="H14345" i="1"/>
  <c r="G14345" i="1"/>
  <c r="E14345" i="1"/>
  <c r="H14344" i="1"/>
  <c r="G14344" i="1"/>
  <c r="E14344" i="1"/>
  <c r="H14343" i="1"/>
  <c r="G14343" i="1"/>
  <c r="E14343" i="1"/>
  <c r="H14342" i="1"/>
  <c r="G14342" i="1"/>
  <c r="E14342" i="1"/>
  <c r="H14341" i="1"/>
  <c r="G14341" i="1"/>
  <c r="E14341" i="1"/>
  <c r="H14340" i="1"/>
  <c r="G14340" i="1"/>
  <c r="E14340" i="1"/>
  <c r="H14339" i="1"/>
  <c r="G14339" i="1"/>
  <c r="E14339" i="1"/>
  <c r="H14338" i="1"/>
  <c r="G14338" i="1"/>
  <c r="E14338" i="1"/>
  <c r="H14337" i="1"/>
  <c r="G14337" i="1"/>
  <c r="E14337" i="1"/>
  <c r="H14336" i="1"/>
  <c r="G14336" i="1"/>
  <c r="E14336" i="1"/>
  <c r="H14335" i="1"/>
  <c r="G14335" i="1"/>
  <c r="E14335" i="1"/>
  <c r="H14334" i="1"/>
  <c r="G14334" i="1"/>
  <c r="E14334" i="1"/>
  <c r="H14333" i="1"/>
  <c r="G14333" i="1"/>
  <c r="E14333" i="1"/>
  <c r="H14332" i="1"/>
  <c r="G14332" i="1"/>
  <c r="E14332" i="1"/>
  <c r="H14331" i="1"/>
  <c r="G14331" i="1"/>
  <c r="E14331" i="1"/>
  <c r="H14330" i="1"/>
  <c r="G14330" i="1"/>
  <c r="E14330" i="1"/>
  <c r="H14329" i="1"/>
  <c r="G14329" i="1"/>
  <c r="E14329" i="1"/>
  <c r="H14328" i="1"/>
  <c r="G14328" i="1"/>
  <c r="E14328" i="1"/>
  <c r="H14327" i="1"/>
  <c r="G14327" i="1"/>
  <c r="E14327" i="1"/>
  <c r="H14326" i="1"/>
  <c r="G14326" i="1"/>
  <c r="E14326" i="1"/>
  <c r="H14325" i="1"/>
  <c r="G14325" i="1"/>
  <c r="E14325" i="1"/>
  <c r="H14324" i="1"/>
  <c r="G14324" i="1"/>
  <c r="E14324" i="1"/>
  <c r="H14323" i="1"/>
  <c r="G14323" i="1"/>
  <c r="E14323" i="1"/>
  <c r="H14322" i="1"/>
  <c r="G14322" i="1"/>
  <c r="E14322" i="1"/>
  <c r="H14321" i="1"/>
  <c r="G14321" i="1"/>
  <c r="E14321" i="1"/>
  <c r="H14320" i="1"/>
  <c r="G14320" i="1"/>
  <c r="E14320" i="1"/>
  <c r="H14319" i="1"/>
  <c r="G14319" i="1"/>
  <c r="E14319" i="1"/>
  <c r="H14318" i="1"/>
  <c r="G14318" i="1"/>
  <c r="E14318" i="1"/>
  <c r="H14317" i="1"/>
  <c r="G14317" i="1"/>
  <c r="E14317" i="1"/>
  <c r="H14316" i="1"/>
  <c r="G14316" i="1"/>
  <c r="E14316" i="1"/>
  <c r="H14315" i="1"/>
  <c r="G14315" i="1"/>
  <c r="E14315" i="1"/>
  <c r="H14314" i="1"/>
  <c r="G14314" i="1"/>
  <c r="E14314" i="1"/>
  <c r="H14313" i="1"/>
  <c r="G14313" i="1"/>
  <c r="E14313" i="1"/>
  <c r="H14312" i="1"/>
  <c r="G14312" i="1"/>
  <c r="E14312" i="1"/>
  <c r="H14311" i="1"/>
  <c r="G14311" i="1"/>
  <c r="E14311" i="1"/>
  <c r="H14310" i="1"/>
  <c r="G14310" i="1"/>
  <c r="E14310" i="1"/>
  <c r="H14309" i="1"/>
  <c r="G14309" i="1"/>
  <c r="E14309" i="1"/>
  <c r="H14308" i="1"/>
  <c r="G14308" i="1"/>
  <c r="E14308" i="1"/>
  <c r="H14307" i="1"/>
  <c r="G14307" i="1"/>
  <c r="E14307" i="1"/>
  <c r="H14306" i="1"/>
  <c r="G14306" i="1"/>
  <c r="E14306" i="1"/>
  <c r="H14305" i="1"/>
  <c r="G14305" i="1"/>
  <c r="E14305" i="1"/>
  <c r="H14304" i="1"/>
  <c r="G14304" i="1"/>
  <c r="E14304" i="1"/>
  <c r="H14303" i="1"/>
  <c r="G14303" i="1"/>
  <c r="E14303" i="1"/>
  <c r="H14302" i="1"/>
  <c r="G14302" i="1"/>
  <c r="E14302" i="1"/>
  <c r="H14301" i="1"/>
  <c r="G14301" i="1"/>
  <c r="E14301" i="1"/>
  <c r="H14300" i="1"/>
  <c r="G14300" i="1"/>
  <c r="E14300" i="1"/>
  <c r="H14299" i="1"/>
  <c r="G14299" i="1"/>
  <c r="E14299" i="1"/>
  <c r="H14298" i="1"/>
  <c r="G14298" i="1"/>
  <c r="E14298" i="1"/>
  <c r="H14297" i="1"/>
  <c r="G14297" i="1"/>
  <c r="E14297" i="1"/>
  <c r="H14296" i="1"/>
  <c r="G14296" i="1"/>
  <c r="E14296" i="1"/>
  <c r="H14295" i="1"/>
  <c r="G14295" i="1"/>
  <c r="E14295" i="1"/>
  <c r="H14294" i="1"/>
  <c r="G14294" i="1"/>
  <c r="E14294" i="1"/>
  <c r="H14293" i="1"/>
  <c r="G14293" i="1"/>
  <c r="E14293" i="1"/>
  <c r="H14292" i="1"/>
  <c r="G14292" i="1"/>
  <c r="E14292" i="1"/>
  <c r="H14291" i="1"/>
  <c r="G14291" i="1"/>
  <c r="E14291" i="1"/>
  <c r="H14290" i="1"/>
  <c r="G14290" i="1"/>
  <c r="E14290" i="1"/>
  <c r="H14289" i="1"/>
  <c r="G14289" i="1"/>
  <c r="E14289" i="1"/>
  <c r="H14288" i="1"/>
  <c r="G14288" i="1"/>
  <c r="E14288" i="1"/>
  <c r="H14287" i="1"/>
  <c r="G14287" i="1"/>
  <c r="E14287" i="1"/>
  <c r="H14286" i="1"/>
  <c r="G14286" i="1"/>
  <c r="E14286" i="1"/>
  <c r="H14285" i="1"/>
  <c r="G14285" i="1"/>
  <c r="E14285" i="1"/>
  <c r="H14284" i="1"/>
  <c r="G14284" i="1"/>
  <c r="E14284" i="1"/>
  <c r="H14283" i="1"/>
  <c r="G14283" i="1"/>
  <c r="E14283" i="1"/>
  <c r="H14282" i="1"/>
  <c r="G14282" i="1"/>
  <c r="E14282" i="1"/>
  <c r="H14281" i="1"/>
  <c r="G14281" i="1"/>
  <c r="E14281" i="1"/>
  <c r="H14280" i="1"/>
  <c r="G14280" i="1"/>
  <c r="E14280" i="1"/>
  <c r="H14279" i="1"/>
  <c r="G14279" i="1"/>
  <c r="E14279" i="1"/>
  <c r="H14278" i="1"/>
  <c r="G14278" i="1"/>
  <c r="E14278" i="1"/>
  <c r="H14277" i="1"/>
  <c r="G14277" i="1"/>
  <c r="E14277" i="1"/>
  <c r="H14276" i="1"/>
  <c r="G14276" i="1"/>
  <c r="E14276" i="1"/>
  <c r="H14275" i="1"/>
  <c r="G14275" i="1"/>
  <c r="E14275" i="1"/>
  <c r="H14274" i="1"/>
  <c r="G14274" i="1"/>
  <c r="E14274" i="1"/>
  <c r="H14273" i="1"/>
  <c r="G14273" i="1"/>
  <c r="E14273" i="1"/>
  <c r="H14272" i="1"/>
  <c r="G14272" i="1"/>
  <c r="E14272" i="1"/>
  <c r="H14271" i="1"/>
  <c r="G14271" i="1"/>
  <c r="E14271" i="1"/>
  <c r="H14270" i="1"/>
  <c r="G14270" i="1"/>
  <c r="E14270" i="1"/>
  <c r="H14269" i="1"/>
  <c r="G14269" i="1"/>
  <c r="E14269" i="1"/>
  <c r="H14268" i="1"/>
  <c r="G14268" i="1"/>
  <c r="E14268" i="1"/>
  <c r="H14267" i="1"/>
  <c r="G14267" i="1"/>
  <c r="E14267" i="1"/>
  <c r="H14266" i="1"/>
  <c r="G14266" i="1"/>
  <c r="E14266" i="1"/>
  <c r="H14265" i="1"/>
  <c r="G14265" i="1"/>
  <c r="E14265" i="1"/>
  <c r="H14264" i="1"/>
  <c r="G14264" i="1"/>
  <c r="E14264" i="1"/>
  <c r="H14263" i="1"/>
  <c r="G14263" i="1"/>
  <c r="E14263" i="1"/>
  <c r="H14262" i="1"/>
  <c r="G14262" i="1"/>
  <c r="E14262" i="1"/>
  <c r="H14261" i="1"/>
  <c r="G14261" i="1"/>
  <c r="E14261" i="1"/>
  <c r="H14260" i="1"/>
  <c r="G14260" i="1"/>
  <c r="E14260" i="1"/>
  <c r="H14259" i="1"/>
  <c r="G14259" i="1"/>
  <c r="E14259" i="1"/>
  <c r="H14258" i="1"/>
  <c r="G14258" i="1"/>
  <c r="E14258" i="1"/>
  <c r="H14257" i="1"/>
  <c r="G14257" i="1"/>
  <c r="E14257" i="1"/>
  <c r="H14256" i="1"/>
  <c r="G14256" i="1"/>
  <c r="E14256" i="1"/>
  <c r="H14255" i="1"/>
  <c r="G14255" i="1"/>
  <c r="E14255" i="1"/>
  <c r="H14254" i="1"/>
  <c r="G14254" i="1"/>
  <c r="E14254" i="1"/>
  <c r="H14253" i="1"/>
  <c r="G14253" i="1"/>
  <c r="E14253" i="1"/>
  <c r="H14252" i="1"/>
  <c r="G14252" i="1"/>
  <c r="E14252" i="1"/>
  <c r="H14251" i="1"/>
  <c r="G14251" i="1"/>
  <c r="E14251" i="1"/>
  <c r="H14250" i="1"/>
  <c r="G14250" i="1"/>
  <c r="E14250" i="1"/>
  <c r="H14249" i="1"/>
  <c r="G14249" i="1"/>
  <c r="E14249" i="1"/>
  <c r="H14248" i="1"/>
  <c r="G14248" i="1"/>
  <c r="E14248" i="1"/>
  <c r="H14247" i="1"/>
  <c r="G14247" i="1"/>
  <c r="E14247" i="1"/>
  <c r="H14246" i="1"/>
  <c r="G14246" i="1"/>
  <c r="E14246" i="1"/>
  <c r="H14245" i="1"/>
  <c r="G14245" i="1"/>
  <c r="E14245" i="1"/>
  <c r="H14244" i="1"/>
  <c r="G14244" i="1"/>
  <c r="E14244" i="1"/>
  <c r="H14243" i="1"/>
  <c r="G14243" i="1"/>
  <c r="E14243" i="1"/>
  <c r="H14242" i="1"/>
  <c r="G14242" i="1"/>
  <c r="E14242" i="1"/>
  <c r="H14241" i="1"/>
  <c r="G14241" i="1"/>
  <c r="E14241" i="1"/>
  <c r="H14240" i="1"/>
  <c r="G14240" i="1"/>
  <c r="E14240" i="1"/>
  <c r="H14239" i="1"/>
  <c r="G14239" i="1"/>
  <c r="E14239" i="1"/>
  <c r="H14238" i="1"/>
  <c r="G14238" i="1"/>
  <c r="E14238" i="1"/>
  <c r="H14237" i="1"/>
  <c r="G14237" i="1"/>
  <c r="E14237" i="1"/>
  <c r="H14236" i="1"/>
  <c r="G14236" i="1"/>
  <c r="E14236" i="1"/>
  <c r="H14235" i="1"/>
  <c r="G14235" i="1"/>
  <c r="E14235" i="1"/>
  <c r="H14234" i="1"/>
  <c r="G14234" i="1"/>
  <c r="E14234" i="1"/>
  <c r="H14233" i="1"/>
  <c r="G14233" i="1"/>
  <c r="E14233" i="1"/>
  <c r="H14232" i="1"/>
  <c r="G14232" i="1"/>
  <c r="E14232" i="1"/>
  <c r="H14231" i="1"/>
  <c r="G14231" i="1"/>
  <c r="E14231" i="1"/>
  <c r="H14230" i="1"/>
  <c r="G14230" i="1"/>
  <c r="E14230" i="1"/>
  <c r="H14229" i="1"/>
  <c r="G14229" i="1"/>
  <c r="E14229" i="1"/>
  <c r="H14228" i="1"/>
  <c r="G14228" i="1"/>
  <c r="E14228" i="1"/>
  <c r="H14227" i="1"/>
  <c r="G14227" i="1"/>
  <c r="E14227" i="1"/>
  <c r="H14226" i="1"/>
  <c r="G14226" i="1"/>
  <c r="E14226" i="1"/>
  <c r="H14225" i="1"/>
  <c r="G14225" i="1"/>
  <c r="E14225" i="1"/>
  <c r="H14224" i="1"/>
  <c r="G14224" i="1"/>
  <c r="E14224" i="1"/>
  <c r="H14223" i="1"/>
  <c r="G14223" i="1"/>
  <c r="E14223" i="1"/>
  <c r="H14222" i="1"/>
  <c r="G14222" i="1"/>
  <c r="E14222" i="1"/>
  <c r="H14221" i="1"/>
  <c r="G14221" i="1"/>
  <c r="E14221" i="1"/>
  <c r="H14220" i="1"/>
  <c r="G14220" i="1"/>
  <c r="E14220" i="1"/>
  <c r="H14219" i="1"/>
  <c r="G14219" i="1"/>
  <c r="E14219" i="1"/>
  <c r="H14218" i="1"/>
  <c r="G14218" i="1"/>
  <c r="E14218" i="1"/>
  <c r="H14217" i="1"/>
  <c r="G14217" i="1"/>
  <c r="E14217" i="1"/>
  <c r="H14216" i="1"/>
  <c r="G14216" i="1"/>
  <c r="E14216" i="1"/>
  <c r="H14215" i="1"/>
  <c r="G14215" i="1"/>
  <c r="E14215" i="1"/>
  <c r="H14214" i="1"/>
  <c r="G14214" i="1"/>
  <c r="E14214" i="1"/>
  <c r="H14213" i="1"/>
  <c r="G14213" i="1"/>
  <c r="E14213" i="1"/>
  <c r="H14212" i="1"/>
  <c r="G14212" i="1"/>
  <c r="E14212" i="1"/>
  <c r="H14211" i="1"/>
  <c r="G14211" i="1"/>
  <c r="E14211" i="1"/>
  <c r="H14210" i="1"/>
  <c r="G14210" i="1"/>
  <c r="E14210" i="1"/>
  <c r="H14209" i="1"/>
  <c r="G14209" i="1"/>
  <c r="E14209" i="1"/>
  <c r="H14208" i="1"/>
  <c r="G14208" i="1"/>
  <c r="E14208" i="1"/>
  <c r="H14207" i="1"/>
  <c r="G14207" i="1"/>
  <c r="E14207" i="1"/>
  <c r="H14206" i="1"/>
  <c r="G14206" i="1"/>
  <c r="E14206" i="1"/>
  <c r="H14205" i="1"/>
  <c r="G14205" i="1"/>
  <c r="E14205" i="1"/>
  <c r="H14204" i="1"/>
  <c r="G14204" i="1"/>
  <c r="E14204" i="1"/>
  <c r="H14203" i="1"/>
  <c r="G14203" i="1"/>
  <c r="E14203" i="1"/>
  <c r="H14202" i="1"/>
  <c r="G14202" i="1"/>
  <c r="E14202" i="1"/>
  <c r="H14201" i="1"/>
  <c r="G14201" i="1"/>
  <c r="E14201" i="1"/>
  <c r="H14200" i="1"/>
  <c r="G14200" i="1"/>
  <c r="E14200" i="1"/>
  <c r="H14199" i="1"/>
  <c r="G14199" i="1"/>
  <c r="E14199" i="1"/>
  <c r="H14198" i="1"/>
  <c r="G14198" i="1"/>
  <c r="E14198" i="1"/>
  <c r="H14197" i="1"/>
  <c r="G14197" i="1"/>
  <c r="E14197" i="1"/>
  <c r="H14196" i="1"/>
  <c r="G14196" i="1"/>
  <c r="E14196" i="1"/>
  <c r="H14195" i="1"/>
  <c r="G14195" i="1"/>
  <c r="E14195" i="1"/>
  <c r="H14194" i="1"/>
  <c r="G14194" i="1"/>
  <c r="E14194" i="1"/>
  <c r="H14193" i="1"/>
  <c r="G14193" i="1"/>
  <c r="E14193" i="1"/>
  <c r="H14192" i="1"/>
  <c r="G14192" i="1"/>
  <c r="E14192" i="1"/>
  <c r="H14191" i="1"/>
  <c r="G14191" i="1"/>
  <c r="E14191" i="1"/>
  <c r="H14190" i="1"/>
  <c r="G14190" i="1"/>
  <c r="E14190" i="1"/>
  <c r="H14189" i="1"/>
  <c r="G14189" i="1"/>
  <c r="E14189" i="1"/>
  <c r="H14188" i="1"/>
  <c r="G14188" i="1"/>
  <c r="E14188" i="1"/>
  <c r="H14187" i="1"/>
  <c r="G14187" i="1"/>
  <c r="E14187" i="1"/>
  <c r="H14186" i="1"/>
  <c r="G14186" i="1"/>
  <c r="E14186" i="1"/>
  <c r="H14185" i="1"/>
  <c r="G14185" i="1"/>
  <c r="E14185" i="1"/>
  <c r="H14184" i="1"/>
  <c r="G14184" i="1"/>
  <c r="E14184" i="1"/>
  <c r="H14183" i="1"/>
  <c r="G14183" i="1"/>
  <c r="E14183" i="1"/>
  <c r="H14182" i="1"/>
  <c r="G14182" i="1"/>
  <c r="E14182" i="1"/>
  <c r="H14181" i="1"/>
  <c r="G14181" i="1"/>
  <c r="E14181" i="1"/>
  <c r="H14180" i="1"/>
  <c r="G14180" i="1"/>
  <c r="E14180" i="1"/>
  <c r="H14179" i="1"/>
  <c r="G14179" i="1"/>
  <c r="E14179" i="1"/>
  <c r="H14178" i="1"/>
  <c r="G14178" i="1"/>
  <c r="E14178" i="1"/>
  <c r="H14177" i="1"/>
  <c r="G14177" i="1"/>
  <c r="E14177" i="1"/>
  <c r="H14176" i="1"/>
  <c r="G14176" i="1"/>
  <c r="E14176" i="1"/>
  <c r="H14175" i="1"/>
  <c r="G14175" i="1"/>
  <c r="E14175" i="1"/>
  <c r="H14174" i="1"/>
  <c r="G14174" i="1"/>
  <c r="E14174" i="1"/>
  <c r="H14173" i="1"/>
  <c r="G14173" i="1"/>
  <c r="E14173" i="1"/>
  <c r="H14172" i="1"/>
  <c r="G14172" i="1"/>
  <c r="E14172" i="1"/>
  <c r="H14171" i="1"/>
  <c r="G14171" i="1"/>
  <c r="E14171" i="1"/>
  <c r="H14170" i="1"/>
  <c r="G14170" i="1"/>
  <c r="E14170" i="1"/>
  <c r="H14169" i="1"/>
  <c r="G14169" i="1"/>
  <c r="E14169" i="1"/>
  <c r="H14168" i="1"/>
  <c r="G14168" i="1"/>
  <c r="E14168" i="1"/>
  <c r="H14167" i="1"/>
  <c r="G14167" i="1"/>
  <c r="E14167" i="1"/>
  <c r="H14166" i="1"/>
  <c r="G14166" i="1"/>
  <c r="E14166" i="1"/>
  <c r="H14165" i="1"/>
  <c r="G14165" i="1"/>
  <c r="E14165" i="1"/>
  <c r="H14164" i="1"/>
  <c r="G14164" i="1"/>
  <c r="E14164" i="1"/>
  <c r="H14163" i="1"/>
  <c r="G14163" i="1"/>
  <c r="E14163" i="1"/>
  <c r="H14162" i="1"/>
  <c r="G14162" i="1"/>
  <c r="E14162" i="1"/>
  <c r="H14161" i="1"/>
  <c r="G14161" i="1"/>
  <c r="E14161" i="1"/>
  <c r="H14160" i="1"/>
  <c r="G14160" i="1"/>
  <c r="E14160" i="1"/>
  <c r="H14159" i="1"/>
  <c r="G14159" i="1"/>
  <c r="E14159" i="1"/>
  <c r="H14158" i="1"/>
  <c r="G14158" i="1"/>
  <c r="E14158" i="1"/>
  <c r="H14157" i="1"/>
  <c r="G14157" i="1"/>
  <c r="E14157" i="1"/>
  <c r="H14156" i="1"/>
  <c r="G14156" i="1"/>
  <c r="E14156" i="1"/>
  <c r="H14155" i="1"/>
  <c r="G14155" i="1"/>
  <c r="E14155" i="1"/>
  <c r="H14154" i="1"/>
  <c r="G14154" i="1"/>
  <c r="E14154" i="1"/>
  <c r="H14153" i="1"/>
  <c r="G14153" i="1"/>
  <c r="E14153" i="1"/>
  <c r="H14152" i="1"/>
  <c r="G14152" i="1"/>
  <c r="E14152" i="1"/>
  <c r="H14151" i="1"/>
  <c r="G14151" i="1"/>
  <c r="E14151" i="1"/>
  <c r="H14150" i="1"/>
  <c r="G14150" i="1"/>
  <c r="E14150" i="1"/>
  <c r="H14149" i="1"/>
  <c r="G14149" i="1"/>
  <c r="E14149" i="1"/>
  <c r="H14148" i="1"/>
  <c r="G14148" i="1"/>
  <c r="E14148" i="1"/>
  <c r="H14147" i="1"/>
  <c r="G14147" i="1"/>
  <c r="E14147" i="1"/>
  <c r="H14146" i="1"/>
  <c r="G14146" i="1"/>
  <c r="E14146" i="1"/>
  <c r="H14145" i="1"/>
  <c r="G14145" i="1"/>
  <c r="E14145" i="1"/>
  <c r="H14144" i="1"/>
  <c r="G14144" i="1"/>
  <c r="E14144" i="1"/>
  <c r="H14143" i="1"/>
  <c r="G14143" i="1"/>
  <c r="E14143" i="1"/>
  <c r="H14142" i="1"/>
  <c r="G14142" i="1"/>
  <c r="E14142" i="1"/>
  <c r="H14141" i="1"/>
  <c r="G14141" i="1"/>
  <c r="E14141" i="1"/>
  <c r="H14140" i="1"/>
  <c r="G14140" i="1"/>
  <c r="E14140" i="1"/>
  <c r="H14139" i="1"/>
  <c r="G14139" i="1"/>
  <c r="E14139" i="1"/>
  <c r="H14138" i="1"/>
  <c r="G14138" i="1"/>
  <c r="E14138" i="1"/>
  <c r="H14137" i="1"/>
  <c r="G14137" i="1"/>
  <c r="E14137" i="1"/>
  <c r="H14136" i="1"/>
  <c r="G14136" i="1"/>
  <c r="E14136" i="1"/>
  <c r="H14135" i="1"/>
  <c r="G14135" i="1"/>
  <c r="E14135" i="1"/>
  <c r="H14134" i="1"/>
  <c r="G14134" i="1"/>
  <c r="E14134" i="1"/>
  <c r="H14133" i="1"/>
  <c r="G14133" i="1"/>
  <c r="E14133" i="1"/>
  <c r="H14132" i="1"/>
  <c r="G14132" i="1"/>
  <c r="E14132" i="1"/>
  <c r="H14131" i="1"/>
  <c r="G14131" i="1"/>
  <c r="E14131" i="1"/>
  <c r="H14130" i="1"/>
  <c r="G14130" i="1"/>
  <c r="E14130" i="1"/>
  <c r="H14129" i="1"/>
  <c r="G14129" i="1"/>
  <c r="E14129" i="1"/>
  <c r="H14128" i="1"/>
  <c r="G14128" i="1"/>
  <c r="E14128" i="1"/>
  <c r="H14127" i="1"/>
  <c r="G14127" i="1"/>
  <c r="E14127" i="1"/>
  <c r="H14126" i="1"/>
  <c r="G14126" i="1"/>
  <c r="E14126" i="1"/>
  <c r="H14125" i="1"/>
  <c r="G14125" i="1"/>
  <c r="E14125" i="1"/>
  <c r="H14124" i="1"/>
  <c r="G14124" i="1"/>
  <c r="E14124" i="1"/>
  <c r="H14123" i="1"/>
  <c r="G14123" i="1"/>
  <c r="E14123" i="1"/>
  <c r="H14122" i="1"/>
  <c r="G14122" i="1"/>
  <c r="E14122" i="1"/>
  <c r="H14121" i="1"/>
  <c r="G14121" i="1"/>
  <c r="E14121" i="1"/>
  <c r="H14120" i="1"/>
  <c r="G14120" i="1"/>
  <c r="E14120" i="1"/>
  <c r="H14119" i="1"/>
  <c r="G14119" i="1"/>
  <c r="E14119" i="1"/>
  <c r="H14118" i="1"/>
  <c r="G14118" i="1"/>
  <c r="E14118" i="1"/>
  <c r="H14117" i="1"/>
  <c r="G14117" i="1"/>
  <c r="E14117" i="1"/>
  <c r="H14116" i="1"/>
  <c r="G14116" i="1"/>
  <c r="E14116" i="1"/>
  <c r="H14115" i="1"/>
  <c r="G14115" i="1"/>
  <c r="E14115" i="1"/>
  <c r="H14114" i="1"/>
  <c r="G14114" i="1"/>
  <c r="E14114" i="1"/>
  <c r="H14113" i="1"/>
  <c r="G14113" i="1"/>
  <c r="E14113" i="1"/>
  <c r="H14112" i="1"/>
  <c r="G14112" i="1"/>
  <c r="E14112" i="1"/>
  <c r="H14111" i="1"/>
  <c r="G14111" i="1"/>
  <c r="E14111" i="1"/>
  <c r="H14110" i="1"/>
  <c r="G14110" i="1"/>
  <c r="E14110" i="1"/>
  <c r="H14109" i="1"/>
  <c r="G14109" i="1"/>
  <c r="E14109" i="1"/>
  <c r="H14108" i="1"/>
  <c r="G14108" i="1"/>
  <c r="E14108" i="1"/>
  <c r="H14107" i="1"/>
  <c r="G14107" i="1"/>
  <c r="E14107" i="1"/>
  <c r="H14106" i="1"/>
  <c r="G14106" i="1"/>
  <c r="E14106" i="1"/>
  <c r="H14105" i="1"/>
  <c r="G14105" i="1"/>
  <c r="E14105" i="1"/>
  <c r="H14104" i="1"/>
  <c r="G14104" i="1"/>
  <c r="E14104" i="1"/>
  <c r="H14103" i="1"/>
  <c r="G14103" i="1"/>
  <c r="E14103" i="1"/>
  <c r="H14102" i="1"/>
  <c r="G14102" i="1"/>
  <c r="E14102" i="1"/>
  <c r="H14101" i="1"/>
  <c r="G14101" i="1"/>
  <c r="E14101" i="1"/>
  <c r="H14100" i="1"/>
  <c r="G14100" i="1"/>
  <c r="E14100" i="1"/>
  <c r="H14099" i="1"/>
  <c r="G14099" i="1"/>
  <c r="E14099" i="1"/>
  <c r="H14098" i="1"/>
  <c r="G14098" i="1"/>
  <c r="E14098" i="1"/>
  <c r="H14097" i="1"/>
  <c r="G14097" i="1"/>
  <c r="E14097" i="1"/>
  <c r="H14096" i="1"/>
  <c r="G14096" i="1"/>
  <c r="E14096" i="1"/>
  <c r="H14095" i="1"/>
  <c r="G14095" i="1"/>
  <c r="E14095" i="1"/>
  <c r="H14094" i="1"/>
  <c r="G14094" i="1"/>
  <c r="E14094" i="1"/>
  <c r="H14093" i="1"/>
  <c r="G14093" i="1"/>
  <c r="E14093" i="1"/>
  <c r="H14092" i="1"/>
  <c r="G14092" i="1"/>
  <c r="E14092" i="1"/>
  <c r="H14091" i="1"/>
  <c r="G14091" i="1"/>
  <c r="E14091" i="1"/>
  <c r="H14090" i="1"/>
  <c r="G14090" i="1"/>
  <c r="E14090" i="1"/>
  <c r="H14089" i="1"/>
  <c r="G14089" i="1"/>
  <c r="E14089" i="1"/>
  <c r="H14088" i="1"/>
  <c r="G14088" i="1"/>
  <c r="E14088" i="1"/>
  <c r="H14087" i="1"/>
  <c r="G14087" i="1"/>
  <c r="E14087" i="1"/>
  <c r="H14086" i="1"/>
  <c r="G14086" i="1"/>
  <c r="E14086" i="1"/>
  <c r="H14085" i="1"/>
  <c r="G14085" i="1"/>
  <c r="E14085" i="1"/>
  <c r="H14084" i="1"/>
  <c r="G14084" i="1"/>
  <c r="E14084" i="1"/>
  <c r="H14083" i="1"/>
  <c r="G14083" i="1"/>
  <c r="E14083" i="1"/>
  <c r="H14082" i="1"/>
  <c r="G14082" i="1"/>
  <c r="E14082" i="1"/>
  <c r="H14081" i="1"/>
  <c r="G14081" i="1"/>
  <c r="E14081" i="1"/>
  <c r="H14080" i="1"/>
  <c r="G14080" i="1"/>
  <c r="E14080" i="1"/>
  <c r="H14079" i="1"/>
  <c r="G14079" i="1"/>
  <c r="E14079" i="1"/>
  <c r="H14078" i="1"/>
  <c r="G14078" i="1"/>
  <c r="E14078" i="1"/>
  <c r="H14077" i="1"/>
  <c r="G14077" i="1"/>
  <c r="E14077" i="1"/>
  <c r="H14076" i="1"/>
  <c r="G14076" i="1"/>
  <c r="E14076" i="1"/>
  <c r="H14075" i="1"/>
  <c r="G14075" i="1"/>
  <c r="E14075" i="1"/>
  <c r="H14074" i="1"/>
  <c r="G14074" i="1"/>
  <c r="E14074" i="1"/>
  <c r="H14073" i="1"/>
  <c r="G14073" i="1"/>
  <c r="E14073" i="1"/>
  <c r="H14072" i="1"/>
  <c r="G14072" i="1"/>
  <c r="E14072" i="1"/>
  <c r="H14071" i="1"/>
  <c r="G14071" i="1"/>
  <c r="E14071" i="1"/>
  <c r="H14070" i="1"/>
  <c r="G14070" i="1"/>
  <c r="E14070" i="1"/>
  <c r="H14069" i="1"/>
  <c r="G14069" i="1"/>
  <c r="E14069" i="1"/>
  <c r="H14068" i="1"/>
  <c r="G14068" i="1"/>
  <c r="E14068" i="1"/>
  <c r="H14067" i="1"/>
  <c r="G14067" i="1"/>
  <c r="E14067" i="1"/>
  <c r="H14066" i="1"/>
  <c r="G14066" i="1"/>
  <c r="E14066" i="1"/>
  <c r="H14065" i="1"/>
  <c r="G14065" i="1"/>
  <c r="E14065" i="1"/>
  <c r="H14064" i="1"/>
  <c r="G14064" i="1"/>
  <c r="E14064" i="1"/>
  <c r="H14063" i="1"/>
  <c r="G14063" i="1"/>
  <c r="E14063" i="1"/>
  <c r="H14062" i="1"/>
  <c r="G14062" i="1"/>
  <c r="E14062" i="1"/>
  <c r="H14061" i="1"/>
  <c r="G14061" i="1"/>
  <c r="E14061" i="1"/>
  <c r="H14060" i="1"/>
  <c r="G14060" i="1"/>
  <c r="E14060" i="1"/>
  <c r="H14059" i="1"/>
  <c r="G14059" i="1"/>
  <c r="E14059" i="1"/>
  <c r="H14058" i="1"/>
  <c r="G14058" i="1"/>
  <c r="E14058" i="1"/>
  <c r="H14057" i="1"/>
  <c r="G14057" i="1"/>
  <c r="E14057" i="1"/>
  <c r="H14056" i="1"/>
  <c r="G14056" i="1"/>
  <c r="E14056" i="1"/>
  <c r="H14055" i="1"/>
  <c r="G14055" i="1"/>
  <c r="E14055" i="1"/>
  <c r="H14054" i="1"/>
  <c r="G14054" i="1"/>
  <c r="E14054" i="1"/>
  <c r="H14053" i="1"/>
  <c r="G14053" i="1"/>
  <c r="E14053" i="1"/>
  <c r="H14052" i="1"/>
  <c r="G14052" i="1"/>
  <c r="E14052" i="1"/>
  <c r="H14051" i="1"/>
  <c r="G14051" i="1"/>
  <c r="E14051" i="1"/>
  <c r="H14050" i="1"/>
  <c r="G14050" i="1"/>
  <c r="E14050" i="1"/>
  <c r="H14049" i="1"/>
  <c r="G14049" i="1"/>
  <c r="E14049" i="1"/>
  <c r="H14048" i="1"/>
  <c r="G14048" i="1"/>
  <c r="E14048" i="1"/>
  <c r="H14047" i="1"/>
  <c r="G14047" i="1"/>
  <c r="E14047" i="1"/>
  <c r="H14046" i="1"/>
  <c r="G14046" i="1"/>
  <c r="E14046" i="1"/>
  <c r="H14045" i="1"/>
  <c r="G14045" i="1"/>
  <c r="E14045" i="1"/>
  <c r="H14044" i="1"/>
  <c r="G14044" i="1"/>
  <c r="E14044" i="1"/>
  <c r="H14043" i="1"/>
  <c r="G14043" i="1"/>
  <c r="E14043" i="1"/>
  <c r="H14042" i="1"/>
  <c r="G14042" i="1"/>
  <c r="E14042" i="1"/>
  <c r="H14041" i="1"/>
  <c r="G14041" i="1"/>
  <c r="E14041" i="1"/>
  <c r="H14040" i="1"/>
  <c r="G14040" i="1"/>
  <c r="E14040" i="1"/>
  <c r="H14039" i="1"/>
  <c r="G14039" i="1"/>
  <c r="E14039" i="1"/>
  <c r="H14038" i="1"/>
  <c r="G14038" i="1"/>
  <c r="E14038" i="1"/>
  <c r="H14037" i="1"/>
  <c r="G14037" i="1"/>
  <c r="E14037" i="1"/>
  <c r="H14036" i="1"/>
  <c r="G14036" i="1"/>
  <c r="E14036" i="1"/>
  <c r="H14035" i="1"/>
  <c r="G14035" i="1"/>
  <c r="E14035" i="1"/>
  <c r="H14034" i="1"/>
  <c r="G14034" i="1"/>
  <c r="E14034" i="1"/>
  <c r="H14033" i="1"/>
  <c r="G14033" i="1"/>
  <c r="E14033" i="1"/>
  <c r="H14032" i="1"/>
  <c r="G14032" i="1"/>
  <c r="E14032" i="1"/>
  <c r="H14031" i="1"/>
  <c r="G14031" i="1"/>
  <c r="E14031" i="1"/>
  <c r="H14030" i="1"/>
  <c r="G14030" i="1"/>
  <c r="E14030" i="1"/>
  <c r="H14029" i="1"/>
  <c r="G14029" i="1"/>
  <c r="E14029" i="1"/>
  <c r="H14028" i="1"/>
  <c r="G14028" i="1"/>
  <c r="E14028" i="1"/>
  <c r="H14027" i="1"/>
  <c r="G14027" i="1"/>
  <c r="E14027" i="1"/>
  <c r="H14026" i="1"/>
  <c r="G14026" i="1"/>
  <c r="E14026" i="1"/>
  <c r="H14025" i="1"/>
  <c r="G14025" i="1"/>
  <c r="E14025" i="1"/>
  <c r="H14024" i="1"/>
  <c r="G14024" i="1"/>
  <c r="E14024" i="1"/>
  <c r="H14023" i="1"/>
  <c r="G14023" i="1"/>
  <c r="E14023" i="1"/>
  <c r="H14022" i="1"/>
  <c r="G14022" i="1"/>
  <c r="E14022" i="1"/>
  <c r="H14021" i="1"/>
  <c r="G14021" i="1"/>
  <c r="E14021" i="1"/>
  <c r="H14020" i="1"/>
  <c r="G14020" i="1"/>
  <c r="E14020" i="1"/>
  <c r="H14019" i="1"/>
  <c r="G14019" i="1"/>
  <c r="E14019" i="1"/>
  <c r="H14018" i="1"/>
  <c r="G14018" i="1"/>
  <c r="E14018" i="1"/>
  <c r="H14017" i="1"/>
  <c r="G14017" i="1"/>
  <c r="E14017" i="1"/>
  <c r="H14016" i="1"/>
  <c r="G14016" i="1"/>
  <c r="E14016" i="1"/>
  <c r="H14015" i="1"/>
  <c r="G14015" i="1"/>
  <c r="E14015" i="1"/>
  <c r="H14014" i="1"/>
  <c r="G14014" i="1"/>
  <c r="E14014" i="1"/>
  <c r="H14013" i="1"/>
  <c r="G14013" i="1"/>
  <c r="E14013" i="1"/>
  <c r="H14012" i="1"/>
  <c r="G14012" i="1"/>
  <c r="E14012" i="1"/>
  <c r="H14011" i="1"/>
  <c r="G14011" i="1"/>
  <c r="E14011" i="1"/>
  <c r="H14010" i="1"/>
  <c r="G14010" i="1"/>
  <c r="E14010" i="1"/>
  <c r="H14009" i="1"/>
  <c r="G14009" i="1"/>
  <c r="E14009" i="1"/>
  <c r="H14008" i="1"/>
  <c r="G14008" i="1"/>
  <c r="E14008" i="1"/>
  <c r="H14007" i="1"/>
  <c r="G14007" i="1"/>
  <c r="E14007" i="1"/>
  <c r="H14006" i="1"/>
  <c r="G14006" i="1"/>
  <c r="E14006" i="1"/>
  <c r="H14005" i="1"/>
  <c r="G14005" i="1"/>
  <c r="E14005" i="1"/>
  <c r="H14004" i="1"/>
  <c r="G14004" i="1"/>
  <c r="E14004" i="1"/>
  <c r="H14003" i="1"/>
  <c r="G14003" i="1"/>
  <c r="E14003" i="1"/>
  <c r="H14002" i="1"/>
  <c r="G14002" i="1"/>
  <c r="E14002" i="1"/>
  <c r="H14001" i="1"/>
  <c r="G14001" i="1"/>
  <c r="E14001" i="1"/>
  <c r="H14000" i="1"/>
  <c r="G14000" i="1"/>
  <c r="E14000" i="1"/>
  <c r="H13999" i="1"/>
  <c r="G13999" i="1"/>
  <c r="E13999" i="1"/>
  <c r="H13998" i="1"/>
  <c r="G13998" i="1"/>
  <c r="E13998" i="1"/>
  <c r="H13997" i="1"/>
  <c r="G13997" i="1"/>
  <c r="E13997" i="1"/>
  <c r="H13996" i="1"/>
  <c r="G13996" i="1"/>
  <c r="E13996" i="1"/>
  <c r="H13995" i="1"/>
  <c r="G13995" i="1"/>
  <c r="E13995" i="1"/>
  <c r="H13994" i="1"/>
  <c r="G13994" i="1"/>
  <c r="E13994" i="1"/>
  <c r="H13993" i="1"/>
  <c r="G13993" i="1"/>
  <c r="E13993" i="1"/>
  <c r="H13992" i="1"/>
  <c r="G13992" i="1"/>
  <c r="E13992" i="1"/>
  <c r="H13991" i="1"/>
  <c r="G13991" i="1"/>
  <c r="E13991" i="1"/>
  <c r="H13990" i="1"/>
  <c r="G13990" i="1"/>
  <c r="E13990" i="1"/>
  <c r="H13989" i="1"/>
  <c r="G13989" i="1"/>
  <c r="E13989" i="1"/>
  <c r="H13988" i="1"/>
  <c r="G13988" i="1"/>
  <c r="E13988" i="1"/>
  <c r="H13987" i="1"/>
  <c r="G13987" i="1"/>
  <c r="E13987" i="1"/>
  <c r="H13986" i="1"/>
  <c r="G13986" i="1"/>
  <c r="E13986" i="1"/>
  <c r="H13985" i="1"/>
  <c r="G13985" i="1"/>
  <c r="E13985" i="1"/>
  <c r="H13984" i="1"/>
  <c r="G13984" i="1"/>
  <c r="E13984" i="1"/>
  <c r="H13983" i="1"/>
  <c r="G13983" i="1"/>
  <c r="E13983" i="1"/>
  <c r="H13982" i="1"/>
  <c r="G13982" i="1"/>
  <c r="E13982" i="1"/>
  <c r="H13981" i="1"/>
  <c r="G13981" i="1"/>
  <c r="E13981" i="1"/>
  <c r="H13980" i="1"/>
  <c r="G13980" i="1"/>
  <c r="E13980" i="1"/>
  <c r="H13979" i="1"/>
  <c r="G13979" i="1"/>
  <c r="E13979" i="1"/>
  <c r="H13978" i="1"/>
  <c r="G13978" i="1"/>
  <c r="E13978" i="1"/>
  <c r="H13977" i="1"/>
  <c r="G13977" i="1"/>
  <c r="E13977" i="1"/>
  <c r="H13976" i="1"/>
  <c r="G13976" i="1"/>
  <c r="E13976" i="1"/>
  <c r="H13975" i="1"/>
  <c r="G13975" i="1"/>
  <c r="E13975" i="1"/>
  <c r="H13974" i="1"/>
  <c r="G13974" i="1"/>
  <c r="E13974" i="1"/>
  <c r="H13973" i="1"/>
  <c r="G13973" i="1"/>
  <c r="E13973" i="1"/>
  <c r="H13972" i="1"/>
  <c r="G13972" i="1"/>
  <c r="E13972" i="1"/>
  <c r="H13971" i="1"/>
  <c r="G13971" i="1"/>
  <c r="E13971" i="1"/>
  <c r="H13970" i="1"/>
  <c r="G13970" i="1"/>
  <c r="E13970" i="1"/>
  <c r="H13969" i="1"/>
  <c r="G13969" i="1"/>
  <c r="E13969" i="1"/>
  <c r="H13968" i="1"/>
  <c r="G13968" i="1"/>
  <c r="E13968" i="1"/>
  <c r="H13967" i="1"/>
  <c r="G13967" i="1"/>
  <c r="E13967" i="1"/>
  <c r="H13966" i="1"/>
  <c r="G13966" i="1"/>
  <c r="E13966" i="1"/>
  <c r="H13965" i="1"/>
  <c r="G13965" i="1"/>
  <c r="E13965" i="1"/>
  <c r="H13964" i="1"/>
  <c r="G13964" i="1"/>
  <c r="E13964" i="1"/>
  <c r="H13963" i="1"/>
  <c r="G13963" i="1"/>
  <c r="E13963" i="1"/>
  <c r="H13962" i="1"/>
  <c r="G13962" i="1"/>
  <c r="E13962" i="1"/>
  <c r="H13961" i="1"/>
  <c r="G13961" i="1"/>
  <c r="E13961" i="1"/>
  <c r="H13960" i="1"/>
  <c r="G13960" i="1"/>
  <c r="E13960" i="1"/>
  <c r="H13959" i="1"/>
  <c r="G13959" i="1"/>
  <c r="E13959" i="1"/>
  <c r="H13958" i="1"/>
  <c r="G13958" i="1"/>
  <c r="E13958" i="1"/>
  <c r="H13957" i="1"/>
  <c r="G13957" i="1"/>
  <c r="E13957" i="1"/>
  <c r="H13956" i="1"/>
  <c r="G13956" i="1"/>
  <c r="E13956" i="1"/>
  <c r="H13955" i="1"/>
  <c r="G13955" i="1"/>
  <c r="E13955" i="1"/>
  <c r="H13954" i="1"/>
  <c r="G13954" i="1"/>
  <c r="E13954" i="1"/>
  <c r="H13953" i="1"/>
  <c r="G13953" i="1"/>
  <c r="E13953" i="1"/>
  <c r="H13952" i="1"/>
  <c r="G13952" i="1"/>
  <c r="E13952" i="1"/>
  <c r="H13951" i="1"/>
  <c r="G13951" i="1"/>
  <c r="E13951" i="1"/>
  <c r="H13950" i="1"/>
  <c r="G13950" i="1"/>
  <c r="E13950" i="1"/>
  <c r="H13949" i="1"/>
  <c r="G13949" i="1"/>
  <c r="E13949" i="1"/>
  <c r="H13948" i="1"/>
  <c r="G13948" i="1"/>
  <c r="E13948" i="1"/>
  <c r="H13947" i="1"/>
  <c r="G13947" i="1"/>
  <c r="E13947" i="1"/>
  <c r="H13946" i="1"/>
  <c r="G13946" i="1"/>
  <c r="E13946" i="1"/>
  <c r="H13945" i="1"/>
  <c r="G13945" i="1"/>
  <c r="E13945" i="1"/>
  <c r="H13944" i="1"/>
  <c r="G13944" i="1"/>
  <c r="E13944" i="1"/>
  <c r="H13943" i="1"/>
  <c r="G13943" i="1"/>
  <c r="E13943" i="1"/>
  <c r="H13942" i="1"/>
  <c r="G13942" i="1"/>
  <c r="E13942" i="1"/>
  <c r="H13941" i="1"/>
  <c r="G13941" i="1"/>
  <c r="E13941" i="1"/>
  <c r="H13940" i="1"/>
  <c r="G13940" i="1"/>
  <c r="E13940" i="1"/>
  <c r="H13939" i="1"/>
  <c r="G13939" i="1"/>
  <c r="E13939" i="1"/>
  <c r="H13938" i="1"/>
  <c r="G13938" i="1"/>
  <c r="E13938" i="1"/>
  <c r="H13937" i="1"/>
  <c r="G13937" i="1"/>
  <c r="E13937" i="1"/>
  <c r="H13936" i="1"/>
  <c r="G13936" i="1"/>
  <c r="E13936" i="1"/>
  <c r="H13935" i="1"/>
  <c r="G13935" i="1"/>
  <c r="E13935" i="1"/>
  <c r="H13934" i="1"/>
  <c r="G13934" i="1"/>
  <c r="E13934" i="1"/>
  <c r="H13933" i="1"/>
  <c r="G13933" i="1"/>
  <c r="E13933" i="1"/>
  <c r="H13932" i="1"/>
  <c r="G13932" i="1"/>
  <c r="E13932" i="1"/>
  <c r="H13931" i="1"/>
  <c r="G13931" i="1"/>
  <c r="E13931" i="1"/>
  <c r="H13930" i="1"/>
  <c r="G13930" i="1"/>
  <c r="E13930" i="1"/>
  <c r="H13929" i="1"/>
  <c r="G13929" i="1"/>
  <c r="E13929" i="1"/>
  <c r="H13928" i="1"/>
  <c r="G13928" i="1"/>
  <c r="E13928" i="1"/>
  <c r="H13927" i="1"/>
  <c r="G13927" i="1"/>
  <c r="E13927" i="1"/>
  <c r="H13926" i="1"/>
  <c r="G13926" i="1"/>
  <c r="E13926" i="1"/>
  <c r="H13925" i="1"/>
  <c r="G13925" i="1"/>
  <c r="E13925" i="1"/>
  <c r="H13924" i="1"/>
  <c r="G13924" i="1"/>
  <c r="E13924" i="1"/>
  <c r="H13923" i="1"/>
  <c r="G13923" i="1"/>
  <c r="E13923" i="1"/>
  <c r="H13922" i="1"/>
  <c r="G13922" i="1"/>
  <c r="E13922" i="1"/>
  <c r="H13921" i="1"/>
  <c r="G13921" i="1"/>
  <c r="E13921" i="1"/>
  <c r="H13920" i="1"/>
  <c r="G13920" i="1"/>
  <c r="E13920" i="1"/>
  <c r="H13919" i="1"/>
  <c r="G13919" i="1"/>
  <c r="E13919" i="1"/>
  <c r="H13918" i="1"/>
  <c r="G13918" i="1"/>
  <c r="E13918" i="1"/>
  <c r="H13917" i="1"/>
  <c r="G13917" i="1"/>
  <c r="E13917" i="1"/>
  <c r="H13916" i="1"/>
  <c r="G13916" i="1"/>
  <c r="E13916" i="1"/>
  <c r="H13915" i="1"/>
  <c r="G13915" i="1"/>
  <c r="E13915" i="1"/>
  <c r="H13914" i="1"/>
  <c r="G13914" i="1"/>
  <c r="E13914" i="1"/>
  <c r="H13913" i="1"/>
  <c r="G13913" i="1"/>
  <c r="E13913" i="1"/>
  <c r="H13912" i="1"/>
  <c r="G13912" i="1"/>
  <c r="E13912" i="1"/>
  <c r="H13911" i="1"/>
  <c r="G13911" i="1"/>
  <c r="E13911" i="1"/>
  <c r="H13910" i="1"/>
  <c r="G13910" i="1"/>
  <c r="E13910" i="1"/>
  <c r="H13909" i="1"/>
  <c r="G13909" i="1"/>
  <c r="E13909" i="1"/>
  <c r="H13908" i="1"/>
  <c r="G13908" i="1"/>
  <c r="E13908" i="1"/>
  <c r="H13907" i="1"/>
  <c r="G13907" i="1"/>
  <c r="E13907" i="1"/>
  <c r="H13906" i="1"/>
  <c r="G13906" i="1"/>
  <c r="E13906" i="1"/>
  <c r="H13905" i="1"/>
  <c r="G13905" i="1"/>
  <c r="E13905" i="1"/>
  <c r="H13904" i="1"/>
  <c r="G13904" i="1"/>
  <c r="E13904" i="1"/>
  <c r="H13903" i="1"/>
  <c r="G13903" i="1"/>
  <c r="E13903" i="1"/>
  <c r="H13902" i="1"/>
  <c r="G13902" i="1"/>
  <c r="E13902" i="1"/>
  <c r="H13901" i="1"/>
  <c r="G13901" i="1"/>
  <c r="E13901" i="1"/>
  <c r="H13900" i="1"/>
  <c r="G13900" i="1"/>
  <c r="E13900" i="1"/>
  <c r="H13899" i="1"/>
  <c r="G13899" i="1"/>
  <c r="E13899" i="1"/>
  <c r="H13898" i="1"/>
  <c r="G13898" i="1"/>
  <c r="E13898" i="1"/>
  <c r="H13897" i="1"/>
  <c r="G13897" i="1"/>
  <c r="E13897" i="1"/>
  <c r="H13896" i="1"/>
  <c r="G13896" i="1"/>
  <c r="E13896" i="1"/>
  <c r="H13895" i="1"/>
  <c r="G13895" i="1"/>
  <c r="E13895" i="1"/>
  <c r="H13894" i="1"/>
  <c r="G13894" i="1"/>
  <c r="E13894" i="1"/>
  <c r="H13893" i="1"/>
  <c r="G13893" i="1"/>
  <c r="E13893" i="1"/>
  <c r="H13892" i="1"/>
  <c r="G13892" i="1"/>
  <c r="E13892" i="1"/>
  <c r="H13891" i="1"/>
  <c r="G13891" i="1"/>
  <c r="E13891" i="1"/>
  <c r="H13890" i="1"/>
  <c r="G13890" i="1"/>
  <c r="E13890" i="1"/>
  <c r="H13889" i="1"/>
  <c r="G13889" i="1"/>
  <c r="E13889" i="1"/>
  <c r="H13888" i="1"/>
  <c r="G13888" i="1"/>
  <c r="E13888" i="1"/>
  <c r="H13887" i="1"/>
  <c r="G13887" i="1"/>
  <c r="E13887" i="1"/>
  <c r="H13886" i="1"/>
  <c r="G13886" i="1"/>
  <c r="E13886" i="1"/>
  <c r="H13885" i="1"/>
  <c r="G13885" i="1"/>
  <c r="E13885" i="1"/>
  <c r="H13884" i="1"/>
  <c r="G13884" i="1"/>
  <c r="E13884" i="1"/>
  <c r="H13883" i="1"/>
  <c r="G13883" i="1"/>
  <c r="E13883" i="1"/>
  <c r="H13882" i="1"/>
  <c r="G13882" i="1"/>
  <c r="E13882" i="1"/>
  <c r="H13881" i="1"/>
  <c r="G13881" i="1"/>
  <c r="E13881" i="1"/>
  <c r="H13880" i="1"/>
  <c r="G13880" i="1"/>
  <c r="E13880" i="1"/>
  <c r="H13879" i="1"/>
  <c r="G13879" i="1"/>
  <c r="E13879" i="1"/>
  <c r="H13878" i="1"/>
  <c r="G13878" i="1"/>
  <c r="E13878" i="1"/>
  <c r="H13877" i="1"/>
  <c r="G13877" i="1"/>
  <c r="E13877" i="1"/>
  <c r="H13876" i="1"/>
  <c r="G13876" i="1"/>
  <c r="E13876" i="1"/>
  <c r="H13875" i="1"/>
  <c r="G13875" i="1"/>
  <c r="E13875" i="1"/>
  <c r="H13874" i="1"/>
  <c r="G13874" i="1"/>
  <c r="E13874" i="1"/>
  <c r="H13873" i="1"/>
  <c r="G13873" i="1"/>
  <c r="E13873" i="1"/>
  <c r="H13872" i="1"/>
  <c r="G13872" i="1"/>
  <c r="E13872" i="1"/>
  <c r="H13871" i="1"/>
  <c r="G13871" i="1"/>
  <c r="E13871" i="1"/>
  <c r="H13870" i="1"/>
  <c r="G13870" i="1"/>
  <c r="E13870" i="1"/>
  <c r="H13869" i="1"/>
  <c r="G13869" i="1"/>
  <c r="E13869" i="1"/>
  <c r="H13868" i="1"/>
  <c r="G13868" i="1"/>
  <c r="E13868" i="1"/>
  <c r="H13867" i="1"/>
  <c r="G13867" i="1"/>
  <c r="E13867" i="1"/>
  <c r="H13866" i="1"/>
  <c r="G13866" i="1"/>
  <c r="E13866" i="1"/>
  <c r="H13865" i="1"/>
  <c r="G13865" i="1"/>
  <c r="E13865" i="1"/>
  <c r="H13864" i="1"/>
  <c r="G13864" i="1"/>
  <c r="E13864" i="1"/>
  <c r="H13863" i="1"/>
  <c r="G13863" i="1"/>
  <c r="E13863" i="1"/>
  <c r="H13862" i="1"/>
  <c r="G13862" i="1"/>
  <c r="E13862" i="1"/>
  <c r="H13861" i="1"/>
  <c r="G13861" i="1"/>
  <c r="E13861" i="1"/>
  <c r="H13860" i="1"/>
  <c r="G13860" i="1"/>
  <c r="E13860" i="1"/>
  <c r="H13859" i="1"/>
  <c r="G13859" i="1"/>
  <c r="E13859" i="1"/>
  <c r="H13858" i="1"/>
  <c r="G13858" i="1"/>
  <c r="E13858" i="1"/>
  <c r="H13857" i="1"/>
  <c r="G13857" i="1"/>
  <c r="E13857" i="1"/>
  <c r="H13856" i="1"/>
  <c r="G13856" i="1"/>
  <c r="E13856" i="1"/>
  <c r="H13855" i="1"/>
  <c r="G13855" i="1"/>
  <c r="E13855" i="1"/>
  <c r="H13854" i="1"/>
  <c r="G13854" i="1"/>
  <c r="E13854" i="1"/>
  <c r="H13853" i="1"/>
  <c r="G13853" i="1"/>
  <c r="E13853" i="1"/>
  <c r="H13852" i="1"/>
  <c r="G13852" i="1"/>
  <c r="E13852" i="1"/>
  <c r="H13851" i="1"/>
  <c r="G13851" i="1"/>
  <c r="E13851" i="1"/>
  <c r="H13850" i="1"/>
  <c r="G13850" i="1"/>
  <c r="E13850" i="1"/>
  <c r="H13849" i="1"/>
  <c r="G13849" i="1"/>
  <c r="E13849" i="1"/>
  <c r="H13848" i="1"/>
  <c r="G13848" i="1"/>
  <c r="E13848" i="1"/>
  <c r="H13847" i="1"/>
  <c r="G13847" i="1"/>
  <c r="E13847" i="1"/>
  <c r="H13846" i="1"/>
  <c r="G13846" i="1"/>
  <c r="E13846" i="1"/>
  <c r="H13845" i="1"/>
  <c r="G13845" i="1"/>
  <c r="E13845" i="1"/>
  <c r="H13844" i="1"/>
  <c r="G13844" i="1"/>
  <c r="E13844" i="1"/>
  <c r="H13843" i="1"/>
  <c r="G13843" i="1"/>
  <c r="E13843" i="1"/>
  <c r="H13842" i="1"/>
  <c r="G13842" i="1"/>
  <c r="E13842" i="1"/>
  <c r="H13841" i="1"/>
  <c r="G13841" i="1"/>
  <c r="E13841" i="1"/>
  <c r="H13840" i="1"/>
  <c r="G13840" i="1"/>
  <c r="E13840" i="1"/>
  <c r="H13839" i="1"/>
  <c r="G13839" i="1"/>
  <c r="E13839" i="1"/>
  <c r="H13838" i="1"/>
  <c r="G13838" i="1"/>
  <c r="E13838" i="1"/>
  <c r="H13837" i="1"/>
  <c r="G13837" i="1"/>
  <c r="E13837" i="1"/>
  <c r="H13836" i="1"/>
  <c r="G13836" i="1"/>
  <c r="E13836" i="1"/>
  <c r="H13835" i="1"/>
  <c r="G13835" i="1"/>
  <c r="E13835" i="1"/>
  <c r="H13834" i="1"/>
  <c r="G13834" i="1"/>
  <c r="E13834" i="1"/>
  <c r="H13833" i="1"/>
  <c r="G13833" i="1"/>
  <c r="E13833" i="1"/>
  <c r="H13832" i="1"/>
  <c r="G13832" i="1"/>
  <c r="E13832" i="1"/>
  <c r="H13831" i="1"/>
  <c r="G13831" i="1"/>
  <c r="E13831" i="1"/>
  <c r="H13830" i="1"/>
  <c r="G13830" i="1"/>
  <c r="E13830" i="1"/>
  <c r="H13829" i="1"/>
  <c r="G13829" i="1"/>
  <c r="E13829" i="1"/>
  <c r="H13828" i="1"/>
  <c r="G13828" i="1"/>
  <c r="E13828" i="1"/>
  <c r="H13827" i="1"/>
  <c r="G13827" i="1"/>
  <c r="E13827" i="1"/>
  <c r="H13826" i="1"/>
  <c r="G13826" i="1"/>
  <c r="E13826" i="1"/>
  <c r="H13825" i="1"/>
  <c r="G13825" i="1"/>
  <c r="E13825" i="1"/>
  <c r="H13824" i="1"/>
  <c r="G13824" i="1"/>
  <c r="E13824" i="1"/>
  <c r="H13823" i="1"/>
  <c r="G13823" i="1"/>
  <c r="E13823" i="1"/>
  <c r="H13822" i="1"/>
  <c r="G13822" i="1"/>
  <c r="E13822" i="1"/>
  <c r="H13821" i="1"/>
  <c r="G13821" i="1"/>
  <c r="E13821" i="1"/>
  <c r="H13820" i="1"/>
  <c r="G13820" i="1"/>
  <c r="E13820" i="1"/>
  <c r="H13819" i="1"/>
  <c r="G13819" i="1"/>
  <c r="E13819" i="1"/>
  <c r="H13818" i="1"/>
  <c r="G13818" i="1"/>
  <c r="E13818" i="1"/>
  <c r="H13817" i="1"/>
  <c r="G13817" i="1"/>
  <c r="E13817" i="1"/>
  <c r="H13816" i="1"/>
  <c r="G13816" i="1"/>
  <c r="E13816" i="1"/>
  <c r="H13815" i="1"/>
  <c r="G13815" i="1"/>
  <c r="E13815" i="1"/>
  <c r="H13814" i="1"/>
  <c r="G13814" i="1"/>
  <c r="E13814" i="1"/>
  <c r="H13813" i="1"/>
  <c r="G13813" i="1"/>
  <c r="E13813" i="1"/>
  <c r="H13812" i="1"/>
  <c r="G13812" i="1"/>
  <c r="E13812" i="1"/>
  <c r="H13811" i="1"/>
  <c r="G13811" i="1"/>
  <c r="E13811" i="1"/>
  <c r="H13810" i="1"/>
  <c r="G13810" i="1"/>
  <c r="E13810" i="1"/>
  <c r="H13809" i="1"/>
  <c r="G13809" i="1"/>
  <c r="E13809" i="1"/>
  <c r="H13808" i="1"/>
  <c r="G13808" i="1"/>
  <c r="E13808" i="1"/>
  <c r="H13807" i="1"/>
  <c r="G13807" i="1"/>
  <c r="E13807" i="1"/>
  <c r="H13806" i="1"/>
  <c r="G13806" i="1"/>
  <c r="E13806" i="1"/>
  <c r="H13805" i="1"/>
  <c r="G13805" i="1"/>
  <c r="E13805" i="1"/>
  <c r="H13804" i="1"/>
  <c r="G13804" i="1"/>
  <c r="E13804" i="1"/>
  <c r="H13803" i="1"/>
  <c r="G13803" i="1"/>
  <c r="E13803" i="1"/>
  <c r="H13802" i="1"/>
  <c r="G13802" i="1"/>
  <c r="E13802" i="1"/>
  <c r="H13801" i="1"/>
  <c r="G13801" i="1"/>
  <c r="E13801" i="1"/>
  <c r="H13800" i="1"/>
  <c r="G13800" i="1"/>
  <c r="E13800" i="1"/>
  <c r="H13799" i="1"/>
  <c r="G13799" i="1"/>
  <c r="E13799" i="1"/>
  <c r="H13798" i="1"/>
  <c r="G13798" i="1"/>
  <c r="E13798" i="1"/>
  <c r="H13797" i="1"/>
  <c r="G13797" i="1"/>
  <c r="E13797" i="1"/>
  <c r="H13796" i="1"/>
  <c r="G13796" i="1"/>
  <c r="E13796" i="1"/>
  <c r="H13795" i="1"/>
  <c r="G13795" i="1"/>
  <c r="E13795" i="1"/>
  <c r="H13794" i="1"/>
  <c r="G13794" i="1"/>
  <c r="E13794" i="1"/>
  <c r="H13793" i="1"/>
  <c r="G13793" i="1"/>
  <c r="E13793" i="1"/>
  <c r="H13792" i="1"/>
  <c r="G13792" i="1"/>
  <c r="E13792" i="1"/>
  <c r="H13791" i="1"/>
  <c r="G13791" i="1"/>
  <c r="E13791" i="1"/>
  <c r="H13790" i="1"/>
  <c r="G13790" i="1"/>
  <c r="E13790" i="1"/>
  <c r="H13789" i="1"/>
  <c r="G13789" i="1"/>
  <c r="E13789" i="1"/>
  <c r="H13788" i="1"/>
  <c r="G13788" i="1"/>
  <c r="E13788" i="1"/>
  <c r="H13787" i="1"/>
  <c r="G13787" i="1"/>
  <c r="E13787" i="1"/>
  <c r="H13786" i="1"/>
  <c r="G13786" i="1"/>
  <c r="E13786" i="1"/>
  <c r="H13785" i="1"/>
  <c r="G13785" i="1"/>
  <c r="E13785" i="1"/>
  <c r="H13784" i="1"/>
  <c r="G13784" i="1"/>
  <c r="E13784" i="1"/>
  <c r="H13783" i="1"/>
  <c r="G13783" i="1"/>
  <c r="E13783" i="1"/>
  <c r="H13782" i="1"/>
  <c r="G13782" i="1"/>
  <c r="E13782" i="1"/>
  <c r="H13781" i="1"/>
  <c r="G13781" i="1"/>
  <c r="E13781" i="1"/>
  <c r="H13780" i="1"/>
  <c r="G13780" i="1"/>
  <c r="E13780" i="1"/>
  <c r="H13779" i="1"/>
  <c r="G13779" i="1"/>
  <c r="E13779" i="1"/>
  <c r="H13778" i="1"/>
  <c r="G13778" i="1"/>
  <c r="E13778" i="1"/>
  <c r="H13777" i="1"/>
  <c r="G13777" i="1"/>
  <c r="E13777" i="1"/>
  <c r="H13776" i="1"/>
  <c r="G13776" i="1"/>
  <c r="E13776" i="1"/>
  <c r="H13775" i="1"/>
  <c r="G13775" i="1"/>
  <c r="E13775" i="1"/>
  <c r="H13774" i="1"/>
  <c r="G13774" i="1"/>
  <c r="E13774" i="1"/>
  <c r="H13773" i="1"/>
  <c r="G13773" i="1"/>
  <c r="E13773" i="1"/>
  <c r="H13772" i="1"/>
  <c r="G13772" i="1"/>
  <c r="E13772" i="1"/>
  <c r="H13771" i="1"/>
  <c r="G13771" i="1"/>
  <c r="E13771" i="1"/>
  <c r="H13770" i="1"/>
  <c r="G13770" i="1"/>
  <c r="E13770" i="1"/>
  <c r="H13769" i="1"/>
  <c r="G13769" i="1"/>
  <c r="E13769" i="1"/>
  <c r="H13768" i="1"/>
  <c r="G13768" i="1"/>
  <c r="E13768" i="1"/>
  <c r="H13767" i="1"/>
  <c r="G13767" i="1"/>
  <c r="E13767" i="1"/>
  <c r="H13766" i="1"/>
  <c r="G13766" i="1"/>
  <c r="E13766" i="1"/>
  <c r="H13765" i="1"/>
  <c r="G13765" i="1"/>
  <c r="E13765" i="1"/>
  <c r="H13764" i="1"/>
  <c r="G13764" i="1"/>
  <c r="E13764" i="1"/>
  <c r="H13763" i="1"/>
  <c r="G13763" i="1"/>
  <c r="E13763" i="1"/>
  <c r="H13762" i="1"/>
  <c r="G13762" i="1"/>
  <c r="E13762" i="1"/>
  <c r="H13761" i="1"/>
  <c r="G13761" i="1"/>
  <c r="E13761" i="1"/>
  <c r="H13760" i="1"/>
  <c r="G13760" i="1"/>
  <c r="E13760" i="1"/>
  <c r="H13759" i="1"/>
  <c r="G13759" i="1"/>
  <c r="E13759" i="1"/>
  <c r="H13758" i="1"/>
  <c r="G13758" i="1"/>
  <c r="E13758" i="1"/>
  <c r="H13757" i="1"/>
  <c r="G13757" i="1"/>
  <c r="E13757" i="1"/>
  <c r="H13756" i="1"/>
  <c r="G13756" i="1"/>
  <c r="E13756" i="1"/>
  <c r="H13755" i="1"/>
  <c r="G13755" i="1"/>
  <c r="E13755" i="1"/>
  <c r="H13754" i="1"/>
  <c r="G13754" i="1"/>
  <c r="E13754" i="1"/>
  <c r="H13753" i="1"/>
  <c r="G13753" i="1"/>
  <c r="E13753" i="1"/>
  <c r="H13752" i="1"/>
  <c r="G13752" i="1"/>
  <c r="E13752" i="1"/>
  <c r="H13751" i="1"/>
  <c r="G13751" i="1"/>
  <c r="E13751" i="1"/>
  <c r="H13750" i="1"/>
  <c r="G13750" i="1"/>
  <c r="E13750" i="1"/>
  <c r="H13749" i="1"/>
  <c r="G13749" i="1"/>
  <c r="E13749" i="1"/>
  <c r="H13748" i="1"/>
  <c r="G13748" i="1"/>
  <c r="E13748" i="1"/>
  <c r="H13747" i="1"/>
  <c r="G13747" i="1"/>
  <c r="E13747" i="1"/>
  <c r="H13746" i="1"/>
  <c r="G13746" i="1"/>
  <c r="E13746" i="1"/>
  <c r="H13745" i="1"/>
  <c r="G13745" i="1"/>
  <c r="E13745" i="1"/>
  <c r="H13744" i="1"/>
  <c r="G13744" i="1"/>
  <c r="E13744" i="1"/>
  <c r="H13743" i="1"/>
  <c r="G13743" i="1"/>
  <c r="E13743" i="1"/>
  <c r="H13742" i="1"/>
  <c r="G13742" i="1"/>
  <c r="E13742" i="1"/>
  <c r="H13741" i="1"/>
  <c r="G13741" i="1"/>
  <c r="E13741" i="1"/>
  <c r="H13740" i="1"/>
  <c r="G13740" i="1"/>
  <c r="E13740" i="1"/>
  <c r="H13739" i="1"/>
  <c r="G13739" i="1"/>
  <c r="E13739" i="1"/>
  <c r="H13738" i="1"/>
  <c r="G13738" i="1"/>
  <c r="E13738" i="1"/>
  <c r="H13737" i="1"/>
  <c r="G13737" i="1"/>
  <c r="E13737" i="1"/>
  <c r="H13736" i="1"/>
  <c r="G13736" i="1"/>
  <c r="E13736" i="1"/>
  <c r="H13735" i="1"/>
  <c r="G13735" i="1"/>
  <c r="E13735" i="1"/>
  <c r="H13734" i="1"/>
  <c r="G13734" i="1"/>
  <c r="E13734" i="1"/>
  <c r="H13733" i="1"/>
  <c r="G13733" i="1"/>
  <c r="E13733" i="1"/>
  <c r="H13732" i="1"/>
  <c r="G13732" i="1"/>
  <c r="E13732" i="1"/>
  <c r="H13731" i="1"/>
  <c r="G13731" i="1"/>
  <c r="E13731" i="1"/>
  <c r="H13730" i="1"/>
  <c r="G13730" i="1"/>
  <c r="E13730" i="1"/>
  <c r="H13729" i="1"/>
  <c r="G13729" i="1"/>
  <c r="E13729" i="1"/>
  <c r="H13728" i="1"/>
  <c r="G13728" i="1"/>
  <c r="E13728" i="1"/>
  <c r="H13727" i="1"/>
  <c r="G13727" i="1"/>
  <c r="E13727" i="1"/>
  <c r="H13726" i="1"/>
  <c r="G13726" i="1"/>
  <c r="E13726" i="1"/>
  <c r="H13725" i="1"/>
  <c r="G13725" i="1"/>
  <c r="E13725" i="1"/>
  <c r="H13724" i="1"/>
  <c r="G13724" i="1"/>
  <c r="E13724" i="1"/>
  <c r="H13723" i="1"/>
  <c r="G13723" i="1"/>
  <c r="E13723" i="1"/>
  <c r="H13722" i="1"/>
  <c r="G13722" i="1"/>
  <c r="E13722" i="1"/>
  <c r="H13721" i="1"/>
  <c r="G13721" i="1"/>
  <c r="E13721" i="1"/>
  <c r="H13720" i="1"/>
  <c r="G13720" i="1"/>
  <c r="E13720" i="1"/>
  <c r="H13719" i="1"/>
  <c r="G13719" i="1"/>
  <c r="E13719" i="1"/>
  <c r="H13718" i="1"/>
  <c r="G13718" i="1"/>
  <c r="E13718" i="1"/>
  <c r="H13717" i="1"/>
  <c r="G13717" i="1"/>
  <c r="E13717" i="1"/>
  <c r="H13716" i="1"/>
  <c r="G13716" i="1"/>
  <c r="E13716" i="1"/>
  <c r="H13715" i="1"/>
  <c r="G13715" i="1"/>
  <c r="E13715" i="1"/>
  <c r="H13714" i="1"/>
  <c r="G13714" i="1"/>
  <c r="E13714" i="1"/>
  <c r="H13713" i="1"/>
  <c r="G13713" i="1"/>
  <c r="E13713" i="1"/>
  <c r="H13712" i="1"/>
  <c r="G13712" i="1"/>
  <c r="E13712" i="1"/>
  <c r="H13711" i="1"/>
  <c r="G13711" i="1"/>
  <c r="E13711" i="1"/>
  <c r="H13710" i="1"/>
  <c r="G13710" i="1"/>
  <c r="E13710" i="1"/>
  <c r="H13709" i="1"/>
  <c r="G13709" i="1"/>
  <c r="E13709" i="1"/>
  <c r="H13708" i="1"/>
  <c r="G13708" i="1"/>
  <c r="E13708" i="1"/>
  <c r="H13707" i="1"/>
  <c r="G13707" i="1"/>
  <c r="E13707" i="1"/>
  <c r="H13706" i="1"/>
  <c r="G13706" i="1"/>
  <c r="E13706" i="1"/>
  <c r="H13705" i="1"/>
  <c r="G13705" i="1"/>
  <c r="E13705" i="1"/>
  <c r="H13704" i="1"/>
  <c r="G13704" i="1"/>
  <c r="E13704" i="1"/>
  <c r="H13703" i="1"/>
  <c r="G13703" i="1"/>
  <c r="E13703" i="1"/>
  <c r="H13702" i="1"/>
  <c r="G13702" i="1"/>
  <c r="E13702" i="1"/>
  <c r="H13701" i="1"/>
  <c r="G13701" i="1"/>
  <c r="E13701" i="1"/>
  <c r="H13700" i="1"/>
  <c r="G13700" i="1"/>
  <c r="E13700" i="1"/>
  <c r="H13699" i="1"/>
  <c r="G13699" i="1"/>
  <c r="E13699" i="1"/>
  <c r="H13698" i="1"/>
  <c r="G13698" i="1"/>
  <c r="E13698" i="1"/>
  <c r="H13697" i="1"/>
  <c r="G13697" i="1"/>
  <c r="E13697" i="1"/>
  <c r="H13696" i="1"/>
  <c r="G13696" i="1"/>
  <c r="E13696" i="1"/>
  <c r="H13695" i="1"/>
  <c r="G13695" i="1"/>
  <c r="E13695" i="1"/>
  <c r="H13694" i="1"/>
  <c r="G13694" i="1"/>
  <c r="E13694" i="1"/>
  <c r="H13693" i="1"/>
  <c r="G13693" i="1"/>
  <c r="E13693" i="1"/>
  <c r="H13692" i="1"/>
  <c r="G13692" i="1"/>
  <c r="E13692" i="1"/>
  <c r="H13691" i="1"/>
  <c r="G13691" i="1"/>
  <c r="E13691" i="1"/>
  <c r="H13690" i="1"/>
  <c r="G13690" i="1"/>
  <c r="E13690" i="1"/>
  <c r="H13689" i="1"/>
  <c r="G13689" i="1"/>
  <c r="E13689" i="1"/>
  <c r="H13688" i="1"/>
  <c r="G13688" i="1"/>
  <c r="E13688" i="1"/>
  <c r="H13687" i="1"/>
  <c r="G13687" i="1"/>
  <c r="E13687" i="1"/>
  <c r="H13686" i="1"/>
  <c r="G13686" i="1"/>
  <c r="E13686" i="1"/>
  <c r="H13685" i="1"/>
  <c r="G13685" i="1"/>
  <c r="E13685" i="1"/>
  <c r="H13684" i="1"/>
  <c r="G13684" i="1"/>
  <c r="E13684" i="1"/>
  <c r="H13683" i="1"/>
  <c r="G13683" i="1"/>
  <c r="E13683" i="1"/>
  <c r="H13682" i="1"/>
  <c r="G13682" i="1"/>
  <c r="E13682" i="1"/>
  <c r="H13681" i="1"/>
  <c r="G13681" i="1"/>
  <c r="E13681" i="1"/>
  <c r="H13680" i="1"/>
  <c r="G13680" i="1"/>
  <c r="E13680" i="1"/>
  <c r="H13679" i="1"/>
  <c r="G13679" i="1"/>
  <c r="E13679" i="1"/>
  <c r="H13678" i="1"/>
  <c r="G13678" i="1"/>
  <c r="E13678" i="1"/>
  <c r="H13677" i="1"/>
  <c r="G13677" i="1"/>
  <c r="E13677" i="1"/>
  <c r="H13676" i="1"/>
  <c r="G13676" i="1"/>
  <c r="E13676" i="1"/>
  <c r="H13675" i="1"/>
  <c r="G13675" i="1"/>
  <c r="E13675" i="1"/>
  <c r="H13674" i="1"/>
  <c r="G13674" i="1"/>
  <c r="E13674" i="1"/>
  <c r="H13673" i="1"/>
  <c r="G13673" i="1"/>
  <c r="E13673" i="1"/>
  <c r="H13672" i="1"/>
  <c r="G13672" i="1"/>
  <c r="E13672" i="1"/>
  <c r="H13671" i="1"/>
  <c r="G13671" i="1"/>
  <c r="E13671" i="1"/>
  <c r="H13670" i="1"/>
  <c r="G13670" i="1"/>
  <c r="E13670" i="1"/>
  <c r="H13669" i="1"/>
  <c r="G13669" i="1"/>
  <c r="E13669" i="1"/>
  <c r="H13668" i="1"/>
  <c r="G13668" i="1"/>
  <c r="E13668" i="1"/>
  <c r="H13667" i="1"/>
  <c r="G13667" i="1"/>
  <c r="E13667" i="1"/>
  <c r="H13666" i="1"/>
  <c r="G13666" i="1"/>
  <c r="E13666" i="1"/>
  <c r="H13665" i="1"/>
  <c r="G13665" i="1"/>
  <c r="E13665" i="1"/>
  <c r="H13664" i="1"/>
  <c r="G13664" i="1"/>
  <c r="E13664" i="1"/>
  <c r="H13663" i="1"/>
  <c r="G13663" i="1"/>
  <c r="E13663" i="1"/>
  <c r="H13662" i="1"/>
  <c r="G13662" i="1"/>
  <c r="E13662" i="1"/>
  <c r="H13661" i="1"/>
  <c r="G13661" i="1"/>
  <c r="E13661" i="1"/>
  <c r="H13660" i="1"/>
  <c r="G13660" i="1"/>
  <c r="E13660" i="1"/>
  <c r="H13659" i="1"/>
  <c r="G13659" i="1"/>
  <c r="E13659" i="1"/>
  <c r="H13658" i="1"/>
  <c r="G13658" i="1"/>
  <c r="E13658" i="1"/>
  <c r="H13657" i="1"/>
  <c r="G13657" i="1"/>
  <c r="E13657" i="1"/>
  <c r="H13656" i="1"/>
  <c r="G13656" i="1"/>
  <c r="E13656" i="1"/>
  <c r="H13655" i="1"/>
  <c r="G13655" i="1"/>
  <c r="E13655" i="1"/>
  <c r="H13654" i="1"/>
  <c r="G13654" i="1"/>
  <c r="E13654" i="1"/>
  <c r="H13653" i="1"/>
  <c r="G13653" i="1"/>
  <c r="E13653" i="1"/>
  <c r="H13652" i="1"/>
  <c r="G13652" i="1"/>
  <c r="E13652" i="1"/>
  <c r="H13651" i="1"/>
  <c r="G13651" i="1"/>
  <c r="E13651" i="1"/>
  <c r="H13650" i="1"/>
  <c r="G13650" i="1"/>
  <c r="E13650" i="1"/>
  <c r="H13649" i="1"/>
  <c r="G13649" i="1"/>
  <c r="E13649" i="1"/>
  <c r="H13648" i="1"/>
  <c r="G13648" i="1"/>
  <c r="E13648" i="1"/>
  <c r="H13647" i="1"/>
  <c r="G13647" i="1"/>
  <c r="E13647" i="1"/>
  <c r="H13646" i="1"/>
  <c r="G13646" i="1"/>
  <c r="E13646" i="1"/>
  <c r="H13645" i="1"/>
  <c r="G13645" i="1"/>
  <c r="E13645" i="1"/>
  <c r="H13644" i="1"/>
  <c r="G13644" i="1"/>
  <c r="E13644" i="1"/>
  <c r="H13643" i="1"/>
  <c r="G13643" i="1"/>
  <c r="E13643" i="1"/>
  <c r="H13642" i="1"/>
  <c r="G13642" i="1"/>
  <c r="E13642" i="1"/>
  <c r="H13641" i="1"/>
  <c r="G13641" i="1"/>
  <c r="E13641" i="1"/>
  <c r="H13640" i="1"/>
  <c r="G13640" i="1"/>
  <c r="E13640" i="1"/>
  <c r="H13639" i="1"/>
  <c r="G13639" i="1"/>
  <c r="E13639" i="1"/>
  <c r="H13638" i="1"/>
  <c r="G13638" i="1"/>
  <c r="E13638" i="1"/>
  <c r="H13637" i="1"/>
  <c r="G13637" i="1"/>
  <c r="E13637" i="1"/>
  <c r="H13636" i="1"/>
  <c r="G13636" i="1"/>
  <c r="E13636" i="1"/>
  <c r="H13635" i="1"/>
  <c r="G13635" i="1"/>
  <c r="E13635" i="1"/>
  <c r="H13634" i="1"/>
  <c r="G13634" i="1"/>
  <c r="E13634" i="1"/>
  <c r="H13633" i="1"/>
  <c r="G13633" i="1"/>
  <c r="E13633" i="1"/>
  <c r="H13632" i="1"/>
  <c r="G13632" i="1"/>
  <c r="E13632" i="1"/>
  <c r="H13631" i="1"/>
  <c r="G13631" i="1"/>
  <c r="E13631" i="1"/>
  <c r="H13630" i="1"/>
  <c r="G13630" i="1"/>
  <c r="E13630" i="1"/>
  <c r="H13629" i="1"/>
  <c r="G13629" i="1"/>
  <c r="E13629" i="1"/>
  <c r="H13628" i="1"/>
  <c r="G13628" i="1"/>
  <c r="E13628" i="1"/>
  <c r="H13627" i="1"/>
  <c r="G13627" i="1"/>
  <c r="E13627" i="1"/>
  <c r="H13626" i="1"/>
  <c r="G13626" i="1"/>
  <c r="E13626" i="1"/>
  <c r="H13625" i="1"/>
  <c r="G13625" i="1"/>
  <c r="E13625" i="1"/>
  <c r="H13624" i="1"/>
  <c r="G13624" i="1"/>
  <c r="E13624" i="1"/>
  <c r="H13623" i="1"/>
  <c r="G13623" i="1"/>
  <c r="E13623" i="1"/>
  <c r="H13622" i="1"/>
  <c r="G13622" i="1"/>
  <c r="E13622" i="1"/>
  <c r="H13621" i="1"/>
  <c r="G13621" i="1"/>
  <c r="E13621" i="1"/>
  <c r="H13620" i="1"/>
  <c r="G13620" i="1"/>
  <c r="E13620" i="1"/>
  <c r="H13619" i="1"/>
  <c r="G13619" i="1"/>
  <c r="E13619" i="1"/>
  <c r="H13618" i="1"/>
  <c r="G13618" i="1"/>
  <c r="E13618" i="1"/>
  <c r="H13617" i="1"/>
  <c r="G13617" i="1"/>
  <c r="E13617" i="1"/>
  <c r="H13616" i="1"/>
  <c r="G13616" i="1"/>
  <c r="E13616" i="1"/>
  <c r="H13615" i="1"/>
  <c r="G13615" i="1"/>
  <c r="E13615" i="1"/>
  <c r="H13614" i="1"/>
  <c r="G13614" i="1"/>
  <c r="E13614" i="1"/>
  <c r="H13613" i="1"/>
  <c r="G13613" i="1"/>
  <c r="E13613" i="1"/>
  <c r="H13612" i="1"/>
  <c r="G13612" i="1"/>
  <c r="E13612" i="1"/>
  <c r="H13611" i="1"/>
  <c r="G13611" i="1"/>
  <c r="E13611" i="1"/>
  <c r="H13610" i="1"/>
  <c r="G13610" i="1"/>
  <c r="E13610" i="1"/>
  <c r="H13609" i="1"/>
  <c r="G13609" i="1"/>
  <c r="E13609" i="1"/>
  <c r="H13608" i="1"/>
  <c r="G13608" i="1"/>
  <c r="E13608" i="1"/>
  <c r="H13607" i="1"/>
  <c r="G13607" i="1"/>
  <c r="E13607" i="1"/>
  <c r="H13606" i="1"/>
  <c r="G13606" i="1"/>
  <c r="E13606" i="1"/>
  <c r="H13605" i="1"/>
  <c r="G13605" i="1"/>
  <c r="E13605" i="1"/>
  <c r="H13604" i="1"/>
  <c r="G13604" i="1"/>
  <c r="E13604" i="1"/>
  <c r="H13603" i="1"/>
  <c r="G13603" i="1"/>
  <c r="E13603" i="1"/>
  <c r="H13602" i="1"/>
  <c r="G13602" i="1"/>
  <c r="E13602" i="1"/>
  <c r="H13601" i="1"/>
  <c r="G13601" i="1"/>
  <c r="E13601" i="1"/>
  <c r="H13600" i="1"/>
  <c r="G13600" i="1"/>
  <c r="E13600" i="1"/>
  <c r="H13599" i="1"/>
  <c r="G13599" i="1"/>
  <c r="E13599" i="1"/>
  <c r="H13598" i="1"/>
  <c r="G13598" i="1"/>
  <c r="E13598" i="1"/>
  <c r="H13597" i="1"/>
  <c r="G13597" i="1"/>
  <c r="E13597" i="1"/>
  <c r="H13596" i="1"/>
  <c r="G13596" i="1"/>
  <c r="E13596" i="1"/>
  <c r="H13595" i="1"/>
  <c r="G13595" i="1"/>
  <c r="E13595" i="1"/>
  <c r="H13594" i="1"/>
  <c r="G13594" i="1"/>
  <c r="E13594" i="1"/>
  <c r="H13593" i="1"/>
  <c r="G13593" i="1"/>
  <c r="E13593" i="1"/>
  <c r="H13592" i="1"/>
  <c r="G13592" i="1"/>
  <c r="E13592" i="1"/>
  <c r="H13591" i="1"/>
  <c r="G13591" i="1"/>
  <c r="E13591" i="1"/>
  <c r="H13590" i="1"/>
  <c r="G13590" i="1"/>
  <c r="E13590" i="1"/>
  <c r="H13589" i="1"/>
  <c r="G13589" i="1"/>
  <c r="E13589" i="1"/>
  <c r="H13588" i="1"/>
  <c r="G13588" i="1"/>
  <c r="E13588" i="1"/>
  <c r="H13587" i="1"/>
  <c r="G13587" i="1"/>
  <c r="E13587" i="1"/>
  <c r="H13586" i="1"/>
  <c r="G13586" i="1"/>
  <c r="E13586" i="1"/>
  <c r="H13585" i="1"/>
  <c r="G13585" i="1"/>
  <c r="E13585" i="1"/>
  <c r="H13584" i="1"/>
  <c r="G13584" i="1"/>
  <c r="E13584" i="1"/>
  <c r="H13583" i="1"/>
  <c r="G13583" i="1"/>
  <c r="E13583" i="1"/>
  <c r="H13582" i="1"/>
  <c r="G13582" i="1"/>
  <c r="E13582" i="1"/>
  <c r="H13581" i="1"/>
  <c r="G13581" i="1"/>
  <c r="E13581" i="1"/>
  <c r="H13580" i="1"/>
  <c r="G13580" i="1"/>
  <c r="E13580" i="1"/>
  <c r="H13579" i="1"/>
  <c r="G13579" i="1"/>
  <c r="E13579" i="1"/>
  <c r="H13578" i="1"/>
  <c r="G13578" i="1"/>
  <c r="E13578" i="1"/>
  <c r="H13577" i="1"/>
  <c r="G13577" i="1"/>
  <c r="E13577" i="1"/>
  <c r="H13576" i="1"/>
  <c r="G13576" i="1"/>
  <c r="E13576" i="1"/>
  <c r="H13575" i="1"/>
  <c r="G13575" i="1"/>
  <c r="E13575" i="1"/>
  <c r="H13574" i="1"/>
  <c r="G13574" i="1"/>
  <c r="E13574" i="1"/>
  <c r="H13573" i="1"/>
  <c r="G13573" i="1"/>
  <c r="E13573" i="1"/>
  <c r="H13572" i="1"/>
  <c r="G13572" i="1"/>
  <c r="E13572" i="1"/>
  <c r="H13571" i="1"/>
  <c r="G13571" i="1"/>
  <c r="E13571" i="1"/>
  <c r="H13570" i="1"/>
  <c r="G13570" i="1"/>
  <c r="E13570" i="1"/>
  <c r="H13569" i="1"/>
  <c r="G13569" i="1"/>
  <c r="E13569" i="1"/>
  <c r="H13568" i="1"/>
  <c r="G13568" i="1"/>
  <c r="E13568" i="1"/>
  <c r="H13567" i="1"/>
  <c r="G13567" i="1"/>
  <c r="E13567" i="1"/>
  <c r="H13566" i="1"/>
  <c r="G13566" i="1"/>
  <c r="E13566" i="1"/>
  <c r="H13565" i="1"/>
  <c r="G13565" i="1"/>
  <c r="E13565" i="1"/>
  <c r="H13564" i="1"/>
  <c r="G13564" i="1"/>
  <c r="E13564" i="1"/>
  <c r="H13563" i="1"/>
  <c r="G13563" i="1"/>
  <c r="E13563" i="1"/>
  <c r="H13562" i="1"/>
  <c r="G13562" i="1"/>
  <c r="E13562" i="1"/>
  <c r="H13561" i="1"/>
  <c r="G13561" i="1"/>
  <c r="E13561" i="1"/>
  <c r="H13560" i="1"/>
  <c r="G13560" i="1"/>
  <c r="E13560" i="1"/>
  <c r="H13559" i="1"/>
  <c r="G13559" i="1"/>
  <c r="E13559" i="1"/>
  <c r="H13558" i="1"/>
  <c r="G13558" i="1"/>
  <c r="E13558" i="1"/>
  <c r="H13557" i="1"/>
  <c r="G13557" i="1"/>
  <c r="E13557" i="1"/>
  <c r="H13556" i="1"/>
  <c r="G13556" i="1"/>
  <c r="E13556" i="1"/>
  <c r="H13555" i="1"/>
  <c r="G13555" i="1"/>
  <c r="E13555" i="1"/>
  <c r="H13554" i="1"/>
  <c r="G13554" i="1"/>
  <c r="E13554" i="1"/>
  <c r="H13553" i="1"/>
  <c r="G13553" i="1"/>
  <c r="E13553" i="1"/>
  <c r="H13552" i="1"/>
  <c r="G13552" i="1"/>
  <c r="E13552" i="1"/>
  <c r="H13551" i="1"/>
  <c r="G13551" i="1"/>
  <c r="E13551" i="1"/>
  <c r="H13550" i="1"/>
  <c r="G13550" i="1"/>
  <c r="E13550" i="1"/>
  <c r="H13549" i="1"/>
  <c r="G13549" i="1"/>
  <c r="E13549" i="1"/>
  <c r="H13548" i="1"/>
  <c r="G13548" i="1"/>
  <c r="E13548" i="1"/>
  <c r="H13547" i="1"/>
  <c r="G13547" i="1"/>
  <c r="E13547" i="1"/>
  <c r="H13546" i="1"/>
  <c r="G13546" i="1"/>
  <c r="E13546" i="1"/>
  <c r="H13545" i="1"/>
  <c r="G13545" i="1"/>
  <c r="E13545" i="1"/>
  <c r="H13544" i="1"/>
  <c r="G13544" i="1"/>
  <c r="E13544" i="1"/>
  <c r="H13543" i="1"/>
  <c r="G13543" i="1"/>
  <c r="E13543" i="1"/>
  <c r="H13542" i="1"/>
  <c r="G13542" i="1"/>
  <c r="E13542" i="1"/>
  <c r="H13541" i="1"/>
  <c r="G13541" i="1"/>
  <c r="E13541" i="1"/>
  <c r="H13540" i="1"/>
  <c r="G13540" i="1"/>
  <c r="E13540" i="1"/>
  <c r="H13539" i="1"/>
  <c r="G13539" i="1"/>
  <c r="E13539" i="1"/>
  <c r="H13538" i="1"/>
  <c r="G13538" i="1"/>
  <c r="E13538" i="1"/>
  <c r="H13537" i="1"/>
  <c r="G13537" i="1"/>
  <c r="E13537" i="1"/>
  <c r="H13536" i="1"/>
  <c r="G13536" i="1"/>
  <c r="E13536" i="1"/>
  <c r="H13535" i="1"/>
  <c r="G13535" i="1"/>
  <c r="E13535" i="1"/>
  <c r="H13534" i="1"/>
  <c r="G13534" i="1"/>
  <c r="E13534" i="1"/>
  <c r="H13533" i="1"/>
  <c r="G13533" i="1"/>
  <c r="E13533" i="1"/>
  <c r="H13532" i="1"/>
  <c r="G13532" i="1"/>
  <c r="E13532" i="1"/>
  <c r="H13531" i="1"/>
  <c r="G13531" i="1"/>
  <c r="E13531" i="1"/>
  <c r="H13530" i="1"/>
  <c r="G13530" i="1"/>
  <c r="E13530" i="1"/>
  <c r="H13529" i="1"/>
  <c r="G13529" i="1"/>
  <c r="E13529" i="1"/>
  <c r="H13528" i="1"/>
  <c r="G13528" i="1"/>
  <c r="E13528" i="1"/>
  <c r="H13527" i="1"/>
  <c r="G13527" i="1"/>
  <c r="E13527" i="1"/>
  <c r="H13526" i="1"/>
  <c r="G13526" i="1"/>
  <c r="E13526" i="1"/>
  <c r="H13525" i="1"/>
  <c r="G13525" i="1"/>
  <c r="E13525" i="1"/>
  <c r="H13524" i="1"/>
  <c r="G13524" i="1"/>
  <c r="E13524" i="1"/>
  <c r="H13523" i="1"/>
  <c r="G13523" i="1"/>
  <c r="E13523" i="1"/>
  <c r="H13522" i="1"/>
  <c r="G13522" i="1"/>
  <c r="E13522" i="1"/>
  <c r="H13521" i="1"/>
  <c r="G13521" i="1"/>
  <c r="E13521" i="1"/>
  <c r="H13520" i="1"/>
  <c r="G13520" i="1"/>
  <c r="E13520" i="1"/>
  <c r="H13519" i="1"/>
  <c r="G13519" i="1"/>
  <c r="E13519" i="1"/>
  <c r="H13518" i="1"/>
  <c r="G13518" i="1"/>
  <c r="E13518" i="1"/>
  <c r="H13517" i="1"/>
  <c r="G13517" i="1"/>
  <c r="E13517" i="1"/>
  <c r="H13516" i="1"/>
  <c r="G13516" i="1"/>
  <c r="E13516" i="1"/>
  <c r="H13515" i="1"/>
  <c r="G13515" i="1"/>
  <c r="E13515" i="1"/>
  <c r="H13514" i="1"/>
  <c r="G13514" i="1"/>
  <c r="E13514" i="1"/>
  <c r="H13513" i="1"/>
  <c r="G13513" i="1"/>
  <c r="E13513" i="1"/>
  <c r="H13512" i="1"/>
  <c r="G13512" i="1"/>
  <c r="E13512" i="1"/>
  <c r="H13511" i="1"/>
  <c r="G13511" i="1"/>
  <c r="E13511" i="1"/>
  <c r="H13510" i="1"/>
  <c r="G13510" i="1"/>
  <c r="E13510" i="1"/>
  <c r="H13509" i="1"/>
  <c r="G13509" i="1"/>
  <c r="E13509" i="1"/>
  <c r="H13508" i="1"/>
  <c r="G13508" i="1"/>
  <c r="E13508" i="1"/>
  <c r="H13507" i="1"/>
  <c r="G13507" i="1"/>
  <c r="E13507" i="1"/>
  <c r="H13506" i="1"/>
  <c r="G13506" i="1"/>
  <c r="E13506" i="1"/>
  <c r="H13505" i="1"/>
  <c r="G13505" i="1"/>
  <c r="E13505" i="1"/>
  <c r="H13504" i="1"/>
  <c r="G13504" i="1"/>
  <c r="E13504" i="1"/>
  <c r="H13503" i="1"/>
  <c r="G13503" i="1"/>
  <c r="E13503" i="1"/>
  <c r="H13502" i="1"/>
  <c r="G13502" i="1"/>
  <c r="E13502" i="1"/>
  <c r="H13501" i="1"/>
  <c r="G13501" i="1"/>
  <c r="E13501" i="1"/>
  <c r="H13500" i="1"/>
  <c r="G13500" i="1"/>
  <c r="E13500" i="1"/>
  <c r="H13499" i="1"/>
  <c r="G13499" i="1"/>
  <c r="E13499" i="1"/>
  <c r="H13498" i="1"/>
  <c r="G13498" i="1"/>
  <c r="E13498" i="1"/>
  <c r="H13497" i="1"/>
  <c r="G13497" i="1"/>
  <c r="E13497" i="1"/>
  <c r="H13496" i="1"/>
  <c r="G13496" i="1"/>
  <c r="E13496" i="1"/>
  <c r="H13495" i="1"/>
  <c r="G13495" i="1"/>
  <c r="E13495" i="1"/>
  <c r="H13494" i="1"/>
  <c r="G13494" i="1"/>
  <c r="E13494" i="1"/>
  <c r="H13493" i="1"/>
  <c r="G13493" i="1"/>
  <c r="E13493" i="1"/>
  <c r="H13492" i="1"/>
  <c r="G13492" i="1"/>
  <c r="E13492" i="1"/>
  <c r="H13491" i="1"/>
  <c r="G13491" i="1"/>
  <c r="E13491" i="1"/>
  <c r="H13490" i="1"/>
  <c r="G13490" i="1"/>
  <c r="E13490" i="1"/>
  <c r="H13489" i="1"/>
  <c r="G13489" i="1"/>
  <c r="E13489" i="1"/>
  <c r="H13488" i="1"/>
  <c r="G13488" i="1"/>
  <c r="E13488" i="1"/>
  <c r="H13487" i="1"/>
  <c r="G13487" i="1"/>
  <c r="E13487" i="1"/>
  <c r="H13486" i="1"/>
  <c r="G13486" i="1"/>
  <c r="E13486" i="1"/>
  <c r="H13485" i="1"/>
  <c r="G13485" i="1"/>
  <c r="E13485" i="1"/>
  <c r="H13484" i="1"/>
  <c r="G13484" i="1"/>
  <c r="E13484" i="1"/>
  <c r="H13483" i="1"/>
  <c r="G13483" i="1"/>
  <c r="E13483" i="1"/>
  <c r="H13482" i="1"/>
  <c r="G13482" i="1"/>
  <c r="E13482" i="1"/>
  <c r="H13481" i="1"/>
  <c r="G13481" i="1"/>
  <c r="E13481" i="1"/>
  <c r="H13480" i="1"/>
  <c r="G13480" i="1"/>
  <c r="E13480" i="1"/>
  <c r="H13479" i="1"/>
  <c r="G13479" i="1"/>
  <c r="E13479" i="1"/>
  <c r="H13478" i="1"/>
  <c r="G13478" i="1"/>
  <c r="E13478" i="1"/>
  <c r="H13477" i="1"/>
  <c r="G13477" i="1"/>
  <c r="E13477" i="1"/>
  <c r="H13476" i="1"/>
  <c r="G13476" i="1"/>
  <c r="E13476" i="1"/>
  <c r="H13475" i="1"/>
  <c r="G13475" i="1"/>
  <c r="E13475" i="1"/>
  <c r="H13474" i="1"/>
  <c r="G13474" i="1"/>
  <c r="E13474" i="1"/>
  <c r="H13473" i="1"/>
  <c r="G13473" i="1"/>
  <c r="E13473" i="1"/>
  <c r="H13472" i="1"/>
  <c r="G13472" i="1"/>
  <c r="E13472" i="1"/>
  <c r="H13471" i="1"/>
  <c r="G13471" i="1"/>
  <c r="E13471" i="1"/>
  <c r="H13470" i="1"/>
  <c r="G13470" i="1"/>
  <c r="E13470" i="1"/>
  <c r="H13469" i="1"/>
  <c r="G13469" i="1"/>
  <c r="E13469" i="1"/>
  <c r="H13468" i="1"/>
  <c r="G13468" i="1"/>
  <c r="E13468" i="1"/>
  <c r="H13467" i="1"/>
  <c r="G13467" i="1"/>
  <c r="E13467" i="1"/>
  <c r="H13466" i="1"/>
  <c r="G13466" i="1"/>
  <c r="E13466" i="1"/>
  <c r="H13465" i="1"/>
  <c r="G13465" i="1"/>
  <c r="E13465" i="1"/>
  <c r="H13464" i="1"/>
  <c r="G13464" i="1"/>
  <c r="E13464" i="1"/>
  <c r="H13463" i="1"/>
  <c r="G13463" i="1"/>
  <c r="E13463" i="1"/>
  <c r="H13462" i="1"/>
  <c r="G13462" i="1"/>
  <c r="E13462" i="1"/>
  <c r="H13461" i="1"/>
  <c r="G13461" i="1"/>
  <c r="E13461" i="1"/>
  <c r="H13460" i="1"/>
  <c r="G13460" i="1"/>
  <c r="E13460" i="1"/>
  <c r="H13459" i="1"/>
  <c r="G13459" i="1"/>
  <c r="E13459" i="1"/>
  <c r="H13458" i="1"/>
  <c r="G13458" i="1"/>
  <c r="E13458" i="1"/>
  <c r="H13457" i="1"/>
  <c r="G13457" i="1"/>
  <c r="E13457" i="1"/>
  <c r="H13456" i="1"/>
  <c r="G13456" i="1"/>
  <c r="E13456" i="1"/>
  <c r="H13455" i="1"/>
  <c r="G13455" i="1"/>
  <c r="E13455" i="1"/>
  <c r="H13454" i="1"/>
  <c r="G13454" i="1"/>
  <c r="E13454" i="1"/>
  <c r="H13453" i="1"/>
  <c r="G13453" i="1"/>
  <c r="E13453" i="1"/>
  <c r="H13452" i="1"/>
  <c r="G13452" i="1"/>
  <c r="E13452" i="1"/>
  <c r="H13451" i="1"/>
  <c r="G13451" i="1"/>
  <c r="E13451" i="1"/>
  <c r="H13450" i="1"/>
  <c r="G13450" i="1"/>
  <c r="E13450" i="1"/>
  <c r="H13449" i="1"/>
  <c r="G13449" i="1"/>
  <c r="E13449" i="1"/>
  <c r="H13448" i="1"/>
  <c r="G13448" i="1"/>
  <c r="E13448" i="1"/>
  <c r="H13447" i="1"/>
  <c r="G13447" i="1"/>
  <c r="E13447" i="1"/>
  <c r="H13446" i="1"/>
  <c r="G13446" i="1"/>
  <c r="E13446" i="1"/>
  <c r="H13445" i="1"/>
  <c r="G13445" i="1"/>
  <c r="E13445" i="1"/>
  <c r="H13444" i="1"/>
  <c r="G13444" i="1"/>
  <c r="E13444" i="1"/>
  <c r="H13443" i="1"/>
  <c r="G13443" i="1"/>
  <c r="E13443" i="1"/>
  <c r="H13442" i="1"/>
  <c r="G13442" i="1"/>
  <c r="E13442" i="1"/>
  <c r="H13441" i="1"/>
  <c r="G13441" i="1"/>
  <c r="E13441" i="1"/>
  <c r="H13440" i="1"/>
  <c r="G13440" i="1"/>
  <c r="E13440" i="1"/>
  <c r="H13439" i="1"/>
  <c r="G13439" i="1"/>
  <c r="E13439" i="1"/>
  <c r="H13438" i="1"/>
  <c r="G13438" i="1"/>
  <c r="E13438" i="1"/>
  <c r="H13437" i="1"/>
  <c r="G13437" i="1"/>
  <c r="E13437" i="1"/>
  <c r="H13436" i="1"/>
  <c r="G13436" i="1"/>
  <c r="E13436" i="1"/>
  <c r="H13435" i="1"/>
  <c r="G13435" i="1"/>
  <c r="E13435" i="1"/>
  <c r="H13434" i="1"/>
  <c r="G13434" i="1"/>
  <c r="E13434" i="1"/>
  <c r="H13433" i="1"/>
  <c r="G13433" i="1"/>
  <c r="E13433" i="1"/>
  <c r="H13432" i="1"/>
  <c r="G13432" i="1"/>
  <c r="E13432" i="1"/>
  <c r="H13431" i="1"/>
  <c r="G13431" i="1"/>
  <c r="E13431" i="1"/>
  <c r="H13430" i="1"/>
  <c r="G13430" i="1"/>
  <c r="E13430" i="1"/>
  <c r="H13429" i="1"/>
  <c r="G13429" i="1"/>
  <c r="E13429" i="1"/>
  <c r="H13428" i="1"/>
  <c r="G13428" i="1"/>
  <c r="E13428" i="1"/>
  <c r="H13427" i="1"/>
  <c r="G13427" i="1"/>
  <c r="E13427" i="1"/>
  <c r="H13426" i="1"/>
  <c r="G13426" i="1"/>
  <c r="E13426" i="1"/>
  <c r="H13425" i="1"/>
  <c r="G13425" i="1"/>
  <c r="E13425" i="1"/>
  <c r="H13424" i="1"/>
  <c r="G13424" i="1"/>
  <c r="E13424" i="1"/>
  <c r="H13423" i="1"/>
  <c r="G13423" i="1"/>
  <c r="E13423" i="1"/>
  <c r="H13422" i="1"/>
  <c r="G13422" i="1"/>
  <c r="E13422" i="1"/>
  <c r="H13421" i="1"/>
  <c r="G13421" i="1"/>
  <c r="E13421" i="1"/>
  <c r="H13420" i="1"/>
  <c r="G13420" i="1"/>
  <c r="E13420" i="1"/>
  <c r="H13419" i="1"/>
  <c r="G13419" i="1"/>
  <c r="E13419" i="1"/>
  <c r="H13418" i="1"/>
  <c r="G13418" i="1"/>
  <c r="E13418" i="1"/>
  <c r="H13417" i="1"/>
  <c r="G13417" i="1"/>
  <c r="E13417" i="1"/>
  <c r="H13416" i="1"/>
  <c r="G13416" i="1"/>
  <c r="E13416" i="1"/>
  <c r="H13415" i="1"/>
  <c r="G13415" i="1"/>
  <c r="E13415" i="1"/>
  <c r="H13414" i="1"/>
  <c r="G13414" i="1"/>
  <c r="E13414" i="1"/>
  <c r="H13413" i="1"/>
  <c r="G13413" i="1"/>
  <c r="E13413" i="1"/>
  <c r="H13412" i="1"/>
  <c r="G13412" i="1"/>
  <c r="E13412" i="1"/>
  <c r="H13411" i="1"/>
  <c r="G13411" i="1"/>
  <c r="E13411" i="1"/>
  <c r="H13410" i="1"/>
  <c r="G13410" i="1"/>
  <c r="E13410" i="1"/>
  <c r="H13409" i="1"/>
  <c r="G13409" i="1"/>
  <c r="E13409" i="1"/>
  <c r="H13408" i="1"/>
  <c r="G13408" i="1"/>
  <c r="E13408" i="1"/>
  <c r="H13407" i="1"/>
  <c r="G13407" i="1"/>
  <c r="E13407" i="1"/>
  <c r="H13406" i="1"/>
  <c r="G13406" i="1"/>
  <c r="E13406" i="1"/>
  <c r="H13405" i="1"/>
  <c r="G13405" i="1"/>
  <c r="E13405" i="1"/>
  <c r="H13404" i="1"/>
  <c r="G13404" i="1"/>
  <c r="E13404" i="1"/>
  <c r="H13403" i="1"/>
  <c r="G13403" i="1"/>
  <c r="E13403" i="1"/>
  <c r="H13402" i="1"/>
  <c r="G13402" i="1"/>
  <c r="E13402" i="1"/>
  <c r="H13401" i="1"/>
  <c r="G13401" i="1"/>
  <c r="E13401" i="1"/>
  <c r="H13400" i="1"/>
  <c r="G13400" i="1"/>
  <c r="E13400" i="1"/>
  <c r="H13399" i="1"/>
  <c r="G13399" i="1"/>
  <c r="E13399" i="1"/>
  <c r="H13398" i="1"/>
  <c r="G13398" i="1"/>
  <c r="E13398" i="1"/>
  <c r="H13397" i="1"/>
  <c r="G13397" i="1"/>
  <c r="E13397" i="1"/>
  <c r="H13396" i="1"/>
  <c r="G13396" i="1"/>
  <c r="E13396" i="1"/>
  <c r="H13395" i="1"/>
  <c r="G13395" i="1"/>
  <c r="E13395" i="1"/>
  <c r="H13394" i="1"/>
  <c r="G13394" i="1"/>
  <c r="E13394" i="1"/>
  <c r="H13393" i="1"/>
  <c r="G13393" i="1"/>
  <c r="E13393" i="1"/>
  <c r="H13392" i="1"/>
  <c r="G13392" i="1"/>
  <c r="E13392" i="1"/>
  <c r="H13391" i="1"/>
  <c r="G13391" i="1"/>
  <c r="E13391" i="1"/>
  <c r="H13390" i="1"/>
  <c r="G13390" i="1"/>
  <c r="E13390" i="1"/>
  <c r="H13389" i="1"/>
  <c r="G13389" i="1"/>
  <c r="E13389" i="1"/>
  <c r="H13388" i="1"/>
  <c r="G13388" i="1"/>
  <c r="E13388" i="1"/>
  <c r="H13387" i="1"/>
  <c r="G13387" i="1"/>
  <c r="E13387" i="1"/>
  <c r="H13386" i="1"/>
  <c r="G13386" i="1"/>
  <c r="E13386" i="1"/>
  <c r="H13385" i="1"/>
  <c r="G13385" i="1"/>
  <c r="E13385" i="1"/>
  <c r="H13384" i="1"/>
  <c r="G13384" i="1"/>
  <c r="E13384" i="1"/>
  <c r="H13383" i="1"/>
  <c r="G13383" i="1"/>
  <c r="E13383" i="1"/>
  <c r="H13382" i="1"/>
  <c r="G13382" i="1"/>
  <c r="E13382" i="1"/>
  <c r="H13381" i="1"/>
  <c r="G13381" i="1"/>
  <c r="E13381" i="1"/>
  <c r="H13380" i="1"/>
  <c r="G13380" i="1"/>
  <c r="E13380" i="1"/>
  <c r="H13379" i="1"/>
  <c r="G13379" i="1"/>
  <c r="E13379" i="1"/>
  <c r="H13378" i="1"/>
  <c r="G13378" i="1"/>
  <c r="E13378" i="1"/>
  <c r="H13377" i="1"/>
  <c r="G13377" i="1"/>
  <c r="E13377" i="1"/>
  <c r="H13376" i="1"/>
  <c r="G13376" i="1"/>
  <c r="E13376" i="1"/>
  <c r="H13375" i="1"/>
  <c r="G13375" i="1"/>
  <c r="E13375" i="1"/>
  <c r="H13374" i="1"/>
  <c r="G13374" i="1"/>
  <c r="E13374" i="1"/>
  <c r="H13373" i="1"/>
  <c r="G13373" i="1"/>
  <c r="E13373" i="1"/>
  <c r="H13372" i="1"/>
  <c r="G13372" i="1"/>
  <c r="E13372" i="1"/>
  <c r="H13371" i="1"/>
  <c r="G13371" i="1"/>
  <c r="E13371" i="1"/>
  <c r="H13370" i="1"/>
  <c r="G13370" i="1"/>
  <c r="E13370" i="1"/>
  <c r="H13369" i="1"/>
  <c r="G13369" i="1"/>
  <c r="E13369" i="1"/>
  <c r="H13368" i="1"/>
  <c r="G13368" i="1"/>
  <c r="E13368" i="1"/>
  <c r="H13367" i="1"/>
  <c r="G13367" i="1"/>
  <c r="E13367" i="1"/>
  <c r="H13366" i="1"/>
  <c r="G13366" i="1"/>
  <c r="E13366" i="1"/>
  <c r="H13365" i="1"/>
  <c r="G13365" i="1"/>
  <c r="E13365" i="1"/>
  <c r="H13364" i="1"/>
  <c r="G13364" i="1"/>
  <c r="E13364" i="1"/>
  <c r="H13363" i="1"/>
  <c r="G13363" i="1"/>
  <c r="E13363" i="1"/>
  <c r="H13362" i="1"/>
  <c r="G13362" i="1"/>
  <c r="E13362" i="1"/>
  <c r="H13361" i="1"/>
  <c r="G13361" i="1"/>
  <c r="E13361" i="1"/>
  <c r="H13360" i="1"/>
  <c r="G13360" i="1"/>
  <c r="E13360" i="1"/>
  <c r="H13359" i="1"/>
  <c r="G13359" i="1"/>
  <c r="E13359" i="1"/>
  <c r="H13358" i="1"/>
  <c r="G13358" i="1"/>
  <c r="E13358" i="1"/>
  <c r="H13357" i="1"/>
  <c r="G13357" i="1"/>
  <c r="E13357" i="1"/>
  <c r="H13356" i="1"/>
  <c r="G13356" i="1"/>
  <c r="E13356" i="1"/>
  <c r="H13355" i="1"/>
  <c r="G13355" i="1"/>
  <c r="E13355" i="1"/>
  <c r="H13354" i="1"/>
  <c r="G13354" i="1"/>
  <c r="E13354" i="1"/>
  <c r="H13353" i="1"/>
  <c r="G13353" i="1"/>
  <c r="E13353" i="1"/>
  <c r="H13352" i="1"/>
  <c r="G13352" i="1"/>
  <c r="E13352" i="1"/>
  <c r="H13351" i="1"/>
  <c r="G13351" i="1"/>
  <c r="E13351" i="1"/>
  <c r="H13350" i="1"/>
  <c r="G13350" i="1"/>
  <c r="E13350" i="1"/>
  <c r="H13349" i="1"/>
  <c r="G13349" i="1"/>
  <c r="E13349" i="1"/>
  <c r="H13348" i="1"/>
  <c r="G13348" i="1"/>
  <c r="E13348" i="1"/>
  <c r="H13347" i="1"/>
  <c r="G13347" i="1"/>
  <c r="E13347" i="1"/>
  <c r="H13346" i="1"/>
  <c r="G13346" i="1"/>
  <c r="E13346" i="1"/>
  <c r="H13345" i="1"/>
  <c r="G13345" i="1"/>
  <c r="E13345" i="1"/>
  <c r="H13344" i="1"/>
  <c r="G13344" i="1"/>
  <c r="E13344" i="1"/>
  <c r="H13343" i="1"/>
  <c r="G13343" i="1"/>
  <c r="E13343" i="1"/>
  <c r="H13342" i="1"/>
  <c r="G13342" i="1"/>
  <c r="E13342" i="1"/>
  <c r="H13341" i="1"/>
  <c r="G13341" i="1"/>
  <c r="E13341" i="1"/>
  <c r="H13340" i="1"/>
  <c r="G13340" i="1"/>
  <c r="E13340" i="1"/>
  <c r="H13339" i="1"/>
  <c r="G13339" i="1"/>
  <c r="E13339" i="1"/>
  <c r="H13338" i="1"/>
  <c r="G13338" i="1"/>
  <c r="E13338" i="1"/>
  <c r="H13337" i="1"/>
  <c r="G13337" i="1"/>
  <c r="E13337" i="1"/>
  <c r="H13336" i="1"/>
  <c r="G13336" i="1"/>
  <c r="E13336" i="1"/>
  <c r="H13335" i="1"/>
  <c r="G13335" i="1"/>
  <c r="E13335" i="1"/>
  <c r="H13334" i="1"/>
  <c r="G13334" i="1"/>
  <c r="E13334" i="1"/>
  <c r="H13333" i="1"/>
  <c r="G13333" i="1"/>
  <c r="E13333" i="1"/>
  <c r="H13332" i="1"/>
  <c r="G13332" i="1"/>
  <c r="E13332" i="1"/>
  <c r="H13331" i="1"/>
  <c r="G13331" i="1"/>
  <c r="E13331" i="1"/>
  <c r="H13330" i="1"/>
  <c r="G13330" i="1"/>
  <c r="E13330" i="1"/>
  <c r="H13329" i="1"/>
  <c r="G13329" i="1"/>
  <c r="E13329" i="1"/>
  <c r="H13328" i="1"/>
  <c r="G13328" i="1"/>
  <c r="E13328" i="1"/>
  <c r="H13327" i="1"/>
  <c r="G13327" i="1"/>
  <c r="E13327" i="1"/>
  <c r="H13326" i="1"/>
  <c r="G13326" i="1"/>
  <c r="E13326" i="1"/>
  <c r="H13325" i="1"/>
  <c r="G13325" i="1"/>
  <c r="E13325" i="1"/>
  <c r="H13324" i="1"/>
  <c r="G13324" i="1"/>
  <c r="E13324" i="1"/>
  <c r="H13323" i="1"/>
  <c r="G13323" i="1"/>
  <c r="E13323" i="1"/>
  <c r="H13322" i="1"/>
  <c r="G13322" i="1"/>
  <c r="E13322" i="1"/>
  <c r="H13321" i="1"/>
  <c r="G13321" i="1"/>
  <c r="E13321" i="1"/>
  <c r="H13320" i="1"/>
  <c r="G13320" i="1"/>
  <c r="E13320" i="1"/>
  <c r="H13319" i="1"/>
  <c r="G13319" i="1"/>
  <c r="E13319" i="1"/>
  <c r="H13318" i="1"/>
  <c r="G13318" i="1"/>
  <c r="E13318" i="1"/>
  <c r="H13317" i="1"/>
  <c r="G13317" i="1"/>
  <c r="E13317" i="1"/>
  <c r="H13316" i="1"/>
  <c r="G13316" i="1"/>
  <c r="E13316" i="1"/>
  <c r="H13315" i="1"/>
  <c r="G13315" i="1"/>
  <c r="E13315" i="1"/>
  <c r="H13314" i="1"/>
  <c r="G13314" i="1"/>
  <c r="E13314" i="1"/>
  <c r="H13313" i="1"/>
  <c r="G13313" i="1"/>
  <c r="E13313" i="1"/>
  <c r="H13312" i="1"/>
  <c r="G13312" i="1"/>
  <c r="E13312" i="1"/>
  <c r="H13311" i="1"/>
  <c r="G13311" i="1"/>
  <c r="E13311" i="1"/>
  <c r="H13310" i="1"/>
  <c r="G13310" i="1"/>
  <c r="E13310" i="1"/>
  <c r="H13309" i="1"/>
  <c r="G13309" i="1"/>
  <c r="E13309" i="1"/>
  <c r="H13308" i="1"/>
  <c r="G13308" i="1"/>
  <c r="E13308" i="1"/>
  <c r="H13307" i="1"/>
  <c r="G13307" i="1"/>
  <c r="E13307" i="1"/>
  <c r="H13306" i="1"/>
  <c r="G13306" i="1"/>
  <c r="E13306" i="1"/>
  <c r="H13305" i="1"/>
  <c r="G13305" i="1"/>
  <c r="E13305" i="1"/>
  <c r="H13304" i="1"/>
  <c r="G13304" i="1"/>
  <c r="E13304" i="1"/>
  <c r="H13303" i="1"/>
  <c r="G13303" i="1"/>
  <c r="E13303" i="1"/>
  <c r="H13302" i="1"/>
  <c r="G13302" i="1"/>
  <c r="E13302" i="1"/>
  <c r="H13301" i="1"/>
  <c r="G13301" i="1"/>
  <c r="E13301" i="1"/>
  <c r="H13300" i="1"/>
  <c r="G13300" i="1"/>
  <c r="E13300" i="1"/>
  <c r="H13299" i="1"/>
  <c r="G13299" i="1"/>
  <c r="E13299" i="1"/>
  <c r="H13298" i="1"/>
  <c r="G13298" i="1"/>
  <c r="E13298" i="1"/>
  <c r="H13297" i="1"/>
  <c r="G13297" i="1"/>
  <c r="E13297" i="1"/>
  <c r="H13296" i="1"/>
  <c r="G13296" i="1"/>
  <c r="E13296" i="1"/>
  <c r="H13295" i="1"/>
  <c r="G13295" i="1"/>
  <c r="E13295" i="1"/>
  <c r="H13294" i="1"/>
  <c r="G13294" i="1"/>
  <c r="E13294" i="1"/>
  <c r="H13293" i="1"/>
  <c r="G13293" i="1"/>
  <c r="E13293" i="1"/>
  <c r="H13292" i="1"/>
  <c r="G13292" i="1"/>
  <c r="E13292" i="1"/>
  <c r="H13291" i="1"/>
  <c r="G13291" i="1"/>
  <c r="E13291" i="1"/>
  <c r="H13290" i="1"/>
  <c r="G13290" i="1"/>
  <c r="E13290" i="1"/>
  <c r="H13289" i="1"/>
  <c r="G13289" i="1"/>
  <c r="E13289" i="1"/>
  <c r="H13288" i="1"/>
  <c r="G13288" i="1"/>
  <c r="E13288" i="1"/>
  <c r="H13287" i="1"/>
  <c r="G13287" i="1"/>
  <c r="E13287" i="1"/>
  <c r="H13286" i="1"/>
  <c r="G13286" i="1"/>
  <c r="E13286" i="1"/>
  <c r="H13285" i="1"/>
  <c r="G13285" i="1"/>
  <c r="E13285" i="1"/>
  <c r="H13284" i="1"/>
  <c r="G13284" i="1"/>
  <c r="E13284" i="1"/>
  <c r="H13283" i="1"/>
  <c r="G13283" i="1"/>
  <c r="E13283" i="1"/>
  <c r="H13282" i="1"/>
  <c r="G13282" i="1"/>
  <c r="E13282" i="1"/>
  <c r="H13281" i="1"/>
  <c r="G13281" i="1"/>
  <c r="E13281" i="1"/>
  <c r="H13280" i="1"/>
  <c r="G13280" i="1"/>
  <c r="E13280" i="1"/>
  <c r="H13279" i="1"/>
  <c r="G13279" i="1"/>
  <c r="E13279" i="1"/>
  <c r="H13278" i="1"/>
  <c r="G13278" i="1"/>
  <c r="E13278" i="1"/>
  <c r="H13277" i="1"/>
  <c r="G13277" i="1"/>
  <c r="E13277" i="1"/>
  <c r="H13276" i="1"/>
  <c r="G13276" i="1"/>
  <c r="E13276" i="1"/>
  <c r="H13275" i="1"/>
  <c r="G13275" i="1"/>
  <c r="E13275" i="1"/>
  <c r="H13274" i="1"/>
  <c r="G13274" i="1"/>
  <c r="E13274" i="1"/>
  <c r="H13273" i="1"/>
  <c r="G13273" i="1"/>
  <c r="E13273" i="1"/>
  <c r="H13272" i="1"/>
  <c r="G13272" i="1"/>
  <c r="E13272" i="1"/>
  <c r="H13271" i="1"/>
  <c r="G13271" i="1"/>
  <c r="E13271" i="1"/>
  <c r="H13270" i="1"/>
  <c r="G13270" i="1"/>
  <c r="E13270" i="1"/>
  <c r="H13269" i="1"/>
  <c r="G13269" i="1"/>
  <c r="E13269" i="1"/>
  <c r="H13268" i="1"/>
  <c r="G13268" i="1"/>
  <c r="E13268" i="1"/>
  <c r="H13267" i="1"/>
  <c r="G13267" i="1"/>
  <c r="E13267" i="1"/>
  <c r="H13266" i="1"/>
  <c r="G13266" i="1"/>
  <c r="E13266" i="1"/>
  <c r="H13265" i="1"/>
  <c r="G13265" i="1"/>
  <c r="E13265" i="1"/>
  <c r="H13264" i="1"/>
  <c r="G13264" i="1"/>
  <c r="E13264" i="1"/>
  <c r="H13263" i="1"/>
  <c r="G13263" i="1"/>
  <c r="E13263" i="1"/>
  <c r="H13262" i="1"/>
  <c r="G13262" i="1"/>
  <c r="E13262" i="1"/>
  <c r="H13261" i="1"/>
  <c r="G13261" i="1"/>
  <c r="E13261" i="1"/>
  <c r="H13260" i="1"/>
  <c r="G13260" i="1"/>
  <c r="E13260" i="1"/>
  <c r="H13259" i="1"/>
  <c r="G13259" i="1"/>
  <c r="E13259" i="1"/>
  <c r="H13258" i="1"/>
  <c r="G13258" i="1"/>
  <c r="E13258" i="1"/>
  <c r="H13257" i="1"/>
  <c r="G13257" i="1"/>
  <c r="E13257" i="1"/>
  <c r="H13256" i="1"/>
  <c r="G13256" i="1"/>
  <c r="E13256" i="1"/>
  <c r="H13255" i="1"/>
  <c r="G13255" i="1"/>
  <c r="E13255" i="1"/>
  <c r="H13254" i="1"/>
  <c r="G13254" i="1"/>
  <c r="E13254" i="1"/>
  <c r="H13253" i="1"/>
  <c r="G13253" i="1"/>
  <c r="E13253" i="1"/>
  <c r="H13252" i="1"/>
  <c r="G13252" i="1"/>
  <c r="E13252" i="1"/>
  <c r="H13251" i="1"/>
  <c r="G13251" i="1"/>
  <c r="E13251" i="1"/>
  <c r="H13250" i="1"/>
  <c r="G13250" i="1"/>
  <c r="E13250" i="1"/>
  <c r="H13249" i="1"/>
  <c r="G13249" i="1"/>
  <c r="E13249" i="1"/>
  <c r="H13248" i="1"/>
  <c r="G13248" i="1"/>
  <c r="E13248" i="1"/>
  <c r="H13247" i="1"/>
  <c r="G13247" i="1"/>
  <c r="E13247" i="1"/>
  <c r="H13246" i="1"/>
  <c r="G13246" i="1"/>
  <c r="E13246" i="1"/>
  <c r="H13245" i="1"/>
  <c r="G13245" i="1"/>
  <c r="E13245" i="1"/>
  <c r="H13244" i="1"/>
  <c r="G13244" i="1"/>
  <c r="E13244" i="1"/>
  <c r="H13243" i="1"/>
  <c r="G13243" i="1"/>
  <c r="E13243" i="1"/>
  <c r="H13242" i="1"/>
  <c r="G13242" i="1"/>
  <c r="E13242" i="1"/>
  <c r="H13241" i="1"/>
  <c r="G13241" i="1"/>
  <c r="E13241" i="1"/>
  <c r="H13240" i="1"/>
  <c r="G13240" i="1"/>
  <c r="E13240" i="1"/>
  <c r="H13239" i="1"/>
  <c r="G13239" i="1"/>
  <c r="E13239" i="1"/>
  <c r="H13238" i="1"/>
  <c r="G13238" i="1"/>
  <c r="E13238" i="1"/>
  <c r="H13237" i="1"/>
  <c r="G13237" i="1"/>
  <c r="E13237" i="1"/>
  <c r="H13236" i="1"/>
  <c r="G13236" i="1"/>
  <c r="E13236" i="1"/>
  <c r="H13235" i="1"/>
  <c r="G13235" i="1"/>
  <c r="E13235" i="1"/>
  <c r="H13234" i="1"/>
  <c r="G13234" i="1"/>
  <c r="E13234" i="1"/>
  <c r="H13233" i="1"/>
  <c r="G13233" i="1"/>
  <c r="E13233" i="1"/>
  <c r="H13232" i="1"/>
  <c r="G13232" i="1"/>
  <c r="E13232" i="1"/>
  <c r="H13231" i="1"/>
  <c r="G13231" i="1"/>
  <c r="E13231" i="1"/>
  <c r="H13230" i="1"/>
  <c r="G13230" i="1"/>
  <c r="E13230" i="1"/>
  <c r="H13229" i="1"/>
  <c r="G13229" i="1"/>
  <c r="E13229" i="1"/>
  <c r="H13228" i="1"/>
  <c r="G13228" i="1"/>
  <c r="E13228" i="1"/>
  <c r="H13227" i="1"/>
  <c r="G13227" i="1"/>
  <c r="E13227" i="1"/>
  <c r="H13226" i="1"/>
  <c r="G13226" i="1"/>
  <c r="E13226" i="1"/>
  <c r="H13225" i="1"/>
  <c r="G13225" i="1"/>
  <c r="E13225" i="1"/>
  <c r="H13224" i="1"/>
  <c r="G13224" i="1"/>
  <c r="E13224" i="1"/>
  <c r="H13223" i="1"/>
  <c r="G13223" i="1"/>
  <c r="E13223" i="1"/>
  <c r="H13222" i="1"/>
  <c r="G13222" i="1"/>
  <c r="E13222" i="1"/>
  <c r="H13221" i="1"/>
  <c r="G13221" i="1"/>
  <c r="E13221" i="1"/>
  <c r="H13220" i="1"/>
  <c r="G13220" i="1"/>
  <c r="E13220" i="1"/>
  <c r="H13219" i="1"/>
  <c r="G13219" i="1"/>
  <c r="E13219" i="1"/>
  <c r="H13218" i="1"/>
  <c r="G13218" i="1"/>
  <c r="E13218" i="1"/>
  <c r="H13217" i="1"/>
  <c r="G13217" i="1"/>
  <c r="E13217" i="1"/>
  <c r="H13216" i="1"/>
  <c r="G13216" i="1"/>
  <c r="E13216" i="1"/>
  <c r="H13215" i="1"/>
  <c r="G13215" i="1"/>
  <c r="E13215" i="1"/>
  <c r="H13214" i="1"/>
  <c r="G13214" i="1"/>
  <c r="E13214" i="1"/>
  <c r="H13213" i="1"/>
  <c r="G13213" i="1"/>
  <c r="E13213" i="1"/>
  <c r="H13212" i="1"/>
  <c r="G13212" i="1"/>
  <c r="E13212" i="1"/>
  <c r="H13211" i="1"/>
  <c r="G13211" i="1"/>
  <c r="E13211" i="1"/>
  <c r="H13210" i="1"/>
  <c r="G13210" i="1"/>
  <c r="E13210" i="1"/>
  <c r="H13209" i="1"/>
  <c r="G13209" i="1"/>
  <c r="E13209" i="1"/>
  <c r="H13208" i="1"/>
  <c r="G13208" i="1"/>
  <c r="E13208" i="1"/>
  <c r="H13207" i="1"/>
  <c r="G13207" i="1"/>
  <c r="E13207" i="1"/>
  <c r="H13206" i="1"/>
  <c r="G13206" i="1"/>
  <c r="E13206" i="1"/>
  <c r="H13205" i="1"/>
  <c r="G13205" i="1"/>
  <c r="E13205" i="1"/>
  <c r="H13204" i="1"/>
  <c r="G13204" i="1"/>
  <c r="E13204" i="1"/>
  <c r="H13203" i="1"/>
  <c r="G13203" i="1"/>
  <c r="E13203" i="1"/>
  <c r="H13202" i="1"/>
  <c r="G13202" i="1"/>
  <c r="E13202" i="1"/>
  <c r="H13201" i="1"/>
  <c r="G13201" i="1"/>
  <c r="E13201" i="1"/>
  <c r="H13200" i="1"/>
  <c r="G13200" i="1"/>
  <c r="E13200" i="1"/>
  <c r="H13199" i="1"/>
  <c r="G13199" i="1"/>
  <c r="E13199" i="1"/>
  <c r="H13198" i="1"/>
  <c r="G13198" i="1"/>
  <c r="E13198" i="1"/>
  <c r="H13197" i="1"/>
  <c r="G13197" i="1"/>
  <c r="E13197" i="1"/>
  <c r="H13196" i="1"/>
  <c r="G13196" i="1"/>
  <c r="E13196" i="1"/>
  <c r="H13195" i="1"/>
  <c r="G13195" i="1"/>
  <c r="E13195" i="1"/>
  <c r="H13194" i="1"/>
  <c r="G13194" i="1"/>
  <c r="E13194" i="1"/>
  <c r="H13193" i="1"/>
  <c r="G13193" i="1"/>
  <c r="E13193" i="1"/>
  <c r="H13192" i="1"/>
  <c r="G13192" i="1"/>
  <c r="E13192" i="1"/>
  <c r="H13191" i="1"/>
  <c r="G13191" i="1"/>
  <c r="E13191" i="1"/>
  <c r="H13190" i="1"/>
  <c r="G13190" i="1"/>
  <c r="E13190" i="1"/>
  <c r="H13189" i="1"/>
  <c r="G13189" i="1"/>
  <c r="E13189" i="1"/>
  <c r="H13188" i="1"/>
  <c r="G13188" i="1"/>
  <c r="E13188" i="1"/>
  <c r="H13187" i="1"/>
  <c r="G13187" i="1"/>
  <c r="E13187" i="1"/>
  <c r="H13186" i="1"/>
  <c r="G13186" i="1"/>
  <c r="E13186" i="1"/>
  <c r="H13185" i="1"/>
  <c r="G13185" i="1"/>
  <c r="E13185" i="1"/>
  <c r="H13184" i="1"/>
  <c r="G13184" i="1"/>
  <c r="E13184" i="1"/>
  <c r="H13183" i="1"/>
  <c r="G13183" i="1"/>
  <c r="E13183" i="1"/>
  <c r="H13182" i="1"/>
  <c r="G13182" i="1"/>
  <c r="E13182" i="1"/>
  <c r="H13181" i="1"/>
  <c r="G13181" i="1"/>
  <c r="E13181" i="1"/>
  <c r="H13180" i="1"/>
  <c r="G13180" i="1"/>
  <c r="E13180" i="1"/>
  <c r="H13179" i="1"/>
  <c r="G13179" i="1"/>
  <c r="E13179" i="1"/>
  <c r="H13178" i="1"/>
  <c r="G13178" i="1"/>
  <c r="E13178" i="1"/>
  <c r="H13177" i="1"/>
  <c r="G13177" i="1"/>
  <c r="E13177" i="1"/>
  <c r="H13176" i="1"/>
  <c r="G13176" i="1"/>
  <c r="E13176" i="1"/>
  <c r="H13175" i="1"/>
  <c r="G13175" i="1"/>
  <c r="E13175" i="1"/>
  <c r="H13174" i="1"/>
  <c r="G13174" i="1"/>
  <c r="E13174" i="1"/>
  <c r="H13173" i="1"/>
  <c r="G13173" i="1"/>
  <c r="E13173" i="1"/>
  <c r="H13172" i="1"/>
  <c r="G13172" i="1"/>
  <c r="E13172" i="1"/>
  <c r="H13171" i="1"/>
  <c r="G13171" i="1"/>
  <c r="E13171" i="1"/>
  <c r="H13170" i="1"/>
  <c r="G13170" i="1"/>
  <c r="E13170" i="1"/>
  <c r="H13169" i="1"/>
  <c r="G13169" i="1"/>
  <c r="E13169" i="1"/>
  <c r="H13168" i="1"/>
  <c r="G13168" i="1"/>
  <c r="E13168" i="1"/>
  <c r="H13167" i="1"/>
  <c r="G13167" i="1"/>
  <c r="E13167" i="1"/>
  <c r="H13166" i="1"/>
  <c r="G13166" i="1"/>
  <c r="E13166" i="1"/>
  <c r="H13165" i="1"/>
  <c r="G13165" i="1"/>
  <c r="E13165" i="1"/>
  <c r="H13164" i="1"/>
  <c r="G13164" i="1"/>
  <c r="E13164" i="1"/>
  <c r="H13163" i="1"/>
  <c r="G13163" i="1"/>
  <c r="E13163" i="1"/>
  <c r="H13162" i="1"/>
  <c r="G13162" i="1"/>
  <c r="E13162" i="1"/>
  <c r="H13161" i="1"/>
  <c r="G13161" i="1"/>
  <c r="E13161" i="1"/>
  <c r="H13160" i="1"/>
  <c r="G13160" i="1"/>
  <c r="E13160" i="1"/>
  <c r="H13159" i="1"/>
  <c r="G13159" i="1"/>
  <c r="E13159" i="1"/>
  <c r="H13158" i="1"/>
  <c r="G13158" i="1"/>
  <c r="E13158" i="1"/>
  <c r="H13157" i="1"/>
  <c r="G13157" i="1"/>
  <c r="E13157" i="1"/>
  <c r="H13156" i="1"/>
  <c r="G13156" i="1"/>
  <c r="E13156" i="1"/>
  <c r="H13155" i="1"/>
  <c r="G13155" i="1"/>
  <c r="E13155" i="1"/>
  <c r="H13154" i="1"/>
  <c r="G13154" i="1"/>
  <c r="E13154" i="1"/>
  <c r="H13153" i="1"/>
  <c r="G13153" i="1"/>
  <c r="E13153" i="1"/>
  <c r="H13152" i="1"/>
  <c r="G13152" i="1"/>
  <c r="E13152" i="1"/>
  <c r="H13151" i="1"/>
  <c r="G13151" i="1"/>
  <c r="E13151" i="1"/>
  <c r="H13150" i="1"/>
  <c r="G13150" i="1"/>
  <c r="E13150" i="1"/>
  <c r="H13149" i="1"/>
  <c r="G13149" i="1"/>
  <c r="E13149" i="1"/>
  <c r="H13148" i="1"/>
  <c r="G13148" i="1"/>
  <c r="E13148" i="1"/>
  <c r="H13147" i="1"/>
  <c r="G13147" i="1"/>
  <c r="E13147" i="1"/>
  <c r="H13146" i="1"/>
  <c r="G13146" i="1"/>
  <c r="E13146" i="1"/>
  <c r="H13145" i="1"/>
  <c r="G13145" i="1"/>
  <c r="E13145" i="1"/>
  <c r="H13144" i="1"/>
  <c r="G13144" i="1"/>
  <c r="E13144" i="1"/>
  <c r="H13143" i="1"/>
  <c r="G13143" i="1"/>
  <c r="E13143" i="1"/>
  <c r="H13142" i="1"/>
  <c r="G13142" i="1"/>
  <c r="E13142" i="1"/>
  <c r="H13141" i="1"/>
  <c r="G13141" i="1"/>
  <c r="E13141" i="1"/>
  <c r="H13140" i="1"/>
  <c r="G13140" i="1"/>
  <c r="E13140" i="1"/>
  <c r="H13139" i="1"/>
  <c r="G13139" i="1"/>
  <c r="E13139" i="1"/>
  <c r="H13138" i="1"/>
  <c r="G13138" i="1"/>
  <c r="E13138" i="1"/>
  <c r="H13137" i="1"/>
  <c r="G13137" i="1"/>
  <c r="E13137" i="1"/>
  <c r="H13136" i="1"/>
  <c r="G13136" i="1"/>
  <c r="E13136" i="1"/>
  <c r="H13135" i="1"/>
  <c r="G13135" i="1"/>
  <c r="E13135" i="1"/>
  <c r="H13134" i="1"/>
  <c r="G13134" i="1"/>
  <c r="E13134" i="1"/>
  <c r="H13133" i="1"/>
  <c r="G13133" i="1"/>
  <c r="E13133" i="1"/>
  <c r="H13132" i="1"/>
  <c r="G13132" i="1"/>
  <c r="E13132" i="1"/>
  <c r="H13131" i="1"/>
  <c r="G13131" i="1"/>
  <c r="E13131" i="1"/>
  <c r="H13130" i="1"/>
  <c r="G13130" i="1"/>
  <c r="E13130" i="1"/>
  <c r="H13129" i="1"/>
  <c r="G13129" i="1"/>
  <c r="E13129" i="1"/>
  <c r="H13128" i="1"/>
  <c r="G13128" i="1"/>
  <c r="E13128" i="1"/>
  <c r="H13127" i="1"/>
  <c r="G13127" i="1"/>
  <c r="E13127" i="1"/>
  <c r="H13126" i="1"/>
  <c r="G13126" i="1"/>
  <c r="E13126" i="1"/>
  <c r="H13125" i="1"/>
  <c r="G13125" i="1"/>
  <c r="E13125" i="1"/>
  <c r="H13124" i="1"/>
  <c r="G13124" i="1"/>
  <c r="E13124" i="1"/>
  <c r="H13123" i="1"/>
  <c r="G13123" i="1"/>
  <c r="E13123" i="1"/>
  <c r="H13122" i="1"/>
  <c r="G13122" i="1"/>
  <c r="E13122" i="1"/>
  <c r="H13121" i="1"/>
  <c r="G13121" i="1"/>
  <c r="E13121" i="1"/>
  <c r="H13120" i="1"/>
  <c r="G13120" i="1"/>
  <c r="E13120" i="1"/>
  <c r="H13119" i="1"/>
  <c r="G13119" i="1"/>
  <c r="E13119" i="1"/>
  <c r="H13118" i="1"/>
  <c r="G13118" i="1"/>
  <c r="E13118" i="1"/>
  <c r="H13117" i="1"/>
  <c r="G13117" i="1"/>
  <c r="E13117" i="1"/>
  <c r="H13116" i="1"/>
  <c r="G13116" i="1"/>
  <c r="E13116" i="1"/>
  <c r="H13115" i="1"/>
  <c r="G13115" i="1"/>
  <c r="E13115" i="1"/>
  <c r="H13114" i="1"/>
  <c r="G13114" i="1"/>
  <c r="E13114" i="1"/>
  <c r="H13113" i="1"/>
  <c r="G13113" i="1"/>
  <c r="E13113" i="1"/>
  <c r="H13112" i="1"/>
  <c r="G13112" i="1"/>
  <c r="E13112" i="1"/>
  <c r="H13111" i="1"/>
  <c r="G13111" i="1"/>
  <c r="E13111" i="1"/>
  <c r="H13110" i="1"/>
  <c r="G13110" i="1"/>
  <c r="E13110" i="1"/>
  <c r="H13109" i="1"/>
  <c r="G13109" i="1"/>
  <c r="E13109" i="1"/>
  <c r="H13108" i="1"/>
  <c r="G13108" i="1"/>
  <c r="E13108" i="1"/>
  <c r="H13107" i="1"/>
  <c r="G13107" i="1"/>
  <c r="E13107" i="1"/>
  <c r="H13106" i="1"/>
  <c r="G13106" i="1"/>
  <c r="E13106" i="1"/>
  <c r="H13105" i="1"/>
  <c r="G13105" i="1"/>
  <c r="E13105" i="1"/>
  <c r="H13104" i="1"/>
  <c r="G13104" i="1"/>
  <c r="E13104" i="1"/>
  <c r="H13103" i="1"/>
  <c r="G13103" i="1"/>
  <c r="E13103" i="1"/>
  <c r="H13102" i="1"/>
  <c r="G13102" i="1"/>
  <c r="E13102" i="1"/>
  <c r="H13101" i="1"/>
  <c r="G13101" i="1"/>
  <c r="E13101" i="1"/>
  <c r="H13100" i="1"/>
  <c r="G13100" i="1"/>
  <c r="E13100" i="1"/>
  <c r="H13099" i="1"/>
  <c r="G13099" i="1"/>
  <c r="E13099" i="1"/>
  <c r="H13098" i="1"/>
  <c r="G13098" i="1"/>
  <c r="E13098" i="1"/>
  <c r="H13097" i="1"/>
  <c r="G13097" i="1"/>
  <c r="E13097" i="1"/>
  <c r="H13096" i="1"/>
  <c r="G13096" i="1"/>
  <c r="E13096" i="1"/>
  <c r="H13095" i="1"/>
  <c r="G13095" i="1"/>
  <c r="E13095" i="1"/>
  <c r="H13094" i="1"/>
  <c r="G13094" i="1"/>
  <c r="E13094" i="1"/>
  <c r="H13093" i="1"/>
  <c r="G13093" i="1"/>
  <c r="E13093" i="1"/>
  <c r="H13092" i="1"/>
  <c r="G13092" i="1"/>
  <c r="E13092" i="1"/>
  <c r="H13091" i="1"/>
  <c r="G13091" i="1"/>
  <c r="E13091" i="1"/>
  <c r="H13090" i="1"/>
  <c r="G13090" i="1"/>
  <c r="E13090" i="1"/>
  <c r="H13089" i="1"/>
  <c r="G13089" i="1"/>
  <c r="E13089" i="1"/>
  <c r="H13088" i="1"/>
  <c r="G13088" i="1"/>
  <c r="E13088" i="1"/>
  <c r="H13087" i="1"/>
  <c r="G13087" i="1"/>
  <c r="E13087" i="1"/>
  <c r="H13086" i="1"/>
  <c r="G13086" i="1"/>
  <c r="E13086" i="1"/>
  <c r="H13085" i="1"/>
  <c r="G13085" i="1"/>
  <c r="E13085" i="1"/>
  <c r="H13084" i="1"/>
  <c r="G13084" i="1"/>
  <c r="E13084" i="1"/>
  <c r="H13083" i="1"/>
  <c r="G13083" i="1"/>
  <c r="E13083" i="1"/>
  <c r="H13082" i="1"/>
  <c r="G13082" i="1"/>
  <c r="E13082" i="1"/>
  <c r="H13081" i="1"/>
  <c r="G13081" i="1"/>
  <c r="E13081" i="1"/>
  <c r="H13080" i="1"/>
  <c r="G13080" i="1"/>
  <c r="E13080" i="1"/>
  <c r="H13079" i="1"/>
  <c r="G13079" i="1"/>
  <c r="E13079" i="1"/>
  <c r="H13078" i="1"/>
  <c r="G13078" i="1"/>
  <c r="E13078" i="1"/>
  <c r="H13077" i="1"/>
  <c r="G13077" i="1"/>
  <c r="E13077" i="1"/>
  <c r="H13076" i="1"/>
  <c r="G13076" i="1"/>
  <c r="E13076" i="1"/>
  <c r="H13075" i="1"/>
  <c r="G13075" i="1"/>
  <c r="E13075" i="1"/>
  <c r="H13074" i="1"/>
  <c r="G13074" i="1"/>
  <c r="E13074" i="1"/>
  <c r="H13073" i="1"/>
  <c r="G13073" i="1"/>
  <c r="E13073" i="1"/>
  <c r="H13072" i="1"/>
  <c r="G13072" i="1"/>
  <c r="E13072" i="1"/>
  <c r="H13071" i="1"/>
  <c r="G13071" i="1"/>
  <c r="E13071" i="1"/>
  <c r="H13070" i="1"/>
  <c r="G13070" i="1"/>
  <c r="E13070" i="1"/>
  <c r="H13069" i="1"/>
  <c r="G13069" i="1"/>
  <c r="E13069" i="1"/>
  <c r="H13068" i="1"/>
  <c r="G13068" i="1"/>
  <c r="E13068" i="1"/>
  <c r="H13067" i="1"/>
  <c r="G13067" i="1"/>
  <c r="E13067" i="1"/>
  <c r="H13066" i="1"/>
  <c r="G13066" i="1"/>
  <c r="E13066" i="1"/>
  <c r="H13065" i="1"/>
  <c r="G13065" i="1"/>
  <c r="E13065" i="1"/>
  <c r="H13064" i="1"/>
  <c r="G13064" i="1"/>
  <c r="E13064" i="1"/>
  <c r="H13063" i="1"/>
  <c r="G13063" i="1"/>
  <c r="E13063" i="1"/>
  <c r="H13062" i="1"/>
  <c r="G13062" i="1"/>
  <c r="E13062" i="1"/>
  <c r="H13061" i="1"/>
  <c r="G13061" i="1"/>
  <c r="E13061" i="1"/>
  <c r="H13060" i="1"/>
  <c r="G13060" i="1"/>
  <c r="E13060" i="1"/>
  <c r="H13059" i="1"/>
  <c r="G13059" i="1"/>
  <c r="E13059" i="1"/>
  <c r="H13058" i="1"/>
  <c r="G13058" i="1"/>
  <c r="E13058" i="1"/>
  <c r="H13057" i="1"/>
  <c r="G13057" i="1"/>
  <c r="E13057" i="1"/>
  <c r="H13056" i="1"/>
  <c r="G13056" i="1"/>
  <c r="E13056" i="1"/>
  <c r="H13055" i="1"/>
  <c r="G13055" i="1"/>
  <c r="E13055" i="1"/>
  <c r="H13054" i="1"/>
  <c r="G13054" i="1"/>
  <c r="E13054" i="1"/>
  <c r="H13053" i="1"/>
  <c r="G13053" i="1"/>
  <c r="E13053" i="1"/>
  <c r="H13052" i="1"/>
  <c r="G13052" i="1"/>
  <c r="E13052" i="1"/>
  <c r="H13051" i="1"/>
  <c r="G13051" i="1"/>
  <c r="E13051" i="1"/>
  <c r="H13050" i="1"/>
  <c r="G13050" i="1"/>
  <c r="E13050" i="1"/>
  <c r="H13049" i="1"/>
  <c r="G13049" i="1"/>
  <c r="E13049" i="1"/>
  <c r="H13048" i="1"/>
  <c r="G13048" i="1"/>
  <c r="E13048" i="1"/>
  <c r="H13047" i="1"/>
  <c r="G13047" i="1"/>
  <c r="E13047" i="1"/>
  <c r="H13046" i="1"/>
  <c r="G13046" i="1"/>
  <c r="E13046" i="1"/>
  <c r="H13045" i="1"/>
  <c r="G13045" i="1"/>
  <c r="E13045" i="1"/>
  <c r="H13044" i="1"/>
  <c r="G13044" i="1"/>
  <c r="E13044" i="1"/>
  <c r="H13043" i="1"/>
  <c r="G13043" i="1"/>
  <c r="E13043" i="1"/>
  <c r="H13042" i="1"/>
  <c r="G13042" i="1"/>
  <c r="E13042" i="1"/>
  <c r="H13041" i="1"/>
  <c r="G13041" i="1"/>
  <c r="E13041" i="1"/>
  <c r="H13040" i="1"/>
  <c r="G13040" i="1"/>
  <c r="E13040" i="1"/>
  <c r="H13039" i="1"/>
  <c r="G13039" i="1"/>
  <c r="E13039" i="1"/>
  <c r="H13038" i="1"/>
  <c r="G13038" i="1"/>
  <c r="E13038" i="1"/>
  <c r="H13037" i="1"/>
  <c r="G13037" i="1"/>
  <c r="E13037" i="1"/>
  <c r="H13036" i="1"/>
  <c r="G13036" i="1"/>
  <c r="E13036" i="1"/>
  <c r="H13035" i="1"/>
  <c r="G13035" i="1"/>
  <c r="E13035" i="1"/>
  <c r="H13034" i="1"/>
  <c r="G13034" i="1"/>
  <c r="E13034" i="1"/>
  <c r="H13033" i="1"/>
  <c r="G13033" i="1"/>
  <c r="E13033" i="1"/>
  <c r="H13032" i="1"/>
  <c r="G13032" i="1"/>
  <c r="E13032" i="1"/>
  <c r="H13031" i="1"/>
  <c r="G13031" i="1"/>
  <c r="E13031" i="1"/>
  <c r="H13030" i="1"/>
  <c r="G13030" i="1"/>
  <c r="E13030" i="1"/>
  <c r="H13029" i="1"/>
  <c r="G13029" i="1"/>
  <c r="E13029" i="1"/>
  <c r="H13028" i="1"/>
  <c r="G13028" i="1"/>
  <c r="E13028" i="1"/>
  <c r="H13027" i="1"/>
  <c r="G13027" i="1"/>
  <c r="E13027" i="1"/>
  <c r="H13026" i="1"/>
  <c r="G13026" i="1"/>
  <c r="E13026" i="1"/>
  <c r="H13025" i="1"/>
  <c r="G13025" i="1"/>
  <c r="E13025" i="1"/>
  <c r="H13024" i="1"/>
  <c r="G13024" i="1"/>
  <c r="E13024" i="1"/>
  <c r="H13023" i="1"/>
  <c r="G13023" i="1"/>
  <c r="E13023" i="1"/>
  <c r="H13022" i="1"/>
  <c r="G13022" i="1"/>
  <c r="E13022" i="1"/>
  <c r="H13021" i="1"/>
  <c r="G13021" i="1"/>
  <c r="E13021" i="1"/>
  <c r="H13020" i="1"/>
  <c r="G13020" i="1"/>
  <c r="E13020" i="1"/>
  <c r="H13019" i="1"/>
  <c r="G13019" i="1"/>
  <c r="E13019" i="1"/>
  <c r="H13018" i="1"/>
  <c r="G13018" i="1"/>
  <c r="E13018" i="1"/>
  <c r="H13017" i="1"/>
  <c r="G13017" i="1"/>
  <c r="E13017" i="1"/>
  <c r="H13016" i="1"/>
  <c r="G13016" i="1"/>
  <c r="E13016" i="1"/>
  <c r="H13015" i="1"/>
  <c r="G13015" i="1"/>
  <c r="E13015" i="1"/>
  <c r="H13014" i="1"/>
  <c r="G13014" i="1"/>
  <c r="E13014" i="1"/>
  <c r="H13013" i="1"/>
  <c r="G13013" i="1"/>
  <c r="E13013" i="1"/>
  <c r="H13012" i="1"/>
  <c r="G13012" i="1"/>
  <c r="E13012" i="1"/>
  <c r="H13011" i="1"/>
  <c r="G13011" i="1"/>
  <c r="E13011" i="1"/>
  <c r="H13010" i="1"/>
  <c r="G13010" i="1"/>
  <c r="E13010" i="1"/>
  <c r="H13009" i="1"/>
  <c r="G13009" i="1"/>
  <c r="E13009" i="1"/>
  <c r="H13008" i="1"/>
  <c r="G13008" i="1"/>
  <c r="E13008" i="1"/>
  <c r="H13007" i="1"/>
  <c r="G13007" i="1"/>
  <c r="E13007" i="1"/>
  <c r="H13006" i="1"/>
  <c r="G13006" i="1"/>
  <c r="E13006" i="1"/>
  <c r="H13005" i="1"/>
  <c r="G13005" i="1"/>
  <c r="E13005" i="1"/>
  <c r="H13004" i="1"/>
  <c r="G13004" i="1"/>
  <c r="E13004" i="1"/>
  <c r="H13003" i="1"/>
  <c r="G13003" i="1"/>
  <c r="E13003" i="1"/>
  <c r="H13002" i="1"/>
  <c r="G13002" i="1"/>
  <c r="E13002" i="1"/>
  <c r="H13001" i="1"/>
  <c r="G13001" i="1"/>
  <c r="E13001" i="1"/>
  <c r="H13000" i="1"/>
  <c r="G13000" i="1"/>
  <c r="E13000" i="1"/>
  <c r="H12999" i="1"/>
  <c r="G12999" i="1"/>
  <c r="E12999" i="1"/>
  <c r="H12998" i="1"/>
  <c r="G12998" i="1"/>
  <c r="E12998" i="1"/>
  <c r="H12997" i="1"/>
  <c r="G12997" i="1"/>
  <c r="E12997" i="1"/>
  <c r="H12996" i="1"/>
  <c r="G12996" i="1"/>
  <c r="E12996" i="1"/>
  <c r="H12995" i="1"/>
  <c r="G12995" i="1"/>
  <c r="E12995" i="1"/>
  <c r="H12994" i="1"/>
  <c r="G12994" i="1"/>
  <c r="E12994" i="1"/>
  <c r="H12993" i="1"/>
  <c r="G12993" i="1"/>
  <c r="E12993" i="1"/>
  <c r="H12992" i="1"/>
  <c r="G12992" i="1"/>
  <c r="E12992" i="1"/>
  <c r="H12991" i="1"/>
  <c r="G12991" i="1"/>
  <c r="E12991" i="1"/>
  <c r="H12990" i="1"/>
  <c r="G12990" i="1"/>
  <c r="E12990" i="1"/>
  <c r="H12989" i="1"/>
  <c r="G12989" i="1"/>
  <c r="E12989" i="1"/>
  <c r="H12988" i="1"/>
  <c r="G12988" i="1"/>
  <c r="E12988" i="1"/>
  <c r="H12987" i="1"/>
  <c r="G12987" i="1"/>
  <c r="E12987" i="1"/>
  <c r="H12986" i="1"/>
  <c r="G12986" i="1"/>
  <c r="E12986" i="1"/>
  <c r="H12985" i="1"/>
  <c r="G12985" i="1"/>
  <c r="E12985" i="1"/>
  <c r="H12984" i="1"/>
  <c r="G12984" i="1"/>
  <c r="E12984" i="1"/>
  <c r="H12983" i="1"/>
  <c r="G12983" i="1"/>
  <c r="E12983" i="1"/>
  <c r="H12982" i="1"/>
  <c r="G12982" i="1"/>
  <c r="E12982" i="1"/>
  <c r="H12981" i="1"/>
  <c r="G12981" i="1"/>
  <c r="E12981" i="1"/>
  <c r="H12980" i="1"/>
  <c r="G12980" i="1"/>
  <c r="E12980" i="1"/>
  <c r="H12979" i="1"/>
  <c r="G12979" i="1"/>
  <c r="E12979" i="1"/>
  <c r="H12978" i="1"/>
  <c r="G12978" i="1"/>
  <c r="E12978" i="1"/>
  <c r="H12977" i="1"/>
  <c r="G12977" i="1"/>
  <c r="E12977" i="1"/>
  <c r="H12976" i="1"/>
  <c r="G12976" i="1"/>
  <c r="E12976" i="1"/>
  <c r="H12975" i="1"/>
  <c r="G12975" i="1"/>
  <c r="E12975" i="1"/>
  <c r="H12974" i="1"/>
  <c r="G12974" i="1"/>
  <c r="E12974" i="1"/>
  <c r="H12973" i="1"/>
  <c r="G12973" i="1"/>
  <c r="E12973" i="1"/>
  <c r="H12972" i="1"/>
  <c r="G12972" i="1"/>
  <c r="E12972" i="1"/>
  <c r="H12971" i="1"/>
  <c r="G12971" i="1"/>
  <c r="E12971" i="1"/>
  <c r="H12970" i="1"/>
  <c r="G12970" i="1"/>
  <c r="E12970" i="1"/>
  <c r="H12969" i="1"/>
  <c r="G12969" i="1"/>
  <c r="E12969" i="1"/>
  <c r="H12968" i="1"/>
  <c r="G12968" i="1"/>
  <c r="E12968" i="1"/>
  <c r="H12967" i="1"/>
  <c r="G12967" i="1"/>
  <c r="E12967" i="1"/>
  <c r="H12966" i="1"/>
  <c r="G12966" i="1"/>
  <c r="E12966" i="1"/>
  <c r="H12965" i="1"/>
  <c r="G12965" i="1"/>
  <c r="E12965" i="1"/>
  <c r="H12964" i="1"/>
  <c r="G12964" i="1"/>
  <c r="E12964" i="1"/>
  <c r="H12963" i="1"/>
  <c r="G12963" i="1"/>
  <c r="E12963" i="1"/>
  <c r="H12962" i="1"/>
  <c r="G12962" i="1"/>
  <c r="E12962" i="1"/>
  <c r="H12961" i="1"/>
  <c r="G12961" i="1"/>
  <c r="E12961" i="1"/>
  <c r="H12960" i="1"/>
  <c r="G12960" i="1"/>
  <c r="E12960" i="1"/>
  <c r="H12959" i="1"/>
  <c r="G12959" i="1"/>
  <c r="E12959" i="1"/>
  <c r="H12958" i="1"/>
  <c r="G12958" i="1"/>
  <c r="E12958" i="1"/>
  <c r="H12957" i="1"/>
  <c r="G12957" i="1"/>
  <c r="E12957" i="1"/>
  <c r="H12956" i="1"/>
  <c r="G12956" i="1"/>
  <c r="E12956" i="1"/>
  <c r="H12955" i="1"/>
  <c r="G12955" i="1"/>
  <c r="E12955" i="1"/>
  <c r="H12954" i="1"/>
  <c r="G12954" i="1"/>
  <c r="E12954" i="1"/>
  <c r="H12953" i="1"/>
  <c r="G12953" i="1"/>
  <c r="E12953" i="1"/>
  <c r="H12952" i="1"/>
  <c r="G12952" i="1"/>
  <c r="E12952" i="1"/>
  <c r="H12951" i="1"/>
  <c r="G12951" i="1"/>
  <c r="E12951" i="1"/>
  <c r="H12950" i="1"/>
  <c r="G12950" i="1"/>
  <c r="E12950" i="1"/>
  <c r="H12949" i="1"/>
  <c r="G12949" i="1"/>
  <c r="E12949" i="1"/>
  <c r="H12948" i="1"/>
  <c r="G12948" i="1"/>
  <c r="E12948" i="1"/>
  <c r="H12947" i="1"/>
  <c r="G12947" i="1"/>
  <c r="E12947" i="1"/>
  <c r="H12946" i="1"/>
  <c r="G12946" i="1"/>
  <c r="E12946" i="1"/>
  <c r="H12945" i="1"/>
  <c r="G12945" i="1"/>
  <c r="E12945" i="1"/>
  <c r="H12944" i="1"/>
  <c r="G12944" i="1"/>
  <c r="E12944" i="1"/>
  <c r="H12943" i="1"/>
  <c r="G12943" i="1"/>
  <c r="E12943" i="1"/>
  <c r="H12942" i="1"/>
  <c r="G12942" i="1"/>
  <c r="E12942" i="1"/>
  <c r="H12941" i="1"/>
  <c r="G12941" i="1"/>
  <c r="E12941" i="1"/>
  <c r="H12940" i="1"/>
  <c r="G12940" i="1"/>
  <c r="E12940" i="1"/>
  <c r="H12939" i="1"/>
  <c r="G12939" i="1"/>
  <c r="E12939" i="1"/>
  <c r="H12938" i="1"/>
  <c r="G12938" i="1"/>
  <c r="E12938" i="1"/>
  <c r="H12937" i="1"/>
  <c r="G12937" i="1"/>
  <c r="E12937" i="1"/>
  <c r="H12936" i="1"/>
  <c r="G12936" i="1"/>
  <c r="E12936" i="1"/>
  <c r="H12935" i="1"/>
  <c r="G12935" i="1"/>
  <c r="E12935" i="1"/>
  <c r="H12934" i="1"/>
  <c r="G12934" i="1"/>
  <c r="E12934" i="1"/>
  <c r="H12933" i="1"/>
  <c r="G12933" i="1"/>
  <c r="E12933" i="1"/>
  <c r="H12932" i="1"/>
  <c r="G12932" i="1"/>
  <c r="E12932" i="1"/>
  <c r="H12931" i="1"/>
  <c r="G12931" i="1"/>
  <c r="E12931" i="1"/>
  <c r="H12930" i="1"/>
  <c r="G12930" i="1"/>
  <c r="E12930" i="1"/>
  <c r="H12929" i="1"/>
  <c r="G12929" i="1"/>
  <c r="E12929" i="1"/>
  <c r="H12928" i="1"/>
  <c r="G12928" i="1"/>
  <c r="E12928" i="1"/>
  <c r="H12927" i="1"/>
  <c r="G12927" i="1"/>
  <c r="E12927" i="1"/>
  <c r="H12926" i="1"/>
  <c r="G12926" i="1"/>
  <c r="E12926" i="1"/>
  <c r="H12925" i="1"/>
  <c r="G12925" i="1"/>
  <c r="E12925" i="1"/>
  <c r="H12924" i="1"/>
  <c r="G12924" i="1"/>
  <c r="E12924" i="1"/>
  <c r="H12923" i="1"/>
  <c r="G12923" i="1"/>
  <c r="E12923" i="1"/>
  <c r="H12922" i="1"/>
  <c r="G12922" i="1"/>
  <c r="E12922" i="1"/>
  <c r="H12921" i="1"/>
  <c r="G12921" i="1"/>
  <c r="E12921" i="1"/>
  <c r="H12920" i="1"/>
  <c r="G12920" i="1"/>
  <c r="E12920" i="1"/>
  <c r="H12919" i="1"/>
  <c r="G12919" i="1"/>
  <c r="E12919" i="1"/>
  <c r="H12918" i="1"/>
  <c r="G12918" i="1"/>
  <c r="E12918" i="1"/>
  <c r="H12917" i="1"/>
  <c r="G12917" i="1"/>
  <c r="E12917" i="1"/>
  <c r="H12916" i="1"/>
  <c r="G12916" i="1"/>
  <c r="E12916" i="1"/>
  <c r="H12915" i="1"/>
  <c r="G12915" i="1"/>
  <c r="E12915" i="1"/>
  <c r="H12914" i="1"/>
  <c r="G12914" i="1"/>
  <c r="E12914" i="1"/>
  <c r="H12913" i="1"/>
  <c r="G12913" i="1"/>
  <c r="E12913" i="1"/>
  <c r="H12912" i="1"/>
  <c r="G12912" i="1"/>
  <c r="E12912" i="1"/>
  <c r="H12911" i="1"/>
  <c r="G12911" i="1"/>
  <c r="E12911" i="1"/>
  <c r="H12910" i="1"/>
  <c r="G12910" i="1"/>
  <c r="E12910" i="1"/>
  <c r="H12909" i="1"/>
  <c r="G12909" i="1"/>
  <c r="E12909" i="1"/>
  <c r="H12908" i="1"/>
  <c r="G12908" i="1"/>
  <c r="E12908" i="1"/>
  <c r="H12907" i="1"/>
  <c r="G12907" i="1"/>
  <c r="E12907" i="1"/>
  <c r="H12906" i="1"/>
  <c r="G12906" i="1"/>
  <c r="E12906" i="1"/>
  <c r="H12905" i="1"/>
  <c r="G12905" i="1"/>
  <c r="E12905" i="1"/>
  <c r="H12904" i="1"/>
  <c r="G12904" i="1"/>
  <c r="E12904" i="1"/>
  <c r="H12903" i="1"/>
  <c r="G12903" i="1"/>
  <c r="E12903" i="1"/>
  <c r="H12902" i="1"/>
  <c r="G12902" i="1"/>
  <c r="E12902" i="1"/>
  <c r="H12901" i="1"/>
  <c r="G12901" i="1"/>
  <c r="E12901" i="1"/>
  <c r="H12900" i="1"/>
  <c r="G12900" i="1"/>
  <c r="E12900" i="1"/>
  <c r="H12899" i="1"/>
  <c r="G12899" i="1"/>
  <c r="E12899" i="1"/>
  <c r="H12898" i="1"/>
  <c r="G12898" i="1"/>
  <c r="E12898" i="1"/>
  <c r="H12897" i="1"/>
  <c r="G12897" i="1"/>
  <c r="E12897" i="1"/>
  <c r="H12896" i="1"/>
  <c r="G12896" i="1"/>
  <c r="E12896" i="1"/>
  <c r="H12895" i="1"/>
  <c r="G12895" i="1"/>
  <c r="E12895" i="1"/>
  <c r="H12894" i="1"/>
  <c r="G12894" i="1"/>
  <c r="E12894" i="1"/>
  <c r="H12893" i="1"/>
  <c r="G12893" i="1"/>
  <c r="E12893" i="1"/>
  <c r="H12892" i="1"/>
  <c r="G12892" i="1"/>
  <c r="E12892" i="1"/>
  <c r="H12891" i="1"/>
  <c r="G12891" i="1"/>
  <c r="E12891" i="1"/>
  <c r="H12890" i="1"/>
  <c r="G12890" i="1"/>
  <c r="E12890" i="1"/>
  <c r="H12889" i="1"/>
  <c r="G12889" i="1"/>
  <c r="E12889" i="1"/>
  <c r="H12888" i="1"/>
  <c r="G12888" i="1"/>
  <c r="E12888" i="1"/>
  <c r="H12887" i="1"/>
  <c r="G12887" i="1"/>
  <c r="E12887" i="1"/>
  <c r="H12886" i="1"/>
  <c r="G12886" i="1"/>
  <c r="E12886" i="1"/>
  <c r="H12885" i="1"/>
  <c r="G12885" i="1"/>
  <c r="E12885" i="1"/>
  <c r="H12884" i="1"/>
  <c r="G12884" i="1"/>
  <c r="E12884" i="1"/>
  <c r="H12883" i="1"/>
  <c r="G12883" i="1"/>
  <c r="E12883" i="1"/>
  <c r="H12882" i="1"/>
  <c r="G12882" i="1"/>
  <c r="E12882" i="1"/>
  <c r="H12881" i="1"/>
  <c r="G12881" i="1"/>
  <c r="E12881" i="1"/>
  <c r="H12880" i="1"/>
  <c r="G12880" i="1"/>
  <c r="E12880" i="1"/>
  <c r="H12879" i="1"/>
  <c r="G12879" i="1"/>
  <c r="E12879" i="1"/>
  <c r="H12878" i="1"/>
  <c r="G12878" i="1"/>
  <c r="E12878" i="1"/>
  <c r="H12877" i="1"/>
  <c r="G12877" i="1"/>
  <c r="E12877" i="1"/>
  <c r="H12876" i="1"/>
  <c r="G12876" i="1"/>
  <c r="E12876" i="1"/>
  <c r="H12875" i="1"/>
  <c r="G12875" i="1"/>
  <c r="E12875" i="1"/>
  <c r="H12874" i="1"/>
  <c r="G12874" i="1"/>
  <c r="E12874" i="1"/>
  <c r="H12873" i="1"/>
  <c r="G12873" i="1"/>
  <c r="E12873" i="1"/>
  <c r="H12872" i="1"/>
  <c r="G12872" i="1"/>
  <c r="E12872" i="1"/>
  <c r="H12871" i="1"/>
  <c r="G12871" i="1"/>
  <c r="E12871" i="1"/>
  <c r="H12870" i="1"/>
  <c r="G12870" i="1"/>
  <c r="E12870" i="1"/>
  <c r="H12869" i="1"/>
  <c r="G12869" i="1"/>
  <c r="E12869" i="1"/>
  <c r="H12868" i="1"/>
  <c r="G12868" i="1"/>
  <c r="E12868" i="1"/>
  <c r="H12867" i="1"/>
  <c r="G12867" i="1"/>
  <c r="E12867" i="1"/>
  <c r="H12866" i="1"/>
  <c r="G12866" i="1"/>
  <c r="E12866" i="1"/>
  <c r="H12865" i="1"/>
  <c r="G12865" i="1"/>
  <c r="E12865" i="1"/>
  <c r="H12864" i="1"/>
  <c r="G12864" i="1"/>
  <c r="E12864" i="1"/>
  <c r="H12863" i="1"/>
  <c r="G12863" i="1"/>
  <c r="E12863" i="1"/>
  <c r="H12862" i="1"/>
  <c r="G12862" i="1"/>
  <c r="E12862" i="1"/>
  <c r="H12861" i="1"/>
  <c r="G12861" i="1"/>
  <c r="E12861" i="1"/>
  <c r="H12860" i="1"/>
  <c r="G12860" i="1"/>
  <c r="E12860" i="1"/>
  <c r="H12859" i="1"/>
  <c r="G12859" i="1"/>
  <c r="E12859" i="1"/>
  <c r="H12858" i="1"/>
  <c r="G12858" i="1"/>
  <c r="E12858" i="1"/>
  <c r="H12857" i="1"/>
  <c r="G12857" i="1"/>
  <c r="E12857" i="1"/>
  <c r="H12856" i="1"/>
  <c r="G12856" i="1"/>
  <c r="E12856" i="1"/>
  <c r="H12855" i="1"/>
  <c r="G12855" i="1"/>
  <c r="E12855" i="1"/>
  <c r="H12854" i="1"/>
  <c r="G12854" i="1"/>
  <c r="E12854" i="1"/>
  <c r="H12853" i="1"/>
  <c r="G12853" i="1"/>
  <c r="E12853" i="1"/>
  <c r="H12852" i="1"/>
  <c r="G12852" i="1"/>
  <c r="E12852" i="1"/>
  <c r="H12851" i="1"/>
  <c r="G12851" i="1"/>
  <c r="E12851" i="1"/>
  <c r="H12850" i="1"/>
  <c r="G12850" i="1"/>
  <c r="E12850" i="1"/>
  <c r="H12849" i="1"/>
  <c r="G12849" i="1"/>
  <c r="E12849" i="1"/>
  <c r="H12848" i="1"/>
  <c r="G12848" i="1"/>
  <c r="E12848" i="1"/>
  <c r="H12847" i="1"/>
  <c r="G12847" i="1"/>
  <c r="E12847" i="1"/>
  <c r="H12846" i="1"/>
  <c r="G12846" i="1"/>
  <c r="E12846" i="1"/>
  <c r="H12845" i="1"/>
  <c r="G12845" i="1"/>
  <c r="E12845" i="1"/>
  <c r="H12844" i="1"/>
  <c r="G12844" i="1"/>
  <c r="E12844" i="1"/>
  <c r="H12843" i="1"/>
  <c r="G12843" i="1"/>
  <c r="E12843" i="1"/>
  <c r="H12842" i="1"/>
  <c r="G12842" i="1"/>
  <c r="E12842" i="1"/>
  <c r="H12841" i="1"/>
  <c r="G12841" i="1"/>
  <c r="E12841" i="1"/>
  <c r="H12840" i="1"/>
  <c r="G12840" i="1"/>
  <c r="E12840" i="1"/>
  <c r="H12839" i="1"/>
  <c r="G12839" i="1"/>
  <c r="E12839" i="1"/>
  <c r="H12838" i="1"/>
  <c r="G12838" i="1"/>
  <c r="E12838" i="1"/>
  <c r="H12837" i="1"/>
  <c r="G12837" i="1"/>
  <c r="E12837" i="1"/>
  <c r="H12836" i="1"/>
  <c r="G12836" i="1"/>
  <c r="E12836" i="1"/>
  <c r="H12835" i="1"/>
  <c r="G12835" i="1"/>
  <c r="E12835" i="1"/>
  <c r="H12834" i="1"/>
  <c r="G12834" i="1"/>
  <c r="E12834" i="1"/>
  <c r="H12833" i="1"/>
  <c r="G12833" i="1"/>
  <c r="E12833" i="1"/>
  <c r="H12832" i="1"/>
  <c r="G12832" i="1"/>
  <c r="E12832" i="1"/>
  <c r="H12831" i="1"/>
  <c r="G12831" i="1"/>
  <c r="E12831" i="1"/>
  <c r="H12830" i="1"/>
  <c r="G12830" i="1"/>
  <c r="E12830" i="1"/>
  <c r="H12829" i="1"/>
  <c r="G12829" i="1"/>
  <c r="E12829" i="1"/>
  <c r="H12828" i="1"/>
  <c r="G12828" i="1"/>
  <c r="E12828" i="1"/>
  <c r="H12827" i="1"/>
  <c r="G12827" i="1"/>
  <c r="E12827" i="1"/>
  <c r="H12826" i="1"/>
  <c r="G12826" i="1"/>
  <c r="E12826" i="1"/>
  <c r="H12825" i="1"/>
  <c r="G12825" i="1"/>
  <c r="E12825" i="1"/>
  <c r="H12824" i="1"/>
  <c r="G12824" i="1"/>
  <c r="E12824" i="1"/>
  <c r="H12823" i="1"/>
  <c r="G12823" i="1"/>
  <c r="E12823" i="1"/>
  <c r="H12822" i="1"/>
  <c r="G12822" i="1"/>
  <c r="E12822" i="1"/>
  <c r="H12821" i="1"/>
  <c r="G12821" i="1"/>
  <c r="E12821" i="1"/>
  <c r="H12820" i="1"/>
  <c r="G12820" i="1"/>
  <c r="E12820" i="1"/>
  <c r="H12819" i="1"/>
  <c r="G12819" i="1"/>
  <c r="E12819" i="1"/>
  <c r="H12818" i="1"/>
  <c r="G12818" i="1"/>
  <c r="E12818" i="1"/>
  <c r="H12817" i="1"/>
  <c r="G12817" i="1"/>
  <c r="E12817" i="1"/>
  <c r="H12816" i="1"/>
  <c r="G12816" i="1"/>
  <c r="E12816" i="1"/>
  <c r="H12815" i="1"/>
  <c r="G12815" i="1"/>
  <c r="E12815" i="1"/>
  <c r="H12814" i="1"/>
  <c r="G12814" i="1"/>
  <c r="E12814" i="1"/>
  <c r="H12813" i="1"/>
  <c r="G12813" i="1"/>
  <c r="E12813" i="1"/>
  <c r="H12812" i="1"/>
  <c r="G12812" i="1"/>
  <c r="E12812" i="1"/>
  <c r="H12811" i="1"/>
  <c r="G12811" i="1"/>
  <c r="E12811" i="1"/>
  <c r="H12810" i="1"/>
  <c r="G12810" i="1"/>
  <c r="E12810" i="1"/>
  <c r="H12809" i="1"/>
  <c r="G12809" i="1"/>
  <c r="E12809" i="1"/>
  <c r="H12808" i="1"/>
  <c r="G12808" i="1"/>
  <c r="E12808" i="1"/>
  <c r="H12807" i="1"/>
  <c r="G12807" i="1"/>
  <c r="E12807" i="1"/>
  <c r="H12806" i="1"/>
  <c r="G12806" i="1"/>
  <c r="E12806" i="1"/>
  <c r="H12805" i="1"/>
  <c r="G12805" i="1"/>
  <c r="E12805" i="1"/>
  <c r="H12804" i="1"/>
  <c r="G12804" i="1"/>
  <c r="E12804" i="1"/>
  <c r="H12803" i="1"/>
  <c r="G12803" i="1"/>
  <c r="E12803" i="1"/>
  <c r="H12802" i="1"/>
  <c r="G12802" i="1"/>
  <c r="E12802" i="1"/>
  <c r="H12801" i="1"/>
  <c r="G12801" i="1"/>
  <c r="E12801" i="1"/>
  <c r="H12800" i="1"/>
  <c r="G12800" i="1"/>
  <c r="E12800" i="1"/>
  <c r="H12799" i="1"/>
  <c r="G12799" i="1"/>
  <c r="E12799" i="1"/>
  <c r="H12798" i="1"/>
  <c r="G12798" i="1"/>
  <c r="E12798" i="1"/>
  <c r="H12797" i="1"/>
  <c r="G12797" i="1"/>
  <c r="E12797" i="1"/>
  <c r="H12796" i="1"/>
  <c r="G12796" i="1"/>
  <c r="E12796" i="1"/>
  <c r="H12795" i="1"/>
  <c r="G12795" i="1"/>
  <c r="E12795" i="1"/>
  <c r="H12794" i="1"/>
  <c r="G12794" i="1"/>
  <c r="E12794" i="1"/>
  <c r="H12793" i="1"/>
  <c r="G12793" i="1"/>
  <c r="E12793" i="1"/>
  <c r="H12792" i="1"/>
  <c r="G12792" i="1"/>
  <c r="E12792" i="1"/>
  <c r="H12791" i="1"/>
  <c r="G12791" i="1"/>
  <c r="E12791" i="1"/>
  <c r="H12790" i="1"/>
  <c r="G12790" i="1"/>
  <c r="E12790" i="1"/>
  <c r="H12789" i="1"/>
  <c r="G12789" i="1"/>
  <c r="E12789" i="1"/>
  <c r="H12788" i="1"/>
  <c r="G12788" i="1"/>
  <c r="E12788" i="1"/>
  <c r="H12787" i="1"/>
  <c r="G12787" i="1"/>
  <c r="E12787" i="1"/>
  <c r="H12786" i="1"/>
  <c r="G12786" i="1"/>
  <c r="E12786" i="1"/>
  <c r="H12785" i="1"/>
  <c r="G12785" i="1"/>
  <c r="E12785" i="1"/>
  <c r="H12784" i="1"/>
  <c r="G12784" i="1"/>
  <c r="E12784" i="1"/>
  <c r="H12783" i="1"/>
  <c r="G12783" i="1"/>
  <c r="E12783" i="1"/>
  <c r="H12782" i="1"/>
  <c r="G12782" i="1"/>
  <c r="E12782" i="1"/>
  <c r="H12781" i="1"/>
  <c r="G12781" i="1"/>
  <c r="E12781" i="1"/>
  <c r="H12780" i="1"/>
  <c r="G12780" i="1"/>
  <c r="E12780" i="1"/>
  <c r="H12779" i="1"/>
  <c r="G12779" i="1"/>
  <c r="E12779" i="1"/>
  <c r="H12778" i="1"/>
  <c r="G12778" i="1"/>
  <c r="E12778" i="1"/>
  <c r="H12777" i="1"/>
  <c r="G12777" i="1"/>
  <c r="E12777" i="1"/>
  <c r="H12776" i="1"/>
  <c r="G12776" i="1"/>
  <c r="E12776" i="1"/>
  <c r="H12775" i="1"/>
  <c r="G12775" i="1"/>
  <c r="E12775" i="1"/>
  <c r="H12774" i="1"/>
  <c r="G12774" i="1"/>
  <c r="E12774" i="1"/>
  <c r="H12773" i="1"/>
  <c r="G12773" i="1"/>
  <c r="E12773" i="1"/>
  <c r="H12772" i="1"/>
  <c r="G12772" i="1"/>
  <c r="E12772" i="1"/>
  <c r="H12771" i="1"/>
  <c r="G12771" i="1"/>
  <c r="E12771" i="1"/>
  <c r="H12770" i="1"/>
  <c r="G12770" i="1"/>
  <c r="E12770" i="1"/>
  <c r="H12769" i="1"/>
  <c r="G12769" i="1"/>
  <c r="E12769" i="1"/>
  <c r="H12768" i="1"/>
  <c r="G12768" i="1"/>
  <c r="E12768" i="1"/>
  <c r="H12767" i="1"/>
  <c r="G12767" i="1"/>
  <c r="E12767" i="1"/>
  <c r="H12766" i="1"/>
  <c r="G12766" i="1"/>
  <c r="E12766" i="1"/>
  <c r="H12765" i="1"/>
  <c r="G12765" i="1"/>
  <c r="E12765" i="1"/>
  <c r="H12764" i="1"/>
  <c r="G12764" i="1"/>
  <c r="E12764" i="1"/>
  <c r="H12763" i="1"/>
  <c r="G12763" i="1"/>
  <c r="E12763" i="1"/>
  <c r="H12762" i="1"/>
  <c r="G12762" i="1"/>
  <c r="E12762" i="1"/>
  <c r="H12761" i="1"/>
  <c r="G12761" i="1"/>
  <c r="E12761" i="1"/>
  <c r="H12760" i="1"/>
  <c r="G12760" i="1"/>
  <c r="E12760" i="1"/>
  <c r="H12759" i="1"/>
  <c r="G12759" i="1"/>
  <c r="E12759" i="1"/>
  <c r="H12758" i="1"/>
  <c r="G12758" i="1"/>
  <c r="E12758" i="1"/>
  <c r="H12757" i="1"/>
  <c r="G12757" i="1"/>
  <c r="E12757" i="1"/>
  <c r="H12756" i="1"/>
  <c r="G12756" i="1"/>
  <c r="E12756" i="1"/>
  <c r="H12755" i="1"/>
  <c r="G12755" i="1"/>
  <c r="E12755" i="1"/>
  <c r="H12754" i="1"/>
  <c r="G12754" i="1"/>
  <c r="E12754" i="1"/>
  <c r="H12753" i="1"/>
  <c r="G12753" i="1"/>
  <c r="E12753" i="1"/>
  <c r="H12752" i="1"/>
  <c r="G12752" i="1"/>
  <c r="E12752" i="1"/>
  <c r="H12751" i="1"/>
  <c r="G12751" i="1"/>
  <c r="E12751" i="1"/>
  <c r="H12750" i="1"/>
  <c r="G12750" i="1"/>
  <c r="E12750" i="1"/>
  <c r="H12749" i="1"/>
  <c r="G12749" i="1"/>
  <c r="E12749" i="1"/>
  <c r="H12748" i="1"/>
  <c r="G12748" i="1"/>
  <c r="E12748" i="1"/>
  <c r="H12747" i="1"/>
  <c r="G12747" i="1"/>
  <c r="E12747" i="1"/>
  <c r="H12746" i="1"/>
  <c r="G12746" i="1"/>
  <c r="E12746" i="1"/>
  <c r="H12745" i="1"/>
  <c r="G12745" i="1"/>
  <c r="E12745" i="1"/>
  <c r="H12744" i="1"/>
  <c r="G12744" i="1"/>
  <c r="E12744" i="1"/>
  <c r="H12743" i="1"/>
  <c r="G12743" i="1"/>
  <c r="E12743" i="1"/>
  <c r="H12742" i="1"/>
  <c r="G12742" i="1"/>
  <c r="E12742" i="1"/>
  <c r="H12741" i="1"/>
  <c r="G12741" i="1"/>
  <c r="E12741" i="1"/>
  <c r="H12740" i="1"/>
  <c r="G12740" i="1"/>
  <c r="E12740" i="1"/>
  <c r="H12739" i="1"/>
  <c r="G12739" i="1"/>
  <c r="E12739" i="1"/>
  <c r="H12738" i="1"/>
  <c r="G12738" i="1"/>
  <c r="E12738" i="1"/>
  <c r="H12737" i="1"/>
  <c r="G12737" i="1"/>
  <c r="E12737" i="1"/>
  <c r="H12736" i="1"/>
  <c r="G12736" i="1"/>
  <c r="E12736" i="1"/>
  <c r="H12735" i="1"/>
  <c r="G12735" i="1"/>
  <c r="E12735" i="1"/>
  <c r="H12734" i="1"/>
  <c r="G12734" i="1"/>
  <c r="E12734" i="1"/>
  <c r="H12733" i="1"/>
  <c r="G12733" i="1"/>
  <c r="E12733" i="1"/>
  <c r="H12732" i="1"/>
  <c r="G12732" i="1"/>
  <c r="E12732" i="1"/>
  <c r="H12731" i="1"/>
  <c r="G12731" i="1"/>
  <c r="E12731" i="1"/>
  <c r="H12730" i="1"/>
  <c r="G12730" i="1"/>
  <c r="E12730" i="1"/>
  <c r="H12729" i="1"/>
  <c r="G12729" i="1"/>
  <c r="E12729" i="1"/>
  <c r="H12728" i="1"/>
  <c r="G12728" i="1"/>
  <c r="E12728" i="1"/>
  <c r="H12727" i="1"/>
  <c r="G12727" i="1"/>
  <c r="E12727" i="1"/>
  <c r="H12726" i="1"/>
  <c r="G12726" i="1"/>
  <c r="E12726" i="1"/>
  <c r="H12725" i="1"/>
  <c r="G12725" i="1"/>
  <c r="E12725" i="1"/>
  <c r="H12724" i="1"/>
  <c r="G12724" i="1"/>
  <c r="E12724" i="1"/>
  <c r="H12723" i="1"/>
  <c r="G12723" i="1"/>
  <c r="E12723" i="1"/>
  <c r="H12722" i="1"/>
  <c r="G12722" i="1"/>
  <c r="E12722" i="1"/>
  <c r="H12721" i="1"/>
  <c r="G12721" i="1"/>
  <c r="E12721" i="1"/>
  <c r="H12720" i="1"/>
  <c r="G12720" i="1"/>
  <c r="E12720" i="1"/>
  <c r="H12719" i="1"/>
  <c r="G12719" i="1"/>
  <c r="E12719" i="1"/>
  <c r="H12718" i="1"/>
  <c r="G12718" i="1"/>
  <c r="E12718" i="1"/>
  <c r="H12717" i="1"/>
  <c r="G12717" i="1"/>
  <c r="E12717" i="1"/>
  <c r="H12716" i="1"/>
  <c r="G12716" i="1"/>
  <c r="E12716" i="1"/>
  <c r="H12715" i="1"/>
  <c r="G12715" i="1"/>
  <c r="E12715" i="1"/>
  <c r="H12714" i="1"/>
  <c r="G12714" i="1"/>
  <c r="E12714" i="1"/>
  <c r="H12713" i="1"/>
  <c r="G12713" i="1"/>
  <c r="E12713" i="1"/>
  <c r="H12712" i="1"/>
  <c r="G12712" i="1"/>
  <c r="E12712" i="1"/>
  <c r="H12711" i="1"/>
  <c r="G12711" i="1"/>
  <c r="E12711" i="1"/>
  <c r="H12710" i="1"/>
  <c r="G12710" i="1"/>
  <c r="E12710" i="1"/>
  <c r="H12709" i="1"/>
  <c r="G12709" i="1"/>
  <c r="E12709" i="1"/>
  <c r="H12708" i="1"/>
  <c r="G12708" i="1"/>
  <c r="E12708" i="1"/>
  <c r="H12707" i="1"/>
  <c r="G12707" i="1"/>
  <c r="E12707" i="1"/>
  <c r="H12706" i="1"/>
  <c r="G12706" i="1"/>
  <c r="E12706" i="1"/>
  <c r="H12705" i="1"/>
  <c r="G12705" i="1"/>
  <c r="E12705" i="1"/>
  <c r="H12704" i="1"/>
  <c r="G12704" i="1"/>
  <c r="E12704" i="1"/>
  <c r="H12703" i="1"/>
  <c r="G12703" i="1"/>
  <c r="E12703" i="1"/>
  <c r="H12702" i="1"/>
  <c r="G12702" i="1"/>
  <c r="E12702" i="1"/>
  <c r="H12701" i="1"/>
  <c r="G12701" i="1"/>
  <c r="E12701" i="1"/>
  <c r="H12700" i="1"/>
  <c r="G12700" i="1"/>
  <c r="E12700" i="1"/>
  <c r="H12699" i="1"/>
  <c r="G12699" i="1"/>
  <c r="E12699" i="1"/>
  <c r="H12698" i="1"/>
  <c r="G12698" i="1"/>
  <c r="E12698" i="1"/>
  <c r="H12697" i="1"/>
  <c r="G12697" i="1"/>
  <c r="E12697" i="1"/>
  <c r="H12696" i="1"/>
  <c r="G12696" i="1"/>
  <c r="E12696" i="1"/>
  <c r="H12695" i="1"/>
  <c r="G12695" i="1"/>
  <c r="E12695" i="1"/>
  <c r="H12694" i="1"/>
  <c r="G12694" i="1"/>
  <c r="E12694" i="1"/>
  <c r="H12693" i="1"/>
  <c r="G12693" i="1"/>
  <c r="E12693" i="1"/>
  <c r="H12692" i="1"/>
  <c r="G12692" i="1"/>
  <c r="E12692" i="1"/>
  <c r="H12691" i="1"/>
  <c r="G12691" i="1"/>
  <c r="E12691" i="1"/>
  <c r="H12690" i="1"/>
  <c r="G12690" i="1"/>
  <c r="E12690" i="1"/>
  <c r="H12689" i="1"/>
  <c r="G12689" i="1"/>
  <c r="E12689" i="1"/>
  <c r="H12688" i="1"/>
  <c r="G12688" i="1"/>
  <c r="E12688" i="1"/>
  <c r="H12687" i="1"/>
  <c r="G12687" i="1"/>
  <c r="E12687" i="1"/>
  <c r="H12686" i="1"/>
  <c r="G12686" i="1"/>
  <c r="E12686" i="1"/>
  <c r="H12685" i="1"/>
  <c r="G12685" i="1"/>
  <c r="E12685" i="1"/>
  <c r="H12684" i="1"/>
  <c r="G12684" i="1"/>
  <c r="E12684" i="1"/>
  <c r="H12683" i="1"/>
  <c r="G12683" i="1"/>
  <c r="E12683" i="1"/>
  <c r="H12682" i="1"/>
  <c r="G12682" i="1"/>
  <c r="E12682" i="1"/>
  <c r="H12681" i="1"/>
  <c r="G12681" i="1"/>
  <c r="E12681" i="1"/>
  <c r="H12680" i="1"/>
  <c r="G12680" i="1"/>
  <c r="E12680" i="1"/>
  <c r="H12679" i="1"/>
  <c r="G12679" i="1"/>
  <c r="E12679" i="1"/>
  <c r="H12678" i="1"/>
  <c r="G12678" i="1"/>
  <c r="E12678" i="1"/>
  <c r="H12677" i="1"/>
  <c r="G12677" i="1"/>
  <c r="E12677" i="1"/>
  <c r="H12676" i="1"/>
  <c r="G12676" i="1"/>
  <c r="E12676" i="1"/>
  <c r="H12675" i="1"/>
  <c r="G12675" i="1"/>
  <c r="E12675" i="1"/>
  <c r="H12674" i="1"/>
  <c r="G12674" i="1"/>
  <c r="E12674" i="1"/>
  <c r="H12673" i="1"/>
  <c r="G12673" i="1"/>
  <c r="E12673" i="1"/>
  <c r="H12672" i="1"/>
  <c r="G12672" i="1"/>
  <c r="E12672" i="1"/>
  <c r="H12671" i="1"/>
  <c r="G12671" i="1"/>
  <c r="E12671" i="1"/>
  <c r="H12670" i="1"/>
  <c r="G12670" i="1"/>
  <c r="E12670" i="1"/>
  <c r="H12669" i="1"/>
  <c r="G12669" i="1"/>
  <c r="E12669" i="1"/>
  <c r="H12668" i="1"/>
  <c r="G12668" i="1"/>
  <c r="E12668" i="1"/>
  <c r="H12667" i="1"/>
  <c r="G12667" i="1"/>
  <c r="E12667" i="1"/>
  <c r="H12666" i="1"/>
  <c r="G12666" i="1"/>
  <c r="E12666" i="1"/>
  <c r="H12665" i="1"/>
  <c r="G12665" i="1"/>
  <c r="E12665" i="1"/>
  <c r="H12664" i="1"/>
  <c r="G12664" i="1"/>
  <c r="E12664" i="1"/>
  <c r="H12663" i="1"/>
  <c r="G12663" i="1"/>
  <c r="E12663" i="1"/>
  <c r="H12662" i="1"/>
  <c r="G12662" i="1"/>
  <c r="E12662" i="1"/>
  <c r="H12661" i="1"/>
  <c r="G12661" i="1"/>
  <c r="E12661" i="1"/>
  <c r="H12660" i="1"/>
  <c r="G12660" i="1"/>
  <c r="E12660" i="1"/>
  <c r="H12659" i="1"/>
  <c r="G12659" i="1"/>
  <c r="E12659" i="1"/>
  <c r="H12658" i="1"/>
  <c r="G12658" i="1"/>
  <c r="E12658" i="1"/>
  <c r="H12657" i="1"/>
  <c r="G12657" i="1"/>
  <c r="E12657" i="1"/>
  <c r="H12656" i="1"/>
  <c r="G12656" i="1"/>
  <c r="E12656" i="1"/>
  <c r="H12655" i="1"/>
  <c r="G12655" i="1"/>
  <c r="E12655" i="1"/>
  <c r="H12654" i="1"/>
  <c r="G12654" i="1"/>
  <c r="E12654" i="1"/>
  <c r="H12653" i="1"/>
  <c r="G12653" i="1"/>
  <c r="E12653" i="1"/>
  <c r="H12652" i="1"/>
  <c r="G12652" i="1"/>
  <c r="E12652" i="1"/>
  <c r="H12651" i="1"/>
  <c r="G12651" i="1"/>
  <c r="E12651" i="1"/>
  <c r="H12650" i="1"/>
  <c r="G12650" i="1"/>
  <c r="E12650" i="1"/>
  <c r="H12649" i="1"/>
  <c r="G12649" i="1"/>
  <c r="E12649" i="1"/>
  <c r="H12648" i="1"/>
  <c r="G12648" i="1"/>
  <c r="E12648" i="1"/>
  <c r="H12647" i="1"/>
  <c r="G12647" i="1"/>
  <c r="E12647" i="1"/>
  <c r="H12646" i="1"/>
  <c r="G12646" i="1"/>
  <c r="E12646" i="1"/>
  <c r="H12645" i="1"/>
  <c r="G12645" i="1"/>
  <c r="E12645" i="1"/>
  <c r="H12644" i="1"/>
  <c r="G12644" i="1"/>
  <c r="E12644" i="1"/>
  <c r="H12643" i="1"/>
  <c r="G12643" i="1"/>
  <c r="E12643" i="1"/>
  <c r="H12642" i="1"/>
  <c r="G12642" i="1"/>
  <c r="E12642" i="1"/>
  <c r="H12641" i="1"/>
  <c r="G12641" i="1"/>
  <c r="E12641" i="1"/>
  <c r="H12640" i="1"/>
  <c r="G12640" i="1"/>
  <c r="E12640" i="1"/>
  <c r="H12639" i="1"/>
  <c r="G12639" i="1"/>
  <c r="E12639" i="1"/>
  <c r="H12638" i="1"/>
  <c r="G12638" i="1"/>
  <c r="E12638" i="1"/>
  <c r="H12637" i="1"/>
  <c r="G12637" i="1"/>
  <c r="E12637" i="1"/>
  <c r="H12636" i="1"/>
  <c r="G12636" i="1"/>
  <c r="E12636" i="1"/>
  <c r="H12635" i="1"/>
  <c r="G12635" i="1"/>
  <c r="E12635" i="1"/>
  <c r="H12634" i="1"/>
  <c r="G12634" i="1"/>
  <c r="E12634" i="1"/>
  <c r="H12633" i="1"/>
  <c r="G12633" i="1"/>
  <c r="E12633" i="1"/>
  <c r="H12632" i="1"/>
  <c r="G12632" i="1"/>
  <c r="E12632" i="1"/>
  <c r="H12631" i="1"/>
  <c r="G12631" i="1"/>
  <c r="E12631" i="1"/>
  <c r="H12630" i="1"/>
  <c r="G12630" i="1"/>
  <c r="E12630" i="1"/>
  <c r="H12629" i="1"/>
  <c r="G12629" i="1"/>
  <c r="E12629" i="1"/>
  <c r="H12628" i="1"/>
  <c r="G12628" i="1"/>
  <c r="E12628" i="1"/>
  <c r="H12627" i="1"/>
  <c r="G12627" i="1"/>
  <c r="E12627" i="1"/>
  <c r="H12626" i="1"/>
  <c r="G12626" i="1"/>
  <c r="E12626" i="1"/>
  <c r="H12625" i="1"/>
  <c r="G12625" i="1"/>
  <c r="E12625" i="1"/>
  <c r="H12624" i="1"/>
  <c r="G12624" i="1"/>
  <c r="E12624" i="1"/>
  <c r="H12623" i="1"/>
  <c r="G12623" i="1"/>
  <c r="E12623" i="1"/>
  <c r="H12622" i="1"/>
  <c r="G12622" i="1"/>
  <c r="E12622" i="1"/>
  <c r="H12621" i="1"/>
  <c r="G12621" i="1"/>
  <c r="E12621" i="1"/>
  <c r="H12620" i="1"/>
  <c r="G12620" i="1"/>
  <c r="E12620" i="1"/>
  <c r="H12619" i="1"/>
  <c r="G12619" i="1"/>
  <c r="E12619" i="1"/>
  <c r="H12618" i="1"/>
  <c r="G12618" i="1"/>
  <c r="E12618" i="1"/>
  <c r="H12617" i="1"/>
  <c r="G12617" i="1"/>
  <c r="E12617" i="1"/>
  <c r="H12616" i="1"/>
  <c r="G12616" i="1"/>
  <c r="E12616" i="1"/>
  <c r="H12615" i="1"/>
  <c r="G12615" i="1"/>
  <c r="E12615" i="1"/>
  <c r="H12614" i="1"/>
  <c r="G12614" i="1"/>
  <c r="E12614" i="1"/>
  <c r="H12613" i="1"/>
  <c r="G12613" i="1"/>
  <c r="E12613" i="1"/>
  <c r="H12612" i="1"/>
  <c r="G12612" i="1"/>
  <c r="E12612" i="1"/>
  <c r="H12611" i="1"/>
  <c r="G12611" i="1"/>
  <c r="E12611" i="1"/>
  <c r="H12610" i="1"/>
  <c r="G12610" i="1"/>
  <c r="E12610" i="1"/>
  <c r="H12609" i="1"/>
  <c r="G12609" i="1"/>
  <c r="E12609" i="1"/>
  <c r="H12608" i="1"/>
  <c r="G12608" i="1"/>
  <c r="E12608" i="1"/>
  <c r="H12607" i="1"/>
  <c r="G12607" i="1"/>
  <c r="E12607" i="1"/>
  <c r="H12606" i="1"/>
  <c r="G12606" i="1"/>
  <c r="E12606" i="1"/>
  <c r="H12605" i="1"/>
  <c r="G12605" i="1"/>
  <c r="E12605" i="1"/>
  <c r="H12604" i="1"/>
  <c r="G12604" i="1"/>
  <c r="E12604" i="1"/>
  <c r="H12603" i="1"/>
  <c r="G12603" i="1"/>
  <c r="E12603" i="1"/>
  <c r="H12602" i="1"/>
  <c r="G12602" i="1"/>
  <c r="E12602" i="1"/>
  <c r="H12601" i="1"/>
  <c r="G12601" i="1"/>
  <c r="E12601" i="1"/>
  <c r="H12600" i="1"/>
  <c r="G12600" i="1"/>
  <c r="E12600" i="1"/>
  <c r="H12599" i="1"/>
  <c r="G12599" i="1"/>
  <c r="E12599" i="1"/>
  <c r="H12598" i="1"/>
  <c r="G12598" i="1"/>
  <c r="E12598" i="1"/>
  <c r="H12597" i="1"/>
  <c r="G12597" i="1"/>
  <c r="E12597" i="1"/>
  <c r="H12596" i="1"/>
  <c r="G12596" i="1"/>
  <c r="E12596" i="1"/>
  <c r="H12595" i="1"/>
  <c r="G12595" i="1"/>
  <c r="E12595" i="1"/>
  <c r="H12594" i="1"/>
  <c r="G12594" i="1"/>
  <c r="E12594" i="1"/>
  <c r="H12593" i="1"/>
  <c r="G12593" i="1"/>
  <c r="E12593" i="1"/>
  <c r="H12592" i="1"/>
  <c r="G12592" i="1"/>
  <c r="E12592" i="1"/>
  <c r="H12591" i="1"/>
  <c r="G12591" i="1"/>
  <c r="E12591" i="1"/>
  <c r="H12590" i="1"/>
  <c r="G12590" i="1"/>
  <c r="E12590" i="1"/>
  <c r="H12589" i="1"/>
  <c r="G12589" i="1"/>
  <c r="E12589" i="1"/>
  <c r="H12588" i="1"/>
  <c r="G12588" i="1"/>
  <c r="E12588" i="1"/>
  <c r="H12587" i="1"/>
  <c r="G12587" i="1"/>
  <c r="E12587" i="1"/>
  <c r="H12586" i="1"/>
  <c r="G12586" i="1"/>
  <c r="E12586" i="1"/>
  <c r="H12585" i="1"/>
  <c r="G12585" i="1"/>
  <c r="E12585" i="1"/>
  <c r="H12584" i="1"/>
  <c r="G12584" i="1"/>
  <c r="E12584" i="1"/>
  <c r="H12583" i="1"/>
  <c r="G12583" i="1"/>
  <c r="E12583" i="1"/>
  <c r="H12582" i="1"/>
  <c r="G12582" i="1"/>
  <c r="E12582" i="1"/>
  <c r="H12581" i="1"/>
  <c r="G12581" i="1"/>
  <c r="E12581" i="1"/>
  <c r="H12580" i="1"/>
  <c r="G12580" i="1"/>
  <c r="E12580" i="1"/>
  <c r="H12579" i="1"/>
  <c r="G12579" i="1"/>
  <c r="E12579" i="1"/>
  <c r="H12578" i="1"/>
  <c r="G12578" i="1"/>
  <c r="E12578" i="1"/>
  <c r="H12577" i="1"/>
  <c r="G12577" i="1"/>
  <c r="E12577" i="1"/>
  <c r="H12576" i="1"/>
  <c r="G12576" i="1"/>
  <c r="E12576" i="1"/>
  <c r="H12575" i="1"/>
  <c r="G12575" i="1"/>
  <c r="E12575" i="1"/>
  <c r="H12574" i="1"/>
  <c r="G12574" i="1"/>
  <c r="E12574" i="1"/>
  <c r="H12573" i="1"/>
  <c r="G12573" i="1"/>
  <c r="E12573" i="1"/>
  <c r="H12572" i="1"/>
  <c r="G12572" i="1"/>
  <c r="E12572" i="1"/>
  <c r="H12571" i="1"/>
  <c r="G12571" i="1"/>
  <c r="E12571" i="1"/>
  <c r="H12570" i="1"/>
  <c r="G12570" i="1"/>
  <c r="E12570" i="1"/>
  <c r="H12569" i="1"/>
  <c r="G12569" i="1"/>
  <c r="E12569" i="1"/>
  <c r="H12568" i="1"/>
  <c r="G12568" i="1"/>
  <c r="E12568" i="1"/>
  <c r="H12567" i="1"/>
  <c r="G12567" i="1"/>
  <c r="E12567" i="1"/>
  <c r="H12566" i="1"/>
  <c r="G12566" i="1"/>
  <c r="E12566" i="1"/>
  <c r="H12565" i="1"/>
  <c r="G12565" i="1"/>
  <c r="E12565" i="1"/>
  <c r="H12564" i="1"/>
  <c r="G12564" i="1"/>
  <c r="E12564" i="1"/>
  <c r="H12563" i="1"/>
  <c r="G12563" i="1"/>
  <c r="E12563" i="1"/>
  <c r="H12562" i="1"/>
  <c r="G12562" i="1"/>
  <c r="E12562" i="1"/>
  <c r="H12561" i="1"/>
  <c r="G12561" i="1"/>
  <c r="E12561" i="1"/>
  <c r="H12560" i="1"/>
  <c r="G12560" i="1"/>
  <c r="E12560" i="1"/>
  <c r="H12559" i="1"/>
  <c r="G12559" i="1"/>
  <c r="E12559" i="1"/>
  <c r="H12558" i="1"/>
  <c r="G12558" i="1"/>
  <c r="E12558" i="1"/>
  <c r="H12557" i="1"/>
  <c r="G12557" i="1"/>
  <c r="E12557" i="1"/>
  <c r="H12556" i="1"/>
  <c r="G12556" i="1"/>
  <c r="E12556" i="1"/>
  <c r="H12555" i="1"/>
  <c r="G12555" i="1"/>
  <c r="E12555" i="1"/>
  <c r="H12554" i="1"/>
  <c r="G12554" i="1"/>
  <c r="E12554" i="1"/>
  <c r="H12553" i="1"/>
  <c r="G12553" i="1"/>
  <c r="E12553" i="1"/>
  <c r="H12552" i="1"/>
  <c r="G12552" i="1"/>
  <c r="E12552" i="1"/>
  <c r="H12551" i="1"/>
  <c r="G12551" i="1"/>
  <c r="E12551" i="1"/>
  <c r="H12550" i="1"/>
  <c r="G12550" i="1"/>
  <c r="E12550" i="1"/>
  <c r="H12549" i="1"/>
  <c r="G12549" i="1"/>
  <c r="E12549" i="1"/>
  <c r="H12548" i="1"/>
  <c r="G12548" i="1"/>
  <c r="E12548" i="1"/>
  <c r="H12547" i="1"/>
  <c r="G12547" i="1"/>
  <c r="E12547" i="1"/>
  <c r="H12546" i="1"/>
  <c r="G12546" i="1"/>
  <c r="E12546" i="1"/>
  <c r="H12545" i="1"/>
  <c r="G12545" i="1"/>
  <c r="E12545" i="1"/>
  <c r="H12544" i="1"/>
  <c r="G12544" i="1"/>
  <c r="E12544" i="1"/>
  <c r="H12543" i="1"/>
  <c r="G12543" i="1"/>
  <c r="E12543" i="1"/>
  <c r="H12542" i="1"/>
  <c r="G12542" i="1"/>
  <c r="E12542" i="1"/>
  <c r="H12541" i="1"/>
  <c r="G12541" i="1"/>
  <c r="E12541" i="1"/>
  <c r="H12540" i="1"/>
  <c r="G12540" i="1"/>
  <c r="E12540" i="1"/>
  <c r="H12539" i="1"/>
  <c r="G12539" i="1"/>
  <c r="E12539" i="1"/>
  <c r="H12538" i="1"/>
  <c r="G12538" i="1"/>
  <c r="E12538" i="1"/>
  <c r="H12537" i="1"/>
  <c r="G12537" i="1"/>
  <c r="E12537" i="1"/>
  <c r="H12536" i="1"/>
  <c r="G12536" i="1"/>
  <c r="E12536" i="1"/>
  <c r="H12535" i="1"/>
  <c r="G12535" i="1"/>
  <c r="E12535" i="1"/>
  <c r="H12534" i="1"/>
  <c r="G12534" i="1"/>
  <c r="E12534" i="1"/>
  <c r="H12533" i="1"/>
  <c r="G12533" i="1"/>
  <c r="E12533" i="1"/>
  <c r="H12532" i="1"/>
  <c r="G12532" i="1"/>
  <c r="E12532" i="1"/>
  <c r="H12531" i="1"/>
  <c r="G12531" i="1"/>
  <c r="E12531" i="1"/>
  <c r="H12530" i="1"/>
  <c r="G12530" i="1"/>
  <c r="E12530" i="1"/>
  <c r="H12529" i="1"/>
  <c r="G12529" i="1"/>
  <c r="E12529" i="1"/>
  <c r="H12528" i="1"/>
  <c r="G12528" i="1"/>
  <c r="E12528" i="1"/>
  <c r="H12527" i="1"/>
  <c r="G12527" i="1"/>
  <c r="E12527" i="1"/>
  <c r="H12526" i="1"/>
  <c r="G12526" i="1"/>
  <c r="E12526" i="1"/>
  <c r="H12525" i="1"/>
  <c r="G12525" i="1"/>
  <c r="E12525" i="1"/>
  <c r="H12524" i="1"/>
  <c r="G12524" i="1"/>
  <c r="E12524" i="1"/>
  <c r="H12523" i="1"/>
  <c r="G12523" i="1"/>
  <c r="E12523" i="1"/>
  <c r="H12522" i="1"/>
  <c r="G12522" i="1"/>
  <c r="E12522" i="1"/>
  <c r="H12521" i="1"/>
  <c r="G12521" i="1"/>
  <c r="E12521" i="1"/>
  <c r="H12520" i="1"/>
  <c r="G12520" i="1"/>
  <c r="E12520" i="1"/>
  <c r="H12519" i="1"/>
  <c r="G12519" i="1"/>
  <c r="E12519" i="1"/>
  <c r="H12518" i="1"/>
  <c r="G12518" i="1"/>
  <c r="E12518" i="1"/>
  <c r="H12517" i="1"/>
  <c r="G12517" i="1"/>
  <c r="E12517" i="1"/>
  <c r="H12516" i="1"/>
  <c r="G12516" i="1"/>
  <c r="E12516" i="1"/>
  <c r="H12515" i="1"/>
  <c r="G12515" i="1"/>
  <c r="E12515" i="1"/>
  <c r="H12514" i="1"/>
  <c r="G12514" i="1"/>
  <c r="E12514" i="1"/>
  <c r="H12513" i="1"/>
  <c r="G12513" i="1"/>
  <c r="E12513" i="1"/>
  <c r="H12512" i="1"/>
  <c r="G12512" i="1"/>
  <c r="E12512" i="1"/>
  <c r="H12511" i="1"/>
  <c r="G12511" i="1"/>
  <c r="E12511" i="1"/>
  <c r="H12510" i="1"/>
  <c r="G12510" i="1"/>
  <c r="E12510" i="1"/>
  <c r="H12509" i="1"/>
  <c r="G12509" i="1"/>
  <c r="E12509" i="1"/>
  <c r="H12508" i="1"/>
  <c r="G12508" i="1"/>
  <c r="E12508" i="1"/>
  <c r="H12507" i="1"/>
  <c r="G12507" i="1"/>
  <c r="E12507" i="1"/>
  <c r="H12506" i="1"/>
  <c r="G12506" i="1"/>
  <c r="E12506" i="1"/>
  <c r="H12505" i="1"/>
  <c r="G12505" i="1"/>
  <c r="E12505" i="1"/>
  <c r="H12504" i="1"/>
  <c r="G12504" i="1"/>
  <c r="E12504" i="1"/>
  <c r="H12503" i="1"/>
  <c r="G12503" i="1"/>
  <c r="E12503" i="1"/>
  <c r="H12502" i="1"/>
  <c r="G12502" i="1"/>
  <c r="E12502" i="1"/>
  <c r="H12501" i="1"/>
  <c r="G12501" i="1"/>
  <c r="E12501" i="1"/>
  <c r="H12500" i="1"/>
  <c r="G12500" i="1"/>
  <c r="E12500" i="1"/>
  <c r="H12499" i="1"/>
  <c r="G12499" i="1"/>
  <c r="E12499" i="1"/>
  <c r="H12498" i="1"/>
  <c r="G12498" i="1"/>
  <c r="E12498" i="1"/>
  <c r="H12497" i="1"/>
  <c r="G12497" i="1"/>
  <c r="E12497" i="1"/>
  <c r="H12496" i="1"/>
  <c r="G12496" i="1"/>
  <c r="E12496" i="1"/>
  <c r="H12495" i="1"/>
  <c r="G12495" i="1"/>
  <c r="E12495" i="1"/>
  <c r="H12494" i="1"/>
  <c r="G12494" i="1"/>
  <c r="E12494" i="1"/>
  <c r="H12493" i="1"/>
  <c r="G12493" i="1"/>
  <c r="E12493" i="1"/>
  <c r="H12492" i="1"/>
  <c r="G12492" i="1"/>
  <c r="E12492" i="1"/>
  <c r="H12491" i="1"/>
  <c r="G12491" i="1"/>
  <c r="E12491" i="1"/>
  <c r="H12490" i="1"/>
  <c r="G12490" i="1"/>
  <c r="E12490" i="1"/>
  <c r="H12489" i="1"/>
  <c r="G12489" i="1"/>
  <c r="E12489" i="1"/>
  <c r="H12488" i="1"/>
  <c r="G12488" i="1"/>
  <c r="E12488" i="1"/>
  <c r="H12487" i="1"/>
  <c r="G12487" i="1"/>
  <c r="E12487" i="1"/>
  <c r="H12486" i="1"/>
  <c r="G12486" i="1"/>
  <c r="E12486" i="1"/>
  <c r="H12485" i="1"/>
  <c r="G12485" i="1"/>
  <c r="E12485" i="1"/>
  <c r="H12484" i="1"/>
  <c r="G12484" i="1"/>
  <c r="E12484" i="1"/>
  <c r="H12483" i="1"/>
  <c r="G12483" i="1"/>
  <c r="E12483" i="1"/>
  <c r="H12482" i="1"/>
  <c r="G12482" i="1"/>
  <c r="E12482" i="1"/>
  <c r="H12481" i="1"/>
  <c r="G12481" i="1"/>
  <c r="E12481" i="1"/>
  <c r="H12480" i="1"/>
  <c r="G12480" i="1"/>
  <c r="E12480" i="1"/>
  <c r="H12479" i="1"/>
  <c r="G12479" i="1"/>
  <c r="E12479" i="1"/>
  <c r="H12478" i="1"/>
  <c r="G12478" i="1"/>
  <c r="E12478" i="1"/>
  <c r="H12477" i="1"/>
  <c r="G12477" i="1"/>
  <c r="E12477" i="1"/>
  <c r="H12476" i="1"/>
  <c r="G12476" i="1"/>
  <c r="E12476" i="1"/>
  <c r="H12475" i="1"/>
  <c r="G12475" i="1"/>
  <c r="E12475" i="1"/>
  <c r="H12474" i="1"/>
  <c r="G12474" i="1"/>
  <c r="E12474" i="1"/>
  <c r="H12473" i="1"/>
  <c r="G12473" i="1"/>
  <c r="E12473" i="1"/>
  <c r="H12472" i="1"/>
  <c r="G12472" i="1"/>
  <c r="E12472" i="1"/>
  <c r="H12471" i="1"/>
  <c r="G12471" i="1"/>
  <c r="E12471" i="1"/>
  <c r="H12470" i="1"/>
  <c r="G12470" i="1"/>
  <c r="E12470" i="1"/>
  <c r="H12469" i="1"/>
  <c r="G12469" i="1"/>
  <c r="E12469" i="1"/>
  <c r="H12468" i="1"/>
  <c r="G12468" i="1"/>
  <c r="E12468" i="1"/>
  <c r="H12467" i="1"/>
  <c r="G12467" i="1"/>
  <c r="E12467" i="1"/>
  <c r="H12466" i="1"/>
  <c r="G12466" i="1"/>
  <c r="E12466" i="1"/>
  <c r="H12465" i="1"/>
  <c r="G12465" i="1"/>
  <c r="E12465" i="1"/>
  <c r="H12464" i="1"/>
  <c r="G12464" i="1"/>
  <c r="E12464" i="1"/>
  <c r="H12463" i="1"/>
  <c r="G12463" i="1"/>
  <c r="E12463" i="1"/>
  <c r="H12462" i="1"/>
  <c r="G12462" i="1"/>
  <c r="E12462" i="1"/>
  <c r="H12461" i="1"/>
  <c r="G12461" i="1"/>
  <c r="E12461" i="1"/>
  <c r="H12460" i="1"/>
  <c r="G12460" i="1"/>
  <c r="E12460" i="1"/>
  <c r="H12459" i="1"/>
  <c r="G12459" i="1"/>
  <c r="E12459" i="1"/>
  <c r="H12458" i="1"/>
  <c r="G12458" i="1"/>
  <c r="E12458" i="1"/>
  <c r="H12457" i="1"/>
  <c r="G12457" i="1"/>
  <c r="E12457" i="1"/>
  <c r="H12456" i="1"/>
  <c r="G12456" i="1"/>
  <c r="E12456" i="1"/>
  <c r="H12455" i="1"/>
  <c r="G12455" i="1"/>
  <c r="E12455" i="1"/>
  <c r="H12454" i="1"/>
  <c r="G12454" i="1"/>
  <c r="E12454" i="1"/>
  <c r="H12453" i="1"/>
  <c r="G12453" i="1"/>
  <c r="E12453" i="1"/>
  <c r="H12452" i="1"/>
  <c r="G12452" i="1"/>
  <c r="E12452" i="1"/>
  <c r="H12451" i="1"/>
  <c r="G12451" i="1"/>
  <c r="E12451" i="1"/>
  <c r="H12450" i="1"/>
  <c r="G12450" i="1"/>
  <c r="E12450" i="1"/>
  <c r="H12449" i="1"/>
  <c r="G12449" i="1"/>
  <c r="E12449" i="1"/>
  <c r="H12448" i="1"/>
  <c r="G12448" i="1"/>
  <c r="E12448" i="1"/>
  <c r="H12447" i="1"/>
  <c r="G12447" i="1"/>
  <c r="E12447" i="1"/>
  <c r="H12446" i="1"/>
  <c r="G12446" i="1"/>
  <c r="E12446" i="1"/>
  <c r="H12445" i="1"/>
  <c r="G12445" i="1"/>
  <c r="E12445" i="1"/>
  <c r="H12444" i="1"/>
  <c r="G12444" i="1"/>
  <c r="E12444" i="1"/>
  <c r="H12443" i="1"/>
  <c r="G12443" i="1"/>
  <c r="E12443" i="1"/>
  <c r="H12442" i="1"/>
  <c r="G12442" i="1"/>
  <c r="E12442" i="1"/>
  <c r="H12441" i="1"/>
  <c r="G12441" i="1"/>
  <c r="E12441" i="1"/>
  <c r="H12440" i="1"/>
  <c r="G12440" i="1"/>
  <c r="E12440" i="1"/>
  <c r="H12439" i="1"/>
  <c r="G12439" i="1"/>
  <c r="E12439" i="1"/>
  <c r="H12438" i="1"/>
  <c r="G12438" i="1"/>
  <c r="E12438" i="1"/>
  <c r="H12437" i="1"/>
  <c r="G12437" i="1"/>
  <c r="E12437" i="1"/>
  <c r="H12436" i="1"/>
  <c r="G12436" i="1"/>
  <c r="E12436" i="1"/>
  <c r="H12435" i="1"/>
  <c r="G12435" i="1"/>
  <c r="E12435" i="1"/>
  <c r="H12434" i="1"/>
  <c r="G12434" i="1"/>
  <c r="E12434" i="1"/>
  <c r="H12433" i="1"/>
  <c r="G12433" i="1"/>
  <c r="E12433" i="1"/>
  <c r="H12432" i="1"/>
  <c r="G12432" i="1"/>
  <c r="E12432" i="1"/>
  <c r="H12431" i="1"/>
  <c r="G12431" i="1"/>
  <c r="E12431" i="1"/>
  <c r="H12430" i="1"/>
  <c r="G12430" i="1"/>
  <c r="E12430" i="1"/>
  <c r="H12429" i="1"/>
  <c r="G12429" i="1"/>
  <c r="E12429" i="1"/>
  <c r="H12428" i="1"/>
  <c r="G12428" i="1"/>
  <c r="E12428" i="1"/>
  <c r="H12427" i="1"/>
  <c r="G12427" i="1"/>
  <c r="E12427" i="1"/>
  <c r="H12426" i="1"/>
  <c r="G12426" i="1"/>
  <c r="E12426" i="1"/>
  <c r="H12425" i="1"/>
  <c r="G12425" i="1"/>
  <c r="E12425" i="1"/>
  <c r="H12424" i="1"/>
  <c r="G12424" i="1"/>
  <c r="E12424" i="1"/>
  <c r="H12423" i="1"/>
  <c r="G12423" i="1"/>
  <c r="E12423" i="1"/>
  <c r="H12422" i="1"/>
  <c r="G12422" i="1"/>
  <c r="E12422" i="1"/>
  <c r="H12421" i="1"/>
  <c r="G12421" i="1"/>
  <c r="E12421" i="1"/>
  <c r="H12420" i="1"/>
  <c r="G12420" i="1"/>
  <c r="E12420" i="1"/>
  <c r="H12419" i="1"/>
  <c r="G12419" i="1"/>
  <c r="E12419" i="1"/>
  <c r="H12418" i="1"/>
  <c r="G12418" i="1"/>
  <c r="E12418" i="1"/>
  <c r="H12417" i="1"/>
  <c r="G12417" i="1"/>
  <c r="E12417" i="1"/>
  <c r="H12416" i="1"/>
  <c r="G12416" i="1"/>
  <c r="E12416" i="1"/>
  <c r="H12415" i="1"/>
  <c r="G12415" i="1"/>
  <c r="E12415" i="1"/>
  <c r="H12414" i="1"/>
  <c r="G12414" i="1"/>
  <c r="E12414" i="1"/>
  <c r="H12413" i="1"/>
  <c r="G12413" i="1"/>
  <c r="E12413" i="1"/>
  <c r="H12412" i="1"/>
  <c r="G12412" i="1"/>
  <c r="E12412" i="1"/>
  <c r="H12411" i="1"/>
  <c r="G12411" i="1"/>
  <c r="E12411" i="1"/>
  <c r="H12410" i="1"/>
  <c r="G12410" i="1"/>
  <c r="E12410" i="1"/>
  <c r="H12409" i="1"/>
  <c r="G12409" i="1"/>
  <c r="E12409" i="1"/>
  <c r="H12408" i="1"/>
  <c r="G12408" i="1"/>
  <c r="E12408" i="1"/>
  <c r="H12407" i="1"/>
  <c r="G12407" i="1"/>
  <c r="E12407" i="1"/>
  <c r="H12406" i="1"/>
  <c r="G12406" i="1"/>
  <c r="E12406" i="1"/>
  <c r="H12405" i="1"/>
  <c r="G12405" i="1"/>
  <c r="E12405" i="1"/>
  <c r="H12404" i="1"/>
  <c r="G12404" i="1"/>
  <c r="E12404" i="1"/>
  <c r="H12403" i="1"/>
  <c r="G12403" i="1"/>
  <c r="E12403" i="1"/>
  <c r="H12402" i="1"/>
  <c r="G12402" i="1"/>
  <c r="E12402" i="1"/>
  <c r="H12401" i="1"/>
  <c r="G12401" i="1"/>
  <c r="E12401" i="1"/>
  <c r="H12400" i="1"/>
  <c r="G12400" i="1"/>
  <c r="E12400" i="1"/>
  <c r="H12399" i="1"/>
  <c r="G12399" i="1"/>
  <c r="E12399" i="1"/>
  <c r="H12398" i="1"/>
  <c r="G12398" i="1"/>
  <c r="E12398" i="1"/>
  <c r="H12397" i="1"/>
  <c r="G12397" i="1"/>
  <c r="E12397" i="1"/>
  <c r="H12396" i="1"/>
  <c r="G12396" i="1"/>
  <c r="E12396" i="1"/>
  <c r="H12395" i="1"/>
  <c r="G12395" i="1"/>
  <c r="E12395" i="1"/>
  <c r="H12394" i="1"/>
  <c r="G12394" i="1"/>
  <c r="E12394" i="1"/>
  <c r="H12393" i="1"/>
  <c r="G12393" i="1"/>
  <c r="E12393" i="1"/>
  <c r="H12392" i="1"/>
  <c r="G12392" i="1"/>
  <c r="E12392" i="1"/>
  <c r="H12391" i="1"/>
  <c r="G12391" i="1"/>
  <c r="E12391" i="1"/>
  <c r="H12390" i="1"/>
  <c r="G12390" i="1"/>
  <c r="E12390" i="1"/>
  <c r="H12389" i="1"/>
  <c r="G12389" i="1"/>
  <c r="E12389" i="1"/>
  <c r="H12388" i="1"/>
  <c r="G12388" i="1"/>
  <c r="E12388" i="1"/>
  <c r="H12387" i="1"/>
  <c r="G12387" i="1"/>
  <c r="E12387" i="1"/>
  <c r="H12386" i="1"/>
  <c r="G12386" i="1"/>
  <c r="E12386" i="1"/>
  <c r="H12385" i="1"/>
  <c r="G12385" i="1"/>
  <c r="E12385" i="1"/>
  <c r="H12384" i="1"/>
  <c r="G12384" i="1"/>
  <c r="E12384" i="1"/>
  <c r="H12383" i="1"/>
  <c r="G12383" i="1"/>
  <c r="E12383" i="1"/>
  <c r="H12382" i="1"/>
  <c r="G12382" i="1"/>
  <c r="E12382" i="1"/>
  <c r="H12381" i="1"/>
  <c r="G12381" i="1"/>
  <c r="E12381" i="1"/>
  <c r="H12380" i="1"/>
  <c r="G12380" i="1"/>
  <c r="E12380" i="1"/>
  <c r="H12379" i="1"/>
  <c r="G12379" i="1"/>
  <c r="E12379" i="1"/>
  <c r="H12378" i="1"/>
  <c r="G12378" i="1"/>
  <c r="E12378" i="1"/>
  <c r="H12377" i="1"/>
  <c r="G12377" i="1"/>
  <c r="E12377" i="1"/>
  <c r="H12376" i="1"/>
  <c r="G12376" i="1"/>
  <c r="E12376" i="1"/>
  <c r="H12375" i="1"/>
  <c r="G12375" i="1"/>
  <c r="E12375" i="1"/>
  <c r="H12374" i="1"/>
  <c r="G12374" i="1"/>
  <c r="E12374" i="1"/>
  <c r="H12373" i="1"/>
  <c r="G12373" i="1"/>
  <c r="E12373" i="1"/>
  <c r="H12372" i="1"/>
  <c r="G12372" i="1"/>
  <c r="E12372" i="1"/>
  <c r="H12371" i="1"/>
  <c r="G12371" i="1"/>
  <c r="E12371" i="1"/>
  <c r="H12370" i="1"/>
  <c r="G12370" i="1"/>
  <c r="E12370" i="1"/>
  <c r="H12369" i="1"/>
  <c r="G12369" i="1"/>
  <c r="E12369" i="1"/>
  <c r="H12368" i="1"/>
  <c r="G12368" i="1"/>
  <c r="E12368" i="1"/>
  <c r="H12367" i="1"/>
  <c r="G12367" i="1"/>
  <c r="E12367" i="1"/>
  <c r="H12366" i="1"/>
  <c r="G12366" i="1"/>
  <c r="E12366" i="1"/>
  <c r="H12365" i="1"/>
  <c r="G12365" i="1"/>
  <c r="E12365" i="1"/>
  <c r="H12364" i="1"/>
  <c r="G12364" i="1"/>
  <c r="E12364" i="1"/>
  <c r="H12363" i="1"/>
  <c r="G12363" i="1"/>
  <c r="E12363" i="1"/>
  <c r="H12362" i="1"/>
  <c r="G12362" i="1"/>
  <c r="E12362" i="1"/>
  <c r="H12361" i="1"/>
  <c r="G12361" i="1"/>
  <c r="E12361" i="1"/>
  <c r="H12360" i="1"/>
  <c r="G12360" i="1"/>
  <c r="E12360" i="1"/>
  <c r="H12359" i="1"/>
  <c r="G12359" i="1"/>
  <c r="E12359" i="1"/>
  <c r="H12358" i="1"/>
  <c r="G12358" i="1"/>
  <c r="E12358" i="1"/>
  <c r="H12357" i="1"/>
  <c r="G12357" i="1"/>
  <c r="E12357" i="1"/>
  <c r="H12356" i="1"/>
  <c r="G12356" i="1"/>
  <c r="E12356" i="1"/>
  <c r="H12355" i="1"/>
  <c r="G12355" i="1"/>
  <c r="E12355" i="1"/>
  <c r="H12354" i="1"/>
  <c r="G12354" i="1"/>
  <c r="E12354" i="1"/>
  <c r="H12353" i="1"/>
  <c r="G12353" i="1"/>
  <c r="E12353" i="1"/>
  <c r="H12352" i="1"/>
  <c r="G12352" i="1"/>
  <c r="E12352" i="1"/>
  <c r="H12351" i="1"/>
  <c r="G12351" i="1"/>
  <c r="E12351" i="1"/>
  <c r="H12350" i="1"/>
  <c r="G12350" i="1"/>
  <c r="E12350" i="1"/>
  <c r="H12349" i="1"/>
  <c r="G12349" i="1"/>
  <c r="E12349" i="1"/>
  <c r="H12348" i="1"/>
  <c r="G12348" i="1"/>
  <c r="E12348" i="1"/>
  <c r="H12347" i="1"/>
  <c r="G12347" i="1"/>
  <c r="E12347" i="1"/>
  <c r="H12346" i="1"/>
  <c r="G12346" i="1"/>
  <c r="E12346" i="1"/>
  <c r="H12345" i="1"/>
  <c r="G12345" i="1"/>
  <c r="E12345" i="1"/>
  <c r="H12344" i="1"/>
  <c r="G12344" i="1"/>
  <c r="E12344" i="1"/>
  <c r="H12343" i="1"/>
  <c r="G12343" i="1"/>
  <c r="E12343" i="1"/>
  <c r="H12342" i="1"/>
  <c r="G12342" i="1"/>
  <c r="E12342" i="1"/>
  <c r="H12341" i="1"/>
  <c r="G12341" i="1"/>
  <c r="E12341" i="1"/>
  <c r="H12340" i="1"/>
  <c r="G12340" i="1"/>
  <c r="E12340" i="1"/>
  <c r="H12339" i="1"/>
  <c r="G12339" i="1"/>
  <c r="E12339" i="1"/>
  <c r="H12338" i="1"/>
  <c r="G12338" i="1"/>
  <c r="E12338" i="1"/>
  <c r="H12337" i="1"/>
  <c r="G12337" i="1"/>
  <c r="E12337" i="1"/>
  <c r="H12336" i="1"/>
  <c r="G12336" i="1"/>
  <c r="E12336" i="1"/>
  <c r="H12335" i="1"/>
  <c r="G12335" i="1"/>
  <c r="E12335" i="1"/>
  <c r="H12334" i="1"/>
  <c r="G12334" i="1"/>
  <c r="E12334" i="1"/>
  <c r="H12333" i="1"/>
  <c r="G12333" i="1"/>
  <c r="E12333" i="1"/>
  <c r="H12332" i="1"/>
  <c r="G12332" i="1"/>
  <c r="E12332" i="1"/>
  <c r="H12331" i="1"/>
  <c r="G12331" i="1"/>
  <c r="E12331" i="1"/>
  <c r="H12330" i="1"/>
  <c r="G12330" i="1"/>
  <c r="E12330" i="1"/>
  <c r="H12329" i="1"/>
  <c r="G12329" i="1"/>
  <c r="E12329" i="1"/>
  <c r="H12328" i="1"/>
  <c r="G12328" i="1"/>
  <c r="E12328" i="1"/>
  <c r="H12327" i="1"/>
  <c r="G12327" i="1"/>
  <c r="E12327" i="1"/>
  <c r="H12326" i="1"/>
  <c r="G12326" i="1"/>
  <c r="E12326" i="1"/>
  <c r="H12325" i="1"/>
  <c r="G12325" i="1"/>
  <c r="E12325" i="1"/>
  <c r="H12324" i="1"/>
  <c r="G12324" i="1"/>
  <c r="E12324" i="1"/>
  <c r="H12323" i="1"/>
  <c r="G12323" i="1"/>
  <c r="E12323" i="1"/>
  <c r="H12322" i="1"/>
  <c r="G12322" i="1"/>
  <c r="E12322" i="1"/>
  <c r="H12321" i="1"/>
  <c r="G12321" i="1"/>
  <c r="E12321" i="1"/>
  <c r="H12320" i="1"/>
  <c r="G12320" i="1"/>
  <c r="E12320" i="1"/>
  <c r="H12319" i="1"/>
  <c r="G12319" i="1"/>
  <c r="E12319" i="1"/>
  <c r="H12318" i="1"/>
  <c r="G12318" i="1"/>
  <c r="E12318" i="1"/>
  <c r="H12317" i="1"/>
  <c r="G12317" i="1"/>
  <c r="E12317" i="1"/>
  <c r="H12316" i="1"/>
  <c r="G12316" i="1"/>
  <c r="E12316" i="1"/>
  <c r="H12315" i="1"/>
  <c r="G12315" i="1"/>
  <c r="E12315" i="1"/>
  <c r="H12314" i="1"/>
  <c r="G12314" i="1"/>
  <c r="E12314" i="1"/>
  <c r="H12313" i="1"/>
  <c r="G12313" i="1"/>
  <c r="E12313" i="1"/>
  <c r="H12312" i="1"/>
  <c r="G12312" i="1"/>
  <c r="E12312" i="1"/>
  <c r="H12311" i="1"/>
  <c r="G12311" i="1"/>
  <c r="E12311" i="1"/>
  <c r="H12310" i="1"/>
  <c r="G12310" i="1"/>
  <c r="E12310" i="1"/>
  <c r="H12309" i="1"/>
  <c r="G12309" i="1"/>
  <c r="E12309" i="1"/>
  <c r="H12308" i="1"/>
  <c r="G12308" i="1"/>
  <c r="E12308" i="1"/>
  <c r="H12307" i="1"/>
  <c r="G12307" i="1"/>
  <c r="E12307" i="1"/>
  <c r="H12306" i="1"/>
  <c r="G12306" i="1"/>
  <c r="E12306" i="1"/>
  <c r="H12305" i="1"/>
  <c r="G12305" i="1"/>
  <c r="E12305" i="1"/>
  <c r="H12304" i="1"/>
  <c r="G12304" i="1"/>
  <c r="E12304" i="1"/>
  <c r="H12303" i="1"/>
  <c r="G12303" i="1"/>
  <c r="E12303" i="1"/>
  <c r="H12302" i="1"/>
  <c r="G12302" i="1"/>
  <c r="E12302" i="1"/>
  <c r="H12301" i="1"/>
  <c r="G12301" i="1"/>
  <c r="E12301" i="1"/>
  <c r="H12300" i="1"/>
  <c r="G12300" i="1"/>
  <c r="E12300" i="1"/>
  <c r="H12299" i="1"/>
  <c r="G12299" i="1"/>
  <c r="E12299" i="1"/>
  <c r="H12298" i="1"/>
  <c r="G12298" i="1"/>
  <c r="E12298" i="1"/>
  <c r="H12297" i="1"/>
  <c r="G12297" i="1"/>
  <c r="E12297" i="1"/>
  <c r="H12296" i="1"/>
  <c r="G12296" i="1"/>
  <c r="E12296" i="1"/>
  <c r="H12295" i="1"/>
  <c r="G12295" i="1"/>
  <c r="E12295" i="1"/>
  <c r="H12294" i="1"/>
  <c r="G12294" i="1"/>
  <c r="E12294" i="1"/>
  <c r="H12293" i="1"/>
  <c r="G12293" i="1"/>
  <c r="E12293" i="1"/>
  <c r="H12292" i="1"/>
  <c r="G12292" i="1"/>
  <c r="E12292" i="1"/>
  <c r="H12291" i="1"/>
  <c r="G12291" i="1"/>
  <c r="E12291" i="1"/>
  <c r="H12290" i="1"/>
  <c r="G12290" i="1"/>
  <c r="E12290" i="1"/>
  <c r="H12289" i="1"/>
  <c r="G12289" i="1"/>
  <c r="E12289" i="1"/>
  <c r="H12288" i="1"/>
  <c r="G12288" i="1"/>
  <c r="E12288" i="1"/>
  <c r="H12287" i="1"/>
  <c r="G12287" i="1"/>
  <c r="E12287" i="1"/>
  <c r="H12286" i="1"/>
  <c r="G12286" i="1"/>
  <c r="E12286" i="1"/>
  <c r="H12285" i="1"/>
  <c r="G12285" i="1"/>
  <c r="E12285" i="1"/>
  <c r="H12284" i="1"/>
  <c r="G12284" i="1"/>
  <c r="E12284" i="1"/>
  <c r="H12283" i="1"/>
  <c r="G12283" i="1"/>
  <c r="E12283" i="1"/>
  <c r="H12282" i="1"/>
  <c r="G12282" i="1"/>
  <c r="E12282" i="1"/>
  <c r="H12281" i="1"/>
  <c r="G12281" i="1"/>
  <c r="E12281" i="1"/>
  <c r="H12280" i="1"/>
  <c r="G12280" i="1"/>
  <c r="E12280" i="1"/>
  <c r="H12279" i="1"/>
  <c r="G12279" i="1"/>
  <c r="E12279" i="1"/>
  <c r="H12278" i="1"/>
  <c r="G12278" i="1"/>
  <c r="E12278" i="1"/>
  <c r="H12277" i="1"/>
  <c r="G12277" i="1"/>
  <c r="E12277" i="1"/>
  <c r="H12276" i="1"/>
  <c r="G12276" i="1"/>
  <c r="E12276" i="1"/>
  <c r="H12275" i="1"/>
  <c r="G12275" i="1"/>
  <c r="E12275" i="1"/>
  <c r="H12274" i="1"/>
  <c r="G12274" i="1"/>
  <c r="E12274" i="1"/>
  <c r="H12273" i="1"/>
  <c r="G12273" i="1"/>
  <c r="E12273" i="1"/>
  <c r="H12272" i="1"/>
  <c r="G12272" i="1"/>
  <c r="E12272" i="1"/>
  <c r="H12271" i="1"/>
  <c r="G12271" i="1"/>
  <c r="E12271" i="1"/>
  <c r="H12270" i="1"/>
  <c r="G12270" i="1"/>
  <c r="E12270" i="1"/>
  <c r="H12269" i="1"/>
  <c r="G12269" i="1"/>
  <c r="E12269" i="1"/>
  <c r="H12268" i="1"/>
  <c r="G12268" i="1"/>
  <c r="E12268" i="1"/>
  <c r="H12267" i="1"/>
  <c r="G12267" i="1"/>
  <c r="E12267" i="1"/>
  <c r="H12266" i="1"/>
  <c r="G12266" i="1"/>
  <c r="E12266" i="1"/>
  <c r="H12265" i="1"/>
  <c r="G12265" i="1"/>
  <c r="E12265" i="1"/>
  <c r="H12264" i="1"/>
  <c r="G12264" i="1"/>
  <c r="E12264" i="1"/>
  <c r="H12263" i="1"/>
  <c r="G12263" i="1"/>
  <c r="E12263" i="1"/>
  <c r="H12262" i="1"/>
  <c r="G12262" i="1"/>
  <c r="E12262" i="1"/>
  <c r="H12261" i="1"/>
  <c r="G12261" i="1"/>
  <c r="E12261" i="1"/>
  <c r="H12260" i="1"/>
  <c r="G12260" i="1"/>
  <c r="E12260" i="1"/>
  <c r="H12259" i="1"/>
  <c r="G12259" i="1"/>
  <c r="E12259" i="1"/>
  <c r="H12258" i="1"/>
  <c r="G12258" i="1"/>
  <c r="E12258" i="1"/>
  <c r="H12257" i="1"/>
  <c r="G12257" i="1"/>
  <c r="E12257" i="1"/>
  <c r="H12256" i="1"/>
  <c r="G12256" i="1"/>
  <c r="E12256" i="1"/>
  <c r="H12255" i="1"/>
  <c r="G12255" i="1"/>
  <c r="E12255" i="1"/>
  <c r="H12254" i="1"/>
  <c r="G12254" i="1"/>
  <c r="E12254" i="1"/>
  <c r="H12253" i="1"/>
  <c r="G12253" i="1"/>
  <c r="E12253" i="1"/>
  <c r="H12252" i="1"/>
  <c r="G12252" i="1"/>
  <c r="E12252" i="1"/>
  <c r="H12251" i="1"/>
  <c r="G12251" i="1"/>
  <c r="E12251" i="1"/>
  <c r="H12250" i="1"/>
  <c r="G12250" i="1"/>
  <c r="E12250" i="1"/>
  <c r="H12249" i="1"/>
  <c r="G12249" i="1"/>
  <c r="E12249" i="1"/>
  <c r="H12248" i="1"/>
  <c r="G12248" i="1"/>
  <c r="E12248" i="1"/>
  <c r="H12247" i="1"/>
  <c r="G12247" i="1"/>
  <c r="E12247" i="1"/>
  <c r="H12246" i="1"/>
  <c r="G12246" i="1"/>
  <c r="E12246" i="1"/>
  <c r="H12245" i="1"/>
  <c r="G12245" i="1"/>
  <c r="E12245" i="1"/>
  <c r="H12244" i="1"/>
  <c r="G12244" i="1"/>
  <c r="E12244" i="1"/>
  <c r="H12243" i="1"/>
  <c r="G12243" i="1"/>
  <c r="E12243" i="1"/>
  <c r="H12242" i="1"/>
  <c r="G12242" i="1"/>
  <c r="E12242" i="1"/>
  <c r="H12241" i="1"/>
  <c r="G12241" i="1"/>
  <c r="E12241" i="1"/>
  <c r="H12240" i="1"/>
  <c r="G12240" i="1"/>
  <c r="E12240" i="1"/>
  <c r="H12239" i="1"/>
  <c r="G12239" i="1"/>
  <c r="E12239" i="1"/>
  <c r="H12238" i="1"/>
  <c r="G12238" i="1"/>
  <c r="E12238" i="1"/>
  <c r="H12237" i="1"/>
  <c r="G12237" i="1"/>
  <c r="E12237" i="1"/>
  <c r="H12236" i="1"/>
  <c r="G12236" i="1"/>
  <c r="E12236" i="1"/>
  <c r="H12235" i="1"/>
  <c r="G12235" i="1"/>
  <c r="E12235" i="1"/>
  <c r="H12234" i="1"/>
  <c r="G12234" i="1"/>
  <c r="E12234" i="1"/>
  <c r="H12233" i="1"/>
  <c r="G12233" i="1"/>
  <c r="E12233" i="1"/>
  <c r="H12232" i="1"/>
  <c r="G12232" i="1"/>
  <c r="E12232" i="1"/>
  <c r="H12231" i="1"/>
  <c r="G12231" i="1"/>
  <c r="E12231" i="1"/>
  <c r="H12230" i="1"/>
  <c r="G12230" i="1"/>
  <c r="E12230" i="1"/>
  <c r="H12229" i="1"/>
  <c r="G12229" i="1"/>
  <c r="E12229" i="1"/>
  <c r="H12228" i="1"/>
  <c r="G12228" i="1"/>
  <c r="E12228" i="1"/>
  <c r="H12227" i="1"/>
  <c r="G12227" i="1"/>
  <c r="E12227" i="1"/>
  <c r="H12226" i="1"/>
  <c r="G12226" i="1"/>
  <c r="E12226" i="1"/>
  <c r="H12225" i="1"/>
  <c r="G12225" i="1"/>
  <c r="E12225" i="1"/>
  <c r="H12224" i="1"/>
  <c r="G12224" i="1"/>
  <c r="E12224" i="1"/>
  <c r="H12223" i="1"/>
  <c r="G12223" i="1"/>
  <c r="E12223" i="1"/>
  <c r="H12222" i="1"/>
  <c r="G12222" i="1"/>
  <c r="E12222" i="1"/>
  <c r="H12221" i="1"/>
  <c r="G12221" i="1"/>
  <c r="E12221" i="1"/>
  <c r="H12220" i="1"/>
  <c r="G12220" i="1"/>
  <c r="E12220" i="1"/>
  <c r="H12219" i="1"/>
  <c r="G12219" i="1"/>
  <c r="E12219" i="1"/>
  <c r="H12218" i="1"/>
  <c r="G12218" i="1"/>
  <c r="E12218" i="1"/>
  <c r="H12217" i="1"/>
  <c r="G12217" i="1"/>
  <c r="E12217" i="1"/>
  <c r="H12216" i="1"/>
  <c r="G12216" i="1"/>
  <c r="E12216" i="1"/>
  <c r="H12215" i="1"/>
  <c r="G12215" i="1"/>
  <c r="E12215" i="1"/>
  <c r="H12214" i="1"/>
  <c r="G12214" i="1"/>
  <c r="E12214" i="1"/>
  <c r="H12213" i="1"/>
  <c r="G12213" i="1"/>
  <c r="E12213" i="1"/>
  <c r="H12212" i="1"/>
  <c r="G12212" i="1"/>
  <c r="E12212" i="1"/>
  <c r="H12211" i="1"/>
  <c r="G12211" i="1"/>
  <c r="E12211" i="1"/>
  <c r="H12210" i="1"/>
  <c r="G12210" i="1"/>
  <c r="E12210" i="1"/>
  <c r="H12209" i="1"/>
  <c r="G12209" i="1"/>
  <c r="E12209" i="1"/>
  <c r="H12208" i="1"/>
  <c r="G12208" i="1"/>
  <c r="E12208" i="1"/>
  <c r="H12207" i="1"/>
  <c r="G12207" i="1"/>
  <c r="E12207" i="1"/>
  <c r="H12206" i="1"/>
  <c r="G12206" i="1"/>
  <c r="E12206" i="1"/>
  <c r="H12205" i="1"/>
  <c r="G12205" i="1"/>
  <c r="E12205" i="1"/>
  <c r="H12204" i="1"/>
  <c r="G12204" i="1"/>
  <c r="E12204" i="1"/>
  <c r="H12203" i="1"/>
  <c r="G12203" i="1"/>
  <c r="E12203" i="1"/>
  <c r="H12202" i="1"/>
  <c r="G12202" i="1"/>
  <c r="E12202" i="1"/>
  <c r="H12201" i="1"/>
  <c r="G12201" i="1"/>
  <c r="E12201" i="1"/>
  <c r="H12200" i="1"/>
  <c r="G12200" i="1"/>
  <c r="E12200" i="1"/>
  <c r="H12199" i="1"/>
  <c r="G12199" i="1"/>
  <c r="E12199" i="1"/>
  <c r="H12198" i="1"/>
  <c r="G12198" i="1"/>
  <c r="E12198" i="1"/>
  <c r="H12197" i="1"/>
  <c r="G12197" i="1"/>
  <c r="E12197" i="1"/>
  <c r="H12196" i="1"/>
  <c r="G12196" i="1"/>
  <c r="E12196" i="1"/>
  <c r="H12195" i="1"/>
  <c r="G12195" i="1"/>
  <c r="E12195" i="1"/>
  <c r="H12194" i="1"/>
  <c r="G12194" i="1"/>
  <c r="E12194" i="1"/>
  <c r="H12193" i="1"/>
  <c r="G12193" i="1"/>
  <c r="E12193" i="1"/>
  <c r="H12192" i="1"/>
  <c r="G12192" i="1"/>
  <c r="E12192" i="1"/>
  <c r="H12191" i="1"/>
  <c r="G12191" i="1"/>
  <c r="E12191" i="1"/>
  <c r="H12190" i="1"/>
  <c r="G12190" i="1"/>
  <c r="E12190" i="1"/>
  <c r="H12189" i="1"/>
  <c r="G12189" i="1"/>
  <c r="E12189" i="1"/>
  <c r="H12188" i="1"/>
  <c r="G12188" i="1"/>
  <c r="E12188" i="1"/>
  <c r="H12187" i="1"/>
  <c r="G12187" i="1"/>
  <c r="E12187" i="1"/>
  <c r="H12186" i="1"/>
  <c r="G12186" i="1"/>
  <c r="E12186" i="1"/>
  <c r="H12185" i="1"/>
  <c r="G12185" i="1"/>
  <c r="E12185" i="1"/>
  <c r="H12184" i="1"/>
  <c r="G12184" i="1"/>
  <c r="E12184" i="1"/>
  <c r="H12183" i="1"/>
  <c r="G12183" i="1"/>
  <c r="E12183" i="1"/>
  <c r="H12182" i="1"/>
  <c r="G12182" i="1"/>
  <c r="E12182" i="1"/>
  <c r="H12181" i="1"/>
  <c r="G12181" i="1"/>
  <c r="E12181" i="1"/>
  <c r="H12180" i="1"/>
  <c r="G12180" i="1"/>
  <c r="E12180" i="1"/>
  <c r="H12179" i="1"/>
  <c r="G12179" i="1"/>
  <c r="E12179" i="1"/>
  <c r="H12178" i="1"/>
  <c r="G12178" i="1"/>
  <c r="E12178" i="1"/>
  <c r="H12177" i="1"/>
  <c r="G12177" i="1"/>
  <c r="E12177" i="1"/>
  <c r="H12176" i="1"/>
  <c r="G12176" i="1"/>
  <c r="E12176" i="1"/>
  <c r="H12175" i="1"/>
  <c r="G12175" i="1"/>
  <c r="E12175" i="1"/>
  <c r="H12174" i="1"/>
  <c r="G12174" i="1"/>
  <c r="E12174" i="1"/>
  <c r="H12173" i="1"/>
  <c r="G12173" i="1"/>
  <c r="E12173" i="1"/>
  <c r="H12172" i="1"/>
  <c r="G12172" i="1"/>
  <c r="E12172" i="1"/>
  <c r="H12171" i="1"/>
  <c r="G12171" i="1"/>
  <c r="E12171" i="1"/>
  <c r="H12170" i="1"/>
  <c r="G12170" i="1"/>
  <c r="E12170" i="1"/>
  <c r="H12169" i="1"/>
  <c r="G12169" i="1"/>
  <c r="E12169" i="1"/>
  <c r="H12168" i="1"/>
  <c r="G12168" i="1"/>
  <c r="E12168" i="1"/>
  <c r="H12167" i="1"/>
  <c r="G12167" i="1"/>
  <c r="E12167" i="1"/>
  <c r="H12166" i="1"/>
  <c r="G12166" i="1"/>
  <c r="E12166" i="1"/>
  <c r="H12165" i="1"/>
  <c r="G12165" i="1"/>
  <c r="E12165" i="1"/>
  <c r="H12164" i="1"/>
  <c r="G12164" i="1"/>
  <c r="E12164" i="1"/>
  <c r="H12163" i="1"/>
  <c r="G12163" i="1"/>
  <c r="E12163" i="1"/>
  <c r="H12162" i="1"/>
  <c r="G12162" i="1"/>
  <c r="E12162" i="1"/>
  <c r="H12161" i="1"/>
  <c r="G12161" i="1"/>
  <c r="E12161" i="1"/>
  <c r="H12160" i="1"/>
  <c r="G12160" i="1"/>
  <c r="E12160" i="1"/>
  <c r="H12159" i="1"/>
  <c r="G12159" i="1"/>
  <c r="E12159" i="1"/>
  <c r="H12158" i="1"/>
  <c r="G12158" i="1"/>
  <c r="E12158" i="1"/>
  <c r="H12157" i="1"/>
  <c r="G12157" i="1"/>
  <c r="E12157" i="1"/>
  <c r="H12156" i="1"/>
  <c r="G12156" i="1"/>
  <c r="E12156" i="1"/>
  <c r="H12155" i="1"/>
  <c r="G12155" i="1"/>
  <c r="E12155" i="1"/>
  <c r="H12154" i="1"/>
  <c r="G12154" i="1"/>
  <c r="E12154" i="1"/>
  <c r="H12153" i="1"/>
  <c r="G12153" i="1"/>
  <c r="E12153" i="1"/>
  <c r="H12152" i="1"/>
  <c r="G12152" i="1"/>
  <c r="E12152" i="1"/>
  <c r="H12151" i="1"/>
  <c r="G12151" i="1"/>
  <c r="E12151" i="1"/>
  <c r="H12150" i="1"/>
  <c r="G12150" i="1"/>
  <c r="E12150" i="1"/>
  <c r="H12149" i="1"/>
  <c r="G12149" i="1"/>
  <c r="E12149" i="1"/>
  <c r="H12148" i="1"/>
  <c r="G12148" i="1"/>
  <c r="E12148" i="1"/>
  <c r="H12147" i="1"/>
  <c r="G12147" i="1"/>
  <c r="E12147" i="1"/>
  <c r="H12146" i="1"/>
  <c r="G12146" i="1"/>
  <c r="E12146" i="1"/>
  <c r="H12145" i="1"/>
  <c r="G12145" i="1"/>
  <c r="E12145" i="1"/>
  <c r="H12144" i="1"/>
  <c r="G12144" i="1"/>
  <c r="E12144" i="1"/>
  <c r="H12143" i="1"/>
  <c r="G12143" i="1"/>
  <c r="E12143" i="1"/>
  <c r="H12142" i="1"/>
  <c r="G12142" i="1"/>
  <c r="E12142" i="1"/>
  <c r="H12141" i="1"/>
  <c r="G12141" i="1"/>
  <c r="E12141" i="1"/>
  <c r="H12140" i="1"/>
  <c r="G12140" i="1"/>
  <c r="E12140" i="1"/>
  <c r="H12139" i="1"/>
  <c r="G12139" i="1"/>
  <c r="E12139" i="1"/>
  <c r="H12138" i="1"/>
  <c r="G12138" i="1"/>
  <c r="E12138" i="1"/>
  <c r="H12137" i="1"/>
  <c r="G12137" i="1"/>
  <c r="E12137" i="1"/>
  <c r="H12136" i="1"/>
  <c r="G12136" i="1"/>
  <c r="E12136" i="1"/>
  <c r="H12135" i="1"/>
  <c r="G12135" i="1"/>
  <c r="E12135" i="1"/>
  <c r="H12134" i="1"/>
  <c r="G12134" i="1"/>
  <c r="E12134" i="1"/>
  <c r="H12133" i="1"/>
  <c r="G12133" i="1"/>
  <c r="E12133" i="1"/>
  <c r="H12132" i="1"/>
  <c r="G12132" i="1"/>
  <c r="E12132" i="1"/>
  <c r="H12131" i="1"/>
  <c r="G12131" i="1"/>
  <c r="E12131" i="1"/>
  <c r="H12130" i="1"/>
  <c r="G12130" i="1"/>
  <c r="E12130" i="1"/>
  <c r="H12129" i="1"/>
  <c r="G12129" i="1"/>
  <c r="E12129" i="1"/>
  <c r="H12128" i="1"/>
  <c r="G12128" i="1"/>
  <c r="E12128" i="1"/>
  <c r="H12127" i="1"/>
  <c r="G12127" i="1"/>
  <c r="E12127" i="1"/>
  <c r="H12126" i="1"/>
  <c r="G12126" i="1"/>
  <c r="E12126" i="1"/>
  <c r="H12125" i="1"/>
  <c r="G12125" i="1"/>
  <c r="E12125" i="1"/>
  <c r="H12124" i="1"/>
  <c r="G12124" i="1"/>
  <c r="E12124" i="1"/>
  <c r="H12123" i="1"/>
  <c r="G12123" i="1"/>
  <c r="E12123" i="1"/>
  <c r="H12122" i="1"/>
  <c r="G12122" i="1"/>
  <c r="E12122" i="1"/>
  <c r="H12121" i="1"/>
  <c r="G12121" i="1"/>
  <c r="E12121" i="1"/>
  <c r="H12120" i="1"/>
  <c r="G12120" i="1"/>
  <c r="E12120" i="1"/>
  <c r="H12119" i="1"/>
  <c r="G12119" i="1"/>
  <c r="E12119" i="1"/>
  <c r="H12118" i="1"/>
  <c r="G12118" i="1"/>
  <c r="E12118" i="1"/>
  <c r="H12117" i="1"/>
  <c r="G12117" i="1"/>
  <c r="E12117" i="1"/>
  <c r="H12116" i="1"/>
  <c r="G12116" i="1"/>
  <c r="E12116" i="1"/>
  <c r="H12115" i="1"/>
  <c r="G12115" i="1"/>
  <c r="E12115" i="1"/>
  <c r="H12114" i="1"/>
  <c r="G12114" i="1"/>
  <c r="E12114" i="1"/>
  <c r="H12113" i="1"/>
  <c r="G12113" i="1"/>
  <c r="E12113" i="1"/>
  <c r="H12112" i="1"/>
  <c r="G12112" i="1"/>
  <c r="E12112" i="1"/>
  <c r="H12111" i="1"/>
  <c r="G12111" i="1"/>
  <c r="E12111" i="1"/>
  <c r="H12110" i="1"/>
  <c r="G12110" i="1"/>
  <c r="E12110" i="1"/>
  <c r="H12109" i="1"/>
  <c r="G12109" i="1"/>
  <c r="E12109" i="1"/>
  <c r="H12108" i="1"/>
  <c r="G12108" i="1"/>
  <c r="E12108" i="1"/>
  <c r="H12107" i="1"/>
  <c r="G12107" i="1"/>
  <c r="E12107" i="1"/>
  <c r="H12106" i="1"/>
  <c r="G12106" i="1"/>
  <c r="E12106" i="1"/>
  <c r="H12105" i="1"/>
  <c r="G12105" i="1"/>
  <c r="E12105" i="1"/>
  <c r="H12104" i="1"/>
  <c r="G12104" i="1"/>
  <c r="E12104" i="1"/>
  <c r="H12103" i="1"/>
  <c r="G12103" i="1"/>
  <c r="E12103" i="1"/>
  <c r="H12102" i="1"/>
  <c r="G12102" i="1"/>
  <c r="E12102" i="1"/>
  <c r="H12101" i="1"/>
  <c r="G12101" i="1"/>
  <c r="E12101" i="1"/>
  <c r="H12100" i="1"/>
  <c r="G12100" i="1"/>
  <c r="E12100" i="1"/>
  <c r="H12099" i="1"/>
  <c r="G12099" i="1"/>
  <c r="E12099" i="1"/>
  <c r="H12098" i="1"/>
  <c r="G12098" i="1"/>
  <c r="E12098" i="1"/>
  <c r="H12097" i="1"/>
  <c r="G12097" i="1"/>
  <c r="E12097" i="1"/>
  <c r="H12096" i="1"/>
  <c r="G12096" i="1"/>
  <c r="E12096" i="1"/>
  <c r="H12095" i="1"/>
  <c r="G12095" i="1"/>
  <c r="E12095" i="1"/>
  <c r="H12094" i="1"/>
  <c r="G12094" i="1"/>
  <c r="E12094" i="1"/>
  <c r="H12093" i="1"/>
  <c r="G12093" i="1"/>
  <c r="E12093" i="1"/>
  <c r="H12092" i="1"/>
  <c r="G12092" i="1"/>
  <c r="E12092" i="1"/>
  <c r="H12091" i="1"/>
  <c r="G12091" i="1"/>
  <c r="E12091" i="1"/>
  <c r="H12090" i="1"/>
  <c r="G12090" i="1"/>
  <c r="E12090" i="1"/>
  <c r="H12089" i="1"/>
  <c r="G12089" i="1"/>
  <c r="E12089" i="1"/>
  <c r="H12088" i="1"/>
  <c r="G12088" i="1"/>
  <c r="E12088" i="1"/>
  <c r="H12087" i="1"/>
  <c r="G12087" i="1"/>
  <c r="E12087" i="1"/>
  <c r="H12086" i="1"/>
  <c r="G12086" i="1"/>
  <c r="E12086" i="1"/>
  <c r="H12085" i="1"/>
  <c r="G12085" i="1"/>
  <c r="E12085" i="1"/>
  <c r="H12084" i="1"/>
  <c r="G12084" i="1"/>
  <c r="E12084" i="1"/>
  <c r="H12083" i="1"/>
  <c r="G12083" i="1"/>
  <c r="E12083" i="1"/>
  <c r="H12082" i="1"/>
  <c r="G12082" i="1"/>
  <c r="E12082" i="1"/>
  <c r="H12081" i="1"/>
  <c r="G12081" i="1"/>
  <c r="E12081" i="1"/>
  <c r="H12080" i="1"/>
  <c r="G12080" i="1"/>
  <c r="E12080" i="1"/>
  <c r="H12079" i="1"/>
  <c r="G12079" i="1"/>
  <c r="E12079" i="1"/>
  <c r="H12078" i="1"/>
  <c r="G12078" i="1"/>
  <c r="E12078" i="1"/>
  <c r="H12077" i="1"/>
  <c r="G12077" i="1"/>
  <c r="E12077" i="1"/>
  <c r="H12076" i="1"/>
  <c r="G12076" i="1"/>
  <c r="E12076" i="1"/>
  <c r="H12075" i="1"/>
  <c r="G12075" i="1"/>
  <c r="E12075" i="1"/>
  <c r="H12074" i="1"/>
  <c r="G12074" i="1"/>
  <c r="E12074" i="1"/>
  <c r="H12073" i="1"/>
  <c r="G12073" i="1"/>
  <c r="E12073" i="1"/>
  <c r="H12072" i="1"/>
  <c r="G12072" i="1"/>
  <c r="E12072" i="1"/>
  <c r="H12071" i="1"/>
  <c r="G12071" i="1"/>
  <c r="E12071" i="1"/>
  <c r="H12070" i="1"/>
  <c r="G12070" i="1"/>
  <c r="E12070" i="1"/>
  <c r="H12069" i="1"/>
  <c r="G12069" i="1"/>
  <c r="E12069" i="1"/>
  <c r="H12068" i="1"/>
  <c r="G12068" i="1"/>
  <c r="E12068" i="1"/>
  <c r="H12067" i="1"/>
  <c r="G12067" i="1"/>
  <c r="E12067" i="1"/>
  <c r="H12066" i="1"/>
  <c r="G12066" i="1"/>
  <c r="E12066" i="1"/>
  <c r="H12065" i="1"/>
  <c r="G12065" i="1"/>
  <c r="E12065" i="1"/>
  <c r="H12064" i="1"/>
  <c r="G12064" i="1"/>
  <c r="E12064" i="1"/>
  <c r="H12063" i="1"/>
  <c r="G12063" i="1"/>
  <c r="E12063" i="1"/>
  <c r="H12062" i="1"/>
  <c r="G12062" i="1"/>
  <c r="E12062" i="1"/>
  <c r="H12061" i="1"/>
  <c r="G12061" i="1"/>
  <c r="E12061" i="1"/>
  <c r="H12060" i="1"/>
  <c r="G12060" i="1"/>
  <c r="E12060" i="1"/>
  <c r="H12059" i="1"/>
  <c r="G12059" i="1"/>
  <c r="E12059" i="1"/>
  <c r="H12058" i="1"/>
  <c r="G12058" i="1"/>
  <c r="E12058" i="1"/>
  <c r="H12057" i="1"/>
  <c r="G12057" i="1"/>
  <c r="E12057" i="1"/>
  <c r="H12056" i="1"/>
  <c r="G12056" i="1"/>
  <c r="E12056" i="1"/>
  <c r="H12055" i="1"/>
  <c r="G12055" i="1"/>
  <c r="E12055" i="1"/>
  <c r="H12054" i="1"/>
  <c r="G12054" i="1"/>
  <c r="E12054" i="1"/>
  <c r="H12053" i="1"/>
  <c r="G12053" i="1"/>
  <c r="E12053" i="1"/>
  <c r="H12052" i="1"/>
  <c r="G12052" i="1"/>
  <c r="E12052" i="1"/>
  <c r="H12051" i="1"/>
  <c r="G12051" i="1"/>
  <c r="E12051" i="1"/>
  <c r="H12050" i="1"/>
  <c r="G12050" i="1"/>
  <c r="E12050" i="1"/>
  <c r="H12049" i="1"/>
  <c r="G12049" i="1"/>
  <c r="E12049" i="1"/>
  <c r="H12048" i="1"/>
  <c r="G12048" i="1"/>
  <c r="E12048" i="1"/>
  <c r="H12047" i="1"/>
  <c r="G12047" i="1"/>
  <c r="E12047" i="1"/>
  <c r="H12046" i="1"/>
  <c r="G12046" i="1"/>
  <c r="E12046" i="1"/>
  <c r="H12045" i="1"/>
  <c r="G12045" i="1"/>
  <c r="E12045" i="1"/>
  <c r="H12044" i="1"/>
  <c r="G12044" i="1"/>
  <c r="E12044" i="1"/>
  <c r="H12043" i="1"/>
  <c r="G12043" i="1"/>
  <c r="E12043" i="1"/>
  <c r="H12042" i="1"/>
  <c r="G12042" i="1"/>
  <c r="E12042" i="1"/>
  <c r="H12041" i="1"/>
  <c r="G12041" i="1"/>
  <c r="E12041" i="1"/>
  <c r="H12040" i="1"/>
  <c r="G12040" i="1"/>
  <c r="E12040" i="1"/>
  <c r="H12039" i="1"/>
  <c r="G12039" i="1"/>
  <c r="E12039" i="1"/>
  <c r="H12038" i="1"/>
  <c r="G12038" i="1"/>
  <c r="E12038" i="1"/>
  <c r="H12037" i="1"/>
  <c r="G12037" i="1"/>
  <c r="E12037" i="1"/>
  <c r="H12036" i="1"/>
  <c r="G12036" i="1"/>
  <c r="E12036" i="1"/>
  <c r="H12035" i="1"/>
  <c r="G12035" i="1"/>
  <c r="E12035" i="1"/>
  <c r="H12034" i="1"/>
  <c r="G12034" i="1"/>
  <c r="E12034" i="1"/>
  <c r="H12033" i="1"/>
  <c r="G12033" i="1"/>
  <c r="E12033" i="1"/>
  <c r="H12032" i="1"/>
  <c r="G12032" i="1"/>
  <c r="E12032" i="1"/>
  <c r="H12031" i="1"/>
  <c r="G12031" i="1"/>
  <c r="E12031" i="1"/>
  <c r="H12030" i="1"/>
  <c r="G12030" i="1"/>
  <c r="E12030" i="1"/>
  <c r="H12029" i="1"/>
  <c r="G12029" i="1"/>
  <c r="E12029" i="1"/>
  <c r="H12028" i="1"/>
  <c r="G12028" i="1"/>
  <c r="E12028" i="1"/>
  <c r="H12027" i="1"/>
  <c r="G12027" i="1"/>
  <c r="E12027" i="1"/>
  <c r="H12026" i="1"/>
  <c r="G12026" i="1"/>
  <c r="E12026" i="1"/>
  <c r="H12025" i="1"/>
  <c r="G12025" i="1"/>
  <c r="E12025" i="1"/>
  <c r="H12024" i="1"/>
  <c r="G12024" i="1"/>
  <c r="E12024" i="1"/>
  <c r="H12023" i="1"/>
  <c r="G12023" i="1"/>
  <c r="E12023" i="1"/>
  <c r="H12022" i="1"/>
  <c r="G12022" i="1"/>
  <c r="E12022" i="1"/>
  <c r="H12021" i="1"/>
  <c r="G12021" i="1"/>
  <c r="E12021" i="1"/>
  <c r="H12020" i="1"/>
  <c r="G12020" i="1"/>
  <c r="E12020" i="1"/>
  <c r="H12019" i="1"/>
  <c r="G12019" i="1"/>
  <c r="E12019" i="1"/>
  <c r="H12018" i="1"/>
  <c r="G12018" i="1"/>
  <c r="E12018" i="1"/>
  <c r="H12017" i="1"/>
  <c r="G12017" i="1"/>
  <c r="E12017" i="1"/>
  <c r="H12016" i="1"/>
  <c r="G12016" i="1"/>
  <c r="E12016" i="1"/>
  <c r="H12015" i="1"/>
  <c r="G12015" i="1"/>
  <c r="E12015" i="1"/>
  <c r="H12014" i="1"/>
  <c r="G12014" i="1"/>
  <c r="E12014" i="1"/>
  <c r="H12013" i="1"/>
  <c r="G12013" i="1"/>
  <c r="E12013" i="1"/>
  <c r="H12012" i="1"/>
  <c r="G12012" i="1"/>
  <c r="E12012" i="1"/>
  <c r="H12011" i="1"/>
  <c r="G12011" i="1"/>
  <c r="E12011" i="1"/>
  <c r="H12010" i="1"/>
  <c r="G12010" i="1"/>
  <c r="E12010" i="1"/>
  <c r="H12009" i="1"/>
  <c r="G12009" i="1"/>
  <c r="E12009" i="1"/>
  <c r="H12008" i="1"/>
  <c r="G12008" i="1"/>
  <c r="E12008" i="1"/>
  <c r="H12007" i="1"/>
  <c r="G12007" i="1"/>
  <c r="E12007" i="1"/>
  <c r="H12006" i="1"/>
  <c r="G12006" i="1"/>
  <c r="E12006" i="1"/>
  <c r="H12005" i="1"/>
  <c r="G12005" i="1"/>
  <c r="E12005" i="1"/>
  <c r="H12004" i="1"/>
  <c r="G12004" i="1"/>
  <c r="E12004" i="1"/>
  <c r="H12003" i="1"/>
  <c r="G12003" i="1"/>
  <c r="E12003" i="1"/>
  <c r="H12002" i="1"/>
  <c r="G12002" i="1"/>
  <c r="E12002" i="1"/>
  <c r="H12001" i="1"/>
  <c r="G12001" i="1"/>
  <c r="E12001" i="1"/>
  <c r="H12000" i="1"/>
  <c r="G12000" i="1"/>
  <c r="E12000" i="1"/>
  <c r="H11999" i="1"/>
  <c r="G11999" i="1"/>
  <c r="E11999" i="1"/>
  <c r="H11998" i="1"/>
  <c r="G11998" i="1"/>
  <c r="E11998" i="1"/>
  <c r="H11997" i="1"/>
  <c r="G11997" i="1"/>
  <c r="E11997" i="1"/>
  <c r="H11996" i="1"/>
  <c r="G11996" i="1"/>
  <c r="E11996" i="1"/>
  <c r="H11995" i="1"/>
  <c r="G11995" i="1"/>
  <c r="E11995" i="1"/>
  <c r="H11994" i="1"/>
  <c r="G11994" i="1"/>
  <c r="E11994" i="1"/>
  <c r="H11993" i="1"/>
  <c r="G11993" i="1"/>
  <c r="E11993" i="1"/>
  <c r="H11992" i="1"/>
  <c r="G11992" i="1"/>
  <c r="E11992" i="1"/>
  <c r="H11991" i="1"/>
  <c r="G11991" i="1"/>
  <c r="E11991" i="1"/>
  <c r="H11990" i="1"/>
  <c r="G11990" i="1"/>
  <c r="E11990" i="1"/>
  <c r="H11989" i="1"/>
  <c r="G11989" i="1"/>
  <c r="E11989" i="1"/>
  <c r="H11988" i="1"/>
  <c r="G11988" i="1"/>
  <c r="E11988" i="1"/>
  <c r="H11987" i="1"/>
  <c r="G11987" i="1"/>
  <c r="E11987" i="1"/>
  <c r="H11986" i="1"/>
  <c r="G11986" i="1"/>
  <c r="E11986" i="1"/>
  <c r="H11985" i="1"/>
  <c r="G11985" i="1"/>
  <c r="E11985" i="1"/>
  <c r="H11984" i="1"/>
  <c r="G11984" i="1"/>
  <c r="E11984" i="1"/>
  <c r="H11983" i="1"/>
  <c r="G11983" i="1"/>
  <c r="E11983" i="1"/>
  <c r="H11982" i="1"/>
  <c r="G11982" i="1"/>
  <c r="E11982" i="1"/>
  <c r="H11981" i="1"/>
  <c r="G11981" i="1"/>
  <c r="E11981" i="1"/>
  <c r="H11980" i="1"/>
  <c r="G11980" i="1"/>
  <c r="E11980" i="1"/>
  <c r="H11979" i="1"/>
  <c r="G11979" i="1"/>
  <c r="E11979" i="1"/>
  <c r="H11978" i="1"/>
  <c r="G11978" i="1"/>
  <c r="E11978" i="1"/>
  <c r="H11977" i="1"/>
  <c r="G11977" i="1"/>
  <c r="E11977" i="1"/>
  <c r="H11976" i="1"/>
  <c r="G11976" i="1"/>
  <c r="E11976" i="1"/>
  <c r="H11975" i="1"/>
  <c r="G11975" i="1"/>
  <c r="E11975" i="1"/>
  <c r="H11974" i="1"/>
  <c r="G11974" i="1"/>
  <c r="E11974" i="1"/>
  <c r="H11973" i="1"/>
  <c r="G11973" i="1"/>
  <c r="E11973" i="1"/>
  <c r="H11972" i="1"/>
  <c r="G11972" i="1"/>
  <c r="E11972" i="1"/>
  <c r="H11971" i="1"/>
  <c r="G11971" i="1"/>
  <c r="E11971" i="1"/>
  <c r="H11970" i="1"/>
  <c r="G11970" i="1"/>
  <c r="E11970" i="1"/>
  <c r="H11969" i="1"/>
  <c r="G11969" i="1"/>
  <c r="E11969" i="1"/>
  <c r="H11968" i="1"/>
  <c r="G11968" i="1"/>
  <c r="E11968" i="1"/>
  <c r="H11967" i="1"/>
  <c r="G11967" i="1"/>
  <c r="E11967" i="1"/>
  <c r="H11966" i="1"/>
  <c r="G11966" i="1"/>
  <c r="E11966" i="1"/>
  <c r="H11965" i="1"/>
  <c r="G11965" i="1"/>
  <c r="E11965" i="1"/>
  <c r="H11964" i="1"/>
  <c r="G11964" i="1"/>
  <c r="E11964" i="1"/>
  <c r="H11963" i="1"/>
  <c r="G11963" i="1"/>
  <c r="E11963" i="1"/>
  <c r="H11962" i="1"/>
  <c r="G11962" i="1"/>
  <c r="E11962" i="1"/>
  <c r="H11961" i="1"/>
  <c r="G11961" i="1"/>
  <c r="E11961" i="1"/>
  <c r="H11960" i="1"/>
  <c r="G11960" i="1"/>
  <c r="E11960" i="1"/>
  <c r="H11959" i="1"/>
  <c r="G11959" i="1"/>
  <c r="E11959" i="1"/>
  <c r="H11958" i="1"/>
  <c r="G11958" i="1"/>
  <c r="E11958" i="1"/>
  <c r="H11957" i="1"/>
  <c r="G11957" i="1"/>
  <c r="E11957" i="1"/>
  <c r="H11956" i="1"/>
  <c r="G11956" i="1"/>
  <c r="E11956" i="1"/>
  <c r="H11955" i="1"/>
  <c r="G11955" i="1"/>
  <c r="E11955" i="1"/>
  <c r="H11954" i="1"/>
  <c r="G11954" i="1"/>
  <c r="E11954" i="1"/>
  <c r="H11953" i="1"/>
  <c r="G11953" i="1"/>
  <c r="E11953" i="1"/>
  <c r="H11952" i="1"/>
  <c r="G11952" i="1"/>
  <c r="E11952" i="1"/>
  <c r="H11951" i="1"/>
  <c r="G11951" i="1"/>
  <c r="E11951" i="1"/>
  <c r="H11950" i="1"/>
  <c r="G11950" i="1"/>
  <c r="E11950" i="1"/>
  <c r="H11949" i="1"/>
  <c r="G11949" i="1"/>
  <c r="E11949" i="1"/>
  <c r="H11948" i="1"/>
  <c r="G11948" i="1"/>
  <c r="E11948" i="1"/>
  <c r="H11947" i="1"/>
  <c r="G11947" i="1"/>
  <c r="E11947" i="1"/>
  <c r="H11946" i="1"/>
  <c r="G11946" i="1"/>
  <c r="E11946" i="1"/>
  <c r="H11945" i="1"/>
  <c r="G11945" i="1"/>
  <c r="E11945" i="1"/>
  <c r="H11944" i="1"/>
  <c r="G11944" i="1"/>
  <c r="E11944" i="1"/>
  <c r="H11943" i="1"/>
  <c r="G11943" i="1"/>
  <c r="E11943" i="1"/>
  <c r="H11942" i="1"/>
  <c r="G11942" i="1"/>
  <c r="E11942" i="1"/>
  <c r="H11941" i="1"/>
  <c r="G11941" i="1"/>
  <c r="E11941" i="1"/>
  <c r="H11940" i="1"/>
  <c r="G11940" i="1"/>
  <c r="E11940" i="1"/>
  <c r="H11939" i="1"/>
  <c r="G11939" i="1"/>
  <c r="E11939" i="1"/>
  <c r="H11938" i="1"/>
  <c r="G11938" i="1"/>
  <c r="E11938" i="1"/>
  <c r="H11937" i="1"/>
  <c r="G11937" i="1"/>
  <c r="E11937" i="1"/>
  <c r="H11936" i="1"/>
  <c r="G11936" i="1"/>
  <c r="E11936" i="1"/>
  <c r="H11935" i="1"/>
  <c r="G11935" i="1"/>
  <c r="E11935" i="1"/>
  <c r="H11934" i="1"/>
  <c r="G11934" i="1"/>
  <c r="E11934" i="1"/>
  <c r="H11933" i="1"/>
  <c r="G11933" i="1"/>
  <c r="E11933" i="1"/>
  <c r="H11932" i="1"/>
  <c r="G11932" i="1"/>
  <c r="E11932" i="1"/>
  <c r="H11931" i="1"/>
  <c r="G11931" i="1"/>
  <c r="E11931" i="1"/>
  <c r="H11930" i="1"/>
  <c r="G11930" i="1"/>
  <c r="E11930" i="1"/>
  <c r="H11929" i="1"/>
  <c r="G11929" i="1"/>
  <c r="E11929" i="1"/>
  <c r="H11928" i="1"/>
  <c r="G11928" i="1"/>
  <c r="E11928" i="1"/>
  <c r="H11927" i="1"/>
  <c r="G11927" i="1"/>
  <c r="E11927" i="1"/>
  <c r="H11926" i="1"/>
  <c r="G11926" i="1"/>
  <c r="E11926" i="1"/>
  <c r="H11925" i="1"/>
  <c r="G11925" i="1"/>
  <c r="E11925" i="1"/>
  <c r="H11924" i="1"/>
  <c r="G11924" i="1"/>
  <c r="E11924" i="1"/>
  <c r="H11923" i="1"/>
  <c r="G11923" i="1"/>
  <c r="E11923" i="1"/>
  <c r="H11922" i="1"/>
  <c r="G11922" i="1"/>
  <c r="E11922" i="1"/>
  <c r="H11921" i="1"/>
  <c r="G11921" i="1"/>
  <c r="E11921" i="1"/>
  <c r="H11920" i="1"/>
  <c r="G11920" i="1"/>
  <c r="E11920" i="1"/>
  <c r="H11919" i="1"/>
  <c r="G11919" i="1"/>
  <c r="E11919" i="1"/>
  <c r="H11918" i="1"/>
  <c r="G11918" i="1"/>
  <c r="E11918" i="1"/>
  <c r="H11917" i="1"/>
  <c r="G11917" i="1"/>
  <c r="E11917" i="1"/>
  <c r="H11916" i="1"/>
  <c r="G11916" i="1"/>
  <c r="E11916" i="1"/>
  <c r="H11915" i="1"/>
  <c r="G11915" i="1"/>
  <c r="E11915" i="1"/>
  <c r="H11914" i="1"/>
  <c r="G11914" i="1"/>
  <c r="E11914" i="1"/>
  <c r="H11913" i="1"/>
  <c r="G11913" i="1"/>
  <c r="E11913" i="1"/>
  <c r="H11912" i="1"/>
  <c r="G11912" i="1"/>
  <c r="E11912" i="1"/>
  <c r="H11911" i="1"/>
  <c r="G11911" i="1"/>
  <c r="E11911" i="1"/>
  <c r="H11910" i="1"/>
  <c r="G11910" i="1"/>
  <c r="E11910" i="1"/>
  <c r="H11909" i="1"/>
  <c r="G11909" i="1"/>
  <c r="E11909" i="1"/>
  <c r="H11908" i="1"/>
  <c r="G11908" i="1"/>
  <c r="E11908" i="1"/>
  <c r="H11907" i="1"/>
  <c r="G11907" i="1"/>
  <c r="E11907" i="1"/>
  <c r="H11906" i="1"/>
  <c r="G11906" i="1"/>
  <c r="E11906" i="1"/>
  <c r="H11905" i="1"/>
  <c r="G11905" i="1"/>
  <c r="E11905" i="1"/>
  <c r="H11904" i="1"/>
  <c r="G11904" i="1"/>
  <c r="E11904" i="1"/>
  <c r="H11903" i="1"/>
  <c r="G11903" i="1"/>
  <c r="E11903" i="1"/>
  <c r="H11902" i="1"/>
  <c r="G11902" i="1"/>
  <c r="E11902" i="1"/>
  <c r="H11901" i="1"/>
  <c r="G11901" i="1"/>
  <c r="E11901" i="1"/>
  <c r="H11900" i="1"/>
  <c r="G11900" i="1"/>
  <c r="E11900" i="1"/>
  <c r="H11899" i="1"/>
  <c r="G11899" i="1"/>
  <c r="E11899" i="1"/>
  <c r="H11898" i="1"/>
  <c r="G11898" i="1"/>
  <c r="E11898" i="1"/>
  <c r="H11897" i="1"/>
  <c r="G11897" i="1"/>
  <c r="E11897" i="1"/>
  <c r="H11896" i="1"/>
  <c r="G11896" i="1"/>
  <c r="E11896" i="1"/>
  <c r="H11895" i="1"/>
  <c r="G11895" i="1"/>
  <c r="E11895" i="1"/>
  <c r="H11894" i="1"/>
  <c r="G11894" i="1"/>
  <c r="E11894" i="1"/>
  <c r="H11893" i="1"/>
  <c r="G11893" i="1"/>
  <c r="E11893" i="1"/>
  <c r="H11892" i="1"/>
  <c r="G11892" i="1"/>
  <c r="E11892" i="1"/>
  <c r="H11891" i="1"/>
  <c r="G11891" i="1"/>
  <c r="E11891" i="1"/>
  <c r="H11890" i="1"/>
  <c r="G11890" i="1"/>
  <c r="E11890" i="1"/>
  <c r="H11889" i="1"/>
  <c r="G11889" i="1"/>
  <c r="E11889" i="1"/>
  <c r="H11888" i="1"/>
  <c r="G11888" i="1"/>
  <c r="E11888" i="1"/>
  <c r="H11887" i="1"/>
  <c r="G11887" i="1"/>
  <c r="E11887" i="1"/>
  <c r="H11886" i="1"/>
  <c r="G11886" i="1"/>
  <c r="E11886" i="1"/>
  <c r="H11885" i="1"/>
  <c r="G11885" i="1"/>
  <c r="E11885" i="1"/>
  <c r="H11884" i="1"/>
  <c r="G11884" i="1"/>
  <c r="E11884" i="1"/>
  <c r="H11883" i="1"/>
  <c r="G11883" i="1"/>
  <c r="E11883" i="1"/>
  <c r="H11882" i="1"/>
  <c r="G11882" i="1"/>
  <c r="E11882" i="1"/>
  <c r="H11881" i="1"/>
  <c r="G11881" i="1"/>
  <c r="E11881" i="1"/>
  <c r="H11880" i="1"/>
  <c r="G11880" i="1"/>
  <c r="E11880" i="1"/>
  <c r="H11879" i="1"/>
  <c r="G11879" i="1"/>
  <c r="E11879" i="1"/>
  <c r="H11878" i="1"/>
  <c r="G11878" i="1"/>
  <c r="E11878" i="1"/>
  <c r="H11877" i="1"/>
  <c r="G11877" i="1"/>
  <c r="E11877" i="1"/>
  <c r="H11876" i="1"/>
  <c r="G11876" i="1"/>
  <c r="E11876" i="1"/>
  <c r="H11875" i="1"/>
  <c r="G11875" i="1"/>
  <c r="E11875" i="1"/>
  <c r="H11874" i="1"/>
  <c r="G11874" i="1"/>
  <c r="E11874" i="1"/>
  <c r="H11873" i="1"/>
  <c r="G11873" i="1"/>
  <c r="E11873" i="1"/>
  <c r="H11872" i="1"/>
  <c r="G11872" i="1"/>
  <c r="E11872" i="1"/>
  <c r="H11871" i="1"/>
  <c r="G11871" i="1"/>
  <c r="E11871" i="1"/>
  <c r="H11870" i="1"/>
  <c r="G11870" i="1"/>
  <c r="E11870" i="1"/>
  <c r="H11869" i="1"/>
  <c r="G11869" i="1"/>
  <c r="E11869" i="1"/>
  <c r="H11868" i="1"/>
  <c r="G11868" i="1"/>
  <c r="E11868" i="1"/>
  <c r="H11867" i="1"/>
  <c r="G11867" i="1"/>
  <c r="E11867" i="1"/>
  <c r="H11866" i="1"/>
  <c r="G11866" i="1"/>
  <c r="E11866" i="1"/>
  <c r="H11865" i="1"/>
  <c r="G11865" i="1"/>
  <c r="E11865" i="1"/>
  <c r="H11864" i="1"/>
  <c r="G11864" i="1"/>
  <c r="E11864" i="1"/>
  <c r="H11863" i="1"/>
  <c r="G11863" i="1"/>
  <c r="E11863" i="1"/>
  <c r="H11862" i="1"/>
  <c r="G11862" i="1"/>
  <c r="E11862" i="1"/>
  <c r="H11861" i="1"/>
  <c r="G11861" i="1"/>
  <c r="E11861" i="1"/>
  <c r="H11860" i="1"/>
  <c r="G11860" i="1"/>
  <c r="E11860" i="1"/>
  <c r="H11859" i="1"/>
  <c r="G11859" i="1"/>
  <c r="E11859" i="1"/>
  <c r="H11858" i="1"/>
  <c r="G11858" i="1"/>
  <c r="E11858" i="1"/>
  <c r="H11857" i="1"/>
  <c r="G11857" i="1"/>
  <c r="E11857" i="1"/>
  <c r="H11856" i="1"/>
  <c r="G11856" i="1"/>
  <c r="E11856" i="1"/>
  <c r="H11855" i="1"/>
  <c r="G11855" i="1"/>
  <c r="E11855" i="1"/>
  <c r="H11854" i="1"/>
  <c r="G11854" i="1"/>
  <c r="E11854" i="1"/>
  <c r="H11853" i="1"/>
  <c r="G11853" i="1"/>
  <c r="E11853" i="1"/>
  <c r="H11852" i="1"/>
  <c r="G11852" i="1"/>
  <c r="E11852" i="1"/>
  <c r="H11851" i="1"/>
  <c r="G11851" i="1"/>
  <c r="E11851" i="1"/>
  <c r="H11850" i="1"/>
  <c r="G11850" i="1"/>
  <c r="E11850" i="1"/>
  <c r="H11849" i="1"/>
  <c r="G11849" i="1"/>
  <c r="E11849" i="1"/>
  <c r="H11848" i="1"/>
  <c r="G11848" i="1"/>
  <c r="E11848" i="1"/>
  <c r="H11847" i="1"/>
  <c r="G11847" i="1"/>
  <c r="E11847" i="1"/>
  <c r="H11846" i="1"/>
  <c r="G11846" i="1"/>
  <c r="E11846" i="1"/>
  <c r="H11845" i="1"/>
  <c r="G11845" i="1"/>
  <c r="E11845" i="1"/>
  <c r="H11844" i="1"/>
  <c r="G11844" i="1"/>
  <c r="E11844" i="1"/>
  <c r="H11843" i="1"/>
  <c r="G11843" i="1"/>
  <c r="E11843" i="1"/>
  <c r="H11842" i="1"/>
  <c r="G11842" i="1"/>
  <c r="E11842" i="1"/>
  <c r="H11841" i="1"/>
  <c r="G11841" i="1"/>
  <c r="E11841" i="1"/>
  <c r="H11840" i="1"/>
  <c r="G11840" i="1"/>
  <c r="E11840" i="1"/>
  <c r="H11839" i="1"/>
  <c r="G11839" i="1"/>
  <c r="E11839" i="1"/>
  <c r="H11838" i="1"/>
  <c r="G11838" i="1"/>
  <c r="E11838" i="1"/>
  <c r="H11837" i="1"/>
  <c r="G11837" i="1"/>
  <c r="E11837" i="1"/>
  <c r="H11836" i="1"/>
  <c r="G11836" i="1"/>
  <c r="E11836" i="1"/>
  <c r="H11835" i="1"/>
  <c r="G11835" i="1"/>
  <c r="E11835" i="1"/>
  <c r="H11834" i="1"/>
  <c r="G11834" i="1"/>
  <c r="E11834" i="1"/>
  <c r="H11833" i="1"/>
  <c r="G11833" i="1"/>
  <c r="E11833" i="1"/>
  <c r="H11832" i="1"/>
  <c r="G11832" i="1"/>
  <c r="E11832" i="1"/>
  <c r="H11831" i="1"/>
  <c r="G11831" i="1"/>
  <c r="E11831" i="1"/>
  <c r="H11830" i="1"/>
  <c r="G11830" i="1"/>
  <c r="E11830" i="1"/>
  <c r="H11829" i="1"/>
  <c r="G11829" i="1"/>
  <c r="E11829" i="1"/>
  <c r="H11828" i="1"/>
  <c r="G11828" i="1"/>
  <c r="E11828" i="1"/>
  <c r="H11827" i="1"/>
  <c r="G11827" i="1"/>
  <c r="E11827" i="1"/>
  <c r="H11826" i="1"/>
  <c r="G11826" i="1"/>
  <c r="E11826" i="1"/>
  <c r="H11825" i="1"/>
  <c r="G11825" i="1"/>
  <c r="E11825" i="1"/>
  <c r="H11824" i="1"/>
  <c r="G11824" i="1"/>
  <c r="E11824" i="1"/>
  <c r="H11823" i="1"/>
  <c r="G11823" i="1"/>
  <c r="E11823" i="1"/>
  <c r="H11822" i="1"/>
  <c r="G11822" i="1"/>
  <c r="E11822" i="1"/>
  <c r="H11821" i="1"/>
  <c r="G11821" i="1"/>
  <c r="E11821" i="1"/>
  <c r="H11820" i="1"/>
  <c r="G11820" i="1"/>
  <c r="E11820" i="1"/>
  <c r="H11819" i="1"/>
  <c r="G11819" i="1"/>
  <c r="E11819" i="1"/>
  <c r="H11818" i="1"/>
  <c r="G11818" i="1"/>
  <c r="E11818" i="1"/>
  <c r="H11817" i="1"/>
  <c r="G11817" i="1"/>
  <c r="E11817" i="1"/>
  <c r="H11816" i="1"/>
  <c r="G11816" i="1"/>
  <c r="E11816" i="1"/>
  <c r="H11815" i="1"/>
  <c r="G11815" i="1"/>
  <c r="E11815" i="1"/>
  <c r="H11814" i="1"/>
  <c r="G11814" i="1"/>
  <c r="E11814" i="1"/>
  <c r="H11813" i="1"/>
  <c r="G11813" i="1"/>
  <c r="E11813" i="1"/>
  <c r="H11812" i="1"/>
  <c r="G11812" i="1"/>
  <c r="E11812" i="1"/>
  <c r="H11811" i="1"/>
  <c r="G11811" i="1"/>
  <c r="E11811" i="1"/>
  <c r="H11810" i="1"/>
  <c r="G11810" i="1"/>
  <c r="E11810" i="1"/>
  <c r="H11809" i="1"/>
  <c r="G11809" i="1"/>
  <c r="E11809" i="1"/>
  <c r="H11808" i="1"/>
  <c r="G11808" i="1"/>
  <c r="E11808" i="1"/>
  <c r="H11807" i="1"/>
  <c r="G11807" i="1"/>
  <c r="E11807" i="1"/>
  <c r="H11806" i="1"/>
  <c r="G11806" i="1"/>
  <c r="E11806" i="1"/>
  <c r="H11805" i="1"/>
  <c r="G11805" i="1"/>
  <c r="E11805" i="1"/>
  <c r="H11804" i="1"/>
  <c r="G11804" i="1"/>
  <c r="E11804" i="1"/>
  <c r="H11803" i="1"/>
  <c r="G11803" i="1"/>
  <c r="E11803" i="1"/>
  <c r="H11802" i="1"/>
  <c r="G11802" i="1"/>
  <c r="E11802" i="1"/>
  <c r="H11801" i="1"/>
  <c r="G11801" i="1"/>
  <c r="E11801" i="1"/>
  <c r="H11800" i="1"/>
  <c r="G11800" i="1"/>
  <c r="E11800" i="1"/>
  <c r="H11799" i="1"/>
  <c r="G11799" i="1"/>
  <c r="E11799" i="1"/>
  <c r="H11798" i="1"/>
  <c r="G11798" i="1"/>
  <c r="E11798" i="1"/>
  <c r="H11797" i="1"/>
  <c r="G11797" i="1"/>
  <c r="E11797" i="1"/>
  <c r="H11796" i="1"/>
  <c r="G11796" i="1"/>
  <c r="E11796" i="1"/>
  <c r="H11795" i="1"/>
  <c r="G11795" i="1"/>
  <c r="E11795" i="1"/>
  <c r="H11794" i="1"/>
  <c r="G11794" i="1"/>
  <c r="E11794" i="1"/>
  <c r="H11793" i="1"/>
  <c r="G11793" i="1"/>
  <c r="E11793" i="1"/>
  <c r="H11792" i="1"/>
  <c r="G11792" i="1"/>
  <c r="E11792" i="1"/>
  <c r="H11791" i="1"/>
  <c r="G11791" i="1"/>
  <c r="E11791" i="1"/>
  <c r="H11790" i="1"/>
  <c r="G11790" i="1"/>
  <c r="E11790" i="1"/>
  <c r="H11789" i="1"/>
  <c r="G11789" i="1"/>
  <c r="E11789" i="1"/>
  <c r="H11788" i="1"/>
  <c r="G11788" i="1"/>
  <c r="E11788" i="1"/>
  <c r="H11787" i="1"/>
  <c r="G11787" i="1"/>
  <c r="E11787" i="1"/>
  <c r="H11786" i="1"/>
  <c r="G11786" i="1"/>
  <c r="E11786" i="1"/>
  <c r="H11785" i="1"/>
  <c r="G11785" i="1"/>
  <c r="E11785" i="1"/>
  <c r="H11784" i="1"/>
  <c r="G11784" i="1"/>
  <c r="E11784" i="1"/>
  <c r="H11783" i="1"/>
  <c r="G11783" i="1"/>
  <c r="E11783" i="1"/>
  <c r="H11782" i="1"/>
  <c r="G11782" i="1"/>
  <c r="E11782" i="1"/>
  <c r="H11781" i="1"/>
  <c r="G11781" i="1"/>
  <c r="E11781" i="1"/>
  <c r="H11780" i="1"/>
  <c r="G11780" i="1"/>
  <c r="E11780" i="1"/>
  <c r="H11779" i="1"/>
  <c r="G11779" i="1"/>
  <c r="E11779" i="1"/>
  <c r="H11778" i="1"/>
  <c r="G11778" i="1"/>
  <c r="E11778" i="1"/>
  <c r="H11777" i="1"/>
  <c r="G11777" i="1"/>
  <c r="E11777" i="1"/>
  <c r="H11776" i="1"/>
  <c r="G11776" i="1"/>
  <c r="E11776" i="1"/>
  <c r="H11775" i="1"/>
  <c r="G11775" i="1"/>
  <c r="E11775" i="1"/>
  <c r="H11774" i="1"/>
  <c r="G11774" i="1"/>
  <c r="E11774" i="1"/>
  <c r="H11773" i="1"/>
  <c r="G11773" i="1"/>
  <c r="E11773" i="1"/>
  <c r="H11772" i="1"/>
  <c r="G11772" i="1"/>
  <c r="E11772" i="1"/>
  <c r="H11771" i="1"/>
  <c r="G11771" i="1"/>
  <c r="E11771" i="1"/>
  <c r="H11770" i="1"/>
  <c r="G11770" i="1"/>
  <c r="E11770" i="1"/>
  <c r="H11769" i="1"/>
  <c r="G11769" i="1"/>
  <c r="E11769" i="1"/>
  <c r="H11768" i="1"/>
  <c r="G11768" i="1"/>
  <c r="E11768" i="1"/>
  <c r="H11767" i="1"/>
  <c r="G11767" i="1"/>
  <c r="E11767" i="1"/>
  <c r="H11766" i="1"/>
  <c r="G11766" i="1"/>
  <c r="E11766" i="1"/>
  <c r="H11765" i="1"/>
  <c r="G11765" i="1"/>
  <c r="E11765" i="1"/>
  <c r="H11764" i="1"/>
  <c r="G11764" i="1"/>
  <c r="E11764" i="1"/>
  <c r="H11763" i="1"/>
  <c r="G11763" i="1"/>
  <c r="E11763" i="1"/>
  <c r="H11762" i="1"/>
  <c r="G11762" i="1"/>
  <c r="E11762" i="1"/>
  <c r="H11761" i="1"/>
  <c r="G11761" i="1"/>
  <c r="E11761" i="1"/>
  <c r="H11760" i="1"/>
  <c r="G11760" i="1"/>
  <c r="E11760" i="1"/>
  <c r="H11759" i="1"/>
  <c r="G11759" i="1"/>
  <c r="E11759" i="1"/>
  <c r="H11758" i="1"/>
  <c r="G11758" i="1"/>
  <c r="E11758" i="1"/>
  <c r="H11757" i="1"/>
  <c r="G11757" i="1"/>
  <c r="E11757" i="1"/>
  <c r="H11756" i="1"/>
  <c r="G11756" i="1"/>
  <c r="E11756" i="1"/>
  <c r="H11755" i="1"/>
  <c r="G11755" i="1"/>
  <c r="E11755" i="1"/>
  <c r="H11754" i="1"/>
  <c r="G11754" i="1"/>
  <c r="E11754" i="1"/>
  <c r="H11753" i="1"/>
  <c r="G11753" i="1"/>
  <c r="E11753" i="1"/>
  <c r="H11752" i="1"/>
  <c r="G11752" i="1"/>
  <c r="E11752" i="1"/>
  <c r="H11751" i="1"/>
  <c r="G11751" i="1"/>
  <c r="E11751" i="1"/>
  <c r="H11750" i="1"/>
  <c r="G11750" i="1"/>
  <c r="E11750" i="1"/>
  <c r="H11749" i="1"/>
  <c r="G11749" i="1"/>
  <c r="E11749" i="1"/>
  <c r="H11748" i="1"/>
  <c r="G11748" i="1"/>
  <c r="E11748" i="1"/>
  <c r="H11747" i="1"/>
  <c r="G11747" i="1"/>
  <c r="E11747" i="1"/>
  <c r="H11746" i="1"/>
  <c r="G11746" i="1"/>
  <c r="E11746" i="1"/>
  <c r="H11745" i="1"/>
  <c r="G11745" i="1"/>
  <c r="E11745" i="1"/>
  <c r="H11744" i="1"/>
  <c r="G11744" i="1"/>
  <c r="E11744" i="1"/>
  <c r="H11743" i="1"/>
  <c r="G11743" i="1"/>
  <c r="E11743" i="1"/>
  <c r="H11742" i="1"/>
  <c r="G11742" i="1"/>
  <c r="E11742" i="1"/>
  <c r="H11741" i="1"/>
  <c r="G11741" i="1"/>
  <c r="E11741" i="1"/>
  <c r="H11740" i="1"/>
  <c r="G11740" i="1"/>
  <c r="E11740" i="1"/>
  <c r="H11739" i="1"/>
  <c r="G11739" i="1"/>
  <c r="E11739" i="1"/>
  <c r="H11738" i="1"/>
  <c r="G11738" i="1"/>
  <c r="E11738" i="1"/>
  <c r="H11737" i="1"/>
  <c r="G11737" i="1"/>
  <c r="E11737" i="1"/>
  <c r="H11736" i="1"/>
  <c r="G11736" i="1"/>
  <c r="E11736" i="1"/>
  <c r="H11735" i="1"/>
  <c r="G11735" i="1"/>
  <c r="E11735" i="1"/>
  <c r="H11734" i="1"/>
  <c r="G11734" i="1"/>
  <c r="E11734" i="1"/>
  <c r="H11733" i="1"/>
  <c r="G11733" i="1"/>
  <c r="E11733" i="1"/>
  <c r="H11732" i="1"/>
  <c r="G11732" i="1"/>
  <c r="E11732" i="1"/>
  <c r="H11731" i="1"/>
  <c r="G11731" i="1"/>
  <c r="E11731" i="1"/>
  <c r="H11730" i="1"/>
  <c r="G11730" i="1"/>
  <c r="E11730" i="1"/>
  <c r="H11729" i="1"/>
  <c r="G11729" i="1"/>
  <c r="E11729" i="1"/>
  <c r="H11728" i="1"/>
  <c r="G11728" i="1"/>
  <c r="E11728" i="1"/>
  <c r="H11727" i="1"/>
  <c r="G11727" i="1"/>
  <c r="E11727" i="1"/>
  <c r="H11726" i="1"/>
  <c r="G11726" i="1"/>
  <c r="E11726" i="1"/>
  <c r="H11725" i="1"/>
  <c r="G11725" i="1"/>
  <c r="E11725" i="1"/>
  <c r="H11724" i="1"/>
  <c r="G11724" i="1"/>
  <c r="E11724" i="1"/>
  <c r="H11723" i="1"/>
  <c r="G11723" i="1"/>
  <c r="E11723" i="1"/>
  <c r="H11722" i="1"/>
  <c r="G11722" i="1"/>
  <c r="E11722" i="1"/>
  <c r="H11721" i="1"/>
  <c r="G11721" i="1"/>
  <c r="E11721" i="1"/>
  <c r="H11720" i="1"/>
  <c r="G11720" i="1"/>
  <c r="E11720" i="1"/>
  <c r="H11719" i="1"/>
  <c r="G11719" i="1"/>
  <c r="E11719" i="1"/>
  <c r="H11718" i="1"/>
  <c r="G11718" i="1"/>
  <c r="E11718" i="1"/>
  <c r="H11717" i="1"/>
  <c r="G11717" i="1"/>
  <c r="E11717" i="1"/>
  <c r="H11716" i="1"/>
  <c r="G11716" i="1"/>
  <c r="E11716" i="1"/>
  <c r="H11715" i="1"/>
  <c r="G11715" i="1"/>
  <c r="E11715" i="1"/>
  <c r="H11714" i="1"/>
  <c r="G11714" i="1"/>
  <c r="E11714" i="1"/>
  <c r="H11713" i="1"/>
  <c r="G11713" i="1"/>
  <c r="E11713" i="1"/>
  <c r="H11712" i="1"/>
  <c r="G11712" i="1"/>
  <c r="E11712" i="1"/>
  <c r="H11711" i="1"/>
  <c r="G11711" i="1"/>
  <c r="E11711" i="1"/>
  <c r="H11710" i="1"/>
  <c r="G11710" i="1"/>
  <c r="E11710" i="1"/>
  <c r="H11709" i="1"/>
  <c r="G11709" i="1"/>
  <c r="E11709" i="1"/>
  <c r="H11708" i="1"/>
  <c r="G11708" i="1"/>
  <c r="E11708" i="1"/>
  <c r="H11707" i="1"/>
  <c r="G11707" i="1"/>
  <c r="E11707" i="1"/>
  <c r="H11706" i="1"/>
  <c r="G11706" i="1"/>
  <c r="E11706" i="1"/>
  <c r="H11705" i="1"/>
  <c r="G11705" i="1"/>
  <c r="E11705" i="1"/>
  <c r="H11704" i="1"/>
  <c r="G11704" i="1"/>
  <c r="E11704" i="1"/>
  <c r="H11703" i="1"/>
  <c r="G11703" i="1"/>
  <c r="E11703" i="1"/>
  <c r="H11702" i="1"/>
  <c r="G11702" i="1"/>
  <c r="E11702" i="1"/>
  <c r="H11701" i="1"/>
  <c r="G11701" i="1"/>
  <c r="E11701" i="1"/>
  <c r="H11700" i="1"/>
  <c r="G11700" i="1"/>
  <c r="E11700" i="1"/>
  <c r="H11699" i="1"/>
  <c r="G11699" i="1"/>
  <c r="E11699" i="1"/>
  <c r="H11698" i="1"/>
  <c r="G11698" i="1"/>
  <c r="E11698" i="1"/>
  <c r="H11697" i="1"/>
  <c r="G11697" i="1"/>
  <c r="E11697" i="1"/>
  <c r="H11696" i="1"/>
  <c r="G11696" i="1"/>
  <c r="E11696" i="1"/>
  <c r="H11695" i="1"/>
  <c r="G11695" i="1"/>
  <c r="E11695" i="1"/>
  <c r="H11694" i="1"/>
  <c r="G11694" i="1"/>
  <c r="E11694" i="1"/>
  <c r="H11693" i="1"/>
  <c r="G11693" i="1"/>
  <c r="E11693" i="1"/>
  <c r="H11692" i="1"/>
  <c r="G11692" i="1"/>
  <c r="E11692" i="1"/>
  <c r="H11691" i="1"/>
  <c r="G11691" i="1"/>
  <c r="E11691" i="1"/>
  <c r="H11690" i="1"/>
  <c r="G11690" i="1"/>
  <c r="E11690" i="1"/>
  <c r="H11689" i="1"/>
  <c r="G11689" i="1"/>
  <c r="E11689" i="1"/>
  <c r="H11688" i="1"/>
  <c r="G11688" i="1"/>
  <c r="E11688" i="1"/>
  <c r="H11687" i="1"/>
  <c r="G11687" i="1"/>
  <c r="E11687" i="1"/>
  <c r="H11686" i="1"/>
  <c r="G11686" i="1"/>
  <c r="E11686" i="1"/>
  <c r="H11685" i="1"/>
  <c r="G11685" i="1"/>
  <c r="E11685" i="1"/>
  <c r="H11684" i="1"/>
  <c r="G11684" i="1"/>
  <c r="E11684" i="1"/>
  <c r="H11683" i="1"/>
  <c r="G11683" i="1"/>
  <c r="E11683" i="1"/>
  <c r="H11682" i="1"/>
  <c r="G11682" i="1"/>
  <c r="E11682" i="1"/>
  <c r="H11681" i="1"/>
  <c r="G11681" i="1"/>
  <c r="E11681" i="1"/>
  <c r="H11680" i="1"/>
  <c r="G11680" i="1"/>
  <c r="E11680" i="1"/>
  <c r="H11679" i="1"/>
  <c r="G11679" i="1"/>
  <c r="E11679" i="1"/>
  <c r="H11678" i="1"/>
  <c r="G11678" i="1"/>
  <c r="E11678" i="1"/>
  <c r="H11677" i="1"/>
  <c r="G11677" i="1"/>
  <c r="E11677" i="1"/>
  <c r="H11676" i="1"/>
  <c r="G11676" i="1"/>
  <c r="E11676" i="1"/>
  <c r="H11675" i="1"/>
  <c r="G11675" i="1"/>
  <c r="E11675" i="1"/>
  <c r="H11674" i="1"/>
  <c r="G11674" i="1"/>
  <c r="E11674" i="1"/>
  <c r="H11673" i="1"/>
  <c r="G11673" i="1"/>
  <c r="E11673" i="1"/>
  <c r="H11672" i="1"/>
  <c r="G11672" i="1"/>
  <c r="E11672" i="1"/>
  <c r="H11671" i="1"/>
  <c r="G11671" i="1"/>
  <c r="E11671" i="1"/>
  <c r="H11670" i="1"/>
  <c r="G11670" i="1"/>
  <c r="E11670" i="1"/>
  <c r="H11669" i="1"/>
  <c r="G11669" i="1"/>
  <c r="E11669" i="1"/>
  <c r="H11668" i="1"/>
  <c r="G11668" i="1"/>
  <c r="E11668" i="1"/>
  <c r="H11667" i="1"/>
  <c r="G11667" i="1"/>
  <c r="E11667" i="1"/>
  <c r="H11666" i="1"/>
  <c r="G11666" i="1"/>
  <c r="E11666" i="1"/>
  <c r="H11665" i="1"/>
  <c r="G11665" i="1"/>
  <c r="E11665" i="1"/>
  <c r="H11664" i="1"/>
  <c r="G11664" i="1"/>
  <c r="E11664" i="1"/>
  <c r="H11663" i="1"/>
  <c r="G11663" i="1"/>
  <c r="E11663" i="1"/>
  <c r="H11662" i="1"/>
  <c r="G11662" i="1"/>
  <c r="E11662" i="1"/>
  <c r="H11661" i="1"/>
  <c r="G11661" i="1"/>
  <c r="E11661" i="1"/>
  <c r="H11660" i="1"/>
  <c r="G11660" i="1"/>
  <c r="E11660" i="1"/>
  <c r="H11659" i="1"/>
  <c r="G11659" i="1"/>
  <c r="E11659" i="1"/>
  <c r="H11658" i="1"/>
  <c r="G11658" i="1"/>
  <c r="E11658" i="1"/>
  <c r="H11657" i="1"/>
  <c r="G11657" i="1"/>
  <c r="E11657" i="1"/>
  <c r="H11656" i="1"/>
  <c r="G11656" i="1"/>
  <c r="E11656" i="1"/>
  <c r="H11655" i="1"/>
  <c r="G11655" i="1"/>
  <c r="E11655" i="1"/>
  <c r="H11654" i="1"/>
  <c r="G11654" i="1"/>
  <c r="E11654" i="1"/>
  <c r="H11653" i="1"/>
  <c r="G11653" i="1"/>
  <c r="E11653" i="1"/>
  <c r="H11652" i="1"/>
  <c r="G11652" i="1"/>
  <c r="E11652" i="1"/>
  <c r="H11651" i="1"/>
  <c r="G11651" i="1"/>
  <c r="E11651" i="1"/>
  <c r="H11650" i="1"/>
  <c r="G11650" i="1"/>
  <c r="E11650" i="1"/>
  <c r="H11649" i="1"/>
  <c r="G11649" i="1"/>
  <c r="E11649" i="1"/>
  <c r="H11648" i="1"/>
  <c r="G11648" i="1"/>
  <c r="E11648" i="1"/>
  <c r="H11647" i="1"/>
  <c r="G11647" i="1"/>
  <c r="E11647" i="1"/>
  <c r="H11646" i="1"/>
  <c r="G11646" i="1"/>
  <c r="E11646" i="1"/>
  <c r="H11645" i="1"/>
  <c r="G11645" i="1"/>
  <c r="E11645" i="1"/>
  <c r="H11644" i="1"/>
  <c r="G11644" i="1"/>
  <c r="E11644" i="1"/>
  <c r="H11643" i="1"/>
  <c r="G11643" i="1"/>
  <c r="E11643" i="1"/>
  <c r="H11642" i="1"/>
  <c r="G11642" i="1"/>
  <c r="E11642" i="1"/>
  <c r="H11641" i="1"/>
  <c r="G11641" i="1"/>
  <c r="E11641" i="1"/>
  <c r="H11640" i="1"/>
  <c r="G11640" i="1"/>
  <c r="E11640" i="1"/>
  <c r="H11639" i="1"/>
  <c r="G11639" i="1"/>
  <c r="E11639" i="1"/>
  <c r="H11638" i="1"/>
  <c r="G11638" i="1"/>
  <c r="E11638" i="1"/>
  <c r="H11637" i="1"/>
  <c r="G11637" i="1"/>
  <c r="E11637" i="1"/>
  <c r="H11636" i="1"/>
  <c r="G11636" i="1"/>
  <c r="E11636" i="1"/>
  <c r="H11635" i="1"/>
  <c r="G11635" i="1"/>
  <c r="E11635" i="1"/>
  <c r="H11634" i="1"/>
  <c r="G11634" i="1"/>
  <c r="E11634" i="1"/>
  <c r="H11633" i="1"/>
  <c r="G11633" i="1"/>
  <c r="E11633" i="1"/>
  <c r="H11632" i="1"/>
  <c r="G11632" i="1"/>
  <c r="E11632" i="1"/>
  <c r="H11631" i="1"/>
  <c r="G11631" i="1"/>
  <c r="E11631" i="1"/>
  <c r="H11630" i="1"/>
  <c r="G11630" i="1"/>
  <c r="E11630" i="1"/>
  <c r="H11629" i="1"/>
  <c r="G11629" i="1"/>
  <c r="E11629" i="1"/>
  <c r="H11628" i="1"/>
  <c r="G11628" i="1"/>
  <c r="E11628" i="1"/>
  <c r="H11627" i="1"/>
  <c r="G11627" i="1"/>
  <c r="E11627" i="1"/>
  <c r="H11626" i="1"/>
  <c r="G11626" i="1"/>
  <c r="E11626" i="1"/>
  <c r="H11625" i="1"/>
  <c r="G11625" i="1"/>
  <c r="E11625" i="1"/>
  <c r="H11624" i="1"/>
  <c r="G11624" i="1"/>
  <c r="E11624" i="1"/>
  <c r="H11623" i="1"/>
  <c r="G11623" i="1"/>
  <c r="E11623" i="1"/>
  <c r="H11622" i="1"/>
  <c r="G11622" i="1"/>
  <c r="E11622" i="1"/>
  <c r="H11621" i="1"/>
  <c r="G11621" i="1"/>
  <c r="E11621" i="1"/>
  <c r="H11620" i="1"/>
  <c r="G11620" i="1"/>
  <c r="E11620" i="1"/>
  <c r="H11619" i="1"/>
  <c r="G11619" i="1"/>
  <c r="E11619" i="1"/>
  <c r="H11618" i="1"/>
  <c r="G11618" i="1"/>
  <c r="E11618" i="1"/>
  <c r="H11617" i="1"/>
  <c r="G11617" i="1"/>
  <c r="E11617" i="1"/>
  <c r="H11616" i="1"/>
  <c r="G11616" i="1"/>
  <c r="E11616" i="1"/>
  <c r="H11615" i="1"/>
  <c r="G11615" i="1"/>
  <c r="E11615" i="1"/>
  <c r="H11614" i="1"/>
  <c r="G11614" i="1"/>
  <c r="E11614" i="1"/>
  <c r="H11613" i="1"/>
  <c r="G11613" i="1"/>
  <c r="E11613" i="1"/>
  <c r="H11612" i="1"/>
  <c r="G11612" i="1"/>
  <c r="E11612" i="1"/>
  <c r="H11611" i="1"/>
  <c r="G11611" i="1"/>
  <c r="E11611" i="1"/>
  <c r="H11610" i="1"/>
  <c r="G11610" i="1"/>
  <c r="E11610" i="1"/>
  <c r="H11609" i="1"/>
  <c r="G11609" i="1"/>
  <c r="E11609" i="1"/>
  <c r="H11608" i="1"/>
  <c r="G11608" i="1"/>
  <c r="E11608" i="1"/>
  <c r="H11607" i="1"/>
  <c r="G11607" i="1"/>
  <c r="E11607" i="1"/>
  <c r="H11606" i="1"/>
  <c r="G11606" i="1"/>
  <c r="E11606" i="1"/>
  <c r="H11605" i="1"/>
  <c r="G11605" i="1"/>
  <c r="E11605" i="1"/>
  <c r="H11604" i="1"/>
  <c r="G11604" i="1"/>
  <c r="E11604" i="1"/>
  <c r="H11603" i="1"/>
  <c r="G11603" i="1"/>
  <c r="E11603" i="1"/>
  <c r="H11602" i="1"/>
  <c r="G11602" i="1"/>
  <c r="E11602" i="1"/>
  <c r="H11601" i="1"/>
  <c r="G11601" i="1"/>
  <c r="E11601" i="1"/>
  <c r="H11600" i="1"/>
  <c r="G11600" i="1"/>
  <c r="E11600" i="1"/>
  <c r="H11599" i="1"/>
  <c r="G11599" i="1"/>
  <c r="E11599" i="1"/>
  <c r="H11598" i="1"/>
  <c r="G11598" i="1"/>
  <c r="E11598" i="1"/>
  <c r="H11597" i="1"/>
  <c r="G11597" i="1"/>
  <c r="E11597" i="1"/>
  <c r="H11596" i="1"/>
  <c r="G11596" i="1"/>
  <c r="E11596" i="1"/>
  <c r="H11595" i="1"/>
  <c r="G11595" i="1"/>
  <c r="E11595" i="1"/>
  <c r="H11594" i="1"/>
  <c r="G11594" i="1"/>
  <c r="E11594" i="1"/>
  <c r="H11593" i="1"/>
  <c r="G11593" i="1"/>
  <c r="E11593" i="1"/>
  <c r="H11592" i="1"/>
  <c r="G11592" i="1"/>
  <c r="E11592" i="1"/>
  <c r="H11591" i="1"/>
  <c r="G11591" i="1"/>
  <c r="E11591" i="1"/>
  <c r="H11590" i="1"/>
  <c r="G11590" i="1"/>
  <c r="E11590" i="1"/>
  <c r="H11589" i="1"/>
  <c r="G11589" i="1"/>
  <c r="E11589" i="1"/>
  <c r="H11588" i="1"/>
  <c r="G11588" i="1"/>
  <c r="E11588" i="1"/>
  <c r="H11587" i="1"/>
  <c r="G11587" i="1"/>
  <c r="E11587" i="1"/>
  <c r="H11586" i="1"/>
  <c r="G11586" i="1"/>
  <c r="E11586" i="1"/>
  <c r="H11585" i="1"/>
  <c r="G11585" i="1"/>
  <c r="E11585" i="1"/>
  <c r="H11584" i="1"/>
  <c r="G11584" i="1"/>
  <c r="E11584" i="1"/>
  <c r="H11583" i="1"/>
  <c r="G11583" i="1"/>
  <c r="E11583" i="1"/>
  <c r="H11582" i="1"/>
  <c r="G11582" i="1"/>
  <c r="E11582" i="1"/>
  <c r="H11581" i="1"/>
  <c r="G11581" i="1"/>
  <c r="E11581" i="1"/>
  <c r="H11580" i="1"/>
  <c r="G11580" i="1"/>
  <c r="E11580" i="1"/>
  <c r="H11579" i="1"/>
  <c r="G11579" i="1"/>
  <c r="E11579" i="1"/>
  <c r="H11578" i="1"/>
  <c r="G11578" i="1"/>
  <c r="E11578" i="1"/>
  <c r="H11577" i="1"/>
  <c r="G11577" i="1"/>
  <c r="E11577" i="1"/>
  <c r="H11576" i="1"/>
  <c r="G11576" i="1"/>
  <c r="E11576" i="1"/>
  <c r="H11575" i="1"/>
  <c r="G11575" i="1"/>
  <c r="E11575" i="1"/>
  <c r="H11574" i="1"/>
  <c r="G11574" i="1"/>
  <c r="E11574" i="1"/>
  <c r="H11573" i="1"/>
  <c r="G11573" i="1"/>
  <c r="E11573" i="1"/>
  <c r="H11572" i="1"/>
  <c r="G11572" i="1"/>
  <c r="E11572" i="1"/>
  <c r="H11571" i="1"/>
  <c r="G11571" i="1"/>
  <c r="E11571" i="1"/>
  <c r="H11570" i="1"/>
  <c r="G11570" i="1"/>
  <c r="E11570" i="1"/>
  <c r="H11569" i="1"/>
  <c r="G11569" i="1"/>
  <c r="E11569" i="1"/>
  <c r="H11568" i="1"/>
  <c r="G11568" i="1"/>
  <c r="E11568" i="1"/>
  <c r="H11567" i="1"/>
  <c r="G11567" i="1"/>
  <c r="E11567" i="1"/>
  <c r="H11566" i="1"/>
  <c r="G11566" i="1"/>
  <c r="E11566" i="1"/>
  <c r="H11565" i="1"/>
  <c r="G11565" i="1"/>
  <c r="E11565" i="1"/>
  <c r="H11564" i="1"/>
  <c r="G11564" i="1"/>
  <c r="E11564" i="1"/>
  <c r="H11563" i="1"/>
  <c r="G11563" i="1"/>
  <c r="E11563" i="1"/>
  <c r="H11562" i="1"/>
  <c r="G11562" i="1"/>
  <c r="E11562" i="1"/>
  <c r="H11561" i="1"/>
  <c r="G11561" i="1"/>
  <c r="E11561" i="1"/>
  <c r="H11560" i="1"/>
  <c r="G11560" i="1"/>
  <c r="E11560" i="1"/>
  <c r="H11559" i="1"/>
  <c r="G11559" i="1"/>
  <c r="E11559" i="1"/>
  <c r="H11558" i="1"/>
  <c r="G11558" i="1"/>
  <c r="E11558" i="1"/>
  <c r="H11557" i="1"/>
  <c r="G11557" i="1"/>
  <c r="E11557" i="1"/>
  <c r="H11556" i="1"/>
  <c r="G11556" i="1"/>
  <c r="E11556" i="1"/>
  <c r="H11555" i="1"/>
  <c r="G11555" i="1"/>
  <c r="E11555" i="1"/>
  <c r="H11554" i="1"/>
  <c r="G11554" i="1"/>
  <c r="E11554" i="1"/>
  <c r="H11553" i="1"/>
  <c r="G11553" i="1"/>
  <c r="E11553" i="1"/>
  <c r="H11552" i="1"/>
  <c r="G11552" i="1"/>
  <c r="E11552" i="1"/>
  <c r="H11551" i="1"/>
  <c r="G11551" i="1"/>
  <c r="E11551" i="1"/>
  <c r="H11550" i="1"/>
  <c r="G11550" i="1"/>
  <c r="E11550" i="1"/>
  <c r="H11549" i="1"/>
  <c r="G11549" i="1"/>
  <c r="E11549" i="1"/>
  <c r="H11548" i="1"/>
  <c r="G11548" i="1"/>
  <c r="E11548" i="1"/>
  <c r="H11547" i="1"/>
  <c r="G11547" i="1"/>
  <c r="E11547" i="1"/>
  <c r="H11546" i="1"/>
  <c r="G11546" i="1"/>
  <c r="E11546" i="1"/>
  <c r="H11545" i="1"/>
  <c r="G11545" i="1"/>
  <c r="E11545" i="1"/>
  <c r="H11544" i="1"/>
  <c r="G11544" i="1"/>
  <c r="E11544" i="1"/>
  <c r="H11543" i="1"/>
  <c r="G11543" i="1"/>
  <c r="E11543" i="1"/>
  <c r="H11542" i="1"/>
  <c r="G11542" i="1"/>
  <c r="E11542" i="1"/>
  <c r="H11541" i="1"/>
  <c r="G11541" i="1"/>
  <c r="E11541" i="1"/>
  <c r="H11540" i="1"/>
  <c r="G11540" i="1"/>
  <c r="E11540" i="1"/>
  <c r="H11539" i="1"/>
  <c r="G11539" i="1"/>
  <c r="E11539" i="1"/>
  <c r="H11538" i="1"/>
  <c r="G11538" i="1"/>
  <c r="E11538" i="1"/>
  <c r="H11537" i="1"/>
  <c r="G11537" i="1"/>
  <c r="E11537" i="1"/>
  <c r="H11536" i="1"/>
  <c r="G11536" i="1"/>
  <c r="E11536" i="1"/>
  <c r="H11535" i="1"/>
  <c r="G11535" i="1"/>
  <c r="E11535" i="1"/>
  <c r="H11534" i="1"/>
  <c r="G11534" i="1"/>
  <c r="E11534" i="1"/>
  <c r="H11533" i="1"/>
  <c r="G11533" i="1"/>
  <c r="E11533" i="1"/>
  <c r="H11532" i="1"/>
  <c r="G11532" i="1"/>
  <c r="E11532" i="1"/>
  <c r="H11531" i="1"/>
  <c r="G11531" i="1"/>
  <c r="E11531" i="1"/>
  <c r="H11530" i="1"/>
  <c r="G11530" i="1"/>
  <c r="E11530" i="1"/>
  <c r="H11529" i="1"/>
  <c r="G11529" i="1"/>
  <c r="E11529" i="1"/>
  <c r="H11528" i="1"/>
  <c r="G11528" i="1"/>
  <c r="E11528" i="1"/>
  <c r="H11527" i="1"/>
  <c r="G11527" i="1"/>
  <c r="E11527" i="1"/>
  <c r="H11526" i="1"/>
  <c r="G11526" i="1"/>
  <c r="E11526" i="1"/>
  <c r="H11525" i="1"/>
  <c r="G11525" i="1"/>
  <c r="E11525" i="1"/>
  <c r="H11524" i="1"/>
  <c r="G11524" i="1"/>
  <c r="E11524" i="1"/>
  <c r="H11523" i="1"/>
  <c r="G11523" i="1"/>
  <c r="E11523" i="1"/>
  <c r="H11522" i="1"/>
  <c r="G11522" i="1"/>
  <c r="E11522" i="1"/>
  <c r="H11521" i="1"/>
  <c r="G11521" i="1"/>
  <c r="E11521" i="1"/>
  <c r="H11520" i="1"/>
  <c r="G11520" i="1"/>
  <c r="E11520" i="1"/>
  <c r="H11519" i="1"/>
  <c r="G11519" i="1"/>
  <c r="E11519" i="1"/>
  <c r="H11518" i="1"/>
  <c r="G11518" i="1"/>
  <c r="E11518" i="1"/>
  <c r="H11517" i="1"/>
  <c r="G11517" i="1"/>
  <c r="E11517" i="1"/>
  <c r="H11516" i="1"/>
  <c r="G11516" i="1"/>
  <c r="E11516" i="1"/>
  <c r="H11515" i="1"/>
  <c r="G11515" i="1"/>
  <c r="E11515" i="1"/>
  <c r="H11514" i="1"/>
  <c r="G11514" i="1"/>
  <c r="E11514" i="1"/>
  <c r="H11513" i="1"/>
  <c r="G11513" i="1"/>
  <c r="E11513" i="1"/>
  <c r="H11512" i="1"/>
  <c r="G11512" i="1"/>
  <c r="E11512" i="1"/>
  <c r="H11511" i="1"/>
  <c r="G11511" i="1"/>
  <c r="E11511" i="1"/>
  <c r="H11510" i="1"/>
  <c r="G11510" i="1"/>
  <c r="E11510" i="1"/>
  <c r="H11509" i="1"/>
  <c r="G11509" i="1"/>
  <c r="E11509" i="1"/>
  <c r="H11508" i="1"/>
  <c r="G11508" i="1"/>
  <c r="E11508" i="1"/>
  <c r="H11507" i="1"/>
  <c r="G11507" i="1"/>
  <c r="E11507" i="1"/>
  <c r="H11506" i="1"/>
  <c r="G11506" i="1"/>
  <c r="E11506" i="1"/>
  <c r="H11505" i="1"/>
  <c r="G11505" i="1"/>
  <c r="E11505" i="1"/>
  <c r="H11504" i="1"/>
  <c r="G11504" i="1"/>
  <c r="E11504" i="1"/>
  <c r="H11503" i="1"/>
  <c r="G11503" i="1"/>
  <c r="E11503" i="1"/>
  <c r="H11502" i="1"/>
  <c r="G11502" i="1"/>
  <c r="E11502" i="1"/>
  <c r="H11501" i="1"/>
  <c r="G11501" i="1"/>
  <c r="E11501" i="1"/>
  <c r="H11500" i="1"/>
  <c r="G11500" i="1"/>
  <c r="E11500" i="1"/>
  <c r="H11499" i="1"/>
  <c r="G11499" i="1"/>
  <c r="E11499" i="1"/>
  <c r="H11498" i="1"/>
  <c r="G11498" i="1"/>
  <c r="E11498" i="1"/>
  <c r="H11497" i="1"/>
  <c r="G11497" i="1"/>
  <c r="E11497" i="1"/>
  <c r="H11496" i="1"/>
  <c r="G11496" i="1"/>
  <c r="E11496" i="1"/>
  <c r="H11495" i="1"/>
  <c r="G11495" i="1"/>
  <c r="E11495" i="1"/>
  <c r="H11494" i="1"/>
  <c r="G11494" i="1"/>
  <c r="E11494" i="1"/>
  <c r="H11493" i="1"/>
  <c r="G11493" i="1"/>
  <c r="E11493" i="1"/>
  <c r="H11492" i="1"/>
  <c r="G11492" i="1"/>
  <c r="E11492" i="1"/>
  <c r="H11491" i="1"/>
  <c r="G11491" i="1"/>
  <c r="E11491" i="1"/>
  <c r="H11490" i="1"/>
  <c r="G11490" i="1"/>
  <c r="E11490" i="1"/>
  <c r="H11489" i="1"/>
  <c r="G11489" i="1"/>
  <c r="E11489" i="1"/>
  <c r="H11488" i="1"/>
  <c r="G11488" i="1"/>
  <c r="E11488" i="1"/>
  <c r="H11487" i="1"/>
  <c r="G11487" i="1"/>
  <c r="E11487" i="1"/>
  <c r="H11486" i="1"/>
  <c r="G11486" i="1"/>
  <c r="E11486" i="1"/>
  <c r="H11485" i="1"/>
  <c r="G11485" i="1"/>
  <c r="E11485" i="1"/>
  <c r="H11484" i="1"/>
  <c r="G11484" i="1"/>
  <c r="E11484" i="1"/>
  <c r="H11483" i="1"/>
  <c r="G11483" i="1"/>
  <c r="E11483" i="1"/>
  <c r="H11482" i="1"/>
  <c r="G11482" i="1"/>
  <c r="E11482" i="1"/>
  <c r="H11481" i="1"/>
  <c r="G11481" i="1"/>
  <c r="E11481" i="1"/>
  <c r="H11480" i="1"/>
  <c r="G11480" i="1"/>
  <c r="E11480" i="1"/>
  <c r="H11479" i="1"/>
  <c r="G11479" i="1"/>
  <c r="E11479" i="1"/>
  <c r="H11478" i="1"/>
  <c r="G11478" i="1"/>
  <c r="E11478" i="1"/>
  <c r="H11477" i="1"/>
  <c r="G11477" i="1"/>
  <c r="E11477" i="1"/>
  <c r="H11476" i="1"/>
  <c r="G11476" i="1"/>
  <c r="E11476" i="1"/>
  <c r="H11475" i="1"/>
  <c r="G11475" i="1"/>
  <c r="E11475" i="1"/>
  <c r="H11474" i="1"/>
  <c r="G11474" i="1"/>
  <c r="E11474" i="1"/>
  <c r="H11473" i="1"/>
  <c r="G11473" i="1"/>
  <c r="E11473" i="1"/>
  <c r="H11472" i="1"/>
  <c r="G11472" i="1"/>
  <c r="E11472" i="1"/>
  <c r="H11471" i="1"/>
  <c r="G11471" i="1"/>
  <c r="E11471" i="1"/>
  <c r="H11470" i="1"/>
  <c r="G11470" i="1"/>
  <c r="E11470" i="1"/>
  <c r="H11469" i="1"/>
  <c r="G11469" i="1"/>
  <c r="E11469" i="1"/>
  <c r="H11468" i="1"/>
  <c r="G11468" i="1"/>
  <c r="E11468" i="1"/>
  <c r="H11467" i="1"/>
  <c r="G11467" i="1"/>
  <c r="E11467" i="1"/>
  <c r="H11466" i="1"/>
  <c r="G11466" i="1"/>
  <c r="E11466" i="1"/>
  <c r="H11465" i="1"/>
  <c r="G11465" i="1"/>
  <c r="E11465" i="1"/>
  <c r="H11464" i="1"/>
  <c r="G11464" i="1"/>
  <c r="E11464" i="1"/>
  <c r="H11463" i="1"/>
  <c r="G11463" i="1"/>
  <c r="E11463" i="1"/>
  <c r="H11462" i="1"/>
  <c r="G11462" i="1"/>
  <c r="E11462" i="1"/>
  <c r="H11461" i="1"/>
  <c r="G11461" i="1"/>
  <c r="E11461" i="1"/>
  <c r="H11460" i="1"/>
  <c r="G11460" i="1"/>
  <c r="E11460" i="1"/>
  <c r="H11459" i="1"/>
  <c r="G11459" i="1"/>
  <c r="E11459" i="1"/>
  <c r="H11458" i="1"/>
  <c r="G11458" i="1"/>
  <c r="E11458" i="1"/>
  <c r="H11457" i="1"/>
  <c r="G11457" i="1"/>
  <c r="E11457" i="1"/>
  <c r="H11456" i="1"/>
  <c r="G11456" i="1"/>
  <c r="E11456" i="1"/>
  <c r="H11455" i="1"/>
  <c r="G11455" i="1"/>
  <c r="E11455" i="1"/>
  <c r="H11454" i="1"/>
  <c r="G11454" i="1"/>
  <c r="E11454" i="1"/>
  <c r="H11453" i="1"/>
  <c r="G11453" i="1"/>
  <c r="E11453" i="1"/>
  <c r="H11452" i="1"/>
  <c r="G11452" i="1"/>
  <c r="E11452" i="1"/>
  <c r="H11451" i="1"/>
  <c r="G11451" i="1"/>
  <c r="E11451" i="1"/>
  <c r="H11450" i="1"/>
  <c r="G11450" i="1"/>
  <c r="E11450" i="1"/>
  <c r="H11449" i="1"/>
  <c r="G11449" i="1"/>
  <c r="E11449" i="1"/>
  <c r="H11448" i="1"/>
  <c r="G11448" i="1"/>
  <c r="E11448" i="1"/>
  <c r="H11447" i="1"/>
  <c r="G11447" i="1"/>
  <c r="E11447" i="1"/>
  <c r="H11446" i="1"/>
  <c r="G11446" i="1"/>
  <c r="E11446" i="1"/>
  <c r="H11445" i="1"/>
  <c r="G11445" i="1"/>
  <c r="E11445" i="1"/>
  <c r="H11444" i="1"/>
  <c r="G11444" i="1"/>
  <c r="E11444" i="1"/>
  <c r="H11443" i="1"/>
  <c r="G11443" i="1"/>
  <c r="E11443" i="1"/>
  <c r="H11442" i="1"/>
  <c r="G11442" i="1"/>
  <c r="E11442" i="1"/>
  <c r="H11441" i="1"/>
  <c r="G11441" i="1"/>
  <c r="E11441" i="1"/>
  <c r="H11440" i="1"/>
  <c r="G11440" i="1"/>
  <c r="E11440" i="1"/>
  <c r="H11439" i="1"/>
  <c r="G11439" i="1"/>
  <c r="E11439" i="1"/>
  <c r="H11438" i="1"/>
  <c r="G11438" i="1"/>
  <c r="E11438" i="1"/>
  <c r="H11437" i="1"/>
  <c r="G11437" i="1"/>
  <c r="E11437" i="1"/>
  <c r="H11436" i="1"/>
  <c r="G11436" i="1"/>
  <c r="E11436" i="1"/>
  <c r="H11435" i="1"/>
  <c r="G11435" i="1"/>
  <c r="E11435" i="1"/>
  <c r="H11434" i="1"/>
  <c r="G11434" i="1"/>
  <c r="E11434" i="1"/>
  <c r="H11433" i="1"/>
  <c r="G11433" i="1"/>
  <c r="E11433" i="1"/>
  <c r="H11432" i="1"/>
  <c r="G11432" i="1"/>
  <c r="E11432" i="1"/>
  <c r="H11431" i="1"/>
  <c r="G11431" i="1"/>
  <c r="E11431" i="1"/>
  <c r="H11430" i="1"/>
  <c r="G11430" i="1"/>
  <c r="E11430" i="1"/>
  <c r="H11429" i="1"/>
  <c r="G11429" i="1"/>
  <c r="E11429" i="1"/>
  <c r="H11428" i="1"/>
  <c r="G11428" i="1"/>
  <c r="E11428" i="1"/>
  <c r="H11427" i="1"/>
  <c r="G11427" i="1"/>
  <c r="E11427" i="1"/>
  <c r="H11426" i="1"/>
  <c r="G11426" i="1"/>
  <c r="E11426" i="1"/>
  <c r="H11425" i="1"/>
  <c r="G11425" i="1"/>
  <c r="E11425" i="1"/>
  <c r="H11424" i="1"/>
  <c r="G11424" i="1"/>
  <c r="E11424" i="1"/>
  <c r="H11423" i="1"/>
  <c r="G11423" i="1"/>
  <c r="E11423" i="1"/>
  <c r="H11422" i="1"/>
  <c r="G11422" i="1"/>
  <c r="E11422" i="1"/>
  <c r="H11421" i="1"/>
  <c r="G11421" i="1"/>
  <c r="E11421" i="1"/>
  <c r="H11420" i="1"/>
  <c r="G11420" i="1"/>
  <c r="E11420" i="1"/>
  <c r="H11419" i="1"/>
  <c r="G11419" i="1"/>
  <c r="E11419" i="1"/>
  <c r="H11418" i="1"/>
  <c r="G11418" i="1"/>
  <c r="E11418" i="1"/>
  <c r="H11417" i="1"/>
  <c r="G11417" i="1"/>
  <c r="E11417" i="1"/>
  <c r="H11416" i="1"/>
  <c r="G11416" i="1"/>
  <c r="E11416" i="1"/>
  <c r="H11415" i="1"/>
  <c r="G11415" i="1"/>
  <c r="E11415" i="1"/>
  <c r="H11414" i="1"/>
  <c r="G11414" i="1"/>
  <c r="E11414" i="1"/>
  <c r="H11413" i="1"/>
  <c r="G11413" i="1"/>
  <c r="E11413" i="1"/>
  <c r="H11412" i="1"/>
  <c r="G11412" i="1"/>
  <c r="E11412" i="1"/>
  <c r="H11411" i="1"/>
  <c r="G11411" i="1"/>
  <c r="E11411" i="1"/>
  <c r="H11410" i="1"/>
  <c r="G11410" i="1"/>
  <c r="E11410" i="1"/>
  <c r="H11409" i="1"/>
  <c r="G11409" i="1"/>
  <c r="E11409" i="1"/>
  <c r="H11408" i="1"/>
  <c r="G11408" i="1"/>
  <c r="E11408" i="1"/>
  <c r="H11407" i="1"/>
  <c r="G11407" i="1"/>
  <c r="E11407" i="1"/>
  <c r="H11406" i="1"/>
  <c r="G11406" i="1"/>
  <c r="E11406" i="1"/>
  <c r="H11405" i="1"/>
  <c r="G11405" i="1"/>
  <c r="E11405" i="1"/>
  <c r="H11404" i="1"/>
  <c r="G11404" i="1"/>
  <c r="E11404" i="1"/>
  <c r="H11403" i="1"/>
  <c r="G11403" i="1"/>
  <c r="E11403" i="1"/>
  <c r="H11402" i="1"/>
  <c r="G11402" i="1"/>
  <c r="E11402" i="1"/>
  <c r="H11401" i="1"/>
  <c r="G11401" i="1"/>
  <c r="E11401" i="1"/>
  <c r="H11400" i="1"/>
  <c r="G11400" i="1"/>
  <c r="E11400" i="1"/>
  <c r="H11399" i="1"/>
  <c r="G11399" i="1"/>
  <c r="E11399" i="1"/>
  <c r="H11398" i="1"/>
  <c r="G11398" i="1"/>
  <c r="E11398" i="1"/>
  <c r="H11397" i="1"/>
  <c r="G11397" i="1"/>
  <c r="E11397" i="1"/>
  <c r="H11396" i="1"/>
  <c r="G11396" i="1"/>
  <c r="E11396" i="1"/>
  <c r="H11395" i="1"/>
  <c r="G11395" i="1"/>
  <c r="E11395" i="1"/>
  <c r="H11394" i="1"/>
  <c r="G11394" i="1"/>
  <c r="E11394" i="1"/>
  <c r="H11393" i="1"/>
  <c r="G11393" i="1"/>
  <c r="E11393" i="1"/>
  <c r="H11392" i="1"/>
  <c r="G11392" i="1"/>
  <c r="E11392" i="1"/>
  <c r="H11391" i="1"/>
  <c r="G11391" i="1"/>
  <c r="E11391" i="1"/>
  <c r="H11390" i="1"/>
  <c r="G11390" i="1"/>
  <c r="E11390" i="1"/>
  <c r="H11389" i="1"/>
  <c r="G11389" i="1"/>
  <c r="E11389" i="1"/>
  <c r="H11388" i="1"/>
  <c r="G11388" i="1"/>
  <c r="E11388" i="1"/>
  <c r="H11387" i="1"/>
  <c r="G11387" i="1"/>
  <c r="E11387" i="1"/>
  <c r="H11386" i="1"/>
  <c r="G11386" i="1"/>
  <c r="E11386" i="1"/>
  <c r="H11385" i="1"/>
  <c r="G11385" i="1"/>
  <c r="E11385" i="1"/>
  <c r="H11384" i="1"/>
  <c r="G11384" i="1"/>
  <c r="E11384" i="1"/>
  <c r="H11383" i="1"/>
  <c r="G11383" i="1"/>
  <c r="E11383" i="1"/>
  <c r="H11382" i="1"/>
  <c r="G11382" i="1"/>
  <c r="E11382" i="1"/>
  <c r="H11381" i="1"/>
  <c r="G11381" i="1"/>
  <c r="E11381" i="1"/>
  <c r="H11380" i="1"/>
  <c r="G11380" i="1"/>
  <c r="E11380" i="1"/>
  <c r="H11379" i="1"/>
  <c r="G11379" i="1"/>
  <c r="E11379" i="1"/>
  <c r="H11378" i="1"/>
  <c r="G11378" i="1"/>
  <c r="E11378" i="1"/>
  <c r="H11377" i="1"/>
  <c r="G11377" i="1"/>
  <c r="E11377" i="1"/>
  <c r="H11376" i="1"/>
  <c r="G11376" i="1"/>
  <c r="E11376" i="1"/>
  <c r="H11375" i="1"/>
  <c r="G11375" i="1"/>
  <c r="E11375" i="1"/>
  <c r="H11374" i="1"/>
  <c r="G11374" i="1"/>
  <c r="E11374" i="1"/>
  <c r="H11373" i="1"/>
  <c r="G11373" i="1"/>
  <c r="E11373" i="1"/>
  <c r="H11372" i="1"/>
  <c r="G11372" i="1"/>
  <c r="E11372" i="1"/>
  <c r="H11371" i="1"/>
  <c r="G11371" i="1"/>
  <c r="E11371" i="1"/>
  <c r="H11370" i="1"/>
  <c r="G11370" i="1"/>
  <c r="E11370" i="1"/>
  <c r="H11369" i="1"/>
  <c r="G11369" i="1"/>
  <c r="E11369" i="1"/>
  <c r="H11368" i="1"/>
  <c r="G11368" i="1"/>
  <c r="E11368" i="1"/>
  <c r="H11367" i="1"/>
  <c r="G11367" i="1"/>
  <c r="E11367" i="1"/>
  <c r="H11366" i="1"/>
  <c r="G11366" i="1"/>
  <c r="E11366" i="1"/>
  <c r="H11365" i="1"/>
  <c r="G11365" i="1"/>
  <c r="E11365" i="1"/>
  <c r="H11364" i="1"/>
  <c r="G11364" i="1"/>
  <c r="E11364" i="1"/>
  <c r="H11363" i="1"/>
  <c r="G11363" i="1"/>
  <c r="E11363" i="1"/>
  <c r="H11362" i="1"/>
  <c r="G11362" i="1"/>
  <c r="E11362" i="1"/>
  <c r="H11361" i="1"/>
  <c r="G11361" i="1"/>
  <c r="E11361" i="1"/>
  <c r="H11360" i="1"/>
  <c r="G11360" i="1"/>
  <c r="E11360" i="1"/>
  <c r="H11359" i="1"/>
  <c r="G11359" i="1"/>
  <c r="E11359" i="1"/>
  <c r="H11358" i="1"/>
  <c r="G11358" i="1"/>
  <c r="E11358" i="1"/>
  <c r="H11357" i="1"/>
  <c r="G11357" i="1"/>
  <c r="E11357" i="1"/>
  <c r="H11356" i="1"/>
  <c r="G11356" i="1"/>
  <c r="E11356" i="1"/>
  <c r="H11355" i="1"/>
  <c r="G11355" i="1"/>
  <c r="E11355" i="1"/>
  <c r="H11354" i="1"/>
  <c r="G11354" i="1"/>
  <c r="E11354" i="1"/>
  <c r="H11353" i="1"/>
  <c r="G11353" i="1"/>
  <c r="E11353" i="1"/>
  <c r="H11352" i="1"/>
  <c r="G11352" i="1"/>
  <c r="E11352" i="1"/>
  <c r="H11351" i="1"/>
  <c r="G11351" i="1"/>
  <c r="E11351" i="1"/>
  <c r="H11350" i="1"/>
  <c r="G11350" i="1"/>
  <c r="E11350" i="1"/>
  <c r="H11349" i="1"/>
  <c r="G11349" i="1"/>
  <c r="E11349" i="1"/>
  <c r="H11348" i="1"/>
  <c r="G11348" i="1"/>
  <c r="E11348" i="1"/>
  <c r="H11347" i="1"/>
  <c r="G11347" i="1"/>
  <c r="E11347" i="1"/>
  <c r="H11346" i="1"/>
  <c r="G11346" i="1"/>
  <c r="E11346" i="1"/>
  <c r="H11345" i="1"/>
  <c r="G11345" i="1"/>
  <c r="E11345" i="1"/>
  <c r="H11344" i="1"/>
  <c r="G11344" i="1"/>
  <c r="E11344" i="1"/>
  <c r="H11343" i="1"/>
  <c r="G11343" i="1"/>
  <c r="E11343" i="1"/>
  <c r="H11342" i="1"/>
  <c r="G11342" i="1"/>
  <c r="E11342" i="1"/>
  <c r="H11341" i="1"/>
  <c r="G11341" i="1"/>
  <c r="E11341" i="1"/>
  <c r="H11340" i="1"/>
  <c r="G11340" i="1"/>
  <c r="E11340" i="1"/>
  <c r="H11339" i="1"/>
  <c r="G11339" i="1"/>
  <c r="E11339" i="1"/>
  <c r="H11338" i="1"/>
  <c r="G11338" i="1"/>
  <c r="E11338" i="1"/>
  <c r="H11337" i="1"/>
  <c r="G11337" i="1"/>
  <c r="E11337" i="1"/>
  <c r="H11336" i="1"/>
  <c r="G11336" i="1"/>
  <c r="E11336" i="1"/>
  <c r="H11335" i="1"/>
  <c r="G11335" i="1"/>
  <c r="E11335" i="1"/>
  <c r="H11334" i="1"/>
  <c r="G11334" i="1"/>
  <c r="E11334" i="1"/>
  <c r="H11333" i="1"/>
  <c r="G11333" i="1"/>
  <c r="E11333" i="1"/>
  <c r="H11332" i="1"/>
  <c r="G11332" i="1"/>
  <c r="E11332" i="1"/>
  <c r="H11331" i="1"/>
  <c r="G11331" i="1"/>
  <c r="E11331" i="1"/>
  <c r="H11330" i="1"/>
  <c r="G11330" i="1"/>
  <c r="E11330" i="1"/>
  <c r="H11329" i="1"/>
  <c r="G11329" i="1"/>
  <c r="E11329" i="1"/>
  <c r="H11328" i="1"/>
  <c r="G11328" i="1"/>
  <c r="E11328" i="1"/>
  <c r="H11327" i="1"/>
  <c r="G11327" i="1"/>
  <c r="E11327" i="1"/>
  <c r="H11326" i="1"/>
  <c r="G11326" i="1"/>
  <c r="E11326" i="1"/>
  <c r="H11325" i="1"/>
  <c r="G11325" i="1"/>
  <c r="E11325" i="1"/>
  <c r="H11324" i="1"/>
  <c r="G11324" i="1"/>
  <c r="E11324" i="1"/>
  <c r="H11323" i="1"/>
  <c r="G11323" i="1"/>
  <c r="E11323" i="1"/>
  <c r="H11322" i="1"/>
  <c r="G11322" i="1"/>
  <c r="E11322" i="1"/>
  <c r="H11321" i="1"/>
  <c r="G11321" i="1"/>
  <c r="E11321" i="1"/>
  <c r="H11320" i="1"/>
  <c r="G11320" i="1"/>
  <c r="E11320" i="1"/>
  <c r="H11319" i="1"/>
  <c r="G11319" i="1"/>
  <c r="E11319" i="1"/>
  <c r="H11318" i="1"/>
  <c r="G11318" i="1"/>
  <c r="E11318" i="1"/>
  <c r="H11317" i="1"/>
  <c r="G11317" i="1"/>
  <c r="E11317" i="1"/>
  <c r="H11316" i="1"/>
  <c r="G11316" i="1"/>
  <c r="E11316" i="1"/>
  <c r="H11315" i="1"/>
  <c r="G11315" i="1"/>
  <c r="E11315" i="1"/>
  <c r="H11314" i="1"/>
  <c r="G11314" i="1"/>
  <c r="E11314" i="1"/>
  <c r="H11313" i="1"/>
  <c r="G11313" i="1"/>
  <c r="E11313" i="1"/>
  <c r="H11312" i="1"/>
  <c r="G11312" i="1"/>
  <c r="E11312" i="1"/>
  <c r="H11311" i="1"/>
  <c r="G11311" i="1"/>
  <c r="E11311" i="1"/>
  <c r="H11310" i="1"/>
  <c r="G11310" i="1"/>
  <c r="E11310" i="1"/>
  <c r="H11309" i="1"/>
  <c r="G11309" i="1"/>
  <c r="E11309" i="1"/>
  <c r="H11308" i="1"/>
  <c r="G11308" i="1"/>
  <c r="E11308" i="1"/>
  <c r="H11307" i="1"/>
  <c r="G11307" i="1"/>
  <c r="E11307" i="1"/>
  <c r="H11306" i="1"/>
  <c r="G11306" i="1"/>
  <c r="E11306" i="1"/>
  <c r="H11305" i="1"/>
  <c r="G11305" i="1"/>
  <c r="E11305" i="1"/>
  <c r="H11304" i="1"/>
  <c r="G11304" i="1"/>
  <c r="E11304" i="1"/>
  <c r="H11303" i="1"/>
  <c r="G11303" i="1"/>
  <c r="E11303" i="1"/>
  <c r="H11302" i="1"/>
  <c r="G11302" i="1"/>
  <c r="E11302" i="1"/>
  <c r="H11301" i="1"/>
  <c r="G11301" i="1"/>
  <c r="E11301" i="1"/>
  <c r="H11300" i="1"/>
  <c r="G11300" i="1"/>
  <c r="E11300" i="1"/>
  <c r="H11299" i="1"/>
  <c r="G11299" i="1"/>
  <c r="E11299" i="1"/>
  <c r="H11298" i="1"/>
  <c r="G11298" i="1"/>
  <c r="E11298" i="1"/>
  <c r="H11297" i="1"/>
  <c r="G11297" i="1"/>
  <c r="E11297" i="1"/>
  <c r="H11296" i="1"/>
  <c r="G11296" i="1"/>
  <c r="E11296" i="1"/>
  <c r="H11295" i="1"/>
  <c r="G11295" i="1"/>
  <c r="E11295" i="1"/>
  <c r="H11294" i="1"/>
  <c r="G11294" i="1"/>
  <c r="E11294" i="1"/>
  <c r="H11293" i="1"/>
  <c r="G11293" i="1"/>
  <c r="E11293" i="1"/>
  <c r="H11292" i="1"/>
  <c r="G11292" i="1"/>
  <c r="E11292" i="1"/>
  <c r="H11291" i="1"/>
  <c r="G11291" i="1"/>
  <c r="E11291" i="1"/>
  <c r="H11290" i="1"/>
  <c r="G11290" i="1"/>
  <c r="E11290" i="1"/>
  <c r="H11289" i="1"/>
  <c r="G11289" i="1"/>
  <c r="E11289" i="1"/>
  <c r="H11288" i="1"/>
  <c r="G11288" i="1"/>
  <c r="E11288" i="1"/>
  <c r="H11287" i="1"/>
  <c r="G11287" i="1"/>
  <c r="E11287" i="1"/>
  <c r="H11286" i="1"/>
  <c r="G11286" i="1"/>
  <c r="E11286" i="1"/>
  <c r="H11285" i="1"/>
  <c r="G11285" i="1"/>
  <c r="E11285" i="1"/>
  <c r="H11284" i="1"/>
  <c r="G11284" i="1"/>
  <c r="E11284" i="1"/>
  <c r="H11283" i="1"/>
  <c r="G11283" i="1"/>
  <c r="E11283" i="1"/>
  <c r="H11282" i="1"/>
  <c r="G11282" i="1"/>
  <c r="E11282" i="1"/>
  <c r="H11281" i="1"/>
  <c r="G11281" i="1"/>
  <c r="E11281" i="1"/>
  <c r="H11280" i="1"/>
  <c r="G11280" i="1"/>
  <c r="E11280" i="1"/>
  <c r="H11279" i="1"/>
  <c r="G11279" i="1"/>
  <c r="E11279" i="1"/>
  <c r="H11278" i="1"/>
  <c r="G11278" i="1"/>
  <c r="E11278" i="1"/>
  <c r="H11277" i="1"/>
  <c r="G11277" i="1"/>
  <c r="E11277" i="1"/>
  <c r="H11276" i="1"/>
  <c r="G11276" i="1"/>
  <c r="E11276" i="1"/>
  <c r="H11275" i="1"/>
  <c r="G11275" i="1"/>
  <c r="E11275" i="1"/>
  <c r="H11274" i="1"/>
  <c r="G11274" i="1"/>
  <c r="E11274" i="1"/>
  <c r="H11273" i="1"/>
  <c r="G11273" i="1"/>
  <c r="E11273" i="1"/>
  <c r="H11272" i="1"/>
  <c r="G11272" i="1"/>
  <c r="E11272" i="1"/>
  <c r="H11271" i="1"/>
  <c r="G11271" i="1"/>
  <c r="E11271" i="1"/>
  <c r="H11270" i="1"/>
  <c r="G11270" i="1"/>
  <c r="E11270" i="1"/>
  <c r="H11269" i="1"/>
  <c r="G11269" i="1"/>
  <c r="E11269" i="1"/>
  <c r="H11268" i="1"/>
  <c r="G11268" i="1"/>
  <c r="E11268" i="1"/>
  <c r="H11267" i="1"/>
  <c r="G11267" i="1"/>
  <c r="E11267" i="1"/>
  <c r="H11266" i="1"/>
  <c r="G11266" i="1"/>
  <c r="E11266" i="1"/>
  <c r="H11265" i="1"/>
  <c r="G11265" i="1"/>
  <c r="E11265" i="1"/>
  <c r="H11264" i="1"/>
  <c r="G11264" i="1"/>
  <c r="E11264" i="1"/>
  <c r="H11263" i="1"/>
  <c r="G11263" i="1"/>
  <c r="E11263" i="1"/>
  <c r="H11262" i="1"/>
  <c r="G11262" i="1"/>
  <c r="E11262" i="1"/>
  <c r="H11261" i="1"/>
  <c r="G11261" i="1"/>
  <c r="E11261" i="1"/>
  <c r="H11260" i="1"/>
  <c r="G11260" i="1"/>
  <c r="E11260" i="1"/>
  <c r="H11259" i="1"/>
  <c r="G11259" i="1"/>
  <c r="E11259" i="1"/>
  <c r="H11258" i="1"/>
  <c r="G11258" i="1"/>
  <c r="E11258" i="1"/>
  <c r="H11257" i="1"/>
  <c r="G11257" i="1"/>
  <c r="E11257" i="1"/>
  <c r="H11256" i="1"/>
  <c r="G11256" i="1"/>
  <c r="E11256" i="1"/>
  <c r="H11255" i="1"/>
  <c r="G11255" i="1"/>
  <c r="E11255" i="1"/>
  <c r="H11254" i="1"/>
  <c r="G11254" i="1"/>
  <c r="E11254" i="1"/>
  <c r="H11253" i="1"/>
  <c r="G11253" i="1"/>
  <c r="E11253" i="1"/>
  <c r="H11252" i="1"/>
  <c r="G11252" i="1"/>
  <c r="E11252" i="1"/>
  <c r="H11251" i="1"/>
  <c r="G11251" i="1"/>
  <c r="E11251" i="1"/>
  <c r="H11250" i="1"/>
  <c r="G11250" i="1"/>
  <c r="E11250" i="1"/>
  <c r="H11249" i="1"/>
  <c r="G11249" i="1"/>
  <c r="E11249" i="1"/>
  <c r="H11248" i="1"/>
  <c r="G11248" i="1"/>
  <c r="E11248" i="1"/>
  <c r="H11247" i="1"/>
  <c r="G11247" i="1"/>
  <c r="E11247" i="1"/>
  <c r="H11246" i="1"/>
  <c r="G11246" i="1"/>
  <c r="E11246" i="1"/>
  <c r="H11245" i="1"/>
  <c r="G11245" i="1"/>
  <c r="E11245" i="1"/>
  <c r="H11244" i="1"/>
  <c r="G11244" i="1"/>
  <c r="E11244" i="1"/>
  <c r="H11243" i="1"/>
  <c r="G11243" i="1"/>
  <c r="E11243" i="1"/>
  <c r="H11242" i="1"/>
  <c r="G11242" i="1"/>
  <c r="E11242" i="1"/>
  <c r="H11241" i="1"/>
  <c r="G11241" i="1"/>
  <c r="E11241" i="1"/>
  <c r="H11240" i="1"/>
  <c r="G11240" i="1"/>
  <c r="E11240" i="1"/>
  <c r="H11239" i="1"/>
  <c r="G11239" i="1"/>
  <c r="E11239" i="1"/>
  <c r="H11238" i="1"/>
  <c r="G11238" i="1"/>
  <c r="E11238" i="1"/>
  <c r="H11237" i="1"/>
  <c r="G11237" i="1"/>
  <c r="E11237" i="1"/>
  <c r="H11236" i="1"/>
  <c r="G11236" i="1"/>
  <c r="E11236" i="1"/>
  <c r="H11235" i="1"/>
  <c r="G11235" i="1"/>
  <c r="E11235" i="1"/>
  <c r="H11234" i="1"/>
  <c r="G11234" i="1"/>
  <c r="E11234" i="1"/>
  <c r="H11233" i="1"/>
  <c r="G11233" i="1"/>
  <c r="E11233" i="1"/>
  <c r="H11232" i="1"/>
  <c r="G11232" i="1"/>
  <c r="E11232" i="1"/>
  <c r="H11231" i="1"/>
  <c r="G11231" i="1"/>
  <c r="E11231" i="1"/>
  <c r="H11230" i="1"/>
  <c r="G11230" i="1"/>
  <c r="E11230" i="1"/>
  <c r="H11229" i="1"/>
  <c r="G11229" i="1"/>
  <c r="E11229" i="1"/>
  <c r="H11228" i="1"/>
  <c r="G11228" i="1"/>
  <c r="E11228" i="1"/>
  <c r="H11227" i="1"/>
  <c r="G11227" i="1"/>
  <c r="E11227" i="1"/>
  <c r="H11226" i="1"/>
  <c r="G11226" i="1"/>
  <c r="E11226" i="1"/>
  <c r="H11225" i="1"/>
  <c r="G11225" i="1"/>
  <c r="E11225" i="1"/>
  <c r="H11224" i="1"/>
  <c r="G11224" i="1"/>
  <c r="E11224" i="1"/>
  <c r="H11223" i="1"/>
  <c r="G11223" i="1"/>
  <c r="E11223" i="1"/>
  <c r="H11222" i="1"/>
  <c r="G11222" i="1"/>
  <c r="E11222" i="1"/>
  <c r="H11221" i="1"/>
  <c r="G11221" i="1"/>
  <c r="E11221" i="1"/>
  <c r="H11220" i="1"/>
  <c r="G11220" i="1"/>
  <c r="E11220" i="1"/>
  <c r="H11219" i="1"/>
  <c r="G11219" i="1"/>
  <c r="E11219" i="1"/>
  <c r="H11218" i="1"/>
  <c r="G11218" i="1"/>
  <c r="E11218" i="1"/>
  <c r="H11217" i="1"/>
  <c r="G11217" i="1"/>
  <c r="E11217" i="1"/>
  <c r="H11216" i="1"/>
  <c r="G11216" i="1"/>
  <c r="E11216" i="1"/>
  <c r="H11215" i="1"/>
  <c r="G11215" i="1"/>
  <c r="E11215" i="1"/>
  <c r="H11214" i="1"/>
  <c r="G11214" i="1"/>
  <c r="E11214" i="1"/>
  <c r="H11213" i="1"/>
  <c r="G11213" i="1"/>
  <c r="E11213" i="1"/>
  <c r="H11212" i="1"/>
  <c r="G11212" i="1"/>
  <c r="E11212" i="1"/>
  <c r="H11211" i="1"/>
  <c r="G11211" i="1"/>
  <c r="E11211" i="1"/>
  <c r="H11210" i="1"/>
  <c r="G11210" i="1"/>
  <c r="E11210" i="1"/>
  <c r="H11209" i="1"/>
  <c r="G11209" i="1"/>
  <c r="E11209" i="1"/>
  <c r="H11208" i="1"/>
  <c r="G11208" i="1"/>
  <c r="E11208" i="1"/>
  <c r="H11207" i="1"/>
  <c r="G11207" i="1"/>
  <c r="E11207" i="1"/>
  <c r="H11206" i="1"/>
  <c r="G11206" i="1"/>
  <c r="E11206" i="1"/>
  <c r="H11205" i="1"/>
  <c r="G11205" i="1"/>
  <c r="E11205" i="1"/>
  <c r="H11204" i="1"/>
  <c r="G11204" i="1"/>
  <c r="E11204" i="1"/>
  <c r="H11203" i="1"/>
  <c r="G11203" i="1"/>
  <c r="E11203" i="1"/>
  <c r="H11202" i="1"/>
  <c r="G11202" i="1"/>
  <c r="E11202" i="1"/>
  <c r="H11201" i="1"/>
  <c r="G11201" i="1"/>
  <c r="E11201" i="1"/>
  <c r="H11200" i="1"/>
  <c r="G11200" i="1"/>
  <c r="E11200" i="1"/>
  <c r="H11199" i="1"/>
  <c r="G11199" i="1"/>
  <c r="E11199" i="1"/>
  <c r="H11198" i="1"/>
  <c r="G11198" i="1"/>
  <c r="E11198" i="1"/>
  <c r="H11197" i="1"/>
  <c r="G11197" i="1"/>
  <c r="E11197" i="1"/>
  <c r="H11196" i="1"/>
  <c r="G11196" i="1"/>
  <c r="E11196" i="1"/>
  <c r="H11195" i="1"/>
  <c r="G11195" i="1"/>
  <c r="E11195" i="1"/>
  <c r="H11194" i="1"/>
  <c r="G11194" i="1"/>
  <c r="E11194" i="1"/>
  <c r="H11193" i="1"/>
  <c r="G11193" i="1"/>
  <c r="E11193" i="1"/>
  <c r="H11192" i="1"/>
  <c r="G11192" i="1"/>
  <c r="E11192" i="1"/>
  <c r="H11191" i="1"/>
  <c r="G11191" i="1"/>
  <c r="E11191" i="1"/>
  <c r="H11190" i="1"/>
  <c r="G11190" i="1"/>
  <c r="E11190" i="1"/>
  <c r="H11189" i="1"/>
  <c r="G11189" i="1"/>
  <c r="E11189" i="1"/>
  <c r="H11188" i="1"/>
  <c r="G11188" i="1"/>
  <c r="E11188" i="1"/>
  <c r="H11187" i="1"/>
  <c r="G11187" i="1"/>
  <c r="E11187" i="1"/>
  <c r="H11186" i="1"/>
  <c r="G11186" i="1"/>
  <c r="E11186" i="1"/>
  <c r="H11185" i="1"/>
  <c r="G11185" i="1"/>
  <c r="E11185" i="1"/>
  <c r="H11184" i="1"/>
  <c r="G11184" i="1"/>
  <c r="E11184" i="1"/>
  <c r="H11183" i="1"/>
  <c r="G11183" i="1"/>
  <c r="E11183" i="1"/>
  <c r="H11182" i="1"/>
  <c r="G11182" i="1"/>
  <c r="E11182" i="1"/>
  <c r="H11181" i="1"/>
  <c r="G11181" i="1"/>
  <c r="E11181" i="1"/>
  <c r="H11180" i="1"/>
  <c r="G11180" i="1"/>
  <c r="E11180" i="1"/>
  <c r="H11179" i="1"/>
  <c r="G11179" i="1"/>
  <c r="E11179" i="1"/>
  <c r="H11178" i="1"/>
  <c r="G11178" i="1"/>
  <c r="E11178" i="1"/>
  <c r="H11177" i="1"/>
  <c r="G11177" i="1"/>
  <c r="E11177" i="1"/>
  <c r="H11176" i="1"/>
  <c r="G11176" i="1"/>
  <c r="E11176" i="1"/>
  <c r="H11175" i="1"/>
  <c r="G11175" i="1"/>
  <c r="E11175" i="1"/>
  <c r="H11174" i="1"/>
  <c r="G11174" i="1"/>
  <c r="E11174" i="1"/>
  <c r="H11173" i="1"/>
  <c r="G11173" i="1"/>
  <c r="E11173" i="1"/>
  <c r="H11172" i="1"/>
  <c r="G11172" i="1"/>
  <c r="E11172" i="1"/>
  <c r="H11171" i="1"/>
  <c r="G11171" i="1"/>
  <c r="E11171" i="1"/>
  <c r="H11170" i="1"/>
  <c r="G11170" i="1"/>
  <c r="E11170" i="1"/>
  <c r="H11169" i="1"/>
  <c r="G11169" i="1"/>
  <c r="E11169" i="1"/>
  <c r="H11168" i="1"/>
  <c r="G11168" i="1"/>
  <c r="E11168" i="1"/>
  <c r="H11167" i="1"/>
  <c r="G11167" i="1"/>
  <c r="E11167" i="1"/>
  <c r="H11166" i="1"/>
  <c r="G11166" i="1"/>
  <c r="E11166" i="1"/>
  <c r="H11165" i="1"/>
  <c r="G11165" i="1"/>
  <c r="E11165" i="1"/>
  <c r="H11164" i="1"/>
  <c r="G11164" i="1"/>
  <c r="E11164" i="1"/>
  <c r="H11163" i="1"/>
  <c r="G11163" i="1"/>
  <c r="E11163" i="1"/>
  <c r="H11162" i="1"/>
  <c r="G11162" i="1"/>
  <c r="E11162" i="1"/>
  <c r="H11161" i="1"/>
  <c r="G11161" i="1"/>
  <c r="E11161" i="1"/>
  <c r="H11160" i="1"/>
  <c r="G11160" i="1"/>
  <c r="E11160" i="1"/>
  <c r="H11159" i="1"/>
  <c r="G11159" i="1"/>
  <c r="E11159" i="1"/>
  <c r="H11158" i="1"/>
  <c r="G11158" i="1"/>
  <c r="E11158" i="1"/>
  <c r="H11157" i="1"/>
  <c r="G11157" i="1"/>
  <c r="E11157" i="1"/>
  <c r="H11156" i="1"/>
  <c r="G11156" i="1"/>
  <c r="E11156" i="1"/>
  <c r="H11155" i="1"/>
  <c r="G11155" i="1"/>
  <c r="E11155" i="1"/>
  <c r="H11154" i="1"/>
  <c r="G11154" i="1"/>
  <c r="E11154" i="1"/>
  <c r="H11153" i="1"/>
  <c r="G11153" i="1"/>
  <c r="E11153" i="1"/>
  <c r="H11152" i="1"/>
  <c r="G11152" i="1"/>
  <c r="E11152" i="1"/>
  <c r="H11151" i="1"/>
  <c r="G11151" i="1"/>
  <c r="E11151" i="1"/>
  <c r="H11150" i="1"/>
  <c r="G11150" i="1"/>
  <c r="E11150" i="1"/>
  <c r="H11149" i="1"/>
  <c r="G11149" i="1"/>
  <c r="E11149" i="1"/>
  <c r="H11148" i="1"/>
  <c r="G11148" i="1"/>
  <c r="E11148" i="1"/>
  <c r="H11147" i="1"/>
  <c r="G11147" i="1"/>
  <c r="E11147" i="1"/>
  <c r="H11146" i="1"/>
  <c r="G11146" i="1"/>
  <c r="E11146" i="1"/>
  <c r="H11145" i="1"/>
  <c r="G11145" i="1"/>
  <c r="E11145" i="1"/>
  <c r="H11144" i="1"/>
  <c r="G11144" i="1"/>
  <c r="E11144" i="1"/>
  <c r="H11143" i="1"/>
  <c r="G11143" i="1"/>
  <c r="E11143" i="1"/>
  <c r="H11142" i="1"/>
  <c r="G11142" i="1"/>
  <c r="E11142" i="1"/>
  <c r="H11141" i="1"/>
  <c r="G11141" i="1"/>
  <c r="E11141" i="1"/>
  <c r="H11140" i="1"/>
  <c r="G11140" i="1"/>
  <c r="E11140" i="1"/>
  <c r="H11139" i="1"/>
  <c r="G11139" i="1"/>
  <c r="E11139" i="1"/>
  <c r="H11138" i="1"/>
  <c r="G11138" i="1"/>
  <c r="E11138" i="1"/>
  <c r="H11137" i="1"/>
  <c r="G11137" i="1"/>
  <c r="E11137" i="1"/>
  <c r="H11136" i="1"/>
  <c r="G11136" i="1"/>
  <c r="E11136" i="1"/>
  <c r="H11135" i="1"/>
  <c r="G11135" i="1"/>
  <c r="E11135" i="1"/>
  <c r="H11134" i="1"/>
  <c r="G11134" i="1"/>
  <c r="E11134" i="1"/>
  <c r="H11133" i="1"/>
  <c r="G11133" i="1"/>
  <c r="E11133" i="1"/>
  <c r="H11132" i="1"/>
  <c r="G11132" i="1"/>
  <c r="E11132" i="1"/>
  <c r="H11131" i="1"/>
  <c r="G11131" i="1"/>
  <c r="E11131" i="1"/>
  <c r="H11130" i="1"/>
  <c r="G11130" i="1"/>
  <c r="E11130" i="1"/>
  <c r="H11129" i="1"/>
  <c r="G11129" i="1"/>
  <c r="E11129" i="1"/>
  <c r="H11128" i="1"/>
  <c r="G11128" i="1"/>
  <c r="E11128" i="1"/>
  <c r="H11127" i="1"/>
  <c r="G11127" i="1"/>
  <c r="E11127" i="1"/>
  <c r="H11126" i="1"/>
  <c r="G11126" i="1"/>
  <c r="E11126" i="1"/>
  <c r="H11125" i="1"/>
  <c r="G11125" i="1"/>
  <c r="E11125" i="1"/>
  <c r="H11124" i="1"/>
  <c r="G11124" i="1"/>
  <c r="E11124" i="1"/>
  <c r="H11123" i="1"/>
  <c r="G11123" i="1"/>
  <c r="E11123" i="1"/>
  <c r="H11122" i="1"/>
  <c r="G11122" i="1"/>
  <c r="E11122" i="1"/>
  <c r="H11121" i="1"/>
  <c r="G11121" i="1"/>
  <c r="E11121" i="1"/>
  <c r="H11120" i="1"/>
  <c r="G11120" i="1"/>
  <c r="E11120" i="1"/>
  <c r="H11119" i="1"/>
  <c r="G11119" i="1"/>
  <c r="E11119" i="1"/>
  <c r="H11118" i="1"/>
  <c r="G11118" i="1"/>
  <c r="E11118" i="1"/>
  <c r="H11117" i="1"/>
  <c r="G11117" i="1"/>
  <c r="E11117" i="1"/>
  <c r="H11116" i="1"/>
  <c r="G11116" i="1"/>
  <c r="E11116" i="1"/>
  <c r="H11115" i="1"/>
  <c r="G11115" i="1"/>
  <c r="E11115" i="1"/>
  <c r="H11114" i="1"/>
  <c r="G11114" i="1"/>
  <c r="E11114" i="1"/>
  <c r="H11113" i="1"/>
  <c r="G11113" i="1"/>
  <c r="E11113" i="1"/>
  <c r="H11112" i="1"/>
  <c r="G11112" i="1"/>
  <c r="E11112" i="1"/>
  <c r="H11111" i="1"/>
  <c r="G11111" i="1"/>
  <c r="E11111" i="1"/>
  <c r="H11110" i="1"/>
  <c r="G11110" i="1"/>
  <c r="E11110" i="1"/>
  <c r="H11109" i="1"/>
  <c r="G11109" i="1"/>
  <c r="E11109" i="1"/>
  <c r="H11108" i="1"/>
  <c r="G11108" i="1"/>
  <c r="E11108" i="1"/>
  <c r="H11107" i="1"/>
  <c r="G11107" i="1"/>
  <c r="E11107" i="1"/>
  <c r="H11106" i="1"/>
  <c r="G11106" i="1"/>
  <c r="E11106" i="1"/>
  <c r="H11105" i="1"/>
  <c r="G11105" i="1"/>
  <c r="E11105" i="1"/>
  <c r="H11104" i="1"/>
  <c r="G11104" i="1"/>
  <c r="E11104" i="1"/>
  <c r="H11103" i="1"/>
  <c r="G11103" i="1"/>
  <c r="E11103" i="1"/>
  <c r="H11102" i="1"/>
  <c r="G11102" i="1"/>
  <c r="E11102" i="1"/>
  <c r="H11101" i="1"/>
  <c r="G11101" i="1"/>
  <c r="E11101" i="1"/>
  <c r="H11100" i="1"/>
  <c r="G11100" i="1"/>
  <c r="E11100" i="1"/>
  <c r="H11099" i="1"/>
  <c r="G11099" i="1"/>
  <c r="E11099" i="1"/>
  <c r="H11098" i="1"/>
  <c r="G11098" i="1"/>
  <c r="E11098" i="1"/>
  <c r="H11097" i="1"/>
  <c r="G11097" i="1"/>
  <c r="E11097" i="1"/>
  <c r="H11096" i="1"/>
  <c r="G11096" i="1"/>
  <c r="E11096" i="1"/>
  <c r="H11095" i="1"/>
  <c r="G11095" i="1"/>
  <c r="E11095" i="1"/>
  <c r="H11094" i="1"/>
  <c r="G11094" i="1"/>
  <c r="E11094" i="1"/>
  <c r="H11093" i="1"/>
  <c r="G11093" i="1"/>
  <c r="E11093" i="1"/>
  <c r="H11092" i="1"/>
  <c r="G11092" i="1"/>
  <c r="E11092" i="1"/>
  <c r="H11091" i="1"/>
  <c r="G11091" i="1"/>
  <c r="E11091" i="1"/>
  <c r="H11090" i="1"/>
  <c r="G11090" i="1"/>
  <c r="E11090" i="1"/>
  <c r="H11089" i="1"/>
  <c r="G11089" i="1"/>
  <c r="E11089" i="1"/>
  <c r="H11088" i="1"/>
  <c r="G11088" i="1"/>
  <c r="E11088" i="1"/>
  <c r="H11087" i="1"/>
  <c r="G11087" i="1"/>
  <c r="E11087" i="1"/>
  <c r="H11086" i="1"/>
  <c r="G11086" i="1"/>
  <c r="E11086" i="1"/>
  <c r="H11085" i="1"/>
  <c r="G11085" i="1"/>
  <c r="E11085" i="1"/>
  <c r="H11084" i="1"/>
  <c r="G11084" i="1"/>
  <c r="E11084" i="1"/>
  <c r="H11083" i="1"/>
  <c r="G11083" i="1"/>
  <c r="E11083" i="1"/>
  <c r="H11082" i="1"/>
  <c r="G11082" i="1"/>
  <c r="E11082" i="1"/>
  <c r="H11081" i="1"/>
  <c r="G11081" i="1"/>
  <c r="E11081" i="1"/>
  <c r="H11080" i="1"/>
  <c r="G11080" i="1"/>
  <c r="E11080" i="1"/>
  <c r="H11079" i="1"/>
  <c r="G11079" i="1"/>
  <c r="E11079" i="1"/>
  <c r="H11078" i="1"/>
  <c r="G11078" i="1"/>
  <c r="E11078" i="1"/>
  <c r="H11077" i="1"/>
  <c r="G11077" i="1"/>
  <c r="E11077" i="1"/>
  <c r="H11076" i="1"/>
  <c r="G11076" i="1"/>
  <c r="E11076" i="1"/>
  <c r="H11075" i="1"/>
  <c r="G11075" i="1"/>
  <c r="E11075" i="1"/>
  <c r="H11074" i="1"/>
  <c r="G11074" i="1"/>
  <c r="E11074" i="1"/>
  <c r="H11073" i="1"/>
  <c r="G11073" i="1"/>
  <c r="E11073" i="1"/>
  <c r="H11072" i="1"/>
  <c r="G11072" i="1"/>
  <c r="E11072" i="1"/>
  <c r="H11071" i="1"/>
  <c r="G11071" i="1"/>
  <c r="E11071" i="1"/>
  <c r="H11070" i="1"/>
  <c r="G11070" i="1"/>
  <c r="E11070" i="1"/>
  <c r="H11069" i="1"/>
  <c r="G11069" i="1"/>
  <c r="E11069" i="1"/>
  <c r="H11068" i="1"/>
  <c r="G11068" i="1"/>
  <c r="E11068" i="1"/>
  <c r="H11067" i="1"/>
  <c r="G11067" i="1"/>
  <c r="E11067" i="1"/>
  <c r="H11066" i="1"/>
  <c r="G11066" i="1"/>
  <c r="E11066" i="1"/>
  <c r="H11065" i="1"/>
  <c r="G11065" i="1"/>
  <c r="E11065" i="1"/>
  <c r="H11064" i="1"/>
  <c r="G11064" i="1"/>
  <c r="E11064" i="1"/>
  <c r="H11063" i="1"/>
  <c r="G11063" i="1"/>
  <c r="E11063" i="1"/>
  <c r="H11062" i="1"/>
  <c r="G11062" i="1"/>
  <c r="E11062" i="1"/>
  <c r="H11061" i="1"/>
  <c r="G11061" i="1"/>
  <c r="E11061" i="1"/>
  <c r="H11060" i="1"/>
  <c r="G11060" i="1"/>
  <c r="E11060" i="1"/>
  <c r="H11059" i="1"/>
  <c r="G11059" i="1"/>
  <c r="E11059" i="1"/>
  <c r="H11058" i="1"/>
  <c r="G11058" i="1"/>
  <c r="E11058" i="1"/>
  <c r="H11057" i="1"/>
  <c r="G11057" i="1"/>
  <c r="E11057" i="1"/>
  <c r="H11056" i="1"/>
  <c r="G11056" i="1"/>
  <c r="E11056" i="1"/>
  <c r="H11055" i="1"/>
  <c r="G11055" i="1"/>
  <c r="E11055" i="1"/>
  <c r="H11054" i="1"/>
  <c r="G11054" i="1"/>
  <c r="E11054" i="1"/>
  <c r="H11053" i="1"/>
  <c r="G11053" i="1"/>
  <c r="E11053" i="1"/>
  <c r="H11052" i="1"/>
  <c r="G11052" i="1"/>
  <c r="E11052" i="1"/>
  <c r="H11051" i="1"/>
  <c r="G11051" i="1"/>
  <c r="E11051" i="1"/>
  <c r="H11050" i="1"/>
  <c r="G11050" i="1"/>
  <c r="E11050" i="1"/>
  <c r="H11049" i="1"/>
  <c r="G11049" i="1"/>
  <c r="E11049" i="1"/>
  <c r="H11048" i="1"/>
  <c r="G11048" i="1"/>
  <c r="E11048" i="1"/>
  <c r="H11047" i="1"/>
  <c r="G11047" i="1"/>
  <c r="E11047" i="1"/>
  <c r="H11046" i="1"/>
  <c r="G11046" i="1"/>
  <c r="E11046" i="1"/>
  <c r="H11045" i="1"/>
  <c r="G11045" i="1"/>
  <c r="E11045" i="1"/>
  <c r="H11044" i="1"/>
  <c r="G11044" i="1"/>
  <c r="E11044" i="1"/>
  <c r="H11043" i="1"/>
  <c r="G11043" i="1"/>
  <c r="E11043" i="1"/>
  <c r="H11042" i="1"/>
  <c r="G11042" i="1"/>
  <c r="E11042" i="1"/>
  <c r="H11041" i="1"/>
  <c r="G11041" i="1"/>
  <c r="E11041" i="1"/>
  <c r="H11040" i="1"/>
  <c r="G11040" i="1"/>
  <c r="E11040" i="1"/>
  <c r="H11039" i="1"/>
  <c r="G11039" i="1"/>
  <c r="E11039" i="1"/>
  <c r="H11038" i="1"/>
  <c r="G11038" i="1"/>
  <c r="E11038" i="1"/>
  <c r="H11037" i="1"/>
  <c r="G11037" i="1"/>
  <c r="E11037" i="1"/>
  <c r="H11036" i="1"/>
  <c r="G11036" i="1"/>
  <c r="E11036" i="1"/>
  <c r="H11035" i="1"/>
  <c r="G11035" i="1"/>
  <c r="E11035" i="1"/>
  <c r="H11034" i="1"/>
  <c r="G11034" i="1"/>
  <c r="E11034" i="1"/>
  <c r="H11033" i="1"/>
  <c r="G11033" i="1"/>
  <c r="E11033" i="1"/>
  <c r="H11032" i="1"/>
  <c r="G11032" i="1"/>
  <c r="E11032" i="1"/>
  <c r="H11031" i="1"/>
  <c r="G11031" i="1"/>
  <c r="E11031" i="1"/>
  <c r="H11030" i="1"/>
  <c r="G11030" i="1"/>
  <c r="E11030" i="1"/>
  <c r="H11029" i="1"/>
  <c r="G11029" i="1"/>
  <c r="E11029" i="1"/>
  <c r="H11028" i="1"/>
  <c r="G11028" i="1"/>
  <c r="E11028" i="1"/>
  <c r="H11027" i="1"/>
  <c r="G11027" i="1"/>
  <c r="E11027" i="1"/>
  <c r="H11026" i="1"/>
  <c r="G11026" i="1"/>
  <c r="E11026" i="1"/>
  <c r="H11025" i="1"/>
  <c r="G11025" i="1"/>
  <c r="E11025" i="1"/>
  <c r="H11024" i="1"/>
  <c r="G11024" i="1"/>
  <c r="E11024" i="1"/>
  <c r="H11023" i="1"/>
  <c r="G11023" i="1"/>
  <c r="E11023" i="1"/>
  <c r="H11022" i="1"/>
  <c r="G11022" i="1"/>
  <c r="E11022" i="1"/>
  <c r="H11021" i="1"/>
  <c r="G11021" i="1"/>
  <c r="E11021" i="1"/>
  <c r="H11020" i="1"/>
  <c r="G11020" i="1"/>
  <c r="E11020" i="1"/>
  <c r="H11019" i="1"/>
  <c r="G11019" i="1"/>
  <c r="E11019" i="1"/>
  <c r="H11018" i="1"/>
  <c r="G11018" i="1"/>
  <c r="E11018" i="1"/>
  <c r="H11017" i="1"/>
  <c r="G11017" i="1"/>
  <c r="E11017" i="1"/>
  <c r="H11016" i="1"/>
  <c r="G11016" i="1"/>
  <c r="E11016" i="1"/>
  <c r="H11015" i="1"/>
  <c r="G11015" i="1"/>
  <c r="E11015" i="1"/>
  <c r="H11014" i="1"/>
  <c r="G11014" i="1"/>
  <c r="E11014" i="1"/>
  <c r="H11013" i="1"/>
  <c r="G11013" i="1"/>
  <c r="E11013" i="1"/>
  <c r="H11012" i="1"/>
  <c r="G11012" i="1"/>
  <c r="E11012" i="1"/>
  <c r="H11011" i="1"/>
  <c r="G11011" i="1"/>
  <c r="E11011" i="1"/>
  <c r="H11010" i="1"/>
  <c r="G11010" i="1"/>
  <c r="E11010" i="1"/>
  <c r="H11009" i="1"/>
  <c r="G11009" i="1"/>
  <c r="E11009" i="1"/>
  <c r="H11008" i="1"/>
  <c r="G11008" i="1"/>
  <c r="E11008" i="1"/>
  <c r="H11007" i="1"/>
  <c r="G11007" i="1"/>
  <c r="E11007" i="1"/>
  <c r="H11006" i="1"/>
  <c r="G11006" i="1"/>
  <c r="E11006" i="1"/>
  <c r="H11005" i="1"/>
  <c r="G11005" i="1"/>
  <c r="E11005" i="1"/>
  <c r="H11004" i="1"/>
  <c r="G11004" i="1"/>
  <c r="E11004" i="1"/>
  <c r="H11003" i="1"/>
  <c r="G11003" i="1"/>
  <c r="E11003" i="1"/>
  <c r="H11002" i="1"/>
  <c r="G11002" i="1"/>
  <c r="E11002" i="1"/>
  <c r="H11001" i="1"/>
  <c r="G11001" i="1"/>
  <c r="E11001" i="1"/>
  <c r="H11000" i="1"/>
  <c r="G11000" i="1"/>
  <c r="E11000" i="1"/>
  <c r="H10999" i="1"/>
  <c r="G10999" i="1"/>
  <c r="E10999" i="1"/>
  <c r="H10998" i="1"/>
  <c r="G10998" i="1"/>
  <c r="E10998" i="1"/>
  <c r="H10997" i="1"/>
  <c r="G10997" i="1"/>
  <c r="E10997" i="1"/>
  <c r="H10996" i="1"/>
  <c r="G10996" i="1"/>
  <c r="E10996" i="1"/>
  <c r="H10995" i="1"/>
  <c r="G10995" i="1"/>
  <c r="E10995" i="1"/>
  <c r="H10994" i="1"/>
  <c r="G10994" i="1"/>
  <c r="E10994" i="1"/>
  <c r="H10993" i="1"/>
  <c r="G10993" i="1"/>
  <c r="E10993" i="1"/>
  <c r="H10992" i="1"/>
  <c r="G10992" i="1"/>
  <c r="E10992" i="1"/>
  <c r="H10991" i="1"/>
  <c r="G10991" i="1"/>
  <c r="E10991" i="1"/>
  <c r="H10990" i="1"/>
  <c r="G10990" i="1"/>
  <c r="E10990" i="1"/>
  <c r="H10989" i="1"/>
  <c r="G10989" i="1"/>
  <c r="E10989" i="1"/>
  <c r="H10988" i="1"/>
  <c r="G10988" i="1"/>
  <c r="E10988" i="1"/>
  <c r="H10987" i="1"/>
  <c r="G10987" i="1"/>
  <c r="E10987" i="1"/>
  <c r="H10986" i="1"/>
  <c r="G10986" i="1"/>
  <c r="E10986" i="1"/>
  <c r="H10985" i="1"/>
  <c r="G10985" i="1"/>
  <c r="E10985" i="1"/>
  <c r="H10984" i="1"/>
  <c r="G10984" i="1"/>
  <c r="E10984" i="1"/>
  <c r="H10983" i="1"/>
  <c r="G10983" i="1"/>
  <c r="E10983" i="1"/>
  <c r="H10982" i="1"/>
  <c r="G10982" i="1"/>
  <c r="E10982" i="1"/>
  <c r="H10981" i="1"/>
  <c r="G10981" i="1"/>
  <c r="E10981" i="1"/>
  <c r="H10980" i="1"/>
  <c r="G10980" i="1"/>
  <c r="E10980" i="1"/>
  <c r="H10979" i="1"/>
  <c r="G10979" i="1"/>
  <c r="E10979" i="1"/>
  <c r="H10978" i="1"/>
  <c r="G10978" i="1"/>
  <c r="E10978" i="1"/>
  <c r="H10977" i="1"/>
  <c r="G10977" i="1"/>
  <c r="E10977" i="1"/>
  <c r="H10976" i="1"/>
  <c r="G10976" i="1"/>
  <c r="E10976" i="1"/>
  <c r="H10975" i="1"/>
  <c r="G10975" i="1"/>
  <c r="E10975" i="1"/>
  <c r="H10974" i="1"/>
  <c r="G10974" i="1"/>
  <c r="E10974" i="1"/>
  <c r="H10973" i="1"/>
  <c r="G10973" i="1"/>
  <c r="E10973" i="1"/>
  <c r="H10972" i="1"/>
  <c r="G10972" i="1"/>
  <c r="E10972" i="1"/>
  <c r="H10971" i="1"/>
  <c r="G10971" i="1"/>
  <c r="E10971" i="1"/>
  <c r="H10970" i="1"/>
  <c r="G10970" i="1"/>
  <c r="E10970" i="1"/>
  <c r="H10969" i="1"/>
  <c r="G10969" i="1"/>
  <c r="E10969" i="1"/>
  <c r="H10968" i="1"/>
  <c r="G10968" i="1"/>
  <c r="E10968" i="1"/>
  <c r="H10967" i="1"/>
  <c r="G10967" i="1"/>
  <c r="E10967" i="1"/>
  <c r="H10966" i="1"/>
  <c r="G10966" i="1"/>
  <c r="E10966" i="1"/>
  <c r="H10965" i="1"/>
  <c r="G10965" i="1"/>
  <c r="E10965" i="1"/>
  <c r="H10964" i="1"/>
  <c r="G10964" i="1"/>
  <c r="E10964" i="1"/>
  <c r="H10963" i="1"/>
  <c r="G10963" i="1"/>
  <c r="E10963" i="1"/>
  <c r="H10962" i="1"/>
  <c r="G10962" i="1"/>
  <c r="E10962" i="1"/>
  <c r="H10961" i="1"/>
  <c r="G10961" i="1"/>
  <c r="E10961" i="1"/>
  <c r="H10960" i="1"/>
  <c r="G10960" i="1"/>
  <c r="E10960" i="1"/>
  <c r="H10959" i="1"/>
  <c r="G10959" i="1"/>
  <c r="E10959" i="1"/>
  <c r="H10958" i="1"/>
  <c r="G10958" i="1"/>
  <c r="E10958" i="1"/>
  <c r="H10957" i="1"/>
  <c r="G10957" i="1"/>
  <c r="E10957" i="1"/>
  <c r="H10956" i="1"/>
  <c r="G10956" i="1"/>
  <c r="E10956" i="1"/>
  <c r="H10955" i="1"/>
  <c r="G10955" i="1"/>
  <c r="E10955" i="1"/>
  <c r="H10954" i="1"/>
  <c r="G10954" i="1"/>
  <c r="E10954" i="1"/>
  <c r="H10953" i="1"/>
  <c r="G10953" i="1"/>
  <c r="E10953" i="1"/>
  <c r="H10952" i="1"/>
  <c r="G10952" i="1"/>
  <c r="E10952" i="1"/>
  <c r="H10951" i="1"/>
  <c r="G10951" i="1"/>
  <c r="E10951" i="1"/>
  <c r="H10950" i="1"/>
  <c r="G10950" i="1"/>
  <c r="E10950" i="1"/>
  <c r="H10949" i="1"/>
  <c r="G10949" i="1"/>
  <c r="E10949" i="1"/>
  <c r="H10948" i="1"/>
  <c r="G10948" i="1"/>
  <c r="E10948" i="1"/>
  <c r="H10947" i="1"/>
  <c r="G10947" i="1"/>
  <c r="E10947" i="1"/>
  <c r="H10946" i="1"/>
  <c r="G10946" i="1"/>
  <c r="E10946" i="1"/>
  <c r="H10945" i="1"/>
  <c r="G10945" i="1"/>
  <c r="E10945" i="1"/>
  <c r="H10944" i="1"/>
  <c r="G10944" i="1"/>
  <c r="E10944" i="1"/>
  <c r="H10943" i="1"/>
  <c r="G10943" i="1"/>
  <c r="E10943" i="1"/>
  <c r="H10942" i="1"/>
  <c r="G10942" i="1"/>
  <c r="E10942" i="1"/>
  <c r="H10941" i="1"/>
  <c r="G10941" i="1"/>
  <c r="E10941" i="1"/>
  <c r="H10940" i="1"/>
  <c r="G10940" i="1"/>
  <c r="E10940" i="1"/>
  <c r="H10939" i="1"/>
  <c r="G10939" i="1"/>
  <c r="E10939" i="1"/>
  <c r="H10938" i="1"/>
  <c r="G10938" i="1"/>
  <c r="E10938" i="1"/>
  <c r="H10937" i="1"/>
  <c r="G10937" i="1"/>
  <c r="E10937" i="1"/>
  <c r="H10936" i="1"/>
  <c r="G10936" i="1"/>
  <c r="E10936" i="1"/>
  <c r="H10935" i="1"/>
  <c r="G10935" i="1"/>
  <c r="E10935" i="1"/>
  <c r="H10934" i="1"/>
  <c r="G10934" i="1"/>
  <c r="E10934" i="1"/>
  <c r="H10933" i="1"/>
  <c r="G10933" i="1"/>
  <c r="E10933" i="1"/>
  <c r="H10932" i="1"/>
  <c r="G10932" i="1"/>
  <c r="E10932" i="1"/>
  <c r="H10931" i="1"/>
  <c r="G10931" i="1"/>
  <c r="E10931" i="1"/>
  <c r="H10930" i="1"/>
  <c r="G10930" i="1"/>
  <c r="E10930" i="1"/>
  <c r="H10929" i="1"/>
  <c r="G10929" i="1"/>
  <c r="E10929" i="1"/>
  <c r="H10928" i="1"/>
  <c r="G10928" i="1"/>
  <c r="E10928" i="1"/>
  <c r="H10927" i="1"/>
  <c r="G10927" i="1"/>
  <c r="E10927" i="1"/>
  <c r="H10926" i="1"/>
  <c r="G10926" i="1"/>
  <c r="E10926" i="1"/>
  <c r="H10925" i="1"/>
  <c r="G10925" i="1"/>
  <c r="E10925" i="1"/>
  <c r="H10924" i="1"/>
  <c r="G10924" i="1"/>
  <c r="E10924" i="1"/>
  <c r="H10923" i="1"/>
  <c r="G10923" i="1"/>
  <c r="E10923" i="1"/>
  <c r="H10922" i="1"/>
  <c r="G10922" i="1"/>
  <c r="E10922" i="1"/>
  <c r="H10921" i="1"/>
  <c r="G10921" i="1"/>
  <c r="E10921" i="1"/>
  <c r="H10920" i="1"/>
  <c r="G10920" i="1"/>
  <c r="E10920" i="1"/>
  <c r="H10919" i="1"/>
  <c r="G10919" i="1"/>
  <c r="E10919" i="1"/>
  <c r="H10918" i="1"/>
  <c r="G10918" i="1"/>
  <c r="E10918" i="1"/>
  <c r="H10917" i="1"/>
  <c r="G10917" i="1"/>
  <c r="E10917" i="1"/>
  <c r="H10916" i="1"/>
  <c r="G10916" i="1"/>
  <c r="E10916" i="1"/>
  <c r="H10915" i="1"/>
  <c r="G10915" i="1"/>
  <c r="E10915" i="1"/>
  <c r="H10914" i="1"/>
  <c r="G10914" i="1"/>
  <c r="E10914" i="1"/>
  <c r="H10913" i="1"/>
  <c r="G10913" i="1"/>
  <c r="E10913" i="1"/>
  <c r="H10912" i="1"/>
  <c r="G10912" i="1"/>
  <c r="E10912" i="1"/>
  <c r="H10911" i="1"/>
  <c r="G10911" i="1"/>
  <c r="E10911" i="1"/>
  <c r="H10910" i="1"/>
  <c r="G10910" i="1"/>
  <c r="E10910" i="1"/>
  <c r="H10909" i="1"/>
  <c r="G10909" i="1"/>
  <c r="E10909" i="1"/>
  <c r="H10908" i="1"/>
  <c r="G10908" i="1"/>
  <c r="E10908" i="1"/>
  <c r="H10907" i="1"/>
  <c r="G10907" i="1"/>
  <c r="E10907" i="1"/>
  <c r="H10906" i="1"/>
  <c r="G10906" i="1"/>
  <c r="E10906" i="1"/>
  <c r="H10905" i="1"/>
  <c r="G10905" i="1"/>
  <c r="E10905" i="1"/>
  <c r="H10904" i="1"/>
  <c r="G10904" i="1"/>
  <c r="E10904" i="1"/>
  <c r="H10903" i="1"/>
  <c r="G10903" i="1"/>
  <c r="E10903" i="1"/>
  <c r="H10902" i="1"/>
  <c r="G10902" i="1"/>
  <c r="E10902" i="1"/>
  <c r="H10901" i="1"/>
  <c r="G10901" i="1"/>
  <c r="E10901" i="1"/>
  <c r="H10900" i="1"/>
  <c r="G10900" i="1"/>
  <c r="E10900" i="1"/>
  <c r="H10899" i="1"/>
  <c r="G10899" i="1"/>
  <c r="E10899" i="1"/>
  <c r="H10898" i="1"/>
  <c r="G10898" i="1"/>
  <c r="E10898" i="1"/>
  <c r="H10897" i="1"/>
  <c r="G10897" i="1"/>
  <c r="E10897" i="1"/>
  <c r="H10896" i="1"/>
  <c r="G10896" i="1"/>
  <c r="E10896" i="1"/>
  <c r="H10895" i="1"/>
  <c r="G10895" i="1"/>
  <c r="E10895" i="1"/>
  <c r="H10894" i="1"/>
  <c r="G10894" i="1"/>
  <c r="E10894" i="1"/>
  <c r="H10893" i="1"/>
  <c r="G10893" i="1"/>
  <c r="E10893" i="1"/>
  <c r="H10892" i="1"/>
  <c r="G10892" i="1"/>
  <c r="E10892" i="1"/>
  <c r="H10891" i="1"/>
  <c r="G10891" i="1"/>
  <c r="E10891" i="1"/>
  <c r="H10890" i="1"/>
  <c r="G10890" i="1"/>
  <c r="E10890" i="1"/>
  <c r="H10889" i="1"/>
  <c r="G10889" i="1"/>
  <c r="E10889" i="1"/>
  <c r="H10888" i="1"/>
  <c r="G10888" i="1"/>
  <c r="E10888" i="1"/>
  <c r="H10887" i="1"/>
  <c r="G10887" i="1"/>
  <c r="E10887" i="1"/>
  <c r="H10886" i="1"/>
  <c r="G10886" i="1"/>
  <c r="E10886" i="1"/>
  <c r="H10885" i="1"/>
  <c r="G10885" i="1"/>
  <c r="E10885" i="1"/>
  <c r="H10884" i="1"/>
  <c r="G10884" i="1"/>
  <c r="E10884" i="1"/>
  <c r="H10883" i="1"/>
  <c r="G10883" i="1"/>
  <c r="E10883" i="1"/>
  <c r="H10882" i="1"/>
  <c r="G10882" i="1"/>
  <c r="E10882" i="1"/>
  <c r="H10881" i="1"/>
  <c r="G10881" i="1"/>
  <c r="E10881" i="1"/>
  <c r="H10880" i="1"/>
  <c r="G10880" i="1"/>
  <c r="E10880" i="1"/>
  <c r="H10879" i="1"/>
  <c r="G10879" i="1"/>
  <c r="E10879" i="1"/>
  <c r="H10878" i="1"/>
  <c r="G10878" i="1"/>
  <c r="E10878" i="1"/>
  <c r="H10877" i="1"/>
  <c r="G10877" i="1"/>
  <c r="E10877" i="1"/>
  <c r="H10876" i="1"/>
  <c r="G10876" i="1"/>
  <c r="E10876" i="1"/>
  <c r="H10875" i="1"/>
  <c r="G10875" i="1"/>
  <c r="E10875" i="1"/>
  <c r="H10874" i="1"/>
  <c r="G10874" i="1"/>
  <c r="E10874" i="1"/>
  <c r="H10873" i="1"/>
  <c r="G10873" i="1"/>
  <c r="E10873" i="1"/>
  <c r="H10872" i="1"/>
  <c r="G10872" i="1"/>
  <c r="E10872" i="1"/>
  <c r="H10871" i="1"/>
  <c r="G10871" i="1"/>
  <c r="E10871" i="1"/>
  <c r="H10870" i="1"/>
  <c r="G10870" i="1"/>
  <c r="E10870" i="1"/>
  <c r="H10869" i="1"/>
  <c r="G10869" i="1"/>
  <c r="E10869" i="1"/>
  <c r="H10868" i="1"/>
  <c r="G10868" i="1"/>
  <c r="E10868" i="1"/>
  <c r="H10867" i="1"/>
  <c r="G10867" i="1"/>
  <c r="E10867" i="1"/>
  <c r="H10866" i="1"/>
  <c r="G10866" i="1"/>
  <c r="E10866" i="1"/>
  <c r="H10865" i="1"/>
  <c r="G10865" i="1"/>
  <c r="E10865" i="1"/>
  <c r="H10864" i="1"/>
  <c r="G10864" i="1"/>
  <c r="E10864" i="1"/>
  <c r="H10863" i="1"/>
  <c r="G10863" i="1"/>
  <c r="E10863" i="1"/>
  <c r="H10862" i="1"/>
  <c r="G10862" i="1"/>
  <c r="E10862" i="1"/>
  <c r="H10861" i="1"/>
  <c r="G10861" i="1"/>
  <c r="E10861" i="1"/>
  <c r="H10860" i="1"/>
  <c r="G10860" i="1"/>
  <c r="E10860" i="1"/>
  <c r="H10859" i="1"/>
  <c r="G10859" i="1"/>
  <c r="E10859" i="1"/>
  <c r="H10858" i="1"/>
  <c r="G10858" i="1"/>
  <c r="E10858" i="1"/>
  <c r="H10857" i="1"/>
  <c r="G10857" i="1"/>
  <c r="E10857" i="1"/>
  <c r="H10856" i="1"/>
  <c r="G10856" i="1"/>
  <c r="E10856" i="1"/>
  <c r="H10855" i="1"/>
  <c r="G10855" i="1"/>
  <c r="E10855" i="1"/>
  <c r="H10854" i="1"/>
  <c r="G10854" i="1"/>
  <c r="E10854" i="1"/>
  <c r="H10853" i="1"/>
  <c r="G10853" i="1"/>
  <c r="E10853" i="1"/>
  <c r="H10852" i="1"/>
  <c r="G10852" i="1"/>
  <c r="E10852" i="1"/>
  <c r="H10851" i="1"/>
  <c r="G10851" i="1"/>
  <c r="E10851" i="1"/>
  <c r="H10850" i="1"/>
  <c r="G10850" i="1"/>
  <c r="E10850" i="1"/>
  <c r="H10849" i="1"/>
  <c r="G10849" i="1"/>
  <c r="E10849" i="1"/>
  <c r="H10848" i="1"/>
  <c r="G10848" i="1"/>
  <c r="E10848" i="1"/>
  <c r="H10847" i="1"/>
  <c r="G10847" i="1"/>
  <c r="E10847" i="1"/>
  <c r="H10846" i="1"/>
  <c r="G10846" i="1"/>
  <c r="E10846" i="1"/>
  <c r="H10845" i="1"/>
  <c r="G10845" i="1"/>
  <c r="E10845" i="1"/>
  <c r="H10844" i="1"/>
  <c r="G10844" i="1"/>
  <c r="E10844" i="1"/>
  <c r="H10843" i="1"/>
  <c r="G10843" i="1"/>
  <c r="E10843" i="1"/>
  <c r="H10842" i="1"/>
  <c r="G10842" i="1"/>
  <c r="E10842" i="1"/>
  <c r="H10841" i="1"/>
  <c r="G10841" i="1"/>
  <c r="E10841" i="1"/>
  <c r="H10840" i="1"/>
  <c r="G10840" i="1"/>
  <c r="E10840" i="1"/>
  <c r="H10839" i="1"/>
  <c r="G10839" i="1"/>
  <c r="E10839" i="1"/>
  <c r="H10838" i="1"/>
  <c r="G10838" i="1"/>
  <c r="E10838" i="1"/>
  <c r="H10837" i="1"/>
  <c r="G10837" i="1"/>
  <c r="E10837" i="1"/>
  <c r="H10836" i="1"/>
  <c r="G10836" i="1"/>
  <c r="E10836" i="1"/>
  <c r="H10835" i="1"/>
  <c r="G10835" i="1"/>
  <c r="E10835" i="1"/>
  <c r="H10834" i="1"/>
  <c r="G10834" i="1"/>
  <c r="E10834" i="1"/>
  <c r="H10833" i="1"/>
  <c r="G10833" i="1"/>
  <c r="E10833" i="1"/>
  <c r="H10832" i="1"/>
  <c r="G10832" i="1"/>
  <c r="E10832" i="1"/>
  <c r="H10831" i="1"/>
  <c r="G10831" i="1"/>
  <c r="E10831" i="1"/>
  <c r="H10830" i="1"/>
  <c r="G10830" i="1"/>
  <c r="E10830" i="1"/>
  <c r="H10829" i="1"/>
  <c r="G10829" i="1"/>
  <c r="E10829" i="1"/>
  <c r="H10828" i="1"/>
  <c r="G10828" i="1"/>
  <c r="E10828" i="1"/>
  <c r="H10827" i="1"/>
  <c r="G10827" i="1"/>
  <c r="E10827" i="1"/>
  <c r="H10826" i="1"/>
  <c r="G10826" i="1"/>
  <c r="E10826" i="1"/>
  <c r="H10825" i="1"/>
  <c r="G10825" i="1"/>
  <c r="E10825" i="1"/>
  <c r="H10824" i="1"/>
  <c r="G10824" i="1"/>
  <c r="E10824" i="1"/>
  <c r="H10823" i="1"/>
  <c r="G10823" i="1"/>
  <c r="E10823" i="1"/>
  <c r="H10822" i="1"/>
  <c r="G10822" i="1"/>
  <c r="E10822" i="1"/>
  <c r="H10821" i="1"/>
  <c r="G10821" i="1"/>
  <c r="E10821" i="1"/>
  <c r="H10820" i="1"/>
  <c r="G10820" i="1"/>
  <c r="E10820" i="1"/>
  <c r="H10819" i="1"/>
  <c r="G10819" i="1"/>
  <c r="E10819" i="1"/>
  <c r="H10818" i="1"/>
  <c r="G10818" i="1"/>
  <c r="E10818" i="1"/>
  <c r="H10817" i="1"/>
  <c r="G10817" i="1"/>
  <c r="E10817" i="1"/>
  <c r="H10816" i="1"/>
  <c r="G10816" i="1"/>
  <c r="E10816" i="1"/>
  <c r="H10815" i="1"/>
  <c r="G10815" i="1"/>
  <c r="E10815" i="1"/>
  <c r="H10814" i="1"/>
  <c r="G10814" i="1"/>
  <c r="E10814" i="1"/>
  <c r="H10813" i="1"/>
  <c r="G10813" i="1"/>
  <c r="E10813" i="1"/>
  <c r="H10812" i="1"/>
  <c r="G10812" i="1"/>
  <c r="E10812" i="1"/>
  <c r="H10811" i="1"/>
  <c r="G10811" i="1"/>
  <c r="E10811" i="1"/>
  <c r="H10810" i="1"/>
  <c r="G10810" i="1"/>
  <c r="E10810" i="1"/>
  <c r="H10809" i="1"/>
  <c r="G10809" i="1"/>
  <c r="E10809" i="1"/>
  <c r="H10808" i="1"/>
  <c r="G10808" i="1"/>
  <c r="E10808" i="1"/>
  <c r="H10807" i="1"/>
  <c r="G10807" i="1"/>
  <c r="E10807" i="1"/>
  <c r="H10806" i="1"/>
  <c r="G10806" i="1"/>
  <c r="E10806" i="1"/>
  <c r="H10805" i="1"/>
  <c r="G10805" i="1"/>
  <c r="E10805" i="1"/>
  <c r="H10804" i="1"/>
  <c r="G10804" i="1"/>
  <c r="E10804" i="1"/>
  <c r="H10803" i="1"/>
  <c r="G10803" i="1"/>
  <c r="E10803" i="1"/>
  <c r="H10802" i="1"/>
  <c r="G10802" i="1"/>
  <c r="E10802" i="1"/>
  <c r="H10801" i="1"/>
  <c r="G10801" i="1"/>
  <c r="E10801" i="1"/>
  <c r="H10800" i="1"/>
  <c r="G10800" i="1"/>
  <c r="E10800" i="1"/>
  <c r="H10799" i="1"/>
  <c r="G10799" i="1"/>
  <c r="E10799" i="1"/>
  <c r="H10798" i="1"/>
  <c r="G10798" i="1"/>
  <c r="E10798" i="1"/>
  <c r="H10797" i="1"/>
  <c r="G10797" i="1"/>
  <c r="E10797" i="1"/>
  <c r="H10796" i="1"/>
  <c r="G10796" i="1"/>
  <c r="E10796" i="1"/>
  <c r="H10795" i="1"/>
  <c r="G10795" i="1"/>
  <c r="E10795" i="1"/>
  <c r="H10794" i="1"/>
  <c r="G10794" i="1"/>
  <c r="E10794" i="1"/>
  <c r="H10793" i="1"/>
  <c r="G10793" i="1"/>
  <c r="E10793" i="1"/>
  <c r="H10792" i="1"/>
  <c r="G10792" i="1"/>
  <c r="E10792" i="1"/>
  <c r="H10791" i="1"/>
  <c r="G10791" i="1"/>
  <c r="E10791" i="1"/>
  <c r="H10790" i="1"/>
  <c r="G10790" i="1"/>
  <c r="E10790" i="1"/>
  <c r="H10789" i="1"/>
  <c r="G10789" i="1"/>
  <c r="E10789" i="1"/>
  <c r="H10788" i="1"/>
  <c r="G10788" i="1"/>
  <c r="E10788" i="1"/>
  <c r="H10787" i="1"/>
  <c r="G10787" i="1"/>
  <c r="E10787" i="1"/>
  <c r="H10786" i="1"/>
  <c r="G10786" i="1"/>
  <c r="E10786" i="1"/>
  <c r="H10785" i="1"/>
  <c r="G10785" i="1"/>
  <c r="E10785" i="1"/>
  <c r="H10784" i="1"/>
  <c r="G10784" i="1"/>
  <c r="E10784" i="1"/>
  <c r="H10783" i="1"/>
  <c r="G10783" i="1"/>
  <c r="E10783" i="1"/>
  <c r="H10782" i="1"/>
  <c r="G10782" i="1"/>
  <c r="E10782" i="1"/>
  <c r="H10781" i="1"/>
  <c r="G10781" i="1"/>
  <c r="E10781" i="1"/>
  <c r="H10780" i="1"/>
  <c r="G10780" i="1"/>
  <c r="E10780" i="1"/>
  <c r="H10779" i="1"/>
  <c r="G10779" i="1"/>
  <c r="E10779" i="1"/>
  <c r="H10778" i="1"/>
  <c r="G10778" i="1"/>
  <c r="E10778" i="1"/>
  <c r="H10777" i="1"/>
  <c r="G10777" i="1"/>
  <c r="E10777" i="1"/>
  <c r="H10776" i="1"/>
  <c r="G10776" i="1"/>
  <c r="E10776" i="1"/>
  <c r="H10775" i="1"/>
  <c r="G10775" i="1"/>
  <c r="E10775" i="1"/>
  <c r="H10774" i="1"/>
  <c r="G10774" i="1"/>
  <c r="E10774" i="1"/>
  <c r="H10773" i="1"/>
  <c r="G10773" i="1"/>
  <c r="E10773" i="1"/>
  <c r="H10772" i="1"/>
  <c r="G10772" i="1"/>
  <c r="E10772" i="1"/>
  <c r="H10771" i="1"/>
  <c r="G10771" i="1"/>
  <c r="E10771" i="1"/>
  <c r="H10770" i="1"/>
  <c r="G10770" i="1"/>
  <c r="E10770" i="1"/>
  <c r="H10769" i="1"/>
  <c r="G10769" i="1"/>
  <c r="E10769" i="1"/>
  <c r="H10768" i="1"/>
  <c r="G10768" i="1"/>
  <c r="E10768" i="1"/>
  <c r="H10767" i="1"/>
  <c r="G10767" i="1"/>
  <c r="E10767" i="1"/>
  <c r="H10766" i="1"/>
  <c r="G10766" i="1"/>
  <c r="E10766" i="1"/>
  <c r="H10765" i="1"/>
  <c r="G10765" i="1"/>
  <c r="E10765" i="1"/>
  <c r="H10764" i="1"/>
  <c r="G10764" i="1"/>
  <c r="E10764" i="1"/>
  <c r="H10763" i="1"/>
  <c r="G10763" i="1"/>
  <c r="E10763" i="1"/>
  <c r="H10762" i="1"/>
  <c r="G10762" i="1"/>
  <c r="E10762" i="1"/>
  <c r="H10761" i="1"/>
  <c r="G10761" i="1"/>
  <c r="E10761" i="1"/>
  <c r="H10760" i="1"/>
  <c r="G10760" i="1"/>
  <c r="E10760" i="1"/>
  <c r="H10759" i="1"/>
  <c r="G10759" i="1"/>
  <c r="E10759" i="1"/>
  <c r="H10758" i="1"/>
  <c r="G10758" i="1"/>
  <c r="E10758" i="1"/>
  <c r="H10757" i="1"/>
  <c r="G10757" i="1"/>
  <c r="E10757" i="1"/>
  <c r="H10756" i="1"/>
  <c r="G10756" i="1"/>
  <c r="E10756" i="1"/>
  <c r="H10755" i="1"/>
  <c r="G10755" i="1"/>
  <c r="E10755" i="1"/>
  <c r="H10754" i="1"/>
  <c r="G10754" i="1"/>
  <c r="E10754" i="1"/>
  <c r="H10753" i="1"/>
  <c r="G10753" i="1"/>
  <c r="E10753" i="1"/>
  <c r="H10752" i="1"/>
  <c r="G10752" i="1"/>
  <c r="E10752" i="1"/>
  <c r="H10751" i="1"/>
  <c r="G10751" i="1"/>
  <c r="E10751" i="1"/>
  <c r="H10750" i="1"/>
  <c r="G10750" i="1"/>
  <c r="E10750" i="1"/>
  <c r="H10749" i="1"/>
  <c r="G10749" i="1"/>
  <c r="E10749" i="1"/>
  <c r="H10748" i="1"/>
  <c r="G10748" i="1"/>
  <c r="E10748" i="1"/>
  <c r="H10747" i="1"/>
  <c r="G10747" i="1"/>
  <c r="E10747" i="1"/>
  <c r="H10746" i="1"/>
  <c r="G10746" i="1"/>
  <c r="E10746" i="1"/>
  <c r="H10745" i="1"/>
  <c r="G10745" i="1"/>
  <c r="E10745" i="1"/>
  <c r="H10744" i="1"/>
  <c r="G10744" i="1"/>
  <c r="E10744" i="1"/>
  <c r="H10743" i="1"/>
  <c r="G10743" i="1"/>
  <c r="E10743" i="1"/>
  <c r="H10742" i="1"/>
  <c r="G10742" i="1"/>
  <c r="E10742" i="1"/>
  <c r="H10741" i="1"/>
  <c r="G10741" i="1"/>
  <c r="E10741" i="1"/>
  <c r="H10740" i="1"/>
  <c r="G10740" i="1"/>
  <c r="E10740" i="1"/>
  <c r="H10739" i="1"/>
  <c r="G10739" i="1"/>
  <c r="E10739" i="1"/>
  <c r="H10738" i="1"/>
  <c r="G10738" i="1"/>
  <c r="E10738" i="1"/>
  <c r="H10737" i="1"/>
  <c r="G10737" i="1"/>
  <c r="E10737" i="1"/>
  <c r="H10736" i="1"/>
  <c r="G10736" i="1"/>
  <c r="E10736" i="1"/>
  <c r="H10735" i="1"/>
  <c r="G10735" i="1"/>
  <c r="E10735" i="1"/>
  <c r="H10734" i="1"/>
  <c r="G10734" i="1"/>
  <c r="E10734" i="1"/>
  <c r="H10733" i="1"/>
  <c r="G10733" i="1"/>
  <c r="E10733" i="1"/>
  <c r="H10732" i="1"/>
  <c r="G10732" i="1"/>
  <c r="E10732" i="1"/>
  <c r="H10731" i="1"/>
  <c r="G10731" i="1"/>
  <c r="E10731" i="1"/>
  <c r="H10730" i="1"/>
  <c r="G10730" i="1"/>
  <c r="E10730" i="1"/>
  <c r="H10729" i="1"/>
  <c r="G10729" i="1"/>
  <c r="E10729" i="1"/>
  <c r="H10728" i="1"/>
  <c r="G10728" i="1"/>
  <c r="E10728" i="1"/>
  <c r="H10727" i="1"/>
  <c r="G10727" i="1"/>
  <c r="E10727" i="1"/>
  <c r="H10726" i="1"/>
  <c r="G10726" i="1"/>
  <c r="E10726" i="1"/>
  <c r="H10725" i="1"/>
  <c r="G10725" i="1"/>
  <c r="E10725" i="1"/>
  <c r="H10724" i="1"/>
  <c r="G10724" i="1"/>
  <c r="E10724" i="1"/>
  <c r="H10723" i="1"/>
  <c r="G10723" i="1"/>
  <c r="E10723" i="1"/>
  <c r="H10722" i="1"/>
  <c r="G10722" i="1"/>
  <c r="E10722" i="1"/>
  <c r="H10721" i="1"/>
  <c r="G10721" i="1"/>
  <c r="E10721" i="1"/>
  <c r="H10720" i="1"/>
  <c r="G10720" i="1"/>
  <c r="E10720" i="1"/>
  <c r="H10719" i="1"/>
  <c r="G10719" i="1"/>
  <c r="E10719" i="1"/>
  <c r="H10718" i="1"/>
  <c r="G10718" i="1"/>
  <c r="E10718" i="1"/>
  <c r="H10717" i="1"/>
  <c r="G10717" i="1"/>
  <c r="E10717" i="1"/>
  <c r="H10716" i="1"/>
  <c r="G10716" i="1"/>
  <c r="E10716" i="1"/>
  <c r="H10715" i="1"/>
  <c r="G10715" i="1"/>
  <c r="E10715" i="1"/>
  <c r="H10714" i="1"/>
  <c r="G10714" i="1"/>
  <c r="E10714" i="1"/>
  <c r="H10713" i="1"/>
  <c r="G10713" i="1"/>
  <c r="E10713" i="1"/>
  <c r="H10712" i="1"/>
  <c r="G10712" i="1"/>
  <c r="E10712" i="1"/>
  <c r="H10711" i="1"/>
  <c r="G10711" i="1"/>
  <c r="E10711" i="1"/>
  <c r="H10710" i="1"/>
  <c r="G10710" i="1"/>
  <c r="E10710" i="1"/>
  <c r="H10709" i="1"/>
  <c r="G10709" i="1"/>
  <c r="E10709" i="1"/>
  <c r="H10708" i="1"/>
  <c r="G10708" i="1"/>
  <c r="E10708" i="1"/>
  <c r="H10707" i="1"/>
  <c r="G10707" i="1"/>
  <c r="E10707" i="1"/>
  <c r="H10706" i="1"/>
  <c r="G10706" i="1"/>
  <c r="E10706" i="1"/>
  <c r="H10705" i="1"/>
  <c r="G10705" i="1"/>
  <c r="E10705" i="1"/>
  <c r="H10704" i="1"/>
  <c r="G10704" i="1"/>
  <c r="E10704" i="1"/>
  <c r="H10703" i="1"/>
  <c r="G10703" i="1"/>
  <c r="E10703" i="1"/>
  <c r="H10702" i="1"/>
  <c r="G10702" i="1"/>
  <c r="E10702" i="1"/>
  <c r="H10701" i="1"/>
  <c r="G10701" i="1"/>
  <c r="E10701" i="1"/>
  <c r="H10700" i="1"/>
  <c r="G10700" i="1"/>
  <c r="E10700" i="1"/>
  <c r="H10699" i="1"/>
  <c r="G10699" i="1"/>
  <c r="E10699" i="1"/>
  <c r="H10698" i="1"/>
  <c r="G10698" i="1"/>
  <c r="E10698" i="1"/>
  <c r="H10697" i="1"/>
  <c r="G10697" i="1"/>
  <c r="E10697" i="1"/>
  <c r="H10696" i="1"/>
  <c r="G10696" i="1"/>
  <c r="E10696" i="1"/>
  <c r="H10695" i="1"/>
  <c r="G10695" i="1"/>
  <c r="E10695" i="1"/>
  <c r="H10694" i="1"/>
  <c r="G10694" i="1"/>
  <c r="E10694" i="1"/>
  <c r="H10693" i="1"/>
  <c r="G10693" i="1"/>
  <c r="E10693" i="1"/>
  <c r="H10692" i="1"/>
  <c r="G10692" i="1"/>
  <c r="E10692" i="1"/>
  <c r="H10691" i="1"/>
  <c r="G10691" i="1"/>
  <c r="E10691" i="1"/>
  <c r="H10690" i="1"/>
  <c r="G10690" i="1"/>
  <c r="E10690" i="1"/>
  <c r="H10689" i="1"/>
  <c r="G10689" i="1"/>
  <c r="E10689" i="1"/>
  <c r="H10688" i="1"/>
  <c r="G10688" i="1"/>
  <c r="E10688" i="1"/>
  <c r="H10687" i="1"/>
  <c r="G10687" i="1"/>
  <c r="E10687" i="1"/>
  <c r="H10686" i="1"/>
  <c r="G10686" i="1"/>
  <c r="E10686" i="1"/>
  <c r="H10685" i="1"/>
  <c r="G10685" i="1"/>
  <c r="E10685" i="1"/>
  <c r="H10684" i="1"/>
  <c r="G10684" i="1"/>
  <c r="E10684" i="1"/>
  <c r="H10683" i="1"/>
  <c r="G10683" i="1"/>
  <c r="E10683" i="1"/>
  <c r="H10682" i="1"/>
  <c r="G10682" i="1"/>
  <c r="E10682" i="1"/>
  <c r="H10681" i="1"/>
  <c r="G10681" i="1"/>
  <c r="E10681" i="1"/>
  <c r="H10680" i="1"/>
  <c r="G10680" i="1"/>
  <c r="E10680" i="1"/>
  <c r="H10679" i="1"/>
  <c r="G10679" i="1"/>
  <c r="E10679" i="1"/>
  <c r="H10678" i="1"/>
  <c r="G10678" i="1"/>
  <c r="E10678" i="1"/>
  <c r="H10677" i="1"/>
  <c r="G10677" i="1"/>
  <c r="E10677" i="1"/>
  <c r="H10676" i="1"/>
  <c r="G10676" i="1"/>
  <c r="E10676" i="1"/>
  <c r="H10675" i="1"/>
  <c r="G10675" i="1"/>
  <c r="E10675" i="1"/>
  <c r="H10674" i="1"/>
  <c r="G10674" i="1"/>
  <c r="E10674" i="1"/>
  <c r="H10673" i="1"/>
  <c r="G10673" i="1"/>
  <c r="E10673" i="1"/>
  <c r="H10672" i="1"/>
  <c r="G10672" i="1"/>
  <c r="E10672" i="1"/>
  <c r="H10671" i="1"/>
  <c r="G10671" i="1"/>
  <c r="E10671" i="1"/>
  <c r="H10670" i="1"/>
  <c r="G10670" i="1"/>
  <c r="E10670" i="1"/>
  <c r="H10669" i="1"/>
  <c r="G10669" i="1"/>
  <c r="E10669" i="1"/>
  <c r="H10668" i="1"/>
  <c r="G10668" i="1"/>
  <c r="E10668" i="1"/>
  <c r="H10667" i="1"/>
  <c r="G10667" i="1"/>
  <c r="E10667" i="1"/>
  <c r="H10666" i="1"/>
  <c r="G10666" i="1"/>
  <c r="E10666" i="1"/>
  <c r="H10665" i="1"/>
  <c r="G10665" i="1"/>
  <c r="E10665" i="1"/>
  <c r="H10664" i="1"/>
  <c r="G10664" i="1"/>
  <c r="E10664" i="1"/>
  <c r="H10663" i="1"/>
  <c r="G10663" i="1"/>
  <c r="E10663" i="1"/>
  <c r="H10662" i="1"/>
  <c r="G10662" i="1"/>
  <c r="E10662" i="1"/>
  <c r="H10661" i="1"/>
  <c r="G10661" i="1"/>
  <c r="E10661" i="1"/>
  <c r="H10660" i="1"/>
  <c r="G10660" i="1"/>
  <c r="E10660" i="1"/>
  <c r="H10659" i="1"/>
  <c r="G10659" i="1"/>
  <c r="E10659" i="1"/>
  <c r="H10658" i="1"/>
  <c r="G10658" i="1"/>
  <c r="E10658" i="1"/>
  <c r="H10657" i="1"/>
  <c r="G10657" i="1"/>
  <c r="E10657" i="1"/>
  <c r="H10656" i="1"/>
  <c r="G10656" i="1"/>
  <c r="E10656" i="1"/>
  <c r="H10655" i="1"/>
  <c r="G10655" i="1"/>
  <c r="E10655" i="1"/>
  <c r="H10654" i="1"/>
  <c r="G10654" i="1"/>
  <c r="E10654" i="1"/>
  <c r="H10653" i="1"/>
  <c r="G10653" i="1"/>
  <c r="E10653" i="1"/>
  <c r="H10652" i="1"/>
  <c r="G10652" i="1"/>
  <c r="E10652" i="1"/>
  <c r="H10651" i="1"/>
  <c r="G10651" i="1"/>
  <c r="E10651" i="1"/>
  <c r="H10650" i="1"/>
  <c r="G10650" i="1"/>
  <c r="E10650" i="1"/>
  <c r="H10649" i="1"/>
  <c r="G10649" i="1"/>
  <c r="E10649" i="1"/>
  <c r="H10648" i="1"/>
  <c r="G10648" i="1"/>
  <c r="E10648" i="1"/>
  <c r="H10647" i="1"/>
  <c r="G10647" i="1"/>
  <c r="E10647" i="1"/>
  <c r="H10646" i="1"/>
  <c r="G10646" i="1"/>
  <c r="E10646" i="1"/>
  <c r="H10645" i="1"/>
  <c r="G10645" i="1"/>
  <c r="E10645" i="1"/>
  <c r="H10644" i="1"/>
  <c r="G10644" i="1"/>
  <c r="E10644" i="1"/>
  <c r="H10643" i="1"/>
  <c r="G10643" i="1"/>
  <c r="E10643" i="1"/>
  <c r="H10642" i="1"/>
  <c r="G10642" i="1"/>
  <c r="E10642" i="1"/>
  <c r="H10641" i="1"/>
  <c r="G10641" i="1"/>
  <c r="E10641" i="1"/>
  <c r="H10640" i="1"/>
  <c r="G10640" i="1"/>
  <c r="E10640" i="1"/>
  <c r="H10639" i="1"/>
  <c r="G10639" i="1"/>
  <c r="E10639" i="1"/>
  <c r="H10638" i="1"/>
  <c r="G10638" i="1"/>
  <c r="E10638" i="1"/>
  <c r="H10637" i="1"/>
  <c r="G10637" i="1"/>
  <c r="E10637" i="1"/>
  <c r="H10636" i="1"/>
  <c r="G10636" i="1"/>
  <c r="E10636" i="1"/>
  <c r="H10635" i="1"/>
  <c r="G10635" i="1"/>
  <c r="E10635" i="1"/>
  <c r="H10634" i="1"/>
  <c r="G10634" i="1"/>
  <c r="E10634" i="1"/>
  <c r="H10633" i="1"/>
  <c r="G10633" i="1"/>
  <c r="E10633" i="1"/>
  <c r="H10632" i="1"/>
  <c r="G10632" i="1"/>
  <c r="E10632" i="1"/>
  <c r="H10631" i="1"/>
  <c r="G10631" i="1"/>
  <c r="E10631" i="1"/>
  <c r="H10630" i="1"/>
  <c r="G10630" i="1"/>
  <c r="E10630" i="1"/>
  <c r="H10629" i="1"/>
  <c r="G10629" i="1"/>
  <c r="E10629" i="1"/>
  <c r="H10628" i="1"/>
  <c r="G10628" i="1"/>
  <c r="E10628" i="1"/>
  <c r="H10627" i="1"/>
  <c r="G10627" i="1"/>
  <c r="E10627" i="1"/>
  <c r="H10626" i="1"/>
  <c r="G10626" i="1"/>
  <c r="E10626" i="1"/>
  <c r="H10625" i="1"/>
  <c r="G10625" i="1"/>
  <c r="E10625" i="1"/>
  <c r="H10624" i="1"/>
  <c r="G10624" i="1"/>
  <c r="E10624" i="1"/>
  <c r="H10623" i="1"/>
  <c r="G10623" i="1"/>
  <c r="E10623" i="1"/>
  <c r="H10622" i="1"/>
  <c r="G10622" i="1"/>
  <c r="E10622" i="1"/>
  <c r="H10621" i="1"/>
  <c r="G10621" i="1"/>
  <c r="E10621" i="1"/>
  <c r="H10620" i="1"/>
  <c r="G10620" i="1"/>
  <c r="E10620" i="1"/>
  <c r="H10619" i="1"/>
  <c r="G10619" i="1"/>
  <c r="E10619" i="1"/>
  <c r="H10618" i="1"/>
  <c r="G10618" i="1"/>
  <c r="E10618" i="1"/>
  <c r="H10617" i="1"/>
  <c r="G10617" i="1"/>
  <c r="E10617" i="1"/>
  <c r="H10616" i="1"/>
  <c r="G10616" i="1"/>
  <c r="E10616" i="1"/>
  <c r="H10615" i="1"/>
  <c r="G10615" i="1"/>
  <c r="E10615" i="1"/>
  <c r="H10614" i="1"/>
  <c r="G10614" i="1"/>
  <c r="E10614" i="1"/>
  <c r="H10613" i="1"/>
  <c r="G10613" i="1"/>
  <c r="E10613" i="1"/>
  <c r="H10612" i="1"/>
  <c r="G10612" i="1"/>
  <c r="E10612" i="1"/>
  <c r="H10611" i="1"/>
  <c r="G10611" i="1"/>
  <c r="E10611" i="1"/>
  <c r="H10610" i="1"/>
  <c r="G10610" i="1"/>
  <c r="E10610" i="1"/>
  <c r="H10609" i="1"/>
  <c r="G10609" i="1"/>
  <c r="E10609" i="1"/>
  <c r="H10608" i="1"/>
  <c r="G10608" i="1"/>
  <c r="E10608" i="1"/>
  <c r="H10607" i="1"/>
  <c r="G10607" i="1"/>
  <c r="E10607" i="1"/>
  <c r="H10606" i="1"/>
  <c r="G10606" i="1"/>
  <c r="E10606" i="1"/>
  <c r="H10605" i="1"/>
  <c r="G10605" i="1"/>
  <c r="E10605" i="1"/>
  <c r="H10604" i="1"/>
  <c r="G10604" i="1"/>
  <c r="E10604" i="1"/>
  <c r="H10603" i="1"/>
  <c r="G10603" i="1"/>
  <c r="E10603" i="1"/>
  <c r="H10602" i="1"/>
  <c r="G10602" i="1"/>
  <c r="E10602" i="1"/>
  <c r="H10601" i="1"/>
  <c r="G10601" i="1"/>
  <c r="E10601" i="1"/>
  <c r="H10600" i="1"/>
  <c r="G10600" i="1"/>
  <c r="E10600" i="1"/>
  <c r="H10599" i="1"/>
  <c r="G10599" i="1"/>
  <c r="E10599" i="1"/>
  <c r="H10598" i="1"/>
  <c r="G10598" i="1"/>
  <c r="E10598" i="1"/>
  <c r="H10597" i="1"/>
  <c r="G10597" i="1"/>
  <c r="E10597" i="1"/>
  <c r="H10596" i="1"/>
  <c r="G10596" i="1"/>
  <c r="E10596" i="1"/>
  <c r="H10595" i="1"/>
  <c r="G10595" i="1"/>
  <c r="E10595" i="1"/>
  <c r="H10594" i="1"/>
  <c r="G10594" i="1"/>
  <c r="E10594" i="1"/>
  <c r="H10593" i="1"/>
  <c r="G10593" i="1"/>
  <c r="E10593" i="1"/>
  <c r="H10592" i="1"/>
  <c r="G10592" i="1"/>
  <c r="E10592" i="1"/>
  <c r="H10591" i="1"/>
  <c r="G10591" i="1"/>
  <c r="E10591" i="1"/>
  <c r="H10590" i="1"/>
  <c r="G10590" i="1"/>
  <c r="E10590" i="1"/>
  <c r="H10589" i="1"/>
  <c r="G10589" i="1"/>
  <c r="E10589" i="1"/>
  <c r="H10588" i="1"/>
  <c r="G10588" i="1"/>
  <c r="E10588" i="1"/>
  <c r="H10587" i="1"/>
  <c r="G10587" i="1"/>
  <c r="E10587" i="1"/>
  <c r="H10586" i="1"/>
  <c r="G10586" i="1"/>
  <c r="E10586" i="1"/>
  <c r="H10585" i="1"/>
  <c r="G10585" i="1"/>
  <c r="E10585" i="1"/>
  <c r="H10584" i="1"/>
  <c r="G10584" i="1"/>
  <c r="E10584" i="1"/>
  <c r="H10583" i="1"/>
  <c r="G10583" i="1"/>
  <c r="E10583" i="1"/>
  <c r="H10582" i="1"/>
  <c r="G10582" i="1"/>
  <c r="E10582" i="1"/>
  <c r="H10581" i="1"/>
  <c r="G10581" i="1"/>
  <c r="E10581" i="1"/>
  <c r="H10580" i="1"/>
  <c r="G10580" i="1"/>
  <c r="E10580" i="1"/>
  <c r="H10579" i="1"/>
  <c r="G10579" i="1"/>
  <c r="E10579" i="1"/>
  <c r="H10578" i="1"/>
  <c r="G10578" i="1"/>
  <c r="E10578" i="1"/>
  <c r="H10577" i="1"/>
  <c r="G10577" i="1"/>
  <c r="E10577" i="1"/>
  <c r="H10576" i="1"/>
  <c r="G10576" i="1"/>
  <c r="E10576" i="1"/>
  <c r="H10575" i="1"/>
  <c r="G10575" i="1"/>
  <c r="E10575" i="1"/>
  <c r="H10574" i="1"/>
  <c r="G10574" i="1"/>
  <c r="E10574" i="1"/>
  <c r="H10573" i="1"/>
  <c r="G10573" i="1"/>
  <c r="E10573" i="1"/>
  <c r="H10572" i="1"/>
  <c r="G10572" i="1"/>
  <c r="E10572" i="1"/>
  <c r="H10571" i="1"/>
  <c r="G10571" i="1"/>
  <c r="E10571" i="1"/>
  <c r="H10570" i="1"/>
  <c r="G10570" i="1"/>
  <c r="E10570" i="1"/>
  <c r="H10569" i="1"/>
  <c r="G10569" i="1"/>
  <c r="E10569" i="1"/>
  <c r="H10568" i="1"/>
  <c r="G10568" i="1"/>
  <c r="E10568" i="1"/>
  <c r="H10567" i="1"/>
  <c r="G10567" i="1"/>
  <c r="E10567" i="1"/>
  <c r="H10566" i="1"/>
  <c r="G10566" i="1"/>
  <c r="E10566" i="1"/>
  <c r="H10565" i="1"/>
  <c r="G10565" i="1"/>
  <c r="E10565" i="1"/>
  <c r="H10564" i="1"/>
  <c r="G10564" i="1"/>
  <c r="E10564" i="1"/>
  <c r="H10563" i="1"/>
  <c r="G10563" i="1"/>
  <c r="E10563" i="1"/>
  <c r="H10562" i="1"/>
  <c r="G10562" i="1"/>
  <c r="E10562" i="1"/>
  <c r="H10561" i="1"/>
  <c r="G10561" i="1"/>
  <c r="E10561" i="1"/>
  <c r="H10560" i="1"/>
  <c r="G10560" i="1"/>
  <c r="E10560" i="1"/>
  <c r="H10559" i="1"/>
  <c r="G10559" i="1"/>
  <c r="E10559" i="1"/>
  <c r="H10558" i="1"/>
  <c r="G10558" i="1"/>
  <c r="E10558" i="1"/>
  <c r="H10557" i="1"/>
  <c r="G10557" i="1"/>
  <c r="E10557" i="1"/>
  <c r="H10556" i="1"/>
  <c r="G10556" i="1"/>
  <c r="E10556" i="1"/>
  <c r="H10555" i="1"/>
  <c r="G10555" i="1"/>
  <c r="E10555" i="1"/>
  <c r="H10554" i="1"/>
  <c r="G10554" i="1"/>
  <c r="E10554" i="1"/>
  <c r="H10553" i="1"/>
  <c r="G10553" i="1"/>
  <c r="E10553" i="1"/>
  <c r="H10552" i="1"/>
  <c r="G10552" i="1"/>
  <c r="E10552" i="1"/>
  <c r="H10551" i="1"/>
  <c r="G10551" i="1"/>
  <c r="E10551" i="1"/>
  <c r="H10550" i="1"/>
  <c r="G10550" i="1"/>
  <c r="E10550" i="1"/>
  <c r="H10549" i="1"/>
  <c r="G10549" i="1"/>
  <c r="E10549" i="1"/>
  <c r="H10548" i="1"/>
  <c r="G10548" i="1"/>
  <c r="E10548" i="1"/>
  <c r="H10547" i="1"/>
  <c r="G10547" i="1"/>
  <c r="E10547" i="1"/>
  <c r="H10546" i="1"/>
  <c r="G10546" i="1"/>
  <c r="E10546" i="1"/>
  <c r="H10545" i="1"/>
  <c r="G10545" i="1"/>
  <c r="E10545" i="1"/>
  <c r="H10544" i="1"/>
  <c r="G10544" i="1"/>
  <c r="E10544" i="1"/>
  <c r="H10543" i="1"/>
  <c r="G10543" i="1"/>
  <c r="E10543" i="1"/>
  <c r="H10542" i="1"/>
  <c r="G10542" i="1"/>
  <c r="E10542" i="1"/>
  <c r="H10541" i="1"/>
  <c r="G10541" i="1"/>
  <c r="E10541" i="1"/>
  <c r="H10540" i="1"/>
  <c r="G10540" i="1"/>
  <c r="E10540" i="1"/>
  <c r="H10539" i="1"/>
  <c r="G10539" i="1"/>
  <c r="E10539" i="1"/>
  <c r="H10538" i="1"/>
  <c r="G10538" i="1"/>
  <c r="E10538" i="1"/>
  <c r="H10537" i="1"/>
  <c r="G10537" i="1"/>
  <c r="E10537" i="1"/>
  <c r="H10536" i="1"/>
  <c r="G10536" i="1"/>
  <c r="E10536" i="1"/>
  <c r="H10535" i="1"/>
  <c r="G10535" i="1"/>
  <c r="E10535" i="1"/>
  <c r="H10534" i="1"/>
  <c r="G10534" i="1"/>
  <c r="E10534" i="1"/>
  <c r="H10533" i="1"/>
  <c r="G10533" i="1"/>
  <c r="E10533" i="1"/>
  <c r="H10532" i="1"/>
  <c r="G10532" i="1"/>
  <c r="E10532" i="1"/>
  <c r="H10531" i="1"/>
  <c r="G10531" i="1"/>
  <c r="E10531" i="1"/>
  <c r="H10530" i="1"/>
  <c r="G10530" i="1"/>
  <c r="E10530" i="1"/>
  <c r="H10529" i="1"/>
  <c r="G10529" i="1"/>
  <c r="E10529" i="1"/>
  <c r="H10528" i="1"/>
  <c r="G10528" i="1"/>
  <c r="E10528" i="1"/>
  <c r="H10527" i="1"/>
  <c r="G10527" i="1"/>
  <c r="E10527" i="1"/>
  <c r="H10526" i="1"/>
  <c r="G10526" i="1"/>
  <c r="E10526" i="1"/>
  <c r="H10525" i="1"/>
  <c r="G10525" i="1"/>
  <c r="E10525" i="1"/>
  <c r="H10524" i="1"/>
  <c r="G10524" i="1"/>
  <c r="E10524" i="1"/>
  <c r="H10523" i="1"/>
  <c r="G10523" i="1"/>
  <c r="E10523" i="1"/>
  <c r="H10522" i="1"/>
  <c r="G10522" i="1"/>
  <c r="E10522" i="1"/>
  <c r="H10521" i="1"/>
  <c r="G10521" i="1"/>
  <c r="E10521" i="1"/>
  <c r="H10520" i="1"/>
  <c r="G10520" i="1"/>
  <c r="E10520" i="1"/>
  <c r="H10519" i="1"/>
  <c r="G10519" i="1"/>
  <c r="E10519" i="1"/>
  <c r="H10518" i="1"/>
  <c r="G10518" i="1"/>
  <c r="E10518" i="1"/>
  <c r="H10517" i="1"/>
  <c r="G10517" i="1"/>
  <c r="E10517" i="1"/>
  <c r="H10516" i="1"/>
  <c r="G10516" i="1"/>
  <c r="E10516" i="1"/>
  <c r="H10515" i="1"/>
  <c r="G10515" i="1"/>
  <c r="E10515" i="1"/>
  <c r="H10514" i="1"/>
  <c r="G10514" i="1"/>
  <c r="E10514" i="1"/>
  <c r="H10513" i="1"/>
  <c r="G10513" i="1"/>
  <c r="E10513" i="1"/>
  <c r="H10512" i="1"/>
  <c r="G10512" i="1"/>
  <c r="E10512" i="1"/>
  <c r="H10511" i="1"/>
  <c r="G10511" i="1"/>
  <c r="E10511" i="1"/>
  <c r="H10510" i="1"/>
  <c r="G10510" i="1"/>
  <c r="E10510" i="1"/>
  <c r="H10509" i="1"/>
  <c r="G10509" i="1"/>
  <c r="E10509" i="1"/>
  <c r="H10508" i="1"/>
  <c r="G10508" i="1"/>
  <c r="E10508" i="1"/>
  <c r="H10507" i="1"/>
  <c r="G10507" i="1"/>
  <c r="E10507" i="1"/>
  <c r="H10506" i="1"/>
  <c r="G10506" i="1"/>
  <c r="E10506" i="1"/>
  <c r="H10505" i="1"/>
  <c r="G10505" i="1"/>
  <c r="E10505" i="1"/>
  <c r="H10504" i="1"/>
  <c r="G10504" i="1"/>
  <c r="E10504" i="1"/>
  <c r="H10503" i="1"/>
  <c r="G10503" i="1"/>
  <c r="E10503" i="1"/>
  <c r="H10502" i="1"/>
  <c r="G10502" i="1"/>
  <c r="E10502" i="1"/>
  <c r="H10501" i="1"/>
  <c r="G10501" i="1"/>
  <c r="E10501" i="1"/>
  <c r="H10500" i="1"/>
  <c r="G10500" i="1"/>
  <c r="E10500" i="1"/>
  <c r="H10499" i="1"/>
  <c r="G10499" i="1"/>
  <c r="E10499" i="1"/>
  <c r="H10498" i="1"/>
  <c r="G10498" i="1"/>
  <c r="E10498" i="1"/>
  <c r="H10497" i="1"/>
  <c r="G10497" i="1"/>
  <c r="E10497" i="1"/>
  <c r="H10496" i="1"/>
  <c r="G10496" i="1"/>
  <c r="E10496" i="1"/>
  <c r="H10495" i="1"/>
  <c r="G10495" i="1"/>
  <c r="E10495" i="1"/>
  <c r="H10494" i="1"/>
  <c r="G10494" i="1"/>
  <c r="E10494" i="1"/>
  <c r="H10493" i="1"/>
  <c r="G10493" i="1"/>
  <c r="E10493" i="1"/>
  <c r="H10492" i="1"/>
  <c r="G10492" i="1"/>
  <c r="E10492" i="1"/>
  <c r="H10491" i="1"/>
  <c r="G10491" i="1"/>
  <c r="E10491" i="1"/>
  <c r="H10490" i="1"/>
  <c r="G10490" i="1"/>
  <c r="E10490" i="1"/>
  <c r="H10489" i="1"/>
  <c r="G10489" i="1"/>
  <c r="E10489" i="1"/>
  <c r="H10488" i="1"/>
  <c r="G10488" i="1"/>
  <c r="E10488" i="1"/>
  <c r="H10487" i="1"/>
  <c r="G10487" i="1"/>
  <c r="E10487" i="1"/>
  <c r="H10486" i="1"/>
  <c r="G10486" i="1"/>
  <c r="E10486" i="1"/>
  <c r="H10485" i="1"/>
  <c r="G10485" i="1"/>
  <c r="E10485" i="1"/>
  <c r="H10484" i="1"/>
  <c r="G10484" i="1"/>
  <c r="E10484" i="1"/>
  <c r="H10483" i="1"/>
  <c r="G10483" i="1"/>
  <c r="E10483" i="1"/>
  <c r="H10482" i="1"/>
  <c r="G10482" i="1"/>
  <c r="E10482" i="1"/>
  <c r="H10481" i="1"/>
  <c r="G10481" i="1"/>
  <c r="E10481" i="1"/>
  <c r="H10480" i="1"/>
  <c r="G10480" i="1"/>
  <c r="E10480" i="1"/>
  <c r="H10479" i="1"/>
  <c r="G10479" i="1"/>
  <c r="E10479" i="1"/>
  <c r="H10478" i="1"/>
  <c r="G10478" i="1"/>
  <c r="E10478" i="1"/>
  <c r="H10477" i="1"/>
  <c r="G10477" i="1"/>
  <c r="E10477" i="1"/>
  <c r="H10476" i="1"/>
  <c r="G10476" i="1"/>
  <c r="E10476" i="1"/>
  <c r="H10475" i="1"/>
  <c r="G10475" i="1"/>
  <c r="E10475" i="1"/>
  <c r="H10474" i="1"/>
  <c r="G10474" i="1"/>
  <c r="E10474" i="1"/>
  <c r="H10473" i="1"/>
  <c r="G10473" i="1"/>
  <c r="E10473" i="1"/>
  <c r="H10472" i="1"/>
  <c r="G10472" i="1"/>
  <c r="E10472" i="1"/>
  <c r="H10471" i="1"/>
  <c r="G10471" i="1"/>
  <c r="E10471" i="1"/>
  <c r="H10470" i="1"/>
  <c r="G10470" i="1"/>
  <c r="E10470" i="1"/>
  <c r="H10469" i="1"/>
  <c r="G10469" i="1"/>
  <c r="E10469" i="1"/>
  <c r="H10468" i="1"/>
  <c r="G10468" i="1"/>
  <c r="E10468" i="1"/>
  <c r="H10467" i="1"/>
  <c r="G10467" i="1"/>
  <c r="E10467" i="1"/>
  <c r="H10466" i="1"/>
  <c r="G10466" i="1"/>
  <c r="E10466" i="1"/>
  <c r="H10465" i="1"/>
  <c r="G10465" i="1"/>
  <c r="E10465" i="1"/>
  <c r="H10464" i="1"/>
  <c r="G10464" i="1"/>
  <c r="E10464" i="1"/>
  <c r="H10463" i="1"/>
  <c r="G10463" i="1"/>
  <c r="E10463" i="1"/>
  <c r="H10462" i="1"/>
  <c r="G10462" i="1"/>
  <c r="E10462" i="1"/>
  <c r="H10461" i="1"/>
  <c r="G10461" i="1"/>
  <c r="E10461" i="1"/>
  <c r="H10460" i="1"/>
  <c r="G10460" i="1"/>
  <c r="E10460" i="1"/>
  <c r="H10459" i="1"/>
  <c r="G10459" i="1"/>
  <c r="E10459" i="1"/>
  <c r="H10458" i="1"/>
  <c r="G10458" i="1"/>
  <c r="E10458" i="1"/>
  <c r="H10457" i="1"/>
  <c r="G10457" i="1"/>
  <c r="E10457" i="1"/>
  <c r="H10456" i="1"/>
  <c r="G10456" i="1"/>
  <c r="E10456" i="1"/>
  <c r="H10455" i="1"/>
  <c r="G10455" i="1"/>
  <c r="E10455" i="1"/>
  <c r="H10454" i="1"/>
  <c r="G10454" i="1"/>
  <c r="E10454" i="1"/>
  <c r="H10453" i="1"/>
  <c r="G10453" i="1"/>
  <c r="E10453" i="1"/>
  <c r="H10452" i="1"/>
  <c r="G10452" i="1"/>
  <c r="E10452" i="1"/>
  <c r="H10451" i="1"/>
  <c r="G10451" i="1"/>
  <c r="E10451" i="1"/>
  <c r="H10450" i="1"/>
  <c r="G10450" i="1"/>
  <c r="E10450" i="1"/>
  <c r="H10449" i="1"/>
  <c r="G10449" i="1"/>
  <c r="E10449" i="1"/>
  <c r="H10448" i="1"/>
  <c r="G10448" i="1"/>
  <c r="E10448" i="1"/>
  <c r="H10447" i="1"/>
  <c r="G10447" i="1"/>
  <c r="E10447" i="1"/>
  <c r="H10446" i="1"/>
  <c r="G10446" i="1"/>
  <c r="E10446" i="1"/>
  <c r="H10445" i="1"/>
  <c r="G10445" i="1"/>
  <c r="E10445" i="1"/>
  <c r="H10444" i="1"/>
  <c r="G10444" i="1"/>
  <c r="E10444" i="1"/>
  <c r="H10443" i="1"/>
  <c r="G10443" i="1"/>
  <c r="E10443" i="1"/>
  <c r="H10442" i="1"/>
  <c r="G10442" i="1"/>
  <c r="E10442" i="1"/>
  <c r="H10441" i="1"/>
  <c r="G10441" i="1"/>
  <c r="E10441" i="1"/>
  <c r="H10440" i="1"/>
  <c r="G10440" i="1"/>
  <c r="E10440" i="1"/>
  <c r="H10439" i="1"/>
  <c r="G10439" i="1"/>
  <c r="E10439" i="1"/>
  <c r="H10438" i="1"/>
  <c r="G10438" i="1"/>
  <c r="E10438" i="1"/>
  <c r="H10437" i="1"/>
  <c r="G10437" i="1"/>
  <c r="E10437" i="1"/>
  <c r="H10436" i="1"/>
  <c r="G10436" i="1"/>
  <c r="E10436" i="1"/>
  <c r="H10435" i="1"/>
  <c r="G10435" i="1"/>
  <c r="E10435" i="1"/>
  <c r="H10434" i="1"/>
  <c r="G10434" i="1"/>
  <c r="E10434" i="1"/>
  <c r="H10433" i="1"/>
  <c r="G10433" i="1"/>
  <c r="E10433" i="1"/>
  <c r="H10432" i="1"/>
  <c r="G10432" i="1"/>
  <c r="E10432" i="1"/>
  <c r="H10431" i="1"/>
  <c r="G10431" i="1"/>
  <c r="E10431" i="1"/>
  <c r="H10430" i="1"/>
  <c r="G10430" i="1"/>
  <c r="E10430" i="1"/>
  <c r="H10429" i="1"/>
  <c r="G10429" i="1"/>
  <c r="E10429" i="1"/>
  <c r="H10428" i="1"/>
  <c r="G10428" i="1"/>
  <c r="E10428" i="1"/>
  <c r="H10427" i="1"/>
  <c r="G10427" i="1"/>
  <c r="E10427" i="1"/>
  <c r="H10426" i="1"/>
  <c r="G10426" i="1"/>
  <c r="E10426" i="1"/>
  <c r="H10425" i="1"/>
  <c r="G10425" i="1"/>
  <c r="E10425" i="1"/>
  <c r="H10424" i="1"/>
  <c r="G10424" i="1"/>
  <c r="E10424" i="1"/>
  <c r="H10423" i="1"/>
  <c r="G10423" i="1"/>
  <c r="E10423" i="1"/>
  <c r="H10422" i="1"/>
  <c r="G10422" i="1"/>
  <c r="E10422" i="1"/>
  <c r="H10421" i="1"/>
  <c r="G10421" i="1"/>
  <c r="E10421" i="1"/>
  <c r="H10420" i="1"/>
  <c r="G10420" i="1"/>
  <c r="E10420" i="1"/>
  <c r="H10419" i="1"/>
  <c r="G10419" i="1"/>
  <c r="E10419" i="1"/>
  <c r="H10418" i="1"/>
  <c r="G10418" i="1"/>
  <c r="E10418" i="1"/>
  <c r="H10417" i="1"/>
  <c r="G10417" i="1"/>
  <c r="E10417" i="1"/>
  <c r="H10416" i="1"/>
  <c r="G10416" i="1"/>
  <c r="E10416" i="1"/>
  <c r="H10415" i="1"/>
  <c r="G10415" i="1"/>
  <c r="E10415" i="1"/>
  <c r="H10414" i="1"/>
  <c r="G10414" i="1"/>
  <c r="E10414" i="1"/>
  <c r="H10413" i="1"/>
  <c r="G10413" i="1"/>
  <c r="E10413" i="1"/>
  <c r="H10412" i="1"/>
  <c r="G10412" i="1"/>
  <c r="E10412" i="1"/>
  <c r="H10411" i="1"/>
  <c r="G10411" i="1"/>
  <c r="E10411" i="1"/>
  <c r="H10410" i="1"/>
  <c r="G10410" i="1"/>
  <c r="E10410" i="1"/>
  <c r="H10409" i="1"/>
  <c r="G10409" i="1"/>
  <c r="E10409" i="1"/>
  <c r="H10408" i="1"/>
  <c r="G10408" i="1"/>
  <c r="E10408" i="1"/>
  <c r="H10407" i="1"/>
  <c r="G10407" i="1"/>
  <c r="E10407" i="1"/>
  <c r="H10406" i="1"/>
  <c r="G10406" i="1"/>
  <c r="E10406" i="1"/>
  <c r="H10405" i="1"/>
  <c r="G10405" i="1"/>
  <c r="E10405" i="1"/>
  <c r="H10404" i="1"/>
  <c r="G10404" i="1"/>
  <c r="E10404" i="1"/>
  <c r="H10403" i="1"/>
  <c r="G10403" i="1"/>
  <c r="E10403" i="1"/>
  <c r="H10402" i="1"/>
  <c r="G10402" i="1"/>
  <c r="E10402" i="1"/>
  <c r="H10401" i="1"/>
  <c r="G10401" i="1"/>
  <c r="E10401" i="1"/>
  <c r="H10400" i="1"/>
  <c r="G10400" i="1"/>
  <c r="E10400" i="1"/>
  <c r="H10399" i="1"/>
  <c r="G10399" i="1"/>
  <c r="E10399" i="1"/>
  <c r="H10398" i="1"/>
  <c r="G10398" i="1"/>
  <c r="E10398" i="1"/>
  <c r="H10397" i="1"/>
  <c r="G10397" i="1"/>
  <c r="E10397" i="1"/>
  <c r="H10396" i="1"/>
  <c r="G10396" i="1"/>
  <c r="E10396" i="1"/>
  <c r="H10395" i="1"/>
  <c r="G10395" i="1"/>
  <c r="E10395" i="1"/>
  <c r="H10394" i="1"/>
  <c r="G10394" i="1"/>
  <c r="E10394" i="1"/>
  <c r="H10393" i="1"/>
  <c r="G10393" i="1"/>
  <c r="E10393" i="1"/>
  <c r="H10392" i="1"/>
  <c r="G10392" i="1"/>
  <c r="E10392" i="1"/>
  <c r="H10391" i="1"/>
  <c r="G10391" i="1"/>
  <c r="E10391" i="1"/>
  <c r="H10390" i="1"/>
  <c r="G10390" i="1"/>
  <c r="E10390" i="1"/>
  <c r="H10389" i="1"/>
  <c r="G10389" i="1"/>
  <c r="E10389" i="1"/>
  <c r="H10388" i="1"/>
  <c r="G10388" i="1"/>
  <c r="E10388" i="1"/>
  <c r="H10387" i="1"/>
  <c r="G10387" i="1"/>
  <c r="E10387" i="1"/>
  <c r="H10386" i="1"/>
  <c r="G10386" i="1"/>
  <c r="E10386" i="1"/>
  <c r="H10385" i="1"/>
  <c r="G10385" i="1"/>
  <c r="E10385" i="1"/>
  <c r="H10384" i="1"/>
  <c r="G10384" i="1"/>
  <c r="E10384" i="1"/>
  <c r="H10383" i="1"/>
  <c r="G10383" i="1"/>
  <c r="E10383" i="1"/>
  <c r="H10382" i="1"/>
  <c r="G10382" i="1"/>
  <c r="E10382" i="1"/>
  <c r="H10381" i="1"/>
  <c r="G10381" i="1"/>
  <c r="E10381" i="1"/>
  <c r="H10380" i="1"/>
  <c r="G10380" i="1"/>
  <c r="E10380" i="1"/>
  <c r="H10379" i="1"/>
  <c r="G10379" i="1"/>
  <c r="E10379" i="1"/>
  <c r="H10378" i="1"/>
  <c r="G10378" i="1"/>
  <c r="E10378" i="1"/>
  <c r="H10377" i="1"/>
  <c r="G10377" i="1"/>
  <c r="E10377" i="1"/>
  <c r="H10376" i="1"/>
  <c r="G10376" i="1"/>
  <c r="E10376" i="1"/>
  <c r="H10375" i="1"/>
  <c r="G10375" i="1"/>
  <c r="E10375" i="1"/>
  <c r="H10374" i="1"/>
  <c r="G10374" i="1"/>
  <c r="E10374" i="1"/>
  <c r="H10373" i="1"/>
  <c r="G10373" i="1"/>
  <c r="E10373" i="1"/>
  <c r="H10372" i="1"/>
  <c r="G10372" i="1"/>
  <c r="E10372" i="1"/>
  <c r="H10371" i="1"/>
  <c r="G10371" i="1"/>
  <c r="E10371" i="1"/>
  <c r="H10370" i="1"/>
  <c r="G10370" i="1"/>
  <c r="E10370" i="1"/>
  <c r="H10369" i="1"/>
  <c r="G10369" i="1"/>
  <c r="E10369" i="1"/>
  <c r="H10368" i="1"/>
  <c r="G10368" i="1"/>
  <c r="E10368" i="1"/>
  <c r="H10367" i="1"/>
  <c r="G10367" i="1"/>
  <c r="E10367" i="1"/>
  <c r="H10366" i="1"/>
  <c r="G10366" i="1"/>
  <c r="E10366" i="1"/>
  <c r="H10365" i="1"/>
  <c r="G10365" i="1"/>
  <c r="E10365" i="1"/>
  <c r="H10364" i="1"/>
  <c r="G10364" i="1"/>
  <c r="E10364" i="1"/>
  <c r="H10363" i="1"/>
  <c r="G10363" i="1"/>
  <c r="E10363" i="1"/>
  <c r="H10362" i="1"/>
  <c r="G10362" i="1"/>
  <c r="E10362" i="1"/>
  <c r="H10361" i="1"/>
  <c r="G10361" i="1"/>
  <c r="E10361" i="1"/>
  <c r="H10360" i="1"/>
  <c r="G10360" i="1"/>
  <c r="E10360" i="1"/>
  <c r="H10359" i="1"/>
  <c r="G10359" i="1"/>
  <c r="E10359" i="1"/>
  <c r="H10358" i="1"/>
  <c r="G10358" i="1"/>
  <c r="E10358" i="1"/>
  <c r="H10357" i="1"/>
  <c r="G10357" i="1"/>
  <c r="E10357" i="1"/>
  <c r="H10356" i="1"/>
  <c r="G10356" i="1"/>
  <c r="E10356" i="1"/>
  <c r="H10355" i="1"/>
  <c r="G10355" i="1"/>
  <c r="E10355" i="1"/>
  <c r="H10354" i="1"/>
  <c r="G10354" i="1"/>
  <c r="E10354" i="1"/>
  <c r="H10353" i="1"/>
  <c r="G10353" i="1"/>
  <c r="E10353" i="1"/>
  <c r="H10352" i="1"/>
  <c r="G10352" i="1"/>
  <c r="E10352" i="1"/>
  <c r="H10351" i="1"/>
  <c r="G10351" i="1"/>
  <c r="E10351" i="1"/>
  <c r="H10350" i="1"/>
  <c r="G10350" i="1"/>
  <c r="E10350" i="1"/>
  <c r="H10349" i="1"/>
  <c r="G10349" i="1"/>
  <c r="E10349" i="1"/>
  <c r="H10348" i="1"/>
  <c r="G10348" i="1"/>
  <c r="E10348" i="1"/>
  <c r="H10347" i="1"/>
  <c r="G10347" i="1"/>
  <c r="E10347" i="1"/>
  <c r="H10346" i="1"/>
  <c r="G10346" i="1"/>
  <c r="E10346" i="1"/>
  <c r="H10345" i="1"/>
  <c r="G10345" i="1"/>
  <c r="E10345" i="1"/>
  <c r="H10344" i="1"/>
  <c r="G10344" i="1"/>
  <c r="E10344" i="1"/>
  <c r="H10343" i="1"/>
  <c r="G10343" i="1"/>
  <c r="E10343" i="1"/>
  <c r="H10342" i="1"/>
  <c r="G10342" i="1"/>
  <c r="E10342" i="1"/>
  <c r="H10341" i="1"/>
  <c r="G10341" i="1"/>
  <c r="E10341" i="1"/>
  <c r="H10340" i="1"/>
  <c r="G10340" i="1"/>
  <c r="E10340" i="1"/>
  <c r="H10339" i="1"/>
  <c r="G10339" i="1"/>
  <c r="E10339" i="1"/>
  <c r="H10338" i="1"/>
  <c r="G10338" i="1"/>
  <c r="E10338" i="1"/>
  <c r="H10337" i="1"/>
  <c r="G10337" i="1"/>
  <c r="E10337" i="1"/>
  <c r="H10336" i="1"/>
  <c r="G10336" i="1"/>
  <c r="E10336" i="1"/>
  <c r="H10335" i="1"/>
  <c r="G10335" i="1"/>
  <c r="E10335" i="1"/>
  <c r="H10334" i="1"/>
  <c r="G10334" i="1"/>
  <c r="E10334" i="1"/>
  <c r="H10333" i="1"/>
  <c r="G10333" i="1"/>
  <c r="E10333" i="1"/>
  <c r="H10332" i="1"/>
  <c r="G10332" i="1"/>
  <c r="E10332" i="1"/>
  <c r="H10331" i="1"/>
  <c r="G10331" i="1"/>
  <c r="E10331" i="1"/>
  <c r="H10330" i="1"/>
  <c r="G10330" i="1"/>
  <c r="E10330" i="1"/>
  <c r="H10329" i="1"/>
  <c r="G10329" i="1"/>
  <c r="E10329" i="1"/>
  <c r="H10328" i="1"/>
  <c r="G10328" i="1"/>
  <c r="E10328" i="1"/>
  <c r="H10327" i="1"/>
  <c r="G10327" i="1"/>
  <c r="E10327" i="1"/>
  <c r="H10326" i="1"/>
  <c r="G10326" i="1"/>
  <c r="E10326" i="1"/>
  <c r="H10325" i="1"/>
  <c r="G10325" i="1"/>
  <c r="E10325" i="1"/>
  <c r="H10324" i="1"/>
  <c r="G10324" i="1"/>
  <c r="E10324" i="1"/>
  <c r="H10323" i="1"/>
  <c r="G10323" i="1"/>
  <c r="E10323" i="1"/>
  <c r="H10322" i="1"/>
  <c r="G10322" i="1"/>
  <c r="E10322" i="1"/>
  <c r="H10321" i="1"/>
  <c r="G10321" i="1"/>
  <c r="E10321" i="1"/>
  <c r="H10320" i="1"/>
  <c r="G10320" i="1"/>
  <c r="E10320" i="1"/>
  <c r="H10319" i="1"/>
  <c r="G10319" i="1"/>
  <c r="E10319" i="1"/>
  <c r="H10318" i="1"/>
  <c r="G10318" i="1"/>
  <c r="E10318" i="1"/>
  <c r="H10317" i="1"/>
  <c r="G10317" i="1"/>
  <c r="E10317" i="1"/>
  <c r="H10316" i="1"/>
  <c r="G10316" i="1"/>
  <c r="E10316" i="1"/>
  <c r="H10315" i="1"/>
  <c r="G10315" i="1"/>
  <c r="E10315" i="1"/>
  <c r="H10314" i="1"/>
  <c r="G10314" i="1"/>
  <c r="E10314" i="1"/>
  <c r="H10313" i="1"/>
  <c r="G10313" i="1"/>
  <c r="E10313" i="1"/>
  <c r="H10312" i="1"/>
  <c r="G10312" i="1"/>
  <c r="E10312" i="1"/>
  <c r="H10311" i="1"/>
  <c r="G10311" i="1"/>
  <c r="E10311" i="1"/>
  <c r="H10310" i="1"/>
  <c r="G10310" i="1"/>
  <c r="E10310" i="1"/>
  <c r="H10309" i="1"/>
  <c r="G10309" i="1"/>
  <c r="E10309" i="1"/>
  <c r="H10308" i="1"/>
  <c r="G10308" i="1"/>
  <c r="E10308" i="1"/>
  <c r="H10307" i="1"/>
  <c r="G10307" i="1"/>
  <c r="E10307" i="1"/>
  <c r="H10306" i="1"/>
  <c r="G10306" i="1"/>
  <c r="E10306" i="1"/>
  <c r="H10305" i="1"/>
  <c r="G10305" i="1"/>
  <c r="E10305" i="1"/>
  <c r="H10304" i="1"/>
  <c r="G10304" i="1"/>
  <c r="E10304" i="1"/>
  <c r="H10303" i="1"/>
  <c r="G10303" i="1"/>
  <c r="E10303" i="1"/>
  <c r="H10302" i="1"/>
  <c r="G10302" i="1"/>
  <c r="E10302" i="1"/>
  <c r="H10301" i="1"/>
  <c r="G10301" i="1"/>
  <c r="E10301" i="1"/>
  <c r="H10300" i="1"/>
  <c r="G10300" i="1"/>
  <c r="E10300" i="1"/>
  <c r="H10299" i="1"/>
  <c r="G10299" i="1"/>
  <c r="E10299" i="1"/>
  <c r="H10298" i="1"/>
  <c r="G10298" i="1"/>
  <c r="E10298" i="1"/>
  <c r="H10297" i="1"/>
  <c r="G10297" i="1"/>
  <c r="E10297" i="1"/>
  <c r="H10296" i="1"/>
  <c r="G10296" i="1"/>
  <c r="E10296" i="1"/>
  <c r="H10295" i="1"/>
  <c r="G10295" i="1"/>
  <c r="E10295" i="1"/>
  <c r="H10294" i="1"/>
  <c r="G10294" i="1"/>
  <c r="E10294" i="1"/>
  <c r="H10293" i="1"/>
  <c r="G10293" i="1"/>
  <c r="E10293" i="1"/>
  <c r="H10292" i="1"/>
  <c r="G10292" i="1"/>
  <c r="E10292" i="1"/>
  <c r="H10291" i="1"/>
  <c r="G10291" i="1"/>
  <c r="E10291" i="1"/>
  <c r="H10290" i="1"/>
  <c r="G10290" i="1"/>
  <c r="E10290" i="1"/>
  <c r="H10289" i="1"/>
  <c r="G10289" i="1"/>
  <c r="E10289" i="1"/>
  <c r="H10288" i="1"/>
  <c r="G10288" i="1"/>
  <c r="E10288" i="1"/>
  <c r="H10287" i="1"/>
  <c r="G10287" i="1"/>
  <c r="E10287" i="1"/>
  <c r="H10286" i="1"/>
  <c r="G10286" i="1"/>
  <c r="E10286" i="1"/>
  <c r="H10285" i="1"/>
  <c r="G10285" i="1"/>
  <c r="E10285" i="1"/>
  <c r="H10284" i="1"/>
  <c r="G10284" i="1"/>
  <c r="E10284" i="1"/>
  <c r="H10283" i="1"/>
  <c r="G10283" i="1"/>
  <c r="E10283" i="1"/>
  <c r="H10282" i="1"/>
  <c r="G10282" i="1"/>
  <c r="E10282" i="1"/>
  <c r="H10281" i="1"/>
  <c r="G10281" i="1"/>
  <c r="E10281" i="1"/>
  <c r="H10280" i="1"/>
  <c r="G10280" i="1"/>
  <c r="E10280" i="1"/>
  <c r="H10279" i="1"/>
  <c r="G10279" i="1"/>
  <c r="E10279" i="1"/>
  <c r="H10278" i="1"/>
  <c r="G10278" i="1"/>
  <c r="E10278" i="1"/>
  <c r="H10277" i="1"/>
  <c r="G10277" i="1"/>
  <c r="E10277" i="1"/>
  <c r="H10276" i="1"/>
  <c r="G10276" i="1"/>
  <c r="E10276" i="1"/>
  <c r="H10275" i="1"/>
  <c r="G10275" i="1"/>
  <c r="E10275" i="1"/>
  <c r="H10274" i="1"/>
  <c r="G10274" i="1"/>
  <c r="E10274" i="1"/>
  <c r="H10273" i="1"/>
  <c r="G10273" i="1"/>
  <c r="E10273" i="1"/>
  <c r="H10272" i="1"/>
  <c r="G10272" i="1"/>
  <c r="E10272" i="1"/>
  <c r="H10271" i="1"/>
  <c r="G10271" i="1"/>
  <c r="E10271" i="1"/>
  <c r="H10270" i="1"/>
  <c r="G10270" i="1"/>
  <c r="E10270" i="1"/>
  <c r="H10269" i="1"/>
  <c r="G10269" i="1"/>
  <c r="E10269" i="1"/>
  <c r="H10268" i="1"/>
  <c r="G10268" i="1"/>
  <c r="E10268" i="1"/>
  <c r="H10267" i="1"/>
  <c r="G10267" i="1"/>
  <c r="E10267" i="1"/>
  <c r="H10266" i="1"/>
  <c r="G10266" i="1"/>
  <c r="E10266" i="1"/>
  <c r="H10265" i="1"/>
  <c r="G10265" i="1"/>
  <c r="E10265" i="1"/>
  <c r="H10264" i="1"/>
  <c r="G10264" i="1"/>
  <c r="E10264" i="1"/>
  <c r="H10263" i="1"/>
  <c r="G10263" i="1"/>
  <c r="E10263" i="1"/>
  <c r="H10262" i="1"/>
  <c r="G10262" i="1"/>
  <c r="E10262" i="1"/>
  <c r="H10261" i="1"/>
  <c r="G10261" i="1"/>
  <c r="E10261" i="1"/>
  <c r="H10260" i="1"/>
  <c r="G10260" i="1"/>
  <c r="E10260" i="1"/>
  <c r="H10259" i="1"/>
  <c r="G10259" i="1"/>
  <c r="E10259" i="1"/>
  <c r="H10258" i="1"/>
  <c r="G10258" i="1"/>
  <c r="E10258" i="1"/>
  <c r="H10257" i="1"/>
  <c r="G10257" i="1"/>
  <c r="E10257" i="1"/>
  <c r="H10256" i="1"/>
  <c r="G10256" i="1"/>
  <c r="E10256" i="1"/>
  <c r="H10255" i="1"/>
  <c r="G10255" i="1"/>
  <c r="E10255" i="1"/>
  <c r="H10254" i="1"/>
  <c r="G10254" i="1"/>
  <c r="E10254" i="1"/>
  <c r="H10253" i="1"/>
  <c r="G10253" i="1"/>
  <c r="E10253" i="1"/>
  <c r="H10252" i="1"/>
  <c r="G10252" i="1"/>
  <c r="E10252" i="1"/>
  <c r="H10251" i="1"/>
  <c r="G10251" i="1"/>
  <c r="E10251" i="1"/>
  <c r="H10250" i="1"/>
  <c r="G10250" i="1"/>
  <c r="E10250" i="1"/>
  <c r="H10249" i="1"/>
  <c r="G10249" i="1"/>
  <c r="E10249" i="1"/>
  <c r="H10248" i="1"/>
  <c r="G10248" i="1"/>
  <c r="E10248" i="1"/>
  <c r="H10247" i="1"/>
  <c r="G10247" i="1"/>
  <c r="E10247" i="1"/>
  <c r="H10246" i="1"/>
  <c r="G10246" i="1"/>
  <c r="E10246" i="1"/>
  <c r="H10245" i="1"/>
  <c r="G10245" i="1"/>
  <c r="E10245" i="1"/>
  <c r="H10244" i="1"/>
  <c r="G10244" i="1"/>
  <c r="E10244" i="1"/>
  <c r="H10243" i="1"/>
  <c r="G10243" i="1"/>
  <c r="E10243" i="1"/>
  <c r="H10242" i="1"/>
  <c r="G10242" i="1"/>
  <c r="E10242" i="1"/>
  <c r="H10241" i="1"/>
  <c r="G10241" i="1"/>
  <c r="E10241" i="1"/>
  <c r="H10240" i="1"/>
  <c r="G10240" i="1"/>
  <c r="E10240" i="1"/>
  <c r="H10239" i="1"/>
  <c r="G10239" i="1"/>
  <c r="E10239" i="1"/>
  <c r="H10238" i="1"/>
  <c r="G10238" i="1"/>
  <c r="E10238" i="1"/>
  <c r="H10237" i="1"/>
  <c r="G10237" i="1"/>
  <c r="E10237" i="1"/>
  <c r="H10236" i="1"/>
  <c r="G10236" i="1"/>
  <c r="E10236" i="1"/>
  <c r="H10235" i="1"/>
  <c r="G10235" i="1"/>
  <c r="E10235" i="1"/>
  <c r="H10234" i="1"/>
  <c r="G10234" i="1"/>
  <c r="E10234" i="1"/>
  <c r="H10233" i="1"/>
  <c r="G10233" i="1"/>
  <c r="E10233" i="1"/>
  <c r="H10232" i="1"/>
  <c r="G10232" i="1"/>
  <c r="E10232" i="1"/>
  <c r="H10231" i="1"/>
  <c r="G10231" i="1"/>
  <c r="E10231" i="1"/>
  <c r="H10230" i="1"/>
  <c r="G10230" i="1"/>
  <c r="E10230" i="1"/>
  <c r="H10229" i="1"/>
  <c r="G10229" i="1"/>
  <c r="E10229" i="1"/>
  <c r="H10228" i="1"/>
  <c r="G10228" i="1"/>
  <c r="E10228" i="1"/>
  <c r="H10227" i="1"/>
  <c r="G10227" i="1"/>
  <c r="E10227" i="1"/>
  <c r="H10226" i="1"/>
  <c r="G10226" i="1"/>
  <c r="E10226" i="1"/>
  <c r="H10225" i="1"/>
  <c r="G10225" i="1"/>
  <c r="E10225" i="1"/>
  <c r="H10224" i="1"/>
  <c r="G10224" i="1"/>
  <c r="E10224" i="1"/>
  <c r="H10223" i="1"/>
  <c r="G10223" i="1"/>
  <c r="E10223" i="1"/>
  <c r="H10222" i="1"/>
  <c r="G10222" i="1"/>
  <c r="E10222" i="1"/>
  <c r="H10221" i="1"/>
  <c r="G10221" i="1"/>
  <c r="E10221" i="1"/>
  <c r="H10220" i="1"/>
  <c r="G10220" i="1"/>
  <c r="E10220" i="1"/>
  <c r="H10219" i="1"/>
  <c r="G10219" i="1"/>
  <c r="E10219" i="1"/>
  <c r="H10218" i="1"/>
  <c r="G10218" i="1"/>
  <c r="E10218" i="1"/>
  <c r="H10217" i="1"/>
  <c r="G10217" i="1"/>
  <c r="E10217" i="1"/>
  <c r="H10216" i="1"/>
  <c r="G10216" i="1"/>
  <c r="E10216" i="1"/>
  <c r="H10215" i="1"/>
  <c r="G10215" i="1"/>
  <c r="E10215" i="1"/>
  <c r="H10214" i="1"/>
  <c r="G10214" i="1"/>
  <c r="E10214" i="1"/>
  <c r="H10213" i="1"/>
  <c r="G10213" i="1"/>
  <c r="E10213" i="1"/>
  <c r="H10212" i="1"/>
  <c r="G10212" i="1"/>
  <c r="E10212" i="1"/>
  <c r="H10211" i="1"/>
  <c r="G10211" i="1"/>
  <c r="E10211" i="1"/>
  <c r="H10210" i="1"/>
  <c r="G10210" i="1"/>
  <c r="E10210" i="1"/>
  <c r="H10209" i="1"/>
  <c r="G10209" i="1"/>
  <c r="E10209" i="1"/>
  <c r="H10208" i="1"/>
  <c r="G10208" i="1"/>
  <c r="E10208" i="1"/>
  <c r="H10207" i="1"/>
  <c r="G10207" i="1"/>
  <c r="E10207" i="1"/>
  <c r="H10206" i="1"/>
  <c r="G10206" i="1"/>
  <c r="E10206" i="1"/>
  <c r="H10205" i="1"/>
  <c r="G10205" i="1"/>
  <c r="E10205" i="1"/>
  <c r="H10204" i="1"/>
  <c r="G10204" i="1"/>
  <c r="E10204" i="1"/>
  <c r="H10203" i="1"/>
  <c r="G10203" i="1"/>
  <c r="E10203" i="1"/>
  <c r="H10202" i="1"/>
  <c r="G10202" i="1"/>
  <c r="E10202" i="1"/>
  <c r="H10201" i="1"/>
  <c r="G10201" i="1"/>
  <c r="E10201" i="1"/>
  <c r="H10200" i="1"/>
  <c r="G10200" i="1"/>
  <c r="E10200" i="1"/>
  <c r="H10199" i="1"/>
  <c r="G10199" i="1"/>
  <c r="E10199" i="1"/>
  <c r="H10198" i="1"/>
  <c r="G10198" i="1"/>
  <c r="E10198" i="1"/>
  <c r="H10197" i="1"/>
  <c r="G10197" i="1"/>
  <c r="E10197" i="1"/>
  <c r="H10196" i="1"/>
  <c r="G10196" i="1"/>
  <c r="E10196" i="1"/>
  <c r="H10195" i="1"/>
  <c r="G10195" i="1"/>
  <c r="E10195" i="1"/>
  <c r="H10194" i="1"/>
  <c r="G10194" i="1"/>
  <c r="E10194" i="1"/>
  <c r="H10193" i="1"/>
  <c r="G10193" i="1"/>
  <c r="E10193" i="1"/>
  <c r="H10192" i="1"/>
  <c r="G10192" i="1"/>
  <c r="E10192" i="1"/>
  <c r="H10191" i="1"/>
  <c r="G10191" i="1"/>
  <c r="E10191" i="1"/>
  <c r="H10190" i="1"/>
  <c r="G10190" i="1"/>
  <c r="E10190" i="1"/>
  <c r="H10189" i="1"/>
  <c r="G10189" i="1"/>
  <c r="E10189" i="1"/>
  <c r="H10188" i="1"/>
  <c r="G10188" i="1"/>
  <c r="E10188" i="1"/>
  <c r="H10187" i="1"/>
  <c r="G10187" i="1"/>
  <c r="E10187" i="1"/>
  <c r="H10186" i="1"/>
  <c r="G10186" i="1"/>
  <c r="E10186" i="1"/>
  <c r="H10185" i="1"/>
  <c r="G10185" i="1"/>
  <c r="E10185" i="1"/>
  <c r="H10184" i="1"/>
  <c r="G10184" i="1"/>
  <c r="E10184" i="1"/>
  <c r="H10183" i="1"/>
  <c r="G10183" i="1"/>
  <c r="E10183" i="1"/>
  <c r="H10182" i="1"/>
  <c r="G10182" i="1"/>
  <c r="E10182" i="1"/>
  <c r="H10181" i="1"/>
  <c r="G10181" i="1"/>
  <c r="E10181" i="1"/>
  <c r="H10180" i="1"/>
  <c r="G10180" i="1"/>
  <c r="E10180" i="1"/>
  <c r="H10179" i="1"/>
  <c r="G10179" i="1"/>
  <c r="E10179" i="1"/>
  <c r="H10178" i="1"/>
  <c r="G10178" i="1"/>
  <c r="E10178" i="1"/>
  <c r="H10177" i="1"/>
  <c r="G10177" i="1"/>
  <c r="E10177" i="1"/>
  <c r="H10176" i="1"/>
  <c r="G10176" i="1"/>
  <c r="E10176" i="1"/>
  <c r="H10175" i="1"/>
  <c r="G10175" i="1"/>
  <c r="E10175" i="1"/>
  <c r="H10174" i="1"/>
  <c r="G10174" i="1"/>
  <c r="E10174" i="1"/>
  <c r="H10173" i="1"/>
  <c r="G10173" i="1"/>
  <c r="E10173" i="1"/>
  <c r="H10172" i="1"/>
  <c r="G10172" i="1"/>
  <c r="E10172" i="1"/>
  <c r="H10171" i="1"/>
  <c r="G10171" i="1"/>
  <c r="E10171" i="1"/>
  <c r="H10170" i="1"/>
  <c r="G10170" i="1"/>
  <c r="E10170" i="1"/>
  <c r="H10169" i="1"/>
  <c r="G10169" i="1"/>
  <c r="E10169" i="1"/>
  <c r="H10168" i="1"/>
  <c r="G10168" i="1"/>
  <c r="E10168" i="1"/>
  <c r="H10167" i="1"/>
  <c r="G10167" i="1"/>
  <c r="E10167" i="1"/>
  <c r="H10166" i="1"/>
  <c r="G10166" i="1"/>
  <c r="E10166" i="1"/>
  <c r="H10165" i="1"/>
  <c r="G10165" i="1"/>
  <c r="E10165" i="1"/>
  <c r="H10164" i="1"/>
  <c r="G10164" i="1"/>
  <c r="E10164" i="1"/>
  <c r="H10163" i="1"/>
  <c r="G10163" i="1"/>
  <c r="E10163" i="1"/>
  <c r="H10162" i="1"/>
  <c r="G10162" i="1"/>
  <c r="E10162" i="1"/>
  <c r="H10161" i="1"/>
  <c r="G10161" i="1"/>
  <c r="E10161" i="1"/>
  <c r="H10160" i="1"/>
  <c r="G10160" i="1"/>
  <c r="E10160" i="1"/>
  <c r="H10159" i="1"/>
  <c r="G10159" i="1"/>
  <c r="E10159" i="1"/>
  <c r="H10158" i="1"/>
  <c r="G10158" i="1"/>
  <c r="E10158" i="1"/>
  <c r="H10157" i="1"/>
  <c r="G10157" i="1"/>
  <c r="E10157" i="1"/>
  <c r="H10156" i="1"/>
  <c r="G10156" i="1"/>
  <c r="E10156" i="1"/>
  <c r="H10155" i="1"/>
  <c r="G10155" i="1"/>
  <c r="E10155" i="1"/>
  <c r="H10154" i="1"/>
  <c r="G10154" i="1"/>
  <c r="E10154" i="1"/>
  <c r="H10153" i="1"/>
  <c r="G10153" i="1"/>
  <c r="E10153" i="1"/>
  <c r="H10152" i="1"/>
  <c r="G10152" i="1"/>
  <c r="E10152" i="1"/>
  <c r="H10151" i="1"/>
  <c r="G10151" i="1"/>
  <c r="E10151" i="1"/>
  <c r="H10150" i="1"/>
  <c r="G10150" i="1"/>
  <c r="E10150" i="1"/>
  <c r="H10149" i="1"/>
  <c r="G10149" i="1"/>
  <c r="E10149" i="1"/>
  <c r="H10148" i="1"/>
  <c r="G10148" i="1"/>
  <c r="E10148" i="1"/>
  <c r="H10147" i="1"/>
  <c r="G10147" i="1"/>
  <c r="E10147" i="1"/>
  <c r="H10146" i="1"/>
  <c r="G10146" i="1"/>
  <c r="E10146" i="1"/>
  <c r="H10145" i="1"/>
  <c r="G10145" i="1"/>
  <c r="E10145" i="1"/>
  <c r="H10144" i="1"/>
  <c r="G10144" i="1"/>
  <c r="E10144" i="1"/>
  <c r="H10143" i="1"/>
  <c r="G10143" i="1"/>
  <c r="E10143" i="1"/>
  <c r="H10142" i="1"/>
  <c r="G10142" i="1"/>
  <c r="E10142" i="1"/>
  <c r="H10141" i="1"/>
  <c r="G10141" i="1"/>
  <c r="E10141" i="1"/>
  <c r="H10140" i="1"/>
  <c r="G10140" i="1"/>
  <c r="E10140" i="1"/>
  <c r="H10139" i="1"/>
  <c r="G10139" i="1"/>
  <c r="E10139" i="1"/>
  <c r="H10138" i="1"/>
  <c r="G10138" i="1"/>
  <c r="E10138" i="1"/>
  <c r="H10137" i="1"/>
  <c r="G10137" i="1"/>
  <c r="E10137" i="1"/>
  <c r="H10136" i="1"/>
  <c r="G10136" i="1"/>
  <c r="E10136" i="1"/>
  <c r="H10135" i="1"/>
  <c r="G10135" i="1"/>
  <c r="E10135" i="1"/>
  <c r="H10134" i="1"/>
  <c r="G10134" i="1"/>
  <c r="E10134" i="1"/>
  <c r="H10133" i="1"/>
  <c r="G10133" i="1"/>
  <c r="E10133" i="1"/>
  <c r="H10132" i="1"/>
  <c r="G10132" i="1"/>
  <c r="E10132" i="1"/>
  <c r="H10131" i="1"/>
  <c r="G10131" i="1"/>
  <c r="E10131" i="1"/>
  <c r="H10130" i="1"/>
  <c r="G10130" i="1"/>
  <c r="E10130" i="1"/>
  <c r="H10129" i="1"/>
  <c r="G10129" i="1"/>
  <c r="E10129" i="1"/>
  <c r="H10128" i="1"/>
  <c r="G10128" i="1"/>
  <c r="E10128" i="1"/>
  <c r="H10127" i="1"/>
  <c r="G10127" i="1"/>
  <c r="E10127" i="1"/>
  <c r="H10126" i="1"/>
  <c r="G10126" i="1"/>
  <c r="E10126" i="1"/>
  <c r="H10125" i="1"/>
  <c r="G10125" i="1"/>
  <c r="E10125" i="1"/>
  <c r="H10124" i="1"/>
  <c r="G10124" i="1"/>
  <c r="E10124" i="1"/>
  <c r="H10123" i="1"/>
  <c r="G10123" i="1"/>
  <c r="E10123" i="1"/>
  <c r="H10122" i="1"/>
  <c r="G10122" i="1"/>
  <c r="E10122" i="1"/>
  <c r="H10121" i="1"/>
  <c r="G10121" i="1"/>
  <c r="E10121" i="1"/>
  <c r="H10120" i="1"/>
  <c r="G10120" i="1"/>
  <c r="E10120" i="1"/>
  <c r="H10119" i="1"/>
  <c r="G10119" i="1"/>
  <c r="E10119" i="1"/>
  <c r="H10118" i="1"/>
  <c r="G10118" i="1"/>
  <c r="E10118" i="1"/>
  <c r="H10117" i="1"/>
  <c r="G10117" i="1"/>
  <c r="E10117" i="1"/>
  <c r="H10116" i="1"/>
  <c r="G10116" i="1"/>
  <c r="E10116" i="1"/>
  <c r="H10115" i="1"/>
  <c r="G10115" i="1"/>
  <c r="E10115" i="1"/>
  <c r="H10114" i="1"/>
  <c r="G10114" i="1"/>
  <c r="E10114" i="1"/>
  <c r="H10113" i="1"/>
  <c r="G10113" i="1"/>
  <c r="E10113" i="1"/>
  <c r="H10112" i="1"/>
  <c r="G10112" i="1"/>
  <c r="E10112" i="1"/>
  <c r="H10111" i="1"/>
  <c r="G10111" i="1"/>
  <c r="E10111" i="1"/>
  <c r="H10110" i="1"/>
  <c r="G10110" i="1"/>
  <c r="E10110" i="1"/>
  <c r="H10109" i="1"/>
  <c r="G10109" i="1"/>
  <c r="E10109" i="1"/>
  <c r="H10108" i="1"/>
  <c r="G10108" i="1"/>
  <c r="E10108" i="1"/>
  <c r="H10107" i="1"/>
  <c r="G10107" i="1"/>
  <c r="E10107" i="1"/>
  <c r="H10106" i="1"/>
  <c r="G10106" i="1"/>
  <c r="E10106" i="1"/>
  <c r="H10105" i="1"/>
  <c r="G10105" i="1"/>
  <c r="E10105" i="1"/>
  <c r="H10104" i="1"/>
  <c r="G10104" i="1"/>
  <c r="E10104" i="1"/>
  <c r="H10103" i="1"/>
  <c r="G10103" i="1"/>
  <c r="E10103" i="1"/>
  <c r="H10102" i="1"/>
  <c r="G10102" i="1"/>
  <c r="E10102" i="1"/>
  <c r="H10101" i="1"/>
  <c r="G10101" i="1"/>
  <c r="E10101" i="1"/>
  <c r="H10100" i="1"/>
  <c r="G10100" i="1"/>
  <c r="E10100" i="1"/>
  <c r="H10099" i="1"/>
  <c r="G10099" i="1"/>
  <c r="E10099" i="1"/>
  <c r="H10098" i="1"/>
  <c r="G10098" i="1"/>
  <c r="E10098" i="1"/>
  <c r="H10097" i="1"/>
  <c r="G10097" i="1"/>
  <c r="E10097" i="1"/>
  <c r="H10096" i="1"/>
  <c r="G10096" i="1"/>
  <c r="E10096" i="1"/>
  <c r="H10095" i="1"/>
  <c r="G10095" i="1"/>
  <c r="E10095" i="1"/>
  <c r="H10094" i="1"/>
  <c r="G10094" i="1"/>
  <c r="E10094" i="1"/>
  <c r="H10093" i="1"/>
  <c r="G10093" i="1"/>
  <c r="E10093" i="1"/>
  <c r="H10092" i="1"/>
  <c r="G10092" i="1"/>
  <c r="E10092" i="1"/>
  <c r="H10091" i="1"/>
  <c r="G10091" i="1"/>
  <c r="E10091" i="1"/>
  <c r="H10090" i="1"/>
  <c r="G10090" i="1"/>
  <c r="E10090" i="1"/>
  <c r="H10089" i="1"/>
  <c r="G10089" i="1"/>
  <c r="E10089" i="1"/>
  <c r="H10088" i="1"/>
  <c r="G10088" i="1"/>
  <c r="E10088" i="1"/>
  <c r="H10087" i="1"/>
  <c r="G10087" i="1"/>
  <c r="E10087" i="1"/>
  <c r="H10086" i="1"/>
  <c r="G10086" i="1"/>
  <c r="E10086" i="1"/>
  <c r="H10085" i="1"/>
  <c r="G10085" i="1"/>
  <c r="E10085" i="1"/>
  <c r="H10084" i="1"/>
  <c r="G10084" i="1"/>
  <c r="E10084" i="1"/>
  <c r="H10083" i="1"/>
  <c r="G10083" i="1"/>
  <c r="E10083" i="1"/>
  <c r="H10082" i="1"/>
  <c r="G10082" i="1"/>
  <c r="E10082" i="1"/>
  <c r="H10081" i="1"/>
  <c r="G10081" i="1"/>
  <c r="E10081" i="1"/>
  <c r="H10080" i="1"/>
  <c r="G10080" i="1"/>
  <c r="E10080" i="1"/>
  <c r="H10079" i="1"/>
  <c r="G10079" i="1"/>
  <c r="E10079" i="1"/>
  <c r="H10078" i="1"/>
  <c r="G10078" i="1"/>
  <c r="E10078" i="1"/>
  <c r="H10077" i="1"/>
  <c r="G10077" i="1"/>
  <c r="E10077" i="1"/>
  <c r="H10076" i="1"/>
  <c r="G10076" i="1"/>
  <c r="E10076" i="1"/>
  <c r="H10075" i="1"/>
  <c r="G10075" i="1"/>
  <c r="E10075" i="1"/>
  <c r="H10074" i="1"/>
  <c r="G10074" i="1"/>
  <c r="E10074" i="1"/>
  <c r="H10073" i="1"/>
  <c r="G10073" i="1"/>
  <c r="E10073" i="1"/>
  <c r="H10072" i="1"/>
  <c r="G10072" i="1"/>
  <c r="E10072" i="1"/>
  <c r="H10071" i="1"/>
  <c r="G10071" i="1"/>
  <c r="E10071" i="1"/>
  <c r="H10070" i="1"/>
  <c r="G10070" i="1"/>
  <c r="E10070" i="1"/>
  <c r="H10069" i="1"/>
  <c r="G10069" i="1"/>
  <c r="E10069" i="1"/>
  <c r="H10068" i="1"/>
  <c r="G10068" i="1"/>
  <c r="E10068" i="1"/>
  <c r="H10067" i="1"/>
  <c r="G10067" i="1"/>
  <c r="E10067" i="1"/>
  <c r="H10066" i="1"/>
  <c r="G10066" i="1"/>
  <c r="E10066" i="1"/>
  <c r="H10065" i="1"/>
  <c r="G10065" i="1"/>
  <c r="E10065" i="1"/>
  <c r="H10064" i="1"/>
  <c r="G10064" i="1"/>
  <c r="E10064" i="1"/>
  <c r="H10063" i="1"/>
  <c r="G10063" i="1"/>
  <c r="E10063" i="1"/>
  <c r="H10062" i="1"/>
  <c r="G10062" i="1"/>
  <c r="E10062" i="1"/>
  <c r="H10061" i="1"/>
  <c r="G10061" i="1"/>
  <c r="E10061" i="1"/>
  <c r="H10060" i="1"/>
  <c r="G10060" i="1"/>
  <c r="E10060" i="1"/>
  <c r="H10059" i="1"/>
  <c r="G10059" i="1"/>
  <c r="E10059" i="1"/>
  <c r="H10058" i="1"/>
  <c r="G10058" i="1"/>
  <c r="E10058" i="1"/>
  <c r="H10057" i="1"/>
  <c r="G10057" i="1"/>
  <c r="E10057" i="1"/>
  <c r="H10056" i="1"/>
  <c r="G10056" i="1"/>
  <c r="E10056" i="1"/>
  <c r="H10055" i="1"/>
  <c r="G10055" i="1"/>
  <c r="E10055" i="1"/>
  <c r="H10054" i="1"/>
  <c r="G10054" i="1"/>
  <c r="E10054" i="1"/>
  <c r="H10053" i="1"/>
  <c r="G10053" i="1"/>
  <c r="E10053" i="1"/>
  <c r="H10052" i="1"/>
  <c r="G10052" i="1"/>
  <c r="E10052" i="1"/>
  <c r="H10051" i="1"/>
  <c r="G10051" i="1"/>
  <c r="E10051" i="1"/>
  <c r="H10050" i="1"/>
  <c r="G10050" i="1"/>
  <c r="E10050" i="1"/>
  <c r="H10049" i="1"/>
  <c r="G10049" i="1"/>
  <c r="E10049" i="1"/>
  <c r="H10048" i="1"/>
  <c r="G10048" i="1"/>
  <c r="E10048" i="1"/>
  <c r="H10047" i="1"/>
  <c r="G10047" i="1"/>
  <c r="E10047" i="1"/>
  <c r="H10046" i="1"/>
  <c r="G10046" i="1"/>
  <c r="E10046" i="1"/>
  <c r="H10045" i="1"/>
  <c r="G10045" i="1"/>
  <c r="E10045" i="1"/>
  <c r="H10044" i="1"/>
  <c r="G10044" i="1"/>
  <c r="E10044" i="1"/>
  <c r="H10043" i="1"/>
  <c r="G10043" i="1"/>
  <c r="E10043" i="1"/>
  <c r="H10042" i="1"/>
  <c r="G10042" i="1"/>
  <c r="E10042" i="1"/>
  <c r="H10041" i="1"/>
  <c r="G10041" i="1"/>
  <c r="E10041" i="1"/>
  <c r="H10040" i="1"/>
  <c r="G10040" i="1"/>
  <c r="E10040" i="1"/>
  <c r="H10039" i="1"/>
  <c r="G10039" i="1"/>
  <c r="E10039" i="1"/>
  <c r="H10038" i="1"/>
  <c r="G10038" i="1"/>
  <c r="E10038" i="1"/>
  <c r="H10037" i="1"/>
  <c r="G10037" i="1"/>
  <c r="E10037" i="1"/>
  <c r="H10036" i="1"/>
  <c r="G10036" i="1"/>
  <c r="E10036" i="1"/>
  <c r="H10035" i="1"/>
  <c r="G10035" i="1"/>
  <c r="E10035" i="1"/>
  <c r="H10034" i="1"/>
  <c r="G10034" i="1"/>
  <c r="E10034" i="1"/>
  <c r="H10033" i="1"/>
  <c r="G10033" i="1"/>
  <c r="E10033" i="1"/>
  <c r="H10032" i="1"/>
  <c r="G10032" i="1"/>
  <c r="E10032" i="1"/>
  <c r="H10031" i="1"/>
  <c r="G10031" i="1"/>
  <c r="E10031" i="1"/>
  <c r="H10030" i="1"/>
  <c r="G10030" i="1"/>
  <c r="E10030" i="1"/>
  <c r="H10029" i="1"/>
  <c r="G10029" i="1"/>
  <c r="E10029" i="1"/>
  <c r="H10028" i="1"/>
  <c r="G10028" i="1"/>
  <c r="E10028" i="1"/>
  <c r="H10027" i="1"/>
  <c r="G10027" i="1"/>
  <c r="E10027" i="1"/>
  <c r="H10026" i="1"/>
  <c r="G10026" i="1"/>
  <c r="E10026" i="1"/>
  <c r="H10025" i="1"/>
  <c r="G10025" i="1"/>
  <c r="E10025" i="1"/>
  <c r="H10024" i="1"/>
  <c r="G10024" i="1"/>
  <c r="E10024" i="1"/>
  <c r="H10023" i="1"/>
  <c r="G10023" i="1"/>
  <c r="E10023" i="1"/>
  <c r="H10022" i="1"/>
  <c r="G10022" i="1"/>
  <c r="E10022" i="1"/>
  <c r="H10021" i="1"/>
  <c r="G10021" i="1"/>
  <c r="E10021" i="1"/>
  <c r="H10020" i="1"/>
  <c r="G10020" i="1"/>
  <c r="E10020" i="1"/>
  <c r="H10019" i="1"/>
  <c r="G10019" i="1"/>
  <c r="E10019" i="1"/>
  <c r="H10018" i="1"/>
  <c r="G10018" i="1"/>
  <c r="E10018" i="1"/>
  <c r="H10017" i="1"/>
  <c r="G10017" i="1"/>
  <c r="E10017" i="1"/>
  <c r="H10016" i="1"/>
  <c r="G10016" i="1"/>
  <c r="E10016" i="1"/>
  <c r="H10015" i="1"/>
  <c r="G10015" i="1"/>
  <c r="E10015" i="1"/>
  <c r="H10014" i="1"/>
  <c r="G10014" i="1"/>
  <c r="E10014" i="1"/>
  <c r="H10013" i="1"/>
  <c r="G10013" i="1"/>
  <c r="E10013" i="1"/>
  <c r="H10012" i="1"/>
  <c r="G10012" i="1"/>
  <c r="E10012" i="1"/>
  <c r="H10011" i="1"/>
  <c r="G10011" i="1"/>
  <c r="E10011" i="1"/>
  <c r="H10010" i="1"/>
  <c r="G10010" i="1"/>
  <c r="E10010" i="1"/>
  <c r="H10009" i="1"/>
  <c r="G10009" i="1"/>
  <c r="E10009" i="1"/>
  <c r="H10008" i="1"/>
  <c r="G10008" i="1"/>
  <c r="E10008" i="1"/>
  <c r="H10007" i="1"/>
  <c r="G10007" i="1"/>
  <c r="E10007" i="1"/>
  <c r="H10006" i="1"/>
  <c r="G10006" i="1"/>
  <c r="E10006" i="1"/>
  <c r="H10005" i="1"/>
  <c r="G10005" i="1"/>
  <c r="E10005" i="1"/>
  <c r="H10004" i="1"/>
  <c r="G10004" i="1"/>
  <c r="E10004" i="1"/>
  <c r="H10003" i="1"/>
  <c r="G10003" i="1"/>
  <c r="E10003" i="1"/>
  <c r="H10002" i="1"/>
  <c r="G10002" i="1"/>
  <c r="E10002" i="1"/>
  <c r="H10001" i="1"/>
  <c r="G10001" i="1"/>
  <c r="E10001" i="1"/>
  <c r="H10000" i="1"/>
  <c r="G10000" i="1"/>
  <c r="E10000" i="1"/>
  <c r="H9999" i="1"/>
  <c r="G9999" i="1"/>
  <c r="E9999" i="1"/>
  <c r="H9998" i="1"/>
  <c r="G9998" i="1"/>
  <c r="E9998" i="1"/>
  <c r="H9997" i="1"/>
  <c r="G9997" i="1"/>
  <c r="E9997" i="1"/>
  <c r="H9996" i="1"/>
  <c r="G9996" i="1"/>
  <c r="E9996" i="1"/>
  <c r="H9995" i="1"/>
  <c r="G9995" i="1"/>
  <c r="E9995" i="1"/>
  <c r="H9994" i="1"/>
  <c r="G9994" i="1"/>
  <c r="E9994" i="1"/>
  <c r="H9993" i="1"/>
  <c r="G9993" i="1"/>
  <c r="E9993" i="1"/>
  <c r="H9992" i="1"/>
  <c r="G9992" i="1"/>
  <c r="E9992" i="1"/>
  <c r="H9991" i="1"/>
  <c r="G9991" i="1"/>
  <c r="E9991" i="1"/>
  <c r="H9990" i="1"/>
  <c r="G9990" i="1"/>
  <c r="E9990" i="1"/>
  <c r="H9989" i="1"/>
  <c r="G9989" i="1"/>
  <c r="E9989" i="1"/>
  <c r="H9988" i="1"/>
  <c r="G9988" i="1"/>
  <c r="E9988" i="1"/>
  <c r="H9987" i="1"/>
  <c r="G9987" i="1"/>
  <c r="E9987" i="1"/>
  <c r="H9986" i="1"/>
  <c r="G9986" i="1"/>
  <c r="E9986" i="1"/>
  <c r="H9985" i="1"/>
  <c r="G9985" i="1"/>
  <c r="E9985" i="1"/>
  <c r="H9984" i="1"/>
  <c r="G9984" i="1"/>
  <c r="E9984" i="1"/>
  <c r="H9983" i="1"/>
  <c r="G9983" i="1"/>
  <c r="E9983" i="1"/>
  <c r="H9982" i="1"/>
  <c r="G9982" i="1"/>
  <c r="E9982" i="1"/>
  <c r="H9981" i="1"/>
  <c r="G9981" i="1"/>
  <c r="E9981" i="1"/>
  <c r="H9980" i="1"/>
  <c r="G9980" i="1"/>
  <c r="E9980" i="1"/>
  <c r="H9979" i="1"/>
  <c r="G9979" i="1"/>
  <c r="E9979" i="1"/>
  <c r="H9978" i="1"/>
  <c r="G9978" i="1"/>
  <c r="E9978" i="1"/>
  <c r="H9977" i="1"/>
  <c r="G9977" i="1"/>
  <c r="E9977" i="1"/>
  <c r="H9976" i="1"/>
  <c r="G9976" i="1"/>
  <c r="E9976" i="1"/>
  <c r="H9975" i="1"/>
  <c r="G9975" i="1"/>
  <c r="E9975" i="1"/>
  <c r="H9974" i="1"/>
  <c r="G9974" i="1"/>
  <c r="E9974" i="1"/>
  <c r="H9973" i="1"/>
  <c r="G9973" i="1"/>
  <c r="E9973" i="1"/>
  <c r="H9972" i="1"/>
  <c r="G9972" i="1"/>
  <c r="E9972" i="1"/>
  <c r="H9971" i="1"/>
  <c r="G9971" i="1"/>
  <c r="E9971" i="1"/>
  <c r="H9970" i="1"/>
  <c r="G9970" i="1"/>
  <c r="E9970" i="1"/>
  <c r="H9969" i="1"/>
  <c r="G9969" i="1"/>
  <c r="E9969" i="1"/>
  <c r="H9968" i="1"/>
  <c r="G9968" i="1"/>
  <c r="E9968" i="1"/>
  <c r="H9967" i="1"/>
  <c r="G9967" i="1"/>
  <c r="E9967" i="1"/>
  <c r="H9966" i="1"/>
  <c r="G9966" i="1"/>
  <c r="E9966" i="1"/>
  <c r="H9965" i="1"/>
  <c r="G9965" i="1"/>
  <c r="E9965" i="1"/>
  <c r="H9964" i="1"/>
  <c r="G9964" i="1"/>
  <c r="E9964" i="1"/>
  <c r="H9963" i="1"/>
  <c r="G9963" i="1"/>
  <c r="E9963" i="1"/>
  <c r="H9962" i="1"/>
  <c r="G9962" i="1"/>
  <c r="E9962" i="1"/>
  <c r="H9961" i="1"/>
  <c r="G9961" i="1"/>
  <c r="E9961" i="1"/>
  <c r="H9960" i="1"/>
  <c r="G9960" i="1"/>
  <c r="E9960" i="1"/>
  <c r="H9959" i="1"/>
  <c r="G9959" i="1"/>
  <c r="E9959" i="1"/>
  <c r="H9958" i="1"/>
  <c r="G9958" i="1"/>
  <c r="E9958" i="1"/>
  <c r="H9957" i="1"/>
  <c r="G9957" i="1"/>
  <c r="E9957" i="1"/>
  <c r="H9956" i="1"/>
  <c r="G9956" i="1"/>
  <c r="E9956" i="1"/>
  <c r="H9955" i="1"/>
  <c r="G9955" i="1"/>
  <c r="E9955" i="1"/>
  <c r="H9954" i="1"/>
  <c r="G9954" i="1"/>
  <c r="E9954" i="1"/>
  <c r="H9953" i="1"/>
  <c r="G9953" i="1"/>
  <c r="E9953" i="1"/>
  <c r="H9952" i="1"/>
  <c r="G9952" i="1"/>
  <c r="E9952" i="1"/>
  <c r="H9951" i="1"/>
  <c r="G9951" i="1"/>
  <c r="E9951" i="1"/>
  <c r="H9950" i="1"/>
  <c r="G9950" i="1"/>
  <c r="E9950" i="1"/>
  <c r="H9949" i="1"/>
  <c r="G9949" i="1"/>
  <c r="E9949" i="1"/>
  <c r="H9948" i="1"/>
  <c r="G9948" i="1"/>
  <c r="E9948" i="1"/>
  <c r="H9947" i="1"/>
  <c r="G9947" i="1"/>
  <c r="E9947" i="1"/>
  <c r="H9946" i="1"/>
  <c r="G9946" i="1"/>
  <c r="E9946" i="1"/>
  <c r="H9945" i="1"/>
  <c r="G9945" i="1"/>
  <c r="E9945" i="1"/>
  <c r="H9944" i="1"/>
  <c r="G9944" i="1"/>
  <c r="E9944" i="1"/>
  <c r="H9943" i="1"/>
  <c r="G9943" i="1"/>
  <c r="E9943" i="1"/>
  <c r="H9942" i="1"/>
  <c r="G9942" i="1"/>
  <c r="E9942" i="1"/>
  <c r="H9941" i="1"/>
  <c r="G9941" i="1"/>
  <c r="E9941" i="1"/>
  <c r="H9940" i="1"/>
  <c r="G9940" i="1"/>
  <c r="E9940" i="1"/>
  <c r="H9939" i="1"/>
  <c r="G9939" i="1"/>
  <c r="E9939" i="1"/>
  <c r="H9938" i="1"/>
  <c r="G9938" i="1"/>
  <c r="E9938" i="1"/>
  <c r="H9937" i="1"/>
  <c r="G9937" i="1"/>
  <c r="E9937" i="1"/>
  <c r="H9936" i="1"/>
  <c r="G9936" i="1"/>
  <c r="E9936" i="1"/>
  <c r="H9935" i="1"/>
  <c r="G9935" i="1"/>
  <c r="E9935" i="1"/>
  <c r="H9934" i="1"/>
  <c r="G9934" i="1"/>
  <c r="E9934" i="1"/>
  <c r="H9933" i="1"/>
  <c r="G9933" i="1"/>
  <c r="E9933" i="1"/>
  <c r="H9932" i="1"/>
  <c r="G9932" i="1"/>
  <c r="E9932" i="1"/>
  <c r="H9931" i="1"/>
  <c r="G9931" i="1"/>
  <c r="E9931" i="1"/>
  <c r="H9930" i="1"/>
  <c r="G9930" i="1"/>
  <c r="E9930" i="1"/>
  <c r="H9929" i="1"/>
  <c r="G9929" i="1"/>
  <c r="E9929" i="1"/>
  <c r="H9928" i="1"/>
  <c r="G9928" i="1"/>
  <c r="E9928" i="1"/>
  <c r="H9927" i="1"/>
  <c r="G9927" i="1"/>
  <c r="E9927" i="1"/>
  <c r="H9926" i="1"/>
  <c r="G9926" i="1"/>
  <c r="E9926" i="1"/>
  <c r="H9925" i="1"/>
  <c r="G9925" i="1"/>
  <c r="E9925" i="1"/>
  <c r="H9924" i="1"/>
  <c r="G9924" i="1"/>
  <c r="E9924" i="1"/>
  <c r="H9923" i="1"/>
  <c r="G9923" i="1"/>
  <c r="E9923" i="1"/>
  <c r="H9922" i="1"/>
  <c r="G9922" i="1"/>
  <c r="E9922" i="1"/>
  <c r="H9921" i="1"/>
  <c r="G9921" i="1"/>
  <c r="E9921" i="1"/>
  <c r="H9920" i="1"/>
  <c r="G9920" i="1"/>
  <c r="E9920" i="1"/>
  <c r="H9919" i="1"/>
  <c r="G9919" i="1"/>
  <c r="E9919" i="1"/>
  <c r="H9918" i="1"/>
  <c r="G9918" i="1"/>
  <c r="E9918" i="1"/>
  <c r="H9917" i="1"/>
  <c r="G9917" i="1"/>
  <c r="E9917" i="1"/>
  <c r="H9916" i="1"/>
  <c r="G9916" i="1"/>
  <c r="E9916" i="1"/>
  <c r="H9915" i="1"/>
  <c r="G9915" i="1"/>
  <c r="E9915" i="1"/>
  <c r="H9914" i="1"/>
  <c r="G9914" i="1"/>
  <c r="E9914" i="1"/>
  <c r="H9913" i="1"/>
  <c r="G9913" i="1"/>
  <c r="E9913" i="1"/>
  <c r="H9912" i="1"/>
  <c r="G9912" i="1"/>
  <c r="E9912" i="1"/>
  <c r="H9911" i="1"/>
  <c r="G9911" i="1"/>
  <c r="E9911" i="1"/>
  <c r="H9910" i="1"/>
  <c r="G9910" i="1"/>
  <c r="E9910" i="1"/>
  <c r="H9909" i="1"/>
  <c r="G9909" i="1"/>
  <c r="E9909" i="1"/>
  <c r="H9908" i="1"/>
  <c r="G9908" i="1"/>
  <c r="E9908" i="1"/>
  <c r="H9907" i="1"/>
  <c r="G9907" i="1"/>
  <c r="E9907" i="1"/>
  <c r="H9906" i="1"/>
  <c r="G9906" i="1"/>
  <c r="E9906" i="1"/>
  <c r="H9905" i="1"/>
  <c r="G9905" i="1"/>
  <c r="E9905" i="1"/>
  <c r="H9904" i="1"/>
  <c r="G9904" i="1"/>
  <c r="E9904" i="1"/>
  <c r="H9903" i="1"/>
  <c r="G9903" i="1"/>
  <c r="E9903" i="1"/>
  <c r="H9902" i="1"/>
  <c r="G9902" i="1"/>
  <c r="E9902" i="1"/>
  <c r="H9901" i="1"/>
  <c r="G9901" i="1"/>
  <c r="E9901" i="1"/>
  <c r="H9900" i="1"/>
  <c r="G9900" i="1"/>
  <c r="E9900" i="1"/>
  <c r="H9899" i="1"/>
  <c r="G9899" i="1"/>
  <c r="E9899" i="1"/>
  <c r="H9898" i="1"/>
  <c r="G9898" i="1"/>
  <c r="E9898" i="1"/>
  <c r="H9897" i="1"/>
  <c r="G9897" i="1"/>
  <c r="E9897" i="1"/>
  <c r="H9896" i="1"/>
  <c r="G9896" i="1"/>
  <c r="E9896" i="1"/>
  <c r="H9895" i="1"/>
  <c r="G9895" i="1"/>
  <c r="E9895" i="1"/>
  <c r="H9894" i="1"/>
  <c r="G9894" i="1"/>
  <c r="E9894" i="1"/>
  <c r="H9893" i="1"/>
  <c r="G9893" i="1"/>
  <c r="E9893" i="1"/>
  <c r="H9892" i="1"/>
  <c r="G9892" i="1"/>
  <c r="E9892" i="1"/>
  <c r="H9891" i="1"/>
  <c r="G9891" i="1"/>
  <c r="E9891" i="1"/>
  <c r="H9890" i="1"/>
  <c r="G9890" i="1"/>
  <c r="E9890" i="1"/>
  <c r="H9889" i="1"/>
  <c r="G9889" i="1"/>
  <c r="E9889" i="1"/>
  <c r="H9888" i="1"/>
  <c r="G9888" i="1"/>
  <c r="E9888" i="1"/>
  <c r="H9887" i="1"/>
  <c r="G9887" i="1"/>
  <c r="E9887" i="1"/>
  <c r="H9886" i="1"/>
  <c r="G9886" i="1"/>
  <c r="E9886" i="1"/>
  <c r="H9885" i="1"/>
  <c r="G9885" i="1"/>
  <c r="E9885" i="1"/>
  <c r="H9884" i="1"/>
  <c r="G9884" i="1"/>
  <c r="E9884" i="1"/>
  <c r="H9883" i="1"/>
  <c r="G9883" i="1"/>
  <c r="E9883" i="1"/>
  <c r="H9882" i="1"/>
  <c r="G9882" i="1"/>
  <c r="E9882" i="1"/>
  <c r="H9881" i="1"/>
  <c r="G9881" i="1"/>
  <c r="E9881" i="1"/>
  <c r="H9880" i="1"/>
  <c r="G9880" i="1"/>
  <c r="E9880" i="1"/>
  <c r="H9879" i="1"/>
  <c r="G9879" i="1"/>
  <c r="E9879" i="1"/>
  <c r="H9878" i="1"/>
  <c r="G9878" i="1"/>
  <c r="E9878" i="1"/>
  <c r="H9877" i="1"/>
  <c r="G9877" i="1"/>
  <c r="E9877" i="1"/>
  <c r="H9876" i="1"/>
  <c r="G9876" i="1"/>
  <c r="E9876" i="1"/>
  <c r="H9875" i="1"/>
  <c r="G9875" i="1"/>
  <c r="E9875" i="1"/>
  <c r="H9874" i="1"/>
  <c r="G9874" i="1"/>
  <c r="E9874" i="1"/>
  <c r="H9873" i="1"/>
  <c r="G9873" i="1"/>
  <c r="E9873" i="1"/>
  <c r="H9872" i="1"/>
  <c r="G9872" i="1"/>
  <c r="E9872" i="1"/>
  <c r="H9871" i="1"/>
  <c r="G9871" i="1"/>
  <c r="E9871" i="1"/>
  <c r="H9870" i="1"/>
  <c r="G9870" i="1"/>
  <c r="E9870" i="1"/>
  <c r="H9869" i="1"/>
  <c r="G9869" i="1"/>
  <c r="E9869" i="1"/>
  <c r="H9868" i="1"/>
  <c r="G9868" i="1"/>
  <c r="E9868" i="1"/>
  <c r="H9867" i="1"/>
  <c r="G9867" i="1"/>
  <c r="E9867" i="1"/>
  <c r="H9866" i="1"/>
  <c r="G9866" i="1"/>
  <c r="E9866" i="1"/>
  <c r="H9865" i="1"/>
  <c r="G9865" i="1"/>
  <c r="E9865" i="1"/>
  <c r="H9864" i="1"/>
  <c r="G9864" i="1"/>
  <c r="E9864" i="1"/>
  <c r="H9863" i="1"/>
  <c r="G9863" i="1"/>
  <c r="E9863" i="1"/>
  <c r="H9862" i="1"/>
  <c r="G9862" i="1"/>
  <c r="E9862" i="1"/>
  <c r="H9861" i="1"/>
  <c r="G9861" i="1"/>
  <c r="E9861" i="1"/>
  <c r="H9860" i="1"/>
  <c r="G9860" i="1"/>
  <c r="E9860" i="1"/>
  <c r="H9859" i="1"/>
  <c r="G9859" i="1"/>
  <c r="E9859" i="1"/>
  <c r="H9858" i="1"/>
  <c r="G9858" i="1"/>
  <c r="E9858" i="1"/>
  <c r="H9857" i="1"/>
  <c r="G9857" i="1"/>
  <c r="E9857" i="1"/>
  <c r="H9856" i="1"/>
  <c r="G9856" i="1"/>
  <c r="E9856" i="1"/>
  <c r="H9855" i="1"/>
  <c r="G9855" i="1"/>
  <c r="E9855" i="1"/>
  <c r="H9854" i="1"/>
  <c r="G9854" i="1"/>
  <c r="E9854" i="1"/>
  <c r="H9853" i="1"/>
  <c r="G9853" i="1"/>
  <c r="E9853" i="1"/>
  <c r="H9852" i="1"/>
  <c r="G9852" i="1"/>
  <c r="E9852" i="1"/>
  <c r="H9851" i="1"/>
  <c r="G9851" i="1"/>
  <c r="E9851" i="1"/>
  <c r="H9850" i="1"/>
  <c r="G9850" i="1"/>
  <c r="E9850" i="1"/>
  <c r="H9849" i="1"/>
  <c r="G9849" i="1"/>
  <c r="E9849" i="1"/>
  <c r="H9848" i="1"/>
  <c r="G9848" i="1"/>
  <c r="E9848" i="1"/>
  <c r="H9847" i="1"/>
  <c r="G9847" i="1"/>
  <c r="E9847" i="1"/>
  <c r="H9846" i="1"/>
  <c r="G9846" i="1"/>
  <c r="E9846" i="1"/>
  <c r="H9845" i="1"/>
  <c r="G9845" i="1"/>
  <c r="E9845" i="1"/>
  <c r="H9844" i="1"/>
  <c r="G9844" i="1"/>
  <c r="E9844" i="1"/>
  <c r="H9843" i="1"/>
  <c r="G9843" i="1"/>
  <c r="E9843" i="1"/>
  <c r="H9842" i="1"/>
  <c r="G9842" i="1"/>
  <c r="E9842" i="1"/>
  <c r="H9841" i="1"/>
  <c r="G9841" i="1"/>
  <c r="E9841" i="1"/>
  <c r="H9840" i="1"/>
  <c r="G9840" i="1"/>
  <c r="E9840" i="1"/>
  <c r="H9839" i="1"/>
  <c r="G9839" i="1"/>
  <c r="E9839" i="1"/>
  <c r="H9838" i="1"/>
  <c r="G9838" i="1"/>
  <c r="E9838" i="1"/>
  <c r="H9837" i="1"/>
  <c r="G9837" i="1"/>
  <c r="E9837" i="1"/>
  <c r="H9836" i="1"/>
  <c r="G9836" i="1"/>
  <c r="E9836" i="1"/>
  <c r="H9835" i="1"/>
  <c r="G9835" i="1"/>
  <c r="E9835" i="1"/>
  <c r="H9834" i="1"/>
  <c r="G9834" i="1"/>
  <c r="E9834" i="1"/>
  <c r="H9833" i="1"/>
  <c r="G9833" i="1"/>
  <c r="E9833" i="1"/>
  <c r="H9832" i="1"/>
  <c r="G9832" i="1"/>
  <c r="E9832" i="1"/>
  <c r="H9831" i="1"/>
  <c r="G9831" i="1"/>
  <c r="E9831" i="1"/>
  <c r="H9830" i="1"/>
  <c r="G9830" i="1"/>
  <c r="E9830" i="1"/>
  <c r="H9829" i="1"/>
  <c r="G9829" i="1"/>
  <c r="E9829" i="1"/>
  <c r="H9828" i="1"/>
  <c r="G9828" i="1"/>
  <c r="E9828" i="1"/>
  <c r="H9827" i="1"/>
  <c r="G9827" i="1"/>
  <c r="E9827" i="1"/>
  <c r="H9826" i="1"/>
  <c r="G9826" i="1"/>
  <c r="E9826" i="1"/>
  <c r="H9825" i="1"/>
  <c r="G9825" i="1"/>
  <c r="E9825" i="1"/>
  <c r="H9824" i="1"/>
  <c r="G9824" i="1"/>
  <c r="E9824" i="1"/>
  <c r="H9823" i="1"/>
  <c r="G9823" i="1"/>
  <c r="E9823" i="1"/>
  <c r="H9822" i="1"/>
  <c r="G9822" i="1"/>
  <c r="E9822" i="1"/>
  <c r="H9821" i="1"/>
  <c r="G9821" i="1"/>
  <c r="E9821" i="1"/>
  <c r="H9820" i="1"/>
  <c r="G9820" i="1"/>
  <c r="E9820" i="1"/>
  <c r="H9819" i="1"/>
  <c r="G9819" i="1"/>
  <c r="E9819" i="1"/>
  <c r="H9818" i="1"/>
  <c r="G9818" i="1"/>
  <c r="E9818" i="1"/>
  <c r="H9817" i="1"/>
  <c r="G9817" i="1"/>
  <c r="E9817" i="1"/>
  <c r="H9816" i="1"/>
  <c r="G9816" i="1"/>
  <c r="E9816" i="1"/>
  <c r="H9815" i="1"/>
  <c r="G9815" i="1"/>
  <c r="E9815" i="1"/>
  <c r="H9814" i="1"/>
  <c r="G9814" i="1"/>
  <c r="E9814" i="1"/>
  <c r="H9813" i="1"/>
  <c r="G9813" i="1"/>
  <c r="E9813" i="1"/>
  <c r="H9812" i="1"/>
  <c r="G9812" i="1"/>
  <c r="E9812" i="1"/>
  <c r="H9811" i="1"/>
  <c r="G9811" i="1"/>
  <c r="E9811" i="1"/>
  <c r="H9810" i="1"/>
  <c r="G9810" i="1"/>
  <c r="E9810" i="1"/>
  <c r="H9809" i="1"/>
  <c r="G9809" i="1"/>
  <c r="E9809" i="1"/>
  <c r="H9808" i="1"/>
  <c r="G9808" i="1"/>
  <c r="E9808" i="1"/>
  <c r="H9807" i="1"/>
  <c r="G9807" i="1"/>
  <c r="E9807" i="1"/>
  <c r="H9806" i="1"/>
  <c r="G9806" i="1"/>
  <c r="E9806" i="1"/>
  <c r="H9805" i="1"/>
  <c r="G9805" i="1"/>
  <c r="E9805" i="1"/>
  <c r="H9804" i="1"/>
  <c r="G9804" i="1"/>
  <c r="E9804" i="1"/>
  <c r="H9803" i="1"/>
  <c r="G9803" i="1"/>
  <c r="E9803" i="1"/>
  <c r="H9802" i="1"/>
  <c r="G9802" i="1"/>
  <c r="E9802" i="1"/>
  <c r="H9801" i="1"/>
  <c r="G9801" i="1"/>
  <c r="E9801" i="1"/>
  <c r="H9800" i="1"/>
  <c r="G9800" i="1"/>
  <c r="E9800" i="1"/>
  <c r="H9799" i="1"/>
  <c r="G9799" i="1"/>
  <c r="E9799" i="1"/>
  <c r="H9798" i="1"/>
  <c r="G9798" i="1"/>
  <c r="E9798" i="1"/>
  <c r="H9797" i="1"/>
  <c r="G9797" i="1"/>
  <c r="E9797" i="1"/>
  <c r="H9796" i="1"/>
  <c r="G9796" i="1"/>
  <c r="E9796" i="1"/>
  <c r="H9795" i="1"/>
  <c r="G9795" i="1"/>
  <c r="E9795" i="1"/>
  <c r="H9794" i="1"/>
  <c r="G9794" i="1"/>
  <c r="E9794" i="1"/>
  <c r="H9793" i="1"/>
  <c r="G9793" i="1"/>
  <c r="E9793" i="1"/>
  <c r="H9792" i="1"/>
  <c r="G9792" i="1"/>
  <c r="E9792" i="1"/>
  <c r="H9791" i="1"/>
  <c r="G9791" i="1"/>
  <c r="E9791" i="1"/>
  <c r="H9790" i="1"/>
  <c r="G9790" i="1"/>
  <c r="E9790" i="1"/>
  <c r="H9789" i="1"/>
  <c r="G9789" i="1"/>
  <c r="E9789" i="1"/>
  <c r="H9788" i="1"/>
  <c r="G9788" i="1"/>
  <c r="E9788" i="1"/>
  <c r="H9787" i="1"/>
  <c r="G9787" i="1"/>
  <c r="E9787" i="1"/>
  <c r="H9786" i="1"/>
  <c r="G9786" i="1"/>
  <c r="E9786" i="1"/>
  <c r="H9785" i="1"/>
  <c r="G9785" i="1"/>
  <c r="E9785" i="1"/>
  <c r="H9784" i="1"/>
  <c r="G9784" i="1"/>
  <c r="E9784" i="1"/>
  <c r="H9783" i="1"/>
  <c r="G9783" i="1"/>
  <c r="E9783" i="1"/>
  <c r="H9782" i="1"/>
  <c r="G9782" i="1"/>
  <c r="E9782" i="1"/>
  <c r="H9781" i="1"/>
  <c r="G9781" i="1"/>
  <c r="E9781" i="1"/>
  <c r="H9780" i="1"/>
  <c r="G9780" i="1"/>
  <c r="E9780" i="1"/>
  <c r="H9779" i="1"/>
  <c r="G9779" i="1"/>
  <c r="E9779" i="1"/>
  <c r="H9778" i="1"/>
  <c r="G9778" i="1"/>
  <c r="E9778" i="1"/>
  <c r="H9777" i="1"/>
  <c r="G9777" i="1"/>
  <c r="E9777" i="1"/>
  <c r="H9776" i="1"/>
  <c r="G9776" i="1"/>
  <c r="E9776" i="1"/>
  <c r="H9775" i="1"/>
  <c r="G9775" i="1"/>
  <c r="E9775" i="1"/>
  <c r="H9774" i="1"/>
  <c r="G9774" i="1"/>
  <c r="E9774" i="1"/>
  <c r="H9773" i="1"/>
  <c r="G9773" i="1"/>
  <c r="E9773" i="1"/>
  <c r="H9772" i="1"/>
  <c r="G9772" i="1"/>
  <c r="E9772" i="1"/>
  <c r="H9771" i="1"/>
  <c r="G9771" i="1"/>
  <c r="E9771" i="1"/>
  <c r="H9770" i="1"/>
  <c r="G9770" i="1"/>
  <c r="E9770" i="1"/>
  <c r="H9769" i="1"/>
  <c r="G9769" i="1"/>
  <c r="E9769" i="1"/>
  <c r="H9768" i="1"/>
  <c r="G9768" i="1"/>
  <c r="E9768" i="1"/>
  <c r="H9767" i="1"/>
  <c r="G9767" i="1"/>
  <c r="E9767" i="1"/>
  <c r="H9766" i="1"/>
  <c r="G9766" i="1"/>
  <c r="E9766" i="1"/>
  <c r="H9765" i="1"/>
  <c r="G9765" i="1"/>
  <c r="E9765" i="1"/>
  <c r="H9764" i="1"/>
  <c r="G9764" i="1"/>
  <c r="E9764" i="1"/>
  <c r="H9763" i="1"/>
  <c r="G9763" i="1"/>
  <c r="E9763" i="1"/>
  <c r="H9762" i="1"/>
  <c r="G9762" i="1"/>
  <c r="E9762" i="1"/>
  <c r="H9761" i="1"/>
  <c r="G9761" i="1"/>
  <c r="E9761" i="1"/>
  <c r="H9760" i="1"/>
  <c r="G9760" i="1"/>
  <c r="E9760" i="1"/>
  <c r="H9759" i="1"/>
  <c r="G9759" i="1"/>
  <c r="E9759" i="1"/>
  <c r="H9758" i="1"/>
  <c r="G9758" i="1"/>
  <c r="E9758" i="1"/>
  <c r="H9757" i="1"/>
  <c r="G9757" i="1"/>
  <c r="E9757" i="1"/>
  <c r="H9756" i="1"/>
  <c r="G9756" i="1"/>
  <c r="E9756" i="1"/>
  <c r="H9755" i="1"/>
  <c r="G9755" i="1"/>
  <c r="E9755" i="1"/>
  <c r="H9754" i="1"/>
  <c r="G9754" i="1"/>
  <c r="E9754" i="1"/>
  <c r="H9753" i="1"/>
  <c r="G9753" i="1"/>
  <c r="E9753" i="1"/>
  <c r="H9752" i="1"/>
  <c r="G9752" i="1"/>
  <c r="E9752" i="1"/>
  <c r="H9751" i="1"/>
  <c r="G9751" i="1"/>
  <c r="E9751" i="1"/>
  <c r="H9750" i="1"/>
  <c r="G9750" i="1"/>
  <c r="E9750" i="1"/>
  <c r="H9749" i="1"/>
  <c r="G9749" i="1"/>
  <c r="E9749" i="1"/>
  <c r="H9748" i="1"/>
  <c r="G9748" i="1"/>
  <c r="E9748" i="1"/>
  <c r="H9747" i="1"/>
  <c r="G9747" i="1"/>
  <c r="E9747" i="1"/>
  <c r="H9746" i="1"/>
  <c r="G9746" i="1"/>
  <c r="E9746" i="1"/>
  <c r="H9745" i="1"/>
  <c r="G9745" i="1"/>
  <c r="E9745" i="1"/>
  <c r="H9744" i="1"/>
  <c r="G9744" i="1"/>
  <c r="E9744" i="1"/>
  <c r="H9743" i="1"/>
  <c r="G9743" i="1"/>
  <c r="E9743" i="1"/>
  <c r="H9742" i="1"/>
  <c r="G9742" i="1"/>
  <c r="E9742" i="1"/>
  <c r="H9741" i="1"/>
  <c r="G9741" i="1"/>
  <c r="E9741" i="1"/>
  <c r="H9740" i="1"/>
  <c r="G9740" i="1"/>
  <c r="E9740" i="1"/>
  <c r="H9739" i="1"/>
  <c r="G9739" i="1"/>
  <c r="E9739" i="1"/>
  <c r="H9738" i="1"/>
  <c r="G9738" i="1"/>
  <c r="E9738" i="1"/>
  <c r="H9737" i="1"/>
  <c r="G9737" i="1"/>
  <c r="E9737" i="1"/>
  <c r="H9736" i="1"/>
  <c r="G9736" i="1"/>
  <c r="E9736" i="1"/>
  <c r="H9735" i="1"/>
  <c r="G9735" i="1"/>
  <c r="E9735" i="1"/>
  <c r="H9734" i="1"/>
  <c r="G9734" i="1"/>
  <c r="E9734" i="1"/>
  <c r="H9733" i="1"/>
  <c r="G9733" i="1"/>
  <c r="E9733" i="1"/>
  <c r="H9732" i="1"/>
  <c r="G9732" i="1"/>
  <c r="E9732" i="1"/>
  <c r="H9731" i="1"/>
  <c r="G9731" i="1"/>
  <c r="E9731" i="1"/>
  <c r="H9730" i="1"/>
  <c r="G9730" i="1"/>
  <c r="E9730" i="1"/>
  <c r="H9729" i="1"/>
  <c r="G9729" i="1"/>
  <c r="E9729" i="1"/>
  <c r="H9728" i="1"/>
  <c r="G9728" i="1"/>
  <c r="E9728" i="1"/>
  <c r="H9727" i="1"/>
  <c r="G9727" i="1"/>
  <c r="E9727" i="1"/>
  <c r="H9726" i="1"/>
  <c r="G9726" i="1"/>
  <c r="E9726" i="1"/>
  <c r="H9725" i="1"/>
  <c r="G9725" i="1"/>
  <c r="E9725" i="1"/>
  <c r="H9724" i="1"/>
  <c r="G9724" i="1"/>
  <c r="E9724" i="1"/>
  <c r="H9723" i="1"/>
  <c r="G9723" i="1"/>
  <c r="E9723" i="1"/>
  <c r="H9722" i="1"/>
  <c r="G9722" i="1"/>
  <c r="E9722" i="1"/>
  <c r="H9721" i="1"/>
  <c r="G9721" i="1"/>
  <c r="E9721" i="1"/>
  <c r="H9720" i="1"/>
  <c r="G9720" i="1"/>
  <c r="E9720" i="1"/>
  <c r="H9719" i="1"/>
  <c r="G9719" i="1"/>
  <c r="E9719" i="1"/>
  <c r="H9718" i="1"/>
  <c r="G9718" i="1"/>
  <c r="E9718" i="1"/>
  <c r="H9717" i="1"/>
  <c r="G9717" i="1"/>
  <c r="E9717" i="1"/>
  <c r="H9716" i="1"/>
  <c r="G9716" i="1"/>
  <c r="E9716" i="1"/>
  <c r="H9715" i="1"/>
  <c r="G9715" i="1"/>
  <c r="E9715" i="1"/>
  <c r="H9714" i="1"/>
  <c r="G9714" i="1"/>
  <c r="E9714" i="1"/>
  <c r="H9713" i="1"/>
  <c r="G9713" i="1"/>
  <c r="E9713" i="1"/>
  <c r="H9712" i="1"/>
  <c r="G9712" i="1"/>
  <c r="E9712" i="1"/>
  <c r="H9711" i="1"/>
  <c r="G9711" i="1"/>
  <c r="E9711" i="1"/>
  <c r="H9710" i="1"/>
  <c r="G9710" i="1"/>
  <c r="E9710" i="1"/>
  <c r="H9709" i="1"/>
  <c r="G9709" i="1"/>
  <c r="E9709" i="1"/>
  <c r="H9708" i="1"/>
  <c r="G9708" i="1"/>
  <c r="E9708" i="1"/>
  <c r="H9707" i="1"/>
  <c r="G9707" i="1"/>
  <c r="E9707" i="1"/>
  <c r="H9706" i="1"/>
  <c r="G9706" i="1"/>
  <c r="E9706" i="1"/>
  <c r="H9705" i="1"/>
  <c r="G9705" i="1"/>
  <c r="E9705" i="1"/>
  <c r="H9704" i="1"/>
  <c r="G9704" i="1"/>
  <c r="E9704" i="1"/>
  <c r="H9703" i="1"/>
  <c r="G9703" i="1"/>
  <c r="E9703" i="1"/>
  <c r="H9702" i="1"/>
  <c r="G9702" i="1"/>
  <c r="E9702" i="1"/>
  <c r="H9701" i="1"/>
  <c r="G9701" i="1"/>
  <c r="E9701" i="1"/>
  <c r="H9700" i="1"/>
  <c r="G9700" i="1"/>
  <c r="E9700" i="1"/>
  <c r="H9699" i="1"/>
  <c r="G9699" i="1"/>
  <c r="E9699" i="1"/>
  <c r="H9698" i="1"/>
  <c r="G9698" i="1"/>
  <c r="E9698" i="1"/>
  <c r="H9697" i="1"/>
  <c r="G9697" i="1"/>
  <c r="E9697" i="1"/>
  <c r="H9696" i="1"/>
  <c r="G9696" i="1"/>
  <c r="E9696" i="1"/>
  <c r="H9695" i="1"/>
  <c r="G9695" i="1"/>
  <c r="E9695" i="1"/>
  <c r="H9694" i="1"/>
  <c r="G9694" i="1"/>
  <c r="E9694" i="1"/>
  <c r="H9693" i="1"/>
  <c r="G9693" i="1"/>
  <c r="E9693" i="1"/>
  <c r="H9692" i="1"/>
  <c r="G9692" i="1"/>
  <c r="E9692" i="1"/>
  <c r="H9691" i="1"/>
  <c r="G9691" i="1"/>
  <c r="E9691" i="1"/>
  <c r="H9690" i="1"/>
  <c r="G9690" i="1"/>
  <c r="E9690" i="1"/>
  <c r="H9689" i="1"/>
  <c r="G9689" i="1"/>
  <c r="E9689" i="1"/>
  <c r="H9688" i="1"/>
  <c r="G9688" i="1"/>
  <c r="E9688" i="1"/>
  <c r="H9687" i="1"/>
  <c r="G9687" i="1"/>
  <c r="E9687" i="1"/>
  <c r="H9686" i="1"/>
  <c r="G9686" i="1"/>
  <c r="E9686" i="1"/>
  <c r="H9685" i="1"/>
  <c r="G9685" i="1"/>
  <c r="E9685" i="1"/>
  <c r="H9684" i="1"/>
  <c r="G9684" i="1"/>
  <c r="E9684" i="1"/>
  <c r="H9683" i="1"/>
  <c r="G9683" i="1"/>
  <c r="E9683" i="1"/>
  <c r="H9682" i="1"/>
  <c r="G9682" i="1"/>
  <c r="E9682" i="1"/>
  <c r="H9681" i="1"/>
  <c r="G9681" i="1"/>
  <c r="E9681" i="1"/>
  <c r="H9680" i="1"/>
  <c r="G9680" i="1"/>
  <c r="E9680" i="1"/>
  <c r="H9679" i="1"/>
  <c r="G9679" i="1"/>
  <c r="E9679" i="1"/>
  <c r="H9678" i="1"/>
  <c r="G9678" i="1"/>
  <c r="E9678" i="1"/>
  <c r="H9677" i="1"/>
  <c r="G9677" i="1"/>
  <c r="E9677" i="1"/>
  <c r="H9676" i="1"/>
  <c r="G9676" i="1"/>
  <c r="E9676" i="1"/>
  <c r="H9675" i="1"/>
  <c r="G9675" i="1"/>
  <c r="E9675" i="1"/>
  <c r="H9674" i="1"/>
  <c r="G9674" i="1"/>
  <c r="E9674" i="1"/>
  <c r="H9673" i="1"/>
  <c r="G9673" i="1"/>
  <c r="E9673" i="1"/>
  <c r="H9672" i="1"/>
  <c r="G9672" i="1"/>
  <c r="E9672" i="1"/>
  <c r="H9671" i="1"/>
  <c r="G9671" i="1"/>
  <c r="E9671" i="1"/>
  <c r="H9670" i="1"/>
  <c r="G9670" i="1"/>
  <c r="E9670" i="1"/>
  <c r="H9669" i="1"/>
  <c r="G9669" i="1"/>
  <c r="E9669" i="1"/>
  <c r="H9668" i="1"/>
  <c r="G9668" i="1"/>
  <c r="E9668" i="1"/>
  <c r="H9667" i="1"/>
  <c r="G9667" i="1"/>
  <c r="E9667" i="1"/>
  <c r="H9666" i="1"/>
  <c r="G9666" i="1"/>
  <c r="E9666" i="1"/>
  <c r="H9665" i="1"/>
  <c r="G9665" i="1"/>
  <c r="E9665" i="1"/>
  <c r="H9664" i="1"/>
  <c r="G9664" i="1"/>
  <c r="E9664" i="1"/>
  <c r="H9663" i="1"/>
  <c r="G9663" i="1"/>
  <c r="E9663" i="1"/>
  <c r="H9662" i="1"/>
  <c r="G9662" i="1"/>
  <c r="E9662" i="1"/>
  <c r="H9661" i="1"/>
  <c r="G9661" i="1"/>
  <c r="E9661" i="1"/>
  <c r="H9660" i="1"/>
  <c r="G9660" i="1"/>
  <c r="E9660" i="1"/>
  <c r="H9659" i="1"/>
  <c r="G9659" i="1"/>
  <c r="E9659" i="1"/>
  <c r="H9658" i="1"/>
  <c r="G9658" i="1"/>
  <c r="E9658" i="1"/>
  <c r="H9657" i="1"/>
  <c r="G9657" i="1"/>
  <c r="E9657" i="1"/>
  <c r="H9656" i="1"/>
  <c r="G9656" i="1"/>
  <c r="E9656" i="1"/>
  <c r="H9655" i="1"/>
  <c r="G9655" i="1"/>
  <c r="E9655" i="1"/>
  <c r="H9654" i="1"/>
  <c r="G9654" i="1"/>
  <c r="E9654" i="1"/>
  <c r="H9653" i="1"/>
  <c r="G9653" i="1"/>
  <c r="E9653" i="1"/>
  <c r="H9652" i="1"/>
  <c r="G9652" i="1"/>
  <c r="E9652" i="1"/>
  <c r="H9651" i="1"/>
  <c r="G9651" i="1"/>
  <c r="E9651" i="1"/>
  <c r="H9650" i="1"/>
  <c r="G9650" i="1"/>
  <c r="E9650" i="1"/>
  <c r="H9649" i="1"/>
  <c r="G9649" i="1"/>
  <c r="E9649" i="1"/>
  <c r="H9648" i="1"/>
  <c r="G9648" i="1"/>
  <c r="E9648" i="1"/>
  <c r="H9647" i="1"/>
  <c r="G9647" i="1"/>
  <c r="E9647" i="1"/>
  <c r="H9646" i="1"/>
  <c r="G9646" i="1"/>
  <c r="E9646" i="1"/>
  <c r="H9645" i="1"/>
  <c r="G9645" i="1"/>
  <c r="E9645" i="1"/>
  <c r="H9644" i="1"/>
  <c r="G9644" i="1"/>
  <c r="E9644" i="1"/>
  <c r="H9643" i="1"/>
  <c r="G9643" i="1"/>
  <c r="E9643" i="1"/>
  <c r="H9642" i="1"/>
  <c r="G9642" i="1"/>
  <c r="E9642" i="1"/>
  <c r="H9641" i="1"/>
  <c r="G9641" i="1"/>
  <c r="E9641" i="1"/>
  <c r="H9640" i="1"/>
  <c r="G9640" i="1"/>
  <c r="E9640" i="1"/>
  <c r="H9639" i="1"/>
  <c r="G9639" i="1"/>
  <c r="E9639" i="1"/>
  <c r="H9638" i="1"/>
  <c r="G9638" i="1"/>
  <c r="E9638" i="1"/>
  <c r="H9637" i="1"/>
  <c r="G9637" i="1"/>
  <c r="E9637" i="1"/>
  <c r="H9636" i="1"/>
  <c r="G9636" i="1"/>
  <c r="E9636" i="1"/>
  <c r="H9635" i="1"/>
  <c r="G9635" i="1"/>
  <c r="E9635" i="1"/>
  <c r="H9634" i="1"/>
  <c r="G9634" i="1"/>
  <c r="E9634" i="1"/>
  <c r="H9633" i="1"/>
  <c r="G9633" i="1"/>
  <c r="E9633" i="1"/>
  <c r="H9632" i="1"/>
  <c r="G9632" i="1"/>
  <c r="E9632" i="1"/>
  <c r="H9631" i="1"/>
  <c r="G9631" i="1"/>
  <c r="E9631" i="1"/>
  <c r="H9630" i="1"/>
  <c r="G9630" i="1"/>
  <c r="E9630" i="1"/>
  <c r="H9629" i="1"/>
  <c r="G9629" i="1"/>
  <c r="E9629" i="1"/>
  <c r="H9628" i="1"/>
  <c r="G9628" i="1"/>
  <c r="E9628" i="1"/>
  <c r="H9627" i="1"/>
  <c r="G9627" i="1"/>
  <c r="E9627" i="1"/>
  <c r="H9626" i="1"/>
  <c r="G9626" i="1"/>
  <c r="E9626" i="1"/>
  <c r="H9625" i="1"/>
  <c r="G9625" i="1"/>
  <c r="E9625" i="1"/>
  <c r="H9624" i="1"/>
  <c r="G9624" i="1"/>
  <c r="E9624" i="1"/>
  <c r="H9623" i="1"/>
  <c r="G9623" i="1"/>
  <c r="E9623" i="1"/>
  <c r="H9622" i="1"/>
  <c r="G9622" i="1"/>
  <c r="E9622" i="1"/>
  <c r="H9621" i="1"/>
  <c r="G9621" i="1"/>
  <c r="E9621" i="1"/>
  <c r="H9620" i="1"/>
  <c r="G9620" i="1"/>
  <c r="E9620" i="1"/>
  <c r="H9619" i="1"/>
  <c r="G9619" i="1"/>
  <c r="E9619" i="1"/>
  <c r="H9618" i="1"/>
  <c r="G9618" i="1"/>
  <c r="E9618" i="1"/>
  <c r="H9617" i="1"/>
  <c r="G9617" i="1"/>
  <c r="E9617" i="1"/>
  <c r="H9616" i="1"/>
  <c r="G9616" i="1"/>
  <c r="E9616" i="1"/>
  <c r="H9615" i="1"/>
  <c r="G9615" i="1"/>
  <c r="E9615" i="1"/>
  <c r="H9614" i="1"/>
  <c r="G9614" i="1"/>
  <c r="E9614" i="1"/>
  <c r="H9613" i="1"/>
  <c r="G9613" i="1"/>
  <c r="E9613" i="1"/>
  <c r="H9612" i="1"/>
  <c r="G9612" i="1"/>
  <c r="E9612" i="1"/>
  <c r="H9611" i="1"/>
  <c r="G9611" i="1"/>
  <c r="E9611" i="1"/>
  <c r="H9610" i="1"/>
  <c r="G9610" i="1"/>
  <c r="E9610" i="1"/>
  <c r="H9609" i="1"/>
  <c r="G9609" i="1"/>
  <c r="E9609" i="1"/>
  <c r="H9608" i="1"/>
  <c r="G9608" i="1"/>
  <c r="E9608" i="1"/>
  <c r="H9607" i="1"/>
  <c r="G9607" i="1"/>
  <c r="E9607" i="1"/>
  <c r="H9606" i="1"/>
  <c r="G9606" i="1"/>
  <c r="E9606" i="1"/>
  <c r="H9605" i="1"/>
  <c r="G9605" i="1"/>
  <c r="E9605" i="1"/>
  <c r="H9604" i="1"/>
  <c r="G9604" i="1"/>
  <c r="E9604" i="1"/>
  <c r="H9603" i="1"/>
  <c r="G9603" i="1"/>
  <c r="E9603" i="1"/>
  <c r="H9602" i="1"/>
  <c r="G9602" i="1"/>
  <c r="E9602" i="1"/>
  <c r="H9601" i="1"/>
  <c r="G9601" i="1"/>
  <c r="E9601" i="1"/>
  <c r="H9600" i="1"/>
  <c r="G9600" i="1"/>
  <c r="E9600" i="1"/>
  <c r="H9599" i="1"/>
  <c r="G9599" i="1"/>
  <c r="E9599" i="1"/>
  <c r="H9598" i="1"/>
  <c r="G9598" i="1"/>
  <c r="E9598" i="1"/>
  <c r="H9597" i="1"/>
  <c r="G9597" i="1"/>
  <c r="E9597" i="1"/>
  <c r="H9596" i="1"/>
  <c r="G9596" i="1"/>
  <c r="E9596" i="1"/>
  <c r="H9595" i="1"/>
  <c r="G9595" i="1"/>
  <c r="E9595" i="1"/>
  <c r="H9594" i="1"/>
  <c r="G9594" i="1"/>
  <c r="E9594" i="1"/>
  <c r="H9593" i="1"/>
  <c r="G9593" i="1"/>
  <c r="E9593" i="1"/>
  <c r="H9592" i="1"/>
  <c r="G9592" i="1"/>
  <c r="E9592" i="1"/>
  <c r="H9591" i="1"/>
  <c r="G9591" i="1"/>
  <c r="E9591" i="1"/>
  <c r="H9590" i="1"/>
  <c r="G9590" i="1"/>
  <c r="E9590" i="1"/>
  <c r="H9589" i="1"/>
  <c r="G9589" i="1"/>
  <c r="E9589" i="1"/>
  <c r="H9588" i="1"/>
  <c r="G9588" i="1"/>
  <c r="E9588" i="1"/>
  <c r="H9587" i="1"/>
  <c r="G9587" i="1"/>
  <c r="E9587" i="1"/>
  <c r="H9586" i="1"/>
  <c r="G9586" i="1"/>
  <c r="E9586" i="1"/>
  <c r="H9585" i="1"/>
  <c r="G9585" i="1"/>
  <c r="E9585" i="1"/>
  <c r="H9584" i="1"/>
  <c r="G9584" i="1"/>
  <c r="E9584" i="1"/>
  <c r="H9583" i="1"/>
  <c r="G9583" i="1"/>
  <c r="E9583" i="1"/>
  <c r="H9582" i="1"/>
  <c r="G9582" i="1"/>
  <c r="E9582" i="1"/>
  <c r="H9581" i="1"/>
  <c r="G9581" i="1"/>
  <c r="E9581" i="1"/>
  <c r="H9580" i="1"/>
  <c r="G9580" i="1"/>
  <c r="E9580" i="1"/>
  <c r="H9579" i="1"/>
  <c r="G9579" i="1"/>
  <c r="E9579" i="1"/>
  <c r="H9578" i="1"/>
  <c r="G9578" i="1"/>
  <c r="E9578" i="1"/>
  <c r="H9577" i="1"/>
  <c r="G9577" i="1"/>
  <c r="E9577" i="1"/>
  <c r="H9576" i="1"/>
  <c r="G9576" i="1"/>
  <c r="E9576" i="1"/>
  <c r="H9575" i="1"/>
  <c r="G9575" i="1"/>
  <c r="E9575" i="1"/>
  <c r="H9574" i="1"/>
  <c r="G9574" i="1"/>
  <c r="E9574" i="1"/>
  <c r="H9573" i="1"/>
  <c r="G9573" i="1"/>
  <c r="E9573" i="1"/>
  <c r="H9572" i="1"/>
  <c r="G9572" i="1"/>
  <c r="E9572" i="1"/>
  <c r="H9571" i="1"/>
  <c r="G9571" i="1"/>
  <c r="E9571" i="1"/>
  <c r="H9570" i="1"/>
  <c r="G9570" i="1"/>
  <c r="E9570" i="1"/>
  <c r="H9569" i="1"/>
  <c r="G9569" i="1"/>
  <c r="E9569" i="1"/>
  <c r="H9568" i="1"/>
  <c r="G9568" i="1"/>
  <c r="E9568" i="1"/>
  <c r="H9567" i="1"/>
  <c r="G9567" i="1"/>
  <c r="E9567" i="1"/>
  <c r="H9566" i="1"/>
  <c r="G9566" i="1"/>
  <c r="E9566" i="1"/>
  <c r="H9565" i="1"/>
  <c r="G9565" i="1"/>
  <c r="E9565" i="1"/>
  <c r="H9564" i="1"/>
  <c r="G9564" i="1"/>
  <c r="E9564" i="1"/>
  <c r="H9563" i="1"/>
  <c r="G9563" i="1"/>
  <c r="E9563" i="1"/>
  <c r="H9562" i="1"/>
  <c r="G9562" i="1"/>
  <c r="E9562" i="1"/>
  <c r="H9561" i="1"/>
  <c r="G9561" i="1"/>
  <c r="E9561" i="1"/>
  <c r="H9560" i="1"/>
  <c r="G9560" i="1"/>
  <c r="E9560" i="1"/>
  <c r="H9559" i="1"/>
  <c r="G9559" i="1"/>
  <c r="E9559" i="1"/>
  <c r="H9558" i="1"/>
  <c r="G9558" i="1"/>
  <c r="E9558" i="1"/>
  <c r="H9557" i="1"/>
  <c r="G9557" i="1"/>
  <c r="E9557" i="1"/>
  <c r="H9556" i="1"/>
  <c r="G9556" i="1"/>
  <c r="E9556" i="1"/>
  <c r="H9555" i="1"/>
  <c r="G9555" i="1"/>
  <c r="E9555" i="1"/>
  <c r="H9554" i="1"/>
  <c r="G9554" i="1"/>
  <c r="E9554" i="1"/>
  <c r="H9553" i="1"/>
  <c r="G9553" i="1"/>
  <c r="E9553" i="1"/>
  <c r="H9552" i="1"/>
  <c r="G9552" i="1"/>
  <c r="E9552" i="1"/>
  <c r="H9551" i="1"/>
  <c r="G9551" i="1"/>
  <c r="E9551" i="1"/>
  <c r="H9550" i="1"/>
  <c r="G9550" i="1"/>
  <c r="E9550" i="1"/>
  <c r="H9549" i="1"/>
  <c r="G9549" i="1"/>
  <c r="E9549" i="1"/>
  <c r="H9548" i="1"/>
  <c r="G9548" i="1"/>
  <c r="E9548" i="1"/>
  <c r="H9547" i="1"/>
  <c r="G9547" i="1"/>
  <c r="E9547" i="1"/>
  <c r="H9546" i="1"/>
  <c r="G9546" i="1"/>
  <c r="E9546" i="1"/>
  <c r="H9545" i="1"/>
  <c r="G9545" i="1"/>
  <c r="E9545" i="1"/>
  <c r="H9544" i="1"/>
  <c r="G9544" i="1"/>
  <c r="E9544" i="1"/>
  <c r="H9543" i="1"/>
  <c r="G9543" i="1"/>
  <c r="E9543" i="1"/>
  <c r="H9542" i="1"/>
  <c r="G9542" i="1"/>
  <c r="E9542" i="1"/>
  <c r="H9541" i="1"/>
  <c r="G9541" i="1"/>
  <c r="E9541" i="1"/>
  <c r="H9540" i="1"/>
  <c r="G9540" i="1"/>
  <c r="E9540" i="1"/>
  <c r="H9539" i="1"/>
  <c r="G9539" i="1"/>
  <c r="E9539" i="1"/>
  <c r="H9538" i="1"/>
  <c r="G9538" i="1"/>
  <c r="E9538" i="1"/>
  <c r="H9537" i="1"/>
  <c r="G9537" i="1"/>
  <c r="E9537" i="1"/>
  <c r="H9536" i="1"/>
  <c r="G9536" i="1"/>
  <c r="E9536" i="1"/>
  <c r="H9535" i="1"/>
  <c r="G9535" i="1"/>
  <c r="E9535" i="1"/>
  <c r="H9534" i="1"/>
  <c r="G9534" i="1"/>
  <c r="E9534" i="1"/>
  <c r="H9533" i="1"/>
  <c r="G9533" i="1"/>
  <c r="E9533" i="1"/>
  <c r="H9532" i="1"/>
  <c r="G9532" i="1"/>
  <c r="E9532" i="1"/>
  <c r="H9531" i="1"/>
  <c r="G9531" i="1"/>
  <c r="E9531" i="1"/>
  <c r="H9530" i="1"/>
  <c r="G9530" i="1"/>
  <c r="E9530" i="1"/>
  <c r="H9529" i="1"/>
  <c r="G9529" i="1"/>
  <c r="E9529" i="1"/>
  <c r="H9528" i="1"/>
  <c r="G9528" i="1"/>
  <c r="E9528" i="1"/>
  <c r="H9527" i="1"/>
  <c r="G9527" i="1"/>
  <c r="E9527" i="1"/>
  <c r="H9526" i="1"/>
  <c r="G9526" i="1"/>
  <c r="E9526" i="1"/>
  <c r="H9525" i="1"/>
  <c r="G9525" i="1"/>
  <c r="E9525" i="1"/>
  <c r="H9524" i="1"/>
  <c r="G9524" i="1"/>
  <c r="E9524" i="1"/>
  <c r="H9523" i="1"/>
  <c r="G9523" i="1"/>
  <c r="E9523" i="1"/>
  <c r="H9522" i="1"/>
  <c r="G9522" i="1"/>
  <c r="E9522" i="1"/>
  <c r="H9521" i="1"/>
  <c r="G9521" i="1"/>
  <c r="E9521" i="1"/>
  <c r="H9520" i="1"/>
  <c r="G9520" i="1"/>
  <c r="E9520" i="1"/>
  <c r="H9519" i="1"/>
  <c r="G9519" i="1"/>
  <c r="E9519" i="1"/>
  <c r="H9518" i="1"/>
  <c r="G9518" i="1"/>
  <c r="E9518" i="1"/>
  <c r="H9517" i="1"/>
  <c r="G9517" i="1"/>
  <c r="E9517" i="1"/>
  <c r="H9516" i="1"/>
  <c r="G9516" i="1"/>
  <c r="E9516" i="1"/>
  <c r="H9515" i="1"/>
  <c r="G9515" i="1"/>
  <c r="E9515" i="1"/>
  <c r="H9514" i="1"/>
  <c r="G9514" i="1"/>
  <c r="E9514" i="1"/>
  <c r="H9513" i="1"/>
  <c r="G9513" i="1"/>
  <c r="E9513" i="1"/>
  <c r="H9512" i="1"/>
  <c r="G9512" i="1"/>
  <c r="E9512" i="1"/>
  <c r="H9511" i="1"/>
  <c r="G9511" i="1"/>
  <c r="E9511" i="1"/>
  <c r="H9510" i="1"/>
  <c r="G9510" i="1"/>
  <c r="E9510" i="1"/>
  <c r="H9509" i="1"/>
  <c r="G9509" i="1"/>
  <c r="E9509" i="1"/>
  <c r="H9508" i="1"/>
  <c r="G9508" i="1"/>
  <c r="E9508" i="1"/>
  <c r="H9507" i="1"/>
  <c r="G9507" i="1"/>
  <c r="E9507" i="1"/>
  <c r="H9506" i="1"/>
  <c r="G9506" i="1"/>
  <c r="E9506" i="1"/>
  <c r="H9505" i="1"/>
  <c r="G9505" i="1"/>
  <c r="E9505" i="1"/>
  <c r="H9504" i="1"/>
  <c r="G9504" i="1"/>
  <c r="E9504" i="1"/>
  <c r="H9503" i="1"/>
  <c r="G9503" i="1"/>
  <c r="E9503" i="1"/>
  <c r="H9502" i="1"/>
  <c r="G9502" i="1"/>
  <c r="E9502" i="1"/>
  <c r="H9501" i="1"/>
  <c r="G9501" i="1"/>
  <c r="E9501" i="1"/>
  <c r="H9500" i="1"/>
  <c r="G9500" i="1"/>
  <c r="E9500" i="1"/>
  <c r="H9499" i="1"/>
  <c r="G9499" i="1"/>
  <c r="E9499" i="1"/>
  <c r="H9498" i="1"/>
  <c r="G9498" i="1"/>
  <c r="E9498" i="1"/>
  <c r="H9497" i="1"/>
  <c r="G9497" i="1"/>
  <c r="E9497" i="1"/>
  <c r="H9496" i="1"/>
  <c r="G9496" i="1"/>
  <c r="E9496" i="1"/>
  <c r="H9495" i="1"/>
  <c r="G9495" i="1"/>
  <c r="E9495" i="1"/>
  <c r="H9494" i="1"/>
  <c r="G9494" i="1"/>
  <c r="E9494" i="1"/>
  <c r="H9493" i="1"/>
  <c r="G9493" i="1"/>
  <c r="E9493" i="1"/>
  <c r="H9492" i="1"/>
  <c r="G9492" i="1"/>
  <c r="E9492" i="1"/>
  <c r="H9491" i="1"/>
  <c r="G9491" i="1"/>
  <c r="E9491" i="1"/>
  <c r="H9490" i="1"/>
  <c r="G9490" i="1"/>
  <c r="E9490" i="1"/>
  <c r="H9489" i="1"/>
  <c r="G9489" i="1"/>
  <c r="E9489" i="1"/>
  <c r="H9488" i="1"/>
  <c r="G9488" i="1"/>
  <c r="E9488" i="1"/>
  <c r="H9487" i="1"/>
  <c r="G9487" i="1"/>
  <c r="E9487" i="1"/>
  <c r="H9486" i="1"/>
  <c r="G9486" i="1"/>
  <c r="E9486" i="1"/>
  <c r="H9485" i="1"/>
  <c r="G9485" i="1"/>
  <c r="E9485" i="1"/>
  <c r="H9484" i="1"/>
  <c r="G9484" i="1"/>
  <c r="E9484" i="1"/>
  <c r="H9483" i="1"/>
  <c r="G9483" i="1"/>
  <c r="E9483" i="1"/>
  <c r="H9482" i="1"/>
  <c r="G9482" i="1"/>
  <c r="E9482" i="1"/>
  <c r="H9481" i="1"/>
  <c r="G9481" i="1"/>
  <c r="E9481" i="1"/>
  <c r="H9480" i="1"/>
  <c r="G9480" i="1"/>
  <c r="E9480" i="1"/>
  <c r="H9479" i="1"/>
  <c r="G9479" i="1"/>
  <c r="E9479" i="1"/>
  <c r="H9478" i="1"/>
  <c r="G9478" i="1"/>
  <c r="E9478" i="1"/>
  <c r="H9477" i="1"/>
  <c r="G9477" i="1"/>
  <c r="E9477" i="1"/>
  <c r="H9476" i="1"/>
  <c r="G9476" i="1"/>
  <c r="E9476" i="1"/>
  <c r="H9475" i="1"/>
  <c r="G9475" i="1"/>
  <c r="E9475" i="1"/>
  <c r="H9474" i="1"/>
  <c r="G9474" i="1"/>
  <c r="E9474" i="1"/>
  <c r="H9473" i="1"/>
  <c r="G9473" i="1"/>
  <c r="E9473" i="1"/>
  <c r="H9472" i="1"/>
  <c r="G9472" i="1"/>
  <c r="E9472" i="1"/>
  <c r="H9471" i="1"/>
  <c r="G9471" i="1"/>
  <c r="E9471" i="1"/>
  <c r="H9470" i="1"/>
  <c r="G9470" i="1"/>
  <c r="E9470" i="1"/>
  <c r="H9469" i="1"/>
  <c r="G9469" i="1"/>
  <c r="E9469" i="1"/>
  <c r="H9468" i="1"/>
  <c r="G9468" i="1"/>
  <c r="E9468" i="1"/>
  <c r="H9467" i="1"/>
  <c r="G9467" i="1"/>
  <c r="E9467" i="1"/>
  <c r="H9466" i="1"/>
  <c r="G9466" i="1"/>
  <c r="E9466" i="1"/>
  <c r="H9465" i="1"/>
  <c r="G9465" i="1"/>
  <c r="E9465" i="1"/>
  <c r="H9464" i="1"/>
  <c r="G9464" i="1"/>
  <c r="E9464" i="1"/>
  <c r="H9463" i="1"/>
  <c r="G9463" i="1"/>
  <c r="E9463" i="1"/>
  <c r="H9462" i="1"/>
  <c r="G9462" i="1"/>
  <c r="E9462" i="1"/>
  <c r="H9461" i="1"/>
  <c r="G9461" i="1"/>
  <c r="E9461" i="1"/>
  <c r="H9460" i="1"/>
  <c r="G9460" i="1"/>
  <c r="E9460" i="1"/>
  <c r="H9459" i="1"/>
  <c r="G9459" i="1"/>
  <c r="E9459" i="1"/>
  <c r="H9458" i="1"/>
  <c r="G9458" i="1"/>
  <c r="E9458" i="1"/>
  <c r="H9457" i="1"/>
  <c r="G9457" i="1"/>
  <c r="E9457" i="1"/>
  <c r="H9456" i="1"/>
  <c r="G9456" i="1"/>
  <c r="E9456" i="1"/>
  <c r="H9455" i="1"/>
  <c r="G9455" i="1"/>
  <c r="E9455" i="1"/>
  <c r="H9454" i="1"/>
  <c r="G9454" i="1"/>
  <c r="E9454" i="1"/>
  <c r="H9453" i="1"/>
  <c r="G9453" i="1"/>
  <c r="E9453" i="1"/>
  <c r="H9452" i="1"/>
  <c r="G9452" i="1"/>
  <c r="E9452" i="1"/>
  <c r="H9451" i="1"/>
  <c r="G9451" i="1"/>
  <c r="E9451" i="1"/>
  <c r="H9450" i="1"/>
  <c r="G9450" i="1"/>
  <c r="E9450" i="1"/>
  <c r="H9449" i="1"/>
  <c r="G9449" i="1"/>
  <c r="E9449" i="1"/>
  <c r="H9448" i="1"/>
  <c r="G9448" i="1"/>
  <c r="E9448" i="1"/>
  <c r="H9447" i="1"/>
  <c r="G9447" i="1"/>
  <c r="E9447" i="1"/>
  <c r="H9446" i="1"/>
  <c r="G9446" i="1"/>
  <c r="E9446" i="1"/>
  <c r="H9445" i="1"/>
  <c r="G9445" i="1"/>
  <c r="E9445" i="1"/>
  <c r="H9444" i="1"/>
  <c r="G9444" i="1"/>
  <c r="E9444" i="1"/>
  <c r="H9443" i="1"/>
  <c r="G9443" i="1"/>
  <c r="E9443" i="1"/>
  <c r="H9442" i="1"/>
  <c r="G9442" i="1"/>
  <c r="E9442" i="1"/>
  <c r="H9441" i="1"/>
  <c r="G9441" i="1"/>
  <c r="E9441" i="1"/>
  <c r="H9440" i="1"/>
  <c r="G9440" i="1"/>
  <c r="E9440" i="1"/>
  <c r="H9439" i="1"/>
  <c r="G9439" i="1"/>
  <c r="E9439" i="1"/>
  <c r="H9438" i="1"/>
  <c r="G9438" i="1"/>
  <c r="E9438" i="1"/>
  <c r="H9437" i="1"/>
  <c r="G9437" i="1"/>
  <c r="E9437" i="1"/>
  <c r="H9436" i="1"/>
  <c r="G9436" i="1"/>
  <c r="E9436" i="1"/>
  <c r="H9435" i="1"/>
  <c r="G9435" i="1"/>
  <c r="E9435" i="1"/>
  <c r="H9434" i="1"/>
  <c r="G9434" i="1"/>
  <c r="E9434" i="1"/>
  <c r="H9433" i="1"/>
  <c r="G9433" i="1"/>
  <c r="E9433" i="1"/>
  <c r="H9432" i="1"/>
  <c r="G9432" i="1"/>
  <c r="E9432" i="1"/>
  <c r="H9431" i="1"/>
  <c r="G9431" i="1"/>
  <c r="E9431" i="1"/>
  <c r="H9430" i="1"/>
  <c r="G9430" i="1"/>
  <c r="E9430" i="1"/>
  <c r="H9429" i="1"/>
  <c r="G9429" i="1"/>
  <c r="E9429" i="1"/>
  <c r="H9428" i="1"/>
  <c r="G9428" i="1"/>
  <c r="E9428" i="1"/>
  <c r="H9427" i="1"/>
  <c r="G9427" i="1"/>
  <c r="E9427" i="1"/>
  <c r="H9426" i="1"/>
  <c r="G9426" i="1"/>
  <c r="E9426" i="1"/>
  <c r="H9425" i="1"/>
  <c r="G9425" i="1"/>
  <c r="E9425" i="1"/>
  <c r="H9424" i="1"/>
  <c r="G9424" i="1"/>
  <c r="E9424" i="1"/>
  <c r="H9423" i="1"/>
  <c r="G9423" i="1"/>
  <c r="E9423" i="1"/>
  <c r="H9422" i="1"/>
  <c r="G9422" i="1"/>
  <c r="E9422" i="1"/>
  <c r="H9421" i="1"/>
  <c r="G9421" i="1"/>
  <c r="E9421" i="1"/>
  <c r="H9420" i="1"/>
  <c r="G9420" i="1"/>
  <c r="E9420" i="1"/>
  <c r="H9419" i="1"/>
  <c r="G9419" i="1"/>
  <c r="E9419" i="1"/>
  <c r="H9418" i="1"/>
  <c r="G9418" i="1"/>
  <c r="E9418" i="1"/>
  <c r="H9417" i="1"/>
  <c r="G9417" i="1"/>
  <c r="E9417" i="1"/>
  <c r="H9416" i="1"/>
  <c r="G9416" i="1"/>
  <c r="E9416" i="1"/>
  <c r="H9415" i="1"/>
  <c r="G9415" i="1"/>
  <c r="E9415" i="1"/>
  <c r="H9414" i="1"/>
  <c r="G9414" i="1"/>
  <c r="E9414" i="1"/>
  <c r="H9413" i="1"/>
  <c r="G9413" i="1"/>
  <c r="E9413" i="1"/>
  <c r="H9412" i="1"/>
  <c r="G9412" i="1"/>
  <c r="E9412" i="1"/>
  <c r="H9411" i="1"/>
  <c r="G9411" i="1"/>
  <c r="E9411" i="1"/>
  <c r="H9410" i="1"/>
  <c r="G9410" i="1"/>
  <c r="E9410" i="1"/>
  <c r="H9409" i="1"/>
  <c r="G9409" i="1"/>
  <c r="E9409" i="1"/>
  <c r="H9408" i="1"/>
  <c r="G9408" i="1"/>
  <c r="E9408" i="1"/>
  <c r="H9407" i="1"/>
  <c r="G9407" i="1"/>
  <c r="E9407" i="1"/>
  <c r="H9406" i="1"/>
  <c r="G9406" i="1"/>
  <c r="E9406" i="1"/>
  <c r="H9405" i="1"/>
  <c r="G9405" i="1"/>
  <c r="E9405" i="1"/>
  <c r="H9404" i="1"/>
  <c r="G9404" i="1"/>
  <c r="E9404" i="1"/>
  <c r="H9403" i="1"/>
  <c r="G9403" i="1"/>
  <c r="E9403" i="1"/>
  <c r="H9402" i="1"/>
  <c r="G9402" i="1"/>
  <c r="E9402" i="1"/>
  <c r="H9401" i="1"/>
  <c r="G9401" i="1"/>
  <c r="E9401" i="1"/>
  <c r="H9400" i="1"/>
  <c r="G9400" i="1"/>
  <c r="E9400" i="1"/>
  <c r="H9399" i="1"/>
  <c r="G9399" i="1"/>
  <c r="E9399" i="1"/>
  <c r="H9398" i="1"/>
  <c r="G9398" i="1"/>
  <c r="E9398" i="1"/>
  <c r="H9397" i="1"/>
  <c r="G9397" i="1"/>
  <c r="E9397" i="1"/>
  <c r="H9396" i="1"/>
  <c r="G9396" i="1"/>
  <c r="E9396" i="1"/>
  <c r="H9395" i="1"/>
  <c r="G9395" i="1"/>
  <c r="E9395" i="1"/>
  <c r="H9394" i="1"/>
  <c r="G9394" i="1"/>
  <c r="E9394" i="1"/>
  <c r="H9393" i="1"/>
  <c r="G9393" i="1"/>
  <c r="E9393" i="1"/>
  <c r="H9392" i="1"/>
  <c r="G9392" i="1"/>
  <c r="E9392" i="1"/>
  <c r="H9391" i="1"/>
  <c r="G9391" i="1"/>
  <c r="E9391" i="1"/>
  <c r="H9390" i="1"/>
  <c r="G9390" i="1"/>
  <c r="E9390" i="1"/>
  <c r="H9389" i="1"/>
  <c r="G9389" i="1"/>
  <c r="E9389" i="1"/>
  <c r="H9388" i="1"/>
  <c r="G9388" i="1"/>
  <c r="E9388" i="1"/>
  <c r="H9387" i="1"/>
  <c r="G9387" i="1"/>
  <c r="E9387" i="1"/>
  <c r="H9386" i="1"/>
  <c r="G9386" i="1"/>
  <c r="E9386" i="1"/>
  <c r="H9385" i="1"/>
  <c r="G9385" i="1"/>
  <c r="E9385" i="1"/>
  <c r="H9384" i="1"/>
  <c r="G9384" i="1"/>
  <c r="E9384" i="1"/>
  <c r="H9383" i="1"/>
  <c r="G9383" i="1"/>
  <c r="E9383" i="1"/>
  <c r="H9382" i="1"/>
  <c r="G9382" i="1"/>
  <c r="E9382" i="1"/>
  <c r="H9381" i="1"/>
  <c r="G9381" i="1"/>
  <c r="E9381" i="1"/>
  <c r="H9380" i="1"/>
  <c r="G9380" i="1"/>
  <c r="E9380" i="1"/>
  <c r="H9379" i="1"/>
  <c r="G9379" i="1"/>
  <c r="E9379" i="1"/>
  <c r="H9378" i="1"/>
  <c r="G9378" i="1"/>
  <c r="E9378" i="1"/>
  <c r="H9377" i="1"/>
  <c r="G9377" i="1"/>
  <c r="E9377" i="1"/>
  <c r="H9376" i="1"/>
  <c r="G9376" i="1"/>
  <c r="E9376" i="1"/>
  <c r="H9375" i="1"/>
  <c r="G9375" i="1"/>
  <c r="E9375" i="1"/>
  <c r="H9374" i="1"/>
  <c r="G9374" i="1"/>
  <c r="E9374" i="1"/>
  <c r="H9373" i="1"/>
  <c r="G9373" i="1"/>
  <c r="E9373" i="1"/>
  <c r="H9372" i="1"/>
  <c r="G9372" i="1"/>
  <c r="E9372" i="1"/>
  <c r="H9371" i="1"/>
  <c r="G9371" i="1"/>
  <c r="E9371" i="1"/>
  <c r="H9370" i="1"/>
  <c r="G9370" i="1"/>
  <c r="E9370" i="1"/>
  <c r="H9369" i="1"/>
  <c r="G9369" i="1"/>
  <c r="E9369" i="1"/>
  <c r="H9368" i="1"/>
  <c r="G9368" i="1"/>
  <c r="E9368" i="1"/>
  <c r="H9367" i="1"/>
  <c r="G9367" i="1"/>
  <c r="E9367" i="1"/>
  <c r="H9366" i="1"/>
  <c r="G9366" i="1"/>
  <c r="E9366" i="1"/>
  <c r="H9365" i="1"/>
  <c r="G9365" i="1"/>
  <c r="E9365" i="1"/>
  <c r="H9364" i="1"/>
  <c r="G9364" i="1"/>
  <c r="E9364" i="1"/>
  <c r="H9363" i="1"/>
  <c r="G9363" i="1"/>
  <c r="E9363" i="1"/>
  <c r="H9362" i="1"/>
  <c r="G9362" i="1"/>
  <c r="E9362" i="1"/>
  <c r="H9361" i="1"/>
  <c r="G9361" i="1"/>
  <c r="E9361" i="1"/>
  <c r="H9360" i="1"/>
  <c r="G9360" i="1"/>
  <c r="E9360" i="1"/>
  <c r="H9359" i="1"/>
  <c r="G9359" i="1"/>
  <c r="E9359" i="1"/>
  <c r="H9358" i="1"/>
  <c r="G9358" i="1"/>
  <c r="E9358" i="1"/>
  <c r="H9357" i="1"/>
  <c r="G9357" i="1"/>
  <c r="E9357" i="1"/>
  <c r="H9356" i="1"/>
  <c r="G9356" i="1"/>
  <c r="E9356" i="1"/>
  <c r="H9355" i="1"/>
  <c r="G9355" i="1"/>
  <c r="E9355" i="1"/>
  <c r="H9354" i="1"/>
  <c r="G9354" i="1"/>
  <c r="E9354" i="1"/>
  <c r="H9353" i="1"/>
  <c r="G9353" i="1"/>
  <c r="E9353" i="1"/>
  <c r="H9352" i="1"/>
  <c r="G9352" i="1"/>
  <c r="E9352" i="1"/>
  <c r="H9351" i="1"/>
  <c r="G9351" i="1"/>
  <c r="E9351" i="1"/>
  <c r="H9350" i="1"/>
  <c r="G9350" i="1"/>
  <c r="E9350" i="1"/>
  <c r="H9349" i="1"/>
  <c r="G9349" i="1"/>
  <c r="E9349" i="1"/>
  <c r="H9348" i="1"/>
  <c r="G9348" i="1"/>
  <c r="E9348" i="1"/>
  <c r="H9347" i="1"/>
  <c r="G9347" i="1"/>
  <c r="E9347" i="1"/>
  <c r="H9346" i="1"/>
  <c r="G9346" i="1"/>
  <c r="E9346" i="1"/>
  <c r="H9345" i="1"/>
  <c r="G9345" i="1"/>
  <c r="E9345" i="1"/>
  <c r="H9344" i="1"/>
  <c r="G9344" i="1"/>
  <c r="E9344" i="1"/>
  <c r="H9343" i="1"/>
  <c r="G9343" i="1"/>
  <c r="E9343" i="1"/>
  <c r="H9342" i="1"/>
  <c r="G9342" i="1"/>
  <c r="E9342" i="1"/>
  <c r="H9341" i="1"/>
  <c r="G9341" i="1"/>
  <c r="E9341" i="1"/>
  <c r="H9340" i="1"/>
  <c r="G9340" i="1"/>
  <c r="E9340" i="1"/>
  <c r="H9339" i="1"/>
  <c r="G9339" i="1"/>
  <c r="E9339" i="1"/>
  <c r="H9338" i="1"/>
  <c r="G9338" i="1"/>
  <c r="E9338" i="1"/>
  <c r="H9337" i="1"/>
  <c r="G9337" i="1"/>
  <c r="E9337" i="1"/>
  <c r="H9336" i="1"/>
  <c r="G9336" i="1"/>
  <c r="E9336" i="1"/>
  <c r="H9335" i="1"/>
  <c r="G9335" i="1"/>
  <c r="E9335" i="1"/>
  <c r="H9334" i="1"/>
  <c r="G9334" i="1"/>
  <c r="E9334" i="1"/>
  <c r="H9333" i="1"/>
  <c r="G9333" i="1"/>
  <c r="E9333" i="1"/>
  <c r="H9332" i="1"/>
  <c r="G9332" i="1"/>
  <c r="E9332" i="1"/>
  <c r="H9331" i="1"/>
  <c r="G9331" i="1"/>
  <c r="E9331" i="1"/>
  <c r="H9330" i="1"/>
  <c r="G9330" i="1"/>
  <c r="E9330" i="1"/>
  <c r="H9329" i="1"/>
  <c r="G9329" i="1"/>
  <c r="E9329" i="1"/>
  <c r="H9328" i="1"/>
  <c r="G9328" i="1"/>
  <c r="E9328" i="1"/>
  <c r="H9327" i="1"/>
  <c r="G9327" i="1"/>
  <c r="E9327" i="1"/>
  <c r="H9326" i="1"/>
  <c r="G9326" i="1"/>
  <c r="E9326" i="1"/>
  <c r="H9325" i="1"/>
  <c r="G9325" i="1"/>
  <c r="E9325" i="1"/>
  <c r="H9324" i="1"/>
  <c r="G9324" i="1"/>
  <c r="E9324" i="1"/>
  <c r="H9323" i="1"/>
  <c r="G9323" i="1"/>
  <c r="E9323" i="1"/>
  <c r="H9322" i="1"/>
  <c r="G9322" i="1"/>
  <c r="E9322" i="1"/>
  <c r="H9321" i="1"/>
  <c r="G9321" i="1"/>
  <c r="E9321" i="1"/>
  <c r="H9320" i="1"/>
  <c r="G9320" i="1"/>
  <c r="E9320" i="1"/>
  <c r="H9319" i="1"/>
  <c r="G9319" i="1"/>
  <c r="E9319" i="1"/>
  <c r="H9318" i="1"/>
  <c r="G9318" i="1"/>
  <c r="E9318" i="1"/>
  <c r="H9317" i="1"/>
  <c r="G9317" i="1"/>
  <c r="E9317" i="1"/>
  <c r="H9316" i="1"/>
  <c r="G9316" i="1"/>
  <c r="E9316" i="1"/>
  <c r="H9315" i="1"/>
  <c r="G9315" i="1"/>
  <c r="E9315" i="1"/>
  <c r="H9314" i="1"/>
  <c r="G9314" i="1"/>
  <c r="E9314" i="1"/>
  <c r="H9313" i="1"/>
  <c r="G9313" i="1"/>
  <c r="E9313" i="1"/>
  <c r="H9312" i="1"/>
  <c r="G9312" i="1"/>
  <c r="E9312" i="1"/>
  <c r="H9311" i="1"/>
  <c r="G9311" i="1"/>
  <c r="E9311" i="1"/>
  <c r="H9310" i="1"/>
  <c r="G9310" i="1"/>
  <c r="E9310" i="1"/>
  <c r="H9309" i="1"/>
  <c r="G9309" i="1"/>
  <c r="E9309" i="1"/>
  <c r="H9308" i="1"/>
  <c r="G9308" i="1"/>
  <c r="E9308" i="1"/>
  <c r="H9307" i="1"/>
  <c r="G9307" i="1"/>
  <c r="E9307" i="1"/>
  <c r="H9306" i="1"/>
  <c r="G9306" i="1"/>
  <c r="E9306" i="1"/>
  <c r="H9305" i="1"/>
  <c r="G9305" i="1"/>
  <c r="E9305" i="1"/>
  <c r="H9304" i="1"/>
  <c r="G9304" i="1"/>
  <c r="E9304" i="1"/>
  <c r="H9303" i="1"/>
  <c r="G9303" i="1"/>
  <c r="E9303" i="1"/>
  <c r="H9302" i="1"/>
  <c r="G9302" i="1"/>
  <c r="E9302" i="1"/>
  <c r="H9301" i="1"/>
  <c r="G9301" i="1"/>
  <c r="E9301" i="1"/>
  <c r="H9300" i="1"/>
  <c r="G9300" i="1"/>
  <c r="E9300" i="1"/>
  <c r="H9299" i="1"/>
  <c r="G9299" i="1"/>
  <c r="E9299" i="1"/>
  <c r="H9298" i="1"/>
  <c r="G9298" i="1"/>
  <c r="E9298" i="1"/>
  <c r="H9297" i="1"/>
  <c r="G9297" i="1"/>
  <c r="E9297" i="1"/>
  <c r="H9296" i="1"/>
  <c r="G9296" i="1"/>
  <c r="E9296" i="1"/>
  <c r="H9295" i="1"/>
  <c r="G9295" i="1"/>
  <c r="E9295" i="1"/>
  <c r="H9294" i="1"/>
  <c r="G9294" i="1"/>
  <c r="E9294" i="1"/>
  <c r="H9293" i="1"/>
  <c r="G9293" i="1"/>
  <c r="E9293" i="1"/>
  <c r="H9292" i="1"/>
  <c r="G9292" i="1"/>
  <c r="E9292" i="1"/>
  <c r="H9291" i="1"/>
  <c r="G9291" i="1"/>
  <c r="E9291" i="1"/>
  <c r="H9290" i="1"/>
  <c r="G9290" i="1"/>
  <c r="E9290" i="1"/>
  <c r="H9289" i="1"/>
  <c r="G9289" i="1"/>
  <c r="E9289" i="1"/>
  <c r="H9288" i="1"/>
  <c r="G9288" i="1"/>
  <c r="E9288" i="1"/>
  <c r="H9287" i="1"/>
  <c r="G9287" i="1"/>
  <c r="E9287" i="1"/>
  <c r="H9286" i="1"/>
  <c r="G9286" i="1"/>
  <c r="E9286" i="1"/>
  <c r="H9285" i="1"/>
  <c r="G9285" i="1"/>
  <c r="E9285" i="1"/>
  <c r="H9284" i="1"/>
  <c r="G9284" i="1"/>
  <c r="E9284" i="1"/>
  <c r="H9283" i="1"/>
  <c r="G9283" i="1"/>
  <c r="E9283" i="1"/>
  <c r="H9282" i="1"/>
  <c r="G9282" i="1"/>
  <c r="E9282" i="1"/>
  <c r="H9281" i="1"/>
  <c r="G9281" i="1"/>
  <c r="E9281" i="1"/>
  <c r="H9280" i="1"/>
  <c r="G9280" i="1"/>
  <c r="E9280" i="1"/>
  <c r="H9279" i="1"/>
  <c r="G9279" i="1"/>
  <c r="E9279" i="1"/>
  <c r="H9278" i="1"/>
  <c r="G9278" i="1"/>
  <c r="E9278" i="1"/>
  <c r="H9277" i="1"/>
  <c r="G9277" i="1"/>
  <c r="E9277" i="1"/>
  <c r="H9276" i="1"/>
  <c r="G9276" i="1"/>
  <c r="E9276" i="1"/>
  <c r="H9275" i="1"/>
  <c r="G9275" i="1"/>
  <c r="E9275" i="1"/>
  <c r="H9274" i="1"/>
  <c r="G9274" i="1"/>
  <c r="E9274" i="1"/>
  <c r="H9273" i="1"/>
  <c r="G9273" i="1"/>
  <c r="E9273" i="1"/>
  <c r="H9272" i="1"/>
  <c r="G9272" i="1"/>
  <c r="E9272" i="1"/>
  <c r="H9271" i="1"/>
  <c r="G9271" i="1"/>
  <c r="E9271" i="1"/>
  <c r="H9270" i="1"/>
  <c r="G9270" i="1"/>
  <c r="E9270" i="1"/>
  <c r="H9269" i="1"/>
  <c r="G9269" i="1"/>
  <c r="E9269" i="1"/>
  <c r="H9268" i="1"/>
  <c r="G9268" i="1"/>
  <c r="E9268" i="1"/>
  <c r="H9267" i="1"/>
  <c r="G9267" i="1"/>
  <c r="E9267" i="1"/>
  <c r="H9266" i="1"/>
  <c r="G9266" i="1"/>
  <c r="E9266" i="1"/>
  <c r="H9265" i="1"/>
  <c r="G9265" i="1"/>
  <c r="E9265" i="1"/>
  <c r="H9264" i="1"/>
  <c r="G9264" i="1"/>
  <c r="E9264" i="1"/>
  <c r="H9263" i="1"/>
  <c r="G9263" i="1"/>
  <c r="E9263" i="1"/>
  <c r="H9262" i="1"/>
  <c r="G9262" i="1"/>
  <c r="E9262" i="1"/>
  <c r="H9261" i="1"/>
  <c r="G9261" i="1"/>
  <c r="E9261" i="1"/>
  <c r="H9260" i="1"/>
  <c r="G9260" i="1"/>
  <c r="E9260" i="1"/>
  <c r="H9259" i="1"/>
  <c r="G9259" i="1"/>
  <c r="E9259" i="1"/>
  <c r="H9258" i="1"/>
  <c r="G9258" i="1"/>
  <c r="E9258" i="1"/>
  <c r="H9257" i="1"/>
  <c r="G9257" i="1"/>
  <c r="E9257" i="1"/>
  <c r="H9256" i="1"/>
  <c r="G9256" i="1"/>
  <c r="E9256" i="1"/>
  <c r="H9255" i="1"/>
  <c r="G9255" i="1"/>
  <c r="E9255" i="1"/>
  <c r="H9254" i="1"/>
  <c r="G9254" i="1"/>
  <c r="E9254" i="1"/>
  <c r="H9253" i="1"/>
  <c r="G9253" i="1"/>
  <c r="E9253" i="1"/>
  <c r="H9252" i="1"/>
  <c r="G9252" i="1"/>
  <c r="E9252" i="1"/>
  <c r="H9251" i="1"/>
  <c r="G9251" i="1"/>
  <c r="E9251" i="1"/>
  <c r="H9250" i="1"/>
  <c r="G9250" i="1"/>
  <c r="E9250" i="1"/>
  <c r="H9249" i="1"/>
  <c r="G9249" i="1"/>
  <c r="E9249" i="1"/>
  <c r="H9248" i="1"/>
  <c r="G9248" i="1"/>
  <c r="E9248" i="1"/>
  <c r="H9247" i="1"/>
  <c r="G9247" i="1"/>
  <c r="E9247" i="1"/>
  <c r="H9246" i="1"/>
  <c r="G9246" i="1"/>
  <c r="E9246" i="1"/>
  <c r="H9245" i="1"/>
  <c r="G9245" i="1"/>
  <c r="E9245" i="1"/>
  <c r="H9244" i="1"/>
  <c r="G9244" i="1"/>
  <c r="E9244" i="1"/>
  <c r="H9243" i="1"/>
  <c r="G9243" i="1"/>
  <c r="E9243" i="1"/>
  <c r="H9242" i="1"/>
  <c r="G9242" i="1"/>
  <c r="E9242" i="1"/>
  <c r="H9241" i="1"/>
  <c r="G9241" i="1"/>
  <c r="E9241" i="1"/>
  <c r="H9240" i="1"/>
  <c r="G9240" i="1"/>
  <c r="E9240" i="1"/>
  <c r="H9239" i="1"/>
  <c r="G9239" i="1"/>
  <c r="E9239" i="1"/>
  <c r="H9238" i="1"/>
  <c r="G9238" i="1"/>
  <c r="E9238" i="1"/>
  <c r="H9237" i="1"/>
  <c r="G9237" i="1"/>
  <c r="E9237" i="1"/>
  <c r="H9236" i="1"/>
  <c r="G9236" i="1"/>
  <c r="E9236" i="1"/>
  <c r="H9235" i="1"/>
  <c r="G9235" i="1"/>
  <c r="E9235" i="1"/>
  <c r="H9234" i="1"/>
  <c r="G9234" i="1"/>
  <c r="E9234" i="1"/>
  <c r="H9233" i="1"/>
  <c r="G9233" i="1"/>
  <c r="E9233" i="1"/>
  <c r="H9232" i="1"/>
  <c r="G9232" i="1"/>
  <c r="E9232" i="1"/>
  <c r="H9231" i="1"/>
  <c r="G9231" i="1"/>
  <c r="E9231" i="1"/>
  <c r="H9230" i="1"/>
  <c r="G9230" i="1"/>
  <c r="E9230" i="1"/>
  <c r="H9229" i="1"/>
  <c r="G9229" i="1"/>
  <c r="E9229" i="1"/>
  <c r="H9228" i="1"/>
  <c r="G9228" i="1"/>
  <c r="E9228" i="1"/>
  <c r="H9227" i="1"/>
  <c r="G9227" i="1"/>
  <c r="E9227" i="1"/>
  <c r="H9226" i="1"/>
  <c r="G9226" i="1"/>
  <c r="E9226" i="1"/>
  <c r="H9225" i="1"/>
  <c r="G9225" i="1"/>
  <c r="E9225" i="1"/>
  <c r="H9224" i="1"/>
  <c r="G9224" i="1"/>
  <c r="E9224" i="1"/>
  <c r="H9223" i="1"/>
  <c r="G9223" i="1"/>
  <c r="E9223" i="1"/>
  <c r="H9222" i="1"/>
  <c r="G9222" i="1"/>
  <c r="E9222" i="1"/>
  <c r="H9221" i="1"/>
  <c r="G9221" i="1"/>
  <c r="E9221" i="1"/>
  <c r="H9220" i="1"/>
  <c r="G9220" i="1"/>
  <c r="E9220" i="1"/>
  <c r="H9219" i="1"/>
  <c r="G9219" i="1"/>
  <c r="E9219" i="1"/>
  <c r="H9218" i="1"/>
  <c r="G9218" i="1"/>
  <c r="E9218" i="1"/>
  <c r="H9217" i="1"/>
  <c r="G9217" i="1"/>
  <c r="E9217" i="1"/>
  <c r="H9216" i="1"/>
  <c r="G9216" i="1"/>
  <c r="E9216" i="1"/>
  <c r="H9215" i="1"/>
  <c r="G9215" i="1"/>
  <c r="E9215" i="1"/>
  <c r="H9214" i="1"/>
  <c r="G9214" i="1"/>
  <c r="E9214" i="1"/>
  <c r="H9213" i="1"/>
  <c r="G9213" i="1"/>
  <c r="E9213" i="1"/>
  <c r="H9212" i="1"/>
  <c r="G9212" i="1"/>
  <c r="E9212" i="1"/>
  <c r="H9211" i="1"/>
  <c r="G9211" i="1"/>
  <c r="E9211" i="1"/>
  <c r="H9210" i="1"/>
  <c r="G9210" i="1"/>
  <c r="E9210" i="1"/>
  <c r="H9209" i="1"/>
  <c r="G9209" i="1"/>
  <c r="E9209" i="1"/>
  <c r="H9208" i="1"/>
  <c r="G9208" i="1"/>
  <c r="E9208" i="1"/>
  <c r="H9207" i="1"/>
  <c r="G9207" i="1"/>
  <c r="E9207" i="1"/>
  <c r="H9206" i="1"/>
  <c r="G9206" i="1"/>
  <c r="E9206" i="1"/>
  <c r="H9205" i="1"/>
  <c r="G9205" i="1"/>
  <c r="E9205" i="1"/>
  <c r="H9204" i="1"/>
  <c r="G9204" i="1"/>
  <c r="E9204" i="1"/>
  <c r="H9203" i="1"/>
  <c r="G9203" i="1"/>
  <c r="E9203" i="1"/>
  <c r="H9202" i="1"/>
  <c r="G9202" i="1"/>
  <c r="E9202" i="1"/>
  <c r="H9201" i="1"/>
  <c r="G9201" i="1"/>
  <c r="E9201" i="1"/>
  <c r="H9200" i="1"/>
  <c r="G9200" i="1"/>
  <c r="E9200" i="1"/>
  <c r="H9199" i="1"/>
  <c r="G9199" i="1"/>
  <c r="E9199" i="1"/>
  <c r="H9198" i="1"/>
  <c r="G9198" i="1"/>
  <c r="E9198" i="1"/>
  <c r="H9197" i="1"/>
  <c r="G9197" i="1"/>
  <c r="E9197" i="1"/>
  <c r="H9196" i="1"/>
  <c r="G9196" i="1"/>
  <c r="E9196" i="1"/>
  <c r="H9195" i="1"/>
  <c r="G9195" i="1"/>
  <c r="E9195" i="1"/>
  <c r="H9194" i="1"/>
  <c r="G9194" i="1"/>
  <c r="E9194" i="1"/>
  <c r="H9193" i="1"/>
  <c r="G9193" i="1"/>
  <c r="E9193" i="1"/>
  <c r="H9192" i="1"/>
  <c r="G9192" i="1"/>
  <c r="E9192" i="1"/>
  <c r="H9191" i="1"/>
  <c r="G9191" i="1"/>
  <c r="E9191" i="1"/>
  <c r="H9190" i="1"/>
  <c r="G9190" i="1"/>
  <c r="E9190" i="1"/>
  <c r="H9189" i="1"/>
  <c r="G9189" i="1"/>
  <c r="E9189" i="1"/>
  <c r="H9188" i="1"/>
  <c r="G9188" i="1"/>
  <c r="E9188" i="1"/>
  <c r="H9187" i="1"/>
  <c r="G9187" i="1"/>
  <c r="E9187" i="1"/>
  <c r="H9186" i="1"/>
  <c r="G9186" i="1"/>
  <c r="E9186" i="1"/>
  <c r="H9185" i="1"/>
  <c r="G9185" i="1"/>
  <c r="E9185" i="1"/>
  <c r="H9184" i="1"/>
  <c r="G9184" i="1"/>
  <c r="E9184" i="1"/>
  <c r="H9183" i="1"/>
  <c r="G9183" i="1"/>
  <c r="E9183" i="1"/>
  <c r="H9182" i="1"/>
  <c r="G9182" i="1"/>
  <c r="E9182" i="1"/>
  <c r="H9181" i="1"/>
  <c r="G9181" i="1"/>
  <c r="E9181" i="1"/>
  <c r="H9180" i="1"/>
  <c r="G9180" i="1"/>
  <c r="E9180" i="1"/>
  <c r="H9179" i="1"/>
  <c r="G9179" i="1"/>
  <c r="E9179" i="1"/>
  <c r="H9178" i="1"/>
  <c r="G9178" i="1"/>
  <c r="E9178" i="1"/>
  <c r="H9177" i="1"/>
  <c r="G9177" i="1"/>
  <c r="E9177" i="1"/>
  <c r="H9176" i="1"/>
  <c r="G9176" i="1"/>
  <c r="E9176" i="1"/>
  <c r="H9175" i="1"/>
  <c r="G9175" i="1"/>
  <c r="E9175" i="1"/>
  <c r="H9174" i="1"/>
  <c r="G9174" i="1"/>
  <c r="E9174" i="1"/>
  <c r="H9173" i="1"/>
  <c r="G9173" i="1"/>
  <c r="E9173" i="1"/>
  <c r="H9172" i="1"/>
  <c r="G9172" i="1"/>
  <c r="E9172" i="1"/>
  <c r="H9171" i="1"/>
  <c r="G9171" i="1"/>
  <c r="E9171" i="1"/>
  <c r="H9170" i="1"/>
  <c r="G9170" i="1"/>
  <c r="E9170" i="1"/>
  <c r="H9169" i="1"/>
  <c r="G9169" i="1"/>
  <c r="E9169" i="1"/>
  <c r="H9168" i="1"/>
  <c r="G9168" i="1"/>
  <c r="E9168" i="1"/>
  <c r="H9167" i="1"/>
  <c r="G9167" i="1"/>
  <c r="E9167" i="1"/>
  <c r="H9166" i="1"/>
  <c r="G9166" i="1"/>
  <c r="E9166" i="1"/>
  <c r="H9165" i="1"/>
  <c r="G9165" i="1"/>
  <c r="E9165" i="1"/>
  <c r="H9164" i="1"/>
  <c r="G9164" i="1"/>
  <c r="E9164" i="1"/>
  <c r="H9163" i="1"/>
  <c r="G9163" i="1"/>
  <c r="E9163" i="1"/>
  <c r="H9162" i="1"/>
  <c r="G9162" i="1"/>
  <c r="E9162" i="1"/>
  <c r="H9161" i="1"/>
  <c r="G9161" i="1"/>
  <c r="E9161" i="1"/>
  <c r="H9160" i="1"/>
  <c r="G9160" i="1"/>
  <c r="E9160" i="1"/>
  <c r="H9159" i="1"/>
  <c r="G9159" i="1"/>
  <c r="E9159" i="1"/>
  <c r="H9158" i="1"/>
  <c r="G9158" i="1"/>
  <c r="E9158" i="1"/>
  <c r="H9157" i="1"/>
  <c r="G9157" i="1"/>
  <c r="E9157" i="1"/>
  <c r="H9156" i="1"/>
  <c r="G9156" i="1"/>
  <c r="E9156" i="1"/>
  <c r="H9155" i="1"/>
  <c r="G9155" i="1"/>
  <c r="E9155" i="1"/>
  <c r="H9154" i="1"/>
  <c r="G9154" i="1"/>
  <c r="E9154" i="1"/>
  <c r="H9153" i="1"/>
  <c r="G9153" i="1"/>
  <c r="E9153" i="1"/>
  <c r="H9152" i="1"/>
  <c r="G9152" i="1"/>
  <c r="E9152" i="1"/>
  <c r="H9151" i="1"/>
  <c r="G9151" i="1"/>
  <c r="E9151" i="1"/>
  <c r="H9150" i="1"/>
  <c r="G9150" i="1"/>
  <c r="E9150" i="1"/>
  <c r="H9149" i="1"/>
  <c r="G9149" i="1"/>
  <c r="E9149" i="1"/>
  <c r="H9148" i="1"/>
  <c r="G9148" i="1"/>
  <c r="E9148" i="1"/>
  <c r="H9147" i="1"/>
  <c r="G9147" i="1"/>
  <c r="E9147" i="1"/>
  <c r="H9146" i="1"/>
  <c r="G9146" i="1"/>
  <c r="E9146" i="1"/>
  <c r="H9145" i="1"/>
  <c r="G9145" i="1"/>
  <c r="E9145" i="1"/>
  <c r="H9144" i="1"/>
  <c r="G9144" i="1"/>
  <c r="E9144" i="1"/>
  <c r="H9143" i="1"/>
  <c r="G9143" i="1"/>
  <c r="E9143" i="1"/>
  <c r="H9142" i="1"/>
  <c r="G9142" i="1"/>
  <c r="E9142" i="1"/>
  <c r="H9141" i="1"/>
  <c r="G9141" i="1"/>
  <c r="E9141" i="1"/>
  <c r="H9140" i="1"/>
  <c r="G9140" i="1"/>
  <c r="E9140" i="1"/>
  <c r="H9139" i="1"/>
  <c r="G9139" i="1"/>
  <c r="E9139" i="1"/>
  <c r="H9138" i="1"/>
  <c r="G9138" i="1"/>
  <c r="E9138" i="1"/>
  <c r="H9137" i="1"/>
  <c r="G9137" i="1"/>
  <c r="E9137" i="1"/>
  <c r="H9136" i="1"/>
  <c r="G9136" i="1"/>
  <c r="E9136" i="1"/>
  <c r="H9135" i="1"/>
  <c r="G9135" i="1"/>
  <c r="E9135" i="1"/>
  <c r="H9134" i="1"/>
  <c r="G9134" i="1"/>
  <c r="E9134" i="1"/>
  <c r="H9133" i="1"/>
  <c r="G9133" i="1"/>
  <c r="E9133" i="1"/>
  <c r="H9132" i="1"/>
  <c r="G9132" i="1"/>
  <c r="E9132" i="1"/>
  <c r="H9131" i="1"/>
  <c r="G9131" i="1"/>
  <c r="E9131" i="1"/>
  <c r="H9130" i="1"/>
  <c r="G9130" i="1"/>
  <c r="E9130" i="1"/>
  <c r="H9129" i="1"/>
  <c r="G9129" i="1"/>
  <c r="E9129" i="1"/>
  <c r="H9128" i="1"/>
  <c r="G9128" i="1"/>
  <c r="E9128" i="1"/>
  <c r="H9127" i="1"/>
  <c r="G9127" i="1"/>
  <c r="E9127" i="1"/>
  <c r="H9126" i="1"/>
  <c r="G9126" i="1"/>
  <c r="E9126" i="1"/>
  <c r="H9125" i="1"/>
  <c r="G9125" i="1"/>
  <c r="E9125" i="1"/>
  <c r="H9124" i="1"/>
  <c r="G9124" i="1"/>
  <c r="E9124" i="1"/>
  <c r="H9123" i="1"/>
  <c r="G9123" i="1"/>
  <c r="E9123" i="1"/>
  <c r="H9122" i="1"/>
  <c r="G9122" i="1"/>
  <c r="E9122" i="1"/>
  <c r="H9121" i="1"/>
  <c r="G9121" i="1"/>
  <c r="E9121" i="1"/>
  <c r="H9120" i="1"/>
  <c r="G9120" i="1"/>
  <c r="E9120" i="1"/>
  <c r="H9119" i="1"/>
  <c r="G9119" i="1"/>
  <c r="E9119" i="1"/>
  <c r="H9118" i="1"/>
  <c r="G9118" i="1"/>
  <c r="E9118" i="1"/>
  <c r="H9117" i="1"/>
  <c r="G9117" i="1"/>
  <c r="E9117" i="1"/>
  <c r="H9116" i="1"/>
  <c r="G9116" i="1"/>
  <c r="E9116" i="1"/>
  <c r="H9115" i="1"/>
  <c r="G9115" i="1"/>
  <c r="E9115" i="1"/>
  <c r="H9114" i="1"/>
  <c r="G9114" i="1"/>
  <c r="E9114" i="1"/>
  <c r="H9113" i="1"/>
  <c r="G9113" i="1"/>
  <c r="E9113" i="1"/>
  <c r="H9112" i="1"/>
  <c r="G9112" i="1"/>
  <c r="E9112" i="1"/>
  <c r="H9111" i="1"/>
  <c r="G9111" i="1"/>
  <c r="E9111" i="1"/>
  <c r="H9110" i="1"/>
  <c r="G9110" i="1"/>
  <c r="E9110" i="1"/>
  <c r="H9109" i="1"/>
  <c r="G9109" i="1"/>
  <c r="E9109" i="1"/>
  <c r="H9108" i="1"/>
  <c r="G9108" i="1"/>
  <c r="E9108" i="1"/>
  <c r="H9107" i="1"/>
  <c r="G9107" i="1"/>
  <c r="E9107" i="1"/>
  <c r="H9106" i="1"/>
  <c r="G9106" i="1"/>
  <c r="E9106" i="1"/>
  <c r="H9105" i="1"/>
  <c r="G9105" i="1"/>
  <c r="E9105" i="1"/>
  <c r="H9104" i="1"/>
  <c r="G9104" i="1"/>
  <c r="E9104" i="1"/>
  <c r="H9103" i="1"/>
  <c r="G9103" i="1"/>
  <c r="E9103" i="1"/>
  <c r="H9102" i="1"/>
  <c r="G9102" i="1"/>
  <c r="E9102" i="1"/>
  <c r="H9101" i="1"/>
  <c r="G9101" i="1"/>
  <c r="E9101" i="1"/>
  <c r="H9100" i="1"/>
  <c r="G9100" i="1"/>
  <c r="E9100" i="1"/>
  <c r="H9099" i="1"/>
  <c r="G9099" i="1"/>
  <c r="E9099" i="1"/>
  <c r="H9098" i="1"/>
  <c r="G9098" i="1"/>
  <c r="E9098" i="1"/>
  <c r="H9097" i="1"/>
  <c r="G9097" i="1"/>
  <c r="E9097" i="1"/>
  <c r="H9096" i="1"/>
  <c r="G9096" i="1"/>
  <c r="E9096" i="1"/>
  <c r="H9095" i="1"/>
  <c r="G9095" i="1"/>
  <c r="E9095" i="1"/>
  <c r="H9094" i="1"/>
  <c r="G9094" i="1"/>
  <c r="E9094" i="1"/>
  <c r="H9093" i="1"/>
  <c r="G9093" i="1"/>
  <c r="E9093" i="1"/>
  <c r="H9092" i="1"/>
  <c r="G9092" i="1"/>
  <c r="E9092" i="1"/>
  <c r="H9091" i="1"/>
  <c r="G9091" i="1"/>
  <c r="E9091" i="1"/>
  <c r="H9090" i="1"/>
  <c r="G9090" i="1"/>
  <c r="E9090" i="1"/>
  <c r="H9089" i="1"/>
  <c r="G9089" i="1"/>
  <c r="E9089" i="1"/>
  <c r="H9088" i="1"/>
  <c r="G9088" i="1"/>
  <c r="E9088" i="1"/>
  <c r="H9087" i="1"/>
  <c r="G9087" i="1"/>
  <c r="E9087" i="1"/>
  <c r="H9086" i="1"/>
  <c r="G9086" i="1"/>
  <c r="E9086" i="1"/>
  <c r="H9085" i="1"/>
  <c r="G9085" i="1"/>
  <c r="E9085" i="1"/>
  <c r="H9084" i="1"/>
  <c r="G9084" i="1"/>
  <c r="E9084" i="1"/>
  <c r="H9083" i="1"/>
  <c r="G9083" i="1"/>
  <c r="E9083" i="1"/>
  <c r="H9082" i="1"/>
  <c r="G9082" i="1"/>
  <c r="E9082" i="1"/>
  <c r="H9081" i="1"/>
  <c r="G9081" i="1"/>
  <c r="E9081" i="1"/>
  <c r="H9080" i="1"/>
  <c r="G9080" i="1"/>
  <c r="E9080" i="1"/>
  <c r="H9079" i="1"/>
  <c r="G9079" i="1"/>
  <c r="E9079" i="1"/>
  <c r="H9078" i="1"/>
  <c r="G9078" i="1"/>
  <c r="E9078" i="1"/>
  <c r="H9077" i="1"/>
  <c r="G9077" i="1"/>
  <c r="E9077" i="1"/>
  <c r="H9076" i="1"/>
  <c r="G9076" i="1"/>
  <c r="E9076" i="1"/>
  <c r="H9075" i="1"/>
  <c r="G9075" i="1"/>
  <c r="E9075" i="1"/>
  <c r="H9074" i="1"/>
  <c r="G9074" i="1"/>
  <c r="E9074" i="1"/>
  <c r="H9073" i="1"/>
  <c r="G9073" i="1"/>
  <c r="E9073" i="1"/>
  <c r="H9072" i="1"/>
  <c r="G9072" i="1"/>
  <c r="E9072" i="1"/>
  <c r="H9071" i="1"/>
  <c r="G9071" i="1"/>
  <c r="E9071" i="1"/>
  <c r="H9070" i="1"/>
  <c r="G9070" i="1"/>
  <c r="E9070" i="1"/>
  <c r="H9069" i="1"/>
  <c r="G9069" i="1"/>
  <c r="E9069" i="1"/>
  <c r="H9068" i="1"/>
  <c r="G9068" i="1"/>
  <c r="E9068" i="1"/>
  <c r="H9067" i="1"/>
  <c r="G9067" i="1"/>
  <c r="E9067" i="1"/>
  <c r="H9066" i="1"/>
  <c r="G9066" i="1"/>
  <c r="E9066" i="1"/>
  <c r="H9065" i="1"/>
  <c r="G9065" i="1"/>
  <c r="E9065" i="1"/>
  <c r="H9064" i="1"/>
  <c r="G9064" i="1"/>
  <c r="E9064" i="1"/>
  <c r="H9063" i="1"/>
  <c r="G9063" i="1"/>
  <c r="E9063" i="1"/>
  <c r="H9062" i="1"/>
  <c r="G9062" i="1"/>
  <c r="E9062" i="1"/>
  <c r="H9061" i="1"/>
  <c r="G9061" i="1"/>
  <c r="E9061" i="1"/>
  <c r="H9060" i="1"/>
  <c r="G9060" i="1"/>
  <c r="E9060" i="1"/>
  <c r="H9059" i="1"/>
  <c r="G9059" i="1"/>
  <c r="E9059" i="1"/>
  <c r="H9058" i="1"/>
  <c r="G9058" i="1"/>
  <c r="E9058" i="1"/>
  <c r="H9057" i="1"/>
  <c r="G9057" i="1"/>
  <c r="E9057" i="1"/>
  <c r="H9056" i="1"/>
  <c r="G9056" i="1"/>
  <c r="E9056" i="1"/>
  <c r="H9055" i="1"/>
  <c r="G9055" i="1"/>
  <c r="E9055" i="1"/>
  <c r="H9054" i="1"/>
  <c r="G9054" i="1"/>
  <c r="E9054" i="1"/>
  <c r="H9053" i="1"/>
  <c r="G9053" i="1"/>
  <c r="E9053" i="1"/>
  <c r="H9052" i="1"/>
  <c r="G9052" i="1"/>
  <c r="E9052" i="1"/>
  <c r="H9051" i="1"/>
  <c r="G9051" i="1"/>
  <c r="E9051" i="1"/>
  <c r="H9050" i="1"/>
  <c r="G9050" i="1"/>
  <c r="E9050" i="1"/>
  <c r="H9049" i="1"/>
  <c r="G9049" i="1"/>
  <c r="E9049" i="1"/>
  <c r="H9048" i="1"/>
  <c r="G9048" i="1"/>
  <c r="E9048" i="1"/>
  <c r="H9047" i="1"/>
  <c r="G9047" i="1"/>
  <c r="E9047" i="1"/>
  <c r="H9046" i="1"/>
  <c r="G9046" i="1"/>
  <c r="E9046" i="1"/>
  <c r="H9045" i="1"/>
  <c r="G9045" i="1"/>
  <c r="E9045" i="1"/>
  <c r="H9044" i="1"/>
  <c r="G9044" i="1"/>
  <c r="E9044" i="1"/>
  <c r="H9043" i="1"/>
  <c r="G9043" i="1"/>
  <c r="E9043" i="1"/>
  <c r="H9042" i="1"/>
  <c r="G9042" i="1"/>
  <c r="E9042" i="1"/>
  <c r="H9041" i="1"/>
  <c r="G9041" i="1"/>
  <c r="E9041" i="1"/>
  <c r="H9040" i="1"/>
  <c r="G9040" i="1"/>
  <c r="E9040" i="1"/>
  <c r="H9039" i="1"/>
  <c r="G9039" i="1"/>
  <c r="E9039" i="1"/>
  <c r="H9038" i="1"/>
  <c r="G9038" i="1"/>
  <c r="E9038" i="1"/>
  <c r="H9037" i="1"/>
  <c r="G9037" i="1"/>
  <c r="E9037" i="1"/>
  <c r="H9036" i="1"/>
  <c r="G9036" i="1"/>
  <c r="E9036" i="1"/>
  <c r="H9035" i="1"/>
  <c r="G9035" i="1"/>
  <c r="E9035" i="1"/>
  <c r="H9034" i="1"/>
  <c r="G9034" i="1"/>
  <c r="E9034" i="1"/>
  <c r="H9033" i="1"/>
  <c r="G9033" i="1"/>
  <c r="E9033" i="1"/>
  <c r="H9032" i="1"/>
  <c r="G9032" i="1"/>
  <c r="E9032" i="1"/>
  <c r="H9031" i="1"/>
  <c r="G9031" i="1"/>
  <c r="E9031" i="1"/>
  <c r="H9030" i="1"/>
  <c r="G9030" i="1"/>
  <c r="E9030" i="1"/>
  <c r="H9029" i="1"/>
  <c r="G9029" i="1"/>
  <c r="E9029" i="1"/>
  <c r="H9028" i="1"/>
  <c r="G9028" i="1"/>
  <c r="E9028" i="1"/>
  <c r="H9027" i="1"/>
  <c r="G9027" i="1"/>
  <c r="E9027" i="1"/>
  <c r="H9026" i="1"/>
  <c r="G9026" i="1"/>
  <c r="E9026" i="1"/>
  <c r="H9025" i="1"/>
  <c r="G9025" i="1"/>
  <c r="E9025" i="1"/>
  <c r="H9024" i="1"/>
  <c r="G9024" i="1"/>
  <c r="E9024" i="1"/>
  <c r="H9023" i="1"/>
  <c r="G9023" i="1"/>
  <c r="E9023" i="1"/>
  <c r="H9022" i="1"/>
  <c r="G9022" i="1"/>
  <c r="E9022" i="1"/>
  <c r="H9021" i="1"/>
  <c r="G9021" i="1"/>
  <c r="E9021" i="1"/>
  <c r="H9020" i="1"/>
  <c r="G9020" i="1"/>
  <c r="E9020" i="1"/>
  <c r="H9019" i="1"/>
  <c r="G9019" i="1"/>
  <c r="E9019" i="1"/>
  <c r="H9018" i="1"/>
  <c r="G9018" i="1"/>
  <c r="E9018" i="1"/>
  <c r="H9017" i="1"/>
  <c r="G9017" i="1"/>
  <c r="E9017" i="1"/>
  <c r="H9016" i="1"/>
  <c r="G9016" i="1"/>
  <c r="E9016" i="1"/>
  <c r="H9015" i="1"/>
  <c r="G9015" i="1"/>
  <c r="E9015" i="1"/>
  <c r="H9014" i="1"/>
  <c r="G9014" i="1"/>
  <c r="E9014" i="1"/>
  <c r="H9013" i="1"/>
  <c r="G9013" i="1"/>
  <c r="E9013" i="1"/>
  <c r="H9012" i="1"/>
  <c r="G9012" i="1"/>
  <c r="E9012" i="1"/>
  <c r="H9011" i="1"/>
  <c r="G9011" i="1"/>
  <c r="E9011" i="1"/>
  <c r="H9010" i="1"/>
  <c r="G9010" i="1"/>
  <c r="E9010" i="1"/>
  <c r="H9009" i="1"/>
  <c r="G9009" i="1"/>
  <c r="E9009" i="1"/>
  <c r="H9008" i="1"/>
  <c r="G9008" i="1"/>
  <c r="E9008" i="1"/>
  <c r="H9007" i="1"/>
  <c r="G9007" i="1"/>
  <c r="E9007" i="1"/>
  <c r="H9006" i="1"/>
  <c r="G9006" i="1"/>
  <c r="E9006" i="1"/>
  <c r="H9005" i="1"/>
  <c r="G9005" i="1"/>
  <c r="E9005" i="1"/>
  <c r="H9004" i="1"/>
  <c r="G9004" i="1"/>
  <c r="E9004" i="1"/>
  <c r="H9003" i="1"/>
  <c r="G9003" i="1"/>
  <c r="E9003" i="1"/>
  <c r="H9002" i="1"/>
  <c r="G9002" i="1"/>
  <c r="E9002" i="1"/>
  <c r="H9001" i="1"/>
  <c r="G9001" i="1"/>
  <c r="E9001" i="1"/>
  <c r="H9000" i="1"/>
  <c r="G9000" i="1"/>
  <c r="E9000" i="1"/>
  <c r="H8999" i="1"/>
  <c r="G8999" i="1"/>
  <c r="E8999" i="1"/>
  <c r="H8998" i="1"/>
  <c r="G8998" i="1"/>
  <c r="E8998" i="1"/>
  <c r="H8997" i="1"/>
  <c r="G8997" i="1"/>
  <c r="E8997" i="1"/>
  <c r="H8996" i="1"/>
  <c r="G8996" i="1"/>
  <c r="E8996" i="1"/>
  <c r="H8995" i="1"/>
  <c r="G8995" i="1"/>
  <c r="E8995" i="1"/>
  <c r="H8994" i="1"/>
  <c r="G8994" i="1"/>
  <c r="E8994" i="1"/>
  <c r="H8993" i="1"/>
  <c r="G8993" i="1"/>
  <c r="E8993" i="1"/>
  <c r="H8992" i="1"/>
  <c r="G8992" i="1"/>
  <c r="E8992" i="1"/>
  <c r="H8991" i="1"/>
  <c r="G8991" i="1"/>
  <c r="E8991" i="1"/>
  <c r="H8990" i="1"/>
  <c r="G8990" i="1"/>
  <c r="E8990" i="1"/>
  <c r="H8989" i="1"/>
  <c r="G8989" i="1"/>
  <c r="E8989" i="1"/>
  <c r="H8988" i="1"/>
  <c r="G8988" i="1"/>
  <c r="E8988" i="1"/>
  <c r="H8987" i="1"/>
  <c r="G8987" i="1"/>
  <c r="E8987" i="1"/>
  <c r="H8986" i="1"/>
  <c r="G8986" i="1"/>
  <c r="E8986" i="1"/>
  <c r="H8985" i="1"/>
  <c r="G8985" i="1"/>
  <c r="E8985" i="1"/>
  <c r="H8984" i="1"/>
  <c r="G8984" i="1"/>
  <c r="E8984" i="1"/>
  <c r="H8983" i="1"/>
  <c r="G8983" i="1"/>
  <c r="E8983" i="1"/>
  <c r="H8982" i="1"/>
  <c r="G8982" i="1"/>
  <c r="E8982" i="1"/>
  <c r="H8981" i="1"/>
  <c r="G8981" i="1"/>
  <c r="E8981" i="1"/>
  <c r="H8980" i="1"/>
  <c r="G8980" i="1"/>
  <c r="E8980" i="1"/>
  <c r="H8979" i="1"/>
  <c r="G8979" i="1"/>
  <c r="E8979" i="1"/>
  <c r="H8978" i="1"/>
  <c r="G8978" i="1"/>
  <c r="E8978" i="1"/>
  <c r="H8977" i="1"/>
  <c r="G8977" i="1"/>
  <c r="E8977" i="1"/>
  <c r="H8976" i="1"/>
  <c r="G8976" i="1"/>
  <c r="E8976" i="1"/>
  <c r="H8975" i="1"/>
  <c r="G8975" i="1"/>
  <c r="E8975" i="1"/>
  <c r="H8974" i="1"/>
  <c r="G8974" i="1"/>
  <c r="E8974" i="1"/>
  <c r="H8973" i="1"/>
  <c r="G8973" i="1"/>
  <c r="E8973" i="1"/>
  <c r="H8972" i="1"/>
  <c r="G8972" i="1"/>
  <c r="E8972" i="1"/>
  <c r="H8971" i="1"/>
  <c r="G8971" i="1"/>
  <c r="E8971" i="1"/>
  <c r="H8970" i="1"/>
  <c r="G8970" i="1"/>
  <c r="E8970" i="1"/>
  <c r="H8969" i="1"/>
  <c r="G8969" i="1"/>
  <c r="E8969" i="1"/>
  <c r="H8968" i="1"/>
  <c r="G8968" i="1"/>
  <c r="E8968" i="1"/>
  <c r="H8967" i="1"/>
  <c r="G8967" i="1"/>
  <c r="E8967" i="1"/>
  <c r="H8966" i="1"/>
  <c r="G8966" i="1"/>
  <c r="E8966" i="1"/>
  <c r="H8965" i="1"/>
  <c r="G8965" i="1"/>
  <c r="E8965" i="1"/>
  <c r="H8964" i="1"/>
  <c r="G8964" i="1"/>
  <c r="E8964" i="1"/>
  <c r="H8963" i="1"/>
  <c r="G8963" i="1"/>
  <c r="E8963" i="1"/>
  <c r="H8962" i="1"/>
  <c r="G8962" i="1"/>
  <c r="E8962" i="1"/>
  <c r="H8961" i="1"/>
  <c r="G8961" i="1"/>
  <c r="E8961" i="1"/>
  <c r="H8960" i="1"/>
  <c r="G8960" i="1"/>
  <c r="E8960" i="1"/>
  <c r="H8959" i="1"/>
  <c r="G8959" i="1"/>
  <c r="E8959" i="1"/>
  <c r="H8958" i="1"/>
  <c r="G8958" i="1"/>
  <c r="E8958" i="1"/>
  <c r="H8957" i="1"/>
  <c r="G8957" i="1"/>
  <c r="E8957" i="1"/>
  <c r="H8956" i="1"/>
  <c r="G8956" i="1"/>
  <c r="E8956" i="1"/>
  <c r="H8955" i="1"/>
  <c r="G8955" i="1"/>
  <c r="E8955" i="1"/>
  <c r="H8954" i="1"/>
  <c r="G8954" i="1"/>
  <c r="E8954" i="1"/>
  <c r="H8953" i="1"/>
  <c r="G8953" i="1"/>
  <c r="E8953" i="1"/>
  <c r="H8952" i="1"/>
  <c r="G8952" i="1"/>
  <c r="E8952" i="1"/>
  <c r="H8951" i="1"/>
  <c r="G8951" i="1"/>
  <c r="E8951" i="1"/>
  <c r="H8950" i="1"/>
  <c r="G8950" i="1"/>
  <c r="E8950" i="1"/>
  <c r="H8949" i="1"/>
  <c r="G8949" i="1"/>
  <c r="E8949" i="1"/>
  <c r="H8948" i="1"/>
  <c r="G8948" i="1"/>
  <c r="E8948" i="1"/>
  <c r="H8947" i="1"/>
  <c r="G8947" i="1"/>
  <c r="E8947" i="1"/>
  <c r="H8946" i="1"/>
  <c r="G8946" i="1"/>
  <c r="E8946" i="1"/>
  <c r="H8945" i="1"/>
  <c r="G8945" i="1"/>
  <c r="E8945" i="1"/>
  <c r="H8944" i="1"/>
  <c r="G8944" i="1"/>
  <c r="E8944" i="1"/>
  <c r="H8943" i="1"/>
  <c r="G8943" i="1"/>
  <c r="E8943" i="1"/>
  <c r="H8942" i="1"/>
  <c r="G8942" i="1"/>
  <c r="E8942" i="1"/>
  <c r="H8941" i="1"/>
  <c r="G8941" i="1"/>
  <c r="E8941" i="1"/>
  <c r="H8940" i="1"/>
  <c r="G8940" i="1"/>
  <c r="E8940" i="1"/>
  <c r="H8939" i="1"/>
  <c r="G8939" i="1"/>
  <c r="E8939" i="1"/>
  <c r="H8938" i="1"/>
  <c r="G8938" i="1"/>
  <c r="E8938" i="1"/>
  <c r="H8937" i="1"/>
  <c r="G8937" i="1"/>
  <c r="E8937" i="1"/>
  <c r="H8936" i="1"/>
  <c r="G8936" i="1"/>
  <c r="E8936" i="1"/>
  <c r="H8935" i="1"/>
  <c r="G8935" i="1"/>
  <c r="E8935" i="1"/>
  <c r="H8934" i="1"/>
  <c r="G8934" i="1"/>
  <c r="E8934" i="1"/>
  <c r="H8933" i="1"/>
  <c r="G8933" i="1"/>
  <c r="E8933" i="1"/>
  <c r="H8932" i="1"/>
  <c r="G8932" i="1"/>
  <c r="E8932" i="1"/>
  <c r="H8931" i="1"/>
  <c r="G8931" i="1"/>
  <c r="E8931" i="1"/>
  <c r="H8930" i="1"/>
  <c r="G8930" i="1"/>
  <c r="E8930" i="1"/>
  <c r="H8929" i="1"/>
  <c r="G8929" i="1"/>
  <c r="E8929" i="1"/>
  <c r="H8928" i="1"/>
  <c r="G8928" i="1"/>
  <c r="E8928" i="1"/>
  <c r="H8927" i="1"/>
  <c r="G8927" i="1"/>
  <c r="E8927" i="1"/>
  <c r="H8926" i="1"/>
  <c r="G8926" i="1"/>
  <c r="E8926" i="1"/>
  <c r="H8925" i="1"/>
  <c r="G8925" i="1"/>
  <c r="E8925" i="1"/>
  <c r="H8924" i="1"/>
  <c r="G8924" i="1"/>
  <c r="E8924" i="1"/>
  <c r="H8923" i="1"/>
  <c r="G8923" i="1"/>
  <c r="E8923" i="1"/>
  <c r="H8922" i="1"/>
  <c r="G8922" i="1"/>
  <c r="E8922" i="1"/>
  <c r="H8921" i="1"/>
  <c r="G8921" i="1"/>
  <c r="E8921" i="1"/>
  <c r="H8920" i="1"/>
  <c r="G8920" i="1"/>
  <c r="E8920" i="1"/>
  <c r="H8919" i="1"/>
  <c r="G8919" i="1"/>
  <c r="E8919" i="1"/>
  <c r="H8918" i="1"/>
  <c r="G8918" i="1"/>
  <c r="E8918" i="1"/>
  <c r="H8917" i="1"/>
  <c r="G8917" i="1"/>
  <c r="E8917" i="1"/>
  <c r="H8916" i="1"/>
  <c r="G8916" i="1"/>
  <c r="E8916" i="1"/>
  <c r="H8915" i="1"/>
  <c r="G8915" i="1"/>
  <c r="E8915" i="1"/>
  <c r="H8914" i="1"/>
  <c r="G8914" i="1"/>
  <c r="E8914" i="1"/>
  <c r="H8913" i="1"/>
  <c r="G8913" i="1"/>
  <c r="E8913" i="1"/>
  <c r="H8912" i="1"/>
  <c r="G8912" i="1"/>
  <c r="E8912" i="1"/>
  <c r="H8911" i="1"/>
  <c r="G8911" i="1"/>
  <c r="E8911" i="1"/>
  <c r="H8910" i="1"/>
  <c r="G8910" i="1"/>
  <c r="E8910" i="1"/>
  <c r="H8909" i="1"/>
  <c r="G8909" i="1"/>
  <c r="E8909" i="1"/>
  <c r="H8908" i="1"/>
  <c r="G8908" i="1"/>
  <c r="E8908" i="1"/>
  <c r="H8907" i="1"/>
  <c r="G8907" i="1"/>
  <c r="E8907" i="1"/>
  <c r="H8906" i="1"/>
  <c r="G8906" i="1"/>
  <c r="E8906" i="1"/>
  <c r="H8905" i="1"/>
  <c r="G8905" i="1"/>
  <c r="E8905" i="1"/>
  <c r="H8904" i="1"/>
  <c r="G8904" i="1"/>
  <c r="E8904" i="1"/>
  <c r="H8903" i="1"/>
  <c r="G8903" i="1"/>
  <c r="E8903" i="1"/>
  <c r="H8902" i="1"/>
  <c r="G8902" i="1"/>
  <c r="E8902" i="1"/>
  <c r="H8901" i="1"/>
  <c r="G8901" i="1"/>
  <c r="E8901" i="1"/>
  <c r="H8900" i="1"/>
  <c r="G8900" i="1"/>
  <c r="E8900" i="1"/>
  <c r="H8899" i="1"/>
  <c r="G8899" i="1"/>
  <c r="E8899" i="1"/>
  <c r="H8898" i="1"/>
  <c r="G8898" i="1"/>
  <c r="E8898" i="1"/>
  <c r="H8897" i="1"/>
  <c r="G8897" i="1"/>
  <c r="E8897" i="1"/>
  <c r="H8896" i="1"/>
  <c r="G8896" i="1"/>
  <c r="E8896" i="1"/>
  <c r="H8895" i="1"/>
  <c r="G8895" i="1"/>
  <c r="E8895" i="1"/>
  <c r="H8894" i="1"/>
  <c r="G8894" i="1"/>
  <c r="E8894" i="1"/>
  <c r="H8893" i="1"/>
  <c r="G8893" i="1"/>
  <c r="E8893" i="1"/>
  <c r="H8892" i="1"/>
  <c r="G8892" i="1"/>
  <c r="E8892" i="1"/>
  <c r="H8891" i="1"/>
  <c r="G8891" i="1"/>
  <c r="E8891" i="1"/>
  <c r="H8890" i="1"/>
  <c r="G8890" i="1"/>
  <c r="E8890" i="1"/>
  <c r="H8889" i="1"/>
  <c r="G8889" i="1"/>
  <c r="E8889" i="1"/>
  <c r="H8888" i="1"/>
  <c r="G8888" i="1"/>
  <c r="E8888" i="1"/>
  <c r="H8887" i="1"/>
  <c r="G8887" i="1"/>
  <c r="E8887" i="1"/>
  <c r="H8886" i="1"/>
  <c r="G8886" i="1"/>
  <c r="E8886" i="1"/>
  <c r="H8885" i="1"/>
  <c r="G8885" i="1"/>
  <c r="E8885" i="1"/>
  <c r="H8884" i="1"/>
  <c r="G8884" i="1"/>
  <c r="E8884" i="1"/>
  <c r="H8883" i="1"/>
  <c r="G8883" i="1"/>
  <c r="E8883" i="1"/>
  <c r="H8882" i="1"/>
  <c r="G8882" i="1"/>
  <c r="E8882" i="1"/>
  <c r="H8881" i="1"/>
  <c r="G8881" i="1"/>
  <c r="E8881" i="1"/>
  <c r="H8880" i="1"/>
  <c r="G8880" i="1"/>
  <c r="E8880" i="1"/>
  <c r="H8879" i="1"/>
  <c r="G8879" i="1"/>
  <c r="E8879" i="1"/>
  <c r="H8878" i="1"/>
  <c r="G8878" i="1"/>
  <c r="E8878" i="1"/>
  <c r="H8877" i="1"/>
  <c r="G8877" i="1"/>
  <c r="E8877" i="1"/>
  <c r="H8876" i="1"/>
  <c r="G8876" i="1"/>
  <c r="E8876" i="1"/>
  <c r="H8875" i="1"/>
  <c r="G8875" i="1"/>
  <c r="E8875" i="1"/>
  <c r="H8874" i="1"/>
  <c r="G8874" i="1"/>
  <c r="E8874" i="1"/>
  <c r="H8873" i="1"/>
  <c r="G8873" i="1"/>
  <c r="E8873" i="1"/>
  <c r="H8872" i="1"/>
  <c r="G8872" i="1"/>
  <c r="E8872" i="1"/>
  <c r="H8871" i="1"/>
  <c r="G8871" i="1"/>
  <c r="E8871" i="1"/>
  <c r="H8870" i="1"/>
  <c r="G8870" i="1"/>
  <c r="E8870" i="1"/>
  <c r="H8869" i="1"/>
  <c r="G8869" i="1"/>
  <c r="E8869" i="1"/>
  <c r="H8868" i="1"/>
  <c r="G8868" i="1"/>
  <c r="E8868" i="1"/>
  <c r="H8867" i="1"/>
  <c r="G8867" i="1"/>
  <c r="E8867" i="1"/>
  <c r="H8866" i="1"/>
  <c r="G8866" i="1"/>
  <c r="E8866" i="1"/>
  <c r="H8865" i="1"/>
  <c r="G8865" i="1"/>
  <c r="E8865" i="1"/>
  <c r="H8864" i="1"/>
  <c r="G8864" i="1"/>
  <c r="E8864" i="1"/>
  <c r="H8863" i="1"/>
  <c r="G8863" i="1"/>
  <c r="E8863" i="1"/>
  <c r="H8862" i="1"/>
  <c r="G8862" i="1"/>
  <c r="E8862" i="1"/>
  <c r="H8861" i="1"/>
  <c r="G8861" i="1"/>
  <c r="E8861" i="1"/>
  <c r="H8860" i="1"/>
  <c r="G8860" i="1"/>
  <c r="E8860" i="1"/>
  <c r="H8859" i="1"/>
  <c r="G8859" i="1"/>
  <c r="E8859" i="1"/>
  <c r="H8858" i="1"/>
  <c r="G8858" i="1"/>
  <c r="E8858" i="1"/>
  <c r="H8857" i="1"/>
  <c r="G8857" i="1"/>
  <c r="E8857" i="1"/>
  <c r="H8856" i="1"/>
  <c r="G8856" i="1"/>
  <c r="E8856" i="1"/>
  <c r="H8855" i="1"/>
  <c r="G8855" i="1"/>
  <c r="E8855" i="1"/>
  <c r="H8854" i="1"/>
  <c r="G8854" i="1"/>
  <c r="E8854" i="1"/>
  <c r="H8853" i="1"/>
  <c r="G8853" i="1"/>
  <c r="E8853" i="1"/>
  <c r="H8852" i="1"/>
  <c r="G8852" i="1"/>
  <c r="E8852" i="1"/>
  <c r="H8851" i="1"/>
  <c r="G8851" i="1"/>
  <c r="E8851" i="1"/>
  <c r="H8850" i="1"/>
  <c r="G8850" i="1"/>
  <c r="E8850" i="1"/>
  <c r="H8849" i="1"/>
  <c r="G8849" i="1"/>
  <c r="E8849" i="1"/>
  <c r="H8848" i="1"/>
  <c r="G8848" i="1"/>
  <c r="E8848" i="1"/>
  <c r="H8847" i="1"/>
  <c r="G8847" i="1"/>
  <c r="E8847" i="1"/>
  <c r="H8846" i="1"/>
  <c r="G8846" i="1"/>
  <c r="E8846" i="1"/>
  <c r="H8845" i="1"/>
  <c r="G8845" i="1"/>
  <c r="E8845" i="1"/>
  <c r="H8844" i="1"/>
  <c r="G8844" i="1"/>
  <c r="E8844" i="1"/>
  <c r="H8843" i="1"/>
  <c r="G8843" i="1"/>
  <c r="E8843" i="1"/>
  <c r="H8842" i="1"/>
  <c r="G8842" i="1"/>
  <c r="E8842" i="1"/>
  <c r="H8841" i="1"/>
  <c r="G8841" i="1"/>
  <c r="E8841" i="1"/>
  <c r="H8840" i="1"/>
  <c r="G8840" i="1"/>
  <c r="E8840" i="1"/>
  <c r="H8839" i="1"/>
  <c r="G8839" i="1"/>
  <c r="E8839" i="1"/>
  <c r="H8838" i="1"/>
  <c r="G8838" i="1"/>
  <c r="E8838" i="1"/>
  <c r="H8837" i="1"/>
  <c r="G8837" i="1"/>
  <c r="E8837" i="1"/>
  <c r="H8836" i="1"/>
  <c r="G8836" i="1"/>
  <c r="E8836" i="1"/>
  <c r="H8835" i="1"/>
  <c r="G8835" i="1"/>
  <c r="E8835" i="1"/>
  <c r="H8834" i="1"/>
  <c r="G8834" i="1"/>
  <c r="E8834" i="1"/>
  <c r="H8833" i="1"/>
  <c r="G8833" i="1"/>
  <c r="E8833" i="1"/>
  <c r="H8832" i="1"/>
  <c r="G8832" i="1"/>
  <c r="E8832" i="1"/>
  <c r="H8831" i="1"/>
  <c r="G8831" i="1"/>
  <c r="E8831" i="1"/>
  <c r="H8830" i="1"/>
  <c r="G8830" i="1"/>
  <c r="E8830" i="1"/>
  <c r="H8829" i="1"/>
  <c r="G8829" i="1"/>
  <c r="E8829" i="1"/>
  <c r="H8828" i="1"/>
  <c r="G8828" i="1"/>
  <c r="E8828" i="1"/>
  <c r="H8827" i="1"/>
  <c r="G8827" i="1"/>
  <c r="E8827" i="1"/>
  <c r="H8826" i="1"/>
  <c r="G8826" i="1"/>
  <c r="E8826" i="1"/>
  <c r="H8825" i="1"/>
  <c r="G8825" i="1"/>
  <c r="E8825" i="1"/>
  <c r="H8824" i="1"/>
  <c r="G8824" i="1"/>
  <c r="E8824" i="1"/>
  <c r="H8823" i="1"/>
  <c r="G8823" i="1"/>
  <c r="E8823" i="1"/>
  <c r="H8822" i="1"/>
  <c r="G8822" i="1"/>
  <c r="E8822" i="1"/>
  <c r="H8821" i="1"/>
  <c r="G8821" i="1"/>
  <c r="E8821" i="1"/>
  <c r="H8820" i="1"/>
  <c r="G8820" i="1"/>
  <c r="E8820" i="1"/>
  <c r="H8819" i="1"/>
  <c r="G8819" i="1"/>
  <c r="E8819" i="1"/>
  <c r="H8818" i="1"/>
  <c r="G8818" i="1"/>
  <c r="E8818" i="1"/>
  <c r="H8817" i="1"/>
  <c r="G8817" i="1"/>
  <c r="E8817" i="1"/>
  <c r="H8816" i="1"/>
  <c r="G8816" i="1"/>
  <c r="E8816" i="1"/>
  <c r="H8815" i="1"/>
  <c r="G8815" i="1"/>
  <c r="E8815" i="1"/>
  <c r="H8814" i="1"/>
  <c r="G8814" i="1"/>
  <c r="E8814" i="1"/>
  <c r="H8813" i="1"/>
  <c r="G8813" i="1"/>
  <c r="E8813" i="1"/>
  <c r="H8812" i="1"/>
  <c r="G8812" i="1"/>
  <c r="E8812" i="1"/>
  <c r="H8811" i="1"/>
  <c r="G8811" i="1"/>
  <c r="E8811" i="1"/>
  <c r="H8810" i="1"/>
  <c r="G8810" i="1"/>
  <c r="E8810" i="1"/>
  <c r="H8809" i="1"/>
  <c r="G8809" i="1"/>
  <c r="E8809" i="1"/>
  <c r="H8808" i="1"/>
  <c r="G8808" i="1"/>
  <c r="E8808" i="1"/>
  <c r="H8807" i="1"/>
  <c r="G8807" i="1"/>
  <c r="E8807" i="1"/>
  <c r="H8806" i="1"/>
  <c r="G8806" i="1"/>
  <c r="E8806" i="1"/>
  <c r="H8805" i="1"/>
  <c r="G8805" i="1"/>
  <c r="E8805" i="1"/>
  <c r="H8804" i="1"/>
  <c r="G8804" i="1"/>
  <c r="E8804" i="1"/>
  <c r="H8803" i="1"/>
  <c r="G8803" i="1"/>
  <c r="E8803" i="1"/>
  <c r="H8802" i="1"/>
  <c r="G8802" i="1"/>
  <c r="E8802" i="1"/>
  <c r="H8801" i="1"/>
  <c r="G8801" i="1"/>
  <c r="E8801" i="1"/>
  <c r="H8800" i="1"/>
  <c r="G8800" i="1"/>
  <c r="E8800" i="1"/>
  <c r="H8799" i="1"/>
  <c r="G8799" i="1"/>
  <c r="E8799" i="1"/>
  <c r="H8798" i="1"/>
  <c r="G8798" i="1"/>
  <c r="E8798" i="1"/>
  <c r="H8797" i="1"/>
  <c r="G8797" i="1"/>
  <c r="E8797" i="1"/>
  <c r="H8796" i="1"/>
  <c r="G8796" i="1"/>
  <c r="E8796" i="1"/>
  <c r="H8795" i="1"/>
  <c r="G8795" i="1"/>
  <c r="E8795" i="1"/>
  <c r="H8794" i="1"/>
  <c r="G8794" i="1"/>
  <c r="E8794" i="1"/>
  <c r="H8793" i="1"/>
  <c r="G8793" i="1"/>
  <c r="E8793" i="1"/>
  <c r="H8792" i="1"/>
  <c r="G8792" i="1"/>
  <c r="E8792" i="1"/>
  <c r="H8791" i="1"/>
  <c r="G8791" i="1"/>
  <c r="E8791" i="1"/>
  <c r="H8790" i="1"/>
  <c r="G8790" i="1"/>
  <c r="E8790" i="1"/>
  <c r="H8789" i="1"/>
  <c r="G8789" i="1"/>
  <c r="E8789" i="1"/>
  <c r="H8788" i="1"/>
  <c r="G8788" i="1"/>
  <c r="E8788" i="1"/>
  <c r="H8787" i="1"/>
  <c r="G8787" i="1"/>
  <c r="E8787" i="1"/>
  <c r="H8786" i="1"/>
  <c r="G8786" i="1"/>
  <c r="E8786" i="1"/>
  <c r="H8785" i="1"/>
  <c r="G8785" i="1"/>
  <c r="E8785" i="1"/>
  <c r="H8784" i="1"/>
  <c r="G8784" i="1"/>
  <c r="E8784" i="1"/>
  <c r="H8783" i="1"/>
  <c r="G8783" i="1"/>
  <c r="E8783" i="1"/>
  <c r="H8782" i="1"/>
  <c r="G8782" i="1"/>
  <c r="E8782" i="1"/>
  <c r="H8781" i="1"/>
  <c r="G8781" i="1"/>
  <c r="E8781" i="1"/>
  <c r="H8780" i="1"/>
  <c r="G8780" i="1"/>
  <c r="E8780" i="1"/>
  <c r="H8779" i="1"/>
  <c r="G8779" i="1"/>
  <c r="E8779" i="1"/>
  <c r="H8778" i="1"/>
  <c r="G8778" i="1"/>
  <c r="E8778" i="1"/>
  <c r="H8777" i="1"/>
  <c r="G8777" i="1"/>
  <c r="E8777" i="1"/>
  <c r="H8776" i="1"/>
  <c r="G8776" i="1"/>
  <c r="E8776" i="1"/>
  <c r="H8775" i="1"/>
  <c r="G8775" i="1"/>
  <c r="E8775" i="1"/>
  <c r="H8774" i="1"/>
  <c r="G8774" i="1"/>
  <c r="E8774" i="1"/>
  <c r="H8773" i="1"/>
  <c r="G8773" i="1"/>
  <c r="E8773" i="1"/>
  <c r="H8772" i="1"/>
  <c r="G8772" i="1"/>
  <c r="E8772" i="1"/>
  <c r="H8771" i="1"/>
  <c r="G8771" i="1"/>
  <c r="E8771" i="1"/>
  <c r="H8770" i="1"/>
  <c r="G8770" i="1"/>
  <c r="E8770" i="1"/>
  <c r="H8769" i="1"/>
  <c r="G8769" i="1"/>
  <c r="E8769" i="1"/>
  <c r="H8768" i="1"/>
  <c r="G8768" i="1"/>
  <c r="E8768" i="1"/>
  <c r="H8767" i="1"/>
  <c r="G8767" i="1"/>
  <c r="E8767" i="1"/>
  <c r="H8766" i="1"/>
  <c r="G8766" i="1"/>
  <c r="E8766" i="1"/>
  <c r="H8765" i="1"/>
  <c r="G8765" i="1"/>
  <c r="E8765" i="1"/>
  <c r="H8764" i="1"/>
  <c r="G8764" i="1"/>
  <c r="E8764" i="1"/>
  <c r="H8763" i="1"/>
  <c r="G8763" i="1"/>
  <c r="E8763" i="1"/>
  <c r="H8762" i="1"/>
  <c r="G8762" i="1"/>
  <c r="E8762" i="1"/>
  <c r="H8761" i="1"/>
  <c r="G8761" i="1"/>
  <c r="E8761" i="1"/>
  <c r="H8760" i="1"/>
  <c r="G8760" i="1"/>
  <c r="E8760" i="1"/>
  <c r="H8759" i="1"/>
  <c r="G8759" i="1"/>
  <c r="E8759" i="1"/>
  <c r="H8758" i="1"/>
  <c r="G8758" i="1"/>
  <c r="E8758" i="1"/>
  <c r="H8757" i="1"/>
  <c r="G8757" i="1"/>
  <c r="E8757" i="1"/>
  <c r="H8756" i="1"/>
  <c r="G8756" i="1"/>
  <c r="E8756" i="1"/>
  <c r="H8755" i="1"/>
  <c r="G8755" i="1"/>
  <c r="E8755" i="1"/>
  <c r="H8754" i="1"/>
  <c r="G8754" i="1"/>
  <c r="E8754" i="1"/>
  <c r="H8753" i="1"/>
  <c r="G8753" i="1"/>
  <c r="E8753" i="1"/>
  <c r="H8752" i="1"/>
  <c r="G8752" i="1"/>
  <c r="E8752" i="1"/>
  <c r="H8751" i="1"/>
  <c r="G8751" i="1"/>
  <c r="E8751" i="1"/>
  <c r="H8750" i="1"/>
  <c r="G8750" i="1"/>
  <c r="E8750" i="1"/>
  <c r="H8749" i="1"/>
  <c r="G8749" i="1"/>
  <c r="E8749" i="1"/>
  <c r="H8748" i="1"/>
  <c r="G8748" i="1"/>
  <c r="E8748" i="1"/>
  <c r="H8747" i="1"/>
  <c r="G8747" i="1"/>
  <c r="E8747" i="1"/>
  <c r="H8746" i="1"/>
  <c r="G8746" i="1"/>
  <c r="E8746" i="1"/>
  <c r="H8745" i="1"/>
  <c r="G8745" i="1"/>
  <c r="E8745" i="1"/>
  <c r="H8744" i="1"/>
  <c r="G8744" i="1"/>
  <c r="E8744" i="1"/>
  <c r="H8743" i="1"/>
  <c r="G8743" i="1"/>
  <c r="E8743" i="1"/>
  <c r="H8742" i="1"/>
  <c r="G8742" i="1"/>
  <c r="E8742" i="1"/>
  <c r="H8741" i="1"/>
  <c r="G8741" i="1"/>
  <c r="E8741" i="1"/>
  <c r="H8740" i="1"/>
  <c r="G8740" i="1"/>
  <c r="E8740" i="1"/>
  <c r="H8739" i="1"/>
  <c r="G8739" i="1"/>
  <c r="E8739" i="1"/>
  <c r="H8738" i="1"/>
  <c r="G8738" i="1"/>
  <c r="E8738" i="1"/>
  <c r="H8737" i="1"/>
  <c r="G8737" i="1"/>
  <c r="E8737" i="1"/>
  <c r="H8736" i="1"/>
  <c r="G8736" i="1"/>
  <c r="E8736" i="1"/>
  <c r="H8735" i="1"/>
  <c r="G8735" i="1"/>
  <c r="E8735" i="1"/>
  <c r="H8734" i="1"/>
  <c r="G8734" i="1"/>
  <c r="E8734" i="1"/>
  <c r="H8733" i="1"/>
  <c r="G8733" i="1"/>
  <c r="E8733" i="1"/>
  <c r="H8732" i="1"/>
  <c r="G8732" i="1"/>
  <c r="E8732" i="1"/>
  <c r="H8731" i="1"/>
  <c r="G8731" i="1"/>
  <c r="E8731" i="1"/>
  <c r="H8730" i="1"/>
  <c r="G8730" i="1"/>
  <c r="E8730" i="1"/>
  <c r="H8729" i="1"/>
  <c r="G8729" i="1"/>
  <c r="E8729" i="1"/>
  <c r="H8728" i="1"/>
  <c r="G8728" i="1"/>
  <c r="E8728" i="1"/>
  <c r="H8727" i="1"/>
  <c r="G8727" i="1"/>
  <c r="E8727" i="1"/>
  <c r="H8726" i="1"/>
  <c r="G8726" i="1"/>
  <c r="E8726" i="1"/>
  <c r="H8725" i="1"/>
  <c r="G8725" i="1"/>
  <c r="E8725" i="1"/>
  <c r="H8724" i="1"/>
  <c r="G8724" i="1"/>
  <c r="E8724" i="1"/>
  <c r="H8723" i="1"/>
  <c r="G8723" i="1"/>
  <c r="E8723" i="1"/>
  <c r="H8722" i="1"/>
  <c r="G8722" i="1"/>
  <c r="E8722" i="1"/>
  <c r="H8721" i="1"/>
  <c r="G8721" i="1"/>
  <c r="E8721" i="1"/>
  <c r="H8720" i="1"/>
  <c r="G8720" i="1"/>
  <c r="E8720" i="1"/>
  <c r="H8719" i="1"/>
  <c r="G8719" i="1"/>
  <c r="E8719" i="1"/>
  <c r="H8718" i="1"/>
  <c r="G8718" i="1"/>
  <c r="E8718" i="1"/>
  <c r="H8717" i="1"/>
  <c r="G8717" i="1"/>
  <c r="E8717" i="1"/>
  <c r="H8716" i="1"/>
  <c r="G8716" i="1"/>
  <c r="E8716" i="1"/>
  <c r="H8715" i="1"/>
  <c r="G8715" i="1"/>
  <c r="E8715" i="1"/>
  <c r="H8714" i="1"/>
  <c r="G8714" i="1"/>
  <c r="E8714" i="1"/>
  <c r="H8713" i="1"/>
  <c r="G8713" i="1"/>
  <c r="E8713" i="1"/>
  <c r="H8712" i="1"/>
  <c r="G8712" i="1"/>
  <c r="E8712" i="1"/>
  <c r="H8711" i="1"/>
  <c r="G8711" i="1"/>
  <c r="E8711" i="1"/>
  <c r="H8710" i="1"/>
  <c r="G8710" i="1"/>
  <c r="E8710" i="1"/>
  <c r="H8709" i="1"/>
  <c r="G8709" i="1"/>
  <c r="E8709" i="1"/>
  <c r="H8708" i="1"/>
  <c r="G8708" i="1"/>
  <c r="E8708" i="1"/>
  <c r="H8707" i="1"/>
  <c r="G8707" i="1"/>
  <c r="E8707" i="1"/>
  <c r="H8706" i="1"/>
  <c r="G8706" i="1"/>
  <c r="E8706" i="1"/>
  <c r="H8705" i="1"/>
  <c r="G8705" i="1"/>
  <c r="E8705" i="1"/>
  <c r="H8704" i="1"/>
  <c r="G8704" i="1"/>
  <c r="E8704" i="1"/>
  <c r="H8703" i="1"/>
  <c r="G8703" i="1"/>
  <c r="E8703" i="1"/>
  <c r="H8702" i="1"/>
  <c r="G8702" i="1"/>
  <c r="E8702" i="1"/>
  <c r="H8701" i="1"/>
  <c r="G8701" i="1"/>
  <c r="E8701" i="1"/>
  <c r="H8700" i="1"/>
  <c r="G8700" i="1"/>
  <c r="E8700" i="1"/>
  <c r="H8699" i="1"/>
  <c r="G8699" i="1"/>
  <c r="E8699" i="1"/>
  <c r="H8698" i="1"/>
  <c r="G8698" i="1"/>
  <c r="E8698" i="1"/>
  <c r="H8697" i="1"/>
  <c r="G8697" i="1"/>
  <c r="E8697" i="1"/>
  <c r="H8696" i="1"/>
  <c r="G8696" i="1"/>
  <c r="E8696" i="1"/>
  <c r="H8695" i="1"/>
  <c r="G8695" i="1"/>
  <c r="E8695" i="1"/>
  <c r="H8694" i="1"/>
  <c r="G8694" i="1"/>
  <c r="E8694" i="1"/>
  <c r="H8693" i="1"/>
  <c r="G8693" i="1"/>
  <c r="E8693" i="1"/>
  <c r="H8692" i="1"/>
  <c r="G8692" i="1"/>
  <c r="E8692" i="1"/>
  <c r="H8691" i="1"/>
  <c r="G8691" i="1"/>
  <c r="E8691" i="1"/>
  <c r="H8690" i="1"/>
  <c r="G8690" i="1"/>
  <c r="E8690" i="1"/>
  <c r="H8689" i="1"/>
  <c r="G8689" i="1"/>
  <c r="E8689" i="1"/>
  <c r="H8688" i="1"/>
  <c r="G8688" i="1"/>
  <c r="E8688" i="1"/>
  <c r="H8687" i="1"/>
  <c r="G8687" i="1"/>
  <c r="E8687" i="1"/>
  <c r="H8686" i="1"/>
  <c r="G8686" i="1"/>
  <c r="E8686" i="1"/>
  <c r="H8685" i="1"/>
  <c r="G8685" i="1"/>
  <c r="E8685" i="1"/>
  <c r="H8684" i="1"/>
  <c r="G8684" i="1"/>
  <c r="E8684" i="1"/>
  <c r="H8683" i="1"/>
  <c r="G8683" i="1"/>
  <c r="E8683" i="1"/>
  <c r="H8682" i="1"/>
  <c r="G8682" i="1"/>
  <c r="E8682" i="1"/>
  <c r="H8681" i="1"/>
  <c r="G8681" i="1"/>
  <c r="E8681" i="1"/>
  <c r="H8680" i="1"/>
  <c r="G8680" i="1"/>
  <c r="E8680" i="1"/>
  <c r="H8679" i="1"/>
  <c r="G8679" i="1"/>
  <c r="E8679" i="1"/>
  <c r="H8678" i="1"/>
  <c r="G8678" i="1"/>
  <c r="E8678" i="1"/>
  <c r="H8677" i="1"/>
  <c r="G8677" i="1"/>
  <c r="E8677" i="1"/>
  <c r="H8676" i="1"/>
  <c r="G8676" i="1"/>
  <c r="E8676" i="1"/>
  <c r="H8675" i="1"/>
  <c r="G8675" i="1"/>
  <c r="E8675" i="1"/>
  <c r="H8674" i="1"/>
  <c r="G8674" i="1"/>
  <c r="E8674" i="1"/>
  <c r="H8673" i="1"/>
  <c r="G8673" i="1"/>
  <c r="E8673" i="1"/>
  <c r="H8672" i="1"/>
  <c r="G8672" i="1"/>
  <c r="E8672" i="1"/>
  <c r="H8671" i="1"/>
  <c r="G8671" i="1"/>
  <c r="E8671" i="1"/>
  <c r="H8670" i="1"/>
  <c r="G8670" i="1"/>
  <c r="E8670" i="1"/>
  <c r="H8669" i="1"/>
  <c r="G8669" i="1"/>
  <c r="E8669" i="1"/>
  <c r="H8668" i="1"/>
  <c r="G8668" i="1"/>
  <c r="E8668" i="1"/>
  <c r="H8667" i="1"/>
  <c r="G8667" i="1"/>
  <c r="E8667" i="1"/>
  <c r="H8666" i="1"/>
  <c r="G8666" i="1"/>
  <c r="E8666" i="1"/>
  <c r="H8665" i="1"/>
  <c r="G8665" i="1"/>
  <c r="E8665" i="1"/>
  <c r="H8664" i="1"/>
  <c r="G8664" i="1"/>
  <c r="E8664" i="1"/>
  <c r="H8663" i="1"/>
  <c r="G8663" i="1"/>
  <c r="E8663" i="1"/>
  <c r="H8662" i="1"/>
  <c r="G8662" i="1"/>
  <c r="E8662" i="1"/>
  <c r="H8661" i="1"/>
  <c r="G8661" i="1"/>
  <c r="E8661" i="1"/>
  <c r="H8660" i="1"/>
  <c r="G8660" i="1"/>
  <c r="E8660" i="1"/>
  <c r="H8659" i="1"/>
  <c r="G8659" i="1"/>
  <c r="E8659" i="1"/>
  <c r="H8658" i="1"/>
  <c r="G8658" i="1"/>
  <c r="E8658" i="1"/>
  <c r="H8657" i="1"/>
  <c r="G8657" i="1"/>
  <c r="E8657" i="1"/>
  <c r="H8656" i="1"/>
  <c r="G8656" i="1"/>
  <c r="E8656" i="1"/>
  <c r="H8655" i="1"/>
  <c r="G8655" i="1"/>
  <c r="E8655" i="1"/>
  <c r="H8654" i="1"/>
  <c r="G8654" i="1"/>
  <c r="E8654" i="1"/>
  <c r="H8653" i="1"/>
  <c r="G8653" i="1"/>
  <c r="E8653" i="1"/>
  <c r="H8652" i="1"/>
  <c r="G8652" i="1"/>
  <c r="E8652" i="1"/>
  <c r="H8651" i="1"/>
  <c r="G8651" i="1"/>
  <c r="E8651" i="1"/>
  <c r="H8650" i="1"/>
  <c r="G8650" i="1"/>
  <c r="E8650" i="1"/>
  <c r="H8649" i="1"/>
  <c r="G8649" i="1"/>
  <c r="E8649" i="1"/>
  <c r="H8648" i="1"/>
  <c r="G8648" i="1"/>
  <c r="E8648" i="1"/>
  <c r="H8647" i="1"/>
  <c r="G8647" i="1"/>
  <c r="E8647" i="1"/>
  <c r="H8646" i="1"/>
  <c r="G8646" i="1"/>
  <c r="E8646" i="1"/>
  <c r="H8645" i="1"/>
  <c r="G8645" i="1"/>
  <c r="E8645" i="1"/>
  <c r="H8644" i="1"/>
  <c r="G8644" i="1"/>
  <c r="E8644" i="1"/>
  <c r="H8643" i="1"/>
  <c r="G8643" i="1"/>
  <c r="E8643" i="1"/>
  <c r="H8642" i="1"/>
  <c r="G8642" i="1"/>
  <c r="E8642" i="1"/>
  <c r="H8641" i="1"/>
  <c r="G8641" i="1"/>
  <c r="E8641" i="1"/>
  <c r="H8640" i="1"/>
  <c r="G8640" i="1"/>
  <c r="E8640" i="1"/>
  <c r="H8639" i="1"/>
  <c r="G8639" i="1"/>
  <c r="E8639" i="1"/>
  <c r="H8638" i="1"/>
  <c r="G8638" i="1"/>
  <c r="E8638" i="1"/>
  <c r="H8637" i="1"/>
  <c r="G8637" i="1"/>
  <c r="E8637" i="1"/>
  <c r="H8636" i="1"/>
  <c r="G8636" i="1"/>
  <c r="E8636" i="1"/>
  <c r="H8635" i="1"/>
  <c r="G8635" i="1"/>
  <c r="E8635" i="1"/>
  <c r="H8634" i="1"/>
  <c r="G8634" i="1"/>
  <c r="E8634" i="1"/>
  <c r="H8633" i="1"/>
  <c r="G8633" i="1"/>
  <c r="E8633" i="1"/>
  <c r="H8632" i="1"/>
  <c r="G8632" i="1"/>
  <c r="E8632" i="1"/>
  <c r="H8631" i="1"/>
  <c r="G8631" i="1"/>
  <c r="E8631" i="1"/>
  <c r="H8630" i="1"/>
  <c r="G8630" i="1"/>
  <c r="E8630" i="1"/>
  <c r="H8629" i="1"/>
  <c r="G8629" i="1"/>
  <c r="E8629" i="1"/>
  <c r="H8628" i="1"/>
  <c r="G8628" i="1"/>
  <c r="E8628" i="1"/>
  <c r="H8627" i="1"/>
  <c r="G8627" i="1"/>
  <c r="E8627" i="1"/>
  <c r="H8626" i="1"/>
  <c r="G8626" i="1"/>
  <c r="E8626" i="1"/>
  <c r="H8625" i="1"/>
  <c r="G8625" i="1"/>
  <c r="E8625" i="1"/>
  <c r="H8624" i="1"/>
  <c r="G8624" i="1"/>
  <c r="E8624" i="1"/>
  <c r="H8623" i="1"/>
  <c r="G8623" i="1"/>
  <c r="E8623" i="1"/>
  <c r="H8622" i="1"/>
  <c r="G8622" i="1"/>
  <c r="E8622" i="1"/>
  <c r="H8621" i="1"/>
  <c r="G8621" i="1"/>
  <c r="E8621" i="1"/>
  <c r="H8620" i="1"/>
  <c r="G8620" i="1"/>
  <c r="E8620" i="1"/>
  <c r="H8619" i="1"/>
  <c r="G8619" i="1"/>
  <c r="E8619" i="1"/>
  <c r="H8618" i="1"/>
  <c r="G8618" i="1"/>
  <c r="E8618" i="1"/>
  <c r="H8617" i="1"/>
  <c r="G8617" i="1"/>
  <c r="E8617" i="1"/>
  <c r="H8616" i="1"/>
  <c r="G8616" i="1"/>
  <c r="E8616" i="1"/>
  <c r="H8615" i="1"/>
  <c r="G8615" i="1"/>
  <c r="E8615" i="1"/>
  <c r="H8614" i="1"/>
  <c r="G8614" i="1"/>
  <c r="E8614" i="1"/>
  <c r="H8613" i="1"/>
  <c r="G8613" i="1"/>
  <c r="E8613" i="1"/>
  <c r="H8612" i="1"/>
  <c r="G8612" i="1"/>
  <c r="E8612" i="1"/>
  <c r="H8611" i="1"/>
  <c r="G8611" i="1"/>
  <c r="E8611" i="1"/>
  <c r="H8610" i="1"/>
  <c r="G8610" i="1"/>
  <c r="E8610" i="1"/>
  <c r="H8609" i="1"/>
  <c r="G8609" i="1"/>
  <c r="E8609" i="1"/>
  <c r="H8608" i="1"/>
  <c r="G8608" i="1"/>
  <c r="E8608" i="1"/>
  <c r="H8607" i="1"/>
  <c r="G8607" i="1"/>
  <c r="E8607" i="1"/>
  <c r="H8606" i="1"/>
  <c r="G8606" i="1"/>
  <c r="E8606" i="1"/>
  <c r="H8605" i="1"/>
  <c r="G8605" i="1"/>
  <c r="E8605" i="1"/>
  <c r="H8604" i="1"/>
  <c r="G8604" i="1"/>
  <c r="E8604" i="1"/>
  <c r="H8603" i="1"/>
  <c r="G8603" i="1"/>
  <c r="E8603" i="1"/>
  <c r="H8602" i="1"/>
  <c r="G8602" i="1"/>
  <c r="E8602" i="1"/>
  <c r="H8601" i="1"/>
  <c r="G8601" i="1"/>
  <c r="E8601" i="1"/>
  <c r="H8600" i="1"/>
  <c r="G8600" i="1"/>
  <c r="E8600" i="1"/>
  <c r="H8599" i="1"/>
  <c r="G8599" i="1"/>
  <c r="E8599" i="1"/>
  <c r="H8598" i="1"/>
  <c r="G8598" i="1"/>
  <c r="E8598" i="1"/>
  <c r="H8597" i="1"/>
  <c r="G8597" i="1"/>
  <c r="E8597" i="1"/>
  <c r="H8596" i="1"/>
  <c r="G8596" i="1"/>
  <c r="E8596" i="1"/>
  <c r="H8595" i="1"/>
  <c r="G8595" i="1"/>
  <c r="E8595" i="1"/>
  <c r="H8594" i="1"/>
  <c r="G8594" i="1"/>
  <c r="E8594" i="1"/>
  <c r="H8593" i="1"/>
  <c r="G8593" i="1"/>
  <c r="E8593" i="1"/>
  <c r="H8592" i="1"/>
  <c r="G8592" i="1"/>
  <c r="E8592" i="1"/>
  <c r="H8591" i="1"/>
  <c r="G8591" i="1"/>
  <c r="E8591" i="1"/>
  <c r="H8590" i="1"/>
  <c r="G8590" i="1"/>
  <c r="E8590" i="1"/>
  <c r="H8589" i="1"/>
  <c r="G8589" i="1"/>
  <c r="E8589" i="1"/>
  <c r="H8588" i="1"/>
  <c r="G8588" i="1"/>
  <c r="E8588" i="1"/>
  <c r="H8587" i="1"/>
  <c r="G8587" i="1"/>
  <c r="E8587" i="1"/>
  <c r="H8586" i="1"/>
  <c r="G8586" i="1"/>
  <c r="E8586" i="1"/>
  <c r="H8585" i="1"/>
  <c r="G8585" i="1"/>
  <c r="E8585" i="1"/>
  <c r="H8584" i="1"/>
  <c r="G8584" i="1"/>
  <c r="E8584" i="1"/>
  <c r="H8583" i="1"/>
  <c r="G8583" i="1"/>
  <c r="E8583" i="1"/>
  <c r="H8582" i="1"/>
  <c r="G8582" i="1"/>
  <c r="E8582" i="1"/>
  <c r="H8581" i="1"/>
  <c r="G8581" i="1"/>
  <c r="E8581" i="1"/>
  <c r="H8580" i="1"/>
  <c r="G8580" i="1"/>
  <c r="E8580" i="1"/>
  <c r="H8579" i="1"/>
  <c r="G8579" i="1"/>
  <c r="E8579" i="1"/>
  <c r="H8578" i="1"/>
  <c r="G8578" i="1"/>
  <c r="E8578" i="1"/>
  <c r="H8577" i="1"/>
  <c r="G8577" i="1"/>
  <c r="E8577" i="1"/>
  <c r="H8576" i="1"/>
  <c r="G8576" i="1"/>
  <c r="E8576" i="1"/>
  <c r="H8575" i="1"/>
  <c r="G8575" i="1"/>
  <c r="E8575" i="1"/>
  <c r="H8574" i="1"/>
  <c r="G8574" i="1"/>
  <c r="E8574" i="1"/>
  <c r="H8573" i="1"/>
  <c r="G8573" i="1"/>
  <c r="E8573" i="1"/>
  <c r="H8572" i="1"/>
  <c r="G8572" i="1"/>
  <c r="E8572" i="1"/>
  <c r="H8571" i="1"/>
  <c r="G8571" i="1"/>
  <c r="E8571" i="1"/>
  <c r="H8570" i="1"/>
  <c r="G8570" i="1"/>
  <c r="E8570" i="1"/>
  <c r="H8569" i="1"/>
  <c r="G8569" i="1"/>
  <c r="E8569" i="1"/>
  <c r="H8568" i="1"/>
  <c r="G8568" i="1"/>
  <c r="E8568" i="1"/>
  <c r="H8567" i="1"/>
  <c r="G8567" i="1"/>
  <c r="E8567" i="1"/>
  <c r="H8566" i="1"/>
  <c r="G8566" i="1"/>
  <c r="E8566" i="1"/>
  <c r="H8565" i="1"/>
  <c r="G8565" i="1"/>
  <c r="E8565" i="1"/>
  <c r="H8564" i="1"/>
  <c r="G8564" i="1"/>
  <c r="E8564" i="1"/>
  <c r="H8563" i="1"/>
  <c r="G8563" i="1"/>
  <c r="E8563" i="1"/>
  <c r="H8562" i="1"/>
  <c r="G8562" i="1"/>
  <c r="E8562" i="1"/>
  <c r="H8561" i="1"/>
  <c r="G8561" i="1"/>
  <c r="E8561" i="1"/>
  <c r="H8560" i="1"/>
  <c r="G8560" i="1"/>
  <c r="E8560" i="1"/>
  <c r="H8559" i="1"/>
  <c r="G8559" i="1"/>
  <c r="E8559" i="1"/>
  <c r="H8558" i="1"/>
  <c r="G8558" i="1"/>
  <c r="E8558" i="1"/>
  <c r="H8557" i="1"/>
  <c r="G8557" i="1"/>
  <c r="E8557" i="1"/>
  <c r="H8556" i="1"/>
  <c r="G8556" i="1"/>
  <c r="E8556" i="1"/>
  <c r="H8555" i="1"/>
  <c r="G8555" i="1"/>
  <c r="E8555" i="1"/>
  <c r="H8554" i="1"/>
  <c r="G8554" i="1"/>
  <c r="E8554" i="1"/>
  <c r="H8553" i="1"/>
  <c r="G8553" i="1"/>
  <c r="E8553" i="1"/>
  <c r="H8552" i="1"/>
  <c r="G8552" i="1"/>
  <c r="E8552" i="1"/>
  <c r="H8551" i="1"/>
  <c r="G8551" i="1"/>
  <c r="E8551" i="1"/>
  <c r="H8550" i="1"/>
  <c r="G8550" i="1"/>
  <c r="E8550" i="1"/>
  <c r="H8549" i="1"/>
  <c r="G8549" i="1"/>
  <c r="E8549" i="1"/>
  <c r="H8548" i="1"/>
  <c r="G8548" i="1"/>
  <c r="E8548" i="1"/>
  <c r="H8547" i="1"/>
  <c r="G8547" i="1"/>
  <c r="E8547" i="1"/>
  <c r="H8546" i="1"/>
  <c r="G8546" i="1"/>
  <c r="E8546" i="1"/>
  <c r="H8545" i="1"/>
  <c r="G8545" i="1"/>
  <c r="E8545" i="1"/>
  <c r="H8544" i="1"/>
  <c r="G8544" i="1"/>
  <c r="E8544" i="1"/>
  <c r="H8543" i="1"/>
  <c r="G8543" i="1"/>
  <c r="E8543" i="1"/>
  <c r="H8542" i="1"/>
  <c r="G8542" i="1"/>
  <c r="E8542" i="1"/>
  <c r="H8541" i="1"/>
  <c r="G8541" i="1"/>
  <c r="E8541" i="1"/>
  <c r="H8540" i="1"/>
  <c r="G8540" i="1"/>
  <c r="E8540" i="1"/>
  <c r="H8539" i="1"/>
  <c r="G8539" i="1"/>
  <c r="E8539" i="1"/>
  <c r="H8538" i="1"/>
  <c r="G8538" i="1"/>
  <c r="E8538" i="1"/>
  <c r="H8537" i="1"/>
  <c r="G8537" i="1"/>
  <c r="E8537" i="1"/>
  <c r="H8536" i="1"/>
  <c r="G8536" i="1"/>
  <c r="E8536" i="1"/>
  <c r="H8535" i="1"/>
  <c r="G8535" i="1"/>
  <c r="E8535" i="1"/>
  <c r="H8534" i="1"/>
  <c r="G8534" i="1"/>
  <c r="E8534" i="1"/>
  <c r="H8533" i="1"/>
  <c r="G8533" i="1"/>
  <c r="E8533" i="1"/>
  <c r="H8532" i="1"/>
  <c r="G8532" i="1"/>
  <c r="E8532" i="1"/>
  <c r="H8531" i="1"/>
  <c r="G8531" i="1"/>
  <c r="E8531" i="1"/>
  <c r="H8530" i="1"/>
  <c r="G8530" i="1"/>
  <c r="E8530" i="1"/>
  <c r="H8529" i="1"/>
  <c r="G8529" i="1"/>
  <c r="E8529" i="1"/>
  <c r="H8528" i="1"/>
  <c r="G8528" i="1"/>
  <c r="E8528" i="1"/>
  <c r="H8527" i="1"/>
  <c r="G8527" i="1"/>
  <c r="E8527" i="1"/>
  <c r="H8526" i="1"/>
  <c r="G8526" i="1"/>
  <c r="E8526" i="1"/>
  <c r="H8525" i="1"/>
  <c r="G8525" i="1"/>
  <c r="E8525" i="1"/>
  <c r="H8524" i="1"/>
  <c r="G8524" i="1"/>
  <c r="E8524" i="1"/>
  <c r="H8523" i="1"/>
  <c r="G8523" i="1"/>
  <c r="E8523" i="1"/>
  <c r="H8522" i="1"/>
  <c r="G8522" i="1"/>
  <c r="E8522" i="1"/>
  <c r="H8521" i="1"/>
  <c r="G8521" i="1"/>
  <c r="E8521" i="1"/>
  <c r="H8520" i="1"/>
  <c r="G8520" i="1"/>
  <c r="E8520" i="1"/>
  <c r="H8519" i="1"/>
  <c r="G8519" i="1"/>
  <c r="E8519" i="1"/>
  <c r="H8518" i="1"/>
  <c r="G8518" i="1"/>
  <c r="E8518" i="1"/>
  <c r="H8517" i="1"/>
  <c r="G8517" i="1"/>
  <c r="E8517" i="1"/>
  <c r="H8516" i="1"/>
  <c r="G8516" i="1"/>
  <c r="E8516" i="1"/>
  <c r="H8515" i="1"/>
  <c r="G8515" i="1"/>
  <c r="E8515" i="1"/>
  <c r="H8514" i="1"/>
  <c r="G8514" i="1"/>
  <c r="E8514" i="1"/>
  <c r="H8513" i="1"/>
  <c r="G8513" i="1"/>
  <c r="E8513" i="1"/>
  <c r="H8512" i="1"/>
  <c r="G8512" i="1"/>
  <c r="E8512" i="1"/>
  <c r="H8511" i="1"/>
  <c r="G8511" i="1"/>
  <c r="E8511" i="1"/>
  <c r="H8510" i="1"/>
  <c r="G8510" i="1"/>
  <c r="E8510" i="1"/>
  <c r="H8509" i="1"/>
  <c r="G8509" i="1"/>
  <c r="E8509" i="1"/>
  <c r="H8508" i="1"/>
  <c r="G8508" i="1"/>
  <c r="E8508" i="1"/>
  <c r="H8507" i="1"/>
  <c r="G8507" i="1"/>
  <c r="E8507" i="1"/>
  <c r="H8506" i="1"/>
  <c r="G8506" i="1"/>
  <c r="E8506" i="1"/>
  <c r="H8505" i="1"/>
  <c r="G8505" i="1"/>
  <c r="E8505" i="1"/>
  <c r="H8504" i="1"/>
  <c r="G8504" i="1"/>
  <c r="E8504" i="1"/>
  <c r="H8503" i="1"/>
  <c r="G8503" i="1"/>
  <c r="E8503" i="1"/>
  <c r="H8502" i="1"/>
  <c r="G8502" i="1"/>
  <c r="E8502" i="1"/>
  <c r="H8501" i="1"/>
  <c r="G8501" i="1"/>
  <c r="E8501" i="1"/>
  <c r="H8500" i="1"/>
  <c r="G8500" i="1"/>
  <c r="E8500" i="1"/>
  <c r="H8499" i="1"/>
  <c r="G8499" i="1"/>
  <c r="E8499" i="1"/>
  <c r="H8498" i="1"/>
  <c r="G8498" i="1"/>
  <c r="E8498" i="1"/>
  <c r="H8497" i="1"/>
  <c r="G8497" i="1"/>
  <c r="E8497" i="1"/>
  <c r="H8496" i="1"/>
  <c r="G8496" i="1"/>
  <c r="E8496" i="1"/>
  <c r="H8495" i="1"/>
  <c r="G8495" i="1"/>
  <c r="E8495" i="1"/>
  <c r="H8494" i="1"/>
  <c r="G8494" i="1"/>
  <c r="E8494" i="1"/>
  <c r="H8493" i="1"/>
  <c r="G8493" i="1"/>
  <c r="E8493" i="1"/>
  <c r="H8492" i="1"/>
  <c r="G8492" i="1"/>
  <c r="E8492" i="1"/>
  <c r="H8491" i="1"/>
  <c r="G8491" i="1"/>
  <c r="E8491" i="1"/>
  <c r="H8490" i="1"/>
  <c r="G8490" i="1"/>
  <c r="E8490" i="1"/>
  <c r="H8489" i="1"/>
  <c r="G8489" i="1"/>
  <c r="E8489" i="1"/>
  <c r="H8488" i="1"/>
  <c r="G8488" i="1"/>
  <c r="E8488" i="1"/>
  <c r="H8487" i="1"/>
  <c r="G8487" i="1"/>
  <c r="E8487" i="1"/>
  <c r="H8486" i="1"/>
  <c r="G8486" i="1"/>
  <c r="E8486" i="1"/>
  <c r="H8485" i="1"/>
  <c r="G8485" i="1"/>
  <c r="E8485" i="1"/>
  <c r="H8484" i="1"/>
  <c r="G8484" i="1"/>
  <c r="E8484" i="1"/>
  <c r="H8483" i="1"/>
  <c r="G8483" i="1"/>
  <c r="E8483" i="1"/>
  <c r="H8482" i="1"/>
  <c r="G8482" i="1"/>
  <c r="E8482" i="1"/>
  <c r="H8481" i="1"/>
  <c r="G8481" i="1"/>
  <c r="E8481" i="1"/>
  <c r="H8480" i="1"/>
  <c r="G8480" i="1"/>
  <c r="E8480" i="1"/>
  <c r="H8479" i="1"/>
  <c r="G8479" i="1"/>
  <c r="E8479" i="1"/>
  <c r="H8478" i="1"/>
  <c r="G8478" i="1"/>
  <c r="E8478" i="1"/>
  <c r="H8477" i="1"/>
  <c r="G8477" i="1"/>
  <c r="E8477" i="1"/>
  <c r="H8476" i="1"/>
  <c r="G8476" i="1"/>
  <c r="E8476" i="1"/>
  <c r="H8475" i="1"/>
  <c r="G8475" i="1"/>
  <c r="E8475" i="1"/>
  <c r="H8474" i="1"/>
  <c r="G8474" i="1"/>
  <c r="E8474" i="1"/>
  <c r="H8473" i="1"/>
  <c r="G8473" i="1"/>
  <c r="E8473" i="1"/>
  <c r="H8472" i="1"/>
  <c r="G8472" i="1"/>
  <c r="E8472" i="1"/>
  <c r="H8471" i="1"/>
  <c r="G8471" i="1"/>
  <c r="E8471" i="1"/>
  <c r="H8470" i="1"/>
  <c r="G8470" i="1"/>
  <c r="E8470" i="1"/>
  <c r="H8469" i="1"/>
  <c r="G8469" i="1"/>
  <c r="E8469" i="1"/>
  <c r="H8468" i="1"/>
  <c r="G8468" i="1"/>
  <c r="E8468" i="1"/>
  <c r="H8467" i="1"/>
  <c r="G8467" i="1"/>
  <c r="E8467" i="1"/>
  <c r="H8466" i="1"/>
  <c r="G8466" i="1"/>
  <c r="E8466" i="1"/>
  <c r="H8465" i="1"/>
  <c r="G8465" i="1"/>
  <c r="E8465" i="1"/>
  <c r="H8464" i="1"/>
  <c r="G8464" i="1"/>
  <c r="E8464" i="1"/>
  <c r="H8463" i="1"/>
  <c r="G8463" i="1"/>
  <c r="E8463" i="1"/>
  <c r="H8462" i="1"/>
  <c r="G8462" i="1"/>
  <c r="E8462" i="1"/>
  <c r="H8461" i="1"/>
  <c r="G8461" i="1"/>
  <c r="E8461" i="1"/>
  <c r="H8460" i="1"/>
  <c r="G8460" i="1"/>
  <c r="E8460" i="1"/>
  <c r="H8459" i="1"/>
  <c r="G8459" i="1"/>
  <c r="E8459" i="1"/>
  <c r="H8458" i="1"/>
  <c r="G8458" i="1"/>
  <c r="E8458" i="1"/>
  <c r="H8457" i="1"/>
  <c r="G8457" i="1"/>
  <c r="E8457" i="1"/>
  <c r="H8456" i="1"/>
  <c r="G8456" i="1"/>
  <c r="E8456" i="1"/>
  <c r="H8455" i="1"/>
  <c r="G8455" i="1"/>
  <c r="E8455" i="1"/>
  <c r="H8454" i="1"/>
  <c r="G8454" i="1"/>
  <c r="E8454" i="1"/>
  <c r="H8453" i="1"/>
  <c r="G8453" i="1"/>
  <c r="E8453" i="1"/>
  <c r="H8452" i="1"/>
  <c r="G8452" i="1"/>
  <c r="E8452" i="1"/>
  <c r="H8451" i="1"/>
  <c r="G8451" i="1"/>
  <c r="E8451" i="1"/>
  <c r="H8450" i="1"/>
  <c r="G8450" i="1"/>
  <c r="E8450" i="1"/>
  <c r="H8449" i="1"/>
  <c r="G8449" i="1"/>
  <c r="E8449" i="1"/>
  <c r="H8448" i="1"/>
  <c r="G8448" i="1"/>
  <c r="E8448" i="1"/>
  <c r="H8447" i="1"/>
  <c r="G8447" i="1"/>
  <c r="E8447" i="1"/>
  <c r="H8446" i="1"/>
  <c r="G8446" i="1"/>
  <c r="E8446" i="1"/>
  <c r="H8445" i="1"/>
  <c r="G8445" i="1"/>
  <c r="E8445" i="1"/>
  <c r="H8444" i="1"/>
  <c r="G8444" i="1"/>
  <c r="E8444" i="1"/>
  <c r="H8443" i="1"/>
  <c r="G8443" i="1"/>
  <c r="E8443" i="1"/>
  <c r="H8442" i="1"/>
  <c r="G8442" i="1"/>
  <c r="E8442" i="1"/>
  <c r="H8441" i="1"/>
  <c r="G8441" i="1"/>
  <c r="E8441" i="1"/>
  <c r="H8440" i="1"/>
  <c r="G8440" i="1"/>
  <c r="E8440" i="1"/>
  <c r="H8439" i="1"/>
  <c r="G8439" i="1"/>
  <c r="E8439" i="1"/>
  <c r="H8438" i="1"/>
  <c r="G8438" i="1"/>
  <c r="E8438" i="1"/>
  <c r="H8437" i="1"/>
  <c r="G8437" i="1"/>
  <c r="E8437" i="1"/>
  <c r="H8436" i="1"/>
  <c r="G8436" i="1"/>
  <c r="E8436" i="1"/>
  <c r="H8435" i="1"/>
  <c r="G8435" i="1"/>
  <c r="E8435" i="1"/>
  <c r="H8434" i="1"/>
  <c r="G8434" i="1"/>
  <c r="E8434" i="1"/>
  <c r="H8433" i="1"/>
  <c r="G8433" i="1"/>
  <c r="E8433" i="1"/>
  <c r="H8432" i="1"/>
  <c r="G8432" i="1"/>
  <c r="E8432" i="1"/>
  <c r="H8431" i="1"/>
  <c r="G8431" i="1"/>
  <c r="E8431" i="1"/>
  <c r="H8430" i="1"/>
  <c r="G8430" i="1"/>
  <c r="E8430" i="1"/>
  <c r="H8429" i="1"/>
  <c r="G8429" i="1"/>
  <c r="E8429" i="1"/>
  <c r="H8428" i="1"/>
  <c r="G8428" i="1"/>
  <c r="E8428" i="1"/>
  <c r="H8427" i="1"/>
  <c r="G8427" i="1"/>
  <c r="E8427" i="1"/>
  <c r="H8426" i="1"/>
  <c r="G8426" i="1"/>
  <c r="E8426" i="1"/>
  <c r="H8425" i="1"/>
  <c r="G8425" i="1"/>
  <c r="E8425" i="1"/>
  <c r="H8424" i="1"/>
  <c r="G8424" i="1"/>
  <c r="E8424" i="1"/>
  <c r="H8423" i="1"/>
  <c r="G8423" i="1"/>
  <c r="E8423" i="1"/>
  <c r="H8422" i="1"/>
  <c r="G8422" i="1"/>
  <c r="E8422" i="1"/>
  <c r="H8421" i="1"/>
  <c r="G8421" i="1"/>
  <c r="E8421" i="1"/>
  <c r="H8420" i="1"/>
  <c r="G8420" i="1"/>
  <c r="E8420" i="1"/>
  <c r="H8419" i="1"/>
  <c r="G8419" i="1"/>
  <c r="E8419" i="1"/>
  <c r="H8418" i="1"/>
  <c r="G8418" i="1"/>
  <c r="E8418" i="1"/>
  <c r="H8417" i="1"/>
  <c r="G8417" i="1"/>
  <c r="E8417" i="1"/>
  <c r="H8416" i="1"/>
  <c r="G8416" i="1"/>
  <c r="E8416" i="1"/>
  <c r="H8415" i="1"/>
  <c r="G8415" i="1"/>
  <c r="E8415" i="1"/>
  <c r="H8414" i="1"/>
  <c r="G8414" i="1"/>
  <c r="E8414" i="1"/>
  <c r="H8413" i="1"/>
  <c r="G8413" i="1"/>
  <c r="E8413" i="1"/>
  <c r="H8412" i="1"/>
  <c r="G8412" i="1"/>
  <c r="E8412" i="1"/>
  <c r="H8411" i="1"/>
  <c r="G8411" i="1"/>
  <c r="E8411" i="1"/>
  <c r="H8410" i="1"/>
  <c r="G8410" i="1"/>
  <c r="E8410" i="1"/>
  <c r="H8409" i="1"/>
  <c r="G8409" i="1"/>
  <c r="E8409" i="1"/>
  <c r="H8408" i="1"/>
  <c r="G8408" i="1"/>
  <c r="E8408" i="1"/>
  <c r="H8407" i="1"/>
  <c r="G8407" i="1"/>
  <c r="E8407" i="1"/>
  <c r="H8406" i="1"/>
  <c r="G8406" i="1"/>
  <c r="E8406" i="1"/>
  <c r="H8405" i="1"/>
  <c r="G8405" i="1"/>
  <c r="E8405" i="1"/>
  <c r="H8404" i="1"/>
  <c r="G8404" i="1"/>
  <c r="E8404" i="1"/>
  <c r="H8403" i="1"/>
  <c r="G8403" i="1"/>
  <c r="E8403" i="1"/>
  <c r="H8402" i="1"/>
  <c r="G8402" i="1"/>
  <c r="E8402" i="1"/>
  <c r="H8401" i="1"/>
  <c r="G8401" i="1"/>
  <c r="E8401" i="1"/>
  <c r="H8400" i="1"/>
  <c r="G8400" i="1"/>
  <c r="E8400" i="1"/>
  <c r="H8399" i="1"/>
  <c r="G8399" i="1"/>
  <c r="E8399" i="1"/>
  <c r="H8398" i="1"/>
  <c r="G8398" i="1"/>
  <c r="E8398" i="1"/>
  <c r="H8397" i="1"/>
  <c r="G8397" i="1"/>
  <c r="E8397" i="1"/>
  <c r="H8396" i="1"/>
  <c r="G8396" i="1"/>
  <c r="E8396" i="1"/>
  <c r="H8395" i="1"/>
  <c r="G8395" i="1"/>
  <c r="E8395" i="1"/>
  <c r="H8394" i="1"/>
  <c r="G8394" i="1"/>
  <c r="E8394" i="1"/>
  <c r="H8393" i="1"/>
  <c r="G8393" i="1"/>
  <c r="E8393" i="1"/>
  <c r="H8392" i="1"/>
  <c r="G8392" i="1"/>
  <c r="E8392" i="1"/>
  <c r="H8391" i="1"/>
  <c r="G8391" i="1"/>
  <c r="E8391" i="1"/>
  <c r="H8390" i="1"/>
  <c r="G8390" i="1"/>
  <c r="E8390" i="1"/>
  <c r="H8389" i="1"/>
  <c r="G8389" i="1"/>
  <c r="E8389" i="1"/>
  <c r="H8388" i="1"/>
  <c r="G8388" i="1"/>
  <c r="E8388" i="1"/>
  <c r="H8387" i="1"/>
  <c r="G8387" i="1"/>
  <c r="E8387" i="1"/>
  <c r="H8386" i="1"/>
  <c r="G8386" i="1"/>
  <c r="E8386" i="1"/>
  <c r="H8385" i="1"/>
  <c r="G8385" i="1"/>
  <c r="E8385" i="1"/>
  <c r="H8384" i="1"/>
  <c r="G8384" i="1"/>
  <c r="E8384" i="1"/>
  <c r="H8383" i="1"/>
  <c r="G8383" i="1"/>
  <c r="E8383" i="1"/>
  <c r="H8382" i="1"/>
  <c r="G8382" i="1"/>
  <c r="E8382" i="1"/>
  <c r="H8381" i="1"/>
  <c r="G8381" i="1"/>
  <c r="E8381" i="1"/>
  <c r="H8380" i="1"/>
  <c r="G8380" i="1"/>
  <c r="E8380" i="1"/>
  <c r="H8379" i="1"/>
  <c r="G8379" i="1"/>
  <c r="E8379" i="1"/>
  <c r="H8378" i="1"/>
  <c r="G8378" i="1"/>
  <c r="E8378" i="1"/>
  <c r="H8377" i="1"/>
  <c r="G8377" i="1"/>
  <c r="E8377" i="1"/>
  <c r="H8376" i="1"/>
  <c r="G8376" i="1"/>
  <c r="E8376" i="1"/>
  <c r="H8375" i="1"/>
  <c r="G8375" i="1"/>
  <c r="E8375" i="1"/>
  <c r="H8374" i="1"/>
  <c r="G8374" i="1"/>
  <c r="E8374" i="1"/>
  <c r="H8373" i="1"/>
  <c r="G8373" i="1"/>
  <c r="E8373" i="1"/>
  <c r="H8372" i="1"/>
  <c r="G8372" i="1"/>
  <c r="E8372" i="1"/>
  <c r="H8371" i="1"/>
  <c r="G8371" i="1"/>
  <c r="E8371" i="1"/>
  <c r="H8370" i="1"/>
  <c r="G8370" i="1"/>
  <c r="E8370" i="1"/>
  <c r="H8369" i="1"/>
  <c r="G8369" i="1"/>
  <c r="E8369" i="1"/>
  <c r="H8368" i="1"/>
  <c r="G8368" i="1"/>
  <c r="E8368" i="1"/>
  <c r="H8367" i="1"/>
  <c r="G8367" i="1"/>
  <c r="E8367" i="1"/>
  <c r="H8366" i="1"/>
  <c r="G8366" i="1"/>
  <c r="E8366" i="1"/>
  <c r="H8365" i="1"/>
  <c r="G8365" i="1"/>
  <c r="E8365" i="1"/>
  <c r="H8364" i="1"/>
  <c r="G8364" i="1"/>
  <c r="E8364" i="1"/>
  <c r="H8363" i="1"/>
  <c r="G8363" i="1"/>
  <c r="E8363" i="1"/>
  <c r="H8362" i="1"/>
  <c r="G8362" i="1"/>
  <c r="E8362" i="1"/>
  <c r="H8361" i="1"/>
  <c r="G8361" i="1"/>
  <c r="E8361" i="1"/>
  <c r="H8360" i="1"/>
  <c r="G8360" i="1"/>
  <c r="E8360" i="1"/>
  <c r="H8359" i="1"/>
  <c r="G8359" i="1"/>
  <c r="E8359" i="1"/>
  <c r="H8358" i="1"/>
  <c r="G8358" i="1"/>
  <c r="E8358" i="1"/>
  <c r="H8357" i="1"/>
  <c r="G8357" i="1"/>
  <c r="E8357" i="1"/>
  <c r="H8356" i="1"/>
  <c r="G8356" i="1"/>
  <c r="E8356" i="1"/>
  <c r="H8355" i="1"/>
  <c r="G8355" i="1"/>
  <c r="E8355" i="1"/>
  <c r="H8354" i="1"/>
  <c r="G8354" i="1"/>
  <c r="E8354" i="1"/>
  <c r="H8353" i="1"/>
  <c r="G8353" i="1"/>
  <c r="E8353" i="1"/>
  <c r="H8352" i="1"/>
  <c r="G8352" i="1"/>
  <c r="E8352" i="1"/>
  <c r="H8351" i="1"/>
  <c r="G8351" i="1"/>
  <c r="E8351" i="1"/>
  <c r="H8350" i="1"/>
  <c r="G8350" i="1"/>
  <c r="E8350" i="1"/>
  <c r="H8349" i="1"/>
  <c r="G8349" i="1"/>
  <c r="E8349" i="1"/>
  <c r="H8348" i="1"/>
  <c r="G8348" i="1"/>
  <c r="E8348" i="1"/>
  <c r="H8347" i="1"/>
  <c r="G8347" i="1"/>
  <c r="E8347" i="1"/>
  <c r="H8346" i="1"/>
  <c r="G8346" i="1"/>
  <c r="E8346" i="1"/>
  <c r="H8345" i="1"/>
  <c r="G8345" i="1"/>
  <c r="E8345" i="1"/>
  <c r="H8344" i="1"/>
  <c r="G8344" i="1"/>
  <c r="E8344" i="1"/>
  <c r="H8343" i="1"/>
  <c r="G8343" i="1"/>
  <c r="E8343" i="1"/>
  <c r="H8342" i="1"/>
  <c r="G8342" i="1"/>
  <c r="E8342" i="1"/>
  <c r="H8341" i="1"/>
  <c r="G8341" i="1"/>
  <c r="E8341" i="1"/>
  <c r="H8340" i="1"/>
  <c r="G8340" i="1"/>
  <c r="E8340" i="1"/>
  <c r="H8339" i="1"/>
  <c r="G8339" i="1"/>
  <c r="E8339" i="1"/>
  <c r="H8338" i="1"/>
  <c r="G8338" i="1"/>
  <c r="E8338" i="1"/>
  <c r="H8337" i="1"/>
  <c r="G8337" i="1"/>
  <c r="E8337" i="1"/>
  <c r="H8336" i="1"/>
  <c r="G8336" i="1"/>
  <c r="E8336" i="1"/>
  <c r="H8335" i="1"/>
  <c r="G8335" i="1"/>
  <c r="E8335" i="1"/>
  <c r="H8334" i="1"/>
  <c r="G8334" i="1"/>
  <c r="E8334" i="1"/>
  <c r="H8333" i="1"/>
  <c r="G8333" i="1"/>
  <c r="E8333" i="1"/>
  <c r="H8332" i="1"/>
  <c r="G8332" i="1"/>
  <c r="E8332" i="1"/>
  <c r="H8331" i="1"/>
  <c r="G8331" i="1"/>
  <c r="E8331" i="1"/>
  <c r="H8330" i="1"/>
  <c r="G8330" i="1"/>
  <c r="E8330" i="1"/>
  <c r="H8329" i="1"/>
  <c r="G8329" i="1"/>
  <c r="E8329" i="1"/>
  <c r="H8328" i="1"/>
  <c r="G8328" i="1"/>
  <c r="E8328" i="1"/>
  <c r="H8327" i="1"/>
  <c r="G8327" i="1"/>
  <c r="E8327" i="1"/>
  <c r="H8326" i="1"/>
  <c r="G8326" i="1"/>
  <c r="E8326" i="1"/>
  <c r="H8325" i="1"/>
  <c r="G8325" i="1"/>
  <c r="E8325" i="1"/>
  <c r="H8324" i="1"/>
  <c r="G8324" i="1"/>
  <c r="E8324" i="1"/>
  <c r="H8323" i="1"/>
  <c r="G8323" i="1"/>
  <c r="E8323" i="1"/>
  <c r="H8322" i="1"/>
  <c r="G8322" i="1"/>
  <c r="E8322" i="1"/>
  <c r="H8321" i="1"/>
  <c r="G8321" i="1"/>
  <c r="E8321" i="1"/>
  <c r="H8320" i="1"/>
  <c r="G8320" i="1"/>
  <c r="E8320" i="1"/>
  <c r="H8319" i="1"/>
  <c r="G8319" i="1"/>
  <c r="E8319" i="1"/>
  <c r="H8318" i="1"/>
  <c r="G8318" i="1"/>
  <c r="E8318" i="1"/>
  <c r="H8317" i="1"/>
  <c r="G8317" i="1"/>
  <c r="E8317" i="1"/>
  <c r="H8316" i="1"/>
  <c r="G8316" i="1"/>
  <c r="E8316" i="1"/>
  <c r="H8315" i="1"/>
  <c r="G8315" i="1"/>
  <c r="E8315" i="1"/>
  <c r="H8314" i="1"/>
  <c r="G8314" i="1"/>
  <c r="E8314" i="1"/>
  <c r="H8313" i="1"/>
  <c r="G8313" i="1"/>
  <c r="E8313" i="1"/>
  <c r="H8312" i="1"/>
  <c r="G8312" i="1"/>
  <c r="E8312" i="1"/>
  <c r="H8311" i="1"/>
  <c r="G8311" i="1"/>
  <c r="E8311" i="1"/>
  <c r="H8310" i="1"/>
  <c r="G8310" i="1"/>
  <c r="E8310" i="1"/>
  <c r="H8309" i="1"/>
  <c r="G8309" i="1"/>
  <c r="E8309" i="1"/>
  <c r="H8308" i="1"/>
  <c r="G8308" i="1"/>
  <c r="E8308" i="1"/>
  <c r="H8307" i="1"/>
  <c r="G8307" i="1"/>
  <c r="E8307" i="1"/>
  <c r="H8306" i="1"/>
  <c r="G8306" i="1"/>
  <c r="E8306" i="1"/>
  <c r="H8305" i="1"/>
  <c r="G8305" i="1"/>
  <c r="E8305" i="1"/>
  <c r="H8304" i="1"/>
  <c r="G8304" i="1"/>
  <c r="E8304" i="1"/>
  <c r="H8303" i="1"/>
  <c r="G8303" i="1"/>
  <c r="E8303" i="1"/>
  <c r="H8302" i="1"/>
  <c r="G8302" i="1"/>
  <c r="E8302" i="1"/>
  <c r="H8301" i="1"/>
  <c r="G8301" i="1"/>
  <c r="E8301" i="1"/>
  <c r="H8300" i="1"/>
  <c r="G8300" i="1"/>
  <c r="E8300" i="1"/>
  <c r="H8299" i="1"/>
  <c r="G8299" i="1"/>
  <c r="E8299" i="1"/>
  <c r="H8298" i="1"/>
  <c r="G8298" i="1"/>
  <c r="E8298" i="1"/>
  <c r="H8297" i="1"/>
  <c r="G8297" i="1"/>
  <c r="E8297" i="1"/>
  <c r="H8296" i="1"/>
  <c r="G8296" i="1"/>
  <c r="E8296" i="1"/>
  <c r="H8295" i="1"/>
  <c r="G8295" i="1"/>
  <c r="E8295" i="1"/>
  <c r="H8294" i="1"/>
  <c r="G8294" i="1"/>
  <c r="E8294" i="1"/>
  <c r="H8293" i="1"/>
  <c r="G8293" i="1"/>
  <c r="E8293" i="1"/>
  <c r="H8292" i="1"/>
  <c r="G8292" i="1"/>
  <c r="E8292" i="1"/>
  <c r="H8291" i="1"/>
  <c r="G8291" i="1"/>
  <c r="E8291" i="1"/>
  <c r="H8290" i="1"/>
  <c r="G8290" i="1"/>
  <c r="E8290" i="1"/>
  <c r="H8289" i="1"/>
  <c r="G8289" i="1"/>
  <c r="E8289" i="1"/>
  <c r="H8288" i="1"/>
  <c r="G8288" i="1"/>
  <c r="E8288" i="1"/>
  <c r="H8287" i="1"/>
  <c r="G8287" i="1"/>
  <c r="E8287" i="1"/>
  <c r="H8286" i="1"/>
  <c r="G8286" i="1"/>
  <c r="E8286" i="1"/>
  <c r="H8285" i="1"/>
  <c r="G8285" i="1"/>
  <c r="E8285" i="1"/>
  <c r="H8284" i="1"/>
  <c r="G8284" i="1"/>
  <c r="E8284" i="1"/>
  <c r="H8283" i="1"/>
  <c r="G8283" i="1"/>
  <c r="E8283" i="1"/>
  <c r="H8282" i="1"/>
  <c r="G8282" i="1"/>
  <c r="E8282" i="1"/>
  <c r="H8281" i="1"/>
  <c r="G8281" i="1"/>
  <c r="E8281" i="1"/>
  <c r="H8280" i="1"/>
  <c r="G8280" i="1"/>
  <c r="E8280" i="1"/>
  <c r="H8279" i="1"/>
  <c r="G8279" i="1"/>
  <c r="E8279" i="1"/>
  <c r="H8278" i="1"/>
  <c r="G8278" i="1"/>
  <c r="E8278" i="1"/>
  <c r="H8277" i="1"/>
  <c r="G8277" i="1"/>
  <c r="E8277" i="1"/>
  <c r="H8276" i="1"/>
  <c r="G8276" i="1"/>
  <c r="E8276" i="1"/>
  <c r="H8275" i="1"/>
  <c r="G8275" i="1"/>
  <c r="E8275" i="1"/>
  <c r="H8274" i="1"/>
  <c r="G8274" i="1"/>
  <c r="E8274" i="1"/>
  <c r="H8273" i="1"/>
  <c r="G8273" i="1"/>
  <c r="E8273" i="1"/>
  <c r="H8272" i="1"/>
  <c r="G8272" i="1"/>
  <c r="E8272" i="1"/>
  <c r="H8271" i="1"/>
  <c r="G8271" i="1"/>
  <c r="E8271" i="1"/>
  <c r="H8270" i="1"/>
  <c r="G8270" i="1"/>
  <c r="E8270" i="1"/>
  <c r="H8269" i="1"/>
  <c r="G8269" i="1"/>
  <c r="E8269" i="1"/>
  <c r="H8268" i="1"/>
  <c r="G8268" i="1"/>
  <c r="E8268" i="1"/>
  <c r="H8267" i="1"/>
  <c r="G8267" i="1"/>
  <c r="E8267" i="1"/>
  <c r="H8266" i="1"/>
  <c r="G8266" i="1"/>
  <c r="E8266" i="1"/>
  <c r="H8265" i="1"/>
  <c r="G8265" i="1"/>
  <c r="E8265" i="1"/>
  <c r="H8264" i="1"/>
  <c r="G8264" i="1"/>
  <c r="E8264" i="1"/>
  <c r="H8263" i="1"/>
  <c r="G8263" i="1"/>
  <c r="E8263" i="1"/>
  <c r="H8262" i="1"/>
  <c r="G8262" i="1"/>
  <c r="E8262" i="1"/>
  <c r="H8261" i="1"/>
  <c r="G8261" i="1"/>
  <c r="E8261" i="1"/>
  <c r="H8260" i="1"/>
  <c r="G8260" i="1"/>
  <c r="E8260" i="1"/>
  <c r="H8259" i="1"/>
  <c r="G8259" i="1"/>
  <c r="E8259" i="1"/>
  <c r="H8258" i="1"/>
  <c r="G8258" i="1"/>
  <c r="E8258" i="1"/>
  <c r="H8257" i="1"/>
  <c r="G8257" i="1"/>
  <c r="E8257" i="1"/>
  <c r="H8256" i="1"/>
  <c r="G8256" i="1"/>
  <c r="E8256" i="1"/>
  <c r="H8255" i="1"/>
  <c r="G8255" i="1"/>
  <c r="E8255" i="1"/>
  <c r="H8254" i="1"/>
  <c r="G8254" i="1"/>
  <c r="E8254" i="1"/>
  <c r="H8253" i="1"/>
  <c r="G8253" i="1"/>
  <c r="E8253" i="1"/>
  <c r="H8252" i="1"/>
  <c r="G8252" i="1"/>
  <c r="E8252" i="1"/>
  <c r="H8251" i="1"/>
  <c r="G8251" i="1"/>
  <c r="E8251" i="1"/>
  <c r="H8250" i="1"/>
  <c r="G8250" i="1"/>
  <c r="E8250" i="1"/>
  <c r="H8249" i="1"/>
  <c r="G8249" i="1"/>
  <c r="E8249" i="1"/>
  <c r="H8248" i="1"/>
  <c r="G8248" i="1"/>
  <c r="E8248" i="1"/>
  <c r="H8247" i="1"/>
  <c r="G8247" i="1"/>
  <c r="E8247" i="1"/>
  <c r="H8246" i="1"/>
  <c r="G8246" i="1"/>
  <c r="E8246" i="1"/>
  <c r="H8245" i="1"/>
  <c r="G8245" i="1"/>
  <c r="E8245" i="1"/>
  <c r="H8244" i="1"/>
  <c r="G8244" i="1"/>
  <c r="E8244" i="1"/>
  <c r="H8243" i="1"/>
  <c r="G8243" i="1"/>
  <c r="E8243" i="1"/>
  <c r="H8242" i="1"/>
  <c r="G8242" i="1"/>
  <c r="E8242" i="1"/>
  <c r="H8241" i="1"/>
  <c r="G8241" i="1"/>
  <c r="E8241" i="1"/>
  <c r="H8240" i="1"/>
  <c r="G8240" i="1"/>
  <c r="E8240" i="1"/>
  <c r="H8239" i="1"/>
  <c r="G8239" i="1"/>
  <c r="E8239" i="1"/>
  <c r="H8238" i="1"/>
  <c r="G8238" i="1"/>
  <c r="E8238" i="1"/>
  <c r="H8237" i="1"/>
  <c r="G8237" i="1"/>
  <c r="E8237" i="1"/>
  <c r="H8236" i="1"/>
  <c r="G8236" i="1"/>
  <c r="E8236" i="1"/>
  <c r="H8235" i="1"/>
  <c r="G8235" i="1"/>
  <c r="E8235" i="1"/>
  <c r="H8234" i="1"/>
  <c r="G8234" i="1"/>
  <c r="E8234" i="1"/>
  <c r="H8233" i="1"/>
  <c r="G8233" i="1"/>
  <c r="E8233" i="1"/>
  <c r="H8232" i="1"/>
  <c r="G8232" i="1"/>
  <c r="E8232" i="1"/>
  <c r="H8231" i="1"/>
  <c r="G8231" i="1"/>
  <c r="E8231" i="1"/>
  <c r="H8230" i="1"/>
  <c r="G8230" i="1"/>
  <c r="E8230" i="1"/>
  <c r="H8229" i="1"/>
  <c r="G8229" i="1"/>
  <c r="E8229" i="1"/>
  <c r="H8228" i="1"/>
  <c r="G8228" i="1"/>
  <c r="E8228" i="1"/>
  <c r="H8227" i="1"/>
  <c r="G8227" i="1"/>
  <c r="E8227" i="1"/>
  <c r="H8226" i="1"/>
  <c r="G8226" i="1"/>
  <c r="E8226" i="1"/>
  <c r="H8225" i="1"/>
  <c r="G8225" i="1"/>
  <c r="E8225" i="1"/>
  <c r="H8224" i="1"/>
  <c r="G8224" i="1"/>
  <c r="E8224" i="1"/>
  <c r="H8223" i="1"/>
  <c r="G8223" i="1"/>
  <c r="E8223" i="1"/>
  <c r="H8222" i="1"/>
  <c r="G8222" i="1"/>
  <c r="E8222" i="1"/>
  <c r="H8221" i="1"/>
  <c r="G8221" i="1"/>
  <c r="E8221" i="1"/>
  <c r="H8220" i="1"/>
  <c r="G8220" i="1"/>
  <c r="E8220" i="1"/>
  <c r="H8219" i="1"/>
  <c r="G8219" i="1"/>
  <c r="E8219" i="1"/>
  <c r="H8218" i="1"/>
  <c r="G8218" i="1"/>
  <c r="E8218" i="1"/>
  <c r="H8217" i="1"/>
  <c r="G8217" i="1"/>
  <c r="E8217" i="1"/>
  <c r="H8216" i="1"/>
  <c r="G8216" i="1"/>
  <c r="E8216" i="1"/>
  <c r="H8215" i="1"/>
  <c r="G8215" i="1"/>
  <c r="E8215" i="1"/>
  <c r="H8214" i="1"/>
  <c r="G8214" i="1"/>
  <c r="E8214" i="1"/>
  <c r="H8213" i="1"/>
  <c r="G8213" i="1"/>
  <c r="E8213" i="1"/>
  <c r="H8212" i="1"/>
  <c r="G8212" i="1"/>
  <c r="E8212" i="1"/>
  <c r="H8211" i="1"/>
  <c r="G8211" i="1"/>
  <c r="E8211" i="1"/>
  <c r="H8210" i="1"/>
  <c r="G8210" i="1"/>
  <c r="E8210" i="1"/>
  <c r="H8209" i="1"/>
  <c r="G8209" i="1"/>
  <c r="E8209" i="1"/>
  <c r="H8208" i="1"/>
  <c r="G8208" i="1"/>
  <c r="E8208" i="1"/>
  <c r="H8207" i="1"/>
  <c r="G8207" i="1"/>
  <c r="E8207" i="1"/>
  <c r="H8206" i="1"/>
  <c r="G8206" i="1"/>
  <c r="E8206" i="1"/>
  <c r="H8205" i="1"/>
  <c r="G8205" i="1"/>
  <c r="E8205" i="1"/>
  <c r="H8204" i="1"/>
  <c r="G8204" i="1"/>
  <c r="E8204" i="1"/>
  <c r="H8203" i="1"/>
  <c r="G8203" i="1"/>
  <c r="E8203" i="1"/>
  <c r="H8202" i="1"/>
  <c r="G8202" i="1"/>
  <c r="E8202" i="1"/>
  <c r="H8201" i="1"/>
  <c r="G8201" i="1"/>
  <c r="E8201" i="1"/>
  <c r="H8200" i="1"/>
  <c r="G8200" i="1"/>
  <c r="E8200" i="1"/>
  <c r="H8199" i="1"/>
  <c r="G8199" i="1"/>
  <c r="E8199" i="1"/>
  <c r="H8198" i="1"/>
  <c r="G8198" i="1"/>
  <c r="E8198" i="1"/>
  <c r="H8197" i="1"/>
  <c r="G8197" i="1"/>
  <c r="E8197" i="1"/>
  <c r="H8196" i="1"/>
  <c r="G8196" i="1"/>
  <c r="E8196" i="1"/>
  <c r="H8195" i="1"/>
  <c r="G8195" i="1"/>
  <c r="E8195" i="1"/>
  <c r="H8194" i="1"/>
  <c r="G8194" i="1"/>
  <c r="E8194" i="1"/>
  <c r="H8193" i="1"/>
  <c r="G8193" i="1"/>
  <c r="E8193" i="1"/>
  <c r="H8192" i="1"/>
  <c r="G8192" i="1"/>
  <c r="E8192" i="1"/>
  <c r="H8191" i="1"/>
  <c r="G8191" i="1"/>
  <c r="E8191" i="1"/>
  <c r="H8190" i="1"/>
  <c r="G8190" i="1"/>
  <c r="E8190" i="1"/>
  <c r="H8189" i="1"/>
  <c r="G8189" i="1"/>
  <c r="E8189" i="1"/>
  <c r="H8188" i="1"/>
  <c r="G8188" i="1"/>
  <c r="E8188" i="1"/>
  <c r="H8187" i="1"/>
  <c r="G8187" i="1"/>
  <c r="E8187" i="1"/>
  <c r="H8186" i="1"/>
  <c r="G8186" i="1"/>
  <c r="E8186" i="1"/>
  <c r="H8185" i="1"/>
  <c r="G8185" i="1"/>
  <c r="E8185" i="1"/>
  <c r="H8184" i="1"/>
  <c r="G8184" i="1"/>
  <c r="E8184" i="1"/>
  <c r="H8183" i="1"/>
  <c r="G8183" i="1"/>
  <c r="E8183" i="1"/>
  <c r="H8182" i="1"/>
  <c r="G8182" i="1"/>
  <c r="E8182" i="1"/>
  <c r="H8181" i="1"/>
  <c r="G8181" i="1"/>
  <c r="E8181" i="1"/>
  <c r="H8180" i="1"/>
  <c r="G8180" i="1"/>
  <c r="E8180" i="1"/>
  <c r="H8179" i="1"/>
  <c r="G8179" i="1"/>
  <c r="E8179" i="1"/>
  <c r="H8178" i="1"/>
  <c r="G8178" i="1"/>
  <c r="E8178" i="1"/>
  <c r="H8177" i="1"/>
  <c r="G8177" i="1"/>
  <c r="E8177" i="1"/>
  <c r="H8176" i="1"/>
  <c r="G8176" i="1"/>
  <c r="E8176" i="1"/>
  <c r="H8175" i="1"/>
  <c r="G8175" i="1"/>
  <c r="E8175" i="1"/>
  <c r="H8174" i="1"/>
  <c r="G8174" i="1"/>
  <c r="E8174" i="1"/>
  <c r="H8173" i="1"/>
  <c r="G8173" i="1"/>
  <c r="E8173" i="1"/>
  <c r="H8172" i="1"/>
  <c r="G8172" i="1"/>
  <c r="E8172" i="1"/>
  <c r="H8171" i="1"/>
  <c r="G8171" i="1"/>
  <c r="E8171" i="1"/>
  <c r="H8170" i="1"/>
  <c r="G8170" i="1"/>
  <c r="E8170" i="1"/>
  <c r="H8169" i="1"/>
  <c r="G8169" i="1"/>
  <c r="E8169" i="1"/>
  <c r="H8168" i="1"/>
  <c r="G8168" i="1"/>
  <c r="E8168" i="1"/>
  <c r="H8167" i="1"/>
  <c r="G8167" i="1"/>
  <c r="E8167" i="1"/>
  <c r="H8166" i="1"/>
  <c r="G8166" i="1"/>
  <c r="E8166" i="1"/>
  <c r="H8165" i="1"/>
  <c r="G8165" i="1"/>
  <c r="E8165" i="1"/>
  <c r="H8164" i="1"/>
  <c r="G8164" i="1"/>
  <c r="E8164" i="1"/>
  <c r="H8163" i="1"/>
  <c r="G8163" i="1"/>
  <c r="E8163" i="1"/>
  <c r="H8162" i="1"/>
  <c r="G8162" i="1"/>
  <c r="E8162" i="1"/>
  <c r="H8161" i="1"/>
  <c r="G8161" i="1"/>
  <c r="E8161" i="1"/>
  <c r="H8160" i="1"/>
  <c r="G8160" i="1"/>
  <c r="E8160" i="1"/>
  <c r="H8159" i="1"/>
  <c r="G8159" i="1"/>
  <c r="E8159" i="1"/>
  <c r="H8158" i="1"/>
  <c r="G8158" i="1"/>
  <c r="E8158" i="1"/>
  <c r="H8157" i="1"/>
  <c r="G8157" i="1"/>
  <c r="E8157" i="1"/>
  <c r="H8156" i="1"/>
  <c r="G8156" i="1"/>
  <c r="E8156" i="1"/>
  <c r="H8155" i="1"/>
  <c r="G8155" i="1"/>
  <c r="E8155" i="1"/>
  <c r="H8154" i="1"/>
  <c r="G8154" i="1"/>
  <c r="E8154" i="1"/>
  <c r="H8153" i="1"/>
  <c r="G8153" i="1"/>
  <c r="E8153" i="1"/>
  <c r="H8152" i="1"/>
  <c r="G8152" i="1"/>
  <c r="E8152" i="1"/>
  <c r="H8151" i="1"/>
  <c r="G8151" i="1"/>
  <c r="E8151" i="1"/>
  <c r="H8150" i="1"/>
  <c r="G8150" i="1"/>
  <c r="E8150" i="1"/>
  <c r="H8149" i="1"/>
  <c r="G8149" i="1"/>
  <c r="E8149" i="1"/>
  <c r="H8148" i="1"/>
  <c r="G8148" i="1"/>
  <c r="E8148" i="1"/>
  <c r="H8147" i="1"/>
  <c r="G8147" i="1"/>
  <c r="E8147" i="1"/>
  <c r="H8146" i="1"/>
  <c r="G8146" i="1"/>
  <c r="E8146" i="1"/>
  <c r="H8145" i="1"/>
  <c r="G8145" i="1"/>
  <c r="E8145" i="1"/>
  <c r="H8144" i="1"/>
  <c r="G8144" i="1"/>
  <c r="E8144" i="1"/>
  <c r="H8143" i="1"/>
  <c r="G8143" i="1"/>
  <c r="E8143" i="1"/>
  <c r="H8142" i="1"/>
  <c r="G8142" i="1"/>
  <c r="E8142" i="1"/>
  <c r="H8141" i="1"/>
  <c r="G8141" i="1"/>
  <c r="E8141" i="1"/>
  <c r="H8140" i="1"/>
  <c r="G8140" i="1"/>
  <c r="E8140" i="1"/>
  <c r="H8139" i="1"/>
  <c r="G8139" i="1"/>
  <c r="E8139" i="1"/>
  <c r="H8138" i="1"/>
  <c r="G8138" i="1"/>
  <c r="E8138" i="1"/>
  <c r="H8137" i="1"/>
  <c r="G8137" i="1"/>
  <c r="E8137" i="1"/>
  <c r="H8136" i="1"/>
  <c r="G8136" i="1"/>
  <c r="E8136" i="1"/>
  <c r="H8135" i="1"/>
  <c r="G8135" i="1"/>
  <c r="E8135" i="1"/>
  <c r="H8134" i="1"/>
  <c r="G8134" i="1"/>
  <c r="E8134" i="1"/>
  <c r="H8133" i="1"/>
  <c r="G8133" i="1"/>
  <c r="E8133" i="1"/>
  <c r="H8132" i="1"/>
  <c r="G8132" i="1"/>
  <c r="E8132" i="1"/>
  <c r="H8131" i="1"/>
  <c r="G8131" i="1"/>
  <c r="E8131" i="1"/>
  <c r="H8130" i="1"/>
  <c r="G8130" i="1"/>
  <c r="E8130" i="1"/>
  <c r="H8129" i="1"/>
  <c r="G8129" i="1"/>
  <c r="E8129" i="1"/>
  <c r="H8128" i="1"/>
  <c r="G8128" i="1"/>
  <c r="E8128" i="1"/>
  <c r="H8127" i="1"/>
  <c r="G8127" i="1"/>
  <c r="E8127" i="1"/>
  <c r="H8126" i="1"/>
  <c r="G8126" i="1"/>
  <c r="E8126" i="1"/>
  <c r="H8125" i="1"/>
  <c r="G8125" i="1"/>
  <c r="E8125" i="1"/>
  <c r="H8124" i="1"/>
  <c r="G8124" i="1"/>
  <c r="E8124" i="1"/>
  <c r="H8123" i="1"/>
  <c r="G8123" i="1"/>
  <c r="E8123" i="1"/>
  <c r="H8122" i="1"/>
  <c r="G8122" i="1"/>
  <c r="E8122" i="1"/>
  <c r="H8121" i="1"/>
  <c r="G8121" i="1"/>
  <c r="E8121" i="1"/>
  <c r="H8120" i="1"/>
  <c r="G8120" i="1"/>
  <c r="E8120" i="1"/>
  <c r="H8119" i="1"/>
  <c r="G8119" i="1"/>
  <c r="E8119" i="1"/>
  <c r="H8118" i="1"/>
  <c r="G8118" i="1"/>
  <c r="E8118" i="1"/>
  <c r="H8117" i="1"/>
  <c r="G8117" i="1"/>
  <c r="E8117" i="1"/>
  <c r="H8116" i="1"/>
  <c r="G8116" i="1"/>
  <c r="E8116" i="1"/>
  <c r="H8115" i="1"/>
  <c r="G8115" i="1"/>
  <c r="E8115" i="1"/>
  <c r="H8114" i="1"/>
  <c r="G8114" i="1"/>
  <c r="E8114" i="1"/>
  <c r="H8113" i="1"/>
  <c r="G8113" i="1"/>
  <c r="E8113" i="1"/>
  <c r="H8112" i="1"/>
  <c r="G8112" i="1"/>
  <c r="E8112" i="1"/>
  <c r="H8111" i="1"/>
  <c r="G8111" i="1"/>
  <c r="E8111" i="1"/>
  <c r="H8110" i="1"/>
  <c r="G8110" i="1"/>
  <c r="E8110" i="1"/>
  <c r="H8109" i="1"/>
  <c r="G8109" i="1"/>
  <c r="E8109" i="1"/>
  <c r="H8108" i="1"/>
  <c r="G8108" i="1"/>
  <c r="E8108" i="1"/>
  <c r="H8107" i="1"/>
  <c r="G8107" i="1"/>
  <c r="E8107" i="1"/>
  <c r="H8106" i="1"/>
  <c r="G8106" i="1"/>
  <c r="E8106" i="1"/>
  <c r="H8105" i="1"/>
  <c r="G8105" i="1"/>
  <c r="E8105" i="1"/>
  <c r="H8104" i="1"/>
  <c r="G8104" i="1"/>
  <c r="E8104" i="1"/>
  <c r="H8103" i="1"/>
  <c r="G8103" i="1"/>
  <c r="E8103" i="1"/>
  <c r="H8102" i="1"/>
  <c r="G8102" i="1"/>
  <c r="E8102" i="1"/>
  <c r="H8101" i="1"/>
  <c r="G8101" i="1"/>
  <c r="E8101" i="1"/>
  <c r="H8100" i="1"/>
  <c r="G8100" i="1"/>
  <c r="E8100" i="1"/>
  <c r="H8099" i="1"/>
  <c r="G8099" i="1"/>
  <c r="E8099" i="1"/>
  <c r="H8098" i="1"/>
  <c r="G8098" i="1"/>
  <c r="E8098" i="1"/>
  <c r="H8097" i="1"/>
  <c r="G8097" i="1"/>
  <c r="E8097" i="1"/>
  <c r="H8096" i="1"/>
  <c r="G8096" i="1"/>
  <c r="E8096" i="1"/>
  <c r="H8095" i="1"/>
  <c r="G8095" i="1"/>
  <c r="E8095" i="1"/>
  <c r="H8094" i="1"/>
  <c r="G8094" i="1"/>
  <c r="E8094" i="1"/>
  <c r="H8093" i="1"/>
  <c r="G8093" i="1"/>
  <c r="E8093" i="1"/>
  <c r="H8092" i="1"/>
  <c r="G8092" i="1"/>
  <c r="E8092" i="1"/>
  <c r="H8091" i="1"/>
  <c r="G8091" i="1"/>
  <c r="E8091" i="1"/>
  <c r="H8090" i="1"/>
  <c r="G8090" i="1"/>
  <c r="E8090" i="1"/>
  <c r="H8089" i="1"/>
  <c r="G8089" i="1"/>
  <c r="E8089" i="1"/>
  <c r="H8088" i="1"/>
  <c r="G8088" i="1"/>
  <c r="E8088" i="1"/>
  <c r="H8087" i="1"/>
  <c r="G8087" i="1"/>
  <c r="E8087" i="1"/>
  <c r="H8086" i="1"/>
  <c r="G8086" i="1"/>
  <c r="E8086" i="1"/>
  <c r="H8085" i="1"/>
  <c r="G8085" i="1"/>
  <c r="E8085" i="1"/>
  <c r="H8084" i="1"/>
  <c r="G8084" i="1"/>
  <c r="E8084" i="1"/>
  <c r="H8083" i="1"/>
  <c r="G8083" i="1"/>
  <c r="E8083" i="1"/>
  <c r="H8082" i="1"/>
  <c r="G8082" i="1"/>
  <c r="E8082" i="1"/>
  <c r="H8081" i="1"/>
  <c r="G8081" i="1"/>
  <c r="E8081" i="1"/>
  <c r="H8080" i="1"/>
  <c r="G8080" i="1"/>
  <c r="E8080" i="1"/>
  <c r="H8079" i="1"/>
  <c r="G8079" i="1"/>
  <c r="E8079" i="1"/>
  <c r="H8078" i="1"/>
  <c r="G8078" i="1"/>
  <c r="E8078" i="1"/>
  <c r="H8077" i="1"/>
  <c r="G8077" i="1"/>
  <c r="E8077" i="1"/>
  <c r="H8076" i="1"/>
  <c r="G8076" i="1"/>
  <c r="E8076" i="1"/>
  <c r="H8075" i="1"/>
  <c r="G8075" i="1"/>
  <c r="E8075" i="1"/>
  <c r="H8074" i="1"/>
  <c r="G8074" i="1"/>
  <c r="E8074" i="1"/>
  <c r="H8073" i="1"/>
  <c r="G8073" i="1"/>
  <c r="E8073" i="1"/>
  <c r="H8072" i="1"/>
  <c r="G8072" i="1"/>
  <c r="E8072" i="1"/>
  <c r="H8071" i="1"/>
  <c r="G8071" i="1"/>
  <c r="E8071" i="1"/>
  <c r="H8070" i="1"/>
  <c r="G8070" i="1"/>
  <c r="E8070" i="1"/>
  <c r="H8069" i="1"/>
  <c r="G8069" i="1"/>
  <c r="E8069" i="1"/>
  <c r="H8068" i="1"/>
  <c r="G8068" i="1"/>
  <c r="E8068" i="1"/>
  <c r="H8067" i="1"/>
  <c r="G8067" i="1"/>
  <c r="E8067" i="1"/>
  <c r="H8066" i="1"/>
  <c r="G8066" i="1"/>
  <c r="E8066" i="1"/>
  <c r="H8065" i="1"/>
  <c r="G8065" i="1"/>
  <c r="E8065" i="1"/>
  <c r="H8064" i="1"/>
  <c r="G8064" i="1"/>
  <c r="E8064" i="1"/>
  <c r="H8063" i="1"/>
  <c r="G8063" i="1"/>
  <c r="E8063" i="1"/>
  <c r="H8062" i="1"/>
  <c r="G8062" i="1"/>
  <c r="E8062" i="1"/>
  <c r="H8061" i="1"/>
  <c r="G8061" i="1"/>
  <c r="E8061" i="1"/>
  <c r="H8060" i="1"/>
  <c r="G8060" i="1"/>
  <c r="E8060" i="1"/>
  <c r="H8059" i="1"/>
  <c r="G8059" i="1"/>
  <c r="E8059" i="1"/>
  <c r="H8058" i="1"/>
  <c r="G8058" i="1"/>
  <c r="E8058" i="1"/>
  <c r="H8057" i="1"/>
  <c r="G8057" i="1"/>
  <c r="E8057" i="1"/>
  <c r="H8056" i="1"/>
  <c r="G8056" i="1"/>
  <c r="E8056" i="1"/>
  <c r="H8055" i="1"/>
  <c r="G8055" i="1"/>
  <c r="E8055" i="1"/>
  <c r="H8054" i="1"/>
  <c r="G8054" i="1"/>
  <c r="E8054" i="1"/>
  <c r="H8053" i="1"/>
  <c r="G8053" i="1"/>
  <c r="E8053" i="1"/>
  <c r="H8052" i="1"/>
  <c r="G8052" i="1"/>
  <c r="E8052" i="1"/>
  <c r="H8051" i="1"/>
  <c r="G8051" i="1"/>
  <c r="E8051" i="1"/>
  <c r="H8050" i="1"/>
  <c r="G8050" i="1"/>
  <c r="E8050" i="1"/>
  <c r="H8049" i="1"/>
  <c r="G8049" i="1"/>
  <c r="E8049" i="1"/>
  <c r="H8048" i="1"/>
  <c r="G8048" i="1"/>
  <c r="E8048" i="1"/>
  <c r="H8047" i="1"/>
  <c r="G8047" i="1"/>
  <c r="E8047" i="1"/>
  <c r="H8046" i="1"/>
  <c r="G8046" i="1"/>
  <c r="E8046" i="1"/>
  <c r="H8045" i="1"/>
  <c r="G8045" i="1"/>
  <c r="E8045" i="1"/>
  <c r="H8044" i="1"/>
  <c r="G8044" i="1"/>
  <c r="E8044" i="1"/>
  <c r="H8043" i="1"/>
  <c r="G8043" i="1"/>
  <c r="E8043" i="1"/>
  <c r="H8042" i="1"/>
  <c r="G8042" i="1"/>
  <c r="E8042" i="1"/>
  <c r="H8041" i="1"/>
  <c r="G8041" i="1"/>
  <c r="E8041" i="1"/>
  <c r="H8040" i="1"/>
  <c r="G8040" i="1"/>
  <c r="E8040" i="1"/>
  <c r="H8039" i="1"/>
  <c r="G8039" i="1"/>
  <c r="E8039" i="1"/>
  <c r="H8038" i="1"/>
  <c r="G8038" i="1"/>
  <c r="E8038" i="1"/>
  <c r="H8037" i="1"/>
  <c r="G8037" i="1"/>
  <c r="E8037" i="1"/>
  <c r="H8036" i="1"/>
  <c r="G8036" i="1"/>
  <c r="E8036" i="1"/>
  <c r="H8035" i="1"/>
  <c r="G8035" i="1"/>
  <c r="E8035" i="1"/>
  <c r="H8034" i="1"/>
  <c r="G8034" i="1"/>
  <c r="E8034" i="1"/>
  <c r="H8033" i="1"/>
  <c r="G8033" i="1"/>
  <c r="E8033" i="1"/>
  <c r="H8032" i="1"/>
  <c r="G8032" i="1"/>
  <c r="E8032" i="1"/>
  <c r="H8031" i="1"/>
  <c r="G8031" i="1"/>
  <c r="E8031" i="1"/>
  <c r="H8030" i="1"/>
  <c r="G8030" i="1"/>
  <c r="E8030" i="1"/>
  <c r="H8029" i="1"/>
  <c r="G8029" i="1"/>
  <c r="E8029" i="1"/>
  <c r="H8028" i="1"/>
  <c r="G8028" i="1"/>
  <c r="E8028" i="1"/>
  <c r="H8027" i="1"/>
  <c r="G8027" i="1"/>
  <c r="E8027" i="1"/>
  <c r="H8026" i="1"/>
  <c r="G8026" i="1"/>
  <c r="E8026" i="1"/>
  <c r="H8025" i="1"/>
  <c r="G8025" i="1"/>
  <c r="E8025" i="1"/>
  <c r="H8024" i="1"/>
  <c r="G8024" i="1"/>
  <c r="E8024" i="1"/>
  <c r="H8023" i="1"/>
  <c r="G8023" i="1"/>
  <c r="E8023" i="1"/>
  <c r="H8022" i="1"/>
  <c r="G8022" i="1"/>
  <c r="E8022" i="1"/>
  <c r="H8021" i="1"/>
  <c r="G8021" i="1"/>
  <c r="E8021" i="1"/>
  <c r="H8020" i="1"/>
  <c r="G8020" i="1"/>
  <c r="E8020" i="1"/>
  <c r="H8019" i="1"/>
  <c r="G8019" i="1"/>
  <c r="E8019" i="1"/>
  <c r="H8018" i="1"/>
  <c r="G8018" i="1"/>
  <c r="E8018" i="1"/>
  <c r="H8017" i="1"/>
  <c r="G8017" i="1"/>
  <c r="E8017" i="1"/>
  <c r="H8016" i="1"/>
  <c r="G8016" i="1"/>
  <c r="E8016" i="1"/>
  <c r="H8015" i="1"/>
  <c r="G8015" i="1"/>
  <c r="E8015" i="1"/>
  <c r="H8014" i="1"/>
  <c r="G8014" i="1"/>
  <c r="E8014" i="1"/>
  <c r="H8013" i="1"/>
  <c r="G8013" i="1"/>
  <c r="E8013" i="1"/>
  <c r="H8012" i="1"/>
  <c r="G8012" i="1"/>
  <c r="E8012" i="1"/>
  <c r="H8011" i="1"/>
  <c r="G8011" i="1"/>
  <c r="E8011" i="1"/>
  <c r="H8010" i="1"/>
  <c r="G8010" i="1"/>
  <c r="E8010" i="1"/>
  <c r="H8009" i="1"/>
  <c r="G8009" i="1"/>
  <c r="E8009" i="1"/>
  <c r="H8008" i="1"/>
  <c r="G8008" i="1"/>
  <c r="E8008" i="1"/>
  <c r="H8007" i="1"/>
  <c r="G8007" i="1"/>
  <c r="E8007" i="1"/>
  <c r="H8006" i="1"/>
  <c r="G8006" i="1"/>
  <c r="E8006" i="1"/>
  <c r="H8005" i="1"/>
  <c r="G8005" i="1"/>
  <c r="E8005" i="1"/>
  <c r="H8004" i="1"/>
  <c r="G8004" i="1"/>
  <c r="E8004" i="1"/>
  <c r="H8003" i="1"/>
  <c r="G8003" i="1"/>
  <c r="E8003" i="1"/>
  <c r="H8002" i="1"/>
  <c r="G8002" i="1"/>
  <c r="E8002" i="1"/>
  <c r="H8001" i="1"/>
  <c r="G8001" i="1"/>
  <c r="E8001" i="1"/>
  <c r="H8000" i="1"/>
  <c r="G8000" i="1"/>
  <c r="E8000" i="1"/>
  <c r="H7999" i="1"/>
  <c r="G7999" i="1"/>
  <c r="E7999" i="1"/>
  <c r="H7998" i="1"/>
  <c r="G7998" i="1"/>
  <c r="E7998" i="1"/>
  <c r="H7997" i="1"/>
  <c r="G7997" i="1"/>
  <c r="E7997" i="1"/>
  <c r="H7996" i="1"/>
  <c r="G7996" i="1"/>
  <c r="E7996" i="1"/>
  <c r="H7995" i="1"/>
  <c r="G7995" i="1"/>
  <c r="E7995" i="1"/>
  <c r="H7994" i="1"/>
  <c r="G7994" i="1"/>
  <c r="E7994" i="1"/>
  <c r="H7993" i="1"/>
  <c r="G7993" i="1"/>
  <c r="E7993" i="1"/>
  <c r="H7992" i="1"/>
  <c r="G7992" i="1"/>
  <c r="E7992" i="1"/>
  <c r="H7991" i="1"/>
  <c r="G7991" i="1"/>
  <c r="E7991" i="1"/>
  <c r="H7990" i="1"/>
  <c r="G7990" i="1"/>
  <c r="E7990" i="1"/>
  <c r="H7989" i="1"/>
  <c r="G7989" i="1"/>
  <c r="E7989" i="1"/>
  <c r="H7988" i="1"/>
  <c r="G7988" i="1"/>
  <c r="E7988" i="1"/>
  <c r="H7987" i="1"/>
  <c r="G7987" i="1"/>
  <c r="E7987" i="1"/>
  <c r="H7986" i="1"/>
  <c r="G7986" i="1"/>
  <c r="E7986" i="1"/>
  <c r="H7985" i="1"/>
  <c r="G7985" i="1"/>
  <c r="E7985" i="1"/>
  <c r="H7984" i="1"/>
  <c r="G7984" i="1"/>
  <c r="E7984" i="1"/>
  <c r="H7983" i="1"/>
  <c r="G7983" i="1"/>
  <c r="E7983" i="1"/>
  <c r="H7982" i="1"/>
  <c r="G7982" i="1"/>
  <c r="E7982" i="1"/>
  <c r="H7981" i="1"/>
  <c r="G7981" i="1"/>
  <c r="E7981" i="1"/>
  <c r="H7980" i="1"/>
  <c r="G7980" i="1"/>
  <c r="E7980" i="1"/>
  <c r="H7979" i="1"/>
  <c r="G7979" i="1"/>
  <c r="E7979" i="1"/>
  <c r="H7978" i="1"/>
  <c r="G7978" i="1"/>
  <c r="E7978" i="1"/>
  <c r="H7977" i="1"/>
  <c r="G7977" i="1"/>
  <c r="E7977" i="1"/>
  <c r="H7976" i="1"/>
  <c r="G7976" i="1"/>
  <c r="E7976" i="1"/>
  <c r="H7975" i="1"/>
  <c r="G7975" i="1"/>
  <c r="E7975" i="1"/>
  <c r="H7974" i="1"/>
  <c r="G7974" i="1"/>
  <c r="E7974" i="1"/>
  <c r="H7973" i="1"/>
  <c r="G7973" i="1"/>
  <c r="E7973" i="1"/>
  <c r="H7972" i="1"/>
  <c r="G7972" i="1"/>
  <c r="E7972" i="1"/>
  <c r="H7971" i="1"/>
  <c r="G7971" i="1"/>
  <c r="E7971" i="1"/>
  <c r="H7970" i="1"/>
  <c r="G7970" i="1"/>
  <c r="E7970" i="1"/>
  <c r="H7969" i="1"/>
  <c r="G7969" i="1"/>
  <c r="E7969" i="1"/>
  <c r="H7968" i="1"/>
  <c r="G7968" i="1"/>
  <c r="E7968" i="1"/>
  <c r="H7967" i="1"/>
  <c r="G7967" i="1"/>
  <c r="E7967" i="1"/>
  <c r="H7966" i="1"/>
  <c r="G7966" i="1"/>
  <c r="E7966" i="1"/>
  <c r="H7965" i="1"/>
  <c r="G7965" i="1"/>
  <c r="E7965" i="1"/>
  <c r="H7964" i="1"/>
  <c r="G7964" i="1"/>
  <c r="E7964" i="1"/>
  <c r="H7963" i="1"/>
  <c r="G7963" i="1"/>
  <c r="E7963" i="1"/>
  <c r="H7962" i="1"/>
  <c r="G7962" i="1"/>
  <c r="E7962" i="1"/>
  <c r="H7961" i="1"/>
  <c r="G7961" i="1"/>
  <c r="E7961" i="1"/>
  <c r="H7960" i="1"/>
  <c r="G7960" i="1"/>
  <c r="E7960" i="1"/>
  <c r="H7959" i="1"/>
  <c r="G7959" i="1"/>
  <c r="E7959" i="1"/>
  <c r="H7958" i="1"/>
  <c r="G7958" i="1"/>
  <c r="E7958" i="1"/>
  <c r="H7957" i="1"/>
  <c r="G7957" i="1"/>
  <c r="E7957" i="1"/>
  <c r="H7956" i="1"/>
  <c r="G7956" i="1"/>
  <c r="E7956" i="1"/>
  <c r="H7955" i="1"/>
  <c r="G7955" i="1"/>
  <c r="E7955" i="1"/>
  <c r="H7954" i="1"/>
  <c r="G7954" i="1"/>
  <c r="E7954" i="1"/>
  <c r="H7953" i="1"/>
  <c r="G7953" i="1"/>
  <c r="E7953" i="1"/>
  <c r="H7952" i="1"/>
  <c r="G7952" i="1"/>
  <c r="E7952" i="1"/>
  <c r="H7951" i="1"/>
  <c r="G7951" i="1"/>
  <c r="E7951" i="1"/>
  <c r="H7950" i="1"/>
  <c r="G7950" i="1"/>
  <c r="E7950" i="1"/>
  <c r="H7949" i="1"/>
  <c r="G7949" i="1"/>
  <c r="E7949" i="1"/>
  <c r="H7948" i="1"/>
  <c r="G7948" i="1"/>
  <c r="E7948" i="1"/>
  <c r="H7947" i="1"/>
  <c r="G7947" i="1"/>
  <c r="E7947" i="1"/>
  <c r="H7946" i="1"/>
  <c r="G7946" i="1"/>
  <c r="E7946" i="1"/>
  <c r="H7945" i="1"/>
  <c r="G7945" i="1"/>
  <c r="E7945" i="1"/>
  <c r="H7944" i="1"/>
  <c r="G7944" i="1"/>
  <c r="E7944" i="1"/>
  <c r="H7943" i="1"/>
  <c r="G7943" i="1"/>
  <c r="E7943" i="1"/>
  <c r="H7942" i="1"/>
  <c r="G7942" i="1"/>
  <c r="E7942" i="1"/>
  <c r="H7941" i="1"/>
  <c r="G7941" i="1"/>
  <c r="E7941" i="1"/>
  <c r="H7940" i="1"/>
  <c r="G7940" i="1"/>
  <c r="E7940" i="1"/>
  <c r="H7939" i="1"/>
  <c r="G7939" i="1"/>
  <c r="E7939" i="1"/>
  <c r="H7938" i="1"/>
  <c r="G7938" i="1"/>
  <c r="E7938" i="1"/>
  <c r="H7937" i="1"/>
  <c r="G7937" i="1"/>
  <c r="E7937" i="1"/>
  <c r="H7936" i="1"/>
  <c r="G7936" i="1"/>
  <c r="E7936" i="1"/>
  <c r="H7935" i="1"/>
  <c r="G7935" i="1"/>
  <c r="E7935" i="1"/>
  <c r="H7934" i="1"/>
  <c r="G7934" i="1"/>
  <c r="E7934" i="1"/>
  <c r="H7933" i="1"/>
  <c r="G7933" i="1"/>
  <c r="E7933" i="1"/>
  <c r="H7932" i="1"/>
  <c r="G7932" i="1"/>
  <c r="E7932" i="1"/>
  <c r="H7931" i="1"/>
  <c r="G7931" i="1"/>
  <c r="E7931" i="1"/>
  <c r="H7930" i="1"/>
  <c r="G7930" i="1"/>
  <c r="E7930" i="1"/>
  <c r="H7929" i="1"/>
  <c r="G7929" i="1"/>
  <c r="E7929" i="1"/>
  <c r="H7928" i="1"/>
  <c r="G7928" i="1"/>
  <c r="E7928" i="1"/>
  <c r="H7927" i="1"/>
  <c r="G7927" i="1"/>
  <c r="E7927" i="1"/>
  <c r="H7926" i="1"/>
  <c r="G7926" i="1"/>
  <c r="E7926" i="1"/>
  <c r="H7925" i="1"/>
  <c r="G7925" i="1"/>
  <c r="E7925" i="1"/>
  <c r="H7924" i="1"/>
  <c r="G7924" i="1"/>
  <c r="E7924" i="1"/>
  <c r="H7923" i="1"/>
  <c r="G7923" i="1"/>
  <c r="E7923" i="1"/>
  <c r="H7922" i="1"/>
  <c r="G7922" i="1"/>
  <c r="E7922" i="1"/>
  <c r="H7921" i="1"/>
  <c r="G7921" i="1"/>
  <c r="E7921" i="1"/>
  <c r="H7920" i="1"/>
  <c r="G7920" i="1"/>
  <c r="E7920" i="1"/>
  <c r="H7919" i="1"/>
  <c r="G7919" i="1"/>
  <c r="E7919" i="1"/>
  <c r="H7918" i="1"/>
  <c r="G7918" i="1"/>
  <c r="E7918" i="1"/>
  <c r="H7917" i="1"/>
  <c r="G7917" i="1"/>
  <c r="E7917" i="1"/>
  <c r="H7916" i="1"/>
  <c r="G7916" i="1"/>
  <c r="E7916" i="1"/>
  <c r="H7915" i="1"/>
  <c r="G7915" i="1"/>
  <c r="E7915" i="1"/>
  <c r="H7914" i="1"/>
  <c r="G7914" i="1"/>
  <c r="E7914" i="1"/>
  <c r="H7913" i="1"/>
  <c r="G7913" i="1"/>
  <c r="E7913" i="1"/>
  <c r="H7912" i="1"/>
  <c r="G7912" i="1"/>
  <c r="E7912" i="1"/>
  <c r="H7911" i="1"/>
  <c r="G7911" i="1"/>
  <c r="E7911" i="1"/>
  <c r="H7910" i="1"/>
  <c r="G7910" i="1"/>
  <c r="E7910" i="1"/>
  <c r="H7909" i="1"/>
  <c r="G7909" i="1"/>
  <c r="E7909" i="1"/>
  <c r="H7908" i="1"/>
  <c r="G7908" i="1"/>
  <c r="E7908" i="1"/>
  <c r="H7907" i="1"/>
  <c r="G7907" i="1"/>
  <c r="E7907" i="1"/>
  <c r="H7906" i="1"/>
  <c r="G7906" i="1"/>
  <c r="E7906" i="1"/>
  <c r="H7905" i="1"/>
  <c r="G7905" i="1"/>
  <c r="E7905" i="1"/>
  <c r="H7904" i="1"/>
  <c r="G7904" i="1"/>
  <c r="E7904" i="1"/>
  <c r="H7903" i="1"/>
  <c r="G7903" i="1"/>
  <c r="E7903" i="1"/>
  <c r="H7902" i="1"/>
  <c r="G7902" i="1"/>
  <c r="E7902" i="1"/>
  <c r="H7901" i="1"/>
  <c r="G7901" i="1"/>
  <c r="E7901" i="1"/>
  <c r="H7900" i="1"/>
  <c r="G7900" i="1"/>
  <c r="E7900" i="1"/>
  <c r="H7899" i="1"/>
  <c r="G7899" i="1"/>
  <c r="E7899" i="1"/>
  <c r="H7898" i="1"/>
  <c r="G7898" i="1"/>
  <c r="E7898" i="1"/>
  <c r="H7897" i="1"/>
  <c r="G7897" i="1"/>
  <c r="E7897" i="1"/>
  <c r="H7896" i="1"/>
  <c r="G7896" i="1"/>
  <c r="E7896" i="1"/>
  <c r="H7895" i="1"/>
  <c r="G7895" i="1"/>
  <c r="E7895" i="1"/>
  <c r="H7894" i="1"/>
  <c r="G7894" i="1"/>
  <c r="E7894" i="1"/>
  <c r="H7893" i="1"/>
  <c r="G7893" i="1"/>
  <c r="E7893" i="1"/>
  <c r="H7892" i="1"/>
  <c r="G7892" i="1"/>
  <c r="E7892" i="1"/>
  <c r="H7891" i="1"/>
  <c r="G7891" i="1"/>
  <c r="E7891" i="1"/>
  <c r="H7890" i="1"/>
  <c r="G7890" i="1"/>
  <c r="E7890" i="1"/>
  <c r="H7889" i="1"/>
  <c r="G7889" i="1"/>
  <c r="E7889" i="1"/>
  <c r="H7888" i="1"/>
  <c r="G7888" i="1"/>
  <c r="E7888" i="1"/>
  <c r="H7887" i="1"/>
  <c r="G7887" i="1"/>
  <c r="E7887" i="1"/>
  <c r="H7886" i="1"/>
  <c r="G7886" i="1"/>
  <c r="E7886" i="1"/>
  <c r="H7885" i="1"/>
  <c r="G7885" i="1"/>
  <c r="E7885" i="1"/>
  <c r="H7884" i="1"/>
  <c r="G7884" i="1"/>
  <c r="E7884" i="1"/>
  <c r="H7883" i="1"/>
  <c r="G7883" i="1"/>
  <c r="E7883" i="1"/>
  <c r="H7882" i="1"/>
  <c r="G7882" i="1"/>
  <c r="E7882" i="1"/>
  <c r="H7881" i="1"/>
  <c r="G7881" i="1"/>
  <c r="E7881" i="1"/>
  <c r="H7880" i="1"/>
  <c r="G7880" i="1"/>
  <c r="E7880" i="1"/>
  <c r="H7879" i="1"/>
  <c r="G7879" i="1"/>
  <c r="E7879" i="1"/>
  <c r="H7878" i="1"/>
  <c r="G7878" i="1"/>
  <c r="E7878" i="1"/>
  <c r="H7877" i="1"/>
  <c r="G7877" i="1"/>
  <c r="E7877" i="1"/>
  <c r="H7876" i="1"/>
  <c r="G7876" i="1"/>
  <c r="E7876" i="1"/>
  <c r="H7875" i="1"/>
  <c r="G7875" i="1"/>
  <c r="E7875" i="1"/>
  <c r="H7874" i="1"/>
  <c r="G7874" i="1"/>
  <c r="E7874" i="1"/>
  <c r="H7873" i="1"/>
  <c r="G7873" i="1"/>
  <c r="E7873" i="1"/>
  <c r="H7872" i="1"/>
  <c r="G7872" i="1"/>
  <c r="E7872" i="1"/>
  <c r="H7871" i="1"/>
  <c r="G7871" i="1"/>
  <c r="E7871" i="1"/>
  <c r="H7870" i="1"/>
  <c r="G7870" i="1"/>
  <c r="E7870" i="1"/>
  <c r="H7869" i="1"/>
  <c r="G7869" i="1"/>
  <c r="E7869" i="1"/>
  <c r="H7868" i="1"/>
  <c r="G7868" i="1"/>
  <c r="E7868" i="1"/>
  <c r="H7867" i="1"/>
  <c r="G7867" i="1"/>
  <c r="E7867" i="1"/>
  <c r="H7866" i="1"/>
  <c r="G7866" i="1"/>
  <c r="E7866" i="1"/>
  <c r="H7865" i="1"/>
  <c r="G7865" i="1"/>
  <c r="E7865" i="1"/>
  <c r="H7864" i="1"/>
  <c r="G7864" i="1"/>
  <c r="E7864" i="1"/>
  <c r="H7863" i="1"/>
  <c r="G7863" i="1"/>
  <c r="E7863" i="1"/>
  <c r="H7862" i="1"/>
  <c r="G7862" i="1"/>
  <c r="E7862" i="1"/>
  <c r="H7861" i="1"/>
  <c r="G7861" i="1"/>
  <c r="E7861" i="1"/>
  <c r="H7860" i="1"/>
  <c r="G7860" i="1"/>
  <c r="E7860" i="1"/>
  <c r="H7859" i="1"/>
  <c r="G7859" i="1"/>
  <c r="E7859" i="1"/>
  <c r="H7858" i="1"/>
  <c r="G7858" i="1"/>
  <c r="E7858" i="1"/>
  <c r="H7857" i="1"/>
  <c r="G7857" i="1"/>
  <c r="E7857" i="1"/>
  <c r="H7856" i="1"/>
  <c r="G7856" i="1"/>
  <c r="E7856" i="1"/>
  <c r="H7855" i="1"/>
  <c r="G7855" i="1"/>
  <c r="E7855" i="1"/>
  <c r="H7854" i="1"/>
  <c r="G7854" i="1"/>
  <c r="E7854" i="1"/>
  <c r="H7853" i="1"/>
  <c r="G7853" i="1"/>
  <c r="E7853" i="1"/>
  <c r="H7852" i="1"/>
  <c r="G7852" i="1"/>
  <c r="E7852" i="1"/>
  <c r="H7851" i="1"/>
  <c r="G7851" i="1"/>
  <c r="E7851" i="1"/>
  <c r="H7850" i="1"/>
  <c r="G7850" i="1"/>
  <c r="E7850" i="1"/>
  <c r="H7849" i="1"/>
  <c r="G7849" i="1"/>
  <c r="E7849" i="1"/>
  <c r="H7848" i="1"/>
  <c r="G7848" i="1"/>
  <c r="E7848" i="1"/>
  <c r="H7847" i="1"/>
  <c r="G7847" i="1"/>
  <c r="E7847" i="1"/>
  <c r="H7846" i="1"/>
  <c r="G7846" i="1"/>
  <c r="E7846" i="1"/>
  <c r="H7845" i="1"/>
  <c r="G7845" i="1"/>
  <c r="E7845" i="1"/>
  <c r="H7844" i="1"/>
  <c r="G7844" i="1"/>
  <c r="E7844" i="1"/>
  <c r="H7843" i="1"/>
  <c r="G7843" i="1"/>
  <c r="E7843" i="1"/>
  <c r="H7842" i="1"/>
  <c r="G7842" i="1"/>
  <c r="E7842" i="1"/>
  <c r="H7841" i="1"/>
  <c r="G7841" i="1"/>
  <c r="E7841" i="1"/>
  <c r="H7840" i="1"/>
  <c r="G7840" i="1"/>
  <c r="E7840" i="1"/>
  <c r="H7839" i="1"/>
  <c r="G7839" i="1"/>
  <c r="E7839" i="1"/>
  <c r="H7838" i="1"/>
  <c r="G7838" i="1"/>
  <c r="E7838" i="1"/>
  <c r="H7837" i="1"/>
  <c r="G7837" i="1"/>
  <c r="E7837" i="1"/>
  <c r="H7836" i="1"/>
  <c r="G7836" i="1"/>
  <c r="E7836" i="1"/>
  <c r="H7835" i="1"/>
  <c r="G7835" i="1"/>
  <c r="E7835" i="1"/>
  <c r="H7834" i="1"/>
  <c r="G7834" i="1"/>
  <c r="E7834" i="1"/>
  <c r="H7833" i="1"/>
  <c r="G7833" i="1"/>
  <c r="E7833" i="1"/>
  <c r="H7832" i="1"/>
  <c r="G7832" i="1"/>
  <c r="E7832" i="1"/>
  <c r="H7831" i="1"/>
  <c r="G7831" i="1"/>
  <c r="E7831" i="1"/>
  <c r="H7830" i="1"/>
  <c r="G7830" i="1"/>
  <c r="E7830" i="1"/>
  <c r="H7829" i="1"/>
  <c r="G7829" i="1"/>
  <c r="E7829" i="1"/>
  <c r="H7828" i="1"/>
  <c r="G7828" i="1"/>
  <c r="E7828" i="1"/>
  <c r="H7827" i="1"/>
  <c r="G7827" i="1"/>
  <c r="E7827" i="1"/>
  <c r="H7826" i="1"/>
  <c r="G7826" i="1"/>
  <c r="E7826" i="1"/>
  <c r="H7825" i="1"/>
  <c r="G7825" i="1"/>
  <c r="E7825" i="1"/>
  <c r="H7824" i="1"/>
  <c r="G7824" i="1"/>
  <c r="E7824" i="1"/>
  <c r="H7823" i="1"/>
  <c r="G7823" i="1"/>
  <c r="E7823" i="1"/>
  <c r="H7822" i="1"/>
  <c r="G7822" i="1"/>
  <c r="E7822" i="1"/>
  <c r="H7821" i="1"/>
  <c r="G7821" i="1"/>
  <c r="E7821" i="1"/>
  <c r="H7820" i="1"/>
  <c r="G7820" i="1"/>
  <c r="E7820" i="1"/>
  <c r="H7819" i="1"/>
  <c r="G7819" i="1"/>
  <c r="E7819" i="1"/>
  <c r="H7818" i="1"/>
  <c r="G7818" i="1"/>
  <c r="E7818" i="1"/>
  <c r="H7817" i="1"/>
  <c r="G7817" i="1"/>
  <c r="E7817" i="1"/>
  <c r="H7816" i="1"/>
  <c r="G7816" i="1"/>
  <c r="E7816" i="1"/>
  <c r="H7815" i="1"/>
  <c r="G7815" i="1"/>
  <c r="E7815" i="1"/>
  <c r="H7814" i="1"/>
  <c r="G7814" i="1"/>
  <c r="E7814" i="1"/>
  <c r="H7813" i="1"/>
  <c r="G7813" i="1"/>
  <c r="E7813" i="1"/>
  <c r="H7812" i="1"/>
  <c r="G7812" i="1"/>
  <c r="E7812" i="1"/>
  <c r="H7811" i="1"/>
  <c r="G7811" i="1"/>
  <c r="E7811" i="1"/>
  <c r="H7810" i="1"/>
  <c r="G7810" i="1"/>
  <c r="E7810" i="1"/>
  <c r="H7809" i="1"/>
  <c r="G7809" i="1"/>
  <c r="E7809" i="1"/>
  <c r="H7808" i="1"/>
  <c r="G7808" i="1"/>
  <c r="E7808" i="1"/>
  <c r="H7807" i="1"/>
  <c r="G7807" i="1"/>
  <c r="E7807" i="1"/>
  <c r="H7806" i="1"/>
  <c r="G7806" i="1"/>
  <c r="E7806" i="1"/>
  <c r="H7805" i="1"/>
  <c r="G7805" i="1"/>
  <c r="E7805" i="1"/>
  <c r="H7804" i="1"/>
  <c r="G7804" i="1"/>
  <c r="E7804" i="1"/>
  <c r="H7803" i="1"/>
  <c r="G7803" i="1"/>
  <c r="E7803" i="1"/>
  <c r="H7802" i="1"/>
  <c r="G7802" i="1"/>
  <c r="E7802" i="1"/>
  <c r="H7801" i="1"/>
  <c r="G7801" i="1"/>
  <c r="E7801" i="1"/>
  <c r="H7800" i="1"/>
  <c r="G7800" i="1"/>
  <c r="E7800" i="1"/>
  <c r="H7799" i="1"/>
  <c r="G7799" i="1"/>
  <c r="E7799" i="1"/>
  <c r="H7798" i="1"/>
  <c r="G7798" i="1"/>
  <c r="E7798" i="1"/>
  <c r="H7797" i="1"/>
  <c r="G7797" i="1"/>
  <c r="E7797" i="1"/>
  <c r="H7796" i="1"/>
  <c r="G7796" i="1"/>
  <c r="E7796" i="1"/>
  <c r="H7795" i="1"/>
  <c r="G7795" i="1"/>
  <c r="E7795" i="1"/>
  <c r="H7794" i="1"/>
  <c r="G7794" i="1"/>
  <c r="E7794" i="1"/>
  <c r="H7793" i="1"/>
  <c r="G7793" i="1"/>
  <c r="E7793" i="1"/>
  <c r="H7792" i="1"/>
  <c r="G7792" i="1"/>
  <c r="E7792" i="1"/>
  <c r="H7791" i="1"/>
  <c r="G7791" i="1"/>
  <c r="E7791" i="1"/>
  <c r="H7790" i="1"/>
  <c r="G7790" i="1"/>
  <c r="E7790" i="1"/>
  <c r="H7789" i="1"/>
  <c r="G7789" i="1"/>
  <c r="E7789" i="1"/>
  <c r="H7788" i="1"/>
  <c r="G7788" i="1"/>
  <c r="E7788" i="1"/>
  <c r="H7787" i="1"/>
  <c r="G7787" i="1"/>
  <c r="E7787" i="1"/>
  <c r="H7786" i="1"/>
  <c r="G7786" i="1"/>
  <c r="E7786" i="1"/>
  <c r="H7785" i="1"/>
  <c r="G7785" i="1"/>
  <c r="E7785" i="1"/>
  <c r="H7784" i="1"/>
  <c r="G7784" i="1"/>
  <c r="E7784" i="1"/>
  <c r="H7783" i="1"/>
  <c r="G7783" i="1"/>
  <c r="E7783" i="1"/>
  <c r="H7782" i="1"/>
  <c r="G7782" i="1"/>
  <c r="E7782" i="1"/>
  <c r="H7781" i="1"/>
  <c r="G7781" i="1"/>
  <c r="E7781" i="1"/>
  <c r="H7780" i="1"/>
  <c r="G7780" i="1"/>
  <c r="E7780" i="1"/>
  <c r="H7779" i="1"/>
  <c r="G7779" i="1"/>
  <c r="E7779" i="1"/>
  <c r="H7778" i="1"/>
  <c r="G7778" i="1"/>
  <c r="E7778" i="1"/>
  <c r="H7777" i="1"/>
  <c r="G7777" i="1"/>
  <c r="E7777" i="1"/>
  <c r="H7776" i="1"/>
  <c r="G7776" i="1"/>
  <c r="E7776" i="1"/>
  <c r="H7775" i="1"/>
  <c r="G7775" i="1"/>
  <c r="E7775" i="1"/>
  <c r="H7774" i="1"/>
  <c r="G7774" i="1"/>
  <c r="E7774" i="1"/>
  <c r="H7773" i="1"/>
  <c r="G7773" i="1"/>
  <c r="E7773" i="1"/>
  <c r="H7772" i="1"/>
  <c r="G7772" i="1"/>
  <c r="E7772" i="1"/>
  <c r="H7771" i="1"/>
  <c r="G7771" i="1"/>
  <c r="E7771" i="1"/>
  <c r="H7770" i="1"/>
  <c r="G7770" i="1"/>
  <c r="E7770" i="1"/>
  <c r="H7769" i="1"/>
  <c r="G7769" i="1"/>
  <c r="E7769" i="1"/>
  <c r="H7768" i="1"/>
  <c r="G7768" i="1"/>
  <c r="E7768" i="1"/>
  <c r="H7767" i="1"/>
  <c r="G7767" i="1"/>
  <c r="E7767" i="1"/>
  <c r="H7766" i="1"/>
  <c r="G7766" i="1"/>
  <c r="E7766" i="1"/>
  <c r="H7765" i="1"/>
  <c r="G7765" i="1"/>
  <c r="E7765" i="1"/>
  <c r="H7764" i="1"/>
  <c r="G7764" i="1"/>
  <c r="E7764" i="1"/>
  <c r="H7763" i="1"/>
  <c r="G7763" i="1"/>
  <c r="E7763" i="1"/>
  <c r="H7762" i="1"/>
  <c r="G7762" i="1"/>
  <c r="E7762" i="1"/>
  <c r="H7761" i="1"/>
  <c r="G7761" i="1"/>
  <c r="E7761" i="1"/>
  <c r="H7760" i="1"/>
  <c r="G7760" i="1"/>
  <c r="E7760" i="1"/>
  <c r="H7759" i="1"/>
  <c r="G7759" i="1"/>
  <c r="E7759" i="1"/>
  <c r="H7758" i="1"/>
  <c r="G7758" i="1"/>
  <c r="E7758" i="1"/>
  <c r="H7757" i="1"/>
  <c r="G7757" i="1"/>
  <c r="E7757" i="1"/>
  <c r="H7756" i="1"/>
  <c r="G7756" i="1"/>
  <c r="E7756" i="1"/>
  <c r="H7755" i="1"/>
  <c r="G7755" i="1"/>
  <c r="E7755" i="1"/>
  <c r="H7754" i="1"/>
  <c r="G7754" i="1"/>
  <c r="E7754" i="1"/>
  <c r="H7753" i="1"/>
  <c r="G7753" i="1"/>
  <c r="E7753" i="1"/>
  <c r="H7752" i="1"/>
  <c r="G7752" i="1"/>
  <c r="E7752" i="1"/>
  <c r="H7751" i="1"/>
  <c r="G7751" i="1"/>
  <c r="E7751" i="1"/>
  <c r="H7750" i="1"/>
  <c r="G7750" i="1"/>
  <c r="E7750" i="1"/>
  <c r="H7749" i="1"/>
  <c r="G7749" i="1"/>
  <c r="E7749" i="1"/>
  <c r="H7748" i="1"/>
  <c r="G7748" i="1"/>
  <c r="E7748" i="1"/>
  <c r="H7747" i="1"/>
  <c r="G7747" i="1"/>
  <c r="E7747" i="1"/>
  <c r="H7746" i="1"/>
  <c r="G7746" i="1"/>
  <c r="E7746" i="1"/>
  <c r="H7745" i="1"/>
  <c r="G7745" i="1"/>
  <c r="E7745" i="1"/>
  <c r="H7744" i="1"/>
  <c r="G7744" i="1"/>
  <c r="E7744" i="1"/>
  <c r="H7743" i="1"/>
  <c r="G7743" i="1"/>
  <c r="E7743" i="1"/>
  <c r="H7742" i="1"/>
  <c r="G7742" i="1"/>
  <c r="E7742" i="1"/>
  <c r="H7741" i="1"/>
  <c r="G7741" i="1"/>
  <c r="E7741" i="1"/>
  <c r="H7740" i="1"/>
  <c r="G7740" i="1"/>
  <c r="E7740" i="1"/>
  <c r="H7739" i="1"/>
  <c r="G7739" i="1"/>
  <c r="E7739" i="1"/>
  <c r="H7738" i="1"/>
  <c r="G7738" i="1"/>
  <c r="E7738" i="1"/>
  <c r="H7737" i="1"/>
  <c r="G7737" i="1"/>
  <c r="E7737" i="1"/>
  <c r="H7736" i="1"/>
  <c r="G7736" i="1"/>
  <c r="E7736" i="1"/>
  <c r="H7735" i="1"/>
  <c r="G7735" i="1"/>
  <c r="E7735" i="1"/>
  <c r="H7734" i="1"/>
  <c r="G7734" i="1"/>
  <c r="E7734" i="1"/>
  <c r="H7733" i="1"/>
  <c r="G7733" i="1"/>
  <c r="E7733" i="1"/>
  <c r="H7732" i="1"/>
  <c r="G7732" i="1"/>
  <c r="E7732" i="1"/>
  <c r="H7731" i="1"/>
  <c r="G7731" i="1"/>
  <c r="E7731" i="1"/>
  <c r="H7730" i="1"/>
  <c r="G7730" i="1"/>
  <c r="E7730" i="1"/>
  <c r="H7729" i="1"/>
  <c r="G7729" i="1"/>
  <c r="E7729" i="1"/>
  <c r="H7728" i="1"/>
  <c r="G7728" i="1"/>
  <c r="E7728" i="1"/>
  <c r="H7727" i="1"/>
  <c r="G7727" i="1"/>
  <c r="E7727" i="1"/>
  <c r="H7726" i="1"/>
  <c r="G7726" i="1"/>
  <c r="E7726" i="1"/>
  <c r="H7725" i="1"/>
  <c r="G7725" i="1"/>
  <c r="E7725" i="1"/>
  <c r="H7724" i="1"/>
  <c r="G7724" i="1"/>
  <c r="E7724" i="1"/>
  <c r="H7723" i="1"/>
  <c r="G7723" i="1"/>
  <c r="E7723" i="1"/>
  <c r="H7722" i="1"/>
  <c r="G7722" i="1"/>
  <c r="E7722" i="1"/>
  <c r="H7721" i="1"/>
  <c r="G7721" i="1"/>
  <c r="E7721" i="1"/>
  <c r="H7720" i="1"/>
  <c r="G7720" i="1"/>
  <c r="E7720" i="1"/>
  <c r="H7719" i="1"/>
  <c r="G7719" i="1"/>
  <c r="E7719" i="1"/>
  <c r="H7718" i="1"/>
  <c r="G7718" i="1"/>
  <c r="E7718" i="1"/>
  <c r="H7717" i="1"/>
  <c r="G7717" i="1"/>
  <c r="E7717" i="1"/>
  <c r="H7716" i="1"/>
  <c r="G7716" i="1"/>
  <c r="E7716" i="1"/>
  <c r="H7715" i="1"/>
  <c r="G7715" i="1"/>
  <c r="E7715" i="1"/>
  <c r="H7714" i="1"/>
  <c r="G7714" i="1"/>
  <c r="E7714" i="1"/>
  <c r="H7713" i="1"/>
  <c r="G7713" i="1"/>
  <c r="E7713" i="1"/>
  <c r="H7712" i="1"/>
  <c r="G7712" i="1"/>
  <c r="E7712" i="1"/>
  <c r="H7711" i="1"/>
  <c r="G7711" i="1"/>
  <c r="E7711" i="1"/>
  <c r="H7710" i="1"/>
  <c r="G7710" i="1"/>
  <c r="E7710" i="1"/>
  <c r="H7709" i="1"/>
  <c r="G7709" i="1"/>
  <c r="E7709" i="1"/>
  <c r="H7708" i="1"/>
  <c r="G7708" i="1"/>
  <c r="E7708" i="1"/>
  <c r="H7707" i="1"/>
  <c r="G7707" i="1"/>
  <c r="E7707" i="1"/>
  <c r="H7706" i="1"/>
  <c r="G7706" i="1"/>
  <c r="E7706" i="1"/>
  <c r="H7705" i="1"/>
  <c r="G7705" i="1"/>
  <c r="E7705" i="1"/>
  <c r="H7704" i="1"/>
  <c r="G7704" i="1"/>
  <c r="E7704" i="1"/>
  <c r="H7703" i="1"/>
  <c r="G7703" i="1"/>
  <c r="E7703" i="1"/>
  <c r="H7702" i="1"/>
  <c r="G7702" i="1"/>
  <c r="E7702" i="1"/>
  <c r="H7701" i="1"/>
  <c r="G7701" i="1"/>
  <c r="E7701" i="1"/>
  <c r="H7700" i="1"/>
  <c r="G7700" i="1"/>
  <c r="E7700" i="1"/>
  <c r="H7699" i="1"/>
  <c r="G7699" i="1"/>
  <c r="E7699" i="1"/>
  <c r="H7698" i="1"/>
  <c r="G7698" i="1"/>
  <c r="E7698" i="1"/>
  <c r="H7697" i="1"/>
  <c r="G7697" i="1"/>
  <c r="E7697" i="1"/>
  <c r="H7696" i="1"/>
  <c r="G7696" i="1"/>
  <c r="E7696" i="1"/>
  <c r="H7695" i="1"/>
  <c r="G7695" i="1"/>
  <c r="E7695" i="1"/>
  <c r="H7694" i="1"/>
  <c r="G7694" i="1"/>
  <c r="E7694" i="1"/>
  <c r="H7693" i="1"/>
  <c r="G7693" i="1"/>
  <c r="E7693" i="1"/>
  <c r="H7692" i="1"/>
  <c r="G7692" i="1"/>
  <c r="E7692" i="1"/>
  <c r="H7691" i="1"/>
  <c r="G7691" i="1"/>
  <c r="E7691" i="1"/>
  <c r="H7690" i="1"/>
  <c r="G7690" i="1"/>
  <c r="E7690" i="1"/>
  <c r="H7689" i="1"/>
  <c r="G7689" i="1"/>
  <c r="E7689" i="1"/>
  <c r="H7688" i="1"/>
  <c r="G7688" i="1"/>
  <c r="E7688" i="1"/>
  <c r="H7687" i="1"/>
  <c r="G7687" i="1"/>
  <c r="E7687" i="1"/>
  <c r="H7686" i="1"/>
  <c r="G7686" i="1"/>
  <c r="E7686" i="1"/>
  <c r="H7685" i="1"/>
  <c r="G7685" i="1"/>
  <c r="E7685" i="1"/>
  <c r="H7684" i="1"/>
  <c r="G7684" i="1"/>
  <c r="E7684" i="1"/>
  <c r="H7683" i="1"/>
  <c r="G7683" i="1"/>
  <c r="E7683" i="1"/>
  <c r="H7682" i="1"/>
  <c r="G7682" i="1"/>
  <c r="E7682" i="1"/>
  <c r="H7681" i="1"/>
  <c r="G7681" i="1"/>
  <c r="E7681" i="1"/>
  <c r="H7680" i="1"/>
  <c r="G7680" i="1"/>
  <c r="E7680" i="1"/>
  <c r="H7679" i="1"/>
  <c r="G7679" i="1"/>
  <c r="E7679" i="1"/>
  <c r="H7678" i="1"/>
  <c r="G7678" i="1"/>
  <c r="E7678" i="1"/>
  <c r="H7677" i="1"/>
  <c r="G7677" i="1"/>
  <c r="E7677" i="1"/>
  <c r="H7676" i="1"/>
  <c r="G7676" i="1"/>
  <c r="E7676" i="1"/>
  <c r="H7675" i="1"/>
  <c r="G7675" i="1"/>
  <c r="E7675" i="1"/>
  <c r="H7674" i="1"/>
  <c r="G7674" i="1"/>
  <c r="E7674" i="1"/>
  <c r="H7673" i="1"/>
  <c r="G7673" i="1"/>
  <c r="E7673" i="1"/>
  <c r="H7672" i="1"/>
  <c r="G7672" i="1"/>
  <c r="E7672" i="1"/>
  <c r="H7671" i="1"/>
  <c r="G7671" i="1"/>
  <c r="E7671" i="1"/>
  <c r="H7670" i="1"/>
  <c r="G7670" i="1"/>
  <c r="E7670" i="1"/>
  <c r="H7669" i="1"/>
  <c r="G7669" i="1"/>
  <c r="E7669" i="1"/>
  <c r="H7668" i="1"/>
  <c r="G7668" i="1"/>
  <c r="E7668" i="1"/>
  <c r="H7667" i="1"/>
  <c r="G7667" i="1"/>
  <c r="E7667" i="1"/>
  <c r="H7666" i="1"/>
  <c r="G7666" i="1"/>
  <c r="E7666" i="1"/>
  <c r="H7665" i="1"/>
  <c r="G7665" i="1"/>
  <c r="E7665" i="1"/>
  <c r="H7664" i="1"/>
  <c r="G7664" i="1"/>
  <c r="E7664" i="1"/>
  <c r="H7663" i="1"/>
  <c r="G7663" i="1"/>
  <c r="E7663" i="1"/>
  <c r="H7662" i="1"/>
  <c r="G7662" i="1"/>
  <c r="E7662" i="1"/>
  <c r="H7661" i="1"/>
  <c r="G7661" i="1"/>
  <c r="E7661" i="1"/>
  <c r="H7660" i="1"/>
  <c r="G7660" i="1"/>
  <c r="E7660" i="1"/>
  <c r="H7659" i="1"/>
  <c r="G7659" i="1"/>
  <c r="E7659" i="1"/>
  <c r="H7658" i="1"/>
  <c r="G7658" i="1"/>
  <c r="E7658" i="1"/>
  <c r="H7657" i="1"/>
  <c r="G7657" i="1"/>
  <c r="E7657" i="1"/>
  <c r="H7656" i="1"/>
  <c r="G7656" i="1"/>
  <c r="E7656" i="1"/>
  <c r="H7655" i="1"/>
  <c r="G7655" i="1"/>
  <c r="E7655" i="1"/>
  <c r="H7654" i="1"/>
  <c r="G7654" i="1"/>
  <c r="E7654" i="1"/>
  <c r="H7653" i="1"/>
  <c r="G7653" i="1"/>
  <c r="E7653" i="1"/>
  <c r="H7652" i="1"/>
  <c r="G7652" i="1"/>
  <c r="E7652" i="1"/>
  <c r="H7651" i="1"/>
  <c r="G7651" i="1"/>
  <c r="E7651" i="1"/>
  <c r="H7650" i="1"/>
  <c r="G7650" i="1"/>
  <c r="E7650" i="1"/>
  <c r="H7649" i="1"/>
  <c r="G7649" i="1"/>
  <c r="E7649" i="1"/>
  <c r="H7648" i="1"/>
  <c r="G7648" i="1"/>
  <c r="E7648" i="1"/>
  <c r="H7647" i="1"/>
  <c r="G7647" i="1"/>
  <c r="E7647" i="1"/>
  <c r="H7646" i="1"/>
  <c r="G7646" i="1"/>
  <c r="E7646" i="1"/>
  <c r="H7645" i="1"/>
  <c r="G7645" i="1"/>
  <c r="E7645" i="1"/>
  <c r="H7644" i="1"/>
  <c r="G7644" i="1"/>
  <c r="E7644" i="1"/>
  <c r="H7643" i="1"/>
  <c r="G7643" i="1"/>
  <c r="E7643" i="1"/>
  <c r="H7642" i="1"/>
  <c r="G7642" i="1"/>
  <c r="E7642" i="1"/>
  <c r="H7641" i="1"/>
  <c r="G7641" i="1"/>
  <c r="E7641" i="1"/>
  <c r="H7640" i="1"/>
  <c r="G7640" i="1"/>
  <c r="E7640" i="1"/>
  <c r="H7639" i="1"/>
  <c r="G7639" i="1"/>
  <c r="E7639" i="1"/>
  <c r="H7638" i="1"/>
  <c r="G7638" i="1"/>
  <c r="E7638" i="1"/>
  <c r="H7637" i="1"/>
  <c r="G7637" i="1"/>
  <c r="E7637" i="1"/>
  <c r="H7636" i="1"/>
  <c r="G7636" i="1"/>
  <c r="E7636" i="1"/>
  <c r="H7635" i="1"/>
  <c r="G7635" i="1"/>
  <c r="E7635" i="1"/>
  <c r="H7634" i="1"/>
  <c r="G7634" i="1"/>
  <c r="E7634" i="1"/>
  <c r="H7633" i="1"/>
  <c r="G7633" i="1"/>
  <c r="E7633" i="1"/>
  <c r="H7632" i="1"/>
  <c r="G7632" i="1"/>
  <c r="E7632" i="1"/>
  <c r="H7631" i="1"/>
  <c r="G7631" i="1"/>
  <c r="E7631" i="1"/>
  <c r="H7630" i="1"/>
  <c r="G7630" i="1"/>
  <c r="E7630" i="1"/>
  <c r="H7629" i="1"/>
  <c r="G7629" i="1"/>
  <c r="E7629" i="1"/>
  <c r="H7628" i="1"/>
  <c r="G7628" i="1"/>
  <c r="E7628" i="1"/>
  <c r="H7627" i="1"/>
  <c r="G7627" i="1"/>
  <c r="E7627" i="1"/>
  <c r="H7626" i="1"/>
  <c r="G7626" i="1"/>
  <c r="E7626" i="1"/>
  <c r="H7625" i="1"/>
  <c r="G7625" i="1"/>
  <c r="E7625" i="1"/>
  <c r="H7624" i="1"/>
  <c r="G7624" i="1"/>
  <c r="E7624" i="1"/>
  <c r="H7623" i="1"/>
  <c r="G7623" i="1"/>
  <c r="E7623" i="1"/>
  <c r="H7622" i="1"/>
  <c r="G7622" i="1"/>
  <c r="E7622" i="1"/>
  <c r="H7621" i="1"/>
  <c r="G7621" i="1"/>
  <c r="E7621" i="1"/>
  <c r="H7620" i="1"/>
  <c r="G7620" i="1"/>
  <c r="E7620" i="1"/>
  <c r="H7619" i="1"/>
  <c r="G7619" i="1"/>
  <c r="E7619" i="1"/>
  <c r="H7618" i="1"/>
  <c r="G7618" i="1"/>
  <c r="E7618" i="1"/>
  <c r="H7617" i="1"/>
  <c r="G7617" i="1"/>
  <c r="E7617" i="1"/>
  <c r="H7616" i="1"/>
  <c r="G7616" i="1"/>
  <c r="E7616" i="1"/>
  <c r="H7615" i="1"/>
  <c r="G7615" i="1"/>
  <c r="E7615" i="1"/>
  <c r="H7614" i="1"/>
  <c r="G7614" i="1"/>
  <c r="E7614" i="1"/>
  <c r="H7613" i="1"/>
  <c r="G7613" i="1"/>
  <c r="E7613" i="1"/>
  <c r="H7612" i="1"/>
  <c r="G7612" i="1"/>
  <c r="E7612" i="1"/>
  <c r="H7611" i="1"/>
  <c r="G7611" i="1"/>
  <c r="E7611" i="1"/>
  <c r="H7610" i="1"/>
  <c r="G7610" i="1"/>
  <c r="E7610" i="1"/>
  <c r="H7609" i="1"/>
  <c r="G7609" i="1"/>
  <c r="E7609" i="1"/>
  <c r="H7608" i="1"/>
  <c r="G7608" i="1"/>
  <c r="E7608" i="1"/>
  <c r="H7607" i="1"/>
  <c r="G7607" i="1"/>
  <c r="E7607" i="1"/>
  <c r="H7606" i="1"/>
  <c r="G7606" i="1"/>
  <c r="E7606" i="1"/>
  <c r="H7605" i="1"/>
  <c r="G7605" i="1"/>
  <c r="E7605" i="1"/>
  <c r="H7604" i="1"/>
  <c r="G7604" i="1"/>
  <c r="E7604" i="1"/>
  <c r="H7603" i="1"/>
  <c r="G7603" i="1"/>
  <c r="E7603" i="1"/>
  <c r="H7602" i="1"/>
  <c r="G7602" i="1"/>
  <c r="E7602" i="1"/>
  <c r="H7601" i="1"/>
  <c r="G7601" i="1"/>
  <c r="E7601" i="1"/>
  <c r="H7600" i="1"/>
  <c r="G7600" i="1"/>
  <c r="E7600" i="1"/>
  <c r="H7599" i="1"/>
  <c r="G7599" i="1"/>
  <c r="E7599" i="1"/>
  <c r="H7598" i="1"/>
  <c r="G7598" i="1"/>
  <c r="E7598" i="1"/>
  <c r="H7597" i="1"/>
  <c r="G7597" i="1"/>
  <c r="E7597" i="1"/>
  <c r="H7596" i="1"/>
  <c r="G7596" i="1"/>
  <c r="E7596" i="1"/>
  <c r="H7595" i="1"/>
  <c r="G7595" i="1"/>
  <c r="E7595" i="1"/>
  <c r="H7594" i="1"/>
  <c r="G7594" i="1"/>
  <c r="E7594" i="1"/>
  <c r="H7593" i="1"/>
  <c r="G7593" i="1"/>
  <c r="E7593" i="1"/>
  <c r="H7592" i="1"/>
  <c r="G7592" i="1"/>
  <c r="E7592" i="1"/>
  <c r="H7591" i="1"/>
  <c r="G7591" i="1"/>
  <c r="E7591" i="1"/>
  <c r="H7590" i="1"/>
  <c r="G7590" i="1"/>
  <c r="E7590" i="1"/>
  <c r="H7589" i="1"/>
  <c r="G7589" i="1"/>
  <c r="E7589" i="1"/>
  <c r="H7588" i="1"/>
  <c r="G7588" i="1"/>
  <c r="E7588" i="1"/>
  <c r="H7587" i="1"/>
  <c r="G7587" i="1"/>
  <c r="E7587" i="1"/>
  <c r="H7586" i="1"/>
  <c r="G7586" i="1"/>
  <c r="E7586" i="1"/>
  <c r="H7585" i="1"/>
  <c r="G7585" i="1"/>
  <c r="E7585" i="1"/>
  <c r="H7584" i="1"/>
  <c r="G7584" i="1"/>
  <c r="E7584" i="1"/>
  <c r="H7583" i="1"/>
  <c r="G7583" i="1"/>
  <c r="E7583" i="1"/>
  <c r="H7582" i="1"/>
  <c r="G7582" i="1"/>
  <c r="E7582" i="1"/>
  <c r="H7581" i="1"/>
  <c r="G7581" i="1"/>
  <c r="E7581" i="1"/>
  <c r="H7580" i="1"/>
  <c r="G7580" i="1"/>
  <c r="E7580" i="1"/>
  <c r="H7579" i="1"/>
  <c r="G7579" i="1"/>
  <c r="E7579" i="1"/>
  <c r="H7578" i="1"/>
  <c r="G7578" i="1"/>
  <c r="E7578" i="1"/>
  <c r="H7577" i="1"/>
  <c r="G7577" i="1"/>
  <c r="E7577" i="1"/>
  <c r="H7576" i="1"/>
  <c r="G7576" i="1"/>
  <c r="E7576" i="1"/>
  <c r="H7575" i="1"/>
  <c r="G7575" i="1"/>
  <c r="E7575" i="1"/>
  <c r="H7574" i="1"/>
  <c r="G7574" i="1"/>
  <c r="E7574" i="1"/>
  <c r="H7573" i="1"/>
  <c r="G7573" i="1"/>
  <c r="E7573" i="1"/>
  <c r="H7572" i="1"/>
  <c r="G7572" i="1"/>
  <c r="E7572" i="1"/>
  <c r="H7571" i="1"/>
  <c r="G7571" i="1"/>
  <c r="E7571" i="1"/>
  <c r="H7570" i="1"/>
  <c r="G7570" i="1"/>
  <c r="E7570" i="1"/>
  <c r="H7569" i="1"/>
  <c r="G7569" i="1"/>
  <c r="E7569" i="1"/>
  <c r="H7568" i="1"/>
  <c r="G7568" i="1"/>
  <c r="E7568" i="1"/>
  <c r="H7567" i="1"/>
  <c r="G7567" i="1"/>
  <c r="E7567" i="1"/>
  <c r="H7566" i="1"/>
  <c r="G7566" i="1"/>
  <c r="E7566" i="1"/>
  <c r="H7565" i="1"/>
  <c r="G7565" i="1"/>
  <c r="E7565" i="1"/>
  <c r="H7564" i="1"/>
  <c r="G7564" i="1"/>
  <c r="E7564" i="1"/>
  <c r="H7563" i="1"/>
  <c r="G7563" i="1"/>
  <c r="E7563" i="1"/>
  <c r="H7562" i="1"/>
  <c r="G7562" i="1"/>
  <c r="E7562" i="1"/>
  <c r="H7561" i="1"/>
  <c r="G7561" i="1"/>
  <c r="E7561" i="1"/>
  <c r="H7560" i="1"/>
  <c r="G7560" i="1"/>
  <c r="E7560" i="1"/>
  <c r="H7559" i="1"/>
  <c r="G7559" i="1"/>
  <c r="E7559" i="1"/>
  <c r="H7558" i="1"/>
  <c r="G7558" i="1"/>
  <c r="E7558" i="1"/>
  <c r="H7557" i="1"/>
  <c r="G7557" i="1"/>
  <c r="E7557" i="1"/>
  <c r="H7556" i="1"/>
  <c r="G7556" i="1"/>
  <c r="E7556" i="1"/>
  <c r="H7555" i="1"/>
  <c r="G7555" i="1"/>
  <c r="E7555" i="1"/>
  <c r="H7554" i="1"/>
  <c r="G7554" i="1"/>
  <c r="E7554" i="1"/>
  <c r="H7553" i="1"/>
  <c r="G7553" i="1"/>
  <c r="E7553" i="1"/>
  <c r="H7552" i="1"/>
  <c r="G7552" i="1"/>
  <c r="E7552" i="1"/>
  <c r="H7551" i="1"/>
  <c r="G7551" i="1"/>
  <c r="E7551" i="1"/>
  <c r="H7550" i="1"/>
  <c r="G7550" i="1"/>
  <c r="E7550" i="1"/>
  <c r="H7549" i="1"/>
  <c r="G7549" i="1"/>
  <c r="E7549" i="1"/>
  <c r="H7548" i="1"/>
  <c r="G7548" i="1"/>
  <c r="E7548" i="1"/>
  <c r="H7547" i="1"/>
  <c r="G7547" i="1"/>
  <c r="E7547" i="1"/>
  <c r="H7546" i="1"/>
  <c r="G7546" i="1"/>
  <c r="E7546" i="1"/>
  <c r="H7545" i="1"/>
  <c r="G7545" i="1"/>
  <c r="E7545" i="1"/>
  <c r="H7544" i="1"/>
  <c r="G7544" i="1"/>
  <c r="E7544" i="1"/>
  <c r="H7543" i="1"/>
  <c r="G7543" i="1"/>
  <c r="E7543" i="1"/>
  <c r="H7542" i="1"/>
  <c r="G7542" i="1"/>
  <c r="E7542" i="1"/>
  <c r="H7541" i="1"/>
  <c r="G7541" i="1"/>
  <c r="E7541" i="1"/>
  <c r="H7540" i="1"/>
  <c r="G7540" i="1"/>
  <c r="E7540" i="1"/>
  <c r="H7539" i="1"/>
  <c r="G7539" i="1"/>
  <c r="E7539" i="1"/>
  <c r="H7538" i="1"/>
  <c r="G7538" i="1"/>
  <c r="E7538" i="1"/>
  <c r="H7537" i="1"/>
  <c r="G7537" i="1"/>
  <c r="E7537" i="1"/>
  <c r="H7536" i="1"/>
  <c r="G7536" i="1"/>
  <c r="E7536" i="1"/>
  <c r="H7535" i="1"/>
  <c r="G7535" i="1"/>
  <c r="E7535" i="1"/>
  <c r="H7534" i="1"/>
  <c r="G7534" i="1"/>
  <c r="E7534" i="1"/>
  <c r="H7533" i="1"/>
  <c r="G7533" i="1"/>
  <c r="E7533" i="1"/>
  <c r="H7532" i="1"/>
  <c r="G7532" i="1"/>
  <c r="E7532" i="1"/>
  <c r="H7531" i="1"/>
  <c r="G7531" i="1"/>
  <c r="E7531" i="1"/>
  <c r="H7530" i="1"/>
  <c r="G7530" i="1"/>
  <c r="E7530" i="1"/>
  <c r="H7529" i="1"/>
  <c r="G7529" i="1"/>
  <c r="E7529" i="1"/>
  <c r="H7528" i="1"/>
  <c r="G7528" i="1"/>
  <c r="E7528" i="1"/>
  <c r="H7527" i="1"/>
  <c r="G7527" i="1"/>
  <c r="E7527" i="1"/>
  <c r="H7526" i="1"/>
  <c r="G7526" i="1"/>
  <c r="E7526" i="1"/>
  <c r="H7525" i="1"/>
  <c r="G7525" i="1"/>
  <c r="E7525" i="1"/>
  <c r="H7524" i="1"/>
  <c r="G7524" i="1"/>
  <c r="E7524" i="1"/>
  <c r="H7523" i="1"/>
  <c r="G7523" i="1"/>
  <c r="E7523" i="1"/>
  <c r="H7522" i="1"/>
  <c r="G7522" i="1"/>
  <c r="E7522" i="1"/>
  <c r="H7521" i="1"/>
  <c r="G7521" i="1"/>
  <c r="E7521" i="1"/>
  <c r="H7520" i="1"/>
  <c r="G7520" i="1"/>
  <c r="E7520" i="1"/>
  <c r="H7519" i="1"/>
  <c r="G7519" i="1"/>
  <c r="E7519" i="1"/>
  <c r="H7518" i="1"/>
  <c r="G7518" i="1"/>
  <c r="E7518" i="1"/>
  <c r="H7517" i="1"/>
  <c r="G7517" i="1"/>
  <c r="E7517" i="1"/>
  <c r="H7516" i="1"/>
  <c r="G7516" i="1"/>
  <c r="E7516" i="1"/>
  <c r="H7515" i="1"/>
  <c r="G7515" i="1"/>
  <c r="E7515" i="1"/>
  <c r="H7514" i="1"/>
  <c r="G7514" i="1"/>
  <c r="E7514" i="1"/>
  <c r="H7513" i="1"/>
  <c r="G7513" i="1"/>
  <c r="E7513" i="1"/>
  <c r="H7512" i="1"/>
  <c r="G7512" i="1"/>
  <c r="E7512" i="1"/>
  <c r="H7511" i="1"/>
  <c r="G7511" i="1"/>
  <c r="E7511" i="1"/>
  <c r="H7510" i="1"/>
  <c r="G7510" i="1"/>
  <c r="E7510" i="1"/>
  <c r="H7509" i="1"/>
  <c r="G7509" i="1"/>
  <c r="E7509" i="1"/>
  <c r="H7508" i="1"/>
  <c r="G7508" i="1"/>
  <c r="E7508" i="1"/>
  <c r="H7507" i="1"/>
  <c r="G7507" i="1"/>
  <c r="E7507" i="1"/>
  <c r="H7506" i="1"/>
  <c r="G7506" i="1"/>
  <c r="E7506" i="1"/>
  <c r="H7505" i="1"/>
  <c r="G7505" i="1"/>
  <c r="E7505" i="1"/>
  <c r="H7504" i="1"/>
  <c r="G7504" i="1"/>
  <c r="E7504" i="1"/>
  <c r="H7503" i="1"/>
  <c r="G7503" i="1"/>
  <c r="E7503" i="1"/>
  <c r="H7502" i="1"/>
  <c r="G7502" i="1"/>
  <c r="E7502" i="1"/>
  <c r="H7501" i="1"/>
  <c r="G7501" i="1"/>
  <c r="E7501" i="1"/>
  <c r="H7500" i="1"/>
  <c r="G7500" i="1"/>
  <c r="E7500" i="1"/>
  <c r="H7499" i="1"/>
  <c r="G7499" i="1"/>
  <c r="E7499" i="1"/>
  <c r="H7498" i="1"/>
  <c r="G7498" i="1"/>
  <c r="E7498" i="1"/>
  <c r="H7497" i="1"/>
  <c r="G7497" i="1"/>
  <c r="E7497" i="1"/>
  <c r="H7496" i="1"/>
  <c r="G7496" i="1"/>
  <c r="E7496" i="1"/>
  <c r="H7495" i="1"/>
  <c r="G7495" i="1"/>
  <c r="E7495" i="1"/>
  <c r="H7494" i="1"/>
  <c r="G7494" i="1"/>
  <c r="E7494" i="1"/>
  <c r="H7493" i="1"/>
  <c r="G7493" i="1"/>
  <c r="E7493" i="1"/>
  <c r="H7492" i="1"/>
  <c r="G7492" i="1"/>
  <c r="E7492" i="1"/>
  <c r="H7491" i="1"/>
  <c r="G7491" i="1"/>
  <c r="E7491" i="1"/>
  <c r="H7490" i="1"/>
  <c r="G7490" i="1"/>
  <c r="E7490" i="1"/>
  <c r="H7489" i="1"/>
  <c r="G7489" i="1"/>
  <c r="E7489" i="1"/>
  <c r="H7488" i="1"/>
  <c r="G7488" i="1"/>
  <c r="E7488" i="1"/>
  <c r="H7487" i="1"/>
  <c r="G7487" i="1"/>
  <c r="E7487" i="1"/>
  <c r="H7486" i="1"/>
  <c r="G7486" i="1"/>
  <c r="E7486" i="1"/>
  <c r="H7485" i="1"/>
  <c r="G7485" i="1"/>
  <c r="E7485" i="1"/>
  <c r="H7484" i="1"/>
  <c r="G7484" i="1"/>
  <c r="E7484" i="1"/>
  <c r="H7483" i="1"/>
  <c r="G7483" i="1"/>
  <c r="E7483" i="1"/>
  <c r="H7482" i="1"/>
  <c r="G7482" i="1"/>
  <c r="E7482" i="1"/>
  <c r="H7481" i="1"/>
  <c r="G7481" i="1"/>
  <c r="E7481" i="1"/>
  <c r="H7480" i="1"/>
  <c r="G7480" i="1"/>
  <c r="E7480" i="1"/>
  <c r="H7479" i="1"/>
  <c r="G7479" i="1"/>
  <c r="E7479" i="1"/>
  <c r="H7478" i="1"/>
  <c r="G7478" i="1"/>
  <c r="E7478" i="1"/>
  <c r="H7477" i="1"/>
  <c r="G7477" i="1"/>
  <c r="E7477" i="1"/>
  <c r="H7476" i="1"/>
  <c r="G7476" i="1"/>
  <c r="E7476" i="1"/>
  <c r="H7475" i="1"/>
  <c r="G7475" i="1"/>
  <c r="E7475" i="1"/>
  <c r="H7474" i="1"/>
  <c r="G7474" i="1"/>
  <c r="E7474" i="1"/>
  <c r="H7473" i="1"/>
  <c r="G7473" i="1"/>
  <c r="E7473" i="1"/>
  <c r="H7472" i="1"/>
  <c r="G7472" i="1"/>
  <c r="E7472" i="1"/>
  <c r="H7471" i="1"/>
  <c r="G7471" i="1"/>
  <c r="E7471" i="1"/>
  <c r="H7470" i="1"/>
  <c r="G7470" i="1"/>
  <c r="E7470" i="1"/>
  <c r="H7469" i="1"/>
  <c r="G7469" i="1"/>
  <c r="E7469" i="1"/>
  <c r="H7468" i="1"/>
  <c r="G7468" i="1"/>
  <c r="E7468" i="1"/>
  <c r="H7467" i="1"/>
  <c r="G7467" i="1"/>
  <c r="E7467" i="1"/>
  <c r="H7466" i="1"/>
  <c r="G7466" i="1"/>
  <c r="E7466" i="1"/>
  <c r="H7465" i="1"/>
  <c r="G7465" i="1"/>
  <c r="E7465" i="1"/>
  <c r="H7464" i="1"/>
  <c r="G7464" i="1"/>
  <c r="E7464" i="1"/>
  <c r="H7463" i="1"/>
  <c r="G7463" i="1"/>
  <c r="E7463" i="1"/>
  <c r="H7462" i="1"/>
  <c r="G7462" i="1"/>
  <c r="E7462" i="1"/>
  <c r="H7461" i="1"/>
  <c r="G7461" i="1"/>
  <c r="E7461" i="1"/>
  <c r="H7460" i="1"/>
  <c r="G7460" i="1"/>
  <c r="E7460" i="1"/>
  <c r="H7459" i="1"/>
  <c r="G7459" i="1"/>
  <c r="E7459" i="1"/>
  <c r="H7458" i="1"/>
  <c r="G7458" i="1"/>
  <c r="E7458" i="1"/>
  <c r="H7457" i="1"/>
  <c r="G7457" i="1"/>
  <c r="E7457" i="1"/>
  <c r="H7456" i="1"/>
  <c r="G7456" i="1"/>
  <c r="E7456" i="1"/>
  <c r="H7455" i="1"/>
  <c r="G7455" i="1"/>
  <c r="E7455" i="1"/>
  <c r="H7454" i="1"/>
  <c r="G7454" i="1"/>
  <c r="E7454" i="1"/>
  <c r="H7453" i="1"/>
  <c r="G7453" i="1"/>
  <c r="E7453" i="1"/>
  <c r="H7452" i="1"/>
  <c r="G7452" i="1"/>
  <c r="E7452" i="1"/>
  <c r="H7451" i="1"/>
  <c r="G7451" i="1"/>
  <c r="E7451" i="1"/>
  <c r="H7450" i="1"/>
  <c r="G7450" i="1"/>
  <c r="E7450" i="1"/>
  <c r="H7449" i="1"/>
  <c r="G7449" i="1"/>
  <c r="E7449" i="1"/>
  <c r="H7448" i="1"/>
  <c r="G7448" i="1"/>
  <c r="E7448" i="1"/>
  <c r="H7447" i="1"/>
  <c r="G7447" i="1"/>
  <c r="E7447" i="1"/>
  <c r="H7446" i="1"/>
  <c r="G7446" i="1"/>
  <c r="E7446" i="1"/>
  <c r="H7445" i="1"/>
  <c r="G7445" i="1"/>
  <c r="E7445" i="1"/>
  <c r="H7444" i="1"/>
  <c r="G7444" i="1"/>
  <c r="E7444" i="1"/>
  <c r="H7443" i="1"/>
  <c r="G7443" i="1"/>
  <c r="E7443" i="1"/>
  <c r="H7442" i="1"/>
  <c r="G7442" i="1"/>
  <c r="E7442" i="1"/>
  <c r="H7441" i="1"/>
  <c r="G7441" i="1"/>
  <c r="E7441" i="1"/>
  <c r="H7440" i="1"/>
  <c r="G7440" i="1"/>
  <c r="E7440" i="1"/>
  <c r="H7439" i="1"/>
  <c r="G7439" i="1"/>
  <c r="E7439" i="1"/>
  <c r="H7438" i="1"/>
  <c r="G7438" i="1"/>
  <c r="E7438" i="1"/>
  <c r="H7437" i="1"/>
  <c r="G7437" i="1"/>
  <c r="E7437" i="1"/>
  <c r="H7436" i="1"/>
  <c r="G7436" i="1"/>
  <c r="E7436" i="1"/>
  <c r="H7435" i="1"/>
  <c r="G7435" i="1"/>
  <c r="E7435" i="1"/>
  <c r="H7434" i="1"/>
  <c r="G7434" i="1"/>
  <c r="E7434" i="1"/>
  <c r="H7433" i="1"/>
  <c r="G7433" i="1"/>
  <c r="E7433" i="1"/>
  <c r="H7432" i="1"/>
  <c r="G7432" i="1"/>
  <c r="E7432" i="1"/>
  <c r="H7431" i="1"/>
  <c r="G7431" i="1"/>
  <c r="E7431" i="1"/>
  <c r="H7430" i="1"/>
  <c r="G7430" i="1"/>
  <c r="E7430" i="1"/>
  <c r="H7429" i="1"/>
  <c r="G7429" i="1"/>
  <c r="E7429" i="1"/>
  <c r="H7428" i="1"/>
  <c r="G7428" i="1"/>
  <c r="E7428" i="1"/>
  <c r="H7427" i="1"/>
  <c r="G7427" i="1"/>
  <c r="E7427" i="1"/>
  <c r="H7426" i="1"/>
  <c r="G7426" i="1"/>
  <c r="E7426" i="1"/>
  <c r="H7425" i="1"/>
  <c r="G7425" i="1"/>
  <c r="E7425" i="1"/>
  <c r="H7424" i="1"/>
  <c r="G7424" i="1"/>
  <c r="E7424" i="1"/>
  <c r="H7423" i="1"/>
  <c r="G7423" i="1"/>
  <c r="E7423" i="1"/>
  <c r="H7422" i="1"/>
  <c r="G7422" i="1"/>
  <c r="E7422" i="1"/>
  <c r="H7421" i="1"/>
  <c r="G7421" i="1"/>
  <c r="E7421" i="1"/>
  <c r="H7420" i="1"/>
  <c r="G7420" i="1"/>
  <c r="E7420" i="1"/>
  <c r="H7419" i="1"/>
  <c r="G7419" i="1"/>
  <c r="E7419" i="1"/>
  <c r="H7418" i="1"/>
  <c r="G7418" i="1"/>
  <c r="E7418" i="1"/>
  <c r="H7417" i="1"/>
  <c r="G7417" i="1"/>
  <c r="E7417" i="1"/>
  <c r="H7416" i="1"/>
  <c r="G7416" i="1"/>
  <c r="E7416" i="1"/>
  <c r="H7415" i="1"/>
  <c r="G7415" i="1"/>
  <c r="E7415" i="1"/>
  <c r="H7414" i="1"/>
  <c r="G7414" i="1"/>
  <c r="E7414" i="1"/>
  <c r="H7413" i="1"/>
  <c r="G7413" i="1"/>
  <c r="E7413" i="1"/>
  <c r="H7412" i="1"/>
  <c r="G7412" i="1"/>
  <c r="E7412" i="1"/>
  <c r="H7411" i="1"/>
  <c r="G7411" i="1"/>
  <c r="E7411" i="1"/>
  <c r="H7410" i="1"/>
  <c r="G7410" i="1"/>
  <c r="E7410" i="1"/>
  <c r="H7409" i="1"/>
  <c r="G7409" i="1"/>
  <c r="E7409" i="1"/>
  <c r="H7408" i="1"/>
  <c r="G7408" i="1"/>
  <c r="E7408" i="1"/>
  <c r="H7407" i="1"/>
  <c r="G7407" i="1"/>
  <c r="E7407" i="1"/>
  <c r="H7406" i="1"/>
  <c r="G7406" i="1"/>
  <c r="E7406" i="1"/>
  <c r="H7405" i="1"/>
  <c r="G7405" i="1"/>
  <c r="E7405" i="1"/>
  <c r="H7404" i="1"/>
  <c r="G7404" i="1"/>
  <c r="E7404" i="1"/>
  <c r="H7403" i="1"/>
  <c r="G7403" i="1"/>
  <c r="E7403" i="1"/>
  <c r="H7402" i="1"/>
  <c r="G7402" i="1"/>
  <c r="E7402" i="1"/>
  <c r="H7401" i="1"/>
  <c r="G7401" i="1"/>
  <c r="E7401" i="1"/>
  <c r="H7400" i="1"/>
  <c r="G7400" i="1"/>
  <c r="E7400" i="1"/>
  <c r="H7399" i="1"/>
  <c r="G7399" i="1"/>
  <c r="E7399" i="1"/>
  <c r="H7398" i="1"/>
  <c r="G7398" i="1"/>
  <c r="E7398" i="1"/>
  <c r="H7397" i="1"/>
  <c r="G7397" i="1"/>
  <c r="E7397" i="1"/>
  <c r="H7396" i="1"/>
  <c r="G7396" i="1"/>
  <c r="E7396" i="1"/>
  <c r="H7395" i="1"/>
  <c r="G7395" i="1"/>
  <c r="E7395" i="1"/>
  <c r="H7394" i="1"/>
  <c r="G7394" i="1"/>
  <c r="E7394" i="1"/>
  <c r="H7393" i="1"/>
  <c r="G7393" i="1"/>
  <c r="E7393" i="1"/>
  <c r="H7392" i="1"/>
  <c r="G7392" i="1"/>
  <c r="E7392" i="1"/>
  <c r="H7391" i="1"/>
  <c r="G7391" i="1"/>
  <c r="E7391" i="1"/>
  <c r="H7390" i="1"/>
  <c r="G7390" i="1"/>
  <c r="E7390" i="1"/>
  <c r="H7389" i="1"/>
  <c r="G7389" i="1"/>
  <c r="E7389" i="1"/>
  <c r="H7388" i="1"/>
  <c r="G7388" i="1"/>
  <c r="E7388" i="1"/>
  <c r="H7387" i="1"/>
  <c r="G7387" i="1"/>
  <c r="E7387" i="1"/>
  <c r="H7386" i="1"/>
  <c r="G7386" i="1"/>
  <c r="E7386" i="1"/>
  <c r="H7385" i="1"/>
  <c r="G7385" i="1"/>
  <c r="E7385" i="1"/>
  <c r="H7384" i="1"/>
  <c r="G7384" i="1"/>
  <c r="E7384" i="1"/>
  <c r="H7383" i="1"/>
  <c r="G7383" i="1"/>
  <c r="E7383" i="1"/>
  <c r="H7382" i="1"/>
  <c r="G7382" i="1"/>
  <c r="E7382" i="1"/>
  <c r="H7381" i="1"/>
  <c r="G7381" i="1"/>
  <c r="E7381" i="1"/>
  <c r="H7380" i="1"/>
  <c r="G7380" i="1"/>
  <c r="E7380" i="1"/>
  <c r="H7379" i="1"/>
  <c r="G7379" i="1"/>
  <c r="E7379" i="1"/>
  <c r="H7378" i="1"/>
  <c r="G7378" i="1"/>
  <c r="E7378" i="1"/>
  <c r="H7377" i="1"/>
  <c r="G7377" i="1"/>
  <c r="E7377" i="1"/>
  <c r="H7376" i="1"/>
  <c r="G7376" i="1"/>
  <c r="E7376" i="1"/>
  <c r="H7375" i="1"/>
  <c r="G7375" i="1"/>
  <c r="E7375" i="1"/>
  <c r="H7374" i="1"/>
  <c r="G7374" i="1"/>
  <c r="E7374" i="1"/>
  <c r="H7373" i="1"/>
  <c r="G7373" i="1"/>
  <c r="E7373" i="1"/>
  <c r="H7372" i="1"/>
  <c r="G7372" i="1"/>
  <c r="E7372" i="1"/>
  <c r="H7371" i="1"/>
  <c r="G7371" i="1"/>
  <c r="E7371" i="1"/>
  <c r="H7370" i="1"/>
  <c r="G7370" i="1"/>
  <c r="E7370" i="1"/>
  <c r="H7369" i="1"/>
  <c r="G7369" i="1"/>
  <c r="E7369" i="1"/>
  <c r="H7368" i="1"/>
  <c r="G7368" i="1"/>
  <c r="E7368" i="1"/>
  <c r="H7367" i="1"/>
  <c r="G7367" i="1"/>
  <c r="E7367" i="1"/>
  <c r="H7366" i="1"/>
  <c r="G7366" i="1"/>
  <c r="E7366" i="1"/>
  <c r="H7365" i="1"/>
  <c r="G7365" i="1"/>
  <c r="E7365" i="1"/>
  <c r="H7364" i="1"/>
  <c r="G7364" i="1"/>
  <c r="E7364" i="1"/>
  <c r="H7363" i="1"/>
  <c r="G7363" i="1"/>
  <c r="E7363" i="1"/>
  <c r="H7362" i="1"/>
  <c r="G7362" i="1"/>
  <c r="E7362" i="1"/>
  <c r="H7361" i="1"/>
  <c r="G7361" i="1"/>
  <c r="E7361" i="1"/>
  <c r="H7360" i="1"/>
  <c r="G7360" i="1"/>
  <c r="E7360" i="1"/>
  <c r="H7359" i="1"/>
  <c r="G7359" i="1"/>
  <c r="E7359" i="1"/>
  <c r="H7358" i="1"/>
  <c r="G7358" i="1"/>
  <c r="E7358" i="1"/>
  <c r="H7357" i="1"/>
  <c r="G7357" i="1"/>
  <c r="E7357" i="1"/>
  <c r="H7356" i="1"/>
  <c r="G7356" i="1"/>
  <c r="E7356" i="1"/>
  <c r="H7355" i="1"/>
  <c r="G7355" i="1"/>
  <c r="E7355" i="1"/>
  <c r="H7354" i="1"/>
  <c r="G7354" i="1"/>
  <c r="E7354" i="1"/>
  <c r="H7353" i="1"/>
  <c r="G7353" i="1"/>
  <c r="E7353" i="1"/>
  <c r="H7352" i="1"/>
  <c r="G7352" i="1"/>
  <c r="E7352" i="1"/>
  <c r="H7351" i="1"/>
  <c r="G7351" i="1"/>
  <c r="E7351" i="1"/>
  <c r="H7350" i="1"/>
  <c r="G7350" i="1"/>
  <c r="E7350" i="1"/>
  <c r="H7349" i="1"/>
  <c r="G7349" i="1"/>
  <c r="E7349" i="1"/>
  <c r="H7348" i="1"/>
  <c r="G7348" i="1"/>
  <c r="E7348" i="1"/>
  <c r="H7347" i="1"/>
  <c r="G7347" i="1"/>
  <c r="E7347" i="1"/>
  <c r="H7346" i="1"/>
  <c r="G7346" i="1"/>
  <c r="E7346" i="1"/>
  <c r="H7345" i="1"/>
  <c r="G7345" i="1"/>
  <c r="E7345" i="1"/>
  <c r="H7344" i="1"/>
  <c r="G7344" i="1"/>
  <c r="E7344" i="1"/>
  <c r="H7343" i="1"/>
  <c r="G7343" i="1"/>
  <c r="E7343" i="1"/>
  <c r="H7342" i="1"/>
  <c r="G7342" i="1"/>
  <c r="E7342" i="1"/>
  <c r="H7341" i="1"/>
  <c r="G7341" i="1"/>
  <c r="E7341" i="1"/>
  <c r="H7340" i="1"/>
  <c r="G7340" i="1"/>
  <c r="E7340" i="1"/>
  <c r="H7339" i="1"/>
  <c r="G7339" i="1"/>
  <c r="E7339" i="1"/>
  <c r="H7338" i="1"/>
  <c r="G7338" i="1"/>
  <c r="E7338" i="1"/>
  <c r="H7337" i="1"/>
  <c r="G7337" i="1"/>
  <c r="E7337" i="1"/>
  <c r="H7336" i="1"/>
  <c r="G7336" i="1"/>
  <c r="E7336" i="1"/>
  <c r="H7335" i="1"/>
  <c r="G7335" i="1"/>
  <c r="E7335" i="1"/>
  <c r="H7334" i="1"/>
  <c r="G7334" i="1"/>
  <c r="E7334" i="1"/>
  <c r="H7333" i="1"/>
  <c r="G7333" i="1"/>
  <c r="E7333" i="1"/>
  <c r="H7332" i="1"/>
  <c r="G7332" i="1"/>
  <c r="E7332" i="1"/>
  <c r="H7331" i="1"/>
  <c r="G7331" i="1"/>
  <c r="E7331" i="1"/>
  <c r="H7330" i="1"/>
  <c r="G7330" i="1"/>
  <c r="E7330" i="1"/>
  <c r="H7329" i="1"/>
  <c r="G7329" i="1"/>
  <c r="E7329" i="1"/>
  <c r="H7328" i="1"/>
  <c r="G7328" i="1"/>
  <c r="E7328" i="1"/>
  <c r="H7327" i="1"/>
  <c r="G7327" i="1"/>
  <c r="E7327" i="1"/>
  <c r="H7326" i="1"/>
  <c r="G7326" i="1"/>
  <c r="E7326" i="1"/>
  <c r="H7325" i="1"/>
  <c r="G7325" i="1"/>
  <c r="E7325" i="1"/>
  <c r="H7324" i="1"/>
  <c r="G7324" i="1"/>
  <c r="E7324" i="1"/>
  <c r="H7323" i="1"/>
  <c r="G7323" i="1"/>
  <c r="E7323" i="1"/>
  <c r="H7322" i="1"/>
  <c r="G7322" i="1"/>
  <c r="E7322" i="1"/>
  <c r="H7321" i="1"/>
  <c r="G7321" i="1"/>
  <c r="E7321" i="1"/>
  <c r="H7320" i="1"/>
  <c r="G7320" i="1"/>
  <c r="E7320" i="1"/>
  <c r="H7319" i="1"/>
  <c r="G7319" i="1"/>
  <c r="E7319" i="1"/>
  <c r="H7318" i="1"/>
  <c r="G7318" i="1"/>
  <c r="E7318" i="1"/>
  <c r="H7317" i="1"/>
  <c r="G7317" i="1"/>
  <c r="E7317" i="1"/>
  <c r="H7316" i="1"/>
  <c r="G7316" i="1"/>
  <c r="E7316" i="1"/>
  <c r="H7315" i="1"/>
  <c r="G7315" i="1"/>
  <c r="E7315" i="1"/>
  <c r="H7314" i="1"/>
  <c r="G7314" i="1"/>
  <c r="E7314" i="1"/>
  <c r="H7313" i="1"/>
  <c r="G7313" i="1"/>
  <c r="E7313" i="1"/>
  <c r="H7312" i="1"/>
  <c r="G7312" i="1"/>
  <c r="E7312" i="1"/>
  <c r="H7311" i="1"/>
  <c r="G7311" i="1"/>
  <c r="E7311" i="1"/>
  <c r="H7310" i="1"/>
  <c r="G7310" i="1"/>
  <c r="E7310" i="1"/>
  <c r="H7309" i="1"/>
  <c r="G7309" i="1"/>
  <c r="E7309" i="1"/>
  <c r="H7308" i="1"/>
  <c r="G7308" i="1"/>
  <c r="E7308" i="1"/>
  <c r="H7307" i="1"/>
  <c r="G7307" i="1"/>
  <c r="E7307" i="1"/>
  <c r="H7306" i="1"/>
  <c r="G7306" i="1"/>
  <c r="E7306" i="1"/>
  <c r="H7305" i="1"/>
  <c r="G7305" i="1"/>
  <c r="E7305" i="1"/>
  <c r="H7304" i="1"/>
  <c r="G7304" i="1"/>
  <c r="E7304" i="1"/>
  <c r="H7303" i="1"/>
  <c r="G7303" i="1"/>
  <c r="E7303" i="1"/>
  <c r="H7302" i="1"/>
  <c r="G7302" i="1"/>
  <c r="E7302" i="1"/>
  <c r="H7301" i="1"/>
  <c r="G7301" i="1"/>
  <c r="E7301" i="1"/>
  <c r="H7300" i="1"/>
  <c r="G7300" i="1"/>
  <c r="E7300" i="1"/>
  <c r="H7299" i="1"/>
  <c r="G7299" i="1"/>
  <c r="E7299" i="1"/>
  <c r="H7298" i="1"/>
  <c r="G7298" i="1"/>
  <c r="E7298" i="1"/>
  <c r="H7297" i="1"/>
  <c r="G7297" i="1"/>
  <c r="E7297" i="1"/>
  <c r="H7296" i="1"/>
  <c r="G7296" i="1"/>
  <c r="E7296" i="1"/>
  <c r="H7295" i="1"/>
  <c r="G7295" i="1"/>
  <c r="E7295" i="1"/>
  <c r="H7294" i="1"/>
  <c r="G7294" i="1"/>
  <c r="E7294" i="1"/>
  <c r="H7293" i="1"/>
  <c r="G7293" i="1"/>
  <c r="E7293" i="1"/>
  <c r="H7292" i="1"/>
  <c r="G7292" i="1"/>
  <c r="E7292" i="1"/>
  <c r="H7291" i="1"/>
  <c r="G7291" i="1"/>
  <c r="E7291" i="1"/>
  <c r="H7290" i="1"/>
  <c r="G7290" i="1"/>
  <c r="E7290" i="1"/>
  <c r="H7289" i="1"/>
  <c r="G7289" i="1"/>
  <c r="E7289" i="1"/>
  <c r="H7288" i="1"/>
  <c r="G7288" i="1"/>
  <c r="E7288" i="1"/>
  <c r="H7287" i="1"/>
  <c r="G7287" i="1"/>
  <c r="E7287" i="1"/>
  <c r="H7286" i="1"/>
  <c r="G7286" i="1"/>
  <c r="E7286" i="1"/>
  <c r="H7285" i="1"/>
  <c r="G7285" i="1"/>
  <c r="E7285" i="1"/>
  <c r="H7284" i="1"/>
  <c r="G7284" i="1"/>
  <c r="E7284" i="1"/>
  <c r="H7283" i="1"/>
  <c r="G7283" i="1"/>
  <c r="E7283" i="1"/>
  <c r="H7282" i="1"/>
  <c r="G7282" i="1"/>
  <c r="E7282" i="1"/>
  <c r="H7281" i="1"/>
  <c r="G7281" i="1"/>
  <c r="E7281" i="1"/>
  <c r="H7280" i="1"/>
  <c r="G7280" i="1"/>
  <c r="E7280" i="1"/>
  <c r="H7279" i="1"/>
  <c r="G7279" i="1"/>
  <c r="E7279" i="1"/>
  <c r="H7278" i="1"/>
  <c r="G7278" i="1"/>
  <c r="E7278" i="1"/>
  <c r="H7277" i="1"/>
  <c r="G7277" i="1"/>
  <c r="E7277" i="1"/>
  <c r="H7276" i="1"/>
  <c r="G7276" i="1"/>
  <c r="E7276" i="1"/>
  <c r="H7275" i="1"/>
  <c r="G7275" i="1"/>
  <c r="E7275" i="1"/>
  <c r="H7274" i="1"/>
  <c r="G7274" i="1"/>
  <c r="E7274" i="1"/>
  <c r="H7273" i="1"/>
  <c r="G7273" i="1"/>
  <c r="E7273" i="1"/>
  <c r="H7272" i="1"/>
  <c r="G7272" i="1"/>
  <c r="E7272" i="1"/>
  <c r="H7271" i="1"/>
  <c r="G7271" i="1"/>
  <c r="E7271" i="1"/>
  <c r="H7270" i="1"/>
  <c r="G7270" i="1"/>
  <c r="E7270" i="1"/>
  <c r="H7269" i="1"/>
  <c r="G7269" i="1"/>
  <c r="E7269" i="1"/>
  <c r="H7268" i="1"/>
  <c r="G7268" i="1"/>
  <c r="E7268" i="1"/>
  <c r="H7267" i="1"/>
  <c r="G7267" i="1"/>
  <c r="E7267" i="1"/>
  <c r="H7266" i="1"/>
  <c r="G7266" i="1"/>
  <c r="E7266" i="1"/>
  <c r="H7265" i="1"/>
  <c r="G7265" i="1"/>
  <c r="E7265" i="1"/>
  <c r="H7264" i="1"/>
  <c r="G7264" i="1"/>
  <c r="E7264" i="1"/>
  <c r="H7263" i="1"/>
  <c r="G7263" i="1"/>
  <c r="E7263" i="1"/>
  <c r="H7262" i="1"/>
  <c r="G7262" i="1"/>
  <c r="E7262" i="1"/>
  <c r="H7261" i="1"/>
  <c r="G7261" i="1"/>
  <c r="E7261" i="1"/>
  <c r="H7260" i="1"/>
  <c r="G7260" i="1"/>
  <c r="E7260" i="1"/>
  <c r="H7259" i="1"/>
  <c r="G7259" i="1"/>
  <c r="E7259" i="1"/>
  <c r="H7258" i="1"/>
  <c r="G7258" i="1"/>
  <c r="E7258" i="1"/>
  <c r="H7257" i="1"/>
  <c r="G7257" i="1"/>
  <c r="E7257" i="1"/>
  <c r="H7256" i="1"/>
  <c r="G7256" i="1"/>
  <c r="E7256" i="1"/>
  <c r="H7255" i="1"/>
  <c r="G7255" i="1"/>
  <c r="E7255" i="1"/>
  <c r="H7254" i="1"/>
  <c r="G7254" i="1"/>
  <c r="E7254" i="1"/>
  <c r="H7253" i="1"/>
  <c r="G7253" i="1"/>
  <c r="E7253" i="1"/>
  <c r="H7252" i="1"/>
  <c r="G7252" i="1"/>
  <c r="E7252" i="1"/>
  <c r="H7251" i="1"/>
  <c r="G7251" i="1"/>
  <c r="E7251" i="1"/>
  <c r="H7250" i="1"/>
  <c r="G7250" i="1"/>
  <c r="E7250" i="1"/>
  <c r="H7249" i="1"/>
  <c r="G7249" i="1"/>
  <c r="E7249" i="1"/>
  <c r="H7248" i="1"/>
  <c r="G7248" i="1"/>
  <c r="E7248" i="1"/>
  <c r="H7247" i="1"/>
  <c r="G7247" i="1"/>
  <c r="E7247" i="1"/>
  <c r="H7246" i="1"/>
  <c r="G7246" i="1"/>
  <c r="E7246" i="1"/>
  <c r="H7245" i="1"/>
  <c r="G7245" i="1"/>
  <c r="E7245" i="1"/>
  <c r="H7244" i="1"/>
  <c r="G7244" i="1"/>
  <c r="E7244" i="1"/>
  <c r="H7243" i="1"/>
  <c r="G7243" i="1"/>
  <c r="E7243" i="1"/>
  <c r="H7242" i="1"/>
  <c r="G7242" i="1"/>
  <c r="E7242" i="1"/>
  <c r="H7241" i="1"/>
  <c r="G7241" i="1"/>
  <c r="E7241" i="1"/>
  <c r="H7240" i="1"/>
  <c r="G7240" i="1"/>
  <c r="E7240" i="1"/>
  <c r="H7239" i="1"/>
  <c r="G7239" i="1"/>
  <c r="E7239" i="1"/>
  <c r="H7238" i="1"/>
  <c r="G7238" i="1"/>
  <c r="E7238" i="1"/>
  <c r="H7237" i="1"/>
  <c r="G7237" i="1"/>
  <c r="E7237" i="1"/>
  <c r="H7236" i="1"/>
  <c r="G7236" i="1"/>
  <c r="E7236" i="1"/>
  <c r="H7235" i="1"/>
  <c r="G7235" i="1"/>
  <c r="E7235" i="1"/>
  <c r="H7234" i="1"/>
  <c r="G7234" i="1"/>
  <c r="E7234" i="1"/>
  <c r="H7233" i="1"/>
  <c r="G7233" i="1"/>
  <c r="E7233" i="1"/>
  <c r="H7232" i="1"/>
  <c r="G7232" i="1"/>
  <c r="E7232" i="1"/>
  <c r="H7231" i="1"/>
  <c r="G7231" i="1"/>
  <c r="E7231" i="1"/>
  <c r="H7230" i="1"/>
  <c r="G7230" i="1"/>
  <c r="E7230" i="1"/>
  <c r="H7229" i="1"/>
  <c r="G7229" i="1"/>
  <c r="E7229" i="1"/>
  <c r="H7228" i="1"/>
  <c r="G7228" i="1"/>
  <c r="E7228" i="1"/>
  <c r="H7227" i="1"/>
  <c r="G7227" i="1"/>
  <c r="E7227" i="1"/>
  <c r="H7226" i="1"/>
  <c r="G7226" i="1"/>
  <c r="E7226" i="1"/>
  <c r="H7225" i="1"/>
  <c r="G7225" i="1"/>
  <c r="E7225" i="1"/>
  <c r="H7224" i="1"/>
  <c r="G7224" i="1"/>
  <c r="E7224" i="1"/>
  <c r="H7223" i="1"/>
  <c r="G7223" i="1"/>
  <c r="E7223" i="1"/>
  <c r="H7222" i="1"/>
  <c r="G7222" i="1"/>
  <c r="E7222" i="1"/>
  <c r="H7221" i="1"/>
  <c r="G7221" i="1"/>
  <c r="E7221" i="1"/>
  <c r="H7220" i="1"/>
  <c r="G7220" i="1"/>
  <c r="E7220" i="1"/>
  <c r="H7219" i="1"/>
  <c r="G7219" i="1"/>
  <c r="E7219" i="1"/>
  <c r="H7218" i="1"/>
  <c r="G7218" i="1"/>
  <c r="E7218" i="1"/>
  <c r="H7217" i="1"/>
  <c r="G7217" i="1"/>
  <c r="E7217" i="1"/>
  <c r="H7216" i="1"/>
  <c r="G7216" i="1"/>
  <c r="E7216" i="1"/>
  <c r="H7215" i="1"/>
  <c r="G7215" i="1"/>
  <c r="E7215" i="1"/>
  <c r="H7214" i="1"/>
  <c r="G7214" i="1"/>
  <c r="E7214" i="1"/>
  <c r="H7213" i="1"/>
  <c r="G7213" i="1"/>
  <c r="E7213" i="1"/>
  <c r="H7212" i="1"/>
  <c r="G7212" i="1"/>
  <c r="E7212" i="1"/>
  <c r="H7211" i="1"/>
  <c r="G7211" i="1"/>
  <c r="E7211" i="1"/>
  <c r="H7210" i="1"/>
  <c r="G7210" i="1"/>
  <c r="E7210" i="1"/>
  <c r="H7209" i="1"/>
  <c r="G7209" i="1"/>
  <c r="E7209" i="1"/>
  <c r="H7208" i="1"/>
  <c r="G7208" i="1"/>
  <c r="E7208" i="1"/>
  <c r="H7207" i="1"/>
  <c r="G7207" i="1"/>
  <c r="E7207" i="1"/>
  <c r="H7206" i="1"/>
  <c r="G7206" i="1"/>
  <c r="E7206" i="1"/>
  <c r="H7205" i="1"/>
  <c r="G7205" i="1"/>
  <c r="E7205" i="1"/>
  <c r="H7204" i="1"/>
  <c r="G7204" i="1"/>
  <c r="E7204" i="1"/>
  <c r="H7203" i="1"/>
  <c r="G7203" i="1"/>
  <c r="E7203" i="1"/>
  <c r="H7202" i="1"/>
  <c r="G7202" i="1"/>
  <c r="E7202" i="1"/>
  <c r="H7201" i="1"/>
  <c r="G7201" i="1"/>
  <c r="E7201" i="1"/>
  <c r="H7200" i="1"/>
  <c r="G7200" i="1"/>
  <c r="E7200" i="1"/>
  <c r="H7199" i="1"/>
  <c r="G7199" i="1"/>
  <c r="E7199" i="1"/>
  <c r="H7198" i="1"/>
  <c r="G7198" i="1"/>
  <c r="E7198" i="1"/>
  <c r="H7197" i="1"/>
  <c r="G7197" i="1"/>
  <c r="E7197" i="1"/>
  <c r="H7196" i="1"/>
  <c r="G7196" i="1"/>
  <c r="E7196" i="1"/>
  <c r="H7195" i="1"/>
  <c r="G7195" i="1"/>
  <c r="E7195" i="1"/>
  <c r="H7194" i="1"/>
  <c r="G7194" i="1"/>
  <c r="E7194" i="1"/>
  <c r="H7193" i="1"/>
  <c r="G7193" i="1"/>
  <c r="E7193" i="1"/>
  <c r="H7192" i="1"/>
  <c r="G7192" i="1"/>
  <c r="E7192" i="1"/>
  <c r="H7191" i="1"/>
  <c r="G7191" i="1"/>
  <c r="E7191" i="1"/>
  <c r="H7190" i="1"/>
  <c r="G7190" i="1"/>
  <c r="E7190" i="1"/>
  <c r="H7189" i="1"/>
  <c r="G7189" i="1"/>
  <c r="E7189" i="1"/>
  <c r="H7188" i="1"/>
  <c r="G7188" i="1"/>
  <c r="E7188" i="1"/>
  <c r="H7187" i="1"/>
  <c r="G7187" i="1"/>
  <c r="E7187" i="1"/>
  <c r="H7186" i="1"/>
  <c r="G7186" i="1"/>
  <c r="E7186" i="1"/>
  <c r="H7185" i="1"/>
  <c r="G7185" i="1"/>
  <c r="E7185" i="1"/>
  <c r="H7184" i="1"/>
  <c r="G7184" i="1"/>
  <c r="E7184" i="1"/>
  <c r="H7183" i="1"/>
  <c r="G7183" i="1"/>
  <c r="E7183" i="1"/>
  <c r="H7182" i="1"/>
  <c r="G7182" i="1"/>
  <c r="E7182" i="1"/>
  <c r="H7181" i="1"/>
  <c r="G7181" i="1"/>
  <c r="E7181" i="1"/>
  <c r="H7180" i="1"/>
  <c r="G7180" i="1"/>
  <c r="E7180" i="1"/>
  <c r="H7179" i="1"/>
  <c r="G7179" i="1"/>
  <c r="E7179" i="1"/>
  <c r="H7178" i="1"/>
  <c r="G7178" i="1"/>
  <c r="E7178" i="1"/>
  <c r="H7177" i="1"/>
  <c r="G7177" i="1"/>
  <c r="E7177" i="1"/>
  <c r="H7176" i="1"/>
  <c r="G7176" i="1"/>
  <c r="E7176" i="1"/>
  <c r="H7175" i="1"/>
  <c r="G7175" i="1"/>
  <c r="E7175" i="1"/>
  <c r="H7174" i="1"/>
  <c r="G7174" i="1"/>
  <c r="E7174" i="1"/>
  <c r="H7173" i="1"/>
  <c r="G7173" i="1"/>
  <c r="E7173" i="1"/>
  <c r="H7172" i="1"/>
  <c r="G7172" i="1"/>
  <c r="E7172" i="1"/>
  <c r="H7171" i="1"/>
  <c r="G7171" i="1"/>
  <c r="E7171" i="1"/>
  <c r="H7170" i="1"/>
  <c r="G7170" i="1"/>
  <c r="E7170" i="1"/>
  <c r="H7169" i="1"/>
  <c r="G7169" i="1"/>
  <c r="E7169" i="1"/>
  <c r="H7168" i="1"/>
  <c r="G7168" i="1"/>
  <c r="E7168" i="1"/>
  <c r="H7167" i="1"/>
  <c r="G7167" i="1"/>
  <c r="E7167" i="1"/>
  <c r="H7166" i="1"/>
  <c r="G7166" i="1"/>
  <c r="E7166" i="1"/>
  <c r="H7165" i="1"/>
  <c r="G7165" i="1"/>
  <c r="E7165" i="1"/>
  <c r="H7164" i="1"/>
  <c r="G7164" i="1"/>
  <c r="E7164" i="1"/>
  <c r="H7163" i="1"/>
  <c r="G7163" i="1"/>
  <c r="E7163" i="1"/>
  <c r="H7162" i="1"/>
  <c r="G7162" i="1"/>
  <c r="E7162" i="1"/>
  <c r="H7161" i="1"/>
  <c r="G7161" i="1"/>
  <c r="E7161" i="1"/>
  <c r="H7160" i="1"/>
  <c r="G7160" i="1"/>
  <c r="E7160" i="1"/>
  <c r="H7159" i="1"/>
  <c r="G7159" i="1"/>
  <c r="E7159" i="1"/>
  <c r="H7158" i="1"/>
  <c r="G7158" i="1"/>
  <c r="E7158" i="1"/>
  <c r="H7157" i="1"/>
  <c r="G7157" i="1"/>
  <c r="E7157" i="1"/>
  <c r="H7156" i="1"/>
  <c r="G7156" i="1"/>
  <c r="E7156" i="1"/>
  <c r="H7155" i="1"/>
  <c r="G7155" i="1"/>
  <c r="E7155" i="1"/>
  <c r="H7154" i="1"/>
  <c r="G7154" i="1"/>
  <c r="E7154" i="1"/>
  <c r="H7153" i="1"/>
  <c r="G7153" i="1"/>
  <c r="E7153" i="1"/>
  <c r="H7152" i="1"/>
  <c r="G7152" i="1"/>
  <c r="E7152" i="1"/>
  <c r="H7151" i="1"/>
  <c r="G7151" i="1"/>
  <c r="E7151" i="1"/>
  <c r="H7150" i="1"/>
  <c r="G7150" i="1"/>
  <c r="E7150" i="1"/>
  <c r="H7149" i="1"/>
  <c r="G7149" i="1"/>
  <c r="E7149" i="1"/>
  <c r="H7148" i="1"/>
  <c r="G7148" i="1"/>
  <c r="E7148" i="1"/>
  <c r="H7147" i="1"/>
  <c r="G7147" i="1"/>
  <c r="E7147" i="1"/>
  <c r="H7146" i="1"/>
  <c r="G7146" i="1"/>
  <c r="E7146" i="1"/>
  <c r="H7145" i="1"/>
  <c r="G7145" i="1"/>
  <c r="E7145" i="1"/>
  <c r="H7144" i="1"/>
  <c r="G7144" i="1"/>
  <c r="E7144" i="1"/>
  <c r="H7143" i="1"/>
  <c r="G7143" i="1"/>
  <c r="E7143" i="1"/>
  <c r="H7142" i="1"/>
  <c r="G7142" i="1"/>
  <c r="E7142" i="1"/>
  <c r="H7141" i="1"/>
  <c r="G7141" i="1"/>
  <c r="E7141" i="1"/>
  <c r="H7140" i="1"/>
  <c r="G7140" i="1"/>
  <c r="E7140" i="1"/>
  <c r="H7139" i="1"/>
  <c r="G7139" i="1"/>
  <c r="E7139" i="1"/>
  <c r="H7138" i="1"/>
  <c r="G7138" i="1"/>
  <c r="E7138" i="1"/>
  <c r="H7137" i="1"/>
  <c r="G7137" i="1"/>
  <c r="E7137" i="1"/>
  <c r="H7136" i="1"/>
  <c r="G7136" i="1"/>
  <c r="E7136" i="1"/>
  <c r="H7135" i="1"/>
  <c r="G7135" i="1"/>
  <c r="E7135" i="1"/>
  <c r="H7134" i="1"/>
  <c r="G7134" i="1"/>
  <c r="E7134" i="1"/>
  <c r="H7133" i="1"/>
  <c r="G7133" i="1"/>
  <c r="E7133" i="1"/>
  <c r="H7132" i="1"/>
  <c r="G7132" i="1"/>
  <c r="E7132" i="1"/>
  <c r="H7131" i="1"/>
  <c r="G7131" i="1"/>
  <c r="E7131" i="1"/>
  <c r="H7130" i="1"/>
  <c r="G7130" i="1"/>
  <c r="E7130" i="1"/>
  <c r="H7129" i="1"/>
  <c r="G7129" i="1"/>
  <c r="E7129" i="1"/>
  <c r="H7128" i="1"/>
  <c r="G7128" i="1"/>
  <c r="E7128" i="1"/>
  <c r="H7127" i="1"/>
  <c r="G7127" i="1"/>
  <c r="E7127" i="1"/>
  <c r="H7126" i="1"/>
  <c r="G7126" i="1"/>
  <c r="E7126" i="1"/>
  <c r="H7125" i="1"/>
  <c r="G7125" i="1"/>
  <c r="E7125" i="1"/>
  <c r="H7124" i="1"/>
  <c r="G7124" i="1"/>
  <c r="E7124" i="1"/>
  <c r="H7123" i="1"/>
  <c r="G7123" i="1"/>
  <c r="E7123" i="1"/>
  <c r="H7122" i="1"/>
  <c r="G7122" i="1"/>
  <c r="E7122" i="1"/>
  <c r="H7121" i="1"/>
  <c r="G7121" i="1"/>
  <c r="E7121" i="1"/>
  <c r="H7120" i="1"/>
  <c r="G7120" i="1"/>
  <c r="E7120" i="1"/>
  <c r="H7119" i="1"/>
  <c r="G7119" i="1"/>
  <c r="E7119" i="1"/>
  <c r="H7118" i="1"/>
  <c r="G7118" i="1"/>
  <c r="E7118" i="1"/>
  <c r="H7117" i="1"/>
  <c r="G7117" i="1"/>
  <c r="E7117" i="1"/>
  <c r="H7116" i="1"/>
  <c r="G7116" i="1"/>
  <c r="E7116" i="1"/>
  <c r="H7115" i="1"/>
  <c r="G7115" i="1"/>
  <c r="E7115" i="1"/>
  <c r="H7114" i="1"/>
  <c r="G7114" i="1"/>
  <c r="E7114" i="1"/>
  <c r="H7113" i="1"/>
  <c r="G7113" i="1"/>
  <c r="E7113" i="1"/>
  <c r="H7112" i="1"/>
  <c r="G7112" i="1"/>
  <c r="E7112" i="1"/>
  <c r="H7111" i="1"/>
  <c r="G7111" i="1"/>
  <c r="E7111" i="1"/>
  <c r="H7110" i="1"/>
  <c r="G7110" i="1"/>
  <c r="E7110" i="1"/>
  <c r="H7109" i="1"/>
  <c r="G7109" i="1"/>
  <c r="E7109" i="1"/>
  <c r="H7108" i="1"/>
  <c r="G7108" i="1"/>
  <c r="E7108" i="1"/>
  <c r="H7107" i="1"/>
  <c r="G7107" i="1"/>
  <c r="E7107" i="1"/>
  <c r="H7106" i="1"/>
  <c r="G7106" i="1"/>
  <c r="E7106" i="1"/>
  <c r="H7105" i="1"/>
  <c r="G7105" i="1"/>
  <c r="E7105" i="1"/>
  <c r="H7104" i="1"/>
  <c r="G7104" i="1"/>
  <c r="E7104" i="1"/>
  <c r="H7103" i="1"/>
  <c r="G7103" i="1"/>
  <c r="E7103" i="1"/>
  <c r="H7102" i="1"/>
  <c r="G7102" i="1"/>
  <c r="E7102" i="1"/>
  <c r="H7101" i="1"/>
  <c r="G7101" i="1"/>
  <c r="E7101" i="1"/>
  <c r="H7100" i="1"/>
  <c r="G7100" i="1"/>
  <c r="E7100" i="1"/>
  <c r="H7099" i="1"/>
  <c r="G7099" i="1"/>
  <c r="E7099" i="1"/>
  <c r="H7098" i="1"/>
  <c r="G7098" i="1"/>
  <c r="E7098" i="1"/>
  <c r="H7097" i="1"/>
  <c r="G7097" i="1"/>
  <c r="E7097" i="1"/>
  <c r="H7096" i="1"/>
  <c r="G7096" i="1"/>
  <c r="E7096" i="1"/>
  <c r="H7095" i="1"/>
  <c r="G7095" i="1"/>
  <c r="E7095" i="1"/>
  <c r="H7094" i="1"/>
  <c r="G7094" i="1"/>
  <c r="E7094" i="1"/>
  <c r="H7093" i="1"/>
  <c r="G7093" i="1"/>
  <c r="E7093" i="1"/>
  <c r="H7092" i="1"/>
  <c r="G7092" i="1"/>
  <c r="E7092" i="1"/>
  <c r="H7091" i="1"/>
  <c r="G7091" i="1"/>
  <c r="E7091" i="1"/>
  <c r="H7090" i="1"/>
  <c r="G7090" i="1"/>
  <c r="E7090" i="1"/>
  <c r="H7089" i="1"/>
  <c r="G7089" i="1"/>
  <c r="E7089" i="1"/>
  <c r="H7088" i="1"/>
  <c r="G7088" i="1"/>
  <c r="E7088" i="1"/>
  <c r="H7087" i="1"/>
  <c r="G7087" i="1"/>
  <c r="E7087" i="1"/>
  <c r="H7086" i="1"/>
  <c r="G7086" i="1"/>
  <c r="E7086" i="1"/>
  <c r="H7085" i="1"/>
  <c r="G7085" i="1"/>
  <c r="E7085" i="1"/>
  <c r="H7084" i="1"/>
  <c r="G7084" i="1"/>
  <c r="E7084" i="1"/>
  <c r="H7083" i="1"/>
  <c r="G7083" i="1"/>
  <c r="E7083" i="1"/>
  <c r="H7082" i="1"/>
  <c r="G7082" i="1"/>
  <c r="E7082" i="1"/>
  <c r="H7081" i="1"/>
  <c r="G7081" i="1"/>
  <c r="E7081" i="1"/>
  <c r="H7080" i="1"/>
  <c r="G7080" i="1"/>
  <c r="E7080" i="1"/>
  <c r="H7079" i="1"/>
  <c r="G7079" i="1"/>
  <c r="E7079" i="1"/>
  <c r="H7078" i="1"/>
  <c r="G7078" i="1"/>
  <c r="E7078" i="1"/>
  <c r="H7077" i="1"/>
  <c r="G7077" i="1"/>
  <c r="E7077" i="1"/>
  <c r="H7076" i="1"/>
  <c r="G7076" i="1"/>
  <c r="E7076" i="1"/>
  <c r="H7075" i="1"/>
  <c r="G7075" i="1"/>
  <c r="E7075" i="1"/>
  <c r="H7074" i="1"/>
  <c r="G7074" i="1"/>
  <c r="E7074" i="1"/>
  <c r="H7073" i="1"/>
  <c r="G7073" i="1"/>
  <c r="E7073" i="1"/>
  <c r="H7072" i="1"/>
  <c r="G7072" i="1"/>
  <c r="E7072" i="1"/>
  <c r="H7071" i="1"/>
  <c r="G7071" i="1"/>
  <c r="E7071" i="1"/>
  <c r="H7070" i="1"/>
  <c r="G7070" i="1"/>
  <c r="E7070" i="1"/>
  <c r="H7069" i="1"/>
  <c r="G7069" i="1"/>
  <c r="E7069" i="1"/>
  <c r="H7068" i="1"/>
  <c r="G7068" i="1"/>
  <c r="E7068" i="1"/>
  <c r="H7067" i="1"/>
  <c r="G7067" i="1"/>
  <c r="E7067" i="1"/>
  <c r="H7066" i="1"/>
  <c r="G7066" i="1"/>
  <c r="E7066" i="1"/>
  <c r="H7065" i="1"/>
  <c r="G7065" i="1"/>
  <c r="E7065" i="1"/>
  <c r="H7064" i="1"/>
  <c r="G7064" i="1"/>
  <c r="E7064" i="1"/>
  <c r="H7063" i="1"/>
  <c r="G7063" i="1"/>
  <c r="E7063" i="1"/>
  <c r="H7062" i="1"/>
  <c r="G7062" i="1"/>
  <c r="E7062" i="1"/>
  <c r="H7061" i="1"/>
  <c r="G7061" i="1"/>
  <c r="E7061" i="1"/>
  <c r="H7060" i="1"/>
  <c r="G7060" i="1"/>
  <c r="E7060" i="1"/>
  <c r="H7059" i="1"/>
  <c r="G7059" i="1"/>
  <c r="E7059" i="1"/>
  <c r="H7058" i="1"/>
  <c r="G7058" i="1"/>
  <c r="E7058" i="1"/>
  <c r="H7057" i="1"/>
  <c r="G7057" i="1"/>
  <c r="E7057" i="1"/>
  <c r="H7056" i="1"/>
  <c r="G7056" i="1"/>
  <c r="E7056" i="1"/>
  <c r="H7055" i="1"/>
  <c r="G7055" i="1"/>
  <c r="E7055" i="1"/>
  <c r="H7054" i="1"/>
  <c r="G7054" i="1"/>
  <c r="E7054" i="1"/>
  <c r="H7053" i="1"/>
  <c r="G7053" i="1"/>
  <c r="E7053" i="1"/>
  <c r="H7052" i="1"/>
  <c r="G7052" i="1"/>
  <c r="E7052" i="1"/>
  <c r="H7051" i="1"/>
  <c r="G7051" i="1"/>
  <c r="E7051" i="1"/>
  <c r="H7050" i="1"/>
  <c r="G7050" i="1"/>
  <c r="E7050" i="1"/>
  <c r="H7049" i="1"/>
  <c r="G7049" i="1"/>
  <c r="E7049" i="1"/>
  <c r="H7048" i="1"/>
  <c r="G7048" i="1"/>
  <c r="E7048" i="1"/>
  <c r="H7047" i="1"/>
  <c r="G7047" i="1"/>
  <c r="E7047" i="1"/>
  <c r="H7046" i="1"/>
  <c r="G7046" i="1"/>
  <c r="E7046" i="1"/>
  <c r="H7045" i="1"/>
  <c r="G7045" i="1"/>
  <c r="E7045" i="1"/>
  <c r="H7044" i="1"/>
  <c r="G7044" i="1"/>
  <c r="E7044" i="1"/>
  <c r="H7043" i="1"/>
  <c r="G7043" i="1"/>
  <c r="E7043" i="1"/>
  <c r="H7042" i="1"/>
  <c r="G7042" i="1"/>
  <c r="E7042" i="1"/>
  <c r="H7041" i="1"/>
  <c r="G7041" i="1"/>
  <c r="E7041" i="1"/>
  <c r="H7040" i="1"/>
  <c r="G7040" i="1"/>
  <c r="E7040" i="1"/>
  <c r="H7039" i="1"/>
  <c r="G7039" i="1"/>
  <c r="E7039" i="1"/>
  <c r="H7038" i="1"/>
  <c r="G7038" i="1"/>
  <c r="E7038" i="1"/>
  <c r="H7037" i="1"/>
  <c r="G7037" i="1"/>
  <c r="E7037" i="1"/>
  <c r="H7036" i="1"/>
  <c r="G7036" i="1"/>
  <c r="E7036" i="1"/>
  <c r="H7035" i="1"/>
  <c r="G7035" i="1"/>
  <c r="E7035" i="1"/>
  <c r="H7034" i="1"/>
  <c r="G7034" i="1"/>
  <c r="E7034" i="1"/>
  <c r="H7033" i="1"/>
  <c r="G7033" i="1"/>
  <c r="E7033" i="1"/>
  <c r="H7032" i="1"/>
  <c r="G7032" i="1"/>
  <c r="E7032" i="1"/>
  <c r="H7031" i="1"/>
  <c r="G7031" i="1"/>
  <c r="E7031" i="1"/>
  <c r="H7030" i="1"/>
  <c r="G7030" i="1"/>
  <c r="E7030" i="1"/>
  <c r="H7029" i="1"/>
  <c r="G7029" i="1"/>
  <c r="E7029" i="1"/>
  <c r="H7028" i="1"/>
  <c r="G7028" i="1"/>
  <c r="E7028" i="1"/>
  <c r="H7027" i="1"/>
  <c r="G7027" i="1"/>
  <c r="E7027" i="1"/>
  <c r="H7026" i="1"/>
  <c r="G7026" i="1"/>
  <c r="E7026" i="1"/>
  <c r="H7025" i="1"/>
  <c r="G7025" i="1"/>
  <c r="E7025" i="1"/>
  <c r="H7024" i="1"/>
  <c r="G7024" i="1"/>
  <c r="E7024" i="1"/>
  <c r="H7023" i="1"/>
  <c r="G7023" i="1"/>
  <c r="E7023" i="1"/>
  <c r="H7022" i="1"/>
  <c r="G7022" i="1"/>
  <c r="E7022" i="1"/>
  <c r="H7021" i="1"/>
  <c r="G7021" i="1"/>
  <c r="E7021" i="1"/>
  <c r="H7020" i="1"/>
  <c r="G7020" i="1"/>
  <c r="E7020" i="1"/>
  <c r="H7019" i="1"/>
  <c r="G7019" i="1"/>
  <c r="E7019" i="1"/>
  <c r="H7018" i="1"/>
  <c r="G7018" i="1"/>
  <c r="E7018" i="1"/>
  <c r="H7017" i="1"/>
  <c r="G7017" i="1"/>
  <c r="E7017" i="1"/>
  <c r="H7016" i="1"/>
  <c r="G7016" i="1"/>
  <c r="E7016" i="1"/>
  <c r="H7015" i="1"/>
  <c r="G7015" i="1"/>
  <c r="E7015" i="1"/>
  <c r="H7014" i="1"/>
  <c r="G7014" i="1"/>
  <c r="E7014" i="1"/>
  <c r="H7013" i="1"/>
  <c r="G7013" i="1"/>
  <c r="E7013" i="1"/>
  <c r="H7012" i="1"/>
  <c r="G7012" i="1"/>
  <c r="E7012" i="1"/>
  <c r="H7011" i="1"/>
  <c r="G7011" i="1"/>
  <c r="E7011" i="1"/>
  <c r="H7010" i="1"/>
  <c r="G7010" i="1"/>
  <c r="E7010" i="1"/>
  <c r="H7009" i="1"/>
  <c r="G7009" i="1"/>
  <c r="E7009" i="1"/>
  <c r="H7008" i="1"/>
  <c r="G7008" i="1"/>
  <c r="E7008" i="1"/>
  <c r="H7007" i="1"/>
  <c r="G7007" i="1"/>
  <c r="E7007" i="1"/>
  <c r="H7006" i="1"/>
  <c r="G7006" i="1"/>
  <c r="E7006" i="1"/>
  <c r="H7005" i="1"/>
  <c r="G7005" i="1"/>
  <c r="E7005" i="1"/>
  <c r="H7004" i="1"/>
  <c r="G7004" i="1"/>
  <c r="E7004" i="1"/>
  <c r="H7003" i="1"/>
  <c r="G7003" i="1"/>
  <c r="E7003" i="1"/>
  <c r="H7002" i="1"/>
  <c r="G7002" i="1"/>
  <c r="E7002" i="1"/>
  <c r="H7001" i="1"/>
  <c r="G7001" i="1"/>
  <c r="E7001" i="1"/>
  <c r="H7000" i="1"/>
  <c r="G7000" i="1"/>
  <c r="E7000" i="1"/>
  <c r="H6999" i="1"/>
  <c r="G6999" i="1"/>
  <c r="E6999" i="1"/>
  <c r="H6998" i="1"/>
  <c r="G6998" i="1"/>
  <c r="E6998" i="1"/>
  <c r="H6997" i="1"/>
  <c r="G6997" i="1"/>
  <c r="E6997" i="1"/>
  <c r="H6996" i="1"/>
  <c r="G6996" i="1"/>
  <c r="E6996" i="1"/>
  <c r="H6995" i="1"/>
  <c r="G6995" i="1"/>
  <c r="E6995" i="1"/>
  <c r="H6994" i="1"/>
  <c r="G6994" i="1"/>
  <c r="E6994" i="1"/>
  <c r="H6993" i="1"/>
  <c r="G6993" i="1"/>
  <c r="E6993" i="1"/>
  <c r="H6992" i="1"/>
  <c r="G6992" i="1"/>
  <c r="E6992" i="1"/>
  <c r="H6991" i="1"/>
  <c r="G6991" i="1"/>
  <c r="E6991" i="1"/>
  <c r="H6990" i="1"/>
  <c r="G6990" i="1"/>
  <c r="E6990" i="1"/>
  <c r="H6989" i="1"/>
  <c r="G6989" i="1"/>
  <c r="E6989" i="1"/>
  <c r="H6988" i="1"/>
  <c r="G6988" i="1"/>
  <c r="E6988" i="1"/>
  <c r="H6987" i="1"/>
  <c r="G6987" i="1"/>
  <c r="E6987" i="1"/>
  <c r="H6986" i="1"/>
  <c r="G6986" i="1"/>
  <c r="E6986" i="1"/>
  <c r="H6985" i="1"/>
  <c r="G6985" i="1"/>
  <c r="E6985" i="1"/>
  <c r="H6984" i="1"/>
  <c r="G6984" i="1"/>
  <c r="E6984" i="1"/>
  <c r="H6983" i="1"/>
  <c r="G6983" i="1"/>
  <c r="E6983" i="1"/>
  <c r="H6982" i="1"/>
  <c r="G6982" i="1"/>
  <c r="E6982" i="1"/>
  <c r="H6981" i="1"/>
  <c r="G6981" i="1"/>
  <c r="E6981" i="1"/>
  <c r="H6980" i="1"/>
  <c r="G6980" i="1"/>
  <c r="E6980" i="1"/>
  <c r="H6979" i="1"/>
  <c r="G6979" i="1"/>
  <c r="E6979" i="1"/>
  <c r="H6978" i="1"/>
  <c r="G6978" i="1"/>
  <c r="E6978" i="1"/>
  <c r="H6977" i="1"/>
  <c r="G6977" i="1"/>
  <c r="E6977" i="1"/>
  <c r="H6976" i="1"/>
  <c r="G6976" i="1"/>
  <c r="E6976" i="1"/>
  <c r="H6975" i="1"/>
  <c r="G6975" i="1"/>
  <c r="E6975" i="1"/>
  <c r="H6974" i="1"/>
  <c r="G6974" i="1"/>
  <c r="E6974" i="1"/>
  <c r="H6973" i="1"/>
  <c r="G6973" i="1"/>
  <c r="E6973" i="1"/>
  <c r="H6972" i="1"/>
  <c r="G6972" i="1"/>
  <c r="E6972" i="1"/>
  <c r="H6971" i="1"/>
  <c r="G6971" i="1"/>
  <c r="E6971" i="1"/>
  <c r="H6970" i="1"/>
  <c r="G6970" i="1"/>
  <c r="E6970" i="1"/>
  <c r="H6969" i="1"/>
  <c r="G6969" i="1"/>
  <c r="E6969" i="1"/>
  <c r="H6968" i="1"/>
  <c r="G6968" i="1"/>
  <c r="E6968" i="1"/>
  <c r="H6967" i="1"/>
  <c r="G6967" i="1"/>
  <c r="E6967" i="1"/>
  <c r="H6966" i="1"/>
  <c r="G6966" i="1"/>
  <c r="E6966" i="1"/>
  <c r="H6965" i="1"/>
  <c r="G6965" i="1"/>
  <c r="E6965" i="1"/>
  <c r="H6964" i="1"/>
  <c r="G6964" i="1"/>
  <c r="E6964" i="1"/>
  <c r="H6963" i="1"/>
  <c r="G6963" i="1"/>
  <c r="E6963" i="1"/>
  <c r="H6962" i="1"/>
  <c r="G6962" i="1"/>
  <c r="E6962" i="1"/>
  <c r="H6961" i="1"/>
  <c r="G6961" i="1"/>
  <c r="E6961" i="1"/>
  <c r="H6960" i="1"/>
  <c r="G6960" i="1"/>
  <c r="E6960" i="1"/>
  <c r="H6959" i="1"/>
  <c r="G6959" i="1"/>
  <c r="E6959" i="1"/>
  <c r="H6958" i="1"/>
  <c r="G6958" i="1"/>
  <c r="E6958" i="1"/>
  <c r="H6957" i="1"/>
  <c r="G6957" i="1"/>
  <c r="E6957" i="1"/>
  <c r="H6956" i="1"/>
  <c r="G6956" i="1"/>
  <c r="E6956" i="1"/>
  <c r="H6955" i="1"/>
  <c r="G6955" i="1"/>
  <c r="E6955" i="1"/>
  <c r="H6954" i="1"/>
  <c r="G6954" i="1"/>
  <c r="E6954" i="1"/>
  <c r="H6953" i="1"/>
  <c r="G6953" i="1"/>
  <c r="E6953" i="1"/>
  <c r="H6952" i="1"/>
  <c r="G6952" i="1"/>
  <c r="E6952" i="1"/>
  <c r="H6951" i="1"/>
  <c r="G6951" i="1"/>
  <c r="E6951" i="1"/>
  <c r="H6950" i="1"/>
  <c r="G6950" i="1"/>
  <c r="E6950" i="1"/>
  <c r="H6949" i="1"/>
  <c r="G6949" i="1"/>
  <c r="E6949" i="1"/>
  <c r="H6948" i="1"/>
  <c r="G6948" i="1"/>
  <c r="E6948" i="1"/>
  <c r="H6947" i="1"/>
  <c r="G6947" i="1"/>
  <c r="E6947" i="1"/>
  <c r="H6946" i="1"/>
  <c r="G6946" i="1"/>
  <c r="E6946" i="1"/>
  <c r="H6945" i="1"/>
  <c r="G6945" i="1"/>
  <c r="E6945" i="1"/>
  <c r="H6944" i="1"/>
  <c r="G6944" i="1"/>
  <c r="E6944" i="1"/>
  <c r="H6943" i="1"/>
  <c r="G6943" i="1"/>
  <c r="E6943" i="1"/>
  <c r="H6942" i="1"/>
  <c r="G6942" i="1"/>
  <c r="E6942" i="1"/>
  <c r="H6941" i="1"/>
  <c r="G6941" i="1"/>
  <c r="E6941" i="1"/>
  <c r="H6940" i="1"/>
  <c r="G6940" i="1"/>
  <c r="E6940" i="1"/>
  <c r="H6939" i="1"/>
  <c r="G6939" i="1"/>
  <c r="E6939" i="1"/>
  <c r="H6938" i="1"/>
  <c r="G6938" i="1"/>
  <c r="E6938" i="1"/>
  <c r="H6937" i="1"/>
  <c r="G6937" i="1"/>
  <c r="E6937" i="1"/>
  <c r="H6936" i="1"/>
  <c r="G6936" i="1"/>
  <c r="E6936" i="1"/>
  <c r="H6935" i="1"/>
  <c r="G6935" i="1"/>
  <c r="E6935" i="1"/>
  <c r="H6934" i="1"/>
  <c r="G6934" i="1"/>
  <c r="E6934" i="1"/>
  <c r="H6933" i="1"/>
  <c r="G6933" i="1"/>
  <c r="E6933" i="1"/>
  <c r="H6932" i="1"/>
  <c r="G6932" i="1"/>
  <c r="E6932" i="1"/>
  <c r="H6931" i="1"/>
  <c r="G6931" i="1"/>
  <c r="E6931" i="1"/>
  <c r="H6930" i="1"/>
  <c r="G6930" i="1"/>
  <c r="E6930" i="1"/>
  <c r="H6929" i="1"/>
  <c r="G6929" i="1"/>
  <c r="E6929" i="1"/>
  <c r="H6928" i="1"/>
  <c r="G6928" i="1"/>
  <c r="E6928" i="1"/>
  <c r="H6927" i="1"/>
  <c r="G6927" i="1"/>
  <c r="E6927" i="1"/>
  <c r="H6926" i="1"/>
  <c r="G6926" i="1"/>
  <c r="E6926" i="1"/>
  <c r="H6925" i="1"/>
  <c r="G6925" i="1"/>
  <c r="E6925" i="1"/>
  <c r="H6924" i="1"/>
  <c r="G6924" i="1"/>
  <c r="E6924" i="1"/>
  <c r="H6923" i="1"/>
  <c r="G6923" i="1"/>
  <c r="E6923" i="1"/>
  <c r="H6922" i="1"/>
  <c r="G6922" i="1"/>
  <c r="E6922" i="1"/>
  <c r="H6921" i="1"/>
  <c r="G6921" i="1"/>
  <c r="E6921" i="1"/>
  <c r="H6920" i="1"/>
  <c r="G6920" i="1"/>
  <c r="E6920" i="1"/>
  <c r="H6919" i="1"/>
  <c r="G6919" i="1"/>
  <c r="E6919" i="1"/>
  <c r="H6918" i="1"/>
  <c r="G6918" i="1"/>
  <c r="E6918" i="1"/>
  <c r="H6917" i="1"/>
  <c r="G6917" i="1"/>
  <c r="E6917" i="1"/>
  <c r="H6916" i="1"/>
  <c r="G6916" i="1"/>
  <c r="E6916" i="1"/>
  <c r="H6915" i="1"/>
  <c r="G6915" i="1"/>
  <c r="E6915" i="1"/>
  <c r="H6914" i="1"/>
  <c r="G6914" i="1"/>
  <c r="E6914" i="1"/>
  <c r="H6913" i="1"/>
  <c r="G6913" i="1"/>
  <c r="E6913" i="1"/>
  <c r="H6912" i="1"/>
  <c r="G6912" i="1"/>
  <c r="E6912" i="1"/>
  <c r="H6911" i="1"/>
  <c r="G6911" i="1"/>
  <c r="E6911" i="1"/>
  <c r="H6910" i="1"/>
  <c r="G6910" i="1"/>
  <c r="E6910" i="1"/>
  <c r="H6909" i="1"/>
  <c r="G6909" i="1"/>
  <c r="E6909" i="1"/>
  <c r="H6908" i="1"/>
  <c r="G6908" i="1"/>
  <c r="E6908" i="1"/>
  <c r="H6907" i="1"/>
  <c r="G6907" i="1"/>
  <c r="E6907" i="1"/>
  <c r="H6906" i="1"/>
  <c r="G6906" i="1"/>
  <c r="E6906" i="1"/>
  <c r="H6905" i="1"/>
  <c r="G6905" i="1"/>
  <c r="E6905" i="1"/>
  <c r="H6904" i="1"/>
  <c r="G6904" i="1"/>
  <c r="E6904" i="1"/>
  <c r="H6903" i="1"/>
  <c r="G6903" i="1"/>
  <c r="E6903" i="1"/>
  <c r="H6902" i="1"/>
  <c r="G6902" i="1"/>
  <c r="E6902" i="1"/>
  <c r="H6901" i="1"/>
  <c r="G6901" i="1"/>
  <c r="E6901" i="1"/>
  <c r="H6900" i="1"/>
  <c r="G6900" i="1"/>
  <c r="E6900" i="1"/>
  <c r="H6899" i="1"/>
  <c r="G6899" i="1"/>
  <c r="E6899" i="1"/>
  <c r="H6898" i="1"/>
  <c r="G6898" i="1"/>
  <c r="E6898" i="1"/>
  <c r="H6897" i="1"/>
  <c r="G6897" i="1"/>
  <c r="E6897" i="1"/>
  <c r="H6896" i="1"/>
  <c r="G6896" i="1"/>
  <c r="E6896" i="1"/>
  <c r="H6895" i="1"/>
  <c r="G6895" i="1"/>
  <c r="E6895" i="1"/>
  <c r="H6894" i="1"/>
  <c r="G6894" i="1"/>
  <c r="E6894" i="1"/>
  <c r="H6893" i="1"/>
  <c r="G6893" i="1"/>
  <c r="E6893" i="1"/>
  <c r="H6892" i="1"/>
  <c r="G6892" i="1"/>
  <c r="E6892" i="1"/>
  <c r="H6891" i="1"/>
  <c r="G6891" i="1"/>
  <c r="E6891" i="1"/>
  <c r="H6890" i="1"/>
  <c r="G6890" i="1"/>
  <c r="E6890" i="1"/>
  <c r="H6889" i="1"/>
  <c r="G6889" i="1"/>
  <c r="E6889" i="1"/>
  <c r="H6888" i="1"/>
  <c r="G6888" i="1"/>
  <c r="E6888" i="1"/>
  <c r="H6887" i="1"/>
  <c r="G6887" i="1"/>
  <c r="E6887" i="1"/>
  <c r="H6886" i="1"/>
  <c r="G6886" i="1"/>
  <c r="E6886" i="1"/>
  <c r="H6885" i="1"/>
  <c r="G6885" i="1"/>
  <c r="E6885" i="1"/>
  <c r="H6884" i="1"/>
  <c r="G6884" i="1"/>
  <c r="E6884" i="1"/>
  <c r="H6883" i="1"/>
  <c r="G6883" i="1"/>
  <c r="E6883" i="1"/>
  <c r="H6882" i="1"/>
  <c r="G6882" i="1"/>
  <c r="E6882" i="1"/>
  <c r="H6881" i="1"/>
  <c r="G6881" i="1"/>
  <c r="E6881" i="1"/>
  <c r="H6880" i="1"/>
  <c r="G6880" i="1"/>
  <c r="E6880" i="1"/>
  <c r="H6879" i="1"/>
  <c r="G6879" i="1"/>
  <c r="E6879" i="1"/>
  <c r="H6878" i="1"/>
  <c r="G6878" i="1"/>
  <c r="E6878" i="1"/>
  <c r="H6877" i="1"/>
  <c r="G6877" i="1"/>
  <c r="E6877" i="1"/>
  <c r="H6876" i="1"/>
  <c r="G6876" i="1"/>
  <c r="E6876" i="1"/>
  <c r="H6875" i="1"/>
  <c r="G6875" i="1"/>
  <c r="E6875" i="1"/>
  <c r="H6874" i="1"/>
  <c r="G6874" i="1"/>
  <c r="E6874" i="1"/>
  <c r="H6873" i="1"/>
  <c r="G6873" i="1"/>
  <c r="E6873" i="1"/>
  <c r="H6872" i="1"/>
  <c r="G6872" i="1"/>
  <c r="E6872" i="1"/>
  <c r="H6871" i="1"/>
  <c r="G6871" i="1"/>
  <c r="E6871" i="1"/>
  <c r="H6870" i="1"/>
  <c r="G6870" i="1"/>
  <c r="E6870" i="1"/>
  <c r="H6869" i="1"/>
  <c r="G6869" i="1"/>
  <c r="E6869" i="1"/>
  <c r="H6868" i="1"/>
  <c r="G6868" i="1"/>
  <c r="E6868" i="1"/>
  <c r="H6867" i="1"/>
  <c r="G6867" i="1"/>
  <c r="E6867" i="1"/>
  <c r="H6866" i="1"/>
  <c r="G6866" i="1"/>
  <c r="E6866" i="1"/>
  <c r="H6865" i="1"/>
  <c r="G6865" i="1"/>
  <c r="E6865" i="1"/>
  <c r="H6864" i="1"/>
  <c r="G6864" i="1"/>
  <c r="E6864" i="1"/>
  <c r="H6863" i="1"/>
  <c r="G6863" i="1"/>
  <c r="E6863" i="1"/>
  <c r="H6862" i="1"/>
  <c r="G6862" i="1"/>
  <c r="E6862" i="1"/>
  <c r="H6861" i="1"/>
  <c r="G6861" i="1"/>
  <c r="E6861" i="1"/>
  <c r="H6860" i="1"/>
  <c r="G6860" i="1"/>
  <c r="E6860" i="1"/>
  <c r="H6859" i="1"/>
  <c r="G6859" i="1"/>
  <c r="E6859" i="1"/>
  <c r="H6858" i="1"/>
  <c r="G6858" i="1"/>
  <c r="E6858" i="1"/>
  <c r="H6857" i="1"/>
  <c r="G6857" i="1"/>
  <c r="E6857" i="1"/>
  <c r="H6856" i="1"/>
  <c r="G6856" i="1"/>
  <c r="E6856" i="1"/>
  <c r="H6855" i="1"/>
  <c r="G6855" i="1"/>
  <c r="E6855" i="1"/>
  <c r="H6854" i="1"/>
  <c r="G6854" i="1"/>
  <c r="E6854" i="1"/>
  <c r="H6853" i="1"/>
  <c r="G6853" i="1"/>
  <c r="E6853" i="1"/>
  <c r="H6852" i="1"/>
  <c r="G6852" i="1"/>
  <c r="E6852" i="1"/>
  <c r="H6851" i="1"/>
  <c r="G6851" i="1"/>
  <c r="E6851" i="1"/>
  <c r="H6850" i="1"/>
  <c r="G6850" i="1"/>
  <c r="E6850" i="1"/>
  <c r="H6849" i="1"/>
  <c r="G6849" i="1"/>
  <c r="E6849" i="1"/>
  <c r="H6848" i="1"/>
  <c r="G6848" i="1"/>
  <c r="E6848" i="1"/>
  <c r="H6847" i="1"/>
  <c r="G6847" i="1"/>
  <c r="E6847" i="1"/>
  <c r="H6846" i="1"/>
  <c r="G6846" i="1"/>
  <c r="E6846" i="1"/>
  <c r="H6845" i="1"/>
  <c r="G6845" i="1"/>
  <c r="E6845" i="1"/>
  <c r="H6844" i="1"/>
  <c r="G6844" i="1"/>
  <c r="E6844" i="1"/>
  <c r="H6843" i="1"/>
  <c r="G6843" i="1"/>
  <c r="E6843" i="1"/>
  <c r="H6842" i="1"/>
  <c r="G6842" i="1"/>
  <c r="E6842" i="1"/>
  <c r="H6841" i="1"/>
  <c r="G6841" i="1"/>
  <c r="E6841" i="1"/>
  <c r="H6840" i="1"/>
  <c r="G6840" i="1"/>
  <c r="E6840" i="1"/>
  <c r="H6839" i="1"/>
  <c r="G6839" i="1"/>
  <c r="E6839" i="1"/>
  <c r="H6838" i="1"/>
  <c r="G6838" i="1"/>
  <c r="E6838" i="1"/>
  <c r="H6837" i="1"/>
  <c r="G6837" i="1"/>
  <c r="E6837" i="1"/>
  <c r="H6836" i="1"/>
  <c r="G6836" i="1"/>
  <c r="E6836" i="1"/>
  <c r="H6835" i="1"/>
  <c r="G6835" i="1"/>
  <c r="E6835" i="1"/>
  <c r="H6834" i="1"/>
  <c r="G6834" i="1"/>
  <c r="E6834" i="1"/>
  <c r="H6833" i="1"/>
  <c r="G6833" i="1"/>
  <c r="E6833" i="1"/>
  <c r="H6832" i="1"/>
  <c r="G6832" i="1"/>
  <c r="E6832" i="1"/>
  <c r="H6831" i="1"/>
  <c r="G6831" i="1"/>
  <c r="E6831" i="1"/>
  <c r="H6830" i="1"/>
  <c r="G6830" i="1"/>
  <c r="E6830" i="1"/>
  <c r="H6829" i="1"/>
  <c r="G6829" i="1"/>
  <c r="E6829" i="1"/>
  <c r="H6828" i="1"/>
  <c r="G6828" i="1"/>
  <c r="E6828" i="1"/>
  <c r="H6827" i="1"/>
  <c r="G6827" i="1"/>
  <c r="E6827" i="1"/>
  <c r="H6826" i="1"/>
  <c r="G6826" i="1"/>
  <c r="E6826" i="1"/>
  <c r="H6825" i="1"/>
  <c r="G6825" i="1"/>
  <c r="E6825" i="1"/>
  <c r="H6824" i="1"/>
  <c r="G6824" i="1"/>
  <c r="E6824" i="1"/>
  <c r="H6823" i="1"/>
  <c r="G6823" i="1"/>
  <c r="E6823" i="1"/>
  <c r="H6822" i="1"/>
  <c r="G6822" i="1"/>
  <c r="E6822" i="1"/>
  <c r="H6821" i="1"/>
  <c r="G6821" i="1"/>
  <c r="E6821" i="1"/>
  <c r="H6820" i="1"/>
  <c r="G6820" i="1"/>
  <c r="E6820" i="1"/>
  <c r="H6819" i="1"/>
  <c r="G6819" i="1"/>
  <c r="E6819" i="1"/>
  <c r="H6818" i="1"/>
  <c r="G6818" i="1"/>
  <c r="E6818" i="1"/>
  <c r="H6817" i="1"/>
  <c r="G6817" i="1"/>
  <c r="E6817" i="1"/>
  <c r="H6816" i="1"/>
  <c r="G6816" i="1"/>
  <c r="E6816" i="1"/>
  <c r="H6815" i="1"/>
  <c r="G6815" i="1"/>
  <c r="E6815" i="1"/>
  <c r="H6814" i="1"/>
  <c r="G6814" i="1"/>
  <c r="E6814" i="1"/>
  <c r="H6813" i="1"/>
  <c r="G6813" i="1"/>
  <c r="E6813" i="1"/>
  <c r="H6812" i="1"/>
  <c r="G6812" i="1"/>
  <c r="E6812" i="1"/>
  <c r="H6811" i="1"/>
  <c r="G6811" i="1"/>
  <c r="E6811" i="1"/>
  <c r="H6810" i="1"/>
  <c r="G6810" i="1"/>
  <c r="E6810" i="1"/>
  <c r="H6809" i="1"/>
  <c r="G6809" i="1"/>
  <c r="E6809" i="1"/>
  <c r="H6808" i="1"/>
  <c r="G6808" i="1"/>
  <c r="E6808" i="1"/>
  <c r="H6807" i="1"/>
  <c r="G6807" i="1"/>
  <c r="E6807" i="1"/>
  <c r="H6806" i="1"/>
  <c r="G6806" i="1"/>
  <c r="E6806" i="1"/>
  <c r="H6805" i="1"/>
  <c r="G6805" i="1"/>
  <c r="E6805" i="1"/>
  <c r="H6804" i="1"/>
  <c r="G6804" i="1"/>
  <c r="E6804" i="1"/>
  <c r="H6803" i="1"/>
  <c r="G6803" i="1"/>
  <c r="E6803" i="1"/>
  <c r="H6802" i="1"/>
  <c r="G6802" i="1"/>
  <c r="E6802" i="1"/>
  <c r="H6801" i="1"/>
  <c r="G6801" i="1"/>
  <c r="E6801" i="1"/>
  <c r="H6800" i="1"/>
  <c r="G6800" i="1"/>
  <c r="E6800" i="1"/>
  <c r="H6799" i="1"/>
  <c r="G6799" i="1"/>
  <c r="E6799" i="1"/>
  <c r="H6798" i="1"/>
  <c r="G6798" i="1"/>
  <c r="E6798" i="1"/>
  <c r="H6797" i="1"/>
  <c r="G6797" i="1"/>
  <c r="E6797" i="1"/>
  <c r="H6796" i="1"/>
  <c r="G6796" i="1"/>
  <c r="E6796" i="1"/>
  <c r="H6795" i="1"/>
  <c r="G6795" i="1"/>
  <c r="E6795" i="1"/>
  <c r="H6794" i="1"/>
  <c r="G6794" i="1"/>
  <c r="E6794" i="1"/>
  <c r="H6793" i="1"/>
  <c r="G6793" i="1"/>
  <c r="E6793" i="1"/>
  <c r="H6792" i="1"/>
  <c r="G6792" i="1"/>
  <c r="E6792" i="1"/>
  <c r="H6791" i="1"/>
  <c r="G6791" i="1"/>
  <c r="E6791" i="1"/>
  <c r="H6790" i="1"/>
  <c r="G6790" i="1"/>
  <c r="E6790" i="1"/>
  <c r="H6789" i="1"/>
  <c r="G6789" i="1"/>
  <c r="E6789" i="1"/>
  <c r="H6788" i="1"/>
  <c r="G6788" i="1"/>
  <c r="E6788" i="1"/>
  <c r="H6787" i="1"/>
  <c r="G6787" i="1"/>
  <c r="E6787" i="1"/>
  <c r="H6786" i="1"/>
  <c r="G6786" i="1"/>
  <c r="E6786" i="1"/>
  <c r="H6785" i="1"/>
  <c r="G6785" i="1"/>
  <c r="E6785" i="1"/>
  <c r="H6784" i="1"/>
  <c r="G6784" i="1"/>
  <c r="E6784" i="1"/>
  <c r="H6783" i="1"/>
  <c r="G6783" i="1"/>
  <c r="E6783" i="1"/>
  <c r="H6782" i="1"/>
  <c r="G6782" i="1"/>
  <c r="E6782" i="1"/>
  <c r="H6781" i="1"/>
  <c r="G6781" i="1"/>
  <c r="E6781" i="1"/>
  <c r="H6780" i="1"/>
  <c r="G6780" i="1"/>
  <c r="E6780" i="1"/>
  <c r="H6779" i="1"/>
  <c r="G6779" i="1"/>
  <c r="E6779" i="1"/>
  <c r="H6778" i="1"/>
  <c r="G6778" i="1"/>
  <c r="E6778" i="1"/>
  <c r="H6777" i="1"/>
  <c r="G6777" i="1"/>
  <c r="E6777" i="1"/>
  <c r="H6776" i="1"/>
  <c r="G6776" i="1"/>
  <c r="E6776" i="1"/>
  <c r="H6775" i="1"/>
  <c r="G6775" i="1"/>
  <c r="E6775" i="1"/>
  <c r="H6774" i="1"/>
  <c r="G6774" i="1"/>
  <c r="E6774" i="1"/>
  <c r="H6773" i="1"/>
  <c r="G6773" i="1"/>
  <c r="E6773" i="1"/>
  <c r="H6772" i="1"/>
  <c r="G6772" i="1"/>
  <c r="E6772" i="1"/>
  <c r="H6771" i="1"/>
  <c r="G6771" i="1"/>
  <c r="E6771" i="1"/>
  <c r="H6770" i="1"/>
  <c r="G6770" i="1"/>
  <c r="E6770" i="1"/>
  <c r="H6769" i="1"/>
  <c r="G6769" i="1"/>
  <c r="E6769" i="1"/>
  <c r="H6768" i="1"/>
  <c r="G6768" i="1"/>
  <c r="E6768" i="1"/>
  <c r="H6767" i="1"/>
  <c r="G6767" i="1"/>
  <c r="E6767" i="1"/>
  <c r="H6766" i="1"/>
  <c r="G6766" i="1"/>
  <c r="E6766" i="1"/>
  <c r="H6765" i="1"/>
  <c r="G6765" i="1"/>
  <c r="E6765" i="1"/>
  <c r="H6764" i="1"/>
  <c r="G6764" i="1"/>
  <c r="E6764" i="1"/>
  <c r="H6763" i="1"/>
  <c r="G6763" i="1"/>
  <c r="E6763" i="1"/>
  <c r="H6762" i="1"/>
  <c r="G6762" i="1"/>
  <c r="E6762" i="1"/>
  <c r="H6761" i="1"/>
  <c r="G6761" i="1"/>
  <c r="E6761" i="1"/>
  <c r="H6760" i="1"/>
  <c r="G6760" i="1"/>
  <c r="E6760" i="1"/>
  <c r="H6759" i="1"/>
  <c r="G6759" i="1"/>
  <c r="E6759" i="1"/>
  <c r="H6758" i="1"/>
  <c r="G6758" i="1"/>
  <c r="E6758" i="1"/>
  <c r="H6757" i="1"/>
  <c r="G6757" i="1"/>
  <c r="E6757" i="1"/>
  <c r="H6756" i="1"/>
  <c r="G6756" i="1"/>
  <c r="E6756" i="1"/>
  <c r="H6755" i="1"/>
  <c r="G6755" i="1"/>
  <c r="E6755" i="1"/>
  <c r="H6754" i="1"/>
  <c r="G6754" i="1"/>
  <c r="E6754" i="1"/>
  <c r="H6753" i="1"/>
  <c r="G6753" i="1"/>
  <c r="E6753" i="1"/>
  <c r="H6752" i="1"/>
  <c r="G6752" i="1"/>
  <c r="E6752" i="1"/>
  <c r="H6751" i="1"/>
  <c r="G6751" i="1"/>
  <c r="E6751" i="1"/>
  <c r="H6750" i="1"/>
  <c r="G6750" i="1"/>
  <c r="E6750" i="1"/>
  <c r="H6749" i="1"/>
  <c r="G6749" i="1"/>
  <c r="E6749" i="1"/>
  <c r="H6748" i="1"/>
  <c r="G6748" i="1"/>
  <c r="E6748" i="1"/>
  <c r="H6747" i="1"/>
  <c r="G6747" i="1"/>
  <c r="E6747" i="1"/>
  <c r="H6746" i="1"/>
  <c r="G6746" i="1"/>
  <c r="E6746" i="1"/>
  <c r="H6745" i="1"/>
  <c r="G6745" i="1"/>
  <c r="E6745" i="1"/>
  <c r="H6744" i="1"/>
  <c r="G6744" i="1"/>
  <c r="E6744" i="1"/>
  <c r="H6743" i="1"/>
  <c r="G6743" i="1"/>
  <c r="E6743" i="1"/>
  <c r="H6742" i="1"/>
  <c r="G6742" i="1"/>
  <c r="E6742" i="1"/>
  <c r="H6741" i="1"/>
  <c r="G6741" i="1"/>
  <c r="E6741" i="1"/>
  <c r="H6740" i="1"/>
  <c r="G6740" i="1"/>
  <c r="E6740" i="1"/>
  <c r="H6739" i="1"/>
  <c r="G6739" i="1"/>
  <c r="E6739" i="1"/>
  <c r="H6738" i="1"/>
  <c r="G6738" i="1"/>
  <c r="E6738" i="1"/>
  <c r="H6737" i="1"/>
  <c r="G6737" i="1"/>
  <c r="E6737" i="1"/>
  <c r="H6736" i="1"/>
  <c r="G6736" i="1"/>
  <c r="E6736" i="1"/>
  <c r="H6735" i="1"/>
  <c r="G6735" i="1"/>
  <c r="E6735" i="1"/>
  <c r="H6734" i="1"/>
  <c r="G6734" i="1"/>
  <c r="E6734" i="1"/>
  <c r="H6733" i="1"/>
  <c r="G6733" i="1"/>
  <c r="E6733" i="1"/>
  <c r="H6732" i="1"/>
  <c r="G6732" i="1"/>
  <c r="E6732" i="1"/>
  <c r="H6731" i="1"/>
  <c r="G6731" i="1"/>
  <c r="E6731" i="1"/>
  <c r="H6730" i="1"/>
  <c r="G6730" i="1"/>
  <c r="E6730" i="1"/>
  <c r="H6729" i="1"/>
  <c r="G6729" i="1"/>
  <c r="E6729" i="1"/>
  <c r="H6728" i="1"/>
  <c r="G6728" i="1"/>
  <c r="E6728" i="1"/>
  <c r="H6727" i="1"/>
  <c r="G6727" i="1"/>
  <c r="E6727" i="1"/>
  <c r="H6726" i="1"/>
  <c r="G6726" i="1"/>
  <c r="E6726" i="1"/>
  <c r="H6725" i="1"/>
  <c r="G6725" i="1"/>
  <c r="E6725" i="1"/>
  <c r="H6724" i="1"/>
  <c r="G6724" i="1"/>
  <c r="E6724" i="1"/>
  <c r="H6723" i="1"/>
  <c r="G6723" i="1"/>
  <c r="E6723" i="1"/>
  <c r="H6722" i="1"/>
  <c r="G6722" i="1"/>
  <c r="E6722" i="1"/>
  <c r="H6721" i="1"/>
  <c r="G6721" i="1"/>
  <c r="E6721" i="1"/>
  <c r="H6720" i="1"/>
  <c r="G6720" i="1"/>
  <c r="E6720" i="1"/>
  <c r="H6719" i="1"/>
  <c r="G6719" i="1"/>
  <c r="E6719" i="1"/>
  <c r="H6718" i="1"/>
  <c r="G6718" i="1"/>
  <c r="E6718" i="1"/>
  <c r="H6717" i="1"/>
  <c r="G6717" i="1"/>
  <c r="E6717" i="1"/>
  <c r="H6716" i="1"/>
  <c r="G6716" i="1"/>
  <c r="E6716" i="1"/>
  <c r="H6715" i="1"/>
  <c r="G6715" i="1"/>
  <c r="E6715" i="1"/>
  <c r="H6714" i="1"/>
  <c r="G6714" i="1"/>
  <c r="E6714" i="1"/>
  <c r="H6713" i="1"/>
  <c r="G6713" i="1"/>
  <c r="E6713" i="1"/>
  <c r="H6712" i="1"/>
  <c r="G6712" i="1"/>
  <c r="E6712" i="1"/>
  <c r="H6711" i="1"/>
  <c r="G6711" i="1"/>
  <c r="E6711" i="1"/>
  <c r="H6710" i="1"/>
  <c r="G6710" i="1"/>
  <c r="E6710" i="1"/>
  <c r="H6709" i="1"/>
  <c r="G6709" i="1"/>
  <c r="E6709" i="1"/>
  <c r="H6708" i="1"/>
  <c r="G6708" i="1"/>
  <c r="E6708" i="1"/>
  <c r="H6707" i="1"/>
  <c r="G6707" i="1"/>
  <c r="E6707" i="1"/>
  <c r="H6706" i="1"/>
  <c r="G6706" i="1"/>
  <c r="E6706" i="1"/>
  <c r="H6705" i="1"/>
  <c r="G6705" i="1"/>
  <c r="E6705" i="1"/>
  <c r="H6704" i="1"/>
  <c r="G6704" i="1"/>
  <c r="E6704" i="1"/>
  <c r="H6703" i="1"/>
  <c r="G6703" i="1"/>
  <c r="E6703" i="1"/>
  <c r="H6702" i="1"/>
  <c r="G6702" i="1"/>
  <c r="E6702" i="1"/>
  <c r="H6701" i="1"/>
  <c r="G6701" i="1"/>
  <c r="E6701" i="1"/>
  <c r="H6700" i="1"/>
  <c r="G6700" i="1"/>
  <c r="E6700" i="1"/>
  <c r="H6699" i="1"/>
  <c r="G6699" i="1"/>
  <c r="E6699" i="1"/>
  <c r="H6698" i="1"/>
  <c r="G6698" i="1"/>
  <c r="E6698" i="1"/>
  <c r="H6697" i="1"/>
  <c r="G6697" i="1"/>
  <c r="E6697" i="1"/>
  <c r="H6696" i="1"/>
  <c r="G6696" i="1"/>
  <c r="E6696" i="1"/>
  <c r="H6695" i="1"/>
  <c r="G6695" i="1"/>
  <c r="E6695" i="1"/>
  <c r="H6694" i="1"/>
  <c r="G6694" i="1"/>
  <c r="E6694" i="1"/>
  <c r="H6693" i="1"/>
  <c r="G6693" i="1"/>
  <c r="E6693" i="1"/>
  <c r="H6692" i="1"/>
  <c r="G6692" i="1"/>
  <c r="E6692" i="1"/>
  <c r="H6691" i="1"/>
  <c r="G6691" i="1"/>
  <c r="E6691" i="1"/>
  <c r="H6690" i="1"/>
  <c r="G6690" i="1"/>
  <c r="E6690" i="1"/>
  <c r="H6689" i="1"/>
  <c r="G6689" i="1"/>
  <c r="E6689" i="1"/>
  <c r="H6688" i="1"/>
  <c r="G6688" i="1"/>
  <c r="E6688" i="1"/>
  <c r="H6687" i="1"/>
  <c r="G6687" i="1"/>
  <c r="E6687" i="1"/>
  <c r="H6686" i="1"/>
  <c r="G6686" i="1"/>
  <c r="E6686" i="1"/>
  <c r="H6685" i="1"/>
  <c r="G6685" i="1"/>
  <c r="E6685" i="1"/>
  <c r="H6684" i="1"/>
  <c r="G6684" i="1"/>
  <c r="E6684" i="1"/>
  <c r="H6683" i="1"/>
  <c r="G6683" i="1"/>
  <c r="E6683" i="1"/>
  <c r="H6682" i="1"/>
  <c r="G6682" i="1"/>
  <c r="E6682" i="1"/>
  <c r="H6681" i="1"/>
  <c r="G6681" i="1"/>
  <c r="E6681" i="1"/>
  <c r="H6680" i="1"/>
  <c r="G6680" i="1"/>
  <c r="E6680" i="1"/>
  <c r="H6679" i="1"/>
  <c r="G6679" i="1"/>
  <c r="E6679" i="1"/>
  <c r="H6678" i="1"/>
  <c r="G6678" i="1"/>
  <c r="E6678" i="1"/>
  <c r="H6677" i="1"/>
  <c r="G6677" i="1"/>
  <c r="E6677" i="1"/>
  <c r="H6676" i="1"/>
  <c r="G6676" i="1"/>
  <c r="E6676" i="1"/>
  <c r="H6675" i="1"/>
  <c r="G6675" i="1"/>
  <c r="E6675" i="1"/>
  <c r="H6674" i="1"/>
  <c r="G6674" i="1"/>
  <c r="E6674" i="1"/>
  <c r="H6673" i="1"/>
  <c r="G6673" i="1"/>
  <c r="E6673" i="1"/>
  <c r="H6672" i="1"/>
  <c r="G6672" i="1"/>
  <c r="E6672" i="1"/>
  <c r="H6671" i="1"/>
  <c r="G6671" i="1"/>
  <c r="E6671" i="1"/>
  <c r="H6670" i="1"/>
  <c r="G6670" i="1"/>
  <c r="E6670" i="1"/>
  <c r="H6669" i="1"/>
  <c r="G6669" i="1"/>
  <c r="E6669" i="1"/>
  <c r="H6668" i="1"/>
  <c r="G6668" i="1"/>
  <c r="E6668" i="1"/>
  <c r="H6667" i="1"/>
  <c r="G6667" i="1"/>
  <c r="E6667" i="1"/>
  <c r="H6666" i="1"/>
  <c r="G6666" i="1"/>
  <c r="E6666" i="1"/>
  <c r="H6665" i="1"/>
  <c r="G6665" i="1"/>
  <c r="E6665" i="1"/>
  <c r="H6664" i="1"/>
  <c r="G6664" i="1"/>
  <c r="E6664" i="1"/>
  <c r="H6663" i="1"/>
  <c r="G6663" i="1"/>
  <c r="E6663" i="1"/>
  <c r="H6662" i="1"/>
  <c r="G6662" i="1"/>
  <c r="E6662" i="1"/>
  <c r="H6661" i="1"/>
  <c r="G6661" i="1"/>
  <c r="E6661" i="1"/>
  <c r="H6660" i="1"/>
  <c r="G6660" i="1"/>
  <c r="E6660" i="1"/>
  <c r="H6659" i="1"/>
  <c r="G6659" i="1"/>
  <c r="E6659" i="1"/>
  <c r="H6658" i="1"/>
  <c r="G6658" i="1"/>
  <c r="E6658" i="1"/>
  <c r="H6657" i="1"/>
  <c r="G6657" i="1"/>
  <c r="E6657" i="1"/>
  <c r="H6656" i="1"/>
  <c r="G6656" i="1"/>
  <c r="E6656" i="1"/>
  <c r="H6655" i="1"/>
  <c r="G6655" i="1"/>
  <c r="E6655" i="1"/>
  <c r="H6654" i="1"/>
  <c r="G6654" i="1"/>
  <c r="E6654" i="1"/>
  <c r="H6653" i="1"/>
  <c r="G6653" i="1"/>
  <c r="E6653" i="1"/>
  <c r="H6652" i="1"/>
  <c r="G6652" i="1"/>
  <c r="E6652" i="1"/>
  <c r="H6651" i="1"/>
  <c r="G6651" i="1"/>
  <c r="E6651" i="1"/>
  <c r="H6650" i="1"/>
  <c r="G6650" i="1"/>
  <c r="E6650" i="1"/>
  <c r="H6649" i="1"/>
  <c r="G6649" i="1"/>
  <c r="E6649" i="1"/>
  <c r="H6648" i="1"/>
  <c r="G6648" i="1"/>
  <c r="E6648" i="1"/>
  <c r="H6647" i="1"/>
  <c r="G6647" i="1"/>
  <c r="E6647" i="1"/>
  <c r="H6646" i="1"/>
  <c r="G6646" i="1"/>
  <c r="E6646" i="1"/>
  <c r="H6645" i="1"/>
  <c r="G6645" i="1"/>
  <c r="E6645" i="1"/>
  <c r="H6644" i="1"/>
  <c r="G6644" i="1"/>
  <c r="E6644" i="1"/>
  <c r="H6643" i="1"/>
  <c r="G6643" i="1"/>
  <c r="E6643" i="1"/>
  <c r="H6642" i="1"/>
  <c r="G6642" i="1"/>
  <c r="E6642" i="1"/>
  <c r="H6641" i="1"/>
  <c r="G6641" i="1"/>
  <c r="E6641" i="1"/>
  <c r="H6640" i="1"/>
  <c r="G6640" i="1"/>
  <c r="E6640" i="1"/>
  <c r="H6639" i="1"/>
  <c r="G6639" i="1"/>
  <c r="E6639" i="1"/>
  <c r="H6638" i="1"/>
  <c r="G6638" i="1"/>
  <c r="E6638" i="1"/>
  <c r="H6637" i="1"/>
  <c r="G6637" i="1"/>
  <c r="E6637" i="1"/>
  <c r="H6636" i="1"/>
  <c r="G6636" i="1"/>
  <c r="E6636" i="1"/>
  <c r="H6635" i="1"/>
  <c r="G6635" i="1"/>
  <c r="E6635" i="1"/>
  <c r="H6634" i="1"/>
  <c r="G6634" i="1"/>
  <c r="E6634" i="1"/>
  <c r="H6633" i="1"/>
  <c r="G6633" i="1"/>
  <c r="E6633" i="1"/>
  <c r="H6632" i="1"/>
  <c r="G6632" i="1"/>
  <c r="E6632" i="1"/>
  <c r="H6631" i="1"/>
  <c r="G6631" i="1"/>
  <c r="E6631" i="1"/>
  <c r="H6630" i="1"/>
  <c r="G6630" i="1"/>
  <c r="E6630" i="1"/>
  <c r="H6629" i="1"/>
  <c r="G6629" i="1"/>
  <c r="E6629" i="1"/>
  <c r="H6628" i="1"/>
  <c r="G6628" i="1"/>
  <c r="E6628" i="1"/>
  <c r="H6627" i="1"/>
  <c r="G6627" i="1"/>
  <c r="E6627" i="1"/>
  <c r="H6626" i="1"/>
  <c r="G6626" i="1"/>
  <c r="E6626" i="1"/>
  <c r="H6625" i="1"/>
  <c r="G6625" i="1"/>
  <c r="E6625" i="1"/>
  <c r="H6624" i="1"/>
  <c r="G6624" i="1"/>
  <c r="E6624" i="1"/>
  <c r="H6623" i="1"/>
  <c r="G6623" i="1"/>
  <c r="E6623" i="1"/>
  <c r="H6622" i="1"/>
  <c r="G6622" i="1"/>
  <c r="E6622" i="1"/>
  <c r="H6621" i="1"/>
  <c r="G6621" i="1"/>
  <c r="E6621" i="1"/>
  <c r="H6620" i="1"/>
  <c r="G6620" i="1"/>
  <c r="E6620" i="1"/>
  <c r="H6619" i="1"/>
  <c r="G6619" i="1"/>
  <c r="E6619" i="1"/>
  <c r="H6618" i="1"/>
  <c r="G6618" i="1"/>
  <c r="E6618" i="1"/>
  <c r="H6617" i="1"/>
  <c r="G6617" i="1"/>
  <c r="E6617" i="1"/>
  <c r="H6616" i="1"/>
  <c r="G6616" i="1"/>
  <c r="E6616" i="1"/>
  <c r="H6615" i="1"/>
  <c r="G6615" i="1"/>
  <c r="E6615" i="1"/>
  <c r="H6614" i="1"/>
  <c r="G6614" i="1"/>
  <c r="E6614" i="1"/>
  <c r="H6613" i="1"/>
  <c r="G6613" i="1"/>
  <c r="E6613" i="1"/>
  <c r="H6612" i="1"/>
  <c r="G6612" i="1"/>
  <c r="E6612" i="1"/>
  <c r="H6611" i="1"/>
  <c r="G6611" i="1"/>
  <c r="E6611" i="1"/>
  <c r="H6610" i="1"/>
  <c r="G6610" i="1"/>
  <c r="E6610" i="1"/>
  <c r="H6609" i="1"/>
  <c r="G6609" i="1"/>
  <c r="E6609" i="1"/>
  <c r="H6608" i="1"/>
  <c r="G6608" i="1"/>
  <c r="E6608" i="1"/>
  <c r="H6607" i="1"/>
  <c r="G6607" i="1"/>
  <c r="E6607" i="1"/>
  <c r="H6606" i="1"/>
  <c r="G6606" i="1"/>
  <c r="E6606" i="1"/>
  <c r="H6605" i="1"/>
  <c r="G6605" i="1"/>
  <c r="E6605" i="1"/>
  <c r="H6604" i="1"/>
  <c r="G6604" i="1"/>
  <c r="E6604" i="1"/>
  <c r="H6603" i="1"/>
  <c r="G6603" i="1"/>
  <c r="E6603" i="1"/>
  <c r="H6602" i="1"/>
  <c r="G6602" i="1"/>
  <c r="E6602" i="1"/>
  <c r="H6601" i="1"/>
  <c r="G6601" i="1"/>
  <c r="E6601" i="1"/>
  <c r="H6600" i="1"/>
  <c r="G6600" i="1"/>
  <c r="E6600" i="1"/>
  <c r="H6599" i="1"/>
  <c r="G6599" i="1"/>
  <c r="E6599" i="1"/>
  <c r="H6598" i="1"/>
  <c r="G6598" i="1"/>
  <c r="E6598" i="1"/>
  <c r="H6597" i="1"/>
  <c r="G6597" i="1"/>
  <c r="E6597" i="1"/>
  <c r="H6596" i="1"/>
  <c r="G6596" i="1"/>
  <c r="E6596" i="1"/>
  <c r="H6595" i="1"/>
  <c r="G6595" i="1"/>
  <c r="E6595" i="1"/>
  <c r="H6594" i="1"/>
  <c r="G6594" i="1"/>
  <c r="E6594" i="1"/>
  <c r="H6593" i="1"/>
  <c r="G6593" i="1"/>
  <c r="E6593" i="1"/>
  <c r="H6592" i="1"/>
  <c r="G6592" i="1"/>
  <c r="E6592" i="1"/>
  <c r="H6591" i="1"/>
  <c r="G6591" i="1"/>
  <c r="E6591" i="1"/>
  <c r="H6590" i="1"/>
  <c r="G6590" i="1"/>
  <c r="E6590" i="1"/>
  <c r="H6589" i="1"/>
  <c r="G6589" i="1"/>
  <c r="E6589" i="1"/>
  <c r="H6588" i="1"/>
  <c r="G6588" i="1"/>
  <c r="E6588" i="1"/>
  <c r="H6587" i="1"/>
  <c r="G6587" i="1"/>
  <c r="E6587" i="1"/>
  <c r="H6586" i="1"/>
  <c r="G6586" i="1"/>
  <c r="E6586" i="1"/>
  <c r="H6585" i="1"/>
  <c r="G6585" i="1"/>
  <c r="E6585" i="1"/>
  <c r="H6584" i="1"/>
  <c r="G6584" i="1"/>
  <c r="E6584" i="1"/>
  <c r="H6583" i="1"/>
  <c r="G6583" i="1"/>
  <c r="E6583" i="1"/>
  <c r="H6582" i="1"/>
  <c r="G6582" i="1"/>
  <c r="E6582" i="1"/>
  <c r="H6581" i="1"/>
  <c r="G6581" i="1"/>
  <c r="E6581" i="1"/>
  <c r="H6580" i="1"/>
  <c r="G6580" i="1"/>
  <c r="E6580" i="1"/>
  <c r="H6579" i="1"/>
  <c r="G6579" i="1"/>
  <c r="E6579" i="1"/>
  <c r="H6578" i="1"/>
  <c r="G6578" i="1"/>
  <c r="E6578" i="1"/>
  <c r="H6577" i="1"/>
  <c r="G6577" i="1"/>
  <c r="E6577" i="1"/>
  <c r="H6576" i="1"/>
  <c r="G6576" i="1"/>
  <c r="E6576" i="1"/>
  <c r="H6575" i="1"/>
  <c r="G6575" i="1"/>
  <c r="E6575" i="1"/>
  <c r="H6574" i="1"/>
  <c r="G6574" i="1"/>
  <c r="E6574" i="1"/>
  <c r="H6573" i="1"/>
  <c r="G6573" i="1"/>
  <c r="E6573" i="1"/>
  <c r="H6572" i="1"/>
  <c r="G6572" i="1"/>
  <c r="E6572" i="1"/>
  <c r="H6571" i="1"/>
  <c r="G6571" i="1"/>
  <c r="E6571" i="1"/>
  <c r="H6570" i="1"/>
  <c r="G6570" i="1"/>
  <c r="E6570" i="1"/>
  <c r="H6569" i="1"/>
  <c r="G6569" i="1"/>
  <c r="E6569" i="1"/>
  <c r="H6568" i="1"/>
  <c r="G6568" i="1"/>
  <c r="E6568" i="1"/>
  <c r="H6567" i="1"/>
  <c r="G6567" i="1"/>
  <c r="E6567" i="1"/>
  <c r="H6566" i="1"/>
  <c r="G6566" i="1"/>
  <c r="E6566" i="1"/>
  <c r="H6565" i="1"/>
  <c r="G6565" i="1"/>
  <c r="E6565" i="1"/>
  <c r="H6564" i="1"/>
  <c r="G6564" i="1"/>
  <c r="E6564" i="1"/>
  <c r="H6563" i="1"/>
  <c r="G6563" i="1"/>
  <c r="E6563" i="1"/>
  <c r="H6562" i="1"/>
  <c r="G6562" i="1"/>
  <c r="E6562" i="1"/>
  <c r="H6561" i="1"/>
  <c r="G6561" i="1"/>
  <c r="E6561" i="1"/>
  <c r="H6560" i="1"/>
  <c r="G6560" i="1"/>
  <c r="E6560" i="1"/>
  <c r="H6559" i="1"/>
  <c r="G6559" i="1"/>
  <c r="E6559" i="1"/>
  <c r="H6558" i="1"/>
  <c r="G6558" i="1"/>
  <c r="E6558" i="1"/>
  <c r="H6557" i="1"/>
  <c r="G6557" i="1"/>
  <c r="E6557" i="1"/>
  <c r="H6556" i="1"/>
  <c r="G6556" i="1"/>
  <c r="E6556" i="1"/>
  <c r="H6555" i="1"/>
  <c r="G6555" i="1"/>
  <c r="E6555" i="1"/>
  <c r="H6554" i="1"/>
  <c r="G6554" i="1"/>
  <c r="E6554" i="1"/>
  <c r="H6553" i="1"/>
  <c r="G6553" i="1"/>
  <c r="E6553" i="1"/>
  <c r="H6552" i="1"/>
  <c r="G6552" i="1"/>
  <c r="E6552" i="1"/>
  <c r="H6551" i="1"/>
  <c r="G6551" i="1"/>
  <c r="E6551" i="1"/>
  <c r="H6550" i="1"/>
  <c r="G6550" i="1"/>
  <c r="E6550" i="1"/>
  <c r="H6549" i="1"/>
  <c r="G6549" i="1"/>
  <c r="E6549" i="1"/>
  <c r="H6548" i="1"/>
  <c r="G6548" i="1"/>
  <c r="E6548" i="1"/>
  <c r="H6547" i="1"/>
  <c r="G6547" i="1"/>
  <c r="E6547" i="1"/>
  <c r="H6546" i="1"/>
  <c r="G6546" i="1"/>
  <c r="E6546" i="1"/>
  <c r="H6545" i="1"/>
  <c r="G6545" i="1"/>
  <c r="E6545" i="1"/>
  <c r="H6544" i="1"/>
  <c r="G6544" i="1"/>
  <c r="E6544" i="1"/>
  <c r="H6543" i="1"/>
  <c r="G6543" i="1"/>
  <c r="E6543" i="1"/>
  <c r="H6542" i="1"/>
  <c r="G6542" i="1"/>
  <c r="E6542" i="1"/>
  <c r="H6541" i="1"/>
  <c r="G6541" i="1"/>
  <c r="E6541" i="1"/>
  <c r="H6540" i="1"/>
  <c r="G6540" i="1"/>
  <c r="E6540" i="1"/>
  <c r="H6539" i="1"/>
  <c r="G6539" i="1"/>
  <c r="E6539" i="1"/>
  <c r="H6538" i="1"/>
  <c r="G6538" i="1"/>
  <c r="E6538" i="1"/>
  <c r="H6537" i="1"/>
  <c r="G6537" i="1"/>
  <c r="E6537" i="1"/>
  <c r="H6536" i="1"/>
  <c r="G6536" i="1"/>
  <c r="E6536" i="1"/>
  <c r="H6535" i="1"/>
  <c r="G6535" i="1"/>
  <c r="E6535" i="1"/>
  <c r="H6534" i="1"/>
  <c r="G6534" i="1"/>
  <c r="E6534" i="1"/>
  <c r="H6533" i="1"/>
  <c r="G6533" i="1"/>
  <c r="E6533" i="1"/>
  <c r="H6532" i="1"/>
  <c r="G6532" i="1"/>
  <c r="E6532" i="1"/>
  <c r="H6531" i="1"/>
  <c r="G6531" i="1"/>
  <c r="E6531" i="1"/>
  <c r="H6530" i="1"/>
  <c r="G6530" i="1"/>
  <c r="E6530" i="1"/>
  <c r="H6529" i="1"/>
  <c r="G6529" i="1"/>
  <c r="E6529" i="1"/>
  <c r="H6528" i="1"/>
  <c r="G6528" i="1"/>
  <c r="E6528" i="1"/>
  <c r="H6527" i="1"/>
  <c r="G6527" i="1"/>
  <c r="E6527" i="1"/>
  <c r="H6526" i="1"/>
  <c r="G6526" i="1"/>
  <c r="E6526" i="1"/>
  <c r="H6525" i="1"/>
  <c r="G6525" i="1"/>
  <c r="E6525" i="1"/>
  <c r="H6524" i="1"/>
  <c r="G6524" i="1"/>
  <c r="E6524" i="1"/>
  <c r="H6523" i="1"/>
  <c r="G6523" i="1"/>
  <c r="E6523" i="1"/>
  <c r="H6522" i="1"/>
  <c r="G6522" i="1"/>
  <c r="E6522" i="1"/>
  <c r="H6521" i="1"/>
  <c r="G6521" i="1"/>
  <c r="E6521" i="1"/>
  <c r="H6520" i="1"/>
  <c r="G6520" i="1"/>
  <c r="E6520" i="1"/>
  <c r="H6519" i="1"/>
  <c r="G6519" i="1"/>
  <c r="E6519" i="1"/>
  <c r="H6518" i="1"/>
  <c r="G6518" i="1"/>
  <c r="E6518" i="1"/>
  <c r="H6517" i="1"/>
  <c r="G6517" i="1"/>
  <c r="E6517" i="1"/>
  <c r="H6516" i="1"/>
  <c r="G6516" i="1"/>
  <c r="E6516" i="1"/>
  <c r="H6515" i="1"/>
  <c r="G6515" i="1"/>
  <c r="E6515" i="1"/>
  <c r="H6514" i="1"/>
  <c r="G6514" i="1"/>
  <c r="E6514" i="1"/>
  <c r="H6513" i="1"/>
  <c r="G6513" i="1"/>
  <c r="E6513" i="1"/>
  <c r="H6512" i="1"/>
  <c r="G6512" i="1"/>
  <c r="E6512" i="1"/>
  <c r="H6511" i="1"/>
  <c r="G6511" i="1"/>
  <c r="E6511" i="1"/>
  <c r="H6510" i="1"/>
  <c r="G6510" i="1"/>
  <c r="E6510" i="1"/>
  <c r="H6509" i="1"/>
  <c r="G6509" i="1"/>
  <c r="E6509" i="1"/>
  <c r="H6508" i="1"/>
  <c r="G6508" i="1"/>
  <c r="E6508" i="1"/>
  <c r="H6507" i="1"/>
  <c r="G6507" i="1"/>
  <c r="E6507" i="1"/>
  <c r="H6506" i="1"/>
  <c r="G6506" i="1"/>
  <c r="E6506" i="1"/>
  <c r="H6505" i="1"/>
  <c r="G6505" i="1"/>
  <c r="E6505" i="1"/>
  <c r="H6504" i="1"/>
  <c r="G6504" i="1"/>
  <c r="E6504" i="1"/>
  <c r="H6503" i="1"/>
  <c r="G6503" i="1"/>
  <c r="E6503" i="1"/>
  <c r="H6502" i="1"/>
  <c r="G6502" i="1"/>
  <c r="E6502" i="1"/>
  <c r="H6501" i="1"/>
  <c r="G6501" i="1"/>
  <c r="E6501" i="1"/>
  <c r="H6500" i="1"/>
  <c r="G6500" i="1"/>
  <c r="E6500" i="1"/>
  <c r="H6499" i="1"/>
  <c r="G6499" i="1"/>
  <c r="E6499" i="1"/>
  <c r="H6498" i="1"/>
  <c r="G6498" i="1"/>
  <c r="E6498" i="1"/>
  <c r="H6497" i="1"/>
  <c r="G6497" i="1"/>
  <c r="E6497" i="1"/>
  <c r="H6496" i="1"/>
  <c r="G6496" i="1"/>
  <c r="E6496" i="1"/>
  <c r="H6495" i="1"/>
  <c r="G6495" i="1"/>
  <c r="E6495" i="1"/>
  <c r="H6494" i="1"/>
  <c r="G6494" i="1"/>
  <c r="E6494" i="1"/>
  <c r="H6493" i="1"/>
  <c r="G6493" i="1"/>
  <c r="E6493" i="1"/>
  <c r="H6492" i="1"/>
  <c r="G6492" i="1"/>
  <c r="E6492" i="1"/>
  <c r="H6491" i="1"/>
  <c r="G6491" i="1"/>
  <c r="E6491" i="1"/>
  <c r="H6490" i="1"/>
  <c r="G6490" i="1"/>
  <c r="E6490" i="1"/>
  <c r="H6489" i="1"/>
  <c r="G6489" i="1"/>
  <c r="E6489" i="1"/>
  <c r="H6488" i="1"/>
  <c r="G6488" i="1"/>
  <c r="E6488" i="1"/>
  <c r="H6487" i="1"/>
  <c r="G6487" i="1"/>
  <c r="E6487" i="1"/>
  <c r="H6486" i="1"/>
  <c r="G6486" i="1"/>
  <c r="E6486" i="1"/>
  <c r="H6485" i="1"/>
  <c r="G6485" i="1"/>
  <c r="E6485" i="1"/>
  <c r="H6484" i="1"/>
  <c r="G6484" i="1"/>
  <c r="E6484" i="1"/>
  <c r="H6483" i="1"/>
  <c r="G6483" i="1"/>
  <c r="E6483" i="1"/>
  <c r="H6482" i="1"/>
  <c r="G6482" i="1"/>
  <c r="E6482" i="1"/>
  <c r="H6481" i="1"/>
  <c r="G6481" i="1"/>
  <c r="E6481" i="1"/>
  <c r="H6480" i="1"/>
  <c r="G6480" i="1"/>
  <c r="E6480" i="1"/>
  <c r="H6479" i="1"/>
  <c r="G6479" i="1"/>
  <c r="E6479" i="1"/>
  <c r="H6478" i="1"/>
  <c r="G6478" i="1"/>
  <c r="E6478" i="1"/>
  <c r="H6477" i="1"/>
  <c r="G6477" i="1"/>
  <c r="E6477" i="1"/>
  <c r="H6476" i="1"/>
  <c r="G6476" i="1"/>
  <c r="E6476" i="1"/>
  <c r="H6475" i="1"/>
  <c r="G6475" i="1"/>
  <c r="E6475" i="1"/>
  <c r="H6474" i="1"/>
  <c r="G6474" i="1"/>
  <c r="E6474" i="1"/>
  <c r="H6473" i="1"/>
  <c r="G6473" i="1"/>
  <c r="E6473" i="1"/>
  <c r="H6472" i="1"/>
  <c r="G6472" i="1"/>
  <c r="E6472" i="1"/>
  <c r="H6471" i="1"/>
  <c r="G6471" i="1"/>
  <c r="E6471" i="1"/>
  <c r="H6470" i="1"/>
  <c r="G6470" i="1"/>
  <c r="E6470" i="1"/>
  <c r="H6469" i="1"/>
  <c r="G6469" i="1"/>
  <c r="E6469" i="1"/>
  <c r="H6468" i="1"/>
  <c r="G6468" i="1"/>
  <c r="E6468" i="1"/>
  <c r="H6467" i="1"/>
  <c r="G6467" i="1"/>
  <c r="E6467" i="1"/>
  <c r="H6466" i="1"/>
  <c r="G6466" i="1"/>
  <c r="E6466" i="1"/>
  <c r="H6465" i="1"/>
  <c r="G6465" i="1"/>
  <c r="E6465" i="1"/>
  <c r="H6464" i="1"/>
  <c r="G6464" i="1"/>
  <c r="E6464" i="1"/>
  <c r="H6463" i="1"/>
  <c r="G6463" i="1"/>
  <c r="E6463" i="1"/>
  <c r="H6462" i="1"/>
  <c r="G6462" i="1"/>
  <c r="E6462" i="1"/>
  <c r="H6461" i="1"/>
  <c r="G6461" i="1"/>
  <c r="E6461" i="1"/>
  <c r="H6460" i="1"/>
  <c r="G6460" i="1"/>
  <c r="E6460" i="1"/>
  <c r="H6459" i="1"/>
  <c r="G6459" i="1"/>
  <c r="E6459" i="1"/>
  <c r="H6458" i="1"/>
  <c r="G6458" i="1"/>
  <c r="E6458" i="1"/>
  <c r="H6457" i="1"/>
  <c r="G6457" i="1"/>
  <c r="E6457" i="1"/>
  <c r="H6456" i="1"/>
  <c r="G6456" i="1"/>
  <c r="E6456" i="1"/>
  <c r="H6455" i="1"/>
  <c r="G6455" i="1"/>
  <c r="E6455" i="1"/>
  <c r="H6454" i="1"/>
  <c r="G6454" i="1"/>
  <c r="E6454" i="1"/>
  <c r="H6453" i="1"/>
  <c r="G6453" i="1"/>
  <c r="E6453" i="1"/>
  <c r="H6452" i="1"/>
  <c r="G6452" i="1"/>
  <c r="E6452" i="1"/>
  <c r="H6451" i="1"/>
  <c r="G6451" i="1"/>
  <c r="E6451" i="1"/>
  <c r="H6450" i="1"/>
  <c r="G6450" i="1"/>
  <c r="E6450" i="1"/>
  <c r="H6449" i="1"/>
  <c r="G6449" i="1"/>
  <c r="E6449" i="1"/>
  <c r="H6448" i="1"/>
  <c r="G6448" i="1"/>
  <c r="E6448" i="1"/>
  <c r="H6447" i="1"/>
  <c r="G6447" i="1"/>
  <c r="E6447" i="1"/>
  <c r="H6446" i="1"/>
  <c r="G6446" i="1"/>
  <c r="E6446" i="1"/>
  <c r="H6445" i="1"/>
  <c r="G6445" i="1"/>
  <c r="E6445" i="1"/>
  <c r="H6444" i="1"/>
  <c r="G6444" i="1"/>
  <c r="E6444" i="1"/>
  <c r="H6443" i="1"/>
  <c r="G6443" i="1"/>
  <c r="E6443" i="1"/>
  <c r="H6442" i="1"/>
  <c r="G6442" i="1"/>
  <c r="E6442" i="1"/>
  <c r="H6441" i="1"/>
  <c r="G6441" i="1"/>
  <c r="E6441" i="1"/>
  <c r="H6440" i="1"/>
  <c r="G6440" i="1"/>
  <c r="E6440" i="1"/>
  <c r="H6439" i="1"/>
  <c r="G6439" i="1"/>
  <c r="E6439" i="1"/>
  <c r="H6438" i="1"/>
  <c r="G6438" i="1"/>
  <c r="E6438" i="1"/>
  <c r="H6437" i="1"/>
  <c r="G6437" i="1"/>
  <c r="E6437" i="1"/>
  <c r="H6436" i="1"/>
  <c r="G6436" i="1"/>
  <c r="E6436" i="1"/>
  <c r="H6435" i="1"/>
  <c r="G6435" i="1"/>
  <c r="E6435" i="1"/>
  <c r="H6434" i="1"/>
  <c r="G6434" i="1"/>
  <c r="E6434" i="1"/>
  <c r="H6433" i="1"/>
  <c r="G6433" i="1"/>
  <c r="E6433" i="1"/>
  <c r="H6432" i="1"/>
  <c r="G6432" i="1"/>
  <c r="E6432" i="1"/>
  <c r="H6431" i="1"/>
  <c r="G6431" i="1"/>
  <c r="E6431" i="1"/>
  <c r="H6430" i="1"/>
  <c r="G6430" i="1"/>
  <c r="E6430" i="1"/>
  <c r="H6429" i="1"/>
  <c r="G6429" i="1"/>
  <c r="E6429" i="1"/>
  <c r="H6428" i="1"/>
  <c r="G6428" i="1"/>
  <c r="E6428" i="1"/>
  <c r="H6427" i="1"/>
  <c r="G6427" i="1"/>
  <c r="E6427" i="1"/>
  <c r="H6426" i="1"/>
  <c r="G6426" i="1"/>
  <c r="E6426" i="1"/>
  <c r="H6425" i="1"/>
  <c r="G6425" i="1"/>
  <c r="E6425" i="1"/>
  <c r="H6424" i="1"/>
  <c r="G6424" i="1"/>
  <c r="E6424" i="1"/>
  <c r="H6423" i="1"/>
  <c r="G6423" i="1"/>
  <c r="E6423" i="1"/>
  <c r="H6422" i="1"/>
  <c r="G6422" i="1"/>
  <c r="E6422" i="1"/>
  <c r="H6421" i="1"/>
  <c r="G6421" i="1"/>
  <c r="E6421" i="1"/>
  <c r="H6420" i="1"/>
  <c r="G6420" i="1"/>
  <c r="E6420" i="1"/>
  <c r="H6419" i="1"/>
  <c r="G6419" i="1"/>
  <c r="E6419" i="1"/>
  <c r="H6418" i="1"/>
  <c r="G6418" i="1"/>
  <c r="E6418" i="1"/>
  <c r="H6417" i="1"/>
  <c r="G6417" i="1"/>
  <c r="E6417" i="1"/>
  <c r="H6416" i="1"/>
  <c r="G6416" i="1"/>
  <c r="E6416" i="1"/>
  <c r="H6415" i="1"/>
  <c r="G6415" i="1"/>
  <c r="E6415" i="1"/>
  <c r="H6414" i="1"/>
  <c r="G6414" i="1"/>
  <c r="E6414" i="1"/>
  <c r="H6413" i="1"/>
  <c r="G6413" i="1"/>
  <c r="E6413" i="1"/>
  <c r="H6412" i="1"/>
  <c r="G6412" i="1"/>
  <c r="E6412" i="1"/>
  <c r="H6411" i="1"/>
  <c r="G6411" i="1"/>
  <c r="E6411" i="1"/>
  <c r="H6410" i="1"/>
  <c r="G6410" i="1"/>
  <c r="E6410" i="1"/>
  <c r="H6409" i="1"/>
  <c r="G6409" i="1"/>
  <c r="E6409" i="1"/>
  <c r="H6408" i="1"/>
  <c r="G6408" i="1"/>
  <c r="E6408" i="1"/>
  <c r="H6407" i="1"/>
  <c r="G6407" i="1"/>
  <c r="E6407" i="1"/>
  <c r="H6406" i="1"/>
  <c r="G6406" i="1"/>
  <c r="E6406" i="1"/>
  <c r="H6405" i="1"/>
  <c r="G6405" i="1"/>
  <c r="E6405" i="1"/>
  <c r="H6404" i="1"/>
  <c r="G6404" i="1"/>
  <c r="E6404" i="1"/>
  <c r="H6403" i="1"/>
  <c r="G6403" i="1"/>
  <c r="E6403" i="1"/>
  <c r="H6402" i="1"/>
  <c r="G6402" i="1"/>
  <c r="E6402" i="1"/>
  <c r="H6401" i="1"/>
  <c r="G6401" i="1"/>
  <c r="E6401" i="1"/>
  <c r="H6400" i="1"/>
  <c r="G6400" i="1"/>
  <c r="E6400" i="1"/>
  <c r="H6399" i="1"/>
  <c r="G6399" i="1"/>
  <c r="E6399" i="1"/>
  <c r="H6398" i="1"/>
  <c r="G6398" i="1"/>
  <c r="E6398" i="1"/>
  <c r="H6397" i="1"/>
  <c r="G6397" i="1"/>
  <c r="E6397" i="1"/>
  <c r="H6396" i="1"/>
  <c r="G6396" i="1"/>
  <c r="E6396" i="1"/>
  <c r="H6395" i="1"/>
  <c r="G6395" i="1"/>
  <c r="E6395" i="1"/>
  <c r="H6394" i="1"/>
  <c r="G6394" i="1"/>
  <c r="E6394" i="1"/>
  <c r="H6393" i="1"/>
  <c r="G6393" i="1"/>
  <c r="E6393" i="1"/>
  <c r="H6392" i="1"/>
  <c r="G6392" i="1"/>
  <c r="E6392" i="1"/>
  <c r="H6391" i="1"/>
  <c r="G6391" i="1"/>
  <c r="E6391" i="1"/>
  <c r="H6390" i="1"/>
  <c r="G6390" i="1"/>
  <c r="E6390" i="1"/>
  <c r="H6389" i="1"/>
  <c r="G6389" i="1"/>
  <c r="E6389" i="1"/>
  <c r="H6388" i="1"/>
  <c r="G6388" i="1"/>
  <c r="E6388" i="1"/>
  <c r="H6387" i="1"/>
  <c r="G6387" i="1"/>
  <c r="E6387" i="1"/>
  <c r="H6386" i="1"/>
  <c r="G6386" i="1"/>
  <c r="E6386" i="1"/>
  <c r="H6385" i="1"/>
  <c r="G6385" i="1"/>
  <c r="E6385" i="1"/>
  <c r="H6384" i="1"/>
  <c r="G6384" i="1"/>
  <c r="E6384" i="1"/>
  <c r="H6383" i="1"/>
  <c r="G6383" i="1"/>
  <c r="E6383" i="1"/>
  <c r="H6382" i="1"/>
  <c r="G6382" i="1"/>
  <c r="E6382" i="1"/>
  <c r="H6381" i="1"/>
  <c r="G6381" i="1"/>
  <c r="E6381" i="1"/>
  <c r="H6380" i="1"/>
  <c r="G6380" i="1"/>
  <c r="E6380" i="1"/>
  <c r="H6379" i="1"/>
  <c r="G6379" i="1"/>
  <c r="E6379" i="1"/>
  <c r="H6378" i="1"/>
  <c r="G6378" i="1"/>
  <c r="E6378" i="1"/>
  <c r="H6377" i="1"/>
  <c r="G6377" i="1"/>
  <c r="E6377" i="1"/>
  <c r="H6376" i="1"/>
  <c r="G6376" i="1"/>
  <c r="E6376" i="1"/>
  <c r="H6375" i="1"/>
  <c r="G6375" i="1"/>
  <c r="E6375" i="1"/>
  <c r="H6374" i="1"/>
  <c r="G6374" i="1"/>
  <c r="E6374" i="1"/>
  <c r="H6373" i="1"/>
  <c r="G6373" i="1"/>
  <c r="E6373" i="1"/>
  <c r="H6372" i="1"/>
  <c r="G6372" i="1"/>
  <c r="E6372" i="1"/>
  <c r="H6371" i="1"/>
  <c r="G6371" i="1"/>
  <c r="E6371" i="1"/>
  <c r="H6370" i="1"/>
  <c r="G6370" i="1"/>
  <c r="E6370" i="1"/>
  <c r="H6369" i="1"/>
  <c r="G6369" i="1"/>
  <c r="E6369" i="1"/>
  <c r="H6368" i="1"/>
  <c r="G6368" i="1"/>
  <c r="E6368" i="1"/>
  <c r="H6367" i="1"/>
  <c r="G6367" i="1"/>
  <c r="E6367" i="1"/>
  <c r="H6366" i="1"/>
  <c r="G6366" i="1"/>
  <c r="E6366" i="1"/>
  <c r="H6365" i="1"/>
  <c r="G6365" i="1"/>
  <c r="E6365" i="1"/>
  <c r="H6364" i="1"/>
  <c r="G6364" i="1"/>
  <c r="E6364" i="1"/>
  <c r="H6363" i="1"/>
  <c r="G6363" i="1"/>
  <c r="E6363" i="1"/>
  <c r="H6362" i="1"/>
  <c r="G6362" i="1"/>
  <c r="E6362" i="1"/>
  <c r="H6361" i="1"/>
  <c r="G6361" i="1"/>
  <c r="E6361" i="1"/>
  <c r="H6360" i="1"/>
  <c r="G6360" i="1"/>
  <c r="E6360" i="1"/>
  <c r="H6359" i="1"/>
  <c r="G6359" i="1"/>
  <c r="E6359" i="1"/>
  <c r="H6358" i="1"/>
  <c r="G6358" i="1"/>
  <c r="E6358" i="1"/>
  <c r="H6357" i="1"/>
  <c r="G6357" i="1"/>
  <c r="E6357" i="1"/>
  <c r="H6356" i="1"/>
  <c r="G6356" i="1"/>
  <c r="E6356" i="1"/>
  <c r="H6355" i="1"/>
  <c r="G6355" i="1"/>
  <c r="E6355" i="1"/>
  <c r="H6354" i="1"/>
  <c r="G6354" i="1"/>
  <c r="E6354" i="1"/>
  <c r="H6353" i="1"/>
  <c r="G6353" i="1"/>
  <c r="E6353" i="1"/>
  <c r="H6352" i="1"/>
  <c r="G6352" i="1"/>
  <c r="E6352" i="1"/>
  <c r="H6351" i="1"/>
  <c r="G6351" i="1"/>
  <c r="E6351" i="1"/>
  <c r="H6350" i="1"/>
  <c r="G6350" i="1"/>
  <c r="E6350" i="1"/>
  <c r="H6349" i="1"/>
  <c r="G6349" i="1"/>
  <c r="E6349" i="1"/>
  <c r="H6348" i="1"/>
  <c r="G6348" i="1"/>
  <c r="E6348" i="1"/>
  <c r="H6347" i="1"/>
  <c r="G6347" i="1"/>
  <c r="E6347" i="1"/>
  <c r="H6346" i="1"/>
  <c r="G6346" i="1"/>
  <c r="E6346" i="1"/>
  <c r="H6345" i="1"/>
  <c r="G6345" i="1"/>
  <c r="E6345" i="1"/>
  <c r="H6344" i="1"/>
  <c r="G6344" i="1"/>
  <c r="E6344" i="1"/>
  <c r="H6343" i="1"/>
  <c r="G6343" i="1"/>
  <c r="E6343" i="1"/>
  <c r="H6342" i="1"/>
  <c r="G6342" i="1"/>
  <c r="E6342" i="1"/>
  <c r="H6341" i="1"/>
  <c r="G6341" i="1"/>
  <c r="E6341" i="1"/>
  <c r="H6340" i="1"/>
  <c r="G6340" i="1"/>
  <c r="E6340" i="1"/>
  <c r="H6339" i="1"/>
  <c r="G6339" i="1"/>
  <c r="E6339" i="1"/>
  <c r="H6338" i="1"/>
  <c r="G6338" i="1"/>
  <c r="E6338" i="1"/>
  <c r="H6337" i="1"/>
  <c r="G6337" i="1"/>
  <c r="E6337" i="1"/>
  <c r="H6336" i="1"/>
  <c r="G6336" i="1"/>
  <c r="E6336" i="1"/>
  <c r="H6335" i="1"/>
  <c r="G6335" i="1"/>
  <c r="E6335" i="1"/>
  <c r="H6334" i="1"/>
  <c r="G6334" i="1"/>
  <c r="E6334" i="1"/>
  <c r="H6333" i="1"/>
  <c r="G6333" i="1"/>
  <c r="E6333" i="1"/>
  <c r="H6332" i="1"/>
  <c r="G6332" i="1"/>
  <c r="E6332" i="1"/>
  <c r="H6331" i="1"/>
  <c r="G6331" i="1"/>
  <c r="E6331" i="1"/>
  <c r="H6330" i="1"/>
  <c r="G6330" i="1"/>
  <c r="E6330" i="1"/>
  <c r="H6329" i="1"/>
  <c r="G6329" i="1"/>
  <c r="E6329" i="1"/>
  <c r="H6328" i="1"/>
  <c r="G6328" i="1"/>
  <c r="E6328" i="1"/>
  <c r="H6327" i="1"/>
  <c r="G6327" i="1"/>
  <c r="E6327" i="1"/>
  <c r="H6326" i="1"/>
  <c r="G6326" i="1"/>
  <c r="E6326" i="1"/>
  <c r="H6325" i="1"/>
  <c r="G6325" i="1"/>
  <c r="E6325" i="1"/>
  <c r="H6324" i="1"/>
  <c r="G6324" i="1"/>
  <c r="E6324" i="1"/>
  <c r="H6323" i="1"/>
  <c r="G6323" i="1"/>
  <c r="E6323" i="1"/>
  <c r="H6322" i="1"/>
  <c r="G6322" i="1"/>
  <c r="E6322" i="1"/>
  <c r="H6321" i="1"/>
  <c r="G6321" i="1"/>
  <c r="E6321" i="1"/>
  <c r="H6320" i="1"/>
  <c r="G6320" i="1"/>
  <c r="E6320" i="1"/>
  <c r="H6319" i="1"/>
  <c r="G6319" i="1"/>
  <c r="E6319" i="1"/>
  <c r="H6318" i="1"/>
  <c r="G6318" i="1"/>
  <c r="E6318" i="1"/>
  <c r="H6317" i="1"/>
  <c r="G6317" i="1"/>
  <c r="E6317" i="1"/>
  <c r="H6316" i="1"/>
  <c r="G6316" i="1"/>
  <c r="E6316" i="1"/>
  <c r="H6315" i="1"/>
  <c r="G6315" i="1"/>
  <c r="E6315" i="1"/>
  <c r="H6314" i="1"/>
  <c r="G6314" i="1"/>
  <c r="E6314" i="1"/>
  <c r="H6313" i="1"/>
  <c r="G6313" i="1"/>
  <c r="E6313" i="1"/>
  <c r="H6312" i="1"/>
  <c r="G6312" i="1"/>
  <c r="E6312" i="1"/>
  <c r="H6311" i="1"/>
  <c r="G6311" i="1"/>
  <c r="E6311" i="1"/>
  <c r="H6310" i="1"/>
  <c r="G6310" i="1"/>
  <c r="E6310" i="1"/>
  <c r="H6309" i="1"/>
  <c r="G6309" i="1"/>
  <c r="E6309" i="1"/>
  <c r="H6308" i="1"/>
  <c r="G6308" i="1"/>
  <c r="E6308" i="1"/>
  <c r="H6307" i="1"/>
  <c r="G6307" i="1"/>
  <c r="E6307" i="1"/>
  <c r="H6306" i="1"/>
  <c r="G6306" i="1"/>
  <c r="E6306" i="1"/>
  <c r="H6305" i="1"/>
  <c r="G6305" i="1"/>
  <c r="E6305" i="1"/>
  <c r="H6304" i="1"/>
  <c r="G6304" i="1"/>
  <c r="E6304" i="1"/>
  <c r="H6303" i="1"/>
  <c r="G6303" i="1"/>
  <c r="E6303" i="1"/>
  <c r="H6302" i="1"/>
  <c r="G6302" i="1"/>
  <c r="E6302" i="1"/>
  <c r="H6301" i="1"/>
  <c r="G6301" i="1"/>
  <c r="E6301" i="1"/>
  <c r="H6300" i="1"/>
  <c r="G6300" i="1"/>
  <c r="E6300" i="1"/>
  <c r="H6299" i="1"/>
  <c r="G6299" i="1"/>
  <c r="E6299" i="1"/>
  <c r="H6298" i="1"/>
  <c r="G6298" i="1"/>
  <c r="E6298" i="1"/>
  <c r="H6297" i="1"/>
  <c r="G6297" i="1"/>
  <c r="E6297" i="1"/>
  <c r="H6296" i="1"/>
  <c r="G6296" i="1"/>
  <c r="E6296" i="1"/>
  <c r="H6295" i="1"/>
  <c r="G6295" i="1"/>
  <c r="E6295" i="1"/>
  <c r="H6294" i="1"/>
  <c r="G6294" i="1"/>
  <c r="E6294" i="1"/>
  <c r="H6293" i="1"/>
  <c r="G6293" i="1"/>
  <c r="E6293" i="1"/>
  <c r="H6292" i="1"/>
  <c r="G6292" i="1"/>
  <c r="E6292" i="1"/>
  <c r="H6291" i="1"/>
  <c r="G6291" i="1"/>
  <c r="E6291" i="1"/>
  <c r="H6290" i="1"/>
  <c r="G6290" i="1"/>
  <c r="E6290" i="1"/>
  <c r="H6289" i="1"/>
  <c r="G6289" i="1"/>
  <c r="E6289" i="1"/>
  <c r="H6288" i="1"/>
  <c r="G6288" i="1"/>
  <c r="E6288" i="1"/>
  <c r="H6287" i="1"/>
  <c r="G6287" i="1"/>
  <c r="E6287" i="1"/>
  <c r="H6286" i="1"/>
  <c r="G6286" i="1"/>
  <c r="E6286" i="1"/>
  <c r="H6285" i="1"/>
  <c r="G6285" i="1"/>
  <c r="E6285" i="1"/>
  <c r="H6284" i="1"/>
  <c r="G6284" i="1"/>
  <c r="E6284" i="1"/>
  <c r="H6283" i="1"/>
  <c r="G6283" i="1"/>
  <c r="E6283" i="1"/>
  <c r="H6282" i="1"/>
  <c r="G6282" i="1"/>
  <c r="E6282" i="1"/>
  <c r="H6281" i="1"/>
  <c r="G6281" i="1"/>
  <c r="E6281" i="1"/>
  <c r="H6280" i="1"/>
  <c r="G6280" i="1"/>
  <c r="E6280" i="1"/>
  <c r="H6279" i="1"/>
  <c r="G6279" i="1"/>
  <c r="E6279" i="1"/>
  <c r="H6278" i="1"/>
  <c r="G6278" i="1"/>
  <c r="E6278" i="1"/>
  <c r="H6277" i="1"/>
  <c r="G6277" i="1"/>
  <c r="E6277" i="1"/>
  <c r="H6276" i="1"/>
  <c r="G6276" i="1"/>
  <c r="E6276" i="1"/>
  <c r="H6275" i="1"/>
  <c r="G6275" i="1"/>
  <c r="E6275" i="1"/>
  <c r="H6274" i="1"/>
  <c r="G6274" i="1"/>
  <c r="E6274" i="1"/>
  <c r="H6273" i="1"/>
  <c r="G6273" i="1"/>
  <c r="E6273" i="1"/>
  <c r="H6272" i="1"/>
  <c r="G6272" i="1"/>
  <c r="E6272" i="1"/>
  <c r="H6271" i="1"/>
  <c r="G6271" i="1"/>
  <c r="E6271" i="1"/>
  <c r="H6270" i="1"/>
  <c r="G6270" i="1"/>
  <c r="E6270" i="1"/>
  <c r="H6269" i="1"/>
  <c r="G6269" i="1"/>
  <c r="E6269" i="1"/>
  <c r="H6268" i="1"/>
  <c r="G6268" i="1"/>
  <c r="E6268" i="1"/>
  <c r="H6267" i="1"/>
  <c r="G6267" i="1"/>
  <c r="E6267" i="1"/>
  <c r="H6266" i="1"/>
  <c r="G6266" i="1"/>
  <c r="E6266" i="1"/>
  <c r="H6265" i="1"/>
  <c r="G6265" i="1"/>
  <c r="E6265" i="1"/>
  <c r="H6264" i="1"/>
  <c r="G6264" i="1"/>
  <c r="E6264" i="1"/>
  <c r="H6263" i="1"/>
  <c r="G6263" i="1"/>
  <c r="E6263" i="1"/>
  <c r="H6262" i="1"/>
  <c r="G6262" i="1"/>
  <c r="E6262" i="1"/>
  <c r="H6261" i="1"/>
  <c r="G6261" i="1"/>
  <c r="E6261" i="1"/>
  <c r="H6260" i="1"/>
  <c r="G6260" i="1"/>
  <c r="E6260" i="1"/>
  <c r="H6259" i="1"/>
  <c r="G6259" i="1"/>
  <c r="E6259" i="1"/>
  <c r="H6258" i="1"/>
  <c r="G6258" i="1"/>
  <c r="E6258" i="1"/>
  <c r="H6257" i="1"/>
  <c r="G6257" i="1"/>
  <c r="E6257" i="1"/>
  <c r="H6256" i="1"/>
  <c r="G6256" i="1"/>
  <c r="E6256" i="1"/>
  <c r="H6255" i="1"/>
  <c r="G6255" i="1"/>
  <c r="E6255" i="1"/>
  <c r="H6254" i="1"/>
  <c r="G6254" i="1"/>
  <c r="E6254" i="1"/>
  <c r="H6253" i="1"/>
  <c r="G6253" i="1"/>
  <c r="E6253" i="1"/>
  <c r="H6252" i="1"/>
  <c r="G6252" i="1"/>
  <c r="E6252" i="1"/>
  <c r="H6251" i="1"/>
  <c r="G6251" i="1"/>
  <c r="E6251" i="1"/>
  <c r="H6250" i="1"/>
  <c r="G6250" i="1"/>
  <c r="E6250" i="1"/>
  <c r="H6249" i="1"/>
  <c r="G6249" i="1"/>
  <c r="E6249" i="1"/>
  <c r="H6248" i="1"/>
  <c r="G6248" i="1"/>
  <c r="E6248" i="1"/>
  <c r="H6247" i="1"/>
  <c r="G6247" i="1"/>
  <c r="E6247" i="1"/>
  <c r="H6246" i="1"/>
  <c r="G6246" i="1"/>
  <c r="E6246" i="1"/>
  <c r="H6245" i="1"/>
  <c r="G6245" i="1"/>
  <c r="E6245" i="1"/>
  <c r="H6244" i="1"/>
  <c r="G6244" i="1"/>
  <c r="E6244" i="1"/>
  <c r="H6243" i="1"/>
  <c r="G6243" i="1"/>
  <c r="E6243" i="1"/>
  <c r="H6242" i="1"/>
  <c r="G6242" i="1"/>
  <c r="E6242" i="1"/>
  <c r="H6241" i="1"/>
  <c r="G6241" i="1"/>
  <c r="E6241" i="1"/>
  <c r="H6240" i="1"/>
  <c r="G6240" i="1"/>
  <c r="E6240" i="1"/>
  <c r="H6239" i="1"/>
  <c r="G6239" i="1"/>
  <c r="E6239" i="1"/>
  <c r="H6238" i="1"/>
  <c r="G6238" i="1"/>
  <c r="E6238" i="1"/>
  <c r="H6237" i="1"/>
  <c r="G6237" i="1"/>
  <c r="E6237" i="1"/>
  <c r="H6236" i="1"/>
  <c r="G6236" i="1"/>
  <c r="E6236" i="1"/>
  <c r="H6235" i="1"/>
  <c r="G6235" i="1"/>
  <c r="E6235" i="1"/>
  <c r="H6234" i="1"/>
  <c r="G6234" i="1"/>
  <c r="E6234" i="1"/>
  <c r="H6233" i="1"/>
  <c r="G6233" i="1"/>
  <c r="E6233" i="1"/>
  <c r="H6232" i="1"/>
  <c r="G6232" i="1"/>
  <c r="E6232" i="1"/>
  <c r="H6231" i="1"/>
  <c r="G6231" i="1"/>
  <c r="E6231" i="1"/>
  <c r="H6230" i="1"/>
  <c r="G6230" i="1"/>
  <c r="E6230" i="1"/>
  <c r="H6229" i="1"/>
  <c r="G6229" i="1"/>
  <c r="E6229" i="1"/>
  <c r="H6228" i="1"/>
  <c r="G6228" i="1"/>
  <c r="E6228" i="1"/>
  <c r="H6227" i="1"/>
  <c r="G6227" i="1"/>
  <c r="E6227" i="1"/>
  <c r="H6226" i="1"/>
  <c r="G6226" i="1"/>
  <c r="E6226" i="1"/>
  <c r="H6225" i="1"/>
  <c r="G6225" i="1"/>
  <c r="E6225" i="1"/>
  <c r="H6224" i="1"/>
  <c r="G6224" i="1"/>
  <c r="E6224" i="1"/>
  <c r="H6223" i="1"/>
  <c r="G6223" i="1"/>
  <c r="E6223" i="1"/>
  <c r="H6222" i="1"/>
  <c r="G6222" i="1"/>
  <c r="E6222" i="1"/>
  <c r="H6221" i="1"/>
  <c r="G6221" i="1"/>
  <c r="E6221" i="1"/>
  <c r="H6220" i="1"/>
  <c r="G6220" i="1"/>
  <c r="E6220" i="1"/>
  <c r="H6219" i="1"/>
  <c r="G6219" i="1"/>
  <c r="E6219" i="1"/>
  <c r="H6218" i="1"/>
  <c r="G6218" i="1"/>
  <c r="E6218" i="1"/>
  <c r="H6217" i="1"/>
  <c r="G6217" i="1"/>
  <c r="E6217" i="1"/>
  <c r="H6216" i="1"/>
  <c r="G6216" i="1"/>
  <c r="E6216" i="1"/>
  <c r="H6215" i="1"/>
  <c r="G6215" i="1"/>
  <c r="E6215" i="1"/>
  <c r="H6214" i="1"/>
  <c r="G6214" i="1"/>
  <c r="E6214" i="1"/>
  <c r="H6213" i="1"/>
  <c r="G6213" i="1"/>
  <c r="E6213" i="1"/>
  <c r="H6212" i="1"/>
  <c r="G6212" i="1"/>
  <c r="E6212" i="1"/>
  <c r="H6211" i="1"/>
  <c r="G6211" i="1"/>
  <c r="E6211" i="1"/>
  <c r="H6210" i="1"/>
  <c r="G6210" i="1"/>
  <c r="E6210" i="1"/>
  <c r="H6209" i="1"/>
  <c r="G6209" i="1"/>
  <c r="E6209" i="1"/>
  <c r="H6208" i="1"/>
  <c r="G6208" i="1"/>
  <c r="E6208" i="1"/>
  <c r="H6207" i="1"/>
  <c r="G6207" i="1"/>
  <c r="E6207" i="1"/>
  <c r="H6206" i="1"/>
  <c r="G6206" i="1"/>
  <c r="E6206" i="1"/>
  <c r="H6205" i="1"/>
  <c r="G6205" i="1"/>
  <c r="E6205" i="1"/>
  <c r="H6204" i="1"/>
  <c r="G6204" i="1"/>
  <c r="E6204" i="1"/>
  <c r="H6203" i="1"/>
  <c r="G6203" i="1"/>
  <c r="E6203" i="1"/>
  <c r="H6202" i="1"/>
  <c r="G6202" i="1"/>
  <c r="E6202" i="1"/>
  <c r="H6201" i="1"/>
  <c r="G6201" i="1"/>
  <c r="E6201" i="1"/>
  <c r="H6200" i="1"/>
  <c r="G6200" i="1"/>
  <c r="E6200" i="1"/>
  <c r="H6199" i="1"/>
  <c r="G6199" i="1"/>
  <c r="E6199" i="1"/>
  <c r="H6198" i="1"/>
  <c r="G6198" i="1"/>
  <c r="E6198" i="1"/>
  <c r="H6197" i="1"/>
  <c r="G6197" i="1"/>
  <c r="E6197" i="1"/>
  <c r="H6196" i="1"/>
  <c r="G6196" i="1"/>
  <c r="E6196" i="1"/>
  <c r="H6195" i="1"/>
  <c r="G6195" i="1"/>
  <c r="E6195" i="1"/>
  <c r="H6194" i="1"/>
  <c r="G6194" i="1"/>
  <c r="E6194" i="1"/>
  <c r="H6193" i="1"/>
  <c r="G6193" i="1"/>
  <c r="E6193" i="1"/>
  <c r="H6192" i="1"/>
  <c r="G6192" i="1"/>
  <c r="E6192" i="1"/>
  <c r="H6191" i="1"/>
  <c r="G6191" i="1"/>
  <c r="E6191" i="1"/>
  <c r="H6190" i="1"/>
  <c r="G6190" i="1"/>
  <c r="E6190" i="1"/>
  <c r="H6189" i="1"/>
  <c r="G6189" i="1"/>
  <c r="E6189" i="1"/>
  <c r="H6188" i="1"/>
  <c r="G6188" i="1"/>
  <c r="E6188" i="1"/>
  <c r="H6187" i="1"/>
  <c r="G6187" i="1"/>
  <c r="E6187" i="1"/>
  <c r="H6186" i="1"/>
  <c r="G6186" i="1"/>
  <c r="E6186" i="1"/>
  <c r="H6185" i="1"/>
  <c r="G6185" i="1"/>
  <c r="E6185" i="1"/>
  <c r="H6184" i="1"/>
  <c r="G6184" i="1"/>
  <c r="E6184" i="1"/>
  <c r="H6183" i="1"/>
  <c r="G6183" i="1"/>
  <c r="E6183" i="1"/>
  <c r="H6182" i="1"/>
  <c r="G6182" i="1"/>
  <c r="E6182" i="1"/>
  <c r="H6181" i="1"/>
  <c r="G6181" i="1"/>
  <c r="E6181" i="1"/>
  <c r="H6180" i="1"/>
  <c r="G6180" i="1"/>
  <c r="E6180" i="1"/>
  <c r="H6179" i="1"/>
  <c r="G6179" i="1"/>
  <c r="E6179" i="1"/>
  <c r="H6178" i="1"/>
  <c r="G6178" i="1"/>
  <c r="E6178" i="1"/>
  <c r="H6177" i="1"/>
  <c r="G6177" i="1"/>
  <c r="E6177" i="1"/>
  <c r="H6176" i="1"/>
  <c r="G6176" i="1"/>
  <c r="E6176" i="1"/>
  <c r="H6175" i="1"/>
  <c r="G6175" i="1"/>
  <c r="E6175" i="1"/>
  <c r="H6174" i="1"/>
  <c r="G6174" i="1"/>
  <c r="E6174" i="1"/>
  <c r="H6173" i="1"/>
  <c r="G6173" i="1"/>
  <c r="E6173" i="1"/>
  <c r="H6172" i="1"/>
  <c r="G6172" i="1"/>
  <c r="E6172" i="1"/>
  <c r="H6171" i="1"/>
  <c r="G6171" i="1"/>
  <c r="E6171" i="1"/>
  <c r="H6170" i="1"/>
  <c r="G6170" i="1"/>
  <c r="E6170" i="1"/>
  <c r="H6169" i="1"/>
  <c r="G6169" i="1"/>
  <c r="E6169" i="1"/>
  <c r="H6168" i="1"/>
  <c r="G6168" i="1"/>
  <c r="E6168" i="1"/>
  <c r="H6167" i="1"/>
  <c r="G6167" i="1"/>
  <c r="E6167" i="1"/>
  <c r="H6166" i="1"/>
  <c r="G6166" i="1"/>
  <c r="E6166" i="1"/>
  <c r="H6165" i="1"/>
  <c r="G6165" i="1"/>
  <c r="E6165" i="1"/>
  <c r="H6164" i="1"/>
  <c r="G6164" i="1"/>
  <c r="E6164" i="1"/>
  <c r="H6163" i="1"/>
  <c r="G6163" i="1"/>
  <c r="E6163" i="1"/>
  <c r="H6162" i="1"/>
  <c r="G6162" i="1"/>
  <c r="E6162" i="1"/>
  <c r="H6161" i="1"/>
  <c r="G6161" i="1"/>
  <c r="E6161" i="1"/>
  <c r="H6160" i="1"/>
  <c r="G6160" i="1"/>
  <c r="E6160" i="1"/>
  <c r="H6159" i="1"/>
  <c r="G6159" i="1"/>
  <c r="E6159" i="1"/>
  <c r="H6158" i="1"/>
  <c r="G6158" i="1"/>
  <c r="E6158" i="1"/>
  <c r="H6157" i="1"/>
  <c r="G6157" i="1"/>
  <c r="E6157" i="1"/>
  <c r="H6156" i="1"/>
  <c r="G6156" i="1"/>
  <c r="E6156" i="1"/>
  <c r="H6155" i="1"/>
  <c r="G6155" i="1"/>
  <c r="E6155" i="1"/>
  <c r="H6154" i="1"/>
  <c r="G6154" i="1"/>
  <c r="E6154" i="1"/>
  <c r="H6153" i="1"/>
  <c r="G6153" i="1"/>
  <c r="E6153" i="1"/>
  <c r="H6152" i="1"/>
  <c r="G6152" i="1"/>
  <c r="E6152" i="1"/>
  <c r="H6151" i="1"/>
  <c r="G6151" i="1"/>
  <c r="E6151" i="1"/>
  <c r="H6150" i="1"/>
  <c r="G6150" i="1"/>
  <c r="E6150" i="1"/>
  <c r="H6149" i="1"/>
  <c r="G6149" i="1"/>
  <c r="E6149" i="1"/>
  <c r="H6148" i="1"/>
  <c r="G6148" i="1"/>
  <c r="E6148" i="1"/>
  <c r="H6147" i="1"/>
  <c r="G6147" i="1"/>
  <c r="E6147" i="1"/>
  <c r="H6146" i="1"/>
  <c r="G6146" i="1"/>
  <c r="E6146" i="1"/>
  <c r="H6145" i="1"/>
  <c r="G6145" i="1"/>
  <c r="E6145" i="1"/>
  <c r="H6144" i="1"/>
  <c r="G6144" i="1"/>
  <c r="E6144" i="1"/>
  <c r="H6143" i="1"/>
  <c r="G6143" i="1"/>
  <c r="E6143" i="1"/>
  <c r="H6142" i="1"/>
  <c r="G6142" i="1"/>
  <c r="E6142" i="1"/>
  <c r="H6141" i="1"/>
  <c r="G6141" i="1"/>
  <c r="E6141" i="1"/>
  <c r="H6140" i="1"/>
  <c r="G6140" i="1"/>
  <c r="E6140" i="1"/>
  <c r="H6139" i="1"/>
  <c r="G6139" i="1"/>
  <c r="E6139" i="1"/>
  <c r="H6138" i="1"/>
  <c r="G6138" i="1"/>
  <c r="E6138" i="1"/>
  <c r="H6137" i="1"/>
  <c r="G6137" i="1"/>
  <c r="E6137" i="1"/>
  <c r="H6136" i="1"/>
  <c r="G6136" i="1"/>
  <c r="E6136" i="1"/>
  <c r="H6135" i="1"/>
  <c r="G6135" i="1"/>
  <c r="E6135" i="1"/>
  <c r="H6134" i="1"/>
  <c r="G6134" i="1"/>
  <c r="E6134" i="1"/>
  <c r="H6133" i="1"/>
  <c r="G6133" i="1"/>
  <c r="E6133" i="1"/>
  <c r="H6132" i="1"/>
  <c r="G6132" i="1"/>
  <c r="E6132" i="1"/>
  <c r="H6131" i="1"/>
  <c r="G6131" i="1"/>
  <c r="E6131" i="1"/>
  <c r="H6130" i="1"/>
  <c r="G6130" i="1"/>
  <c r="E6130" i="1"/>
  <c r="H6129" i="1"/>
  <c r="G6129" i="1"/>
  <c r="E6129" i="1"/>
  <c r="H6128" i="1"/>
  <c r="G6128" i="1"/>
  <c r="E6128" i="1"/>
  <c r="H6127" i="1"/>
  <c r="G6127" i="1"/>
  <c r="E6127" i="1"/>
  <c r="H6126" i="1"/>
  <c r="G6126" i="1"/>
  <c r="E6126" i="1"/>
  <c r="H6125" i="1"/>
  <c r="G6125" i="1"/>
  <c r="E6125" i="1"/>
  <c r="H6124" i="1"/>
  <c r="G6124" i="1"/>
  <c r="E6124" i="1"/>
  <c r="H6123" i="1"/>
  <c r="G6123" i="1"/>
  <c r="E6123" i="1"/>
  <c r="H6122" i="1"/>
  <c r="G6122" i="1"/>
  <c r="E6122" i="1"/>
  <c r="H6121" i="1"/>
  <c r="G6121" i="1"/>
  <c r="E6121" i="1"/>
  <c r="H6120" i="1"/>
  <c r="G6120" i="1"/>
  <c r="E6120" i="1"/>
  <c r="H6119" i="1"/>
  <c r="G6119" i="1"/>
  <c r="E6119" i="1"/>
  <c r="H6118" i="1"/>
  <c r="G6118" i="1"/>
  <c r="E6118" i="1"/>
  <c r="H6117" i="1"/>
  <c r="G6117" i="1"/>
  <c r="E6117" i="1"/>
  <c r="H6116" i="1"/>
  <c r="G6116" i="1"/>
  <c r="E6116" i="1"/>
  <c r="H6115" i="1"/>
  <c r="G6115" i="1"/>
  <c r="E6115" i="1"/>
  <c r="H6114" i="1"/>
  <c r="G6114" i="1"/>
  <c r="E6114" i="1"/>
  <c r="H6113" i="1"/>
  <c r="G6113" i="1"/>
  <c r="E6113" i="1"/>
  <c r="H6112" i="1"/>
  <c r="G6112" i="1"/>
  <c r="E6112" i="1"/>
  <c r="H6111" i="1"/>
  <c r="G6111" i="1"/>
  <c r="E6111" i="1"/>
  <c r="H6110" i="1"/>
  <c r="G6110" i="1"/>
  <c r="E6110" i="1"/>
  <c r="H6109" i="1"/>
  <c r="G6109" i="1"/>
  <c r="E6109" i="1"/>
  <c r="H6108" i="1"/>
  <c r="G6108" i="1"/>
  <c r="E6108" i="1"/>
  <c r="H6107" i="1"/>
  <c r="G6107" i="1"/>
  <c r="E6107" i="1"/>
  <c r="H6106" i="1"/>
  <c r="G6106" i="1"/>
  <c r="E6106" i="1"/>
  <c r="H6105" i="1"/>
  <c r="G6105" i="1"/>
  <c r="E6105" i="1"/>
  <c r="H6104" i="1"/>
  <c r="G6104" i="1"/>
  <c r="E6104" i="1"/>
  <c r="H6103" i="1"/>
  <c r="G6103" i="1"/>
  <c r="E6103" i="1"/>
  <c r="H6102" i="1"/>
  <c r="G6102" i="1"/>
  <c r="E6102" i="1"/>
  <c r="H6101" i="1"/>
  <c r="G6101" i="1"/>
  <c r="E6101" i="1"/>
  <c r="H6100" i="1"/>
  <c r="G6100" i="1"/>
  <c r="E6100" i="1"/>
  <c r="H6099" i="1"/>
  <c r="G6099" i="1"/>
  <c r="E6099" i="1"/>
  <c r="H6098" i="1"/>
  <c r="G6098" i="1"/>
  <c r="E6098" i="1"/>
  <c r="H6097" i="1"/>
  <c r="G6097" i="1"/>
  <c r="E6097" i="1"/>
  <c r="H6096" i="1"/>
  <c r="G6096" i="1"/>
  <c r="E6096" i="1"/>
  <c r="H6095" i="1"/>
  <c r="G6095" i="1"/>
  <c r="E6095" i="1"/>
  <c r="H6094" i="1"/>
  <c r="G6094" i="1"/>
  <c r="E6094" i="1"/>
  <c r="H6093" i="1"/>
  <c r="G6093" i="1"/>
  <c r="E6093" i="1"/>
  <c r="H6092" i="1"/>
  <c r="G6092" i="1"/>
  <c r="E6092" i="1"/>
  <c r="H6091" i="1"/>
  <c r="G6091" i="1"/>
  <c r="E6091" i="1"/>
  <c r="H6090" i="1"/>
  <c r="G6090" i="1"/>
  <c r="E6090" i="1"/>
  <c r="H6089" i="1"/>
  <c r="G6089" i="1"/>
  <c r="E6089" i="1"/>
  <c r="H6088" i="1"/>
  <c r="G6088" i="1"/>
  <c r="E6088" i="1"/>
  <c r="H6087" i="1"/>
  <c r="G6087" i="1"/>
  <c r="E6087" i="1"/>
  <c r="H6086" i="1"/>
  <c r="G6086" i="1"/>
  <c r="E6086" i="1"/>
  <c r="H6085" i="1"/>
  <c r="G6085" i="1"/>
  <c r="E6085" i="1"/>
  <c r="H6084" i="1"/>
  <c r="G6084" i="1"/>
  <c r="E6084" i="1"/>
  <c r="H6083" i="1"/>
  <c r="G6083" i="1"/>
  <c r="E6083" i="1"/>
  <c r="H6082" i="1"/>
  <c r="G6082" i="1"/>
  <c r="E6082" i="1"/>
  <c r="H6081" i="1"/>
  <c r="G6081" i="1"/>
  <c r="E6081" i="1"/>
  <c r="H6080" i="1"/>
  <c r="G6080" i="1"/>
  <c r="E6080" i="1"/>
  <c r="H6079" i="1"/>
  <c r="G6079" i="1"/>
  <c r="E6079" i="1"/>
  <c r="H6078" i="1"/>
  <c r="G6078" i="1"/>
  <c r="E6078" i="1"/>
  <c r="H6077" i="1"/>
  <c r="G6077" i="1"/>
  <c r="E6077" i="1"/>
  <c r="H6076" i="1"/>
  <c r="G6076" i="1"/>
  <c r="E6076" i="1"/>
  <c r="H6075" i="1"/>
  <c r="G6075" i="1"/>
  <c r="E6075" i="1"/>
  <c r="H6074" i="1"/>
  <c r="G6074" i="1"/>
  <c r="E6074" i="1"/>
  <c r="H6073" i="1"/>
  <c r="G6073" i="1"/>
  <c r="E6073" i="1"/>
  <c r="H6072" i="1"/>
  <c r="G6072" i="1"/>
  <c r="E6072" i="1"/>
  <c r="H6071" i="1"/>
  <c r="G6071" i="1"/>
  <c r="E6071" i="1"/>
  <c r="H6070" i="1"/>
  <c r="G6070" i="1"/>
  <c r="E6070" i="1"/>
  <c r="H6069" i="1"/>
  <c r="G6069" i="1"/>
  <c r="E6069" i="1"/>
  <c r="H6068" i="1"/>
  <c r="G6068" i="1"/>
  <c r="E6068" i="1"/>
  <c r="H6067" i="1"/>
  <c r="G6067" i="1"/>
  <c r="E6067" i="1"/>
  <c r="H6066" i="1"/>
  <c r="G6066" i="1"/>
  <c r="E6066" i="1"/>
  <c r="H6065" i="1"/>
  <c r="G6065" i="1"/>
  <c r="E6065" i="1"/>
  <c r="H6064" i="1"/>
  <c r="G6064" i="1"/>
  <c r="E6064" i="1"/>
  <c r="H6063" i="1"/>
  <c r="G6063" i="1"/>
  <c r="E6063" i="1"/>
  <c r="H6062" i="1"/>
  <c r="G6062" i="1"/>
  <c r="E6062" i="1"/>
  <c r="H6061" i="1"/>
  <c r="G6061" i="1"/>
  <c r="E6061" i="1"/>
  <c r="H6060" i="1"/>
  <c r="G6060" i="1"/>
  <c r="E6060" i="1"/>
  <c r="H6059" i="1"/>
  <c r="G6059" i="1"/>
  <c r="E6059" i="1"/>
  <c r="H6058" i="1"/>
  <c r="G6058" i="1"/>
  <c r="E6058" i="1"/>
  <c r="H6057" i="1"/>
  <c r="G6057" i="1"/>
  <c r="E6057" i="1"/>
  <c r="H6056" i="1"/>
  <c r="G6056" i="1"/>
  <c r="E6056" i="1"/>
  <c r="H6055" i="1"/>
  <c r="G6055" i="1"/>
  <c r="E6055" i="1"/>
  <c r="H6054" i="1"/>
  <c r="G6054" i="1"/>
  <c r="E6054" i="1"/>
  <c r="H6053" i="1"/>
  <c r="G6053" i="1"/>
  <c r="E6053" i="1"/>
  <c r="H6052" i="1"/>
  <c r="G6052" i="1"/>
  <c r="E6052" i="1"/>
  <c r="H6051" i="1"/>
  <c r="G6051" i="1"/>
  <c r="E6051" i="1"/>
  <c r="H6050" i="1"/>
  <c r="G6050" i="1"/>
  <c r="E6050" i="1"/>
  <c r="H6049" i="1"/>
  <c r="G6049" i="1"/>
  <c r="E6049" i="1"/>
  <c r="H6048" i="1"/>
  <c r="G6048" i="1"/>
  <c r="E6048" i="1"/>
  <c r="H6047" i="1"/>
  <c r="G6047" i="1"/>
  <c r="E6047" i="1"/>
  <c r="H6046" i="1"/>
  <c r="G6046" i="1"/>
  <c r="E6046" i="1"/>
  <c r="H6045" i="1"/>
  <c r="G6045" i="1"/>
  <c r="E6045" i="1"/>
  <c r="H6044" i="1"/>
  <c r="G6044" i="1"/>
  <c r="E6044" i="1"/>
  <c r="H6043" i="1"/>
  <c r="G6043" i="1"/>
  <c r="E6043" i="1"/>
  <c r="H6042" i="1"/>
  <c r="G6042" i="1"/>
  <c r="E6042" i="1"/>
  <c r="H6041" i="1"/>
  <c r="G6041" i="1"/>
  <c r="E6041" i="1"/>
  <c r="H6040" i="1"/>
  <c r="G6040" i="1"/>
  <c r="E6040" i="1"/>
  <c r="H6039" i="1"/>
  <c r="G6039" i="1"/>
  <c r="E6039" i="1"/>
  <c r="H6038" i="1"/>
  <c r="G6038" i="1"/>
  <c r="E6038" i="1"/>
  <c r="H6037" i="1"/>
  <c r="G6037" i="1"/>
  <c r="E6037" i="1"/>
  <c r="H6036" i="1"/>
  <c r="G6036" i="1"/>
  <c r="E6036" i="1"/>
  <c r="H6035" i="1"/>
  <c r="G6035" i="1"/>
  <c r="E6035" i="1"/>
  <c r="H6034" i="1"/>
  <c r="G6034" i="1"/>
  <c r="E6034" i="1"/>
  <c r="H6033" i="1"/>
  <c r="G6033" i="1"/>
  <c r="E6033" i="1"/>
  <c r="H6032" i="1"/>
  <c r="G6032" i="1"/>
  <c r="E6032" i="1"/>
  <c r="H6031" i="1"/>
  <c r="G6031" i="1"/>
  <c r="E6031" i="1"/>
  <c r="H6030" i="1"/>
  <c r="G6030" i="1"/>
  <c r="E6030" i="1"/>
  <c r="H6029" i="1"/>
  <c r="G6029" i="1"/>
  <c r="E6029" i="1"/>
  <c r="H6028" i="1"/>
  <c r="G6028" i="1"/>
  <c r="E6028" i="1"/>
  <c r="H6027" i="1"/>
  <c r="G6027" i="1"/>
  <c r="E6027" i="1"/>
  <c r="H6026" i="1"/>
  <c r="G6026" i="1"/>
  <c r="E6026" i="1"/>
  <c r="H6025" i="1"/>
  <c r="G6025" i="1"/>
  <c r="E6025" i="1"/>
  <c r="H6024" i="1"/>
  <c r="G6024" i="1"/>
  <c r="E6024" i="1"/>
  <c r="H6023" i="1"/>
  <c r="G6023" i="1"/>
  <c r="E6023" i="1"/>
  <c r="H6022" i="1"/>
  <c r="G6022" i="1"/>
  <c r="E6022" i="1"/>
  <c r="H6021" i="1"/>
  <c r="G6021" i="1"/>
  <c r="E6021" i="1"/>
  <c r="H6020" i="1"/>
  <c r="G6020" i="1"/>
  <c r="E6020" i="1"/>
  <c r="H6019" i="1"/>
  <c r="G6019" i="1"/>
  <c r="E6019" i="1"/>
  <c r="H6018" i="1"/>
  <c r="G6018" i="1"/>
  <c r="E6018" i="1"/>
  <c r="H6017" i="1"/>
  <c r="G6017" i="1"/>
  <c r="E6017" i="1"/>
  <c r="H6016" i="1"/>
  <c r="G6016" i="1"/>
  <c r="E6016" i="1"/>
  <c r="H6015" i="1"/>
  <c r="G6015" i="1"/>
  <c r="E6015" i="1"/>
  <c r="H6014" i="1"/>
  <c r="G6014" i="1"/>
  <c r="E6014" i="1"/>
  <c r="H6013" i="1"/>
  <c r="G6013" i="1"/>
  <c r="E6013" i="1"/>
  <c r="H6012" i="1"/>
  <c r="G6012" i="1"/>
  <c r="E6012" i="1"/>
  <c r="H6011" i="1"/>
  <c r="G6011" i="1"/>
  <c r="E6011" i="1"/>
  <c r="H6010" i="1"/>
  <c r="G6010" i="1"/>
  <c r="E6010" i="1"/>
  <c r="H6009" i="1"/>
  <c r="G6009" i="1"/>
  <c r="E6009" i="1"/>
  <c r="H6008" i="1"/>
  <c r="G6008" i="1"/>
  <c r="E6008" i="1"/>
  <c r="H6007" i="1"/>
  <c r="G6007" i="1"/>
  <c r="E6007" i="1"/>
  <c r="H6006" i="1"/>
  <c r="G6006" i="1"/>
  <c r="E6006" i="1"/>
  <c r="H6005" i="1"/>
  <c r="G6005" i="1"/>
  <c r="E6005" i="1"/>
  <c r="H6004" i="1"/>
  <c r="G6004" i="1"/>
  <c r="E6004" i="1"/>
  <c r="H6003" i="1"/>
  <c r="G6003" i="1"/>
  <c r="E6003" i="1"/>
  <c r="H6002" i="1"/>
  <c r="G6002" i="1"/>
  <c r="E6002" i="1"/>
  <c r="H6001" i="1"/>
  <c r="G6001" i="1"/>
  <c r="E6001" i="1"/>
  <c r="H6000" i="1"/>
  <c r="G6000" i="1"/>
  <c r="E6000" i="1"/>
  <c r="H5999" i="1"/>
  <c r="G5999" i="1"/>
  <c r="E5999" i="1"/>
  <c r="H5998" i="1"/>
  <c r="G5998" i="1"/>
  <c r="E5998" i="1"/>
  <c r="H5997" i="1"/>
  <c r="G5997" i="1"/>
  <c r="E5997" i="1"/>
  <c r="H5996" i="1"/>
  <c r="G5996" i="1"/>
  <c r="E5996" i="1"/>
  <c r="H5995" i="1"/>
  <c r="G5995" i="1"/>
  <c r="E5995" i="1"/>
  <c r="H5994" i="1"/>
  <c r="G5994" i="1"/>
  <c r="E5994" i="1"/>
  <c r="H5993" i="1"/>
  <c r="G5993" i="1"/>
  <c r="E5993" i="1"/>
  <c r="H5992" i="1"/>
  <c r="G5992" i="1"/>
  <c r="E5992" i="1"/>
  <c r="H5991" i="1"/>
  <c r="G5991" i="1"/>
  <c r="E5991" i="1"/>
  <c r="H5990" i="1"/>
  <c r="G5990" i="1"/>
  <c r="E5990" i="1"/>
  <c r="H5989" i="1"/>
  <c r="G5989" i="1"/>
  <c r="E5989" i="1"/>
  <c r="H5988" i="1"/>
  <c r="G5988" i="1"/>
  <c r="E5988" i="1"/>
  <c r="H5987" i="1"/>
  <c r="G5987" i="1"/>
  <c r="E5987" i="1"/>
  <c r="H5986" i="1"/>
  <c r="G5986" i="1"/>
  <c r="E5986" i="1"/>
  <c r="H5985" i="1"/>
  <c r="G5985" i="1"/>
  <c r="E5985" i="1"/>
  <c r="H5984" i="1"/>
  <c r="G5984" i="1"/>
  <c r="E5984" i="1"/>
  <c r="H5983" i="1"/>
  <c r="G5983" i="1"/>
  <c r="E5983" i="1"/>
  <c r="H5982" i="1"/>
  <c r="G5982" i="1"/>
  <c r="E5982" i="1"/>
  <c r="H5981" i="1"/>
  <c r="G5981" i="1"/>
  <c r="E5981" i="1"/>
  <c r="H5980" i="1"/>
  <c r="G5980" i="1"/>
  <c r="E5980" i="1"/>
  <c r="H5979" i="1"/>
  <c r="G5979" i="1"/>
  <c r="E5979" i="1"/>
  <c r="H5978" i="1"/>
  <c r="G5978" i="1"/>
  <c r="E5978" i="1"/>
  <c r="H5977" i="1"/>
  <c r="G5977" i="1"/>
  <c r="E5977" i="1"/>
  <c r="H5976" i="1"/>
  <c r="G5976" i="1"/>
  <c r="E5976" i="1"/>
  <c r="H5975" i="1"/>
  <c r="G5975" i="1"/>
  <c r="E5975" i="1"/>
  <c r="H5974" i="1"/>
  <c r="G5974" i="1"/>
  <c r="E5974" i="1"/>
  <c r="H5973" i="1"/>
  <c r="G5973" i="1"/>
  <c r="E5973" i="1"/>
  <c r="H5972" i="1"/>
  <c r="G5972" i="1"/>
  <c r="E5972" i="1"/>
  <c r="H5971" i="1"/>
  <c r="G5971" i="1"/>
  <c r="E5971" i="1"/>
  <c r="H5970" i="1"/>
  <c r="G5970" i="1"/>
  <c r="E5970" i="1"/>
  <c r="H5969" i="1"/>
  <c r="G5969" i="1"/>
  <c r="E5969" i="1"/>
  <c r="H5968" i="1"/>
  <c r="G5968" i="1"/>
  <c r="E5968" i="1"/>
  <c r="H5967" i="1"/>
  <c r="G5967" i="1"/>
  <c r="E5967" i="1"/>
  <c r="H5966" i="1"/>
  <c r="G5966" i="1"/>
  <c r="E5966" i="1"/>
  <c r="H5965" i="1"/>
  <c r="G5965" i="1"/>
  <c r="E5965" i="1"/>
  <c r="H5964" i="1"/>
  <c r="G5964" i="1"/>
  <c r="E5964" i="1"/>
  <c r="H5963" i="1"/>
  <c r="G5963" i="1"/>
  <c r="E5963" i="1"/>
  <c r="H5962" i="1"/>
  <c r="G5962" i="1"/>
  <c r="E5962" i="1"/>
  <c r="H5961" i="1"/>
  <c r="G5961" i="1"/>
  <c r="E5961" i="1"/>
  <c r="H5960" i="1"/>
  <c r="G5960" i="1"/>
  <c r="E5960" i="1"/>
  <c r="H5959" i="1"/>
  <c r="G5959" i="1"/>
  <c r="E5959" i="1"/>
  <c r="H5958" i="1"/>
  <c r="G5958" i="1"/>
  <c r="E5958" i="1"/>
  <c r="H5957" i="1"/>
  <c r="G5957" i="1"/>
  <c r="E5957" i="1"/>
  <c r="H5956" i="1"/>
  <c r="G5956" i="1"/>
  <c r="E5956" i="1"/>
  <c r="H5955" i="1"/>
  <c r="G5955" i="1"/>
  <c r="E5955" i="1"/>
  <c r="H5954" i="1"/>
  <c r="G5954" i="1"/>
  <c r="E5954" i="1"/>
  <c r="H5953" i="1"/>
  <c r="G5953" i="1"/>
  <c r="E5953" i="1"/>
  <c r="H5952" i="1"/>
  <c r="G5952" i="1"/>
  <c r="E5952" i="1"/>
  <c r="H5951" i="1"/>
  <c r="G5951" i="1"/>
  <c r="E5951" i="1"/>
  <c r="H5950" i="1"/>
  <c r="G5950" i="1"/>
  <c r="E5950" i="1"/>
  <c r="H5949" i="1"/>
  <c r="G5949" i="1"/>
  <c r="E5949" i="1"/>
  <c r="H5948" i="1"/>
  <c r="G5948" i="1"/>
  <c r="E5948" i="1"/>
  <c r="H5947" i="1"/>
  <c r="G5947" i="1"/>
  <c r="E5947" i="1"/>
  <c r="H5946" i="1"/>
  <c r="G5946" i="1"/>
  <c r="E5946" i="1"/>
  <c r="H5945" i="1"/>
  <c r="G5945" i="1"/>
  <c r="E5945" i="1"/>
  <c r="H5944" i="1"/>
  <c r="G5944" i="1"/>
  <c r="E5944" i="1"/>
  <c r="H5943" i="1"/>
  <c r="G5943" i="1"/>
  <c r="E5943" i="1"/>
  <c r="H5942" i="1"/>
  <c r="G5942" i="1"/>
  <c r="E5942" i="1"/>
  <c r="H5941" i="1"/>
  <c r="G5941" i="1"/>
  <c r="E5941" i="1"/>
  <c r="H5940" i="1"/>
  <c r="G5940" i="1"/>
  <c r="E5940" i="1"/>
  <c r="H5939" i="1"/>
  <c r="G5939" i="1"/>
  <c r="E5939" i="1"/>
  <c r="H5938" i="1"/>
  <c r="G5938" i="1"/>
  <c r="E5938" i="1"/>
  <c r="H5937" i="1"/>
  <c r="G5937" i="1"/>
  <c r="E5937" i="1"/>
  <c r="H5936" i="1"/>
  <c r="G5936" i="1"/>
  <c r="E5936" i="1"/>
  <c r="H5935" i="1"/>
  <c r="G5935" i="1"/>
  <c r="E5935" i="1"/>
  <c r="H5934" i="1"/>
  <c r="G5934" i="1"/>
  <c r="E5934" i="1"/>
  <c r="H5933" i="1"/>
  <c r="G5933" i="1"/>
  <c r="E5933" i="1"/>
  <c r="H5932" i="1"/>
  <c r="G5932" i="1"/>
  <c r="E5932" i="1"/>
  <c r="H5931" i="1"/>
  <c r="G5931" i="1"/>
  <c r="E5931" i="1"/>
  <c r="H5930" i="1"/>
  <c r="G5930" i="1"/>
  <c r="E5930" i="1"/>
  <c r="H5929" i="1"/>
  <c r="G5929" i="1"/>
  <c r="E5929" i="1"/>
  <c r="H5928" i="1"/>
  <c r="G5928" i="1"/>
  <c r="E5928" i="1"/>
  <c r="H5927" i="1"/>
  <c r="G5927" i="1"/>
  <c r="E5927" i="1"/>
  <c r="H5926" i="1"/>
  <c r="G5926" i="1"/>
  <c r="E5926" i="1"/>
  <c r="H5925" i="1"/>
  <c r="G5925" i="1"/>
  <c r="E5925" i="1"/>
  <c r="H5924" i="1"/>
  <c r="G5924" i="1"/>
  <c r="E5924" i="1"/>
  <c r="H5923" i="1"/>
  <c r="G5923" i="1"/>
  <c r="E5923" i="1"/>
  <c r="H5922" i="1"/>
  <c r="G5922" i="1"/>
  <c r="E5922" i="1"/>
  <c r="H5921" i="1"/>
  <c r="G5921" i="1"/>
  <c r="E5921" i="1"/>
  <c r="H5920" i="1"/>
  <c r="G5920" i="1"/>
  <c r="E5920" i="1"/>
  <c r="H5919" i="1"/>
  <c r="G5919" i="1"/>
  <c r="E5919" i="1"/>
  <c r="H5918" i="1"/>
  <c r="G5918" i="1"/>
  <c r="E5918" i="1"/>
  <c r="H5917" i="1"/>
  <c r="G5917" i="1"/>
  <c r="E5917" i="1"/>
  <c r="H5916" i="1"/>
  <c r="G5916" i="1"/>
  <c r="E5916" i="1"/>
  <c r="H5915" i="1"/>
  <c r="G5915" i="1"/>
  <c r="E5915" i="1"/>
  <c r="H5914" i="1"/>
  <c r="G5914" i="1"/>
  <c r="E5914" i="1"/>
  <c r="H5913" i="1"/>
  <c r="G5913" i="1"/>
  <c r="E5913" i="1"/>
  <c r="H5912" i="1"/>
  <c r="G5912" i="1"/>
  <c r="E5912" i="1"/>
  <c r="H5911" i="1"/>
  <c r="G5911" i="1"/>
  <c r="E5911" i="1"/>
  <c r="H5910" i="1"/>
  <c r="G5910" i="1"/>
  <c r="E5910" i="1"/>
  <c r="H5909" i="1"/>
  <c r="G5909" i="1"/>
  <c r="E5909" i="1"/>
  <c r="H5908" i="1"/>
  <c r="G5908" i="1"/>
  <c r="E5908" i="1"/>
  <c r="H5907" i="1"/>
  <c r="G5907" i="1"/>
  <c r="E5907" i="1"/>
  <c r="H5906" i="1"/>
  <c r="G5906" i="1"/>
  <c r="E5906" i="1"/>
  <c r="H5905" i="1"/>
  <c r="G5905" i="1"/>
  <c r="E5905" i="1"/>
  <c r="H5904" i="1"/>
  <c r="G5904" i="1"/>
  <c r="E5904" i="1"/>
  <c r="H5903" i="1"/>
  <c r="G5903" i="1"/>
  <c r="E5903" i="1"/>
  <c r="H5902" i="1"/>
  <c r="G5902" i="1"/>
  <c r="E5902" i="1"/>
  <c r="H5901" i="1"/>
  <c r="G5901" i="1"/>
  <c r="E5901" i="1"/>
  <c r="H5900" i="1"/>
  <c r="G5900" i="1"/>
  <c r="E5900" i="1"/>
  <c r="H5899" i="1"/>
  <c r="G5899" i="1"/>
  <c r="E5899" i="1"/>
  <c r="H5898" i="1"/>
  <c r="G5898" i="1"/>
  <c r="E5898" i="1"/>
  <c r="H5897" i="1"/>
  <c r="G5897" i="1"/>
  <c r="E5897" i="1"/>
  <c r="H5896" i="1"/>
  <c r="G5896" i="1"/>
  <c r="E5896" i="1"/>
  <c r="H5895" i="1"/>
  <c r="G5895" i="1"/>
  <c r="E5895" i="1"/>
  <c r="H5894" i="1"/>
  <c r="G5894" i="1"/>
  <c r="E5894" i="1"/>
  <c r="H5893" i="1"/>
  <c r="G5893" i="1"/>
  <c r="E5893" i="1"/>
  <c r="H5892" i="1"/>
  <c r="G5892" i="1"/>
  <c r="E5892" i="1"/>
  <c r="H5891" i="1"/>
  <c r="G5891" i="1"/>
  <c r="E5891" i="1"/>
  <c r="H5890" i="1"/>
  <c r="G5890" i="1"/>
  <c r="E5890" i="1"/>
  <c r="H5889" i="1"/>
  <c r="G5889" i="1"/>
  <c r="E5889" i="1"/>
  <c r="H5888" i="1"/>
  <c r="G5888" i="1"/>
  <c r="E5888" i="1"/>
  <c r="H5887" i="1"/>
  <c r="G5887" i="1"/>
  <c r="E5887" i="1"/>
  <c r="H5886" i="1"/>
  <c r="G5886" i="1"/>
  <c r="E5886" i="1"/>
  <c r="H5885" i="1"/>
  <c r="G5885" i="1"/>
  <c r="E5885" i="1"/>
  <c r="H5884" i="1"/>
  <c r="G5884" i="1"/>
  <c r="E5884" i="1"/>
  <c r="H5883" i="1"/>
  <c r="G5883" i="1"/>
  <c r="E5883" i="1"/>
  <c r="H5882" i="1"/>
  <c r="G5882" i="1"/>
  <c r="E5882" i="1"/>
  <c r="H5881" i="1"/>
  <c r="G5881" i="1"/>
  <c r="E5881" i="1"/>
  <c r="H5880" i="1"/>
  <c r="G5880" i="1"/>
  <c r="E5880" i="1"/>
  <c r="H5879" i="1"/>
  <c r="G5879" i="1"/>
  <c r="E5879" i="1"/>
  <c r="H5878" i="1"/>
  <c r="G5878" i="1"/>
  <c r="E5878" i="1"/>
  <c r="H5877" i="1"/>
  <c r="G5877" i="1"/>
  <c r="E5877" i="1"/>
  <c r="H5876" i="1"/>
  <c r="G5876" i="1"/>
  <c r="E5876" i="1"/>
  <c r="H5875" i="1"/>
  <c r="G5875" i="1"/>
  <c r="E5875" i="1"/>
  <c r="H5874" i="1"/>
  <c r="G5874" i="1"/>
  <c r="E5874" i="1"/>
  <c r="H5873" i="1"/>
  <c r="G5873" i="1"/>
  <c r="E5873" i="1"/>
  <c r="H5872" i="1"/>
  <c r="G5872" i="1"/>
  <c r="E5872" i="1"/>
  <c r="H5871" i="1"/>
  <c r="G5871" i="1"/>
  <c r="E5871" i="1"/>
  <c r="H5870" i="1"/>
  <c r="G5870" i="1"/>
  <c r="E5870" i="1"/>
  <c r="H5869" i="1"/>
  <c r="G5869" i="1"/>
  <c r="E5869" i="1"/>
  <c r="H5868" i="1"/>
  <c r="G5868" i="1"/>
  <c r="E5868" i="1"/>
  <c r="H5867" i="1"/>
  <c r="G5867" i="1"/>
  <c r="E5867" i="1"/>
  <c r="H5866" i="1"/>
  <c r="G5866" i="1"/>
  <c r="E5866" i="1"/>
  <c r="H5865" i="1"/>
  <c r="G5865" i="1"/>
  <c r="E5865" i="1"/>
  <c r="H5864" i="1"/>
  <c r="G5864" i="1"/>
  <c r="E5864" i="1"/>
  <c r="H5863" i="1"/>
  <c r="G5863" i="1"/>
  <c r="E5863" i="1"/>
  <c r="H5862" i="1"/>
  <c r="G5862" i="1"/>
  <c r="E5862" i="1"/>
  <c r="H5861" i="1"/>
  <c r="G5861" i="1"/>
  <c r="E5861" i="1"/>
  <c r="H5860" i="1"/>
  <c r="G5860" i="1"/>
  <c r="E5860" i="1"/>
  <c r="H5859" i="1"/>
  <c r="G5859" i="1"/>
  <c r="E5859" i="1"/>
  <c r="H5858" i="1"/>
  <c r="G5858" i="1"/>
  <c r="E5858" i="1"/>
  <c r="H5857" i="1"/>
  <c r="G5857" i="1"/>
  <c r="E5857" i="1"/>
  <c r="H5856" i="1"/>
  <c r="G5856" i="1"/>
  <c r="E5856" i="1"/>
  <c r="H5855" i="1"/>
  <c r="G5855" i="1"/>
  <c r="E5855" i="1"/>
  <c r="H5854" i="1"/>
  <c r="G5854" i="1"/>
  <c r="E5854" i="1"/>
  <c r="H5853" i="1"/>
  <c r="G5853" i="1"/>
  <c r="E5853" i="1"/>
  <c r="H5852" i="1"/>
  <c r="G5852" i="1"/>
  <c r="E5852" i="1"/>
  <c r="H5851" i="1"/>
  <c r="G5851" i="1"/>
  <c r="E5851" i="1"/>
  <c r="H5850" i="1"/>
  <c r="G5850" i="1"/>
  <c r="E5850" i="1"/>
  <c r="H5849" i="1"/>
  <c r="G5849" i="1"/>
  <c r="E5849" i="1"/>
  <c r="H5848" i="1"/>
  <c r="G5848" i="1"/>
  <c r="E5848" i="1"/>
  <c r="H5847" i="1"/>
  <c r="G5847" i="1"/>
  <c r="E5847" i="1"/>
  <c r="H5846" i="1"/>
  <c r="G5846" i="1"/>
  <c r="E5846" i="1"/>
  <c r="H5845" i="1"/>
  <c r="G5845" i="1"/>
  <c r="E5845" i="1"/>
  <c r="H5844" i="1"/>
  <c r="G5844" i="1"/>
  <c r="E5844" i="1"/>
  <c r="H5843" i="1"/>
  <c r="G5843" i="1"/>
  <c r="E5843" i="1"/>
  <c r="H5842" i="1"/>
  <c r="G5842" i="1"/>
  <c r="E5842" i="1"/>
  <c r="H5841" i="1"/>
  <c r="G5841" i="1"/>
  <c r="E5841" i="1"/>
  <c r="H5840" i="1"/>
  <c r="G5840" i="1"/>
  <c r="E5840" i="1"/>
  <c r="H5839" i="1"/>
  <c r="G5839" i="1"/>
  <c r="E5839" i="1"/>
  <c r="H5838" i="1"/>
  <c r="G5838" i="1"/>
  <c r="E5838" i="1"/>
  <c r="H5837" i="1"/>
  <c r="G5837" i="1"/>
  <c r="E5837" i="1"/>
  <c r="H5836" i="1"/>
  <c r="G5836" i="1"/>
  <c r="E5836" i="1"/>
  <c r="H5835" i="1"/>
  <c r="G5835" i="1"/>
  <c r="E5835" i="1"/>
  <c r="H5834" i="1"/>
  <c r="G5834" i="1"/>
  <c r="E5834" i="1"/>
  <c r="H5833" i="1"/>
  <c r="G5833" i="1"/>
  <c r="E5833" i="1"/>
  <c r="H5832" i="1"/>
  <c r="G5832" i="1"/>
  <c r="E5832" i="1"/>
  <c r="H5831" i="1"/>
  <c r="G5831" i="1"/>
  <c r="E5831" i="1"/>
  <c r="H5830" i="1"/>
  <c r="G5830" i="1"/>
  <c r="E5830" i="1"/>
  <c r="H5829" i="1"/>
  <c r="G5829" i="1"/>
  <c r="E5829" i="1"/>
  <c r="H5828" i="1"/>
  <c r="G5828" i="1"/>
  <c r="E5828" i="1"/>
  <c r="H5827" i="1"/>
  <c r="G5827" i="1"/>
  <c r="E5827" i="1"/>
  <c r="H5826" i="1"/>
  <c r="G5826" i="1"/>
  <c r="E5826" i="1"/>
  <c r="H5825" i="1"/>
  <c r="G5825" i="1"/>
  <c r="E5825" i="1"/>
  <c r="H5824" i="1"/>
  <c r="G5824" i="1"/>
  <c r="E5824" i="1"/>
  <c r="H5823" i="1"/>
  <c r="G5823" i="1"/>
  <c r="E5823" i="1"/>
  <c r="H5822" i="1"/>
  <c r="G5822" i="1"/>
  <c r="E5822" i="1"/>
  <c r="H5821" i="1"/>
  <c r="G5821" i="1"/>
  <c r="E5821" i="1"/>
  <c r="H5820" i="1"/>
  <c r="G5820" i="1"/>
  <c r="E5820" i="1"/>
  <c r="H5819" i="1"/>
  <c r="G5819" i="1"/>
  <c r="E5819" i="1"/>
  <c r="H5818" i="1"/>
  <c r="G5818" i="1"/>
  <c r="E5818" i="1"/>
  <c r="H5817" i="1"/>
  <c r="G5817" i="1"/>
  <c r="E5817" i="1"/>
  <c r="H5816" i="1"/>
  <c r="G5816" i="1"/>
  <c r="E5816" i="1"/>
  <c r="H5815" i="1"/>
  <c r="G5815" i="1"/>
  <c r="E5815" i="1"/>
  <c r="H5814" i="1"/>
  <c r="G5814" i="1"/>
  <c r="E5814" i="1"/>
  <c r="H5813" i="1"/>
  <c r="G5813" i="1"/>
  <c r="E5813" i="1"/>
  <c r="H5812" i="1"/>
  <c r="G5812" i="1"/>
  <c r="E5812" i="1"/>
  <c r="H5811" i="1"/>
  <c r="G5811" i="1"/>
  <c r="E5811" i="1"/>
  <c r="H5810" i="1"/>
  <c r="G5810" i="1"/>
  <c r="E5810" i="1"/>
  <c r="H5809" i="1"/>
  <c r="G5809" i="1"/>
  <c r="E5809" i="1"/>
  <c r="H5808" i="1"/>
  <c r="G5808" i="1"/>
  <c r="E5808" i="1"/>
  <c r="H5807" i="1"/>
  <c r="G5807" i="1"/>
  <c r="E5807" i="1"/>
  <c r="H5806" i="1"/>
  <c r="G5806" i="1"/>
  <c r="E5806" i="1"/>
  <c r="H5805" i="1"/>
  <c r="G5805" i="1"/>
  <c r="E5805" i="1"/>
  <c r="H5804" i="1"/>
  <c r="G5804" i="1"/>
  <c r="E5804" i="1"/>
  <c r="H5803" i="1"/>
  <c r="G5803" i="1"/>
  <c r="E5803" i="1"/>
  <c r="H5802" i="1"/>
  <c r="G5802" i="1"/>
  <c r="E5802" i="1"/>
  <c r="H5801" i="1"/>
  <c r="G5801" i="1"/>
  <c r="E5801" i="1"/>
  <c r="H5800" i="1"/>
  <c r="G5800" i="1"/>
  <c r="E5800" i="1"/>
  <c r="H5799" i="1"/>
  <c r="G5799" i="1"/>
  <c r="E5799" i="1"/>
  <c r="H5798" i="1"/>
  <c r="G5798" i="1"/>
  <c r="E5798" i="1"/>
  <c r="H5797" i="1"/>
  <c r="G5797" i="1"/>
  <c r="E5797" i="1"/>
  <c r="H5796" i="1"/>
  <c r="G5796" i="1"/>
  <c r="E5796" i="1"/>
  <c r="H5795" i="1"/>
  <c r="G5795" i="1"/>
  <c r="E5795" i="1"/>
  <c r="H5794" i="1"/>
  <c r="G5794" i="1"/>
  <c r="E5794" i="1"/>
  <c r="H5793" i="1"/>
  <c r="G5793" i="1"/>
  <c r="E5793" i="1"/>
  <c r="H5792" i="1"/>
  <c r="G5792" i="1"/>
  <c r="E5792" i="1"/>
  <c r="H5791" i="1"/>
  <c r="G5791" i="1"/>
  <c r="E5791" i="1"/>
  <c r="H5790" i="1"/>
  <c r="G5790" i="1"/>
  <c r="E5790" i="1"/>
  <c r="H5789" i="1"/>
  <c r="G5789" i="1"/>
  <c r="E5789" i="1"/>
  <c r="H5788" i="1"/>
  <c r="G5788" i="1"/>
  <c r="E5788" i="1"/>
  <c r="H5787" i="1"/>
  <c r="G5787" i="1"/>
  <c r="E5787" i="1"/>
  <c r="H5786" i="1"/>
  <c r="G5786" i="1"/>
  <c r="E5786" i="1"/>
  <c r="H5785" i="1"/>
  <c r="G5785" i="1"/>
  <c r="E5785" i="1"/>
  <c r="H5784" i="1"/>
  <c r="G5784" i="1"/>
  <c r="E5784" i="1"/>
  <c r="H5783" i="1"/>
  <c r="G5783" i="1"/>
  <c r="E5783" i="1"/>
  <c r="H5782" i="1"/>
  <c r="G5782" i="1"/>
  <c r="E5782" i="1"/>
  <c r="H5781" i="1"/>
  <c r="G5781" i="1"/>
  <c r="E5781" i="1"/>
  <c r="H5780" i="1"/>
  <c r="G5780" i="1"/>
  <c r="E5780" i="1"/>
  <c r="H5779" i="1"/>
  <c r="G5779" i="1"/>
  <c r="E5779" i="1"/>
  <c r="H5778" i="1"/>
  <c r="G5778" i="1"/>
  <c r="E5778" i="1"/>
  <c r="H5777" i="1"/>
  <c r="G5777" i="1"/>
  <c r="E5777" i="1"/>
  <c r="H5776" i="1"/>
  <c r="G5776" i="1"/>
  <c r="E5776" i="1"/>
  <c r="H5775" i="1"/>
  <c r="G5775" i="1"/>
  <c r="E5775" i="1"/>
  <c r="H5774" i="1"/>
  <c r="G5774" i="1"/>
  <c r="E5774" i="1"/>
  <c r="H5773" i="1"/>
  <c r="G5773" i="1"/>
  <c r="E5773" i="1"/>
  <c r="H5772" i="1"/>
  <c r="G5772" i="1"/>
  <c r="E5772" i="1"/>
  <c r="H5771" i="1"/>
  <c r="G5771" i="1"/>
  <c r="E5771" i="1"/>
  <c r="H5770" i="1"/>
  <c r="G5770" i="1"/>
  <c r="E5770" i="1"/>
  <c r="H5769" i="1"/>
  <c r="G5769" i="1"/>
  <c r="E5769" i="1"/>
  <c r="H5768" i="1"/>
  <c r="G5768" i="1"/>
  <c r="E5768" i="1"/>
  <c r="H5767" i="1"/>
  <c r="G5767" i="1"/>
  <c r="E5767" i="1"/>
  <c r="H5766" i="1"/>
  <c r="G5766" i="1"/>
  <c r="E5766" i="1"/>
  <c r="H5765" i="1"/>
  <c r="G5765" i="1"/>
  <c r="E5765" i="1"/>
  <c r="H5764" i="1"/>
  <c r="G5764" i="1"/>
  <c r="E5764" i="1"/>
  <c r="H5763" i="1"/>
  <c r="G5763" i="1"/>
  <c r="E5763" i="1"/>
  <c r="H5762" i="1"/>
  <c r="G5762" i="1"/>
  <c r="E5762" i="1"/>
  <c r="H5761" i="1"/>
  <c r="G5761" i="1"/>
  <c r="E5761" i="1"/>
  <c r="H5760" i="1"/>
  <c r="G5760" i="1"/>
  <c r="E5760" i="1"/>
  <c r="H5759" i="1"/>
  <c r="G5759" i="1"/>
  <c r="E5759" i="1"/>
  <c r="H5758" i="1"/>
  <c r="G5758" i="1"/>
  <c r="E5758" i="1"/>
  <c r="H5757" i="1"/>
  <c r="G5757" i="1"/>
  <c r="E5757" i="1"/>
  <c r="H5756" i="1"/>
  <c r="G5756" i="1"/>
  <c r="E5756" i="1"/>
  <c r="H5755" i="1"/>
  <c r="G5755" i="1"/>
  <c r="E5755" i="1"/>
  <c r="H5754" i="1"/>
  <c r="G5754" i="1"/>
  <c r="E5754" i="1"/>
  <c r="H5753" i="1"/>
  <c r="G5753" i="1"/>
  <c r="E5753" i="1"/>
  <c r="H5752" i="1"/>
  <c r="G5752" i="1"/>
  <c r="E5752" i="1"/>
  <c r="H5751" i="1"/>
  <c r="G5751" i="1"/>
  <c r="E5751" i="1"/>
  <c r="H5750" i="1"/>
  <c r="G5750" i="1"/>
  <c r="E5750" i="1"/>
  <c r="H5749" i="1"/>
  <c r="G5749" i="1"/>
  <c r="E5749" i="1"/>
  <c r="H5748" i="1"/>
  <c r="G5748" i="1"/>
  <c r="E5748" i="1"/>
  <c r="H5747" i="1"/>
  <c r="G5747" i="1"/>
  <c r="E5747" i="1"/>
  <c r="H5746" i="1"/>
  <c r="G5746" i="1"/>
  <c r="E5746" i="1"/>
  <c r="H5745" i="1"/>
  <c r="G5745" i="1"/>
  <c r="E5745" i="1"/>
  <c r="H5744" i="1"/>
  <c r="G5744" i="1"/>
  <c r="E5744" i="1"/>
  <c r="H5743" i="1"/>
  <c r="G5743" i="1"/>
  <c r="E5743" i="1"/>
  <c r="H5742" i="1"/>
  <c r="G5742" i="1"/>
  <c r="E5742" i="1"/>
  <c r="H5741" i="1"/>
  <c r="G5741" i="1"/>
  <c r="E5741" i="1"/>
  <c r="H5740" i="1"/>
  <c r="G5740" i="1"/>
  <c r="E5740" i="1"/>
  <c r="H5739" i="1"/>
  <c r="G5739" i="1"/>
  <c r="E5739" i="1"/>
  <c r="H5738" i="1"/>
  <c r="G5738" i="1"/>
  <c r="E5738" i="1"/>
  <c r="H5737" i="1"/>
  <c r="G5737" i="1"/>
  <c r="E5737" i="1"/>
  <c r="H5736" i="1"/>
  <c r="G5736" i="1"/>
  <c r="E5736" i="1"/>
  <c r="H5735" i="1"/>
  <c r="G5735" i="1"/>
  <c r="E5735" i="1"/>
  <c r="H5734" i="1"/>
  <c r="G5734" i="1"/>
  <c r="E5734" i="1"/>
  <c r="H5733" i="1"/>
  <c r="G5733" i="1"/>
  <c r="E5733" i="1"/>
  <c r="H5732" i="1"/>
  <c r="G5732" i="1"/>
  <c r="E5732" i="1"/>
  <c r="H5731" i="1"/>
  <c r="G5731" i="1"/>
  <c r="E5731" i="1"/>
  <c r="H5730" i="1"/>
  <c r="G5730" i="1"/>
  <c r="E5730" i="1"/>
  <c r="H5729" i="1"/>
  <c r="G5729" i="1"/>
  <c r="E5729" i="1"/>
  <c r="H5728" i="1"/>
  <c r="G5728" i="1"/>
  <c r="E5728" i="1"/>
  <c r="H5727" i="1"/>
  <c r="G5727" i="1"/>
  <c r="E5727" i="1"/>
  <c r="H5726" i="1"/>
  <c r="G5726" i="1"/>
  <c r="E5726" i="1"/>
  <c r="H5725" i="1"/>
  <c r="G5725" i="1"/>
  <c r="E5725" i="1"/>
  <c r="H5724" i="1"/>
  <c r="G5724" i="1"/>
  <c r="E5724" i="1"/>
  <c r="H5723" i="1"/>
  <c r="G5723" i="1"/>
  <c r="E5723" i="1"/>
  <c r="H5722" i="1"/>
  <c r="G5722" i="1"/>
  <c r="E5722" i="1"/>
  <c r="H5721" i="1"/>
  <c r="G5721" i="1"/>
  <c r="E5721" i="1"/>
  <c r="H5720" i="1"/>
  <c r="G5720" i="1"/>
  <c r="E5720" i="1"/>
  <c r="H5719" i="1"/>
  <c r="G5719" i="1"/>
  <c r="E5719" i="1"/>
  <c r="H5718" i="1"/>
  <c r="G5718" i="1"/>
  <c r="E5718" i="1"/>
  <c r="H5717" i="1"/>
  <c r="G5717" i="1"/>
  <c r="E5717" i="1"/>
  <c r="H5716" i="1"/>
  <c r="G5716" i="1"/>
  <c r="E5716" i="1"/>
  <c r="H5715" i="1"/>
  <c r="G5715" i="1"/>
  <c r="E5715" i="1"/>
  <c r="H5714" i="1"/>
  <c r="G5714" i="1"/>
  <c r="E5714" i="1"/>
  <c r="H5713" i="1"/>
  <c r="G5713" i="1"/>
  <c r="E5713" i="1"/>
  <c r="H5712" i="1"/>
  <c r="G5712" i="1"/>
  <c r="E5712" i="1"/>
  <c r="H5711" i="1"/>
  <c r="G5711" i="1"/>
  <c r="E5711" i="1"/>
  <c r="H5710" i="1"/>
  <c r="G5710" i="1"/>
  <c r="E5710" i="1"/>
  <c r="H5709" i="1"/>
  <c r="G5709" i="1"/>
  <c r="E5709" i="1"/>
  <c r="H5708" i="1"/>
  <c r="G5708" i="1"/>
  <c r="E5708" i="1"/>
  <c r="H5707" i="1"/>
  <c r="G5707" i="1"/>
  <c r="E5707" i="1"/>
  <c r="H5706" i="1"/>
  <c r="G5706" i="1"/>
  <c r="E5706" i="1"/>
  <c r="H5705" i="1"/>
  <c r="G5705" i="1"/>
  <c r="E5705" i="1"/>
  <c r="H5704" i="1"/>
  <c r="G5704" i="1"/>
  <c r="E5704" i="1"/>
  <c r="H5703" i="1"/>
  <c r="G5703" i="1"/>
  <c r="E5703" i="1"/>
  <c r="H5702" i="1"/>
  <c r="G5702" i="1"/>
  <c r="E5702" i="1"/>
  <c r="H5701" i="1"/>
  <c r="G5701" i="1"/>
  <c r="E5701" i="1"/>
  <c r="H5700" i="1"/>
  <c r="G5700" i="1"/>
  <c r="E5700" i="1"/>
  <c r="H5699" i="1"/>
  <c r="G5699" i="1"/>
  <c r="E5699" i="1"/>
  <c r="H5698" i="1"/>
  <c r="G5698" i="1"/>
  <c r="E5698" i="1"/>
  <c r="H5697" i="1"/>
  <c r="G5697" i="1"/>
  <c r="E5697" i="1"/>
  <c r="H5696" i="1"/>
  <c r="G5696" i="1"/>
  <c r="E5696" i="1"/>
  <c r="H5695" i="1"/>
  <c r="G5695" i="1"/>
  <c r="E5695" i="1"/>
  <c r="H5694" i="1"/>
  <c r="G5694" i="1"/>
  <c r="E5694" i="1"/>
  <c r="H5693" i="1"/>
  <c r="G5693" i="1"/>
  <c r="E5693" i="1"/>
  <c r="H5692" i="1"/>
  <c r="G5692" i="1"/>
  <c r="E5692" i="1"/>
  <c r="H5691" i="1"/>
  <c r="G5691" i="1"/>
  <c r="E5691" i="1"/>
  <c r="H5690" i="1"/>
  <c r="G5690" i="1"/>
  <c r="E5690" i="1"/>
  <c r="H5689" i="1"/>
  <c r="G5689" i="1"/>
  <c r="E5689" i="1"/>
  <c r="H5688" i="1"/>
  <c r="G5688" i="1"/>
  <c r="E5688" i="1"/>
  <c r="H5687" i="1"/>
  <c r="G5687" i="1"/>
  <c r="E5687" i="1"/>
  <c r="H5686" i="1"/>
  <c r="G5686" i="1"/>
  <c r="E5686" i="1"/>
  <c r="H5685" i="1"/>
  <c r="G5685" i="1"/>
  <c r="E5685" i="1"/>
  <c r="H5684" i="1"/>
  <c r="G5684" i="1"/>
  <c r="E5684" i="1"/>
  <c r="H5683" i="1"/>
  <c r="G5683" i="1"/>
  <c r="E5683" i="1"/>
  <c r="H5682" i="1"/>
  <c r="G5682" i="1"/>
  <c r="E5682" i="1"/>
  <c r="H5681" i="1"/>
  <c r="G5681" i="1"/>
  <c r="E5681" i="1"/>
  <c r="H5680" i="1"/>
  <c r="G5680" i="1"/>
  <c r="E5680" i="1"/>
  <c r="H5679" i="1"/>
  <c r="G5679" i="1"/>
  <c r="E5679" i="1"/>
  <c r="H5678" i="1"/>
  <c r="G5678" i="1"/>
  <c r="E5678" i="1"/>
  <c r="H5677" i="1"/>
  <c r="G5677" i="1"/>
  <c r="E5677" i="1"/>
  <c r="H5676" i="1"/>
  <c r="G5676" i="1"/>
  <c r="E5676" i="1"/>
  <c r="H5675" i="1"/>
  <c r="G5675" i="1"/>
  <c r="E5675" i="1"/>
  <c r="H5674" i="1"/>
  <c r="G5674" i="1"/>
  <c r="E5674" i="1"/>
  <c r="H5673" i="1"/>
  <c r="G5673" i="1"/>
  <c r="E5673" i="1"/>
  <c r="H5672" i="1"/>
  <c r="G5672" i="1"/>
  <c r="E5672" i="1"/>
  <c r="H5671" i="1"/>
  <c r="G5671" i="1"/>
  <c r="E5671" i="1"/>
  <c r="H5670" i="1"/>
  <c r="G5670" i="1"/>
  <c r="E5670" i="1"/>
  <c r="H5669" i="1"/>
  <c r="G5669" i="1"/>
  <c r="E5669" i="1"/>
  <c r="H5668" i="1"/>
  <c r="G5668" i="1"/>
  <c r="E5668" i="1"/>
  <c r="H5667" i="1"/>
  <c r="G5667" i="1"/>
  <c r="E5667" i="1"/>
  <c r="H5666" i="1"/>
  <c r="G5666" i="1"/>
  <c r="E5666" i="1"/>
  <c r="H5665" i="1"/>
  <c r="G5665" i="1"/>
  <c r="E5665" i="1"/>
  <c r="H5664" i="1"/>
  <c r="G5664" i="1"/>
  <c r="E5664" i="1"/>
  <c r="H5663" i="1"/>
  <c r="G5663" i="1"/>
  <c r="E5663" i="1"/>
  <c r="H5662" i="1"/>
  <c r="G5662" i="1"/>
  <c r="E5662" i="1"/>
  <c r="H5661" i="1"/>
  <c r="G5661" i="1"/>
  <c r="E5661" i="1"/>
  <c r="H5660" i="1"/>
  <c r="G5660" i="1"/>
  <c r="E5660" i="1"/>
  <c r="H5659" i="1"/>
  <c r="G5659" i="1"/>
  <c r="E5659" i="1"/>
  <c r="H5658" i="1"/>
  <c r="G5658" i="1"/>
  <c r="E5658" i="1"/>
  <c r="H5657" i="1"/>
  <c r="G5657" i="1"/>
  <c r="E5657" i="1"/>
  <c r="H5656" i="1"/>
  <c r="G5656" i="1"/>
  <c r="E5656" i="1"/>
  <c r="H5655" i="1"/>
  <c r="G5655" i="1"/>
  <c r="E5655" i="1"/>
  <c r="H5654" i="1"/>
  <c r="G5654" i="1"/>
  <c r="E5654" i="1"/>
  <c r="H5653" i="1"/>
  <c r="G5653" i="1"/>
  <c r="E5653" i="1"/>
  <c r="H5652" i="1"/>
  <c r="G5652" i="1"/>
  <c r="E5652" i="1"/>
  <c r="H5651" i="1"/>
  <c r="G5651" i="1"/>
  <c r="E5651" i="1"/>
  <c r="H5650" i="1"/>
  <c r="G5650" i="1"/>
  <c r="E5650" i="1"/>
  <c r="H5649" i="1"/>
  <c r="G5649" i="1"/>
  <c r="E5649" i="1"/>
  <c r="H5648" i="1"/>
  <c r="G5648" i="1"/>
  <c r="E5648" i="1"/>
  <c r="H5647" i="1"/>
  <c r="G5647" i="1"/>
  <c r="E5647" i="1"/>
  <c r="H5646" i="1"/>
  <c r="G5646" i="1"/>
  <c r="E5646" i="1"/>
  <c r="H5645" i="1"/>
  <c r="G5645" i="1"/>
  <c r="E5645" i="1"/>
  <c r="H5644" i="1"/>
  <c r="G5644" i="1"/>
  <c r="E5644" i="1"/>
  <c r="H5643" i="1"/>
  <c r="G5643" i="1"/>
  <c r="E5643" i="1"/>
  <c r="H5642" i="1"/>
  <c r="G5642" i="1"/>
  <c r="E5642" i="1"/>
  <c r="H5641" i="1"/>
  <c r="G5641" i="1"/>
  <c r="E5641" i="1"/>
  <c r="H5640" i="1"/>
  <c r="G5640" i="1"/>
  <c r="E5640" i="1"/>
  <c r="H5639" i="1"/>
  <c r="G5639" i="1"/>
  <c r="E5639" i="1"/>
  <c r="H5638" i="1"/>
  <c r="G5638" i="1"/>
  <c r="E5638" i="1"/>
  <c r="H5637" i="1"/>
  <c r="G5637" i="1"/>
  <c r="E5637" i="1"/>
  <c r="H5636" i="1"/>
  <c r="G5636" i="1"/>
  <c r="E5636" i="1"/>
  <c r="H5635" i="1"/>
  <c r="G5635" i="1"/>
  <c r="E5635" i="1"/>
  <c r="H5634" i="1"/>
  <c r="G5634" i="1"/>
  <c r="E5634" i="1"/>
  <c r="H5633" i="1"/>
  <c r="G5633" i="1"/>
  <c r="E5633" i="1"/>
  <c r="H5632" i="1"/>
  <c r="G5632" i="1"/>
  <c r="E5632" i="1"/>
  <c r="H5631" i="1"/>
  <c r="G5631" i="1"/>
  <c r="E5631" i="1"/>
  <c r="H5630" i="1"/>
  <c r="G5630" i="1"/>
  <c r="E5630" i="1"/>
  <c r="H5629" i="1"/>
  <c r="G5629" i="1"/>
  <c r="E5629" i="1"/>
  <c r="H5628" i="1"/>
  <c r="G5628" i="1"/>
  <c r="E5628" i="1"/>
  <c r="H5627" i="1"/>
  <c r="G5627" i="1"/>
  <c r="E5627" i="1"/>
  <c r="H5626" i="1"/>
  <c r="G5626" i="1"/>
  <c r="E5626" i="1"/>
  <c r="H5625" i="1"/>
  <c r="G5625" i="1"/>
  <c r="E5625" i="1"/>
  <c r="H5624" i="1"/>
  <c r="G5624" i="1"/>
  <c r="E5624" i="1"/>
  <c r="H5623" i="1"/>
  <c r="G5623" i="1"/>
  <c r="E5623" i="1"/>
  <c r="H5622" i="1"/>
  <c r="G5622" i="1"/>
  <c r="E5622" i="1"/>
  <c r="H5621" i="1"/>
  <c r="G5621" i="1"/>
  <c r="E5621" i="1"/>
  <c r="H5620" i="1"/>
  <c r="G5620" i="1"/>
  <c r="E5620" i="1"/>
  <c r="H5619" i="1"/>
  <c r="G5619" i="1"/>
  <c r="E5619" i="1"/>
  <c r="H5618" i="1"/>
  <c r="G5618" i="1"/>
  <c r="E5618" i="1"/>
  <c r="H5617" i="1"/>
  <c r="G5617" i="1"/>
  <c r="E5617" i="1"/>
  <c r="H5616" i="1"/>
  <c r="G5616" i="1"/>
  <c r="E5616" i="1"/>
  <c r="H5615" i="1"/>
  <c r="G5615" i="1"/>
  <c r="E5615" i="1"/>
  <c r="H5614" i="1"/>
  <c r="G5614" i="1"/>
  <c r="E5614" i="1"/>
  <c r="H5613" i="1"/>
  <c r="G5613" i="1"/>
  <c r="E5613" i="1"/>
  <c r="H5612" i="1"/>
  <c r="G5612" i="1"/>
  <c r="E5612" i="1"/>
  <c r="H5611" i="1"/>
  <c r="G5611" i="1"/>
  <c r="E5611" i="1"/>
  <c r="H5610" i="1"/>
  <c r="G5610" i="1"/>
  <c r="E5610" i="1"/>
  <c r="H5609" i="1"/>
  <c r="G5609" i="1"/>
  <c r="E5609" i="1"/>
  <c r="H5608" i="1"/>
  <c r="G5608" i="1"/>
  <c r="E5608" i="1"/>
  <c r="H5607" i="1"/>
  <c r="G5607" i="1"/>
  <c r="E5607" i="1"/>
  <c r="H5606" i="1"/>
  <c r="G5606" i="1"/>
  <c r="E5606" i="1"/>
  <c r="H5605" i="1"/>
  <c r="G5605" i="1"/>
  <c r="E5605" i="1"/>
  <c r="H5604" i="1"/>
  <c r="G5604" i="1"/>
  <c r="E5604" i="1"/>
  <c r="H5603" i="1"/>
  <c r="G5603" i="1"/>
  <c r="E5603" i="1"/>
  <c r="H5602" i="1"/>
  <c r="G5602" i="1"/>
  <c r="E5602" i="1"/>
  <c r="H5601" i="1"/>
  <c r="G5601" i="1"/>
  <c r="E5601" i="1"/>
  <c r="H5600" i="1"/>
  <c r="G5600" i="1"/>
  <c r="E5600" i="1"/>
  <c r="H5599" i="1"/>
  <c r="G5599" i="1"/>
  <c r="E5599" i="1"/>
  <c r="H5598" i="1"/>
  <c r="G5598" i="1"/>
  <c r="E5598" i="1"/>
  <c r="H5597" i="1"/>
  <c r="G5597" i="1"/>
  <c r="E5597" i="1"/>
  <c r="H5596" i="1"/>
  <c r="G5596" i="1"/>
  <c r="E5596" i="1"/>
  <c r="H5595" i="1"/>
  <c r="G5595" i="1"/>
  <c r="E5595" i="1"/>
  <c r="H5594" i="1"/>
  <c r="G5594" i="1"/>
  <c r="E5594" i="1"/>
  <c r="H5593" i="1"/>
  <c r="G5593" i="1"/>
  <c r="E5593" i="1"/>
  <c r="H5592" i="1"/>
  <c r="G5592" i="1"/>
  <c r="E5592" i="1"/>
  <c r="H5591" i="1"/>
  <c r="G5591" i="1"/>
  <c r="E5591" i="1"/>
  <c r="H5590" i="1"/>
  <c r="G5590" i="1"/>
  <c r="E5590" i="1"/>
  <c r="H5589" i="1"/>
  <c r="G5589" i="1"/>
  <c r="E5589" i="1"/>
  <c r="H5588" i="1"/>
  <c r="G5588" i="1"/>
  <c r="E5588" i="1"/>
  <c r="H5587" i="1"/>
  <c r="G5587" i="1"/>
  <c r="E5587" i="1"/>
  <c r="H5586" i="1"/>
  <c r="G5586" i="1"/>
  <c r="E5586" i="1"/>
  <c r="H5585" i="1"/>
  <c r="G5585" i="1"/>
  <c r="E5585" i="1"/>
  <c r="H5584" i="1"/>
  <c r="G5584" i="1"/>
  <c r="E5584" i="1"/>
  <c r="H5583" i="1"/>
  <c r="G5583" i="1"/>
  <c r="E5583" i="1"/>
  <c r="H5582" i="1"/>
  <c r="G5582" i="1"/>
  <c r="E5582" i="1"/>
  <c r="H5581" i="1"/>
  <c r="G5581" i="1"/>
  <c r="E5581" i="1"/>
  <c r="H5580" i="1"/>
  <c r="G5580" i="1"/>
  <c r="E5580" i="1"/>
  <c r="H5579" i="1"/>
  <c r="G5579" i="1"/>
  <c r="E5579" i="1"/>
  <c r="H5578" i="1"/>
  <c r="G5578" i="1"/>
  <c r="E5578" i="1"/>
  <c r="H5577" i="1"/>
  <c r="G5577" i="1"/>
  <c r="E5577" i="1"/>
  <c r="H5576" i="1"/>
  <c r="G5576" i="1"/>
  <c r="E5576" i="1"/>
  <c r="H5575" i="1"/>
  <c r="G5575" i="1"/>
  <c r="E5575" i="1"/>
  <c r="H5574" i="1"/>
  <c r="G5574" i="1"/>
  <c r="E5574" i="1"/>
  <c r="H5573" i="1"/>
  <c r="G5573" i="1"/>
  <c r="E5573" i="1"/>
  <c r="H5572" i="1"/>
  <c r="G5572" i="1"/>
  <c r="E5572" i="1"/>
  <c r="H5571" i="1"/>
  <c r="G5571" i="1"/>
  <c r="E5571" i="1"/>
  <c r="H5570" i="1"/>
  <c r="G5570" i="1"/>
  <c r="E5570" i="1"/>
  <c r="H5569" i="1"/>
  <c r="G5569" i="1"/>
  <c r="E5569" i="1"/>
  <c r="H5568" i="1"/>
  <c r="G5568" i="1"/>
  <c r="E5568" i="1"/>
  <c r="H5567" i="1"/>
  <c r="G5567" i="1"/>
  <c r="E5567" i="1"/>
  <c r="H5566" i="1"/>
  <c r="G5566" i="1"/>
  <c r="E5566" i="1"/>
  <c r="H5565" i="1"/>
  <c r="G5565" i="1"/>
  <c r="E5565" i="1"/>
  <c r="H5564" i="1"/>
  <c r="G5564" i="1"/>
  <c r="E5564" i="1"/>
  <c r="H5563" i="1"/>
  <c r="G5563" i="1"/>
  <c r="E5563" i="1"/>
  <c r="H5562" i="1"/>
  <c r="G5562" i="1"/>
  <c r="E5562" i="1"/>
  <c r="H5561" i="1"/>
  <c r="G5561" i="1"/>
  <c r="E5561" i="1"/>
  <c r="H5560" i="1"/>
  <c r="G5560" i="1"/>
  <c r="E5560" i="1"/>
  <c r="H5559" i="1"/>
  <c r="G5559" i="1"/>
  <c r="E5559" i="1"/>
  <c r="H5558" i="1"/>
  <c r="G5558" i="1"/>
  <c r="E5558" i="1"/>
  <c r="H5557" i="1"/>
  <c r="G5557" i="1"/>
  <c r="E5557" i="1"/>
  <c r="H5556" i="1"/>
  <c r="G5556" i="1"/>
  <c r="E5556" i="1"/>
  <c r="H5555" i="1"/>
  <c r="G5555" i="1"/>
  <c r="E5555" i="1"/>
  <c r="H5554" i="1"/>
  <c r="G5554" i="1"/>
  <c r="E5554" i="1"/>
  <c r="H5553" i="1"/>
  <c r="G5553" i="1"/>
  <c r="E5553" i="1"/>
  <c r="H5552" i="1"/>
  <c r="G5552" i="1"/>
  <c r="E5552" i="1"/>
  <c r="H5551" i="1"/>
  <c r="G5551" i="1"/>
  <c r="E5551" i="1"/>
  <c r="H5550" i="1"/>
  <c r="G5550" i="1"/>
  <c r="E5550" i="1"/>
  <c r="H5549" i="1"/>
  <c r="G5549" i="1"/>
  <c r="E5549" i="1"/>
  <c r="H5548" i="1"/>
  <c r="G5548" i="1"/>
  <c r="E5548" i="1"/>
  <c r="H5547" i="1"/>
  <c r="G5547" i="1"/>
  <c r="E5547" i="1"/>
  <c r="H5546" i="1"/>
  <c r="G5546" i="1"/>
  <c r="E5546" i="1"/>
  <c r="H5545" i="1"/>
  <c r="G5545" i="1"/>
  <c r="E5545" i="1"/>
  <c r="H5544" i="1"/>
  <c r="G5544" i="1"/>
  <c r="E5544" i="1"/>
  <c r="H5543" i="1"/>
  <c r="G5543" i="1"/>
  <c r="E5543" i="1"/>
  <c r="H5542" i="1"/>
  <c r="G5542" i="1"/>
  <c r="E5542" i="1"/>
  <c r="H5541" i="1"/>
  <c r="G5541" i="1"/>
  <c r="E5541" i="1"/>
  <c r="H5540" i="1"/>
  <c r="G5540" i="1"/>
  <c r="E5540" i="1"/>
  <c r="H5539" i="1"/>
  <c r="G5539" i="1"/>
  <c r="E5539" i="1"/>
  <c r="H5538" i="1"/>
  <c r="G5538" i="1"/>
  <c r="E5538" i="1"/>
  <c r="H5537" i="1"/>
  <c r="G5537" i="1"/>
  <c r="E5537" i="1"/>
  <c r="H5536" i="1"/>
  <c r="G5536" i="1"/>
  <c r="E5536" i="1"/>
  <c r="H5535" i="1"/>
  <c r="G5535" i="1"/>
  <c r="E5535" i="1"/>
  <c r="H5534" i="1"/>
  <c r="G5534" i="1"/>
  <c r="E5534" i="1"/>
  <c r="H5533" i="1"/>
  <c r="G5533" i="1"/>
  <c r="E5533" i="1"/>
  <c r="H5532" i="1"/>
  <c r="G5532" i="1"/>
  <c r="E5532" i="1"/>
  <c r="H5531" i="1"/>
  <c r="G5531" i="1"/>
  <c r="E5531" i="1"/>
  <c r="H5530" i="1"/>
  <c r="G5530" i="1"/>
  <c r="E5530" i="1"/>
  <c r="H5529" i="1"/>
  <c r="G5529" i="1"/>
  <c r="E5529" i="1"/>
  <c r="H5528" i="1"/>
  <c r="G5528" i="1"/>
  <c r="E5528" i="1"/>
  <c r="H5527" i="1"/>
  <c r="G5527" i="1"/>
  <c r="E5527" i="1"/>
  <c r="H5526" i="1"/>
  <c r="G5526" i="1"/>
  <c r="E5526" i="1"/>
  <c r="H5525" i="1"/>
  <c r="G5525" i="1"/>
  <c r="E5525" i="1"/>
  <c r="H5524" i="1"/>
  <c r="G5524" i="1"/>
  <c r="E5524" i="1"/>
  <c r="H5523" i="1"/>
  <c r="G5523" i="1"/>
  <c r="E5523" i="1"/>
  <c r="H5522" i="1"/>
  <c r="G5522" i="1"/>
  <c r="E5522" i="1"/>
  <c r="H5521" i="1"/>
  <c r="G5521" i="1"/>
  <c r="E5521" i="1"/>
  <c r="H5520" i="1"/>
  <c r="G5520" i="1"/>
  <c r="E5520" i="1"/>
  <c r="H5519" i="1"/>
  <c r="G5519" i="1"/>
  <c r="E5519" i="1"/>
  <c r="H5518" i="1"/>
  <c r="G5518" i="1"/>
  <c r="E5518" i="1"/>
  <c r="H5517" i="1"/>
  <c r="G5517" i="1"/>
  <c r="E5517" i="1"/>
  <c r="H5516" i="1"/>
  <c r="G5516" i="1"/>
  <c r="E5516" i="1"/>
  <c r="H5515" i="1"/>
  <c r="G5515" i="1"/>
  <c r="E5515" i="1"/>
  <c r="H5514" i="1"/>
  <c r="G5514" i="1"/>
  <c r="E5514" i="1"/>
  <c r="H5513" i="1"/>
  <c r="G5513" i="1"/>
  <c r="E5513" i="1"/>
  <c r="H5512" i="1"/>
  <c r="G5512" i="1"/>
  <c r="E5512" i="1"/>
  <c r="H5511" i="1"/>
  <c r="G5511" i="1"/>
  <c r="E5511" i="1"/>
  <c r="H5510" i="1"/>
  <c r="G5510" i="1"/>
  <c r="E5510" i="1"/>
  <c r="H5509" i="1"/>
  <c r="G5509" i="1"/>
  <c r="E5509" i="1"/>
  <c r="H5508" i="1"/>
  <c r="G5508" i="1"/>
  <c r="E5508" i="1"/>
  <c r="H5507" i="1"/>
  <c r="G5507" i="1"/>
  <c r="E5507" i="1"/>
  <c r="H5506" i="1"/>
  <c r="G5506" i="1"/>
  <c r="E5506" i="1"/>
  <c r="H5505" i="1"/>
  <c r="G5505" i="1"/>
  <c r="E5505" i="1"/>
  <c r="H5504" i="1"/>
  <c r="G5504" i="1"/>
  <c r="E5504" i="1"/>
  <c r="H5503" i="1"/>
  <c r="G5503" i="1"/>
  <c r="E5503" i="1"/>
  <c r="H5502" i="1"/>
  <c r="G5502" i="1"/>
  <c r="E5502" i="1"/>
  <c r="H5501" i="1"/>
  <c r="G5501" i="1"/>
  <c r="E5501" i="1"/>
  <c r="H5500" i="1"/>
  <c r="G5500" i="1"/>
  <c r="E5500" i="1"/>
  <c r="H5499" i="1"/>
  <c r="G5499" i="1"/>
  <c r="E5499" i="1"/>
  <c r="H5498" i="1"/>
  <c r="G5498" i="1"/>
  <c r="E5498" i="1"/>
  <c r="H5497" i="1"/>
  <c r="G5497" i="1"/>
  <c r="E5497" i="1"/>
  <c r="H5496" i="1"/>
  <c r="G5496" i="1"/>
  <c r="E5496" i="1"/>
  <c r="H5495" i="1"/>
  <c r="G5495" i="1"/>
  <c r="E5495" i="1"/>
  <c r="H5494" i="1"/>
  <c r="G5494" i="1"/>
  <c r="E5494" i="1"/>
  <c r="H5493" i="1"/>
  <c r="G5493" i="1"/>
  <c r="E5493" i="1"/>
  <c r="H5492" i="1"/>
  <c r="G5492" i="1"/>
  <c r="E5492" i="1"/>
  <c r="H5491" i="1"/>
  <c r="G5491" i="1"/>
  <c r="E5491" i="1"/>
  <c r="H5490" i="1"/>
  <c r="G5490" i="1"/>
  <c r="E5490" i="1"/>
  <c r="H5489" i="1"/>
  <c r="G5489" i="1"/>
  <c r="E5489" i="1"/>
  <c r="H5488" i="1"/>
  <c r="G5488" i="1"/>
  <c r="E5488" i="1"/>
  <c r="H5487" i="1"/>
  <c r="G5487" i="1"/>
  <c r="E5487" i="1"/>
  <c r="H5486" i="1"/>
  <c r="G5486" i="1"/>
  <c r="E5486" i="1"/>
  <c r="H5485" i="1"/>
  <c r="G5485" i="1"/>
  <c r="E5485" i="1"/>
  <c r="H5484" i="1"/>
  <c r="G5484" i="1"/>
  <c r="E5484" i="1"/>
  <c r="H5483" i="1"/>
  <c r="G5483" i="1"/>
  <c r="E5483" i="1"/>
  <c r="H5482" i="1"/>
  <c r="G5482" i="1"/>
  <c r="E5482" i="1"/>
  <c r="H5481" i="1"/>
  <c r="G5481" i="1"/>
  <c r="E5481" i="1"/>
  <c r="H5480" i="1"/>
  <c r="G5480" i="1"/>
  <c r="E5480" i="1"/>
  <c r="H5479" i="1"/>
  <c r="G5479" i="1"/>
  <c r="E5479" i="1"/>
  <c r="H5478" i="1"/>
  <c r="G5478" i="1"/>
  <c r="E5478" i="1"/>
  <c r="H5477" i="1"/>
  <c r="G5477" i="1"/>
  <c r="E5477" i="1"/>
  <c r="H5476" i="1"/>
  <c r="G5476" i="1"/>
  <c r="E5476" i="1"/>
  <c r="H5475" i="1"/>
  <c r="G5475" i="1"/>
  <c r="E5475" i="1"/>
  <c r="H5474" i="1"/>
  <c r="G5474" i="1"/>
  <c r="E5474" i="1"/>
  <c r="H5473" i="1"/>
  <c r="G5473" i="1"/>
  <c r="E5473" i="1"/>
  <c r="H5472" i="1"/>
  <c r="G5472" i="1"/>
  <c r="E5472" i="1"/>
  <c r="H5471" i="1"/>
  <c r="G5471" i="1"/>
  <c r="E5471" i="1"/>
  <c r="H5470" i="1"/>
  <c r="G5470" i="1"/>
  <c r="E5470" i="1"/>
  <c r="H5469" i="1"/>
  <c r="G5469" i="1"/>
  <c r="E5469" i="1"/>
  <c r="H5468" i="1"/>
  <c r="G5468" i="1"/>
  <c r="E5468" i="1"/>
  <c r="H5467" i="1"/>
  <c r="G5467" i="1"/>
  <c r="E5467" i="1"/>
  <c r="H5466" i="1"/>
  <c r="G5466" i="1"/>
  <c r="E5466" i="1"/>
  <c r="H5465" i="1"/>
  <c r="G5465" i="1"/>
  <c r="E5465" i="1"/>
  <c r="H5464" i="1"/>
  <c r="G5464" i="1"/>
  <c r="E5464" i="1"/>
  <c r="H5463" i="1"/>
  <c r="G5463" i="1"/>
  <c r="E5463" i="1"/>
  <c r="H5462" i="1"/>
  <c r="G5462" i="1"/>
  <c r="E5462" i="1"/>
  <c r="H5461" i="1"/>
  <c r="G5461" i="1"/>
  <c r="E5461" i="1"/>
  <c r="H5460" i="1"/>
  <c r="G5460" i="1"/>
  <c r="E5460" i="1"/>
  <c r="H5459" i="1"/>
  <c r="G5459" i="1"/>
  <c r="E5459" i="1"/>
  <c r="H5458" i="1"/>
  <c r="G5458" i="1"/>
  <c r="E5458" i="1"/>
  <c r="H5457" i="1"/>
  <c r="G5457" i="1"/>
  <c r="E5457" i="1"/>
  <c r="H5456" i="1"/>
  <c r="G5456" i="1"/>
  <c r="E5456" i="1"/>
  <c r="H5455" i="1"/>
  <c r="G5455" i="1"/>
  <c r="E5455" i="1"/>
  <c r="H5454" i="1"/>
  <c r="G5454" i="1"/>
  <c r="E5454" i="1"/>
  <c r="H5453" i="1"/>
  <c r="G5453" i="1"/>
  <c r="E5453" i="1"/>
  <c r="H5452" i="1"/>
  <c r="G5452" i="1"/>
  <c r="E5452" i="1"/>
  <c r="H5451" i="1"/>
  <c r="G5451" i="1"/>
  <c r="E5451" i="1"/>
  <c r="H5450" i="1"/>
  <c r="G5450" i="1"/>
  <c r="E5450" i="1"/>
  <c r="H5449" i="1"/>
  <c r="G5449" i="1"/>
  <c r="E5449" i="1"/>
  <c r="H5448" i="1"/>
  <c r="G5448" i="1"/>
  <c r="E5448" i="1"/>
  <c r="H5447" i="1"/>
  <c r="G5447" i="1"/>
  <c r="E5447" i="1"/>
  <c r="H5446" i="1"/>
  <c r="G5446" i="1"/>
  <c r="E5446" i="1"/>
  <c r="H5445" i="1"/>
  <c r="G5445" i="1"/>
  <c r="E5445" i="1"/>
  <c r="H5444" i="1"/>
  <c r="G5444" i="1"/>
  <c r="E5444" i="1"/>
  <c r="H5443" i="1"/>
  <c r="G5443" i="1"/>
  <c r="E5443" i="1"/>
  <c r="H5442" i="1"/>
  <c r="G5442" i="1"/>
  <c r="E5442" i="1"/>
  <c r="H5441" i="1"/>
  <c r="G5441" i="1"/>
  <c r="E5441" i="1"/>
  <c r="H5440" i="1"/>
  <c r="G5440" i="1"/>
  <c r="E5440" i="1"/>
  <c r="H5439" i="1"/>
  <c r="G5439" i="1"/>
  <c r="E5439" i="1"/>
  <c r="H5438" i="1"/>
  <c r="G5438" i="1"/>
  <c r="E5438" i="1"/>
  <c r="H5437" i="1"/>
  <c r="G5437" i="1"/>
  <c r="E5437" i="1"/>
  <c r="H5436" i="1"/>
  <c r="G5436" i="1"/>
  <c r="E5436" i="1"/>
  <c r="H5435" i="1"/>
  <c r="G5435" i="1"/>
  <c r="E5435" i="1"/>
  <c r="H5434" i="1"/>
  <c r="G5434" i="1"/>
  <c r="E5434" i="1"/>
  <c r="H5433" i="1"/>
  <c r="G5433" i="1"/>
  <c r="E5433" i="1"/>
  <c r="H5432" i="1"/>
  <c r="G5432" i="1"/>
  <c r="E5432" i="1"/>
  <c r="H5431" i="1"/>
  <c r="G5431" i="1"/>
  <c r="E5431" i="1"/>
  <c r="H5430" i="1"/>
  <c r="G5430" i="1"/>
  <c r="E5430" i="1"/>
  <c r="H5429" i="1"/>
  <c r="G5429" i="1"/>
  <c r="E5429" i="1"/>
  <c r="H5428" i="1"/>
  <c r="G5428" i="1"/>
  <c r="E5428" i="1"/>
  <c r="H5427" i="1"/>
  <c r="G5427" i="1"/>
  <c r="E5427" i="1"/>
  <c r="H5426" i="1"/>
  <c r="G5426" i="1"/>
  <c r="E5426" i="1"/>
  <c r="H5425" i="1"/>
  <c r="G5425" i="1"/>
  <c r="E5425" i="1"/>
  <c r="H5424" i="1"/>
  <c r="G5424" i="1"/>
  <c r="E5424" i="1"/>
  <c r="H5423" i="1"/>
  <c r="G5423" i="1"/>
  <c r="E5423" i="1"/>
  <c r="H5422" i="1"/>
  <c r="G5422" i="1"/>
  <c r="E5422" i="1"/>
  <c r="H5421" i="1"/>
  <c r="G5421" i="1"/>
  <c r="E5421" i="1"/>
  <c r="H5420" i="1"/>
  <c r="G5420" i="1"/>
  <c r="E5420" i="1"/>
  <c r="H5419" i="1"/>
  <c r="G5419" i="1"/>
  <c r="E5419" i="1"/>
  <c r="H5418" i="1"/>
  <c r="G5418" i="1"/>
  <c r="E5418" i="1"/>
  <c r="H5417" i="1"/>
  <c r="G5417" i="1"/>
  <c r="E5417" i="1"/>
  <c r="H5416" i="1"/>
  <c r="G5416" i="1"/>
  <c r="E5416" i="1"/>
  <c r="H5415" i="1"/>
  <c r="G5415" i="1"/>
  <c r="E5415" i="1"/>
  <c r="H5414" i="1"/>
  <c r="G5414" i="1"/>
  <c r="E5414" i="1"/>
  <c r="H5413" i="1"/>
  <c r="G5413" i="1"/>
  <c r="E5413" i="1"/>
  <c r="H5412" i="1"/>
  <c r="G5412" i="1"/>
  <c r="E5412" i="1"/>
  <c r="H5411" i="1"/>
  <c r="G5411" i="1"/>
  <c r="E5411" i="1"/>
  <c r="H5410" i="1"/>
  <c r="G5410" i="1"/>
  <c r="E5410" i="1"/>
  <c r="H5409" i="1"/>
  <c r="G5409" i="1"/>
  <c r="E5409" i="1"/>
  <c r="H5408" i="1"/>
  <c r="G5408" i="1"/>
  <c r="E5408" i="1"/>
  <c r="H5407" i="1"/>
  <c r="G5407" i="1"/>
  <c r="E5407" i="1"/>
  <c r="H5406" i="1"/>
  <c r="G5406" i="1"/>
  <c r="E5406" i="1"/>
  <c r="H5405" i="1"/>
  <c r="G5405" i="1"/>
  <c r="E5405" i="1"/>
  <c r="H5404" i="1"/>
  <c r="G5404" i="1"/>
  <c r="E5404" i="1"/>
  <c r="H5403" i="1"/>
  <c r="G5403" i="1"/>
  <c r="E5403" i="1"/>
  <c r="H5402" i="1"/>
  <c r="G5402" i="1"/>
  <c r="E5402" i="1"/>
  <c r="H5401" i="1"/>
  <c r="G5401" i="1"/>
  <c r="E5401" i="1"/>
  <c r="H5400" i="1"/>
  <c r="G5400" i="1"/>
  <c r="E5400" i="1"/>
  <c r="H5399" i="1"/>
  <c r="G5399" i="1"/>
  <c r="E5399" i="1"/>
  <c r="H5398" i="1"/>
  <c r="G5398" i="1"/>
  <c r="E5398" i="1"/>
  <c r="H5397" i="1"/>
  <c r="G5397" i="1"/>
  <c r="E5397" i="1"/>
  <c r="H5396" i="1"/>
  <c r="G5396" i="1"/>
  <c r="E5396" i="1"/>
  <c r="H5395" i="1"/>
  <c r="G5395" i="1"/>
  <c r="E5395" i="1"/>
  <c r="H5394" i="1"/>
  <c r="G5394" i="1"/>
  <c r="E5394" i="1"/>
  <c r="H5393" i="1"/>
  <c r="G5393" i="1"/>
  <c r="E5393" i="1"/>
  <c r="H5392" i="1"/>
  <c r="G5392" i="1"/>
  <c r="E5392" i="1"/>
  <c r="H5391" i="1"/>
  <c r="G5391" i="1"/>
  <c r="E5391" i="1"/>
  <c r="H5390" i="1"/>
  <c r="G5390" i="1"/>
  <c r="E5390" i="1"/>
  <c r="H5389" i="1"/>
  <c r="G5389" i="1"/>
  <c r="E5389" i="1"/>
  <c r="H5388" i="1"/>
  <c r="G5388" i="1"/>
  <c r="E5388" i="1"/>
  <c r="H5387" i="1"/>
  <c r="G5387" i="1"/>
  <c r="E5387" i="1"/>
  <c r="H5386" i="1"/>
  <c r="G5386" i="1"/>
  <c r="E5386" i="1"/>
  <c r="H5385" i="1"/>
  <c r="G5385" i="1"/>
  <c r="E5385" i="1"/>
  <c r="H5384" i="1"/>
  <c r="G5384" i="1"/>
  <c r="E5384" i="1"/>
  <c r="H5383" i="1"/>
  <c r="G5383" i="1"/>
  <c r="E5383" i="1"/>
  <c r="H5382" i="1"/>
  <c r="G5382" i="1"/>
  <c r="E5382" i="1"/>
  <c r="H5381" i="1"/>
  <c r="G5381" i="1"/>
  <c r="E5381" i="1"/>
  <c r="H5380" i="1"/>
  <c r="G5380" i="1"/>
  <c r="E5380" i="1"/>
  <c r="H5379" i="1"/>
  <c r="G5379" i="1"/>
  <c r="E5379" i="1"/>
  <c r="H5378" i="1"/>
  <c r="G5378" i="1"/>
  <c r="E5378" i="1"/>
  <c r="H5377" i="1"/>
  <c r="G5377" i="1"/>
  <c r="E5377" i="1"/>
  <c r="H5376" i="1"/>
  <c r="G5376" i="1"/>
  <c r="E5376" i="1"/>
  <c r="H5375" i="1"/>
  <c r="G5375" i="1"/>
  <c r="E5375" i="1"/>
  <c r="H5374" i="1"/>
  <c r="G5374" i="1"/>
  <c r="E5374" i="1"/>
  <c r="H5373" i="1"/>
  <c r="G5373" i="1"/>
  <c r="E5373" i="1"/>
  <c r="H5372" i="1"/>
  <c r="G5372" i="1"/>
  <c r="E5372" i="1"/>
  <c r="H5371" i="1"/>
  <c r="G5371" i="1"/>
  <c r="E5371" i="1"/>
  <c r="H5370" i="1"/>
  <c r="G5370" i="1"/>
  <c r="E5370" i="1"/>
  <c r="H5369" i="1"/>
  <c r="G5369" i="1"/>
  <c r="E5369" i="1"/>
  <c r="H5368" i="1"/>
  <c r="G5368" i="1"/>
  <c r="E5368" i="1"/>
  <c r="H5367" i="1"/>
  <c r="G5367" i="1"/>
  <c r="E5367" i="1"/>
  <c r="H5366" i="1"/>
  <c r="G5366" i="1"/>
  <c r="E5366" i="1"/>
  <c r="H5365" i="1"/>
  <c r="G5365" i="1"/>
  <c r="E5365" i="1"/>
  <c r="H5364" i="1"/>
  <c r="G5364" i="1"/>
  <c r="E5364" i="1"/>
  <c r="H5363" i="1"/>
  <c r="G5363" i="1"/>
  <c r="E5363" i="1"/>
  <c r="H5362" i="1"/>
  <c r="G5362" i="1"/>
  <c r="E5362" i="1"/>
  <c r="H5361" i="1"/>
  <c r="G5361" i="1"/>
  <c r="E5361" i="1"/>
  <c r="H5360" i="1"/>
  <c r="G5360" i="1"/>
  <c r="E5360" i="1"/>
  <c r="H5359" i="1"/>
  <c r="G5359" i="1"/>
  <c r="E5359" i="1"/>
  <c r="H5358" i="1"/>
  <c r="G5358" i="1"/>
  <c r="E5358" i="1"/>
  <c r="H5357" i="1"/>
  <c r="G5357" i="1"/>
  <c r="E5357" i="1"/>
  <c r="H5356" i="1"/>
  <c r="G5356" i="1"/>
  <c r="E5356" i="1"/>
  <c r="H5355" i="1"/>
  <c r="G5355" i="1"/>
  <c r="E5355" i="1"/>
  <c r="H5354" i="1"/>
  <c r="G5354" i="1"/>
  <c r="E5354" i="1"/>
  <c r="H5353" i="1"/>
  <c r="G5353" i="1"/>
  <c r="E5353" i="1"/>
  <c r="H5352" i="1"/>
  <c r="G5352" i="1"/>
  <c r="E5352" i="1"/>
  <c r="H5351" i="1"/>
  <c r="G5351" i="1"/>
  <c r="E5351" i="1"/>
  <c r="H5350" i="1"/>
  <c r="G5350" i="1"/>
  <c r="E5350" i="1"/>
  <c r="H5349" i="1"/>
  <c r="G5349" i="1"/>
  <c r="E5349" i="1"/>
  <c r="H5348" i="1"/>
  <c r="G5348" i="1"/>
  <c r="E5348" i="1"/>
  <c r="H5347" i="1"/>
  <c r="G5347" i="1"/>
  <c r="E5347" i="1"/>
  <c r="H5346" i="1"/>
  <c r="G5346" i="1"/>
  <c r="E5346" i="1"/>
  <c r="H5345" i="1"/>
  <c r="G5345" i="1"/>
  <c r="E5345" i="1"/>
  <c r="H5344" i="1"/>
  <c r="G5344" i="1"/>
  <c r="E5344" i="1"/>
  <c r="H5343" i="1"/>
  <c r="G5343" i="1"/>
  <c r="E5343" i="1"/>
  <c r="H5342" i="1"/>
  <c r="G5342" i="1"/>
  <c r="E5342" i="1"/>
  <c r="H5341" i="1"/>
  <c r="G5341" i="1"/>
  <c r="E5341" i="1"/>
  <c r="H5340" i="1"/>
  <c r="G5340" i="1"/>
  <c r="E5340" i="1"/>
  <c r="H5339" i="1"/>
  <c r="G5339" i="1"/>
  <c r="E5339" i="1"/>
  <c r="H5338" i="1"/>
  <c r="G5338" i="1"/>
  <c r="E5338" i="1"/>
  <c r="H5337" i="1"/>
  <c r="G5337" i="1"/>
  <c r="E5337" i="1"/>
  <c r="H5336" i="1"/>
  <c r="G5336" i="1"/>
  <c r="E5336" i="1"/>
  <c r="H5335" i="1"/>
  <c r="G5335" i="1"/>
  <c r="E5335" i="1"/>
  <c r="H5334" i="1"/>
  <c r="G5334" i="1"/>
  <c r="E5334" i="1"/>
  <c r="H5333" i="1"/>
  <c r="G5333" i="1"/>
  <c r="E5333" i="1"/>
  <c r="H5332" i="1"/>
  <c r="G5332" i="1"/>
  <c r="E5332" i="1"/>
  <c r="H5331" i="1"/>
  <c r="G5331" i="1"/>
  <c r="E5331" i="1"/>
  <c r="H5330" i="1"/>
  <c r="G5330" i="1"/>
  <c r="E5330" i="1"/>
  <c r="H5329" i="1"/>
  <c r="G5329" i="1"/>
  <c r="E5329" i="1"/>
  <c r="H5328" i="1"/>
  <c r="G5328" i="1"/>
  <c r="E5328" i="1"/>
  <c r="H5327" i="1"/>
  <c r="G5327" i="1"/>
  <c r="E5327" i="1"/>
  <c r="H5326" i="1"/>
  <c r="G5326" i="1"/>
  <c r="E5326" i="1"/>
  <c r="H5325" i="1"/>
  <c r="G5325" i="1"/>
  <c r="E5325" i="1"/>
  <c r="H5324" i="1"/>
  <c r="G5324" i="1"/>
  <c r="E5324" i="1"/>
  <c r="H5323" i="1"/>
  <c r="G5323" i="1"/>
  <c r="E5323" i="1"/>
  <c r="H5322" i="1"/>
  <c r="G5322" i="1"/>
  <c r="E5322" i="1"/>
  <c r="H5321" i="1"/>
  <c r="G5321" i="1"/>
  <c r="E5321" i="1"/>
  <c r="H5320" i="1"/>
  <c r="G5320" i="1"/>
  <c r="E5320" i="1"/>
  <c r="H5319" i="1"/>
  <c r="G5319" i="1"/>
  <c r="E5319" i="1"/>
  <c r="H5318" i="1"/>
  <c r="G5318" i="1"/>
  <c r="E5318" i="1"/>
  <c r="H5317" i="1"/>
  <c r="G5317" i="1"/>
  <c r="E5317" i="1"/>
  <c r="H5316" i="1"/>
  <c r="G5316" i="1"/>
  <c r="E5316" i="1"/>
  <c r="H5315" i="1"/>
  <c r="G5315" i="1"/>
  <c r="E5315" i="1"/>
  <c r="H5314" i="1"/>
  <c r="G5314" i="1"/>
  <c r="E5314" i="1"/>
  <c r="H5313" i="1"/>
  <c r="G5313" i="1"/>
  <c r="E5313" i="1"/>
  <c r="H5312" i="1"/>
  <c r="G5312" i="1"/>
  <c r="E5312" i="1"/>
  <c r="H5311" i="1"/>
  <c r="G5311" i="1"/>
  <c r="E5311" i="1"/>
  <c r="H5310" i="1"/>
  <c r="G5310" i="1"/>
  <c r="E5310" i="1"/>
  <c r="H5309" i="1"/>
  <c r="G5309" i="1"/>
  <c r="E5309" i="1"/>
  <c r="H5308" i="1"/>
  <c r="G5308" i="1"/>
  <c r="E5308" i="1"/>
  <c r="H5307" i="1"/>
  <c r="G5307" i="1"/>
  <c r="E5307" i="1"/>
  <c r="H5306" i="1"/>
  <c r="G5306" i="1"/>
  <c r="E5306" i="1"/>
  <c r="H5305" i="1"/>
  <c r="G5305" i="1"/>
  <c r="E5305" i="1"/>
  <c r="H5304" i="1"/>
  <c r="G5304" i="1"/>
  <c r="E5304" i="1"/>
  <c r="H5303" i="1"/>
  <c r="G5303" i="1"/>
  <c r="E5303" i="1"/>
  <c r="H5302" i="1"/>
  <c r="G5302" i="1"/>
  <c r="E5302" i="1"/>
  <c r="H5301" i="1"/>
  <c r="G5301" i="1"/>
  <c r="E5301" i="1"/>
  <c r="H5300" i="1"/>
  <c r="G5300" i="1"/>
  <c r="E5300" i="1"/>
  <c r="H5299" i="1"/>
  <c r="G5299" i="1"/>
  <c r="E5299" i="1"/>
  <c r="H5298" i="1"/>
  <c r="G5298" i="1"/>
  <c r="E5298" i="1"/>
  <c r="H5297" i="1"/>
  <c r="G5297" i="1"/>
  <c r="E5297" i="1"/>
  <c r="H5296" i="1"/>
  <c r="G5296" i="1"/>
  <c r="E5296" i="1"/>
  <c r="H5295" i="1"/>
  <c r="G5295" i="1"/>
  <c r="E5295" i="1"/>
  <c r="H5294" i="1"/>
  <c r="G5294" i="1"/>
  <c r="E5294" i="1"/>
  <c r="H5293" i="1"/>
  <c r="G5293" i="1"/>
  <c r="E5293" i="1"/>
  <c r="H5292" i="1"/>
  <c r="G5292" i="1"/>
  <c r="E5292" i="1"/>
  <c r="H5291" i="1"/>
  <c r="G5291" i="1"/>
  <c r="E5291" i="1"/>
  <c r="H5290" i="1"/>
  <c r="G5290" i="1"/>
  <c r="E5290" i="1"/>
  <c r="H5289" i="1"/>
  <c r="G5289" i="1"/>
  <c r="E5289" i="1"/>
  <c r="H5288" i="1"/>
  <c r="G5288" i="1"/>
  <c r="E5288" i="1"/>
  <c r="H5287" i="1"/>
  <c r="G5287" i="1"/>
  <c r="E5287" i="1"/>
  <c r="H5286" i="1"/>
  <c r="G5286" i="1"/>
  <c r="E5286" i="1"/>
  <c r="H5285" i="1"/>
  <c r="G5285" i="1"/>
  <c r="E5285" i="1"/>
  <c r="H5284" i="1"/>
  <c r="G5284" i="1"/>
  <c r="E5284" i="1"/>
  <c r="H5283" i="1"/>
  <c r="G5283" i="1"/>
  <c r="E5283" i="1"/>
  <c r="H5282" i="1"/>
  <c r="G5282" i="1"/>
  <c r="E5282" i="1"/>
  <c r="H5281" i="1"/>
  <c r="G5281" i="1"/>
  <c r="E5281" i="1"/>
  <c r="H5280" i="1"/>
  <c r="G5280" i="1"/>
  <c r="E5280" i="1"/>
  <c r="H5279" i="1"/>
  <c r="G5279" i="1"/>
  <c r="E5279" i="1"/>
  <c r="H5278" i="1"/>
  <c r="G5278" i="1"/>
  <c r="E5278" i="1"/>
  <c r="H5277" i="1"/>
  <c r="G5277" i="1"/>
  <c r="E5277" i="1"/>
  <c r="H5276" i="1"/>
  <c r="G5276" i="1"/>
  <c r="E5276" i="1"/>
  <c r="H5275" i="1"/>
  <c r="G5275" i="1"/>
  <c r="E5275" i="1"/>
  <c r="H5274" i="1"/>
  <c r="G5274" i="1"/>
  <c r="E5274" i="1"/>
  <c r="H5273" i="1"/>
  <c r="G5273" i="1"/>
  <c r="E5273" i="1"/>
  <c r="H5272" i="1"/>
  <c r="G5272" i="1"/>
  <c r="E5272" i="1"/>
  <c r="H5271" i="1"/>
  <c r="G5271" i="1"/>
  <c r="E5271" i="1"/>
  <c r="H5270" i="1"/>
  <c r="G5270" i="1"/>
  <c r="E5270" i="1"/>
  <c r="H5269" i="1"/>
  <c r="G5269" i="1"/>
  <c r="E5269" i="1"/>
  <c r="H5268" i="1"/>
  <c r="G5268" i="1"/>
  <c r="E5268" i="1"/>
  <c r="H5267" i="1"/>
  <c r="G5267" i="1"/>
  <c r="E5267" i="1"/>
  <c r="H5266" i="1"/>
  <c r="G5266" i="1"/>
  <c r="E5266" i="1"/>
  <c r="H5265" i="1"/>
  <c r="G5265" i="1"/>
  <c r="E5265" i="1"/>
  <c r="H5264" i="1"/>
  <c r="G5264" i="1"/>
  <c r="E5264" i="1"/>
  <c r="H5263" i="1"/>
  <c r="G5263" i="1"/>
  <c r="E5263" i="1"/>
  <c r="H5262" i="1"/>
  <c r="G5262" i="1"/>
  <c r="E5262" i="1"/>
  <c r="H5261" i="1"/>
  <c r="G5261" i="1"/>
  <c r="E5261" i="1"/>
  <c r="H5260" i="1"/>
  <c r="G5260" i="1"/>
  <c r="E5260" i="1"/>
  <c r="H5259" i="1"/>
  <c r="G5259" i="1"/>
  <c r="E5259" i="1"/>
  <c r="H5258" i="1"/>
  <c r="G5258" i="1"/>
  <c r="E5258" i="1"/>
  <c r="H5257" i="1"/>
  <c r="G5257" i="1"/>
  <c r="E5257" i="1"/>
  <c r="H5256" i="1"/>
  <c r="G5256" i="1"/>
  <c r="E5256" i="1"/>
  <c r="H5255" i="1"/>
  <c r="G5255" i="1"/>
  <c r="E5255" i="1"/>
  <c r="H5254" i="1"/>
  <c r="G5254" i="1"/>
  <c r="E5254" i="1"/>
  <c r="H5253" i="1"/>
  <c r="G5253" i="1"/>
  <c r="E5253" i="1"/>
  <c r="H5252" i="1"/>
  <c r="G5252" i="1"/>
  <c r="E5252" i="1"/>
  <c r="H5251" i="1"/>
  <c r="G5251" i="1"/>
  <c r="E5251" i="1"/>
  <c r="H5250" i="1"/>
  <c r="G5250" i="1"/>
  <c r="E5250" i="1"/>
  <c r="H5249" i="1"/>
  <c r="G5249" i="1"/>
  <c r="E5249" i="1"/>
  <c r="H5248" i="1"/>
  <c r="G5248" i="1"/>
  <c r="E5248" i="1"/>
  <c r="H5247" i="1"/>
  <c r="G5247" i="1"/>
  <c r="E5247" i="1"/>
  <c r="H5246" i="1"/>
  <c r="G5246" i="1"/>
  <c r="E5246" i="1"/>
  <c r="H5245" i="1"/>
  <c r="G5245" i="1"/>
  <c r="E5245" i="1"/>
  <c r="H5244" i="1"/>
  <c r="G5244" i="1"/>
  <c r="E5244" i="1"/>
  <c r="H5243" i="1"/>
  <c r="G5243" i="1"/>
  <c r="E5243" i="1"/>
  <c r="H5242" i="1"/>
  <c r="G5242" i="1"/>
  <c r="E5242" i="1"/>
  <c r="H5241" i="1"/>
  <c r="G5241" i="1"/>
  <c r="E5241" i="1"/>
  <c r="H5240" i="1"/>
  <c r="G5240" i="1"/>
  <c r="E5240" i="1"/>
  <c r="H5239" i="1"/>
  <c r="G5239" i="1"/>
  <c r="E5239" i="1"/>
  <c r="H5238" i="1"/>
  <c r="G5238" i="1"/>
  <c r="E5238" i="1"/>
  <c r="H5237" i="1"/>
  <c r="G5237" i="1"/>
  <c r="E5237" i="1"/>
  <c r="H5236" i="1"/>
  <c r="G5236" i="1"/>
  <c r="E5236" i="1"/>
  <c r="H5235" i="1"/>
  <c r="G5235" i="1"/>
  <c r="E5235" i="1"/>
  <c r="H5234" i="1"/>
  <c r="G5234" i="1"/>
  <c r="E5234" i="1"/>
  <c r="H5233" i="1"/>
  <c r="G5233" i="1"/>
  <c r="E5233" i="1"/>
  <c r="H5232" i="1"/>
  <c r="G5232" i="1"/>
  <c r="E5232" i="1"/>
  <c r="H5231" i="1"/>
  <c r="G5231" i="1"/>
  <c r="E5231" i="1"/>
  <c r="H5230" i="1"/>
  <c r="G5230" i="1"/>
  <c r="E5230" i="1"/>
  <c r="H5229" i="1"/>
  <c r="G5229" i="1"/>
  <c r="E5229" i="1"/>
  <c r="H5228" i="1"/>
  <c r="G5228" i="1"/>
  <c r="E5228" i="1"/>
  <c r="H5227" i="1"/>
  <c r="G5227" i="1"/>
  <c r="E5227" i="1"/>
  <c r="H5226" i="1"/>
  <c r="G5226" i="1"/>
  <c r="E5226" i="1"/>
  <c r="H5225" i="1"/>
  <c r="G5225" i="1"/>
  <c r="E5225" i="1"/>
  <c r="H5224" i="1"/>
  <c r="G5224" i="1"/>
  <c r="E5224" i="1"/>
  <c r="H5223" i="1"/>
  <c r="G5223" i="1"/>
  <c r="E5223" i="1"/>
  <c r="H5222" i="1"/>
  <c r="G5222" i="1"/>
  <c r="E5222" i="1"/>
  <c r="H5221" i="1"/>
  <c r="G5221" i="1"/>
  <c r="E5221" i="1"/>
  <c r="H5220" i="1"/>
  <c r="G5220" i="1"/>
  <c r="E5220" i="1"/>
  <c r="H5219" i="1"/>
  <c r="G5219" i="1"/>
  <c r="E5219" i="1"/>
  <c r="H5218" i="1"/>
  <c r="G5218" i="1"/>
  <c r="E5218" i="1"/>
  <c r="H5217" i="1"/>
  <c r="G5217" i="1"/>
  <c r="E5217" i="1"/>
  <c r="H5216" i="1"/>
  <c r="G5216" i="1"/>
  <c r="E5216" i="1"/>
  <c r="H5215" i="1"/>
  <c r="G5215" i="1"/>
  <c r="E5215" i="1"/>
  <c r="H5214" i="1"/>
  <c r="G5214" i="1"/>
  <c r="E5214" i="1"/>
  <c r="H5213" i="1"/>
  <c r="G5213" i="1"/>
  <c r="E5213" i="1"/>
  <c r="H5212" i="1"/>
  <c r="G5212" i="1"/>
  <c r="E5212" i="1"/>
  <c r="H5211" i="1"/>
  <c r="G5211" i="1"/>
  <c r="E5211" i="1"/>
  <c r="H5210" i="1"/>
  <c r="G5210" i="1"/>
  <c r="E5210" i="1"/>
  <c r="H5209" i="1"/>
  <c r="G5209" i="1"/>
  <c r="E5209" i="1"/>
  <c r="H5208" i="1"/>
  <c r="G5208" i="1"/>
  <c r="E5208" i="1"/>
  <c r="H5207" i="1"/>
  <c r="G5207" i="1"/>
  <c r="E5207" i="1"/>
  <c r="H5206" i="1"/>
  <c r="G5206" i="1"/>
  <c r="E5206" i="1"/>
  <c r="H5205" i="1"/>
  <c r="G5205" i="1"/>
  <c r="E5205" i="1"/>
  <c r="H5204" i="1"/>
  <c r="G5204" i="1"/>
  <c r="E5204" i="1"/>
  <c r="H5203" i="1"/>
  <c r="G5203" i="1"/>
  <c r="E5203" i="1"/>
  <c r="H5202" i="1"/>
  <c r="G5202" i="1"/>
  <c r="E5202" i="1"/>
  <c r="H5201" i="1"/>
  <c r="G5201" i="1"/>
  <c r="E5201" i="1"/>
  <c r="H5200" i="1"/>
  <c r="G5200" i="1"/>
  <c r="E5200" i="1"/>
  <c r="H5199" i="1"/>
  <c r="G5199" i="1"/>
  <c r="E5199" i="1"/>
  <c r="H5198" i="1"/>
  <c r="G5198" i="1"/>
  <c r="E5198" i="1"/>
  <c r="H5197" i="1"/>
  <c r="G5197" i="1"/>
  <c r="E5197" i="1"/>
  <c r="H5196" i="1"/>
  <c r="G5196" i="1"/>
  <c r="E5196" i="1"/>
  <c r="H5195" i="1"/>
  <c r="G5195" i="1"/>
  <c r="E5195" i="1"/>
  <c r="H5194" i="1"/>
  <c r="G5194" i="1"/>
  <c r="E5194" i="1"/>
  <c r="H5193" i="1"/>
  <c r="G5193" i="1"/>
  <c r="E5193" i="1"/>
  <c r="H5192" i="1"/>
  <c r="G5192" i="1"/>
  <c r="E5192" i="1"/>
  <c r="H5191" i="1"/>
  <c r="G5191" i="1"/>
  <c r="E5191" i="1"/>
  <c r="H5190" i="1"/>
  <c r="G5190" i="1"/>
  <c r="E5190" i="1"/>
  <c r="H5189" i="1"/>
  <c r="G5189" i="1"/>
  <c r="E5189" i="1"/>
  <c r="H5188" i="1"/>
  <c r="G5188" i="1"/>
  <c r="E5188" i="1"/>
  <c r="H5187" i="1"/>
  <c r="G5187" i="1"/>
  <c r="E5187" i="1"/>
  <c r="H5186" i="1"/>
  <c r="G5186" i="1"/>
  <c r="E5186" i="1"/>
  <c r="H5185" i="1"/>
  <c r="G5185" i="1"/>
  <c r="E5185" i="1"/>
  <c r="H5184" i="1"/>
  <c r="G5184" i="1"/>
  <c r="E5184" i="1"/>
  <c r="H5183" i="1"/>
  <c r="G5183" i="1"/>
  <c r="E5183" i="1"/>
  <c r="H5182" i="1"/>
  <c r="G5182" i="1"/>
  <c r="E5182" i="1"/>
  <c r="H5181" i="1"/>
  <c r="G5181" i="1"/>
  <c r="E5181" i="1"/>
  <c r="H5180" i="1"/>
  <c r="G5180" i="1"/>
  <c r="E5180" i="1"/>
  <c r="H5179" i="1"/>
  <c r="G5179" i="1"/>
  <c r="E5179" i="1"/>
  <c r="H5178" i="1"/>
  <c r="G5178" i="1"/>
  <c r="E5178" i="1"/>
  <c r="H5177" i="1"/>
  <c r="G5177" i="1"/>
  <c r="E5177" i="1"/>
  <c r="H5176" i="1"/>
  <c r="G5176" i="1"/>
  <c r="E5176" i="1"/>
  <c r="H5175" i="1"/>
  <c r="G5175" i="1"/>
  <c r="E5175" i="1"/>
  <c r="H5174" i="1"/>
  <c r="G5174" i="1"/>
  <c r="E5174" i="1"/>
  <c r="H5173" i="1"/>
  <c r="G5173" i="1"/>
  <c r="E5173" i="1"/>
  <c r="H5172" i="1"/>
  <c r="G5172" i="1"/>
  <c r="E5172" i="1"/>
  <c r="H5171" i="1"/>
  <c r="G5171" i="1"/>
  <c r="E5171" i="1"/>
  <c r="H5170" i="1"/>
  <c r="G5170" i="1"/>
  <c r="E5170" i="1"/>
  <c r="H5169" i="1"/>
  <c r="G5169" i="1"/>
  <c r="E5169" i="1"/>
  <c r="H5168" i="1"/>
  <c r="G5168" i="1"/>
  <c r="E5168" i="1"/>
  <c r="H5167" i="1"/>
  <c r="G5167" i="1"/>
  <c r="E5167" i="1"/>
  <c r="H5166" i="1"/>
  <c r="G5166" i="1"/>
  <c r="E5166" i="1"/>
  <c r="H5165" i="1"/>
  <c r="G5165" i="1"/>
  <c r="E5165" i="1"/>
  <c r="H5164" i="1"/>
  <c r="G5164" i="1"/>
  <c r="E5164" i="1"/>
  <c r="H5163" i="1"/>
  <c r="G5163" i="1"/>
  <c r="E5163" i="1"/>
  <c r="H5162" i="1"/>
  <c r="G5162" i="1"/>
  <c r="E5162" i="1"/>
  <c r="H5161" i="1"/>
  <c r="G5161" i="1"/>
  <c r="E5161" i="1"/>
  <c r="H5160" i="1"/>
  <c r="G5160" i="1"/>
  <c r="E5160" i="1"/>
  <c r="H5159" i="1"/>
  <c r="G5159" i="1"/>
  <c r="E5159" i="1"/>
  <c r="H5158" i="1"/>
  <c r="G5158" i="1"/>
  <c r="E5158" i="1"/>
  <c r="H5157" i="1"/>
  <c r="G5157" i="1"/>
  <c r="E5157" i="1"/>
  <c r="H5156" i="1"/>
  <c r="G5156" i="1"/>
  <c r="E5156" i="1"/>
  <c r="H5155" i="1"/>
  <c r="G5155" i="1"/>
  <c r="E5155" i="1"/>
  <c r="H5154" i="1"/>
  <c r="G5154" i="1"/>
  <c r="E5154" i="1"/>
  <c r="H5153" i="1"/>
  <c r="G5153" i="1"/>
  <c r="E5153" i="1"/>
  <c r="H5152" i="1"/>
  <c r="G5152" i="1"/>
  <c r="E5152" i="1"/>
  <c r="H5151" i="1"/>
  <c r="G5151" i="1"/>
  <c r="E5151" i="1"/>
  <c r="H5150" i="1"/>
  <c r="G5150" i="1"/>
  <c r="E5150" i="1"/>
  <c r="H5149" i="1"/>
  <c r="G5149" i="1"/>
  <c r="E5149" i="1"/>
  <c r="H5148" i="1"/>
  <c r="G5148" i="1"/>
  <c r="E5148" i="1"/>
  <c r="H5147" i="1"/>
  <c r="G5147" i="1"/>
  <c r="E5147" i="1"/>
  <c r="H5146" i="1"/>
  <c r="G5146" i="1"/>
  <c r="E5146" i="1"/>
  <c r="H5145" i="1"/>
  <c r="G5145" i="1"/>
  <c r="E5145" i="1"/>
  <c r="H5144" i="1"/>
  <c r="G5144" i="1"/>
  <c r="E5144" i="1"/>
  <c r="H5143" i="1"/>
  <c r="G5143" i="1"/>
  <c r="E5143" i="1"/>
  <c r="H5142" i="1"/>
  <c r="G5142" i="1"/>
  <c r="E5142" i="1"/>
  <c r="H5141" i="1"/>
  <c r="G5141" i="1"/>
  <c r="E5141" i="1"/>
  <c r="H5140" i="1"/>
  <c r="G5140" i="1"/>
  <c r="E5140" i="1"/>
  <c r="H5139" i="1"/>
  <c r="G5139" i="1"/>
  <c r="E5139" i="1"/>
  <c r="H5138" i="1"/>
  <c r="G5138" i="1"/>
  <c r="E5138" i="1"/>
  <c r="H5137" i="1"/>
  <c r="G5137" i="1"/>
  <c r="E5137" i="1"/>
  <c r="H5136" i="1"/>
  <c r="G5136" i="1"/>
  <c r="E5136" i="1"/>
  <c r="H5135" i="1"/>
  <c r="G5135" i="1"/>
  <c r="E5135" i="1"/>
  <c r="H5134" i="1"/>
  <c r="G5134" i="1"/>
  <c r="E5134" i="1"/>
  <c r="H5133" i="1"/>
  <c r="G5133" i="1"/>
  <c r="E5133" i="1"/>
  <c r="H5132" i="1"/>
  <c r="G5132" i="1"/>
  <c r="E5132" i="1"/>
  <c r="H5131" i="1"/>
  <c r="G5131" i="1"/>
  <c r="E5131" i="1"/>
  <c r="H5130" i="1"/>
  <c r="G5130" i="1"/>
  <c r="E5130" i="1"/>
  <c r="H5129" i="1"/>
  <c r="G5129" i="1"/>
  <c r="E5129" i="1"/>
  <c r="H5128" i="1"/>
  <c r="G5128" i="1"/>
  <c r="E5128" i="1"/>
  <c r="H5127" i="1"/>
  <c r="G5127" i="1"/>
  <c r="E5127" i="1"/>
  <c r="H5126" i="1"/>
  <c r="G5126" i="1"/>
  <c r="E5126" i="1"/>
  <c r="H5125" i="1"/>
  <c r="G5125" i="1"/>
  <c r="E5125" i="1"/>
  <c r="H5124" i="1"/>
  <c r="G5124" i="1"/>
  <c r="E5124" i="1"/>
  <c r="H5123" i="1"/>
  <c r="G5123" i="1"/>
  <c r="E5123" i="1"/>
  <c r="H5122" i="1"/>
  <c r="G5122" i="1"/>
  <c r="E5122" i="1"/>
  <c r="H5121" i="1"/>
  <c r="G5121" i="1"/>
  <c r="E5121" i="1"/>
  <c r="H5120" i="1"/>
  <c r="G5120" i="1"/>
  <c r="E5120" i="1"/>
  <c r="H5119" i="1"/>
  <c r="G5119" i="1"/>
  <c r="E5119" i="1"/>
  <c r="H5118" i="1"/>
  <c r="G5118" i="1"/>
  <c r="E5118" i="1"/>
  <c r="H5117" i="1"/>
  <c r="G5117" i="1"/>
  <c r="E5117" i="1"/>
  <c r="H5116" i="1"/>
  <c r="G5116" i="1"/>
  <c r="E5116" i="1"/>
  <c r="H5115" i="1"/>
  <c r="G5115" i="1"/>
  <c r="E5115" i="1"/>
  <c r="H5114" i="1"/>
  <c r="G5114" i="1"/>
  <c r="E5114" i="1"/>
  <c r="H5113" i="1"/>
  <c r="G5113" i="1"/>
  <c r="E5113" i="1"/>
  <c r="H5112" i="1"/>
  <c r="G5112" i="1"/>
  <c r="E5112" i="1"/>
  <c r="H5111" i="1"/>
  <c r="G5111" i="1"/>
  <c r="E5111" i="1"/>
  <c r="H5110" i="1"/>
  <c r="G5110" i="1"/>
  <c r="E5110" i="1"/>
  <c r="H5109" i="1"/>
  <c r="G5109" i="1"/>
  <c r="E5109" i="1"/>
  <c r="H5108" i="1"/>
  <c r="G5108" i="1"/>
  <c r="E5108" i="1"/>
  <c r="H5107" i="1"/>
  <c r="G5107" i="1"/>
  <c r="E5107" i="1"/>
  <c r="H5106" i="1"/>
  <c r="G5106" i="1"/>
  <c r="E5106" i="1"/>
  <c r="H5105" i="1"/>
  <c r="G5105" i="1"/>
  <c r="E5105" i="1"/>
  <c r="H5104" i="1"/>
  <c r="G5104" i="1"/>
  <c r="E5104" i="1"/>
  <c r="H5103" i="1"/>
  <c r="G5103" i="1"/>
  <c r="E5103" i="1"/>
  <c r="H5102" i="1"/>
  <c r="G5102" i="1"/>
  <c r="E5102" i="1"/>
  <c r="H5101" i="1"/>
  <c r="G5101" i="1"/>
  <c r="E5101" i="1"/>
  <c r="H5100" i="1"/>
  <c r="G5100" i="1"/>
  <c r="E5100" i="1"/>
  <c r="H5099" i="1"/>
  <c r="G5099" i="1"/>
  <c r="E5099" i="1"/>
  <c r="H5098" i="1"/>
  <c r="G5098" i="1"/>
  <c r="E5098" i="1"/>
  <c r="H5097" i="1"/>
  <c r="G5097" i="1"/>
  <c r="E5097" i="1"/>
  <c r="H5096" i="1"/>
  <c r="G5096" i="1"/>
  <c r="E5096" i="1"/>
  <c r="H5095" i="1"/>
  <c r="G5095" i="1"/>
  <c r="E5095" i="1"/>
  <c r="H5094" i="1"/>
  <c r="G5094" i="1"/>
  <c r="E5094" i="1"/>
  <c r="H5093" i="1"/>
  <c r="G5093" i="1"/>
  <c r="E5093" i="1"/>
  <c r="H5092" i="1"/>
  <c r="G5092" i="1"/>
  <c r="E5092" i="1"/>
  <c r="H5091" i="1"/>
  <c r="G5091" i="1"/>
  <c r="E5091" i="1"/>
  <c r="H5090" i="1"/>
  <c r="G5090" i="1"/>
  <c r="E5090" i="1"/>
  <c r="H5089" i="1"/>
  <c r="G5089" i="1"/>
  <c r="E5089" i="1"/>
  <c r="H5088" i="1"/>
  <c r="G5088" i="1"/>
  <c r="E5088" i="1"/>
  <c r="H5087" i="1"/>
  <c r="G5087" i="1"/>
  <c r="E5087" i="1"/>
  <c r="H5086" i="1"/>
  <c r="G5086" i="1"/>
  <c r="E5086" i="1"/>
  <c r="H5085" i="1"/>
  <c r="G5085" i="1"/>
  <c r="E5085" i="1"/>
  <c r="H5084" i="1"/>
  <c r="G5084" i="1"/>
  <c r="E5084" i="1"/>
  <c r="H5083" i="1"/>
  <c r="G5083" i="1"/>
  <c r="E5083" i="1"/>
  <c r="H5082" i="1"/>
  <c r="G5082" i="1"/>
  <c r="E5082" i="1"/>
  <c r="H5081" i="1"/>
  <c r="G5081" i="1"/>
  <c r="E5081" i="1"/>
  <c r="H5080" i="1"/>
  <c r="G5080" i="1"/>
  <c r="E5080" i="1"/>
  <c r="H5079" i="1"/>
  <c r="G5079" i="1"/>
  <c r="E5079" i="1"/>
  <c r="H5078" i="1"/>
  <c r="G5078" i="1"/>
  <c r="E5078" i="1"/>
  <c r="H5077" i="1"/>
  <c r="G5077" i="1"/>
  <c r="E5077" i="1"/>
  <c r="H5076" i="1"/>
  <c r="G5076" i="1"/>
  <c r="E5076" i="1"/>
  <c r="H5075" i="1"/>
  <c r="G5075" i="1"/>
  <c r="E5075" i="1"/>
  <c r="H5074" i="1"/>
  <c r="G5074" i="1"/>
  <c r="E5074" i="1"/>
  <c r="H5073" i="1"/>
  <c r="G5073" i="1"/>
  <c r="E5073" i="1"/>
  <c r="H5072" i="1"/>
  <c r="G5072" i="1"/>
  <c r="E5072" i="1"/>
  <c r="H5071" i="1"/>
  <c r="G5071" i="1"/>
  <c r="E5071" i="1"/>
  <c r="H5070" i="1"/>
  <c r="G5070" i="1"/>
  <c r="E5070" i="1"/>
  <c r="H5069" i="1"/>
  <c r="G5069" i="1"/>
  <c r="E5069" i="1"/>
  <c r="H5068" i="1"/>
  <c r="G5068" i="1"/>
  <c r="E5068" i="1"/>
  <c r="H5067" i="1"/>
  <c r="G5067" i="1"/>
  <c r="E5067" i="1"/>
  <c r="H5066" i="1"/>
  <c r="G5066" i="1"/>
  <c r="E5066" i="1"/>
  <c r="H5065" i="1"/>
  <c r="G5065" i="1"/>
  <c r="E5065" i="1"/>
  <c r="H5064" i="1"/>
  <c r="G5064" i="1"/>
  <c r="E5064" i="1"/>
  <c r="H5063" i="1"/>
  <c r="G5063" i="1"/>
  <c r="E5063" i="1"/>
  <c r="H5062" i="1"/>
  <c r="G5062" i="1"/>
  <c r="E5062" i="1"/>
  <c r="H5061" i="1"/>
  <c r="G5061" i="1"/>
  <c r="E5061" i="1"/>
  <c r="H5060" i="1"/>
  <c r="G5060" i="1"/>
  <c r="E5060" i="1"/>
  <c r="H5059" i="1"/>
  <c r="G5059" i="1"/>
  <c r="E5059" i="1"/>
  <c r="H5058" i="1"/>
  <c r="G5058" i="1"/>
  <c r="E5058" i="1"/>
  <c r="H5057" i="1"/>
  <c r="G5057" i="1"/>
  <c r="E5057" i="1"/>
  <c r="H5056" i="1"/>
  <c r="G5056" i="1"/>
  <c r="E5056" i="1"/>
  <c r="H5055" i="1"/>
  <c r="G5055" i="1"/>
  <c r="E5055" i="1"/>
  <c r="H5054" i="1"/>
  <c r="G5054" i="1"/>
  <c r="E5054" i="1"/>
  <c r="H5053" i="1"/>
  <c r="G5053" i="1"/>
  <c r="E5053" i="1"/>
  <c r="H5052" i="1"/>
  <c r="G5052" i="1"/>
  <c r="E5052" i="1"/>
  <c r="H5051" i="1"/>
  <c r="G5051" i="1"/>
  <c r="E5051" i="1"/>
  <c r="H5050" i="1"/>
  <c r="G5050" i="1"/>
  <c r="E5050" i="1"/>
  <c r="H5049" i="1"/>
  <c r="G5049" i="1"/>
  <c r="E5049" i="1"/>
  <c r="H5048" i="1"/>
  <c r="G5048" i="1"/>
  <c r="E5048" i="1"/>
  <c r="H5047" i="1"/>
  <c r="G5047" i="1"/>
  <c r="E5047" i="1"/>
  <c r="H5046" i="1"/>
  <c r="G5046" i="1"/>
  <c r="E5046" i="1"/>
  <c r="H5045" i="1"/>
  <c r="G5045" i="1"/>
  <c r="E5045" i="1"/>
  <c r="H5044" i="1"/>
  <c r="G5044" i="1"/>
  <c r="E5044" i="1"/>
  <c r="H5043" i="1"/>
  <c r="G5043" i="1"/>
  <c r="E5043" i="1"/>
  <c r="H5042" i="1"/>
  <c r="G5042" i="1"/>
  <c r="E5042" i="1"/>
  <c r="H5041" i="1"/>
  <c r="G5041" i="1"/>
  <c r="E5041" i="1"/>
  <c r="H5040" i="1"/>
  <c r="G5040" i="1"/>
  <c r="E5040" i="1"/>
  <c r="H5039" i="1"/>
  <c r="G5039" i="1"/>
  <c r="E5039" i="1"/>
  <c r="H5038" i="1"/>
  <c r="G5038" i="1"/>
  <c r="E5038" i="1"/>
  <c r="H5037" i="1"/>
  <c r="G5037" i="1"/>
  <c r="E5037" i="1"/>
  <c r="H5036" i="1"/>
  <c r="G5036" i="1"/>
  <c r="E5036" i="1"/>
  <c r="H5035" i="1"/>
  <c r="G5035" i="1"/>
  <c r="E5035" i="1"/>
  <c r="H5034" i="1"/>
  <c r="G5034" i="1"/>
  <c r="E5034" i="1"/>
  <c r="H5033" i="1"/>
  <c r="G5033" i="1"/>
  <c r="E5033" i="1"/>
  <c r="H5032" i="1"/>
  <c r="G5032" i="1"/>
  <c r="E5032" i="1"/>
  <c r="H5031" i="1"/>
  <c r="G5031" i="1"/>
  <c r="E5031" i="1"/>
  <c r="H5030" i="1"/>
  <c r="G5030" i="1"/>
  <c r="E5030" i="1"/>
  <c r="H5029" i="1"/>
  <c r="G5029" i="1"/>
  <c r="E5029" i="1"/>
  <c r="H5028" i="1"/>
  <c r="G5028" i="1"/>
  <c r="E5028" i="1"/>
  <c r="H5027" i="1"/>
  <c r="G5027" i="1"/>
  <c r="E5027" i="1"/>
  <c r="H5026" i="1"/>
  <c r="G5026" i="1"/>
  <c r="E5026" i="1"/>
  <c r="H5025" i="1"/>
  <c r="G5025" i="1"/>
  <c r="E5025" i="1"/>
  <c r="H5024" i="1"/>
  <c r="G5024" i="1"/>
  <c r="E5024" i="1"/>
  <c r="H5023" i="1"/>
  <c r="G5023" i="1"/>
  <c r="E5023" i="1"/>
  <c r="H5022" i="1"/>
  <c r="G5022" i="1"/>
  <c r="E5022" i="1"/>
  <c r="H5021" i="1"/>
  <c r="G5021" i="1"/>
  <c r="E5021" i="1"/>
  <c r="H5020" i="1"/>
  <c r="G5020" i="1"/>
  <c r="E5020" i="1"/>
  <c r="H5019" i="1"/>
  <c r="G5019" i="1"/>
  <c r="E5019" i="1"/>
  <c r="H5018" i="1"/>
  <c r="G5018" i="1"/>
  <c r="E5018" i="1"/>
  <c r="H5017" i="1"/>
  <c r="G5017" i="1"/>
  <c r="E5017" i="1"/>
  <c r="H5016" i="1"/>
  <c r="G5016" i="1"/>
  <c r="E5016" i="1"/>
  <c r="H5015" i="1"/>
  <c r="G5015" i="1"/>
  <c r="E5015" i="1"/>
  <c r="H5014" i="1"/>
  <c r="G5014" i="1"/>
  <c r="E5014" i="1"/>
  <c r="H5013" i="1"/>
  <c r="G5013" i="1"/>
  <c r="E5013" i="1"/>
  <c r="H5012" i="1"/>
  <c r="G5012" i="1"/>
  <c r="E5012" i="1"/>
  <c r="H5011" i="1"/>
  <c r="G5011" i="1"/>
  <c r="E5011" i="1"/>
  <c r="H5010" i="1"/>
  <c r="G5010" i="1"/>
  <c r="E5010" i="1"/>
  <c r="H5009" i="1"/>
  <c r="G5009" i="1"/>
  <c r="E5009" i="1"/>
  <c r="H5008" i="1"/>
  <c r="G5008" i="1"/>
  <c r="E5008" i="1"/>
  <c r="H5007" i="1"/>
  <c r="G5007" i="1"/>
  <c r="E5007" i="1"/>
  <c r="H5006" i="1"/>
  <c r="G5006" i="1"/>
  <c r="E5006" i="1"/>
  <c r="H5005" i="1"/>
  <c r="G5005" i="1"/>
  <c r="E5005" i="1"/>
  <c r="H5004" i="1"/>
  <c r="G5004" i="1"/>
  <c r="E5004" i="1"/>
  <c r="H5003" i="1"/>
  <c r="G5003" i="1"/>
  <c r="E5003" i="1"/>
  <c r="H5002" i="1"/>
  <c r="G5002" i="1"/>
  <c r="E5002" i="1"/>
  <c r="H5001" i="1"/>
  <c r="G5001" i="1"/>
  <c r="E5001" i="1"/>
  <c r="H5000" i="1"/>
  <c r="G5000" i="1"/>
  <c r="E5000" i="1"/>
  <c r="H4999" i="1"/>
  <c r="G4999" i="1"/>
  <c r="E4999" i="1"/>
  <c r="H4998" i="1"/>
  <c r="G4998" i="1"/>
  <c r="E4998" i="1"/>
  <c r="H4997" i="1"/>
  <c r="G4997" i="1"/>
  <c r="E4997" i="1"/>
  <c r="H4996" i="1"/>
  <c r="G4996" i="1"/>
  <c r="E4996" i="1"/>
  <c r="H4995" i="1"/>
  <c r="G4995" i="1"/>
  <c r="E4995" i="1"/>
  <c r="H4994" i="1"/>
  <c r="G4994" i="1"/>
  <c r="E4994" i="1"/>
  <c r="H4993" i="1"/>
  <c r="G4993" i="1"/>
  <c r="E4993" i="1"/>
  <c r="H4992" i="1"/>
  <c r="G4992" i="1"/>
  <c r="E4992" i="1"/>
  <c r="H4991" i="1"/>
  <c r="G4991" i="1"/>
  <c r="E4991" i="1"/>
  <c r="H4990" i="1"/>
  <c r="G4990" i="1"/>
  <c r="E4990" i="1"/>
  <c r="H4989" i="1"/>
  <c r="G4989" i="1"/>
  <c r="E4989" i="1"/>
  <c r="H4988" i="1"/>
  <c r="G4988" i="1"/>
  <c r="E4988" i="1"/>
  <c r="H4987" i="1"/>
  <c r="G4987" i="1"/>
  <c r="E4987" i="1"/>
  <c r="H4986" i="1"/>
  <c r="G4986" i="1"/>
  <c r="E4986" i="1"/>
  <c r="H4985" i="1"/>
  <c r="G4985" i="1"/>
  <c r="E4985" i="1"/>
  <c r="H4984" i="1"/>
  <c r="G4984" i="1"/>
  <c r="E4984" i="1"/>
  <c r="H4983" i="1"/>
  <c r="G4983" i="1"/>
  <c r="E4983" i="1"/>
  <c r="H4982" i="1"/>
  <c r="G4982" i="1"/>
  <c r="E4982" i="1"/>
  <c r="H4981" i="1"/>
  <c r="G4981" i="1"/>
  <c r="E4981" i="1"/>
  <c r="H4980" i="1"/>
  <c r="G4980" i="1"/>
  <c r="E4980" i="1"/>
  <c r="H4979" i="1"/>
  <c r="G4979" i="1"/>
  <c r="E4979" i="1"/>
  <c r="H4978" i="1"/>
  <c r="G4978" i="1"/>
  <c r="E4978" i="1"/>
  <c r="H4977" i="1"/>
  <c r="G4977" i="1"/>
  <c r="E4977" i="1"/>
  <c r="H4976" i="1"/>
  <c r="G4976" i="1"/>
  <c r="E4976" i="1"/>
  <c r="H4975" i="1"/>
  <c r="G4975" i="1"/>
  <c r="E4975" i="1"/>
  <c r="H4974" i="1"/>
  <c r="G4974" i="1"/>
  <c r="E4974" i="1"/>
  <c r="H4973" i="1"/>
  <c r="G4973" i="1"/>
  <c r="E4973" i="1"/>
  <c r="H4972" i="1"/>
  <c r="G4972" i="1"/>
  <c r="E4972" i="1"/>
  <c r="H4971" i="1"/>
  <c r="G4971" i="1"/>
  <c r="E4971" i="1"/>
  <c r="H4970" i="1"/>
  <c r="G4970" i="1"/>
  <c r="E4970" i="1"/>
  <c r="H4969" i="1"/>
  <c r="G4969" i="1"/>
  <c r="E4969" i="1"/>
  <c r="H4968" i="1"/>
  <c r="G4968" i="1"/>
  <c r="E4968" i="1"/>
  <c r="H4967" i="1"/>
  <c r="G4967" i="1"/>
  <c r="E4967" i="1"/>
  <c r="H4966" i="1"/>
  <c r="G4966" i="1"/>
  <c r="E4966" i="1"/>
  <c r="H4965" i="1"/>
  <c r="G4965" i="1"/>
  <c r="E4965" i="1"/>
  <c r="H4964" i="1"/>
  <c r="G4964" i="1"/>
  <c r="E4964" i="1"/>
  <c r="H4963" i="1"/>
  <c r="G4963" i="1"/>
  <c r="E4963" i="1"/>
  <c r="H4962" i="1"/>
  <c r="G4962" i="1"/>
  <c r="E4962" i="1"/>
  <c r="H4961" i="1"/>
  <c r="G4961" i="1"/>
  <c r="E4961" i="1"/>
  <c r="H4960" i="1"/>
  <c r="G4960" i="1"/>
  <c r="E4960" i="1"/>
  <c r="H4959" i="1"/>
  <c r="G4959" i="1"/>
  <c r="E4959" i="1"/>
  <c r="H4958" i="1"/>
  <c r="G4958" i="1"/>
  <c r="E4958" i="1"/>
  <c r="H4957" i="1"/>
  <c r="G4957" i="1"/>
  <c r="E4957" i="1"/>
  <c r="H4956" i="1"/>
  <c r="G4956" i="1"/>
  <c r="E4956" i="1"/>
  <c r="H4955" i="1"/>
  <c r="G4955" i="1"/>
  <c r="E4955" i="1"/>
  <c r="H4954" i="1"/>
  <c r="G4954" i="1"/>
  <c r="E4954" i="1"/>
  <c r="H4953" i="1"/>
  <c r="G4953" i="1"/>
  <c r="E4953" i="1"/>
  <c r="H4952" i="1"/>
  <c r="G4952" i="1"/>
  <c r="E4952" i="1"/>
  <c r="H4951" i="1"/>
  <c r="G4951" i="1"/>
  <c r="E4951" i="1"/>
  <c r="H4950" i="1"/>
  <c r="G4950" i="1"/>
  <c r="E4950" i="1"/>
  <c r="H4949" i="1"/>
  <c r="G4949" i="1"/>
  <c r="E4949" i="1"/>
  <c r="H4948" i="1"/>
  <c r="G4948" i="1"/>
  <c r="E4948" i="1"/>
  <c r="H4947" i="1"/>
  <c r="G4947" i="1"/>
  <c r="E4947" i="1"/>
  <c r="H4946" i="1"/>
  <c r="G4946" i="1"/>
  <c r="E4946" i="1"/>
  <c r="H4945" i="1"/>
  <c r="G4945" i="1"/>
  <c r="E4945" i="1"/>
  <c r="H4944" i="1"/>
  <c r="G4944" i="1"/>
  <c r="E4944" i="1"/>
  <c r="H4943" i="1"/>
  <c r="G4943" i="1"/>
  <c r="E4943" i="1"/>
  <c r="H4942" i="1"/>
  <c r="G4942" i="1"/>
  <c r="E4942" i="1"/>
  <c r="H4941" i="1"/>
  <c r="G4941" i="1"/>
  <c r="E4941" i="1"/>
  <c r="H4940" i="1"/>
  <c r="G4940" i="1"/>
  <c r="E4940" i="1"/>
  <c r="H4939" i="1"/>
  <c r="G4939" i="1"/>
  <c r="E4939" i="1"/>
  <c r="H4938" i="1"/>
  <c r="G4938" i="1"/>
  <c r="E4938" i="1"/>
  <c r="H4937" i="1"/>
  <c r="G4937" i="1"/>
  <c r="E4937" i="1"/>
  <c r="H4936" i="1"/>
  <c r="G4936" i="1"/>
  <c r="E4936" i="1"/>
  <c r="H4935" i="1"/>
  <c r="G4935" i="1"/>
  <c r="E4935" i="1"/>
  <c r="H4934" i="1"/>
  <c r="G4934" i="1"/>
  <c r="E4934" i="1"/>
  <c r="H4933" i="1"/>
  <c r="G4933" i="1"/>
  <c r="E4933" i="1"/>
  <c r="H4932" i="1"/>
  <c r="G4932" i="1"/>
  <c r="E4932" i="1"/>
  <c r="H4931" i="1"/>
  <c r="G4931" i="1"/>
  <c r="E4931" i="1"/>
  <c r="H4930" i="1"/>
  <c r="G4930" i="1"/>
  <c r="E4930" i="1"/>
  <c r="H4929" i="1"/>
  <c r="G4929" i="1"/>
  <c r="E4929" i="1"/>
  <c r="H4928" i="1"/>
  <c r="G4928" i="1"/>
  <c r="E4928" i="1"/>
  <c r="H4927" i="1"/>
  <c r="G4927" i="1"/>
  <c r="E4927" i="1"/>
  <c r="H4926" i="1"/>
  <c r="G4926" i="1"/>
  <c r="E4926" i="1"/>
  <c r="H4925" i="1"/>
  <c r="G4925" i="1"/>
  <c r="E4925" i="1"/>
  <c r="H4924" i="1"/>
  <c r="G4924" i="1"/>
  <c r="E4924" i="1"/>
  <c r="H4923" i="1"/>
  <c r="G4923" i="1"/>
  <c r="E4923" i="1"/>
  <c r="H4922" i="1"/>
  <c r="G4922" i="1"/>
  <c r="E4922" i="1"/>
  <c r="H4921" i="1"/>
  <c r="G4921" i="1"/>
  <c r="E4921" i="1"/>
  <c r="H4920" i="1"/>
  <c r="G4920" i="1"/>
  <c r="E4920" i="1"/>
  <c r="H4919" i="1"/>
  <c r="G4919" i="1"/>
  <c r="E4919" i="1"/>
  <c r="H4918" i="1"/>
  <c r="G4918" i="1"/>
  <c r="E4918" i="1"/>
  <c r="H4917" i="1"/>
  <c r="G4917" i="1"/>
  <c r="E4917" i="1"/>
  <c r="H4916" i="1"/>
  <c r="G4916" i="1"/>
  <c r="E4916" i="1"/>
  <c r="H4915" i="1"/>
  <c r="G4915" i="1"/>
  <c r="E4915" i="1"/>
  <c r="H4914" i="1"/>
  <c r="G4914" i="1"/>
  <c r="E4914" i="1"/>
  <c r="H4913" i="1"/>
  <c r="G4913" i="1"/>
  <c r="E4913" i="1"/>
  <c r="H4912" i="1"/>
  <c r="G4912" i="1"/>
  <c r="E4912" i="1"/>
  <c r="H4911" i="1"/>
  <c r="G4911" i="1"/>
  <c r="E4911" i="1"/>
  <c r="H4910" i="1"/>
  <c r="G4910" i="1"/>
  <c r="E4910" i="1"/>
  <c r="H4909" i="1"/>
  <c r="G4909" i="1"/>
  <c r="E4909" i="1"/>
  <c r="H4908" i="1"/>
  <c r="G4908" i="1"/>
  <c r="E4908" i="1"/>
  <c r="H4907" i="1"/>
  <c r="G4907" i="1"/>
  <c r="E4907" i="1"/>
  <c r="H4906" i="1"/>
  <c r="G4906" i="1"/>
  <c r="E4906" i="1"/>
  <c r="H4905" i="1"/>
  <c r="G4905" i="1"/>
  <c r="E4905" i="1"/>
  <c r="H4904" i="1"/>
  <c r="G4904" i="1"/>
  <c r="E4904" i="1"/>
  <c r="H4903" i="1"/>
  <c r="G4903" i="1"/>
  <c r="E4903" i="1"/>
  <c r="H4902" i="1"/>
  <c r="G4902" i="1"/>
  <c r="E4902" i="1"/>
  <c r="H4901" i="1"/>
  <c r="G4901" i="1"/>
  <c r="E4901" i="1"/>
  <c r="H4900" i="1"/>
  <c r="G4900" i="1"/>
  <c r="E4900" i="1"/>
  <c r="H4899" i="1"/>
  <c r="G4899" i="1"/>
  <c r="E4899" i="1"/>
  <c r="H4898" i="1"/>
  <c r="G4898" i="1"/>
  <c r="E4898" i="1"/>
  <c r="H4897" i="1"/>
  <c r="G4897" i="1"/>
  <c r="E4897" i="1"/>
  <c r="H4896" i="1"/>
  <c r="G4896" i="1"/>
  <c r="E4896" i="1"/>
  <c r="H4895" i="1"/>
  <c r="G4895" i="1"/>
  <c r="E4895" i="1"/>
  <c r="H4894" i="1"/>
  <c r="G4894" i="1"/>
  <c r="E4894" i="1"/>
  <c r="H4893" i="1"/>
  <c r="G4893" i="1"/>
  <c r="E4893" i="1"/>
  <c r="H4892" i="1"/>
  <c r="G4892" i="1"/>
  <c r="E4892" i="1"/>
  <c r="H4891" i="1"/>
  <c r="G4891" i="1"/>
  <c r="E4891" i="1"/>
  <c r="H4890" i="1"/>
  <c r="G4890" i="1"/>
  <c r="E4890" i="1"/>
  <c r="H4889" i="1"/>
  <c r="G4889" i="1"/>
  <c r="E4889" i="1"/>
  <c r="H4888" i="1"/>
  <c r="G4888" i="1"/>
  <c r="E4888" i="1"/>
  <c r="H4887" i="1"/>
  <c r="G4887" i="1"/>
  <c r="E4887" i="1"/>
  <c r="H4886" i="1"/>
  <c r="G4886" i="1"/>
  <c r="E4886" i="1"/>
  <c r="H4885" i="1"/>
  <c r="G4885" i="1"/>
  <c r="E4885" i="1"/>
  <c r="H4884" i="1"/>
  <c r="G4884" i="1"/>
  <c r="E4884" i="1"/>
  <c r="H4883" i="1"/>
  <c r="G4883" i="1"/>
  <c r="E4883" i="1"/>
  <c r="H4882" i="1"/>
  <c r="G4882" i="1"/>
  <c r="E4882" i="1"/>
  <c r="H4881" i="1"/>
  <c r="G4881" i="1"/>
  <c r="E4881" i="1"/>
  <c r="H4880" i="1"/>
  <c r="G4880" i="1"/>
  <c r="E4880" i="1"/>
  <c r="H4879" i="1"/>
  <c r="G4879" i="1"/>
  <c r="E4879" i="1"/>
  <c r="H4878" i="1"/>
  <c r="G4878" i="1"/>
  <c r="E4878" i="1"/>
  <c r="H4877" i="1"/>
  <c r="G4877" i="1"/>
  <c r="E4877" i="1"/>
  <c r="H4876" i="1"/>
  <c r="G4876" i="1"/>
  <c r="E4876" i="1"/>
  <c r="H4875" i="1"/>
  <c r="G4875" i="1"/>
  <c r="E4875" i="1"/>
  <c r="H4874" i="1"/>
  <c r="G4874" i="1"/>
  <c r="E4874" i="1"/>
  <c r="H4873" i="1"/>
  <c r="G4873" i="1"/>
  <c r="E4873" i="1"/>
  <c r="H4872" i="1"/>
  <c r="G4872" i="1"/>
  <c r="E4872" i="1"/>
  <c r="H4871" i="1"/>
  <c r="G4871" i="1"/>
  <c r="E4871" i="1"/>
  <c r="H4870" i="1"/>
  <c r="G4870" i="1"/>
  <c r="E4870" i="1"/>
  <c r="H4869" i="1"/>
  <c r="G4869" i="1"/>
  <c r="E4869" i="1"/>
  <c r="H4868" i="1"/>
  <c r="G4868" i="1"/>
  <c r="E4868" i="1"/>
  <c r="H4867" i="1"/>
  <c r="G4867" i="1"/>
  <c r="E4867" i="1"/>
  <c r="H4866" i="1"/>
  <c r="G4866" i="1"/>
  <c r="E4866" i="1"/>
  <c r="H4865" i="1"/>
  <c r="G4865" i="1"/>
  <c r="E4865" i="1"/>
  <c r="H4864" i="1"/>
  <c r="G4864" i="1"/>
  <c r="E4864" i="1"/>
  <c r="H4863" i="1"/>
  <c r="G4863" i="1"/>
  <c r="E4863" i="1"/>
  <c r="H4862" i="1"/>
  <c r="G4862" i="1"/>
  <c r="E4862" i="1"/>
  <c r="H4861" i="1"/>
  <c r="G4861" i="1"/>
  <c r="E4861" i="1"/>
  <c r="H4860" i="1"/>
  <c r="G4860" i="1"/>
  <c r="E4860" i="1"/>
  <c r="H4859" i="1"/>
  <c r="G4859" i="1"/>
  <c r="E4859" i="1"/>
  <c r="H4858" i="1"/>
  <c r="G4858" i="1"/>
  <c r="E4858" i="1"/>
  <c r="H4857" i="1"/>
  <c r="G4857" i="1"/>
  <c r="E4857" i="1"/>
  <c r="H4856" i="1"/>
  <c r="G4856" i="1"/>
  <c r="E4856" i="1"/>
  <c r="H4855" i="1"/>
  <c r="G4855" i="1"/>
  <c r="E4855" i="1"/>
  <c r="H4854" i="1"/>
  <c r="G4854" i="1"/>
  <c r="E4854" i="1"/>
  <c r="H4853" i="1"/>
  <c r="G4853" i="1"/>
  <c r="E4853" i="1"/>
  <c r="H4852" i="1"/>
  <c r="G4852" i="1"/>
  <c r="E4852" i="1"/>
  <c r="H4851" i="1"/>
  <c r="G4851" i="1"/>
  <c r="E4851" i="1"/>
  <c r="H4850" i="1"/>
  <c r="G4850" i="1"/>
  <c r="E4850" i="1"/>
  <c r="H4849" i="1"/>
  <c r="G4849" i="1"/>
  <c r="E4849" i="1"/>
  <c r="H4848" i="1"/>
  <c r="G4848" i="1"/>
  <c r="E4848" i="1"/>
  <c r="H4847" i="1"/>
  <c r="G4847" i="1"/>
  <c r="E4847" i="1"/>
  <c r="H4846" i="1"/>
  <c r="G4846" i="1"/>
  <c r="E4846" i="1"/>
  <c r="H4845" i="1"/>
  <c r="G4845" i="1"/>
  <c r="E4845" i="1"/>
  <c r="H4844" i="1"/>
  <c r="G4844" i="1"/>
  <c r="E4844" i="1"/>
  <c r="H4843" i="1"/>
  <c r="G4843" i="1"/>
  <c r="E4843" i="1"/>
  <c r="H4842" i="1"/>
  <c r="G4842" i="1"/>
  <c r="E4842" i="1"/>
  <c r="H4841" i="1"/>
  <c r="G4841" i="1"/>
  <c r="E4841" i="1"/>
  <c r="H4840" i="1"/>
  <c r="G4840" i="1"/>
  <c r="E4840" i="1"/>
  <c r="H4839" i="1"/>
  <c r="G4839" i="1"/>
  <c r="E4839" i="1"/>
  <c r="H4838" i="1"/>
  <c r="G4838" i="1"/>
  <c r="E4838" i="1"/>
  <c r="H4837" i="1"/>
  <c r="G4837" i="1"/>
  <c r="E4837" i="1"/>
  <c r="H4836" i="1"/>
  <c r="G4836" i="1"/>
  <c r="E4836" i="1"/>
  <c r="H4835" i="1"/>
  <c r="G4835" i="1"/>
  <c r="E4835" i="1"/>
  <c r="H4834" i="1"/>
  <c r="G4834" i="1"/>
  <c r="E4834" i="1"/>
  <c r="H4833" i="1"/>
  <c r="G4833" i="1"/>
  <c r="E4833" i="1"/>
  <c r="H4832" i="1"/>
  <c r="G4832" i="1"/>
  <c r="E4832" i="1"/>
  <c r="H4831" i="1"/>
  <c r="G4831" i="1"/>
  <c r="E4831" i="1"/>
  <c r="H4830" i="1"/>
  <c r="G4830" i="1"/>
  <c r="E4830" i="1"/>
  <c r="H4829" i="1"/>
  <c r="G4829" i="1"/>
  <c r="E4829" i="1"/>
  <c r="H4828" i="1"/>
  <c r="G4828" i="1"/>
  <c r="E4828" i="1"/>
  <c r="H4827" i="1"/>
  <c r="G4827" i="1"/>
  <c r="E4827" i="1"/>
  <c r="H4826" i="1"/>
  <c r="G4826" i="1"/>
  <c r="E4826" i="1"/>
  <c r="H4825" i="1"/>
  <c r="G4825" i="1"/>
  <c r="E4825" i="1"/>
  <c r="H4824" i="1"/>
  <c r="G4824" i="1"/>
  <c r="E4824" i="1"/>
  <c r="H4823" i="1"/>
  <c r="G4823" i="1"/>
  <c r="E4823" i="1"/>
  <c r="H4822" i="1"/>
  <c r="G4822" i="1"/>
  <c r="E4822" i="1"/>
  <c r="H4821" i="1"/>
  <c r="G4821" i="1"/>
  <c r="E4821" i="1"/>
  <c r="H4820" i="1"/>
  <c r="G4820" i="1"/>
  <c r="E4820" i="1"/>
  <c r="H4819" i="1"/>
  <c r="G4819" i="1"/>
  <c r="E4819" i="1"/>
  <c r="H4818" i="1"/>
  <c r="G4818" i="1"/>
  <c r="E4818" i="1"/>
  <c r="H4817" i="1"/>
  <c r="G4817" i="1"/>
  <c r="E4817" i="1"/>
  <c r="H4816" i="1"/>
  <c r="G4816" i="1"/>
  <c r="E4816" i="1"/>
  <c r="H4815" i="1"/>
  <c r="G4815" i="1"/>
  <c r="E4815" i="1"/>
  <c r="H4814" i="1"/>
  <c r="G4814" i="1"/>
  <c r="E4814" i="1"/>
  <c r="H4813" i="1"/>
  <c r="G4813" i="1"/>
  <c r="E4813" i="1"/>
  <c r="H4812" i="1"/>
  <c r="G4812" i="1"/>
  <c r="E4812" i="1"/>
  <c r="H4811" i="1"/>
  <c r="G4811" i="1"/>
  <c r="E4811" i="1"/>
  <c r="H4810" i="1"/>
  <c r="G4810" i="1"/>
  <c r="E4810" i="1"/>
  <c r="H4809" i="1"/>
  <c r="G4809" i="1"/>
  <c r="E4809" i="1"/>
  <c r="H4808" i="1"/>
  <c r="G4808" i="1"/>
  <c r="E4808" i="1"/>
  <c r="H4807" i="1"/>
  <c r="G4807" i="1"/>
  <c r="E4807" i="1"/>
  <c r="H4806" i="1"/>
  <c r="G4806" i="1"/>
  <c r="E4806" i="1"/>
  <c r="H4805" i="1"/>
  <c r="G4805" i="1"/>
  <c r="E4805" i="1"/>
  <c r="H4804" i="1"/>
  <c r="G4804" i="1"/>
  <c r="E4804" i="1"/>
  <c r="H4803" i="1"/>
  <c r="G4803" i="1"/>
  <c r="E4803" i="1"/>
  <c r="H4802" i="1"/>
  <c r="G4802" i="1"/>
  <c r="E4802" i="1"/>
  <c r="H4801" i="1"/>
  <c r="G4801" i="1"/>
  <c r="E4801" i="1"/>
  <c r="H4800" i="1"/>
  <c r="G4800" i="1"/>
  <c r="E4800" i="1"/>
  <c r="H4799" i="1"/>
  <c r="G4799" i="1"/>
  <c r="E4799" i="1"/>
  <c r="H4798" i="1"/>
  <c r="G4798" i="1"/>
  <c r="E4798" i="1"/>
  <c r="H4797" i="1"/>
  <c r="G4797" i="1"/>
  <c r="E4797" i="1"/>
  <c r="H4796" i="1"/>
  <c r="G4796" i="1"/>
  <c r="E4796" i="1"/>
  <c r="H4795" i="1"/>
  <c r="G4795" i="1"/>
  <c r="E4795" i="1"/>
  <c r="H4794" i="1"/>
  <c r="G4794" i="1"/>
  <c r="E4794" i="1"/>
  <c r="H4793" i="1"/>
  <c r="G4793" i="1"/>
  <c r="E4793" i="1"/>
  <c r="H4792" i="1"/>
  <c r="G4792" i="1"/>
  <c r="E4792" i="1"/>
  <c r="H4791" i="1"/>
  <c r="G4791" i="1"/>
  <c r="E4791" i="1"/>
  <c r="H4790" i="1"/>
  <c r="G4790" i="1"/>
  <c r="E4790" i="1"/>
  <c r="H4789" i="1"/>
  <c r="G4789" i="1"/>
  <c r="E4789" i="1"/>
  <c r="H4788" i="1"/>
  <c r="G4788" i="1"/>
  <c r="E4788" i="1"/>
  <c r="H4787" i="1"/>
  <c r="G4787" i="1"/>
  <c r="E4787" i="1"/>
  <c r="H4786" i="1"/>
  <c r="G4786" i="1"/>
  <c r="E4786" i="1"/>
  <c r="H4785" i="1"/>
  <c r="G4785" i="1"/>
  <c r="E4785" i="1"/>
  <c r="H4784" i="1"/>
  <c r="G4784" i="1"/>
  <c r="E4784" i="1"/>
  <c r="H4783" i="1"/>
  <c r="G4783" i="1"/>
  <c r="E4783" i="1"/>
  <c r="H4782" i="1"/>
  <c r="G4782" i="1"/>
  <c r="E4782" i="1"/>
  <c r="H4781" i="1"/>
  <c r="G4781" i="1"/>
  <c r="E4781" i="1"/>
  <c r="H4780" i="1"/>
  <c r="G4780" i="1"/>
  <c r="E4780" i="1"/>
  <c r="H4779" i="1"/>
  <c r="G4779" i="1"/>
  <c r="E4779" i="1"/>
  <c r="H4778" i="1"/>
  <c r="G4778" i="1"/>
  <c r="E4778" i="1"/>
  <c r="H4777" i="1"/>
  <c r="G4777" i="1"/>
  <c r="E4777" i="1"/>
  <c r="H4776" i="1"/>
  <c r="G4776" i="1"/>
  <c r="E4776" i="1"/>
  <c r="H4775" i="1"/>
  <c r="G4775" i="1"/>
  <c r="E4775" i="1"/>
  <c r="H4774" i="1"/>
  <c r="G4774" i="1"/>
  <c r="E4774" i="1"/>
  <c r="H4773" i="1"/>
  <c r="G4773" i="1"/>
  <c r="E4773" i="1"/>
  <c r="H4772" i="1"/>
  <c r="G4772" i="1"/>
  <c r="E4772" i="1"/>
  <c r="H4771" i="1"/>
  <c r="G4771" i="1"/>
  <c r="E4771" i="1"/>
  <c r="H4770" i="1"/>
  <c r="G4770" i="1"/>
  <c r="E4770" i="1"/>
  <c r="H4769" i="1"/>
  <c r="G4769" i="1"/>
  <c r="E4769" i="1"/>
  <c r="H4768" i="1"/>
  <c r="G4768" i="1"/>
  <c r="E4768" i="1"/>
  <c r="H4767" i="1"/>
  <c r="G4767" i="1"/>
  <c r="E4767" i="1"/>
  <c r="H4766" i="1"/>
  <c r="G4766" i="1"/>
  <c r="E4766" i="1"/>
  <c r="H4765" i="1"/>
  <c r="G4765" i="1"/>
  <c r="E4765" i="1"/>
  <c r="H4764" i="1"/>
  <c r="G4764" i="1"/>
  <c r="E4764" i="1"/>
  <c r="H4763" i="1"/>
  <c r="G4763" i="1"/>
  <c r="E4763" i="1"/>
  <c r="H4762" i="1"/>
  <c r="G4762" i="1"/>
  <c r="E4762" i="1"/>
  <c r="H4761" i="1"/>
  <c r="G4761" i="1"/>
  <c r="E4761" i="1"/>
  <c r="H4760" i="1"/>
  <c r="G4760" i="1"/>
  <c r="E4760" i="1"/>
  <c r="H4759" i="1"/>
  <c r="G4759" i="1"/>
  <c r="E4759" i="1"/>
  <c r="H4758" i="1"/>
  <c r="G4758" i="1"/>
  <c r="E4758" i="1"/>
  <c r="H4757" i="1"/>
  <c r="G4757" i="1"/>
  <c r="E4757" i="1"/>
  <c r="H4756" i="1"/>
  <c r="G4756" i="1"/>
  <c r="E4756" i="1"/>
  <c r="H4755" i="1"/>
  <c r="G4755" i="1"/>
  <c r="E4755" i="1"/>
  <c r="H4754" i="1"/>
  <c r="G4754" i="1"/>
  <c r="E4754" i="1"/>
  <c r="H4753" i="1"/>
  <c r="G4753" i="1"/>
  <c r="E4753" i="1"/>
  <c r="H4752" i="1"/>
  <c r="G4752" i="1"/>
  <c r="E4752" i="1"/>
  <c r="H4751" i="1"/>
  <c r="G4751" i="1"/>
  <c r="E4751" i="1"/>
  <c r="H4750" i="1"/>
  <c r="G4750" i="1"/>
  <c r="E4750" i="1"/>
  <c r="H4749" i="1"/>
  <c r="G4749" i="1"/>
  <c r="E4749" i="1"/>
  <c r="H4748" i="1"/>
  <c r="G4748" i="1"/>
  <c r="E4748" i="1"/>
  <c r="H4747" i="1"/>
  <c r="G4747" i="1"/>
  <c r="E4747" i="1"/>
  <c r="H4746" i="1"/>
  <c r="G4746" i="1"/>
  <c r="E4746" i="1"/>
  <c r="H4745" i="1"/>
  <c r="G4745" i="1"/>
  <c r="E4745" i="1"/>
  <c r="H4744" i="1"/>
  <c r="G4744" i="1"/>
  <c r="E4744" i="1"/>
  <c r="H4743" i="1"/>
  <c r="G4743" i="1"/>
  <c r="E4743" i="1"/>
  <c r="H4742" i="1"/>
  <c r="G4742" i="1"/>
  <c r="E4742" i="1"/>
  <c r="H4741" i="1"/>
  <c r="G4741" i="1"/>
  <c r="E4741" i="1"/>
  <c r="H4740" i="1"/>
  <c r="G4740" i="1"/>
  <c r="E4740" i="1"/>
  <c r="H4739" i="1"/>
  <c r="G4739" i="1"/>
  <c r="E4739" i="1"/>
  <c r="H4738" i="1"/>
  <c r="G4738" i="1"/>
  <c r="E4738" i="1"/>
  <c r="H4737" i="1"/>
  <c r="G4737" i="1"/>
  <c r="E4737" i="1"/>
  <c r="H4736" i="1"/>
  <c r="G4736" i="1"/>
  <c r="E4736" i="1"/>
  <c r="H4735" i="1"/>
  <c r="G4735" i="1"/>
  <c r="E4735" i="1"/>
  <c r="H4734" i="1"/>
  <c r="G4734" i="1"/>
  <c r="E4734" i="1"/>
  <c r="H4733" i="1"/>
  <c r="G4733" i="1"/>
  <c r="E4733" i="1"/>
  <c r="H4732" i="1"/>
  <c r="G4732" i="1"/>
  <c r="E4732" i="1"/>
  <c r="H4731" i="1"/>
  <c r="G4731" i="1"/>
  <c r="E4731" i="1"/>
  <c r="H4730" i="1"/>
  <c r="G4730" i="1"/>
  <c r="E4730" i="1"/>
  <c r="H4729" i="1"/>
  <c r="G4729" i="1"/>
  <c r="E4729" i="1"/>
  <c r="H4728" i="1"/>
  <c r="G4728" i="1"/>
  <c r="E4728" i="1"/>
  <c r="H4727" i="1"/>
  <c r="G4727" i="1"/>
  <c r="E4727" i="1"/>
  <c r="H4726" i="1"/>
  <c r="G4726" i="1"/>
  <c r="E4726" i="1"/>
  <c r="H4725" i="1"/>
  <c r="G4725" i="1"/>
  <c r="E4725" i="1"/>
  <c r="H4724" i="1"/>
  <c r="G4724" i="1"/>
  <c r="E4724" i="1"/>
  <c r="H4723" i="1"/>
  <c r="G4723" i="1"/>
  <c r="E4723" i="1"/>
  <c r="H4722" i="1"/>
  <c r="G4722" i="1"/>
  <c r="E4722" i="1"/>
  <c r="H4721" i="1"/>
  <c r="G4721" i="1"/>
  <c r="E4721" i="1"/>
  <c r="H4720" i="1"/>
  <c r="G4720" i="1"/>
  <c r="E4720" i="1"/>
  <c r="H4719" i="1"/>
  <c r="G4719" i="1"/>
  <c r="E4719" i="1"/>
  <c r="H4718" i="1"/>
  <c r="G4718" i="1"/>
  <c r="E4718" i="1"/>
  <c r="H4717" i="1"/>
  <c r="G4717" i="1"/>
  <c r="E4717" i="1"/>
  <c r="H4716" i="1"/>
  <c r="G4716" i="1"/>
  <c r="E4716" i="1"/>
  <c r="H4715" i="1"/>
  <c r="G4715" i="1"/>
  <c r="E4715" i="1"/>
  <c r="H4714" i="1"/>
  <c r="G4714" i="1"/>
  <c r="E4714" i="1"/>
  <c r="H4713" i="1"/>
  <c r="G4713" i="1"/>
  <c r="E4713" i="1"/>
  <c r="H4712" i="1"/>
  <c r="G4712" i="1"/>
  <c r="E4712" i="1"/>
  <c r="H4711" i="1"/>
  <c r="G4711" i="1"/>
  <c r="E4711" i="1"/>
  <c r="H4710" i="1"/>
  <c r="G4710" i="1"/>
  <c r="E4710" i="1"/>
  <c r="H4709" i="1"/>
  <c r="G4709" i="1"/>
  <c r="E4709" i="1"/>
  <c r="H4708" i="1"/>
  <c r="G4708" i="1"/>
  <c r="E4708" i="1"/>
  <c r="H4707" i="1"/>
  <c r="G4707" i="1"/>
  <c r="E4707" i="1"/>
  <c r="H4706" i="1"/>
  <c r="G4706" i="1"/>
  <c r="E4706" i="1"/>
  <c r="H4705" i="1"/>
  <c r="G4705" i="1"/>
  <c r="E4705" i="1"/>
  <c r="H4704" i="1"/>
  <c r="G4704" i="1"/>
  <c r="E4704" i="1"/>
  <c r="H4703" i="1"/>
  <c r="G4703" i="1"/>
  <c r="E4703" i="1"/>
  <c r="H4702" i="1"/>
  <c r="G4702" i="1"/>
  <c r="E4702" i="1"/>
  <c r="H4701" i="1"/>
  <c r="G4701" i="1"/>
  <c r="E4701" i="1"/>
  <c r="H4700" i="1"/>
  <c r="G4700" i="1"/>
  <c r="E4700" i="1"/>
  <c r="H4699" i="1"/>
  <c r="G4699" i="1"/>
  <c r="E4699" i="1"/>
  <c r="H4698" i="1"/>
  <c r="G4698" i="1"/>
  <c r="E4698" i="1"/>
  <c r="H4697" i="1"/>
  <c r="G4697" i="1"/>
  <c r="E4697" i="1"/>
  <c r="H4696" i="1"/>
  <c r="G4696" i="1"/>
  <c r="E4696" i="1"/>
  <c r="H4695" i="1"/>
  <c r="G4695" i="1"/>
  <c r="E4695" i="1"/>
  <c r="H4694" i="1"/>
  <c r="G4694" i="1"/>
  <c r="E4694" i="1"/>
  <c r="H4693" i="1"/>
  <c r="G4693" i="1"/>
  <c r="E4693" i="1"/>
  <c r="H4692" i="1"/>
  <c r="G4692" i="1"/>
  <c r="E4692" i="1"/>
  <c r="H4691" i="1"/>
  <c r="G4691" i="1"/>
  <c r="E4691" i="1"/>
  <c r="H4690" i="1"/>
  <c r="G4690" i="1"/>
  <c r="E4690" i="1"/>
  <c r="H4689" i="1"/>
  <c r="G4689" i="1"/>
  <c r="E4689" i="1"/>
  <c r="H4688" i="1"/>
  <c r="G4688" i="1"/>
  <c r="E4688" i="1"/>
  <c r="H4687" i="1"/>
  <c r="G4687" i="1"/>
  <c r="E4687" i="1"/>
  <c r="H4686" i="1"/>
  <c r="G4686" i="1"/>
  <c r="E4686" i="1"/>
  <c r="H4685" i="1"/>
  <c r="G4685" i="1"/>
  <c r="E4685" i="1"/>
  <c r="H4684" i="1"/>
  <c r="G4684" i="1"/>
  <c r="E4684" i="1"/>
  <c r="H4683" i="1"/>
  <c r="G4683" i="1"/>
  <c r="E4683" i="1"/>
  <c r="H4682" i="1"/>
  <c r="G4682" i="1"/>
  <c r="E4682" i="1"/>
  <c r="H4681" i="1"/>
  <c r="G4681" i="1"/>
  <c r="E4681" i="1"/>
  <c r="H4680" i="1"/>
  <c r="G4680" i="1"/>
  <c r="E4680" i="1"/>
  <c r="H4679" i="1"/>
  <c r="G4679" i="1"/>
  <c r="E4679" i="1"/>
  <c r="H4678" i="1"/>
  <c r="G4678" i="1"/>
  <c r="E4678" i="1"/>
  <c r="H4677" i="1"/>
  <c r="G4677" i="1"/>
  <c r="E4677" i="1"/>
  <c r="H4676" i="1"/>
  <c r="G4676" i="1"/>
  <c r="E4676" i="1"/>
  <c r="H4675" i="1"/>
  <c r="G4675" i="1"/>
  <c r="E4675" i="1"/>
  <c r="H4674" i="1"/>
  <c r="G4674" i="1"/>
  <c r="E4674" i="1"/>
  <c r="H4673" i="1"/>
  <c r="G4673" i="1"/>
  <c r="E4673" i="1"/>
  <c r="H4672" i="1"/>
  <c r="G4672" i="1"/>
  <c r="E4672" i="1"/>
  <c r="H4671" i="1"/>
  <c r="G4671" i="1"/>
  <c r="E4671" i="1"/>
  <c r="H4670" i="1"/>
  <c r="G4670" i="1"/>
  <c r="E4670" i="1"/>
  <c r="H4669" i="1"/>
  <c r="G4669" i="1"/>
  <c r="E4669" i="1"/>
  <c r="H4668" i="1"/>
  <c r="G4668" i="1"/>
  <c r="E4668" i="1"/>
  <c r="H4667" i="1"/>
  <c r="G4667" i="1"/>
  <c r="E4667" i="1"/>
  <c r="H4666" i="1"/>
  <c r="G4666" i="1"/>
  <c r="E4666" i="1"/>
  <c r="H4665" i="1"/>
  <c r="G4665" i="1"/>
  <c r="E4665" i="1"/>
  <c r="H4664" i="1"/>
  <c r="G4664" i="1"/>
  <c r="E4664" i="1"/>
  <c r="H4663" i="1"/>
  <c r="G4663" i="1"/>
  <c r="E4663" i="1"/>
  <c r="H4662" i="1"/>
  <c r="G4662" i="1"/>
  <c r="E4662" i="1"/>
  <c r="H4661" i="1"/>
  <c r="G4661" i="1"/>
  <c r="E4661" i="1"/>
  <c r="H4660" i="1"/>
  <c r="G4660" i="1"/>
  <c r="E4660" i="1"/>
  <c r="H4659" i="1"/>
  <c r="G4659" i="1"/>
  <c r="E4659" i="1"/>
  <c r="H4658" i="1"/>
  <c r="G4658" i="1"/>
  <c r="E4658" i="1"/>
  <c r="H4657" i="1"/>
  <c r="G4657" i="1"/>
  <c r="E4657" i="1"/>
  <c r="H4656" i="1"/>
  <c r="G4656" i="1"/>
  <c r="E4656" i="1"/>
  <c r="H4655" i="1"/>
  <c r="G4655" i="1"/>
  <c r="E4655" i="1"/>
  <c r="H4654" i="1"/>
  <c r="G4654" i="1"/>
  <c r="E4654" i="1"/>
  <c r="H4653" i="1"/>
  <c r="G4653" i="1"/>
  <c r="E4653" i="1"/>
  <c r="H4652" i="1"/>
  <c r="G4652" i="1"/>
  <c r="E4652" i="1"/>
  <c r="H4651" i="1"/>
  <c r="G4651" i="1"/>
  <c r="E4651" i="1"/>
  <c r="H4650" i="1"/>
  <c r="G4650" i="1"/>
  <c r="E4650" i="1"/>
  <c r="H4649" i="1"/>
  <c r="G4649" i="1"/>
  <c r="E4649" i="1"/>
  <c r="H4648" i="1"/>
  <c r="G4648" i="1"/>
  <c r="E4648" i="1"/>
  <c r="H4647" i="1"/>
  <c r="G4647" i="1"/>
  <c r="E4647" i="1"/>
  <c r="H4646" i="1"/>
  <c r="G4646" i="1"/>
  <c r="E4646" i="1"/>
  <c r="H4645" i="1"/>
  <c r="G4645" i="1"/>
  <c r="E4645" i="1"/>
  <c r="H4644" i="1"/>
  <c r="G4644" i="1"/>
  <c r="E4644" i="1"/>
  <c r="H4643" i="1"/>
  <c r="G4643" i="1"/>
  <c r="E4643" i="1"/>
  <c r="H4642" i="1"/>
  <c r="G4642" i="1"/>
  <c r="E4642" i="1"/>
  <c r="H4641" i="1"/>
  <c r="G4641" i="1"/>
  <c r="E4641" i="1"/>
  <c r="H4640" i="1"/>
  <c r="G4640" i="1"/>
  <c r="E4640" i="1"/>
  <c r="H4639" i="1"/>
  <c r="G4639" i="1"/>
  <c r="E4639" i="1"/>
  <c r="H4638" i="1"/>
  <c r="G4638" i="1"/>
  <c r="E4638" i="1"/>
  <c r="H4637" i="1"/>
  <c r="G4637" i="1"/>
  <c r="E4637" i="1"/>
  <c r="H4636" i="1"/>
  <c r="G4636" i="1"/>
  <c r="E4636" i="1"/>
  <c r="H4635" i="1"/>
  <c r="G4635" i="1"/>
  <c r="E4635" i="1"/>
  <c r="H4634" i="1"/>
  <c r="G4634" i="1"/>
  <c r="E4634" i="1"/>
  <c r="H4633" i="1"/>
  <c r="G4633" i="1"/>
  <c r="E4633" i="1"/>
  <c r="H4632" i="1"/>
  <c r="G4632" i="1"/>
  <c r="E4632" i="1"/>
  <c r="H4631" i="1"/>
  <c r="G4631" i="1"/>
  <c r="E4631" i="1"/>
  <c r="H4630" i="1"/>
  <c r="G4630" i="1"/>
  <c r="E4630" i="1"/>
  <c r="H4629" i="1"/>
  <c r="G4629" i="1"/>
  <c r="E4629" i="1"/>
  <c r="H4628" i="1"/>
  <c r="G4628" i="1"/>
  <c r="E4628" i="1"/>
  <c r="H4627" i="1"/>
  <c r="G4627" i="1"/>
  <c r="E4627" i="1"/>
  <c r="H4626" i="1"/>
  <c r="G4626" i="1"/>
  <c r="E4626" i="1"/>
  <c r="H4625" i="1"/>
  <c r="G4625" i="1"/>
  <c r="E4625" i="1"/>
  <c r="H4624" i="1"/>
  <c r="G4624" i="1"/>
  <c r="E4624" i="1"/>
  <c r="H4623" i="1"/>
  <c r="G4623" i="1"/>
  <c r="E4623" i="1"/>
  <c r="H4622" i="1"/>
  <c r="G4622" i="1"/>
  <c r="E4622" i="1"/>
  <c r="H4621" i="1"/>
  <c r="G4621" i="1"/>
  <c r="E4621" i="1"/>
  <c r="H4620" i="1"/>
  <c r="G4620" i="1"/>
  <c r="E4620" i="1"/>
  <c r="H4619" i="1"/>
  <c r="G4619" i="1"/>
  <c r="E4619" i="1"/>
  <c r="H4618" i="1"/>
  <c r="G4618" i="1"/>
  <c r="E4618" i="1"/>
  <c r="H4617" i="1"/>
  <c r="G4617" i="1"/>
  <c r="E4617" i="1"/>
  <c r="H4616" i="1"/>
  <c r="G4616" i="1"/>
  <c r="E4616" i="1"/>
  <c r="H4615" i="1"/>
  <c r="G4615" i="1"/>
  <c r="E4615" i="1"/>
  <c r="H4614" i="1"/>
  <c r="G4614" i="1"/>
  <c r="E4614" i="1"/>
  <c r="H4613" i="1"/>
  <c r="G4613" i="1"/>
  <c r="E4613" i="1"/>
  <c r="H4612" i="1"/>
  <c r="G4612" i="1"/>
  <c r="E4612" i="1"/>
  <c r="H4611" i="1"/>
  <c r="G4611" i="1"/>
  <c r="E4611" i="1"/>
  <c r="H4610" i="1"/>
  <c r="G4610" i="1"/>
  <c r="E4610" i="1"/>
  <c r="H4609" i="1"/>
  <c r="G4609" i="1"/>
  <c r="E4609" i="1"/>
  <c r="H4608" i="1"/>
  <c r="G4608" i="1"/>
  <c r="E4608" i="1"/>
  <c r="H4607" i="1"/>
  <c r="G4607" i="1"/>
  <c r="E4607" i="1"/>
  <c r="H4606" i="1"/>
  <c r="G4606" i="1"/>
  <c r="E4606" i="1"/>
  <c r="H4605" i="1"/>
  <c r="G4605" i="1"/>
  <c r="E4605" i="1"/>
  <c r="H4604" i="1"/>
  <c r="G4604" i="1"/>
  <c r="E4604" i="1"/>
  <c r="H4603" i="1"/>
  <c r="G4603" i="1"/>
  <c r="E4603" i="1"/>
  <c r="H4602" i="1"/>
  <c r="G4602" i="1"/>
  <c r="E4602" i="1"/>
  <c r="H4601" i="1"/>
  <c r="G4601" i="1"/>
  <c r="E4601" i="1"/>
  <c r="H4600" i="1"/>
  <c r="G4600" i="1"/>
  <c r="E4600" i="1"/>
  <c r="H4599" i="1"/>
  <c r="G4599" i="1"/>
  <c r="E4599" i="1"/>
  <c r="H4598" i="1"/>
  <c r="G4598" i="1"/>
  <c r="E4598" i="1"/>
  <c r="H4597" i="1"/>
  <c r="G4597" i="1"/>
  <c r="E4597" i="1"/>
  <c r="H4596" i="1"/>
  <c r="G4596" i="1"/>
  <c r="E4596" i="1"/>
  <c r="H4595" i="1"/>
  <c r="G4595" i="1"/>
  <c r="E4595" i="1"/>
  <c r="H4594" i="1"/>
  <c r="G4594" i="1"/>
  <c r="E4594" i="1"/>
  <c r="H4593" i="1"/>
  <c r="G4593" i="1"/>
  <c r="E4593" i="1"/>
  <c r="H4592" i="1"/>
  <c r="G4592" i="1"/>
  <c r="E4592" i="1"/>
  <c r="H4591" i="1"/>
  <c r="G4591" i="1"/>
  <c r="E4591" i="1"/>
  <c r="H4590" i="1"/>
  <c r="G4590" i="1"/>
  <c r="E4590" i="1"/>
  <c r="H4589" i="1"/>
  <c r="G4589" i="1"/>
  <c r="E4589" i="1"/>
  <c r="H4588" i="1"/>
  <c r="G4588" i="1"/>
  <c r="E4588" i="1"/>
  <c r="H4587" i="1"/>
  <c r="G4587" i="1"/>
  <c r="E4587" i="1"/>
  <c r="H4586" i="1"/>
  <c r="G4586" i="1"/>
  <c r="E4586" i="1"/>
  <c r="H4585" i="1"/>
  <c r="G4585" i="1"/>
  <c r="E4585" i="1"/>
  <c r="H4584" i="1"/>
  <c r="G4584" i="1"/>
  <c r="E4584" i="1"/>
  <c r="H4583" i="1"/>
  <c r="G4583" i="1"/>
  <c r="E4583" i="1"/>
  <c r="H4582" i="1"/>
  <c r="G4582" i="1"/>
  <c r="E4582" i="1"/>
  <c r="H4581" i="1"/>
  <c r="G4581" i="1"/>
  <c r="E4581" i="1"/>
  <c r="H4580" i="1"/>
  <c r="G4580" i="1"/>
  <c r="E4580" i="1"/>
  <c r="H4579" i="1"/>
  <c r="G4579" i="1"/>
  <c r="E4579" i="1"/>
  <c r="H4578" i="1"/>
  <c r="G4578" i="1"/>
  <c r="E4578" i="1"/>
  <c r="H4577" i="1"/>
  <c r="G4577" i="1"/>
  <c r="E4577" i="1"/>
  <c r="H4576" i="1"/>
  <c r="G4576" i="1"/>
  <c r="E4576" i="1"/>
  <c r="H4575" i="1"/>
  <c r="G4575" i="1"/>
  <c r="E4575" i="1"/>
  <c r="H4574" i="1"/>
  <c r="G4574" i="1"/>
  <c r="E4574" i="1"/>
  <c r="H4573" i="1"/>
  <c r="G4573" i="1"/>
  <c r="E4573" i="1"/>
  <c r="H4572" i="1"/>
  <c r="G4572" i="1"/>
  <c r="E4572" i="1"/>
  <c r="H4571" i="1"/>
  <c r="G4571" i="1"/>
  <c r="E4571" i="1"/>
  <c r="H4570" i="1"/>
  <c r="G4570" i="1"/>
  <c r="E4570" i="1"/>
  <c r="H4569" i="1"/>
  <c r="G4569" i="1"/>
  <c r="E4569" i="1"/>
  <c r="H4568" i="1"/>
  <c r="G4568" i="1"/>
  <c r="E4568" i="1"/>
  <c r="H4567" i="1"/>
  <c r="G4567" i="1"/>
  <c r="E4567" i="1"/>
  <c r="H4566" i="1"/>
  <c r="G4566" i="1"/>
  <c r="E4566" i="1"/>
  <c r="H4565" i="1"/>
  <c r="G4565" i="1"/>
  <c r="E4565" i="1"/>
  <c r="H4564" i="1"/>
  <c r="G4564" i="1"/>
  <c r="E4564" i="1"/>
  <c r="H4563" i="1"/>
  <c r="G4563" i="1"/>
  <c r="E4563" i="1"/>
  <c r="H4562" i="1"/>
  <c r="G4562" i="1"/>
  <c r="E4562" i="1"/>
  <c r="H4561" i="1"/>
  <c r="G4561" i="1"/>
  <c r="E4561" i="1"/>
  <c r="H4560" i="1"/>
  <c r="G4560" i="1"/>
  <c r="E4560" i="1"/>
  <c r="H4559" i="1"/>
  <c r="G4559" i="1"/>
  <c r="E4559" i="1"/>
  <c r="H4558" i="1"/>
  <c r="G4558" i="1"/>
  <c r="E4558" i="1"/>
  <c r="H4557" i="1"/>
  <c r="G4557" i="1"/>
  <c r="E4557" i="1"/>
  <c r="H4556" i="1"/>
  <c r="G4556" i="1"/>
  <c r="E4556" i="1"/>
  <c r="H4555" i="1"/>
  <c r="G4555" i="1"/>
  <c r="E4555" i="1"/>
  <c r="H4554" i="1"/>
  <c r="G4554" i="1"/>
  <c r="E4554" i="1"/>
  <c r="H4553" i="1"/>
  <c r="G4553" i="1"/>
  <c r="E4553" i="1"/>
  <c r="H4552" i="1"/>
  <c r="G4552" i="1"/>
  <c r="E4552" i="1"/>
  <c r="H4551" i="1"/>
  <c r="G4551" i="1"/>
  <c r="E4551" i="1"/>
  <c r="H4550" i="1"/>
  <c r="G4550" i="1"/>
  <c r="E4550" i="1"/>
  <c r="H4549" i="1"/>
  <c r="G4549" i="1"/>
  <c r="E4549" i="1"/>
  <c r="H4548" i="1"/>
  <c r="G4548" i="1"/>
  <c r="E4548" i="1"/>
  <c r="H4547" i="1"/>
  <c r="G4547" i="1"/>
  <c r="E4547" i="1"/>
  <c r="H4546" i="1"/>
  <c r="G4546" i="1"/>
  <c r="E4546" i="1"/>
  <c r="H4545" i="1"/>
  <c r="G4545" i="1"/>
  <c r="E4545" i="1"/>
  <c r="H4544" i="1"/>
  <c r="G4544" i="1"/>
  <c r="E4544" i="1"/>
  <c r="H4543" i="1"/>
  <c r="G4543" i="1"/>
  <c r="E4543" i="1"/>
  <c r="H4542" i="1"/>
  <c r="G4542" i="1"/>
  <c r="E4542" i="1"/>
  <c r="H4541" i="1"/>
  <c r="G4541" i="1"/>
  <c r="E4541" i="1"/>
  <c r="H4540" i="1"/>
  <c r="G4540" i="1"/>
  <c r="E4540" i="1"/>
  <c r="H4539" i="1"/>
  <c r="G4539" i="1"/>
  <c r="E4539" i="1"/>
  <c r="H4538" i="1"/>
  <c r="G4538" i="1"/>
  <c r="E4538" i="1"/>
  <c r="H4537" i="1"/>
  <c r="G4537" i="1"/>
  <c r="E4537" i="1"/>
  <c r="H4536" i="1"/>
  <c r="G4536" i="1"/>
  <c r="E4536" i="1"/>
  <c r="H4535" i="1"/>
  <c r="G4535" i="1"/>
  <c r="E4535" i="1"/>
  <c r="H4534" i="1"/>
  <c r="G4534" i="1"/>
  <c r="E4534" i="1"/>
  <c r="H4533" i="1"/>
  <c r="G4533" i="1"/>
  <c r="E4533" i="1"/>
  <c r="H4532" i="1"/>
  <c r="G4532" i="1"/>
  <c r="E4532" i="1"/>
  <c r="H4531" i="1"/>
  <c r="G4531" i="1"/>
  <c r="E4531" i="1"/>
  <c r="H4530" i="1"/>
  <c r="G4530" i="1"/>
  <c r="E4530" i="1"/>
  <c r="H4529" i="1"/>
  <c r="G4529" i="1"/>
  <c r="E4529" i="1"/>
  <c r="H4528" i="1"/>
  <c r="G4528" i="1"/>
  <c r="E4528" i="1"/>
  <c r="H4527" i="1"/>
  <c r="G4527" i="1"/>
  <c r="E4527" i="1"/>
  <c r="H4526" i="1"/>
  <c r="G4526" i="1"/>
  <c r="E4526" i="1"/>
  <c r="H4525" i="1"/>
  <c r="G4525" i="1"/>
  <c r="E4525" i="1"/>
  <c r="H4524" i="1"/>
  <c r="G4524" i="1"/>
  <c r="E4524" i="1"/>
  <c r="H4523" i="1"/>
  <c r="G4523" i="1"/>
  <c r="E4523" i="1"/>
  <c r="H4522" i="1"/>
  <c r="G4522" i="1"/>
  <c r="E4522" i="1"/>
  <c r="H4521" i="1"/>
  <c r="G4521" i="1"/>
  <c r="E4521" i="1"/>
  <c r="H4520" i="1"/>
  <c r="G4520" i="1"/>
  <c r="E4520" i="1"/>
  <c r="H4519" i="1"/>
  <c r="G4519" i="1"/>
  <c r="E4519" i="1"/>
  <c r="H4518" i="1"/>
  <c r="G4518" i="1"/>
  <c r="E4518" i="1"/>
  <c r="H4517" i="1"/>
  <c r="G4517" i="1"/>
  <c r="E4517" i="1"/>
  <c r="H4516" i="1"/>
  <c r="G4516" i="1"/>
  <c r="E4516" i="1"/>
  <c r="H4515" i="1"/>
  <c r="G4515" i="1"/>
  <c r="E4515" i="1"/>
  <c r="H4514" i="1"/>
  <c r="G4514" i="1"/>
  <c r="E4514" i="1"/>
  <c r="H4513" i="1"/>
  <c r="G4513" i="1"/>
  <c r="E4513" i="1"/>
  <c r="H4512" i="1"/>
  <c r="G4512" i="1"/>
  <c r="E4512" i="1"/>
  <c r="H4511" i="1"/>
  <c r="G4511" i="1"/>
  <c r="E4511" i="1"/>
  <c r="H4510" i="1"/>
  <c r="G4510" i="1"/>
  <c r="E4510" i="1"/>
  <c r="H4509" i="1"/>
  <c r="G4509" i="1"/>
  <c r="E4509" i="1"/>
  <c r="H4508" i="1"/>
  <c r="G4508" i="1"/>
  <c r="E4508" i="1"/>
  <c r="H4507" i="1"/>
  <c r="G4507" i="1"/>
  <c r="E4507" i="1"/>
  <c r="H4506" i="1"/>
  <c r="G4506" i="1"/>
  <c r="E4506" i="1"/>
  <c r="H4505" i="1"/>
  <c r="G4505" i="1"/>
  <c r="E4505" i="1"/>
  <c r="H4504" i="1"/>
  <c r="G4504" i="1"/>
  <c r="E4504" i="1"/>
  <c r="H4503" i="1"/>
  <c r="G4503" i="1"/>
  <c r="E4503" i="1"/>
  <c r="H4502" i="1"/>
  <c r="G4502" i="1"/>
  <c r="E4502" i="1"/>
  <c r="H4501" i="1"/>
  <c r="G4501" i="1"/>
  <c r="E4501" i="1"/>
  <c r="H4500" i="1"/>
  <c r="G4500" i="1"/>
  <c r="E4500" i="1"/>
  <c r="H4499" i="1"/>
  <c r="G4499" i="1"/>
  <c r="E4499" i="1"/>
  <c r="H4498" i="1"/>
  <c r="G4498" i="1"/>
  <c r="E4498" i="1"/>
  <c r="H4497" i="1"/>
  <c r="G4497" i="1"/>
  <c r="E4497" i="1"/>
  <c r="H4496" i="1"/>
  <c r="G4496" i="1"/>
  <c r="E4496" i="1"/>
  <c r="H4495" i="1"/>
  <c r="G4495" i="1"/>
  <c r="E4495" i="1"/>
  <c r="H4494" i="1"/>
  <c r="G4494" i="1"/>
  <c r="E4494" i="1"/>
  <c r="H4493" i="1"/>
  <c r="G4493" i="1"/>
  <c r="E4493" i="1"/>
  <c r="H4492" i="1"/>
  <c r="G4492" i="1"/>
  <c r="E4492" i="1"/>
  <c r="H4491" i="1"/>
  <c r="G4491" i="1"/>
  <c r="E4491" i="1"/>
  <c r="H4490" i="1"/>
  <c r="G4490" i="1"/>
  <c r="E4490" i="1"/>
  <c r="H4489" i="1"/>
  <c r="G4489" i="1"/>
  <c r="E4489" i="1"/>
  <c r="H4488" i="1"/>
  <c r="G4488" i="1"/>
  <c r="E4488" i="1"/>
  <c r="H4487" i="1"/>
  <c r="G4487" i="1"/>
  <c r="E4487" i="1"/>
  <c r="H4486" i="1"/>
  <c r="G4486" i="1"/>
  <c r="E4486" i="1"/>
  <c r="H4485" i="1"/>
  <c r="G4485" i="1"/>
  <c r="E4485" i="1"/>
  <c r="H4484" i="1"/>
  <c r="G4484" i="1"/>
  <c r="E4484" i="1"/>
  <c r="H4483" i="1"/>
  <c r="G4483" i="1"/>
  <c r="E4483" i="1"/>
  <c r="H4482" i="1"/>
  <c r="G4482" i="1"/>
  <c r="E4482" i="1"/>
  <c r="H4481" i="1"/>
  <c r="G4481" i="1"/>
  <c r="E4481" i="1"/>
  <c r="H4480" i="1"/>
  <c r="G4480" i="1"/>
  <c r="E4480" i="1"/>
  <c r="H4479" i="1"/>
  <c r="G4479" i="1"/>
  <c r="E4479" i="1"/>
  <c r="H4478" i="1"/>
  <c r="G4478" i="1"/>
  <c r="E4478" i="1"/>
  <c r="H4477" i="1"/>
  <c r="G4477" i="1"/>
  <c r="E4477" i="1"/>
  <c r="H4476" i="1"/>
  <c r="G4476" i="1"/>
  <c r="E4476" i="1"/>
  <c r="H4475" i="1"/>
  <c r="G4475" i="1"/>
  <c r="E4475" i="1"/>
  <c r="H4474" i="1"/>
  <c r="G4474" i="1"/>
  <c r="E4474" i="1"/>
  <c r="H4473" i="1"/>
  <c r="G4473" i="1"/>
  <c r="E4473" i="1"/>
  <c r="H4472" i="1"/>
  <c r="G4472" i="1"/>
  <c r="E4472" i="1"/>
  <c r="H4471" i="1"/>
  <c r="G4471" i="1"/>
  <c r="E4471" i="1"/>
  <c r="H4470" i="1"/>
  <c r="G4470" i="1"/>
  <c r="E4470" i="1"/>
  <c r="H4469" i="1"/>
  <c r="G4469" i="1"/>
  <c r="E4469" i="1"/>
  <c r="H4468" i="1"/>
  <c r="G4468" i="1"/>
  <c r="E4468" i="1"/>
  <c r="H4467" i="1"/>
  <c r="G4467" i="1"/>
  <c r="E4467" i="1"/>
  <c r="H4466" i="1"/>
  <c r="G4466" i="1"/>
  <c r="E4466" i="1"/>
  <c r="H4465" i="1"/>
  <c r="G4465" i="1"/>
  <c r="E4465" i="1"/>
  <c r="H4464" i="1"/>
  <c r="G4464" i="1"/>
  <c r="E4464" i="1"/>
  <c r="H4463" i="1"/>
  <c r="G4463" i="1"/>
  <c r="E4463" i="1"/>
  <c r="H4462" i="1"/>
  <c r="G4462" i="1"/>
  <c r="E4462" i="1"/>
  <c r="H4461" i="1"/>
  <c r="G4461" i="1"/>
  <c r="E4461" i="1"/>
  <c r="H4460" i="1"/>
  <c r="G4460" i="1"/>
  <c r="E4460" i="1"/>
  <c r="H4459" i="1"/>
  <c r="G4459" i="1"/>
  <c r="E4459" i="1"/>
  <c r="H4458" i="1"/>
  <c r="G4458" i="1"/>
  <c r="E4458" i="1"/>
  <c r="H4457" i="1"/>
  <c r="G4457" i="1"/>
  <c r="E4457" i="1"/>
  <c r="H4456" i="1"/>
  <c r="G4456" i="1"/>
  <c r="E4456" i="1"/>
  <c r="H4455" i="1"/>
  <c r="G4455" i="1"/>
  <c r="E4455" i="1"/>
  <c r="H4454" i="1"/>
  <c r="G4454" i="1"/>
  <c r="E4454" i="1"/>
  <c r="H4453" i="1"/>
  <c r="G4453" i="1"/>
  <c r="E4453" i="1"/>
  <c r="H4452" i="1"/>
  <c r="G4452" i="1"/>
  <c r="E4452" i="1"/>
  <c r="H4451" i="1"/>
  <c r="G4451" i="1"/>
  <c r="E4451" i="1"/>
  <c r="H4450" i="1"/>
  <c r="G4450" i="1"/>
  <c r="E4450" i="1"/>
  <c r="H4449" i="1"/>
  <c r="G4449" i="1"/>
  <c r="E4449" i="1"/>
  <c r="H4448" i="1"/>
  <c r="G4448" i="1"/>
  <c r="E4448" i="1"/>
  <c r="H4447" i="1"/>
  <c r="G4447" i="1"/>
  <c r="E4447" i="1"/>
  <c r="H4446" i="1"/>
  <c r="G4446" i="1"/>
  <c r="E4446" i="1"/>
  <c r="H4445" i="1"/>
  <c r="G4445" i="1"/>
  <c r="E4445" i="1"/>
  <c r="H4444" i="1"/>
  <c r="G4444" i="1"/>
  <c r="E4444" i="1"/>
  <c r="H4443" i="1"/>
  <c r="G4443" i="1"/>
  <c r="E4443" i="1"/>
  <c r="H4442" i="1"/>
  <c r="G4442" i="1"/>
  <c r="E4442" i="1"/>
  <c r="H4441" i="1"/>
  <c r="G4441" i="1"/>
  <c r="E4441" i="1"/>
  <c r="H4440" i="1"/>
  <c r="G4440" i="1"/>
  <c r="E4440" i="1"/>
  <c r="H4439" i="1"/>
  <c r="G4439" i="1"/>
  <c r="E4439" i="1"/>
  <c r="H4438" i="1"/>
  <c r="G4438" i="1"/>
  <c r="E4438" i="1"/>
  <c r="H4437" i="1"/>
  <c r="G4437" i="1"/>
  <c r="E4437" i="1"/>
  <c r="H4436" i="1"/>
  <c r="G4436" i="1"/>
  <c r="E4436" i="1"/>
  <c r="H4435" i="1"/>
  <c r="G4435" i="1"/>
  <c r="E4435" i="1"/>
  <c r="H4434" i="1"/>
  <c r="G4434" i="1"/>
  <c r="E4434" i="1"/>
  <c r="H4433" i="1"/>
  <c r="G4433" i="1"/>
  <c r="E4433" i="1"/>
  <c r="H4432" i="1"/>
  <c r="G4432" i="1"/>
  <c r="E4432" i="1"/>
  <c r="H4431" i="1"/>
  <c r="G4431" i="1"/>
  <c r="E4431" i="1"/>
  <c r="H4430" i="1"/>
  <c r="G4430" i="1"/>
  <c r="E4430" i="1"/>
  <c r="H4429" i="1"/>
  <c r="G4429" i="1"/>
  <c r="E4429" i="1"/>
  <c r="H4428" i="1"/>
  <c r="G4428" i="1"/>
  <c r="E4428" i="1"/>
  <c r="H4427" i="1"/>
  <c r="G4427" i="1"/>
  <c r="E4427" i="1"/>
  <c r="H4426" i="1"/>
  <c r="G4426" i="1"/>
  <c r="E4426" i="1"/>
  <c r="H4425" i="1"/>
  <c r="G4425" i="1"/>
  <c r="E4425" i="1"/>
  <c r="H4424" i="1"/>
  <c r="G4424" i="1"/>
  <c r="E4424" i="1"/>
  <c r="H4423" i="1"/>
  <c r="G4423" i="1"/>
  <c r="E4423" i="1"/>
  <c r="H4422" i="1"/>
  <c r="G4422" i="1"/>
  <c r="E4422" i="1"/>
  <c r="H4421" i="1"/>
  <c r="G4421" i="1"/>
  <c r="E4421" i="1"/>
  <c r="H4420" i="1"/>
  <c r="G4420" i="1"/>
  <c r="E4420" i="1"/>
  <c r="H4419" i="1"/>
  <c r="G4419" i="1"/>
  <c r="E4419" i="1"/>
  <c r="H4418" i="1"/>
  <c r="G4418" i="1"/>
  <c r="E4418" i="1"/>
  <c r="H4417" i="1"/>
  <c r="G4417" i="1"/>
  <c r="E4417" i="1"/>
  <c r="H4416" i="1"/>
  <c r="G4416" i="1"/>
  <c r="E4416" i="1"/>
  <c r="H4415" i="1"/>
  <c r="G4415" i="1"/>
  <c r="E4415" i="1"/>
  <c r="H4414" i="1"/>
  <c r="G4414" i="1"/>
  <c r="E4414" i="1"/>
  <c r="H4413" i="1"/>
  <c r="G4413" i="1"/>
  <c r="E4413" i="1"/>
  <c r="H4412" i="1"/>
  <c r="G4412" i="1"/>
  <c r="E4412" i="1"/>
  <c r="H4411" i="1"/>
  <c r="G4411" i="1"/>
  <c r="E4411" i="1"/>
  <c r="H4410" i="1"/>
  <c r="G4410" i="1"/>
  <c r="E4410" i="1"/>
  <c r="H4409" i="1"/>
  <c r="G4409" i="1"/>
  <c r="E4409" i="1"/>
  <c r="H4408" i="1"/>
  <c r="G4408" i="1"/>
  <c r="E4408" i="1"/>
  <c r="H4407" i="1"/>
  <c r="G4407" i="1"/>
  <c r="E4407" i="1"/>
  <c r="H4406" i="1"/>
  <c r="G4406" i="1"/>
  <c r="E4406" i="1"/>
  <c r="H4405" i="1"/>
  <c r="G4405" i="1"/>
  <c r="E4405" i="1"/>
  <c r="H4404" i="1"/>
  <c r="G4404" i="1"/>
  <c r="E4404" i="1"/>
  <c r="H4403" i="1"/>
  <c r="G4403" i="1"/>
  <c r="E4403" i="1"/>
  <c r="H4402" i="1"/>
  <c r="G4402" i="1"/>
  <c r="E4402" i="1"/>
  <c r="H4401" i="1"/>
  <c r="G4401" i="1"/>
  <c r="E4401" i="1"/>
  <c r="H4400" i="1"/>
  <c r="G4400" i="1"/>
  <c r="E4400" i="1"/>
  <c r="H4399" i="1"/>
  <c r="G4399" i="1"/>
  <c r="E4399" i="1"/>
  <c r="H4398" i="1"/>
  <c r="G4398" i="1"/>
  <c r="E4398" i="1"/>
  <c r="H4397" i="1"/>
  <c r="G4397" i="1"/>
  <c r="E4397" i="1"/>
  <c r="H4396" i="1"/>
  <c r="G4396" i="1"/>
  <c r="E4396" i="1"/>
  <c r="H4395" i="1"/>
  <c r="G4395" i="1"/>
  <c r="E4395" i="1"/>
  <c r="H4394" i="1"/>
  <c r="G4394" i="1"/>
  <c r="E4394" i="1"/>
  <c r="H4393" i="1"/>
  <c r="G4393" i="1"/>
  <c r="E4393" i="1"/>
  <c r="H4392" i="1"/>
  <c r="G4392" i="1"/>
  <c r="E4392" i="1"/>
  <c r="H4391" i="1"/>
  <c r="G4391" i="1"/>
  <c r="E4391" i="1"/>
  <c r="H4390" i="1"/>
  <c r="G4390" i="1"/>
  <c r="E4390" i="1"/>
  <c r="H4389" i="1"/>
  <c r="G4389" i="1"/>
  <c r="E4389" i="1"/>
  <c r="H4388" i="1"/>
  <c r="G4388" i="1"/>
  <c r="E4388" i="1"/>
  <c r="H4387" i="1"/>
  <c r="G4387" i="1"/>
  <c r="E4387" i="1"/>
  <c r="H4386" i="1"/>
  <c r="G4386" i="1"/>
  <c r="E4386" i="1"/>
  <c r="H4385" i="1"/>
  <c r="G4385" i="1"/>
  <c r="E4385" i="1"/>
  <c r="H4384" i="1"/>
  <c r="G4384" i="1"/>
  <c r="E4384" i="1"/>
  <c r="H4383" i="1"/>
  <c r="G4383" i="1"/>
  <c r="E4383" i="1"/>
  <c r="H4382" i="1"/>
  <c r="G4382" i="1"/>
  <c r="E4382" i="1"/>
  <c r="H4381" i="1"/>
  <c r="G4381" i="1"/>
  <c r="E4381" i="1"/>
  <c r="H4380" i="1"/>
  <c r="G4380" i="1"/>
  <c r="E4380" i="1"/>
  <c r="H4379" i="1"/>
  <c r="G4379" i="1"/>
  <c r="E4379" i="1"/>
  <c r="H4378" i="1"/>
  <c r="G4378" i="1"/>
  <c r="E4378" i="1"/>
  <c r="H4377" i="1"/>
  <c r="G4377" i="1"/>
  <c r="E4377" i="1"/>
  <c r="H4376" i="1"/>
  <c r="G4376" i="1"/>
  <c r="E4376" i="1"/>
  <c r="H4375" i="1"/>
  <c r="G4375" i="1"/>
  <c r="E4375" i="1"/>
  <c r="H4374" i="1"/>
  <c r="G4374" i="1"/>
  <c r="E4374" i="1"/>
  <c r="H4373" i="1"/>
  <c r="G4373" i="1"/>
  <c r="E4373" i="1"/>
  <c r="H4372" i="1"/>
  <c r="G4372" i="1"/>
  <c r="E4372" i="1"/>
  <c r="H4371" i="1"/>
  <c r="G4371" i="1"/>
  <c r="E4371" i="1"/>
  <c r="H4370" i="1"/>
  <c r="G4370" i="1"/>
  <c r="E4370" i="1"/>
  <c r="H4369" i="1"/>
  <c r="G4369" i="1"/>
  <c r="E4369" i="1"/>
  <c r="H4368" i="1"/>
  <c r="G4368" i="1"/>
  <c r="E4368" i="1"/>
  <c r="H4367" i="1"/>
  <c r="G4367" i="1"/>
  <c r="E4367" i="1"/>
  <c r="H4366" i="1"/>
  <c r="G4366" i="1"/>
  <c r="E4366" i="1"/>
  <c r="H4365" i="1"/>
  <c r="G4365" i="1"/>
  <c r="E4365" i="1"/>
  <c r="H4364" i="1"/>
  <c r="G4364" i="1"/>
  <c r="E4364" i="1"/>
  <c r="H4363" i="1"/>
  <c r="G4363" i="1"/>
  <c r="E4363" i="1"/>
  <c r="H4362" i="1"/>
  <c r="G4362" i="1"/>
  <c r="E4362" i="1"/>
  <c r="H4361" i="1"/>
  <c r="G4361" i="1"/>
  <c r="E4361" i="1"/>
  <c r="H4360" i="1"/>
  <c r="G4360" i="1"/>
  <c r="E4360" i="1"/>
  <c r="H4359" i="1"/>
  <c r="G4359" i="1"/>
  <c r="E4359" i="1"/>
  <c r="H4358" i="1"/>
  <c r="G4358" i="1"/>
  <c r="E4358" i="1"/>
  <c r="H4357" i="1"/>
  <c r="G4357" i="1"/>
  <c r="E4357" i="1"/>
  <c r="H4356" i="1"/>
  <c r="G4356" i="1"/>
  <c r="E4356" i="1"/>
  <c r="H4355" i="1"/>
  <c r="G4355" i="1"/>
  <c r="E4355" i="1"/>
  <c r="H4354" i="1"/>
  <c r="G4354" i="1"/>
  <c r="E4354" i="1"/>
  <c r="H4353" i="1"/>
  <c r="G4353" i="1"/>
  <c r="E4353" i="1"/>
  <c r="H4352" i="1"/>
  <c r="G4352" i="1"/>
  <c r="E4352" i="1"/>
  <c r="H4351" i="1"/>
  <c r="G4351" i="1"/>
  <c r="E4351" i="1"/>
  <c r="H4350" i="1"/>
  <c r="G4350" i="1"/>
  <c r="E4350" i="1"/>
  <c r="H4349" i="1"/>
  <c r="G4349" i="1"/>
  <c r="E4349" i="1"/>
  <c r="H4348" i="1"/>
  <c r="G4348" i="1"/>
  <c r="E4348" i="1"/>
  <c r="H4347" i="1"/>
  <c r="G4347" i="1"/>
  <c r="E4347" i="1"/>
  <c r="H4346" i="1"/>
  <c r="G4346" i="1"/>
  <c r="E4346" i="1"/>
  <c r="H4345" i="1"/>
  <c r="G4345" i="1"/>
  <c r="E4345" i="1"/>
  <c r="H4344" i="1"/>
  <c r="G4344" i="1"/>
  <c r="E4344" i="1"/>
  <c r="H4343" i="1"/>
  <c r="G4343" i="1"/>
  <c r="E4343" i="1"/>
  <c r="H4342" i="1"/>
  <c r="G4342" i="1"/>
  <c r="E4342" i="1"/>
  <c r="H4341" i="1"/>
  <c r="G4341" i="1"/>
  <c r="E4341" i="1"/>
  <c r="H4340" i="1"/>
  <c r="G4340" i="1"/>
  <c r="E4340" i="1"/>
  <c r="H4339" i="1"/>
  <c r="G4339" i="1"/>
  <c r="E4339" i="1"/>
  <c r="H4338" i="1"/>
  <c r="G4338" i="1"/>
  <c r="E4338" i="1"/>
  <c r="H4337" i="1"/>
  <c r="G4337" i="1"/>
  <c r="E4337" i="1"/>
  <c r="H4336" i="1"/>
  <c r="G4336" i="1"/>
  <c r="E4336" i="1"/>
  <c r="H4335" i="1"/>
  <c r="G4335" i="1"/>
  <c r="E4335" i="1"/>
  <c r="H4334" i="1"/>
  <c r="G4334" i="1"/>
  <c r="E4334" i="1"/>
  <c r="H4333" i="1"/>
  <c r="G4333" i="1"/>
  <c r="E4333" i="1"/>
  <c r="H4332" i="1"/>
  <c r="G4332" i="1"/>
  <c r="E4332" i="1"/>
  <c r="H4331" i="1"/>
  <c r="G4331" i="1"/>
  <c r="E4331" i="1"/>
  <c r="H4330" i="1"/>
  <c r="G4330" i="1"/>
  <c r="E4330" i="1"/>
  <c r="H4329" i="1"/>
  <c r="G4329" i="1"/>
  <c r="E4329" i="1"/>
  <c r="H4328" i="1"/>
  <c r="G4328" i="1"/>
  <c r="E4328" i="1"/>
  <c r="H4327" i="1"/>
  <c r="G4327" i="1"/>
  <c r="E4327" i="1"/>
  <c r="H4326" i="1"/>
  <c r="G4326" i="1"/>
  <c r="E4326" i="1"/>
  <c r="H4325" i="1"/>
  <c r="G4325" i="1"/>
  <c r="E4325" i="1"/>
  <c r="H4324" i="1"/>
  <c r="G4324" i="1"/>
  <c r="E4324" i="1"/>
  <c r="H4323" i="1"/>
  <c r="G4323" i="1"/>
  <c r="E4323" i="1"/>
  <c r="H4322" i="1"/>
  <c r="G4322" i="1"/>
  <c r="E4322" i="1"/>
  <c r="H4321" i="1"/>
  <c r="G4321" i="1"/>
  <c r="E4321" i="1"/>
  <c r="H4320" i="1"/>
  <c r="G4320" i="1"/>
  <c r="E4320" i="1"/>
  <c r="H4319" i="1"/>
  <c r="G4319" i="1"/>
  <c r="E4319" i="1"/>
  <c r="H4318" i="1"/>
  <c r="G4318" i="1"/>
  <c r="E4318" i="1"/>
  <c r="H4317" i="1"/>
  <c r="G4317" i="1"/>
  <c r="E4317" i="1"/>
  <c r="H4316" i="1"/>
  <c r="G4316" i="1"/>
  <c r="E4316" i="1"/>
  <c r="H4315" i="1"/>
  <c r="G4315" i="1"/>
  <c r="E4315" i="1"/>
  <c r="H4314" i="1"/>
  <c r="G4314" i="1"/>
  <c r="E4314" i="1"/>
  <c r="H4313" i="1"/>
  <c r="G4313" i="1"/>
  <c r="E4313" i="1"/>
  <c r="H4312" i="1"/>
  <c r="G4312" i="1"/>
  <c r="E4312" i="1"/>
  <c r="H4311" i="1"/>
  <c r="G4311" i="1"/>
  <c r="E4311" i="1"/>
  <c r="H4310" i="1"/>
  <c r="G4310" i="1"/>
  <c r="E4310" i="1"/>
  <c r="H4309" i="1"/>
  <c r="G4309" i="1"/>
  <c r="E4309" i="1"/>
  <c r="H4308" i="1"/>
  <c r="G4308" i="1"/>
  <c r="E4308" i="1"/>
  <c r="H4307" i="1"/>
  <c r="G4307" i="1"/>
  <c r="E4307" i="1"/>
  <c r="H4306" i="1"/>
  <c r="G4306" i="1"/>
  <c r="E4306" i="1"/>
  <c r="H4305" i="1"/>
  <c r="G4305" i="1"/>
  <c r="E4305" i="1"/>
  <c r="H4304" i="1"/>
  <c r="G4304" i="1"/>
  <c r="E4304" i="1"/>
  <c r="H4303" i="1"/>
  <c r="G4303" i="1"/>
  <c r="E4303" i="1"/>
  <c r="H4302" i="1"/>
  <c r="G4302" i="1"/>
  <c r="E4302" i="1"/>
  <c r="H4301" i="1"/>
  <c r="G4301" i="1"/>
  <c r="E4301" i="1"/>
  <c r="H4300" i="1"/>
  <c r="G4300" i="1"/>
  <c r="E4300" i="1"/>
  <c r="H4299" i="1"/>
  <c r="G4299" i="1"/>
  <c r="E4299" i="1"/>
  <c r="H4298" i="1"/>
  <c r="G4298" i="1"/>
  <c r="E4298" i="1"/>
  <c r="H4297" i="1"/>
  <c r="G4297" i="1"/>
  <c r="E4297" i="1"/>
  <c r="H4296" i="1"/>
  <c r="G4296" i="1"/>
  <c r="E4296" i="1"/>
  <c r="H4295" i="1"/>
  <c r="G4295" i="1"/>
  <c r="E4295" i="1"/>
  <c r="H4294" i="1"/>
  <c r="G4294" i="1"/>
  <c r="E4294" i="1"/>
  <c r="H4293" i="1"/>
  <c r="G4293" i="1"/>
  <c r="E4293" i="1"/>
  <c r="H4292" i="1"/>
  <c r="G4292" i="1"/>
  <c r="E4292" i="1"/>
  <c r="H4291" i="1"/>
  <c r="G4291" i="1"/>
  <c r="E4291" i="1"/>
  <c r="H4290" i="1"/>
  <c r="G4290" i="1"/>
  <c r="E4290" i="1"/>
  <c r="H4289" i="1"/>
  <c r="G4289" i="1"/>
  <c r="E4289" i="1"/>
  <c r="H4288" i="1"/>
  <c r="G4288" i="1"/>
  <c r="E4288" i="1"/>
  <c r="H4287" i="1"/>
  <c r="G4287" i="1"/>
  <c r="E4287" i="1"/>
  <c r="H4286" i="1"/>
  <c r="G4286" i="1"/>
  <c r="E4286" i="1"/>
  <c r="H4285" i="1"/>
  <c r="G4285" i="1"/>
  <c r="E4285" i="1"/>
  <c r="H4284" i="1"/>
  <c r="G4284" i="1"/>
  <c r="E4284" i="1"/>
  <c r="H4283" i="1"/>
  <c r="G4283" i="1"/>
  <c r="E4283" i="1"/>
  <c r="H4282" i="1"/>
  <c r="G4282" i="1"/>
  <c r="E4282" i="1"/>
  <c r="H4281" i="1"/>
  <c r="G4281" i="1"/>
  <c r="E4281" i="1"/>
  <c r="H4280" i="1"/>
  <c r="G4280" i="1"/>
  <c r="E4280" i="1"/>
  <c r="H4279" i="1"/>
  <c r="G4279" i="1"/>
  <c r="E4279" i="1"/>
  <c r="H4278" i="1"/>
  <c r="G4278" i="1"/>
  <c r="E4278" i="1"/>
  <c r="H4277" i="1"/>
  <c r="G4277" i="1"/>
  <c r="E4277" i="1"/>
  <c r="H4276" i="1"/>
  <c r="G4276" i="1"/>
  <c r="E4276" i="1"/>
  <c r="H4275" i="1"/>
  <c r="G4275" i="1"/>
  <c r="E4275" i="1"/>
  <c r="H4274" i="1"/>
  <c r="G4274" i="1"/>
  <c r="E4274" i="1"/>
  <c r="H4273" i="1"/>
  <c r="G4273" i="1"/>
  <c r="E4273" i="1"/>
  <c r="H4272" i="1"/>
  <c r="G4272" i="1"/>
  <c r="E4272" i="1"/>
  <c r="H4271" i="1"/>
  <c r="G4271" i="1"/>
  <c r="E4271" i="1"/>
  <c r="H4270" i="1"/>
  <c r="G4270" i="1"/>
  <c r="E4270" i="1"/>
  <c r="H4269" i="1"/>
  <c r="G4269" i="1"/>
  <c r="E4269" i="1"/>
  <c r="H4268" i="1"/>
  <c r="G4268" i="1"/>
  <c r="E4268" i="1"/>
  <c r="H4267" i="1"/>
  <c r="G4267" i="1"/>
  <c r="E4267" i="1"/>
  <c r="H4266" i="1"/>
  <c r="G4266" i="1"/>
  <c r="E4266" i="1"/>
  <c r="H4265" i="1"/>
  <c r="G4265" i="1"/>
  <c r="E4265" i="1"/>
  <c r="H4264" i="1"/>
  <c r="G4264" i="1"/>
  <c r="E4264" i="1"/>
  <c r="H4263" i="1"/>
  <c r="G4263" i="1"/>
  <c r="E4263" i="1"/>
  <c r="H4262" i="1"/>
  <c r="G4262" i="1"/>
  <c r="E4262" i="1"/>
  <c r="H4261" i="1"/>
  <c r="G4261" i="1"/>
  <c r="E4261" i="1"/>
  <c r="H4260" i="1"/>
  <c r="G4260" i="1"/>
  <c r="E4260" i="1"/>
  <c r="H4259" i="1"/>
  <c r="G4259" i="1"/>
  <c r="E4259" i="1"/>
  <c r="H4258" i="1"/>
  <c r="G4258" i="1"/>
  <c r="E4258" i="1"/>
  <c r="H4257" i="1"/>
  <c r="G4257" i="1"/>
  <c r="E4257" i="1"/>
  <c r="H4256" i="1"/>
  <c r="G4256" i="1"/>
  <c r="E4256" i="1"/>
  <c r="H4255" i="1"/>
  <c r="G4255" i="1"/>
  <c r="E4255" i="1"/>
  <c r="H4254" i="1"/>
  <c r="G4254" i="1"/>
  <c r="E4254" i="1"/>
  <c r="H4253" i="1"/>
  <c r="G4253" i="1"/>
  <c r="E4253" i="1"/>
  <c r="H4252" i="1"/>
  <c r="G4252" i="1"/>
  <c r="E4252" i="1"/>
  <c r="H4251" i="1"/>
  <c r="G4251" i="1"/>
  <c r="E4251" i="1"/>
  <c r="H4250" i="1"/>
  <c r="G4250" i="1"/>
  <c r="E4250" i="1"/>
  <c r="H4249" i="1"/>
  <c r="G4249" i="1"/>
  <c r="E4249" i="1"/>
  <c r="H4248" i="1"/>
  <c r="G4248" i="1"/>
  <c r="E4248" i="1"/>
  <c r="H4247" i="1"/>
  <c r="G4247" i="1"/>
  <c r="E4247" i="1"/>
  <c r="H4246" i="1"/>
  <c r="G4246" i="1"/>
  <c r="E4246" i="1"/>
  <c r="H4245" i="1"/>
  <c r="G4245" i="1"/>
  <c r="E4245" i="1"/>
  <c r="H4244" i="1"/>
  <c r="G4244" i="1"/>
  <c r="E4244" i="1"/>
  <c r="H4243" i="1"/>
  <c r="G4243" i="1"/>
  <c r="E4243" i="1"/>
  <c r="H4242" i="1"/>
  <c r="G4242" i="1"/>
  <c r="E4242" i="1"/>
  <c r="H4241" i="1"/>
  <c r="G4241" i="1"/>
  <c r="E4241" i="1"/>
  <c r="H4240" i="1"/>
  <c r="G4240" i="1"/>
  <c r="E4240" i="1"/>
  <c r="H4239" i="1"/>
  <c r="G4239" i="1"/>
  <c r="E4239" i="1"/>
  <c r="H4238" i="1"/>
  <c r="G4238" i="1"/>
  <c r="E4238" i="1"/>
  <c r="H4237" i="1"/>
  <c r="G4237" i="1"/>
  <c r="E4237" i="1"/>
  <c r="H4236" i="1"/>
  <c r="G4236" i="1"/>
  <c r="E4236" i="1"/>
  <c r="H4235" i="1"/>
  <c r="G4235" i="1"/>
  <c r="E4235" i="1"/>
  <c r="H4234" i="1"/>
  <c r="G4234" i="1"/>
  <c r="E4234" i="1"/>
  <c r="H4233" i="1"/>
  <c r="G4233" i="1"/>
  <c r="E4233" i="1"/>
  <c r="H4232" i="1"/>
  <c r="G4232" i="1"/>
  <c r="E4232" i="1"/>
  <c r="H4231" i="1"/>
  <c r="G4231" i="1"/>
  <c r="E4231" i="1"/>
  <c r="H4230" i="1"/>
  <c r="G4230" i="1"/>
  <c r="E4230" i="1"/>
  <c r="H4229" i="1"/>
  <c r="G4229" i="1"/>
  <c r="E4229" i="1"/>
  <c r="H4228" i="1"/>
  <c r="G4228" i="1"/>
  <c r="E4228" i="1"/>
  <c r="H4227" i="1"/>
  <c r="G4227" i="1"/>
  <c r="E4227" i="1"/>
  <c r="H4226" i="1"/>
  <c r="G4226" i="1"/>
  <c r="E4226" i="1"/>
  <c r="H4225" i="1"/>
  <c r="G4225" i="1"/>
  <c r="E4225" i="1"/>
  <c r="H4224" i="1"/>
  <c r="G4224" i="1"/>
  <c r="E4224" i="1"/>
  <c r="H4223" i="1"/>
  <c r="G4223" i="1"/>
  <c r="E4223" i="1"/>
  <c r="H4222" i="1"/>
  <c r="G4222" i="1"/>
  <c r="E4222" i="1"/>
  <c r="H4221" i="1"/>
  <c r="G4221" i="1"/>
  <c r="E4221" i="1"/>
  <c r="H4220" i="1"/>
  <c r="G4220" i="1"/>
  <c r="E4220" i="1"/>
  <c r="H4219" i="1"/>
  <c r="G4219" i="1"/>
  <c r="E4219" i="1"/>
  <c r="H4218" i="1"/>
  <c r="G4218" i="1"/>
  <c r="E4218" i="1"/>
  <c r="H4217" i="1"/>
  <c r="G4217" i="1"/>
  <c r="E4217" i="1"/>
  <c r="H4216" i="1"/>
  <c r="G4216" i="1"/>
  <c r="E4216" i="1"/>
  <c r="H4215" i="1"/>
  <c r="G4215" i="1"/>
  <c r="E4215" i="1"/>
  <c r="H4214" i="1"/>
  <c r="G4214" i="1"/>
  <c r="E4214" i="1"/>
  <c r="H4213" i="1"/>
  <c r="G4213" i="1"/>
  <c r="E4213" i="1"/>
  <c r="H4212" i="1"/>
  <c r="G4212" i="1"/>
  <c r="E4212" i="1"/>
  <c r="H4211" i="1"/>
  <c r="G4211" i="1"/>
  <c r="E4211" i="1"/>
  <c r="H4210" i="1"/>
  <c r="G4210" i="1"/>
  <c r="E4210" i="1"/>
  <c r="H4209" i="1"/>
  <c r="G4209" i="1"/>
  <c r="E4209" i="1"/>
  <c r="H4208" i="1"/>
  <c r="G4208" i="1"/>
  <c r="E4208" i="1"/>
  <c r="H4207" i="1"/>
  <c r="G4207" i="1"/>
  <c r="E4207" i="1"/>
  <c r="H4206" i="1"/>
  <c r="G4206" i="1"/>
  <c r="E4206" i="1"/>
  <c r="H4205" i="1"/>
  <c r="G4205" i="1"/>
  <c r="E4205" i="1"/>
  <c r="H4204" i="1"/>
  <c r="G4204" i="1"/>
  <c r="E4204" i="1"/>
  <c r="H4203" i="1"/>
  <c r="G4203" i="1"/>
  <c r="E4203" i="1"/>
  <c r="H4202" i="1"/>
  <c r="G4202" i="1"/>
  <c r="E4202" i="1"/>
  <c r="H4201" i="1"/>
  <c r="G4201" i="1"/>
  <c r="E4201" i="1"/>
  <c r="H4200" i="1"/>
  <c r="G4200" i="1"/>
  <c r="E4200" i="1"/>
  <c r="H4199" i="1"/>
  <c r="G4199" i="1"/>
  <c r="E4199" i="1"/>
  <c r="H4198" i="1"/>
  <c r="G4198" i="1"/>
  <c r="E4198" i="1"/>
  <c r="H4197" i="1"/>
  <c r="G4197" i="1"/>
  <c r="E4197" i="1"/>
  <c r="H4196" i="1"/>
  <c r="G4196" i="1"/>
  <c r="E4196" i="1"/>
  <c r="H4195" i="1"/>
  <c r="G4195" i="1"/>
  <c r="E4195" i="1"/>
  <c r="H4194" i="1"/>
  <c r="G4194" i="1"/>
  <c r="E4194" i="1"/>
  <c r="H4193" i="1"/>
  <c r="G4193" i="1"/>
  <c r="E4193" i="1"/>
  <c r="H4192" i="1"/>
  <c r="G4192" i="1"/>
  <c r="E4192" i="1"/>
  <c r="H4191" i="1"/>
  <c r="G4191" i="1"/>
  <c r="E4191" i="1"/>
  <c r="H4190" i="1"/>
  <c r="G4190" i="1"/>
  <c r="E4190" i="1"/>
  <c r="H4189" i="1"/>
  <c r="G4189" i="1"/>
  <c r="E4189" i="1"/>
  <c r="H4188" i="1"/>
  <c r="G4188" i="1"/>
  <c r="E4188" i="1"/>
  <c r="H4187" i="1"/>
  <c r="G4187" i="1"/>
  <c r="E4187" i="1"/>
  <c r="H4186" i="1"/>
  <c r="G4186" i="1"/>
  <c r="E4186" i="1"/>
  <c r="H4185" i="1"/>
  <c r="G4185" i="1"/>
  <c r="E4185" i="1"/>
  <c r="H4184" i="1"/>
  <c r="G4184" i="1"/>
  <c r="E4184" i="1"/>
  <c r="H4183" i="1"/>
  <c r="G4183" i="1"/>
  <c r="E4183" i="1"/>
  <c r="H4182" i="1"/>
  <c r="G4182" i="1"/>
  <c r="E4182" i="1"/>
  <c r="H4181" i="1"/>
  <c r="G4181" i="1"/>
  <c r="E4181" i="1"/>
  <c r="H4180" i="1"/>
  <c r="G4180" i="1"/>
  <c r="E4180" i="1"/>
  <c r="H4179" i="1"/>
  <c r="G4179" i="1"/>
  <c r="E4179" i="1"/>
  <c r="H4178" i="1"/>
  <c r="G4178" i="1"/>
  <c r="E4178" i="1"/>
  <c r="H4177" i="1"/>
  <c r="G4177" i="1"/>
  <c r="E4177" i="1"/>
  <c r="H4176" i="1"/>
  <c r="G4176" i="1"/>
  <c r="E4176" i="1"/>
  <c r="H4175" i="1"/>
  <c r="G4175" i="1"/>
  <c r="E4175" i="1"/>
  <c r="H4174" i="1"/>
  <c r="G4174" i="1"/>
  <c r="E4174" i="1"/>
  <c r="H4173" i="1"/>
  <c r="G4173" i="1"/>
  <c r="E4173" i="1"/>
  <c r="H4172" i="1"/>
  <c r="G4172" i="1"/>
  <c r="E4172" i="1"/>
  <c r="H4171" i="1"/>
  <c r="G4171" i="1"/>
  <c r="E4171" i="1"/>
  <c r="H4170" i="1"/>
  <c r="G4170" i="1"/>
  <c r="E4170" i="1"/>
  <c r="H4169" i="1"/>
  <c r="G4169" i="1"/>
  <c r="E4169" i="1"/>
  <c r="H4168" i="1"/>
  <c r="G4168" i="1"/>
  <c r="E4168" i="1"/>
  <c r="H4167" i="1"/>
  <c r="G4167" i="1"/>
  <c r="E4167" i="1"/>
  <c r="H4166" i="1"/>
  <c r="G4166" i="1"/>
  <c r="E4166" i="1"/>
  <c r="H4165" i="1"/>
  <c r="G4165" i="1"/>
  <c r="E4165" i="1"/>
  <c r="H4164" i="1"/>
  <c r="G4164" i="1"/>
  <c r="E4164" i="1"/>
  <c r="H4163" i="1"/>
  <c r="G4163" i="1"/>
  <c r="E4163" i="1"/>
  <c r="H4162" i="1"/>
  <c r="G4162" i="1"/>
  <c r="E4162" i="1"/>
  <c r="H4161" i="1"/>
  <c r="G4161" i="1"/>
  <c r="E4161" i="1"/>
  <c r="H4160" i="1"/>
  <c r="G4160" i="1"/>
  <c r="E4160" i="1"/>
  <c r="H4159" i="1"/>
  <c r="G4159" i="1"/>
  <c r="E4159" i="1"/>
  <c r="H4158" i="1"/>
  <c r="G4158" i="1"/>
  <c r="E4158" i="1"/>
  <c r="H4157" i="1"/>
  <c r="G4157" i="1"/>
  <c r="E4157" i="1"/>
  <c r="H4156" i="1"/>
  <c r="G4156" i="1"/>
  <c r="E4156" i="1"/>
  <c r="H4155" i="1"/>
  <c r="G4155" i="1"/>
  <c r="E4155" i="1"/>
  <c r="H4154" i="1"/>
  <c r="G4154" i="1"/>
  <c r="E4154" i="1"/>
  <c r="H4153" i="1"/>
  <c r="G4153" i="1"/>
  <c r="E4153" i="1"/>
  <c r="H4152" i="1"/>
  <c r="G4152" i="1"/>
  <c r="E4152" i="1"/>
  <c r="H4151" i="1"/>
  <c r="G4151" i="1"/>
  <c r="E4151" i="1"/>
  <c r="H4150" i="1"/>
  <c r="G4150" i="1"/>
  <c r="E4150" i="1"/>
  <c r="H4149" i="1"/>
  <c r="G4149" i="1"/>
  <c r="E4149" i="1"/>
  <c r="H4148" i="1"/>
  <c r="G4148" i="1"/>
  <c r="E4148" i="1"/>
  <c r="H4147" i="1"/>
  <c r="G4147" i="1"/>
  <c r="E4147" i="1"/>
  <c r="H4146" i="1"/>
  <c r="G4146" i="1"/>
  <c r="E4146" i="1"/>
  <c r="H4145" i="1"/>
  <c r="G4145" i="1"/>
  <c r="E4145" i="1"/>
  <c r="H4144" i="1"/>
  <c r="G4144" i="1"/>
  <c r="E4144" i="1"/>
  <c r="H4143" i="1"/>
  <c r="G4143" i="1"/>
  <c r="E4143" i="1"/>
  <c r="H4142" i="1"/>
  <c r="G4142" i="1"/>
  <c r="E4142" i="1"/>
  <c r="H4141" i="1"/>
  <c r="G4141" i="1"/>
  <c r="E4141" i="1"/>
  <c r="H4140" i="1"/>
  <c r="G4140" i="1"/>
  <c r="E4140" i="1"/>
  <c r="H4139" i="1"/>
  <c r="G4139" i="1"/>
  <c r="E4139" i="1"/>
  <c r="H4138" i="1"/>
  <c r="G4138" i="1"/>
  <c r="E4138" i="1"/>
  <c r="H4137" i="1"/>
  <c r="G4137" i="1"/>
  <c r="E4137" i="1"/>
  <c r="H4136" i="1"/>
  <c r="G4136" i="1"/>
  <c r="E4136" i="1"/>
  <c r="H4135" i="1"/>
  <c r="G4135" i="1"/>
  <c r="E4135" i="1"/>
  <c r="H4134" i="1"/>
  <c r="G4134" i="1"/>
  <c r="E4134" i="1"/>
  <c r="H4133" i="1"/>
  <c r="G4133" i="1"/>
  <c r="E4133" i="1"/>
  <c r="H4132" i="1"/>
  <c r="G4132" i="1"/>
  <c r="E4132" i="1"/>
  <c r="H4131" i="1"/>
  <c r="G4131" i="1"/>
  <c r="E4131" i="1"/>
  <c r="H4130" i="1"/>
  <c r="G4130" i="1"/>
  <c r="E4130" i="1"/>
  <c r="H4129" i="1"/>
  <c r="G4129" i="1"/>
  <c r="E4129" i="1"/>
  <c r="H4128" i="1"/>
  <c r="G4128" i="1"/>
  <c r="E4128" i="1"/>
  <c r="H4127" i="1"/>
  <c r="G4127" i="1"/>
  <c r="E4127" i="1"/>
  <c r="H4126" i="1"/>
  <c r="G4126" i="1"/>
  <c r="E4126" i="1"/>
  <c r="H4125" i="1"/>
  <c r="G4125" i="1"/>
  <c r="E4125" i="1"/>
  <c r="H4124" i="1"/>
  <c r="G4124" i="1"/>
  <c r="E4124" i="1"/>
  <c r="H4123" i="1"/>
  <c r="G4123" i="1"/>
  <c r="E4123" i="1"/>
  <c r="H4122" i="1"/>
  <c r="G4122" i="1"/>
  <c r="E4122" i="1"/>
  <c r="H4121" i="1"/>
  <c r="G4121" i="1"/>
  <c r="E4121" i="1"/>
  <c r="H4120" i="1"/>
  <c r="G4120" i="1"/>
  <c r="E4120" i="1"/>
  <c r="H4119" i="1"/>
  <c r="G4119" i="1"/>
  <c r="E4119" i="1"/>
  <c r="H4118" i="1"/>
  <c r="G4118" i="1"/>
  <c r="E4118" i="1"/>
  <c r="H4117" i="1"/>
  <c r="G4117" i="1"/>
  <c r="E4117" i="1"/>
  <c r="H4116" i="1"/>
  <c r="G4116" i="1"/>
  <c r="E4116" i="1"/>
  <c r="H4115" i="1"/>
  <c r="G4115" i="1"/>
  <c r="E4115" i="1"/>
  <c r="H4114" i="1"/>
  <c r="G4114" i="1"/>
  <c r="E4114" i="1"/>
  <c r="H4113" i="1"/>
  <c r="G4113" i="1"/>
  <c r="E4113" i="1"/>
  <c r="H4112" i="1"/>
  <c r="G4112" i="1"/>
  <c r="E4112" i="1"/>
  <c r="H4111" i="1"/>
  <c r="G4111" i="1"/>
  <c r="E4111" i="1"/>
  <c r="H4110" i="1"/>
  <c r="G4110" i="1"/>
  <c r="E4110" i="1"/>
  <c r="H4109" i="1"/>
  <c r="G4109" i="1"/>
  <c r="E4109" i="1"/>
  <c r="H4108" i="1"/>
  <c r="G4108" i="1"/>
  <c r="E4108" i="1"/>
  <c r="H4107" i="1"/>
  <c r="G4107" i="1"/>
  <c r="E4107" i="1"/>
  <c r="H4106" i="1"/>
  <c r="G4106" i="1"/>
  <c r="E4106" i="1"/>
  <c r="H4105" i="1"/>
  <c r="G4105" i="1"/>
  <c r="E4105" i="1"/>
  <c r="H4104" i="1"/>
  <c r="G4104" i="1"/>
  <c r="E4104" i="1"/>
  <c r="H4103" i="1"/>
  <c r="G4103" i="1"/>
  <c r="E4103" i="1"/>
  <c r="H4102" i="1"/>
  <c r="G4102" i="1"/>
  <c r="E4102" i="1"/>
  <c r="H4101" i="1"/>
  <c r="G4101" i="1"/>
  <c r="E4101" i="1"/>
  <c r="H4100" i="1"/>
  <c r="G4100" i="1"/>
  <c r="E4100" i="1"/>
  <c r="H4099" i="1"/>
  <c r="G4099" i="1"/>
  <c r="E4099" i="1"/>
  <c r="H4098" i="1"/>
  <c r="G4098" i="1"/>
  <c r="E4098" i="1"/>
  <c r="H4097" i="1"/>
  <c r="G4097" i="1"/>
  <c r="E4097" i="1"/>
  <c r="H4096" i="1"/>
  <c r="G4096" i="1"/>
  <c r="E4096" i="1"/>
  <c r="H4095" i="1"/>
  <c r="G4095" i="1"/>
  <c r="E4095" i="1"/>
  <c r="H4094" i="1"/>
  <c r="G4094" i="1"/>
  <c r="E4094" i="1"/>
  <c r="H4093" i="1"/>
  <c r="G4093" i="1"/>
  <c r="E4093" i="1"/>
  <c r="H4092" i="1"/>
  <c r="G4092" i="1"/>
  <c r="E4092" i="1"/>
  <c r="H4091" i="1"/>
  <c r="G4091" i="1"/>
  <c r="E4091" i="1"/>
  <c r="H4090" i="1"/>
  <c r="G4090" i="1"/>
  <c r="E4090" i="1"/>
  <c r="H4089" i="1"/>
  <c r="G4089" i="1"/>
  <c r="E4089" i="1"/>
  <c r="H4088" i="1"/>
  <c r="G4088" i="1"/>
  <c r="E4088" i="1"/>
  <c r="H4087" i="1"/>
  <c r="G4087" i="1"/>
  <c r="E4087" i="1"/>
  <c r="H4086" i="1"/>
  <c r="G4086" i="1"/>
  <c r="E4086" i="1"/>
  <c r="H4085" i="1"/>
  <c r="G4085" i="1"/>
  <c r="E4085" i="1"/>
  <c r="H4084" i="1"/>
  <c r="G4084" i="1"/>
  <c r="E4084" i="1"/>
  <c r="H4083" i="1"/>
  <c r="G4083" i="1"/>
  <c r="E4083" i="1"/>
  <c r="H4082" i="1"/>
  <c r="G4082" i="1"/>
  <c r="E4082" i="1"/>
  <c r="H4081" i="1"/>
  <c r="G4081" i="1"/>
  <c r="E4081" i="1"/>
  <c r="H4080" i="1"/>
  <c r="G4080" i="1"/>
  <c r="E4080" i="1"/>
  <c r="H4079" i="1"/>
  <c r="G4079" i="1"/>
  <c r="E4079" i="1"/>
  <c r="H4078" i="1"/>
  <c r="G4078" i="1"/>
  <c r="E4078" i="1"/>
  <c r="H4077" i="1"/>
  <c r="G4077" i="1"/>
  <c r="E4077" i="1"/>
  <c r="H4076" i="1"/>
  <c r="G4076" i="1"/>
  <c r="E4076" i="1"/>
  <c r="H4075" i="1"/>
  <c r="G4075" i="1"/>
  <c r="E4075" i="1"/>
  <c r="H4074" i="1"/>
  <c r="G4074" i="1"/>
  <c r="E4074" i="1"/>
  <c r="H4073" i="1"/>
  <c r="G4073" i="1"/>
  <c r="E4073" i="1"/>
  <c r="H4072" i="1"/>
  <c r="G4072" i="1"/>
  <c r="E4072" i="1"/>
  <c r="H4071" i="1"/>
  <c r="G4071" i="1"/>
  <c r="E4071" i="1"/>
  <c r="H4070" i="1"/>
  <c r="G4070" i="1"/>
  <c r="E4070" i="1"/>
  <c r="H4069" i="1"/>
  <c r="G4069" i="1"/>
  <c r="E4069" i="1"/>
  <c r="H4068" i="1"/>
  <c r="G4068" i="1"/>
  <c r="E4068" i="1"/>
  <c r="H4067" i="1"/>
  <c r="G4067" i="1"/>
  <c r="E4067" i="1"/>
  <c r="H4066" i="1"/>
  <c r="G4066" i="1"/>
  <c r="E4066" i="1"/>
  <c r="H4065" i="1"/>
  <c r="G4065" i="1"/>
  <c r="E4065" i="1"/>
  <c r="H4064" i="1"/>
  <c r="G4064" i="1"/>
  <c r="E4064" i="1"/>
  <c r="H4063" i="1"/>
  <c r="G4063" i="1"/>
  <c r="E4063" i="1"/>
  <c r="H4062" i="1"/>
  <c r="G4062" i="1"/>
  <c r="E4062" i="1"/>
  <c r="H4061" i="1"/>
  <c r="G4061" i="1"/>
  <c r="E4061" i="1"/>
  <c r="H4060" i="1"/>
  <c r="G4060" i="1"/>
  <c r="E4060" i="1"/>
  <c r="H4059" i="1"/>
  <c r="G4059" i="1"/>
  <c r="E4059" i="1"/>
  <c r="H4058" i="1"/>
  <c r="G4058" i="1"/>
  <c r="E4058" i="1"/>
  <c r="H4057" i="1"/>
  <c r="G4057" i="1"/>
  <c r="E4057" i="1"/>
  <c r="H4056" i="1"/>
  <c r="G4056" i="1"/>
  <c r="E4056" i="1"/>
  <c r="H4055" i="1"/>
  <c r="G4055" i="1"/>
  <c r="E4055" i="1"/>
  <c r="H4054" i="1"/>
  <c r="G4054" i="1"/>
  <c r="E4054" i="1"/>
  <c r="H4053" i="1"/>
  <c r="G4053" i="1"/>
  <c r="E4053" i="1"/>
  <c r="H4052" i="1"/>
  <c r="G4052" i="1"/>
  <c r="E4052" i="1"/>
  <c r="H4051" i="1"/>
  <c r="G4051" i="1"/>
  <c r="E4051" i="1"/>
  <c r="H4050" i="1"/>
  <c r="G4050" i="1"/>
  <c r="E4050" i="1"/>
  <c r="H4049" i="1"/>
  <c r="G4049" i="1"/>
  <c r="E4049" i="1"/>
  <c r="H4048" i="1"/>
  <c r="G4048" i="1"/>
  <c r="E4048" i="1"/>
  <c r="H4047" i="1"/>
  <c r="G4047" i="1"/>
  <c r="E4047" i="1"/>
  <c r="H4046" i="1"/>
  <c r="G4046" i="1"/>
  <c r="E4046" i="1"/>
  <c r="H4045" i="1"/>
  <c r="G4045" i="1"/>
  <c r="E4045" i="1"/>
  <c r="H4044" i="1"/>
  <c r="G4044" i="1"/>
  <c r="E4044" i="1"/>
  <c r="H4043" i="1"/>
  <c r="G4043" i="1"/>
  <c r="E4043" i="1"/>
  <c r="H4042" i="1"/>
  <c r="G4042" i="1"/>
  <c r="E4042" i="1"/>
  <c r="H4041" i="1"/>
  <c r="G4041" i="1"/>
  <c r="E4041" i="1"/>
  <c r="H4040" i="1"/>
  <c r="G4040" i="1"/>
  <c r="E4040" i="1"/>
  <c r="H4039" i="1"/>
  <c r="G4039" i="1"/>
  <c r="E4039" i="1"/>
  <c r="H4038" i="1"/>
  <c r="G4038" i="1"/>
  <c r="E4038" i="1"/>
  <c r="H4037" i="1"/>
  <c r="G4037" i="1"/>
  <c r="E4037" i="1"/>
  <c r="H4036" i="1"/>
  <c r="G4036" i="1"/>
  <c r="E4036" i="1"/>
  <c r="H4035" i="1"/>
  <c r="G4035" i="1"/>
  <c r="E4035" i="1"/>
  <c r="H4034" i="1"/>
  <c r="G4034" i="1"/>
  <c r="E4034" i="1"/>
  <c r="H4033" i="1"/>
  <c r="G4033" i="1"/>
  <c r="E4033" i="1"/>
  <c r="H4032" i="1"/>
  <c r="G4032" i="1"/>
  <c r="E4032" i="1"/>
  <c r="H4031" i="1"/>
  <c r="G4031" i="1"/>
  <c r="E4031" i="1"/>
  <c r="H4030" i="1"/>
  <c r="G4030" i="1"/>
  <c r="E4030" i="1"/>
  <c r="H4029" i="1"/>
  <c r="G4029" i="1"/>
  <c r="E4029" i="1"/>
  <c r="H4028" i="1"/>
  <c r="G4028" i="1"/>
  <c r="E4028" i="1"/>
  <c r="H4027" i="1"/>
  <c r="G4027" i="1"/>
  <c r="E4027" i="1"/>
  <c r="H4026" i="1"/>
  <c r="G4026" i="1"/>
  <c r="E4026" i="1"/>
  <c r="H4025" i="1"/>
  <c r="G4025" i="1"/>
  <c r="E4025" i="1"/>
  <c r="H4024" i="1"/>
  <c r="G4024" i="1"/>
  <c r="E4024" i="1"/>
  <c r="H4023" i="1"/>
  <c r="G4023" i="1"/>
  <c r="E4023" i="1"/>
  <c r="H4022" i="1"/>
  <c r="G4022" i="1"/>
  <c r="E4022" i="1"/>
  <c r="H4021" i="1"/>
  <c r="G4021" i="1"/>
  <c r="E4021" i="1"/>
  <c r="H4020" i="1"/>
  <c r="G4020" i="1"/>
  <c r="E4020" i="1"/>
  <c r="H4019" i="1"/>
  <c r="G4019" i="1"/>
  <c r="E4019" i="1"/>
  <c r="H4018" i="1"/>
  <c r="G4018" i="1"/>
  <c r="E4018" i="1"/>
  <c r="H4017" i="1"/>
  <c r="G4017" i="1"/>
  <c r="E4017" i="1"/>
  <c r="H4016" i="1"/>
  <c r="G4016" i="1"/>
  <c r="E4016" i="1"/>
  <c r="H4015" i="1"/>
  <c r="G4015" i="1"/>
  <c r="E4015" i="1"/>
  <c r="H4014" i="1"/>
  <c r="G4014" i="1"/>
  <c r="E4014" i="1"/>
  <c r="H4013" i="1"/>
  <c r="G4013" i="1"/>
  <c r="E4013" i="1"/>
  <c r="H4012" i="1"/>
  <c r="G4012" i="1"/>
  <c r="E4012" i="1"/>
  <c r="H4011" i="1"/>
  <c r="G4011" i="1"/>
  <c r="E4011" i="1"/>
  <c r="H4010" i="1"/>
  <c r="G4010" i="1"/>
  <c r="E4010" i="1"/>
  <c r="H4009" i="1"/>
  <c r="G4009" i="1"/>
  <c r="E4009" i="1"/>
  <c r="H4008" i="1"/>
  <c r="G4008" i="1"/>
  <c r="E4008" i="1"/>
  <c r="H4007" i="1"/>
  <c r="G4007" i="1"/>
  <c r="E4007" i="1"/>
  <c r="H4006" i="1"/>
  <c r="G4006" i="1"/>
  <c r="E4006" i="1"/>
  <c r="H4005" i="1"/>
  <c r="G4005" i="1"/>
  <c r="E4005" i="1"/>
  <c r="H4004" i="1"/>
  <c r="G4004" i="1"/>
  <c r="E4004" i="1"/>
  <c r="H4003" i="1"/>
  <c r="G4003" i="1"/>
  <c r="E4003" i="1"/>
  <c r="H4002" i="1"/>
  <c r="G4002" i="1"/>
  <c r="E4002" i="1"/>
  <c r="H4001" i="1"/>
  <c r="G4001" i="1"/>
  <c r="E4001" i="1"/>
  <c r="H4000" i="1"/>
  <c r="G4000" i="1"/>
  <c r="E4000" i="1"/>
  <c r="H3999" i="1"/>
  <c r="G3999" i="1"/>
  <c r="E3999" i="1"/>
  <c r="H3998" i="1"/>
  <c r="G3998" i="1"/>
  <c r="E3998" i="1"/>
  <c r="H3997" i="1"/>
  <c r="G3997" i="1"/>
  <c r="E3997" i="1"/>
  <c r="H3996" i="1"/>
  <c r="G3996" i="1"/>
  <c r="E3996" i="1"/>
  <c r="H3995" i="1"/>
  <c r="G3995" i="1"/>
  <c r="E3995" i="1"/>
  <c r="H3994" i="1"/>
  <c r="G3994" i="1"/>
  <c r="E3994" i="1"/>
  <c r="H3993" i="1"/>
  <c r="G3993" i="1"/>
  <c r="E3993" i="1"/>
  <c r="H3992" i="1"/>
  <c r="G3992" i="1"/>
  <c r="E3992" i="1"/>
  <c r="H3991" i="1"/>
  <c r="G3991" i="1"/>
  <c r="E3991" i="1"/>
  <c r="H3990" i="1"/>
  <c r="G3990" i="1"/>
  <c r="E3990" i="1"/>
  <c r="H3989" i="1"/>
  <c r="G3989" i="1"/>
  <c r="E3989" i="1"/>
  <c r="H3988" i="1"/>
  <c r="G3988" i="1"/>
  <c r="E3988" i="1"/>
  <c r="H3987" i="1"/>
  <c r="G3987" i="1"/>
  <c r="E3987" i="1"/>
  <c r="H3986" i="1"/>
  <c r="G3986" i="1"/>
  <c r="E3986" i="1"/>
  <c r="H3985" i="1"/>
  <c r="G3985" i="1"/>
  <c r="E3985" i="1"/>
  <c r="H3984" i="1"/>
  <c r="G3984" i="1"/>
  <c r="E3984" i="1"/>
  <c r="H3983" i="1"/>
  <c r="G3983" i="1"/>
  <c r="E3983" i="1"/>
  <c r="H3982" i="1"/>
  <c r="G3982" i="1"/>
  <c r="E3982" i="1"/>
  <c r="H3981" i="1"/>
  <c r="G3981" i="1"/>
  <c r="E3981" i="1"/>
  <c r="H3980" i="1"/>
  <c r="G3980" i="1"/>
  <c r="E3980" i="1"/>
  <c r="H3979" i="1"/>
  <c r="G3979" i="1"/>
  <c r="E3979" i="1"/>
  <c r="H3978" i="1"/>
  <c r="G3978" i="1"/>
  <c r="E3978" i="1"/>
  <c r="H3977" i="1"/>
  <c r="G3977" i="1"/>
  <c r="E3977" i="1"/>
  <c r="H3976" i="1"/>
  <c r="G3976" i="1"/>
  <c r="E3976" i="1"/>
  <c r="H3975" i="1"/>
  <c r="G3975" i="1"/>
  <c r="E3975" i="1"/>
  <c r="H3974" i="1"/>
  <c r="G3974" i="1"/>
  <c r="E3974" i="1"/>
  <c r="H3973" i="1"/>
  <c r="G3973" i="1"/>
  <c r="E3973" i="1"/>
  <c r="H3972" i="1"/>
  <c r="G3972" i="1"/>
  <c r="E3972" i="1"/>
  <c r="H3971" i="1"/>
  <c r="G3971" i="1"/>
  <c r="E3971" i="1"/>
  <c r="H3970" i="1"/>
  <c r="G3970" i="1"/>
  <c r="E3970" i="1"/>
  <c r="H3969" i="1"/>
  <c r="G3969" i="1"/>
  <c r="E3969" i="1"/>
  <c r="H3968" i="1"/>
  <c r="G3968" i="1"/>
  <c r="E3968" i="1"/>
  <c r="H3967" i="1"/>
  <c r="G3967" i="1"/>
  <c r="E3967" i="1"/>
  <c r="H3966" i="1"/>
  <c r="G3966" i="1"/>
  <c r="E3966" i="1"/>
  <c r="H3965" i="1"/>
  <c r="G3965" i="1"/>
  <c r="E3965" i="1"/>
  <c r="H3964" i="1"/>
  <c r="G3964" i="1"/>
  <c r="E3964" i="1"/>
  <c r="H3963" i="1"/>
  <c r="G3963" i="1"/>
  <c r="E3963" i="1"/>
  <c r="H3962" i="1"/>
  <c r="G3962" i="1"/>
  <c r="E3962" i="1"/>
  <c r="H3961" i="1"/>
  <c r="G3961" i="1"/>
  <c r="E3961" i="1"/>
  <c r="H3960" i="1"/>
  <c r="G3960" i="1"/>
  <c r="E3960" i="1"/>
  <c r="H3959" i="1"/>
  <c r="G3959" i="1"/>
  <c r="E3959" i="1"/>
  <c r="H3958" i="1"/>
  <c r="G3958" i="1"/>
  <c r="E3958" i="1"/>
  <c r="H3957" i="1"/>
  <c r="G3957" i="1"/>
  <c r="E3957" i="1"/>
  <c r="H3956" i="1"/>
  <c r="G3956" i="1"/>
  <c r="E3956" i="1"/>
  <c r="H3955" i="1"/>
  <c r="G3955" i="1"/>
  <c r="E3955" i="1"/>
  <c r="H3954" i="1"/>
  <c r="G3954" i="1"/>
  <c r="E3954" i="1"/>
  <c r="H3953" i="1"/>
  <c r="G3953" i="1"/>
  <c r="E3953" i="1"/>
  <c r="H3952" i="1"/>
  <c r="G3952" i="1"/>
  <c r="E3952" i="1"/>
  <c r="H3951" i="1"/>
  <c r="G3951" i="1"/>
  <c r="E3951" i="1"/>
  <c r="H3950" i="1"/>
  <c r="G3950" i="1"/>
  <c r="E3950" i="1"/>
  <c r="H3949" i="1"/>
  <c r="G3949" i="1"/>
  <c r="E3949" i="1"/>
  <c r="H3948" i="1"/>
  <c r="G3948" i="1"/>
  <c r="E3948" i="1"/>
  <c r="H3947" i="1"/>
  <c r="G3947" i="1"/>
  <c r="E3947" i="1"/>
  <c r="H3946" i="1"/>
  <c r="G3946" i="1"/>
  <c r="E3946" i="1"/>
  <c r="H3945" i="1"/>
  <c r="G3945" i="1"/>
  <c r="E3945" i="1"/>
  <c r="H3944" i="1"/>
  <c r="G3944" i="1"/>
  <c r="E3944" i="1"/>
  <c r="H3943" i="1"/>
  <c r="G3943" i="1"/>
  <c r="E3943" i="1"/>
  <c r="H3942" i="1"/>
  <c r="G3942" i="1"/>
  <c r="E3942" i="1"/>
  <c r="H3941" i="1"/>
  <c r="G3941" i="1"/>
  <c r="E3941" i="1"/>
  <c r="H3940" i="1"/>
  <c r="G3940" i="1"/>
  <c r="E3940" i="1"/>
  <c r="H3939" i="1"/>
  <c r="G3939" i="1"/>
  <c r="E3939" i="1"/>
  <c r="H3938" i="1"/>
  <c r="G3938" i="1"/>
  <c r="E3938" i="1"/>
  <c r="H3937" i="1"/>
  <c r="G3937" i="1"/>
  <c r="E3937" i="1"/>
  <c r="H3936" i="1"/>
  <c r="G3936" i="1"/>
  <c r="E3936" i="1"/>
  <c r="H3935" i="1"/>
  <c r="G3935" i="1"/>
  <c r="E3935" i="1"/>
  <c r="H3934" i="1"/>
  <c r="G3934" i="1"/>
  <c r="E3934" i="1"/>
  <c r="H3933" i="1"/>
  <c r="G3933" i="1"/>
  <c r="E3933" i="1"/>
  <c r="H3932" i="1"/>
  <c r="G3932" i="1"/>
  <c r="E3932" i="1"/>
  <c r="H3931" i="1"/>
  <c r="G3931" i="1"/>
  <c r="E3931" i="1"/>
  <c r="H3930" i="1"/>
  <c r="G3930" i="1"/>
  <c r="E3930" i="1"/>
  <c r="H3929" i="1"/>
  <c r="G3929" i="1"/>
  <c r="E3929" i="1"/>
  <c r="H3928" i="1"/>
  <c r="G3928" i="1"/>
  <c r="E3928" i="1"/>
  <c r="H3927" i="1"/>
  <c r="G3927" i="1"/>
  <c r="E3927" i="1"/>
  <c r="H3926" i="1"/>
  <c r="G3926" i="1"/>
  <c r="E3926" i="1"/>
  <c r="H3925" i="1"/>
  <c r="G3925" i="1"/>
  <c r="E3925" i="1"/>
  <c r="H3924" i="1"/>
  <c r="G3924" i="1"/>
  <c r="E3924" i="1"/>
  <c r="H3923" i="1"/>
  <c r="G3923" i="1"/>
  <c r="E3923" i="1"/>
  <c r="H3922" i="1"/>
  <c r="G3922" i="1"/>
  <c r="E3922" i="1"/>
  <c r="H3921" i="1"/>
  <c r="G3921" i="1"/>
  <c r="E3921" i="1"/>
  <c r="H3920" i="1"/>
  <c r="G3920" i="1"/>
  <c r="E3920" i="1"/>
  <c r="H3919" i="1"/>
  <c r="G3919" i="1"/>
  <c r="E3919" i="1"/>
  <c r="H3918" i="1"/>
  <c r="G3918" i="1"/>
  <c r="E3918" i="1"/>
  <c r="H3917" i="1"/>
  <c r="G3917" i="1"/>
  <c r="E3917" i="1"/>
  <c r="H3916" i="1"/>
  <c r="G3916" i="1"/>
  <c r="E3916" i="1"/>
  <c r="H3915" i="1"/>
  <c r="G3915" i="1"/>
  <c r="E3915" i="1"/>
  <c r="H3914" i="1"/>
  <c r="G3914" i="1"/>
  <c r="E3914" i="1"/>
  <c r="H3913" i="1"/>
  <c r="G3913" i="1"/>
  <c r="E3913" i="1"/>
  <c r="H3912" i="1"/>
  <c r="G3912" i="1"/>
  <c r="E3912" i="1"/>
  <c r="H3911" i="1"/>
  <c r="G3911" i="1"/>
  <c r="E3911" i="1"/>
  <c r="H3910" i="1"/>
  <c r="G3910" i="1"/>
  <c r="E3910" i="1"/>
  <c r="H3909" i="1"/>
  <c r="G3909" i="1"/>
  <c r="E3909" i="1"/>
  <c r="H3908" i="1"/>
  <c r="G3908" i="1"/>
  <c r="E3908" i="1"/>
  <c r="H3907" i="1"/>
  <c r="G3907" i="1"/>
  <c r="E3907" i="1"/>
  <c r="H3906" i="1"/>
  <c r="G3906" i="1"/>
  <c r="E3906" i="1"/>
  <c r="H3905" i="1"/>
  <c r="G3905" i="1"/>
  <c r="E3905" i="1"/>
  <c r="H3904" i="1"/>
  <c r="G3904" i="1"/>
  <c r="E3904" i="1"/>
  <c r="H3903" i="1"/>
  <c r="G3903" i="1"/>
  <c r="E3903" i="1"/>
  <c r="H3902" i="1"/>
  <c r="G3902" i="1"/>
  <c r="E3902" i="1"/>
  <c r="H3901" i="1"/>
  <c r="G3901" i="1"/>
  <c r="E3901" i="1"/>
  <c r="H3900" i="1"/>
  <c r="G3900" i="1"/>
  <c r="E3900" i="1"/>
  <c r="H3899" i="1"/>
  <c r="G3899" i="1"/>
  <c r="E3899" i="1"/>
  <c r="H3898" i="1"/>
  <c r="G3898" i="1"/>
  <c r="E3898" i="1"/>
  <c r="H3897" i="1"/>
  <c r="G3897" i="1"/>
  <c r="E3897" i="1"/>
  <c r="H3896" i="1"/>
  <c r="G3896" i="1"/>
  <c r="E3896" i="1"/>
  <c r="H3895" i="1"/>
  <c r="G3895" i="1"/>
  <c r="E3895" i="1"/>
  <c r="H3894" i="1"/>
  <c r="G3894" i="1"/>
  <c r="E3894" i="1"/>
  <c r="H3893" i="1"/>
  <c r="G3893" i="1"/>
  <c r="E3893" i="1"/>
  <c r="H3892" i="1"/>
  <c r="G3892" i="1"/>
  <c r="E3892" i="1"/>
  <c r="H3891" i="1"/>
  <c r="G3891" i="1"/>
  <c r="E3891" i="1"/>
  <c r="H3890" i="1"/>
  <c r="G3890" i="1"/>
  <c r="E3890" i="1"/>
  <c r="H3889" i="1"/>
  <c r="G3889" i="1"/>
  <c r="E3889" i="1"/>
  <c r="H3888" i="1"/>
  <c r="G3888" i="1"/>
  <c r="E3888" i="1"/>
  <c r="H3887" i="1"/>
  <c r="G3887" i="1"/>
  <c r="E3887" i="1"/>
  <c r="H3886" i="1"/>
  <c r="G3886" i="1"/>
  <c r="E3886" i="1"/>
  <c r="H3885" i="1"/>
  <c r="G3885" i="1"/>
  <c r="E3885" i="1"/>
  <c r="H3884" i="1"/>
  <c r="G3884" i="1"/>
  <c r="E3884" i="1"/>
  <c r="H3883" i="1"/>
  <c r="G3883" i="1"/>
  <c r="E3883" i="1"/>
  <c r="H3882" i="1"/>
  <c r="G3882" i="1"/>
  <c r="E3882" i="1"/>
  <c r="H3881" i="1"/>
  <c r="G3881" i="1"/>
  <c r="E3881" i="1"/>
  <c r="H3880" i="1"/>
  <c r="G3880" i="1"/>
  <c r="E3880" i="1"/>
  <c r="H3879" i="1"/>
  <c r="G3879" i="1"/>
  <c r="E3879" i="1"/>
  <c r="H3878" i="1"/>
  <c r="G3878" i="1"/>
  <c r="E3878" i="1"/>
  <c r="H3877" i="1"/>
  <c r="G3877" i="1"/>
  <c r="E3877" i="1"/>
  <c r="H3876" i="1"/>
  <c r="G3876" i="1"/>
  <c r="E3876" i="1"/>
  <c r="H3875" i="1"/>
  <c r="G3875" i="1"/>
  <c r="E3875" i="1"/>
  <c r="H3874" i="1"/>
  <c r="G3874" i="1"/>
  <c r="E3874" i="1"/>
  <c r="H3873" i="1"/>
  <c r="G3873" i="1"/>
  <c r="E3873" i="1"/>
  <c r="H3872" i="1"/>
  <c r="G3872" i="1"/>
  <c r="E3872" i="1"/>
  <c r="H3871" i="1"/>
  <c r="G3871" i="1"/>
  <c r="E3871" i="1"/>
  <c r="H3870" i="1"/>
  <c r="G3870" i="1"/>
  <c r="E3870" i="1"/>
  <c r="H3869" i="1"/>
  <c r="G3869" i="1"/>
  <c r="E3869" i="1"/>
  <c r="H3868" i="1"/>
  <c r="G3868" i="1"/>
  <c r="E3868" i="1"/>
  <c r="H3867" i="1"/>
  <c r="G3867" i="1"/>
  <c r="E3867" i="1"/>
  <c r="H3866" i="1"/>
  <c r="G3866" i="1"/>
  <c r="E3866" i="1"/>
  <c r="H3865" i="1"/>
  <c r="G3865" i="1"/>
  <c r="E3865" i="1"/>
  <c r="H3864" i="1"/>
  <c r="G3864" i="1"/>
  <c r="E3864" i="1"/>
  <c r="H3863" i="1"/>
  <c r="G3863" i="1"/>
  <c r="E3863" i="1"/>
  <c r="H3862" i="1"/>
  <c r="G3862" i="1"/>
  <c r="E3862" i="1"/>
  <c r="H3861" i="1"/>
  <c r="G3861" i="1"/>
  <c r="E3861" i="1"/>
  <c r="H3860" i="1"/>
  <c r="G3860" i="1"/>
  <c r="E3860" i="1"/>
  <c r="H3859" i="1"/>
  <c r="G3859" i="1"/>
  <c r="E3859" i="1"/>
  <c r="H3858" i="1"/>
  <c r="G3858" i="1"/>
  <c r="E3858" i="1"/>
  <c r="H3857" i="1"/>
  <c r="G3857" i="1"/>
  <c r="E3857" i="1"/>
  <c r="H3856" i="1"/>
  <c r="G3856" i="1"/>
  <c r="E3856" i="1"/>
  <c r="H3855" i="1"/>
  <c r="G3855" i="1"/>
  <c r="E3855" i="1"/>
  <c r="H3854" i="1"/>
  <c r="G3854" i="1"/>
  <c r="E3854" i="1"/>
  <c r="H3853" i="1"/>
  <c r="G3853" i="1"/>
  <c r="E3853" i="1"/>
  <c r="H3852" i="1"/>
  <c r="G3852" i="1"/>
  <c r="E3852" i="1"/>
  <c r="H3851" i="1"/>
  <c r="G3851" i="1"/>
  <c r="E3851" i="1"/>
  <c r="H3850" i="1"/>
  <c r="G3850" i="1"/>
  <c r="E3850" i="1"/>
  <c r="H3849" i="1"/>
  <c r="G3849" i="1"/>
  <c r="E3849" i="1"/>
  <c r="H3848" i="1"/>
  <c r="G3848" i="1"/>
  <c r="E3848" i="1"/>
  <c r="H3847" i="1"/>
  <c r="G3847" i="1"/>
  <c r="E3847" i="1"/>
  <c r="H3846" i="1"/>
  <c r="G3846" i="1"/>
  <c r="E3846" i="1"/>
  <c r="H3845" i="1"/>
  <c r="G3845" i="1"/>
  <c r="E3845" i="1"/>
  <c r="H3844" i="1"/>
  <c r="G3844" i="1"/>
  <c r="E3844" i="1"/>
  <c r="H3843" i="1"/>
  <c r="G3843" i="1"/>
  <c r="E3843" i="1"/>
  <c r="H3842" i="1"/>
  <c r="G3842" i="1"/>
  <c r="E3842" i="1"/>
  <c r="H3841" i="1"/>
  <c r="G3841" i="1"/>
  <c r="E3841" i="1"/>
  <c r="H3840" i="1"/>
  <c r="G3840" i="1"/>
  <c r="E3840" i="1"/>
  <c r="H3839" i="1"/>
  <c r="G3839" i="1"/>
  <c r="E3839" i="1"/>
  <c r="H3838" i="1"/>
  <c r="G3838" i="1"/>
  <c r="E3838" i="1"/>
  <c r="H3837" i="1"/>
  <c r="G3837" i="1"/>
  <c r="E3837" i="1"/>
  <c r="H3836" i="1"/>
  <c r="G3836" i="1"/>
  <c r="E3836" i="1"/>
  <c r="H3835" i="1"/>
  <c r="G3835" i="1"/>
  <c r="E3835" i="1"/>
  <c r="H3834" i="1"/>
  <c r="G3834" i="1"/>
  <c r="E3834" i="1"/>
  <c r="H3833" i="1"/>
  <c r="G3833" i="1"/>
  <c r="E3833" i="1"/>
  <c r="H3832" i="1"/>
  <c r="G3832" i="1"/>
  <c r="E3832" i="1"/>
  <c r="H3831" i="1"/>
  <c r="G3831" i="1"/>
  <c r="E3831" i="1"/>
  <c r="H3830" i="1"/>
  <c r="G3830" i="1"/>
  <c r="E3830" i="1"/>
  <c r="H3829" i="1"/>
  <c r="G3829" i="1"/>
  <c r="E3829" i="1"/>
  <c r="H3828" i="1"/>
  <c r="G3828" i="1"/>
  <c r="E3828" i="1"/>
  <c r="H3827" i="1"/>
  <c r="G3827" i="1"/>
  <c r="E3827" i="1"/>
  <c r="H3826" i="1"/>
  <c r="G3826" i="1"/>
  <c r="E3826" i="1"/>
  <c r="H3825" i="1"/>
  <c r="G3825" i="1"/>
  <c r="E3825" i="1"/>
  <c r="H3824" i="1"/>
  <c r="G3824" i="1"/>
  <c r="E3824" i="1"/>
  <c r="H3823" i="1"/>
  <c r="G3823" i="1"/>
  <c r="E3823" i="1"/>
  <c r="H3822" i="1"/>
  <c r="G3822" i="1"/>
  <c r="E3822" i="1"/>
  <c r="H3821" i="1"/>
  <c r="G3821" i="1"/>
  <c r="E3821" i="1"/>
  <c r="H3820" i="1"/>
  <c r="G3820" i="1"/>
  <c r="E3820" i="1"/>
  <c r="H3819" i="1"/>
  <c r="G3819" i="1"/>
  <c r="E3819" i="1"/>
  <c r="H3818" i="1"/>
  <c r="G3818" i="1"/>
  <c r="E3818" i="1"/>
  <c r="H3817" i="1"/>
  <c r="G3817" i="1"/>
  <c r="E3817" i="1"/>
  <c r="H3816" i="1"/>
  <c r="G3816" i="1"/>
  <c r="E3816" i="1"/>
  <c r="H3815" i="1"/>
  <c r="G3815" i="1"/>
  <c r="E3815" i="1"/>
  <c r="H3814" i="1"/>
  <c r="G3814" i="1"/>
  <c r="E3814" i="1"/>
  <c r="H3813" i="1"/>
  <c r="G3813" i="1"/>
  <c r="E3813" i="1"/>
  <c r="H3812" i="1"/>
  <c r="G3812" i="1"/>
  <c r="E3812" i="1"/>
  <c r="H3811" i="1"/>
  <c r="G3811" i="1"/>
  <c r="E3811" i="1"/>
  <c r="H3810" i="1"/>
  <c r="G3810" i="1"/>
  <c r="E3810" i="1"/>
  <c r="H3809" i="1"/>
  <c r="G3809" i="1"/>
  <c r="E3809" i="1"/>
  <c r="H3808" i="1"/>
  <c r="G3808" i="1"/>
  <c r="E3808" i="1"/>
  <c r="H3807" i="1"/>
  <c r="G3807" i="1"/>
  <c r="E3807" i="1"/>
  <c r="H3806" i="1"/>
  <c r="G3806" i="1"/>
  <c r="E3806" i="1"/>
  <c r="H3805" i="1"/>
  <c r="G3805" i="1"/>
  <c r="E3805" i="1"/>
  <c r="H3804" i="1"/>
  <c r="G3804" i="1"/>
  <c r="E3804" i="1"/>
  <c r="H3803" i="1"/>
  <c r="G3803" i="1"/>
  <c r="E3803" i="1"/>
  <c r="H3802" i="1"/>
  <c r="G3802" i="1"/>
  <c r="E3802" i="1"/>
  <c r="H3801" i="1"/>
  <c r="G3801" i="1"/>
  <c r="E3801" i="1"/>
  <c r="H3800" i="1"/>
  <c r="G3800" i="1"/>
  <c r="E3800" i="1"/>
  <c r="H3799" i="1"/>
  <c r="G3799" i="1"/>
  <c r="E3799" i="1"/>
  <c r="H3798" i="1"/>
  <c r="G3798" i="1"/>
  <c r="E3798" i="1"/>
  <c r="H3797" i="1"/>
  <c r="G3797" i="1"/>
  <c r="E3797" i="1"/>
  <c r="H3796" i="1"/>
  <c r="G3796" i="1"/>
  <c r="E3796" i="1"/>
  <c r="H3795" i="1"/>
  <c r="G3795" i="1"/>
  <c r="E3795" i="1"/>
  <c r="H3794" i="1"/>
  <c r="G3794" i="1"/>
  <c r="E3794" i="1"/>
  <c r="H3793" i="1"/>
  <c r="G3793" i="1"/>
  <c r="E3793" i="1"/>
  <c r="H3792" i="1"/>
  <c r="G3792" i="1"/>
  <c r="E3792" i="1"/>
  <c r="H3791" i="1"/>
  <c r="G3791" i="1"/>
  <c r="E3791" i="1"/>
  <c r="H3790" i="1"/>
  <c r="G3790" i="1"/>
  <c r="E3790" i="1"/>
  <c r="H3789" i="1"/>
  <c r="G3789" i="1"/>
  <c r="E3789" i="1"/>
  <c r="H3788" i="1"/>
  <c r="G3788" i="1"/>
  <c r="E3788" i="1"/>
  <c r="H3787" i="1"/>
  <c r="G3787" i="1"/>
  <c r="E3787" i="1"/>
  <c r="H3786" i="1"/>
  <c r="G3786" i="1"/>
  <c r="E3786" i="1"/>
  <c r="H3785" i="1"/>
  <c r="G3785" i="1"/>
  <c r="E3785" i="1"/>
  <c r="H3784" i="1"/>
  <c r="G3784" i="1"/>
  <c r="E3784" i="1"/>
  <c r="H3783" i="1"/>
  <c r="G3783" i="1"/>
  <c r="E3783" i="1"/>
  <c r="H3782" i="1"/>
  <c r="G3782" i="1"/>
  <c r="E3782" i="1"/>
  <c r="H3781" i="1"/>
  <c r="G3781" i="1"/>
  <c r="E3781" i="1"/>
  <c r="H3780" i="1"/>
  <c r="G3780" i="1"/>
  <c r="E3780" i="1"/>
  <c r="H3779" i="1"/>
  <c r="G3779" i="1"/>
  <c r="E3779" i="1"/>
  <c r="H3778" i="1"/>
  <c r="G3778" i="1"/>
  <c r="E3778" i="1"/>
  <c r="H3777" i="1"/>
  <c r="G3777" i="1"/>
  <c r="E3777" i="1"/>
  <c r="H3776" i="1"/>
  <c r="G3776" i="1"/>
  <c r="E3776" i="1"/>
  <c r="H3775" i="1"/>
  <c r="G3775" i="1"/>
  <c r="E3775" i="1"/>
  <c r="H3774" i="1"/>
  <c r="G3774" i="1"/>
  <c r="E3774" i="1"/>
  <c r="H3773" i="1"/>
  <c r="G3773" i="1"/>
  <c r="E3773" i="1"/>
  <c r="H3772" i="1"/>
  <c r="G3772" i="1"/>
  <c r="E3772" i="1"/>
  <c r="H3771" i="1"/>
  <c r="G3771" i="1"/>
  <c r="E3771" i="1"/>
  <c r="H3770" i="1"/>
  <c r="G3770" i="1"/>
  <c r="E3770" i="1"/>
  <c r="H3769" i="1"/>
  <c r="G3769" i="1"/>
  <c r="E3769" i="1"/>
  <c r="H3768" i="1"/>
  <c r="G3768" i="1"/>
  <c r="E3768" i="1"/>
  <c r="H3767" i="1"/>
  <c r="G3767" i="1"/>
  <c r="E3767" i="1"/>
  <c r="H3766" i="1"/>
  <c r="G3766" i="1"/>
  <c r="E3766" i="1"/>
  <c r="H3765" i="1"/>
  <c r="G3765" i="1"/>
  <c r="E3765" i="1"/>
  <c r="H3764" i="1"/>
  <c r="G3764" i="1"/>
  <c r="E3764" i="1"/>
  <c r="H3763" i="1"/>
  <c r="G3763" i="1"/>
  <c r="E3763" i="1"/>
  <c r="H3762" i="1"/>
  <c r="G3762" i="1"/>
  <c r="E3762" i="1"/>
  <c r="H3761" i="1"/>
  <c r="G3761" i="1"/>
  <c r="E3761" i="1"/>
  <c r="H3760" i="1"/>
  <c r="G3760" i="1"/>
  <c r="E3760" i="1"/>
  <c r="H3759" i="1"/>
  <c r="G3759" i="1"/>
  <c r="E3759" i="1"/>
  <c r="H3758" i="1"/>
  <c r="G3758" i="1"/>
  <c r="E3758" i="1"/>
  <c r="H3757" i="1"/>
  <c r="G3757" i="1"/>
  <c r="E3757" i="1"/>
  <c r="H3756" i="1"/>
  <c r="G3756" i="1"/>
  <c r="E3756" i="1"/>
  <c r="H3755" i="1"/>
  <c r="G3755" i="1"/>
  <c r="E3755" i="1"/>
  <c r="H3754" i="1"/>
  <c r="G3754" i="1"/>
  <c r="E3754" i="1"/>
  <c r="H3753" i="1"/>
  <c r="G3753" i="1"/>
  <c r="E3753" i="1"/>
  <c r="H3752" i="1"/>
  <c r="G3752" i="1"/>
  <c r="E3752" i="1"/>
  <c r="H3751" i="1"/>
  <c r="G3751" i="1"/>
  <c r="E3751" i="1"/>
  <c r="H3750" i="1"/>
  <c r="G3750" i="1"/>
  <c r="E3750" i="1"/>
  <c r="H3749" i="1"/>
  <c r="G3749" i="1"/>
  <c r="E3749" i="1"/>
  <c r="H3748" i="1"/>
  <c r="G3748" i="1"/>
  <c r="E3748" i="1"/>
  <c r="H3747" i="1"/>
  <c r="G3747" i="1"/>
  <c r="E3747" i="1"/>
  <c r="H3746" i="1"/>
  <c r="G3746" i="1"/>
  <c r="E3746" i="1"/>
  <c r="H3745" i="1"/>
  <c r="G3745" i="1"/>
  <c r="E3745" i="1"/>
  <c r="H3744" i="1"/>
  <c r="G3744" i="1"/>
  <c r="E3744" i="1"/>
  <c r="H3743" i="1"/>
  <c r="G3743" i="1"/>
  <c r="E3743" i="1"/>
  <c r="H3742" i="1"/>
  <c r="G3742" i="1"/>
  <c r="E3742" i="1"/>
  <c r="H3741" i="1"/>
  <c r="G3741" i="1"/>
  <c r="E3741" i="1"/>
  <c r="H3740" i="1"/>
  <c r="G3740" i="1"/>
  <c r="E3740" i="1"/>
  <c r="H3739" i="1"/>
  <c r="G3739" i="1"/>
  <c r="E3739" i="1"/>
  <c r="H3738" i="1"/>
  <c r="G3738" i="1"/>
  <c r="E3738" i="1"/>
  <c r="H3737" i="1"/>
  <c r="G3737" i="1"/>
  <c r="E3737" i="1"/>
  <c r="H3736" i="1"/>
  <c r="G3736" i="1"/>
  <c r="E3736" i="1"/>
  <c r="H3735" i="1"/>
  <c r="G3735" i="1"/>
  <c r="E3735" i="1"/>
  <c r="H3734" i="1"/>
  <c r="G3734" i="1"/>
  <c r="E3734" i="1"/>
  <c r="H3733" i="1"/>
  <c r="G3733" i="1"/>
  <c r="E3733" i="1"/>
  <c r="H3732" i="1"/>
  <c r="G3732" i="1"/>
  <c r="E3732" i="1"/>
  <c r="H3731" i="1"/>
  <c r="G3731" i="1"/>
  <c r="E3731" i="1"/>
  <c r="H3730" i="1"/>
  <c r="G3730" i="1"/>
  <c r="E3730" i="1"/>
  <c r="H3729" i="1"/>
  <c r="G3729" i="1"/>
  <c r="E3729" i="1"/>
  <c r="H3728" i="1"/>
  <c r="G3728" i="1"/>
  <c r="E3728" i="1"/>
  <c r="H3727" i="1"/>
  <c r="G3727" i="1"/>
  <c r="E3727" i="1"/>
  <c r="H3726" i="1"/>
  <c r="G3726" i="1"/>
  <c r="E3726" i="1"/>
  <c r="H3725" i="1"/>
  <c r="G3725" i="1"/>
  <c r="E3725" i="1"/>
  <c r="H3724" i="1"/>
  <c r="G3724" i="1"/>
  <c r="E3724" i="1"/>
  <c r="H3723" i="1"/>
  <c r="G3723" i="1"/>
  <c r="E3723" i="1"/>
  <c r="H3722" i="1"/>
  <c r="G3722" i="1"/>
  <c r="E3722" i="1"/>
  <c r="H3721" i="1"/>
  <c r="G3721" i="1"/>
  <c r="E3721" i="1"/>
  <c r="H3720" i="1"/>
  <c r="G3720" i="1"/>
  <c r="E3720" i="1"/>
  <c r="H3719" i="1"/>
  <c r="G3719" i="1"/>
  <c r="E3719" i="1"/>
  <c r="H3718" i="1"/>
  <c r="G3718" i="1"/>
  <c r="E3718" i="1"/>
  <c r="H3717" i="1"/>
  <c r="G3717" i="1"/>
  <c r="E3717" i="1"/>
  <c r="H3716" i="1"/>
  <c r="G3716" i="1"/>
  <c r="E3716" i="1"/>
  <c r="H3715" i="1"/>
  <c r="G3715" i="1"/>
  <c r="E3715" i="1"/>
  <c r="H3714" i="1"/>
  <c r="G3714" i="1"/>
  <c r="E3714" i="1"/>
  <c r="H3713" i="1"/>
  <c r="G3713" i="1"/>
  <c r="E3713" i="1"/>
  <c r="H3712" i="1"/>
  <c r="G3712" i="1"/>
  <c r="E3712" i="1"/>
  <c r="H3711" i="1"/>
  <c r="G3711" i="1"/>
  <c r="E3711" i="1"/>
  <c r="H3710" i="1"/>
  <c r="G3710" i="1"/>
  <c r="E3710" i="1"/>
  <c r="H3709" i="1"/>
  <c r="G3709" i="1"/>
  <c r="E3709" i="1"/>
  <c r="H3708" i="1"/>
  <c r="G3708" i="1"/>
  <c r="E3708" i="1"/>
  <c r="H3707" i="1"/>
  <c r="G3707" i="1"/>
  <c r="E3707" i="1"/>
  <c r="H3706" i="1"/>
  <c r="G3706" i="1"/>
  <c r="E3706" i="1"/>
  <c r="H3705" i="1"/>
  <c r="G3705" i="1"/>
  <c r="E3705" i="1"/>
  <c r="H3704" i="1"/>
  <c r="G3704" i="1"/>
  <c r="E3704" i="1"/>
  <c r="H3703" i="1"/>
  <c r="G3703" i="1"/>
  <c r="E3703" i="1"/>
  <c r="H3702" i="1"/>
  <c r="G3702" i="1"/>
  <c r="E3702" i="1"/>
  <c r="H3701" i="1"/>
  <c r="G3701" i="1"/>
  <c r="E3701" i="1"/>
  <c r="H3700" i="1"/>
  <c r="G3700" i="1"/>
  <c r="E3700" i="1"/>
  <c r="H3699" i="1"/>
  <c r="G3699" i="1"/>
  <c r="E3699" i="1"/>
  <c r="H3698" i="1"/>
  <c r="G3698" i="1"/>
  <c r="E3698" i="1"/>
  <c r="H3697" i="1"/>
  <c r="G3697" i="1"/>
  <c r="E3697" i="1"/>
  <c r="H3696" i="1"/>
  <c r="G3696" i="1"/>
  <c r="E3696" i="1"/>
  <c r="H3695" i="1"/>
  <c r="G3695" i="1"/>
  <c r="E3695" i="1"/>
  <c r="H3694" i="1"/>
  <c r="G3694" i="1"/>
  <c r="E3694" i="1"/>
  <c r="H3693" i="1"/>
  <c r="G3693" i="1"/>
  <c r="E3693" i="1"/>
  <c r="H3692" i="1"/>
  <c r="G3692" i="1"/>
  <c r="E3692" i="1"/>
  <c r="H3691" i="1"/>
  <c r="G3691" i="1"/>
  <c r="E3691" i="1"/>
  <c r="H3690" i="1"/>
  <c r="G3690" i="1"/>
  <c r="E3690" i="1"/>
  <c r="H3689" i="1"/>
  <c r="G3689" i="1"/>
  <c r="E3689" i="1"/>
  <c r="H3688" i="1"/>
  <c r="G3688" i="1"/>
  <c r="E3688" i="1"/>
  <c r="H3687" i="1"/>
  <c r="G3687" i="1"/>
  <c r="E3687" i="1"/>
  <c r="H3686" i="1"/>
  <c r="G3686" i="1"/>
  <c r="E3686" i="1"/>
  <c r="H3685" i="1"/>
  <c r="G3685" i="1"/>
  <c r="E3685" i="1"/>
  <c r="H3684" i="1"/>
  <c r="G3684" i="1"/>
  <c r="E3684" i="1"/>
  <c r="H3683" i="1"/>
  <c r="G3683" i="1"/>
  <c r="E3683" i="1"/>
  <c r="H3682" i="1"/>
  <c r="G3682" i="1"/>
  <c r="E3682" i="1"/>
  <c r="H3681" i="1"/>
  <c r="G3681" i="1"/>
  <c r="E3681" i="1"/>
  <c r="H3680" i="1"/>
  <c r="G3680" i="1"/>
  <c r="E3680" i="1"/>
  <c r="H3679" i="1"/>
  <c r="G3679" i="1"/>
  <c r="E3679" i="1"/>
  <c r="H3678" i="1"/>
  <c r="G3678" i="1"/>
  <c r="E3678" i="1"/>
  <c r="H3677" i="1"/>
  <c r="G3677" i="1"/>
  <c r="E3677" i="1"/>
  <c r="H3676" i="1"/>
  <c r="G3676" i="1"/>
  <c r="E3676" i="1"/>
  <c r="H3675" i="1"/>
  <c r="G3675" i="1"/>
  <c r="E3675" i="1"/>
  <c r="H3674" i="1"/>
  <c r="G3674" i="1"/>
  <c r="E3674" i="1"/>
  <c r="H3673" i="1"/>
  <c r="G3673" i="1"/>
  <c r="E3673" i="1"/>
  <c r="H3672" i="1"/>
  <c r="G3672" i="1"/>
  <c r="E3672" i="1"/>
  <c r="H3671" i="1"/>
  <c r="G3671" i="1"/>
  <c r="E3671" i="1"/>
  <c r="H3670" i="1"/>
  <c r="G3670" i="1"/>
  <c r="E3670" i="1"/>
  <c r="H3669" i="1"/>
  <c r="G3669" i="1"/>
  <c r="E3669" i="1"/>
  <c r="H3668" i="1"/>
  <c r="G3668" i="1"/>
  <c r="E3668" i="1"/>
  <c r="H3667" i="1"/>
  <c r="G3667" i="1"/>
  <c r="E3667" i="1"/>
  <c r="H3666" i="1"/>
  <c r="G3666" i="1"/>
  <c r="E3666" i="1"/>
  <c r="H3665" i="1"/>
  <c r="G3665" i="1"/>
  <c r="E3665" i="1"/>
  <c r="H3664" i="1"/>
  <c r="G3664" i="1"/>
  <c r="E3664" i="1"/>
  <c r="H3663" i="1"/>
  <c r="G3663" i="1"/>
  <c r="E3663" i="1"/>
  <c r="H3662" i="1"/>
  <c r="G3662" i="1"/>
  <c r="E3662" i="1"/>
  <c r="H3661" i="1"/>
  <c r="G3661" i="1"/>
  <c r="E3661" i="1"/>
  <c r="H3660" i="1"/>
  <c r="G3660" i="1"/>
  <c r="E3660" i="1"/>
  <c r="H3659" i="1"/>
  <c r="G3659" i="1"/>
  <c r="E3659" i="1"/>
  <c r="H3658" i="1"/>
  <c r="G3658" i="1"/>
  <c r="E3658" i="1"/>
  <c r="H3657" i="1"/>
  <c r="G3657" i="1"/>
  <c r="E3657" i="1"/>
  <c r="H3656" i="1"/>
  <c r="G3656" i="1"/>
  <c r="E3656" i="1"/>
  <c r="H3655" i="1"/>
  <c r="G3655" i="1"/>
  <c r="E3655" i="1"/>
  <c r="H3654" i="1"/>
  <c r="G3654" i="1"/>
  <c r="E3654" i="1"/>
  <c r="H3653" i="1"/>
  <c r="G3653" i="1"/>
  <c r="E3653" i="1"/>
  <c r="H3652" i="1"/>
  <c r="G3652" i="1"/>
  <c r="E3652" i="1"/>
  <c r="H3651" i="1"/>
  <c r="G3651" i="1"/>
  <c r="E3651" i="1"/>
  <c r="H3650" i="1"/>
  <c r="G3650" i="1"/>
  <c r="E3650" i="1"/>
  <c r="H3649" i="1"/>
  <c r="G3649" i="1"/>
  <c r="E3649" i="1"/>
  <c r="H3648" i="1"/>
  <c r="G3648" i="1"/>
  <c r="E3648" i="1"/>
  <c r="H3647" i="1"/>
  <c r="G3647" i="1"/>
  <c r="E3647" i="1"/>
  <c r="H3646" i="1"/>
  <c r="G3646" i="1"/>
  <c r="E3646" i="1"/>
  <c r="H3645" i="1"/>
  <c r="G3645" i="1"/>
  <c r="E3645" i="1"/>
  <c r="H3644" i="1"/>
  <c r="G3644" i="1"/>
  <c r="E3644" i="1"/>
  <c r="H3643" i="1"/>
  <c r="G3643" i="1"/>
  <c r="E3643" i="1"/>
  <c r="H3642" i="1"/>
  <c r="G3642" i="1"/>
  <c r="E3642" i="1"/>
  <c r="H3641" i="1"/>
  <c r="G3641" i="1"/>
  <c r="E3641" i="1"/>
  <c r="H3640" i="1"/>
  <c r="G3640" i="1"/>
  <c r="E3640" i="1"/>
  <c r="H3639" i="1"/>
  <c r="G3639" i="1"/>
  <c r="E3639" i="1"/>
  <c r="H3638" i="1"/>
  <c r="G3638" i="1"/>
  <c r="E3638" i="1"/>
  <c r="H3637" i="1"/>
  <c r="G3637" i="1"/>
  <c r="E3637" i="1"/>
  <c r="H3636" i="1"/>
  <c r="G3636" i="1"/>
  <c r="E3636" i="1"/>
  <c r="H3635" i="1"/>
  <c r="G3635" i="1"/>
  <c r="E3635" i="1"/>
  <c r="H3634" i="1"/>
  <c r="G3634" i="1"/>
  <c r="E3634" i="1"/>
  <c r="H3633" i="1"/>
  <c r="G3633" i="1"/>
  <c r="E3633" i="1"/>
  <c r="H3632" i="1"/>
  <c r="G3632" i="1"/>
  <c r="E3632" i="1"/>
  <c r="H3631" i="1"/>
  <c r="G3631" i="1"/>
  <c r="E3631" i="1"/>
  <c r="H3630" i="1"/>
  <c r="G3630" i="1"/>
  <c r="E3630" i="1"/>
  <c r="H3629" i="1"/>
  <c r="G3629" i="1"/>
  <c r="E3629" i="1"/>
  <c r="H3628" i="1"/>
  <c r="G3628" i="1"/>
  <c r="E3628" i="1"/>
  <c r="H3627" i="1"/>
  <c r="G3627" i="1"/>
  <c r="E3627" i="1"/>
  <c r="H3626" i="1"/>
  <c r="G3626" i="1"/>
  <c r="E3626" i="1"/>
  <c r="H3625" i="1"/>
  <c r="G3625" i="1"/>
  <c r="E3625" i="1"/>
  <c r="H3624" i="1"/>
  <c r="G3624" i="1"/>
  <c r="E3624" i="1"/>
  <c r="H3623" i="1"/>
  <c r="G3623" i="1"/>
  <c r="E3623" i="1"/>
  <c r="H3622" i="1"/>
  <c r="G3622" i="1"/>
  <c r="E3622" i="1"/>
  <c r="H3621" i="1"/>
  <c r="G3621" i="1"/>
  <c r="E3621" i="1"/>
  <c r="H3620" i="1"/>
  <c r="G3620" i="1"/>
  <c r="E3620" i="1"/>
  <c r="H3619" i="1"/>
  <c r="G3619" i="1"/>
  <c r="E3619" i="1"/>
  <c r="H3618" i="1"/>
  <c r="G3618" i="1"/>
  <c r="E3618" i="1"/>
  <c r="H3617" i="1"/>
  <c r="G3617" i="1"/>
  <c r="E3617" i="1"/>
  <c r="H3616" i="1"/>
  <c r="G3616" i="1"/>
  <c r="E3616" i="1"/>
  <c r="H3615" i="1"/>
  <c r="G3615" i="1"/>
  <c r="E3615" i="1"/>
  <c r="H3614" i="1"/>
  <c r="G3614" i="1"/>
  <c r="E3614" i="1"/>
  <c r="H3613" i="1"/>
  <c r="G3613" i="1"/>
  <c r="E3613" i="1"/>
  <c r="H3612" i="1"/>
  <c r="G3612" i="1"/>
  <c r="E3612" i="1"/>
  <c r="H3611" i="1"/>
  <c r="G3611" i="1"/>
  <c r="E3611" i="1"/>
  <c r="H3610" i="1"/>
  <c r="G3610" i="1"/>
  <c r="E3610" i="1"/>
  <c r="H3609" i="1"/>
  <c r="G3609" i="1"/>
  <c r="E3609" i="1"/>
  <c r="H3608" i="1"/>
  <c r="G3608" i="1"/>
  <c r="E3608" i="1"/>
  <c r="H3607" i="1"/>
  <c r="G3607" i="1"/>
  <c r="E3607" i="1"/>
  <c r="H3606" i="1"/>
  <c r="G3606" i="1"/>
  <c r="E3606" i="1"/>
  <c r="H3605" i="1"/>
  <c r="G3605" i="1"/>
  <c r="E3605" i="1"/>
  <c r="H3604" i="1"/>
  <c r="G3604" i="1"/>
  <c r="E3604" i="1"/>
  <c r="H3603" i="1"/>
  <c r="G3603" i="1"/>
  <c r="E3603" i="1"/>
  <c r="H3602" i="1"/>
  <c r="G3602" i="1"/>
  <c r="E3602" i="1"/>
  <c r="H3601" i="1"/>
  <c r="G3601" i="1"/>
  <c r="E3601" i="1"/>
  <c r="H3600" i="1"/>
  <c r="G3600" i="1"/>
  <c r="E3600" i="1"/>
  <c r="H3599" i="1"/>
  <c r="G3599" i="1"/>
  <c r="E3599" i="1"/>
  <c r="H3598" i="1"/>
  <c r="G3598" i="1"/>
  <c r="E3598" i="1"/>
  <c r="H3597" i="1"/>
  <c r="G3597" i="1"/>
  <c r="E3597" i="1"/>
  <c r="H3596" i="1"/>
  <c r="G3596" i="1"/>
  <c r="E3596" i="1"/>
  <c r="H3595" i="1"/>
  <c r="G3595" i="1"/>
  <c r="E3595" i="1"/>
  <c r="H3594" i="1"/>
  <c r="G3594" i="1"/>
  <c r="E3594" i="1"/>
  <c r="H3593" i="1"/>
  <c r="G3593" i="1"/>
  <c r="E3593" i="1"/>
  <c r="H3592" i="1"/>
  <c r="G3592" i="1"/>
  <c r="E3592" i="1"/>
  <c r="H3591" i="1"/>
  <c r="G3591" i="1"/>
  <c r="E3591" i="1"/>
  <c r="H3590" i="1"/>
  <c r="G3590" i="1"/>
  <c r="E3590" i="1"/>
  <c r="H3589" i="1"/>
  <c r="G3589" i="1"/>
  <c r="E3589" i="1"/>
  <c r="H3588" i="1"/>
  <c r="G3588" i="1"/>
  <c r="E3588" i="1"/>
  <c r="H3587" i="1"/>
  <c r="G3587" i="1"/>
  <c r="E3587" i="1"/>
  <c r="H3586" i="1"/>
  <c r="G3586" i="1"/>
  <c r="E3586" i="1"/>
  <c r="H3585" i="1"/>
  <c r="G3585" i="1"/>
  <c r="E3585" i="1"/>
  <c r="H3584" i="1"/>
  <c r="G3584" i="1"/>
  <c r="E3584" i="1"/>
  <c r="H3583" i="1"/>
  <c r="G3583" i="1"/>
  <c r="E3583" i="1"/>
  <c r="H3582" i="1"/>
  <c r="G3582" i="1"/>
  <c r="E3582" i="1"/>
  <c r="H3581" i="1"/>
  <c r="G3581" i="1"/>
  <c r="E3581" i="1"/>
  <c r="H3580" i="1"/>
  <c r="G3580" i="1"/>
  <c r="E3580" i="1"/>
  <c r="H3579" i="1"/>
  <c r="G3579" i="1"/>
  <c r="E3579" i="1"/>
  <c r="H3578" i="1"/>
  <c r="G3578" i="1"/>
  <c r="E3578" i="1"/>
  <c r="H3577" i="1"/>
  <c r="G3577" i="1"/>
  <c r="E3577" i="1"/>
  <c r="H3576" i="1"/>
  <c r="G3576" i="1"/>
  <c r="E3576" i="1"/>
  <c r="H3575" i="1"/>
  <c r="G3575" i="1"/>
  <c r="E3575" i="1"/>
  <c r="H3574" i="1"/>
  <c r="G3574" i="1"/>
  <c r="E3574" i="1"/>
  <c r="H3573" i="1"/>
  <c r="G3573" i="1"/>
  <c r="E3573" i="1"/>
  <c r="H3572" i="1"/>
  <c r="G3572" i="1"/>
  <c r="E3572" i="1"/>
  <c r="H3571" i="1"/>
  <c r="G3571" i="1"/>
  <c r="E3571" i="1"/>
  <c r="H3570" i="1"/>
  <c r="G3570" i="1"/>
  <c r="E3570" i="1"/>
  <c r="H3569" i="1"/>
  <c r="G3569" i="1"/>
  <c r="E3569" i="1"/>
  <c r="H3568" i="1"/>
  <c r="G3568" i="1"/>
  <c r="E3568" i="1"/>
  <c r="H3567" i="1"/>
  <c r="G3567" i="1"/>
  <c r="E3567" i="1"/>
  <c r="H3566" i="1"/>
  <c r="G3566" i="1"/>
  <c r="E3566" i="1"/>
  <c r="H3565" i="1"/>
  <c r="G3565" i="1"/>
  <c r="E3565" i="1"/>
  <c r="H3564" i="1"/>
  <c r="G3564" i="1"/>
  <c r="E3564" i="1"/>
  <c r="H3563" i="1"/>
  <c r="G3563" i="1"/>
  <c r="E3563" i="1"/>
  <c r="H3562" i="1"/>
  <c r="G3562" i="1"/>
  <c r="E3562" i="1"/>
  <c r="H3561" i="1"/>
  <c r="G3561" i="1"/>
  <c r="E3561" i="1"/>
  <c r="H3560" i="1"/>
  <c r="G3560" i="1"/>
  <c r="E3560" i="1"/>
  <c r="H3559" i="1"/>
  <c r="G3559" i="1"/>
  <c r="E3559" i="1"/>
  <c r="H3558" i="1"/>
  <c r="G3558" i="1"/>
  <c r="E3558" i="1"/>
  <c r="H3557" i="1"/>
  <c r="G3557" i="1"/>
  <c r="E3557" i="1"/>
  <c r="H3556" i="1"/>
  <c r="G3556" i="1"/>
  <c r="E3556" i="1"/>
  <c r="H3555" i="1"/>
  <c r="G3555" i="1"/>
  <c r="E3555" i="1"/>
  <c r="H3554" i="1"/>
  <c r="G3554" i="1"/>
  <c r="E3554" i="1"/>
  <c r="H3553" i="1"/>
  <c r="G3553" i="1"/>
  <c r="E3553" i="1"/>
  <c r="H3552" i="1"/>
  <c r="G3552" i="1"/>
  <c r="E3552" i="1"/>
  <c r="H3551" i="1"/>
  <c r="G3551" i="1"/>
  <c r="E3551" i="1"/>
  <c r="H3550" i="1"/>
  <c r="G3550" i="1"/>
  <c r="E3550" i="1"/>
  <c r="H3549" i="1"/>
  <c r="G3549" i="1"/>
  <c r="E3549" i="1"/>
  <c r="H3548" i="1"/>
  <c r="G3548" i="1"/>
  <c r="E3548" i="1"/>
  <c r="H3547" i="1"/>
  <c r="G3547" i="1"/>
  <c r="E3547" i="1"/>
  <c r="H3546" i="1"/>
  <c r="G3546" i="1"/>
  <c r="E3546" i="1"/>
  <c r="H3545" i="1"/>
  <c r="G3545" i="1"/>
  <c r="E3545" i="1"/>
  <c r="H3544" i="1"/>
  <c r="G3544" i="1"/>
  <c r="E3544" i="1"/>
  <c r="H3543" i="1"/>
  <c r="G3543" i="1"/>
  <c r="E3543" i="1"/>
  <c r="H3542" i="1"/>
  <c r="G3542" i="1"/>
  <c r="E3542" i="1"/>
  <c r="H3541" i="1"/>
  <c r="G3541" i="1"/>
  <c r="E3541" i="1"/>
  <c r="H3540" i="1"/>
  <c r="G3540" i="1"/>
  <c r="E3540" i="1"/>
  <c r="H3539" i="1"/>
  <c r="G3539" i="1"/>
  <c r="E3539" i="1"/>
  <c r="H3538" i="1"/>
  <c r="G3538" i="1"/>
  <c r="E3538" i="1"/>
  <c r="H3537" i="1"/>
  <c r="G3537" i="1"/>
  <c r="E3537" i="1"/>
  <c r="H3536" i="1"/>
  <c r="G3536" i="1"/>
  <c r="E3536" i="1"/>
  <c r="H3535" i="1"/>
  <c r="G3535" i="1"/>
  <c r="E3535" i="1"/>
  <c r="H3534" i="1"/>
  <c r="G3534" i="1"/>
  <c r="E3534" i="1"/>
  <c r="H3533" i="1"/>
  <c r="G3533" i="1"/>
  <c r="E3533" i="1"/>
  <c r="H3532" i="1"/>
  <c r="G3532" i="1"/>
  <c r="E3532" i="1"/>
  <c r="H3531" i="1"/>
  <c r="G3531" i="1"/>
  <c r="E3531" i="1"/>
  <c r="H3530" i="1"/>
  <c r="G3530" i="1"/>
  <c r="E3530" i="1"/>
  <c r="H3529" i="1"/>
  <c r="G3529" i="1"/>
  <c r="E3529" i="1"/>
  <c r="H3528" i="1"/>
  <c r="G3528" i="1"/>
  <c r="E3528" i="1"/>
  <c r="H3527" i="1"/>
  <c r="G3527" i="1"/>
  <c r="E3527" i="1"/>
  <c r="H3526" i="1"/>
  <c r="G3526" i="1"/>
  <c r="E3526" i="1"/>
  <c r="H3525" i="1"/>
  <c r="G3525" i="1"/>
  <c r="E3525" i="1"/>
  <c r="H3524" i="1"/>
  <c r="G3524" i="1"/>
  <c r="E3524" i="1"/>
  <c r="H3523" i="1"/>
  <c r="G3523" i="1"/>
  <c r="E3523" i="1"/>
  <c r="H3522" i="1"/>
  <c r="G3522" i="1"/>
  <c r="E3522" i="1"/>
  <c r="H3521" i="1"/>
  <c r="G3521" i="1"/>
  <c r="E3521" i="1"/>
  <c r="H3520" i="1"/>
  <c r="G3520" i="1"/>
  <c r="E3520" i="1"/>
  <c r="H3519" i="1"/>
  <c r="G3519" i="1"/>
  <c r="E3519" i="1"/>
  <c r="H3518" i="1"/>
  <c r="G3518" i="1"/>
  <c r="E3518" i="1"/>
  <c r="H3517" i="1"/>
  <c r="G3517" i="1"/>
  <c r="E3517" i="1"/>
  <c r="H3516" i="1"/>
  <c r="G3516" i="1"/>
  <c r="E3516" i="1"/>
  <c r="H3515" i="1"/>
  <c r="G3515" i="1"/>
  <c r="E3515" i="1"/>
  <c r="H3514" i="1"/>
  <c r="G3514" i="1"/>
  <c r="E3514" i="1"/>
  <c r="H3513" i="1"/>
  <c r="G3513" i="1"/>
  <c r="E3513" i="1"/>
  <c r="H3512" i="1"/>
  <c r="G3512" i="1"/>
  <c r="E3512" i="1"/>
  <c r="H3511" i="1"/>
  <c r="G3511" i="1"/>
  <c r="E3511" i="1"/>
  <c r="H3510" i="1"/>
  <c r="G3510" i="1"/>
  <c r="E3510" i="1"/>
  <c r="H3509" i="1"/>
  <c r="G3509" i="1"/>
  <c r="E3509" i="1"/>
  <c r="H3508" i="1"/>
  <c r="G3508" i="1"/>
  <c r="E3508" i="1"/>
  <c r="H3507" i="1"/>
  <c r="G3507" i="1"/>
  <c r="E3507" i="1"/>
  <c r="H3506" i="1"/>
  <c r="G3506" i="1"/>
  <c r="E3506" i="1"/>
  <c r="H3505" i="1"/>
  <c r="G3505" i="1"/>
  <c r="E3505" i="1"/>
  <c r="H3504" i="1"/>
  <c r="G3504" i="1"/>
  <c r="E3504" i="1"/>
  <c r="H3503" i="1"/>
  <c r="G3503" i="1"/>
  <c r="E3503" i="1"/>
  <c r="H3502" i="1"/>
  <c r="G3502" i="1"/>
  <c r="E3502" i="1"/>
  <c r="H3501" i="1"/>
  <c r="G3501" i="1"/>
  <c r="E3501" i="1"/>
  <c r="H3500" i="1"/>
  <c r="G3500" i="1"/>
  <c r="E3500" i="1"/>
  <c r="H3499" i="1"/>
  <c r="G3499" i="1"/>
  <c r="E3499" i="1"/>
  <c r="H3498" i="1"/>
  <c r="G3498" i="1"/>
  <c r="E3498" i="1"/>
  <c r="H3497" i="1"/>
  <c r="G3497" i="1"/>
  <c r="E3497" i="1"/>
  <c r="H3496" i="1"/>
  <c r="G3496" i="1"/>
  <c r="E3496" i="1"/>
  <c r="H3495" i="1"/>
  <c r="G3495" i="1"/>
  <c r="E3495" i="1"/>
  <c r="H3494" i="1"/>
  <c r="G3494" i="1"/>
  <c r="E3494" i="1"/>
  <c r="H3493" i="1"/>
  <c r="G3493" i="1"/>
  <c r="E3493" i="1"/>
  <c r="H3492" i="1"/>
  <c r="G3492" i="1"/>
  <c r="E3492" i="1"/>
  <c r="H3491" i="1"/>
  <c r="G3491" i="1"/>
  <c r="E3491" i="1"/>
  <c r="H3490" i="1"/>
  <c r="G3490" i="1"/>
  <c r="E3490" i="1"/>
  <c r="H3489" i="1"/>
  <c r="G3489" i="1"/>
  <c r="E3489" i="1"/>
  <c r="H3488" i="1"/>
  <c r="G3488" i="1"/>
  <c r="E3488" i="1"/>
  <c r="H3487" i="1"/>
  <c r="G3487" i="1"/>
  <c r="E3487" i="1"/>
  <c r="H3486" i="1"/>
  <c r="G3486" i="1"/>
  <c r="E3486" i="1"/>
  <c r="H3485" i="1"/>
  <c r="G3485" i="1"/>
  <c r="E3485" i="1"/>
  <c r="H3484" i="1"/>
  <c r="G3484" i="1"/>
  <c r="E3484" i="1"/>
  <c r="H3483" i="1"/>
  <c r="G3483" i="1"/>
  <c r="E3483" i="1"/>
  <c r="H3482" i="1"/>
  <c r="G3482" i="1"/>
  <c r="E3482" i="1"/>
  <c r="H3481" i="1"/>
  <c r="G3481" i="1"/>
  <c r="E3481" i="1"/>
  <c r="H3480" i="1"/>
  <c r="G3480" i="1"/>
  <c r="E3480" i="1"/>
  <c r="H3479" i="1"/>
  <c r="G3479" i="1"/>
  <c r="E3479" i="1"/>
  <c r="H3478" i="1"/>
  <c r="G3478" i="1"/>
  <c r="E3478" i="1"/>
  <c r="H3477" i="1"/>
  <c r="G3477" i="1"/>
  <c r="E3477" i="1"/>
  <c r="H3476" i="1"/>
  <c r="G3476" i="1"/>
  <c r="E3476" i="1"/>
  <c r="H3475" i="1"/>
  <c r="G3475" i="1"/>
  <c r="E3475" i="1"/>
  <c r="H3474" i="1"/>
  <c r="G3474" i="1"/>
  <c r="E3474" i="1"/>
  <c r="H3473" i="1"/>
  <c r="G3473" i="1"/>
  <c r="E3473" i="1"/>
  <c r="H3472" i="1"/>
  <c r="G3472" i="1"/>
  <c r="E3472" i="1"/>
  <c r="H3471" i="1"/>
  <c r="G3471" i="1"/>
  <c r="E3471" i="1"/>
  <c r="H3470" i="1"/>
  <c r="G3470" i="1"/>
  <c r="E3470" i="1"/>
  <c r="H3469" i="1"/>
  <c r="G3469" i="1"/>
  <c r="E3469" i="1"/>
  <c r="H3468" i="1"/>
  <c r="G3468" i="1"/>
  <c r="E3468" i="1"/>
  <c r="H3467" i="1"/>
  <c r="G3467" i="1"/>
  <c r="E3467" i="1"/>
  <c r="H3466" i="1"/>
  <c r="G3466" i="1"/>
  <c r="E3466" i="1"/>
  <c r="H3465" i="1"/>
  <c r="G3465" i="1"/>
  <c r="E3465" i="1"/>
  <c r="H3464" i="1"/>
  <c r="G3464" i="1"/>
  <c r="E3464" i="1"/>
  <c r="H3463" i="1"/>
  <c r="G3463" i="1"/>
  <c r="E3463" i="1"/>
  <c r="H3462" i="1"/>
  <c r="G3462" i="1"/>
  <c r="E3462" i="1"/>
  <c r="H3461" i="1"/>
  <c r="G3461" i="1"/>
  <c r="E3461" i="1"/>
  <c r="H3460" i="1"/>
  <c r="G3460" i="1"/>
  <c r="E3460" i="1"/>
  <c r="H3459" i="1"/>
  <c r="G3459" i="1"/>
  <c r="E3459" i="1"/>
  <c r="H3458" i="1"/>
  <c r="G3458" i="1"/>
  <c r="E3458" i="1"/>
  <c r="H3457" i="1"/>
  <c r="G3457" i="1"/>
  <c r="E3457" i="1"/>
  <c r="H3456" i="1"/>
  <c r="G3456" i="1"/>
  <c r="E3456" i="1"/>
  <c r="H3455" i="1"/>
  <c r="G3455" i="1"/>
  <c r="E3455" i="1"/>
  <c r="H3454" i="1"/>
  <c r="G3454" i="1"/>
  <c r="E3454" i="1"/>
  <c r="H3453" i="1"/>
  <c r="G3453" i="1"/>
  <c r="E3453" i="1"/>
  <c r="H3452" i="1"/>
  <c r="G3452" i="1"/>
  <c r="E3452" i="1"/>
  <c r="H3451" i="1"/>
  <c r="G3451" i="1"/>
  <c r="E3451" i="1"/>
  <c r="H3450" i="1"/>
  <c r="G3450" i="1"/>
  <c r="E3450" i="1"/>
  <c r="H3449" i="1"/>
  <c r="G3449" i="1"/>
  <c r="E3449" i="1"/>
  <c r="H3448" i="1"/>
  <c r="G3448" i="1"/>
  <c r="E3448" i="1"/>
  <c r="H3447" i="1"/>
  <c r="G3447" i="1"/>
  <c r="E3447" i="1"/>
  <c r="H3446" i="1"/>
  <c r="G3446" i="1"/>
  <c r="E3446" i="1"/>
  <c r="H3445" i="1"/>
  <c r="G3445" i="1"/>
  <c r="E3445" i="1"/>
  <c r="H3444" i="1"/>
  <c r="G3444" i="1"/>
  <c r="E3444" i="1"/>
  <c r="H3443" i="1"/>
  <c r="G3443" i="1"/>
  <c r="E3443" i="1"/>
  <c r="H3442" i="1"/>
  <c r="G3442" i="1"/>
  <c r="E3442" i="1"/>
  <c r="H3441" i="1"/>
  <c r="G3441" i="1"/>
  <c r="E3441" i="1"/>
  <c r="H3440" i="1"/>
  <c r="G3440" i="1"/>
  <c r="E3440" i="1"/>
  <c r="H3439" i="1"/>
  <c r="G3439" i="1"/>
  <c r="E3439" i="1"/>
  <c r="H3438" i="1"/>
  <c r="G3438" i="1"/>
  <c r="E3438" i="1"/>
  <c r="H3437" i="1"/>
  <c r="G3437" i="1"/>
  <c r="E3437" i="1"/>
  <c r="H3436" i="1"/>
  <c r="G3436" i="1"/>
  <c r="E3436" i="1"/>
  <c r="H3435" i="1"/>
  <c r="G3435" i="1"/>
  <c r="E3435" i="1"/>
  <c r="H3434" i="1"/>
  <c r="G3434" i="1"/>
  <c r="E3434" i="1"/>
  <c r="H3433" i="1"/>
  <c r="G3433" i="1"/>
  <c r="E3433" i="1"/>
  <c r="H3432" i="1"/>
  <c r="G3432" i="1"/>
  <c r="E3432" i="1"/>
  <c r="H3431" i="1"/>
  <c r="G3431" i="1"/>
  <c r="E3431" i="1"/>
  <c r="H3430" i="1"/>
  <c r="G3430" i="1"/>
  <c r="E3430" i="1"/>
  <c r="H3429" i="1"/>
  <c r="G3429" i="1"/>
  <c r="E3429" i="1"/>
  <c r="H3428" i="1"/>
  <c r="G3428" i="1"/>
  <c r="E3428" i="1"/>
  <c r="H3427" i="1"/>
  <c r="G3427" i="1"/>
  <c r="E3427" i="1"/>
  <c r="H3426" i="1"/>
  <c r="G3426" i="1"/>
  <c r="E3426" i="1"/>
  <c r="H3425" i="1"/>
  <c r="G3425" i="1"/>
  <c r="E3425" i="1"/>
  <c r="H3424" i="1"/>
  <c r="G3424" i="1"/>
  <c r="E3424" i="1"/>
  <c r="H3423" i="1"/>
  <c r="G3423" i="1"/>
  <c r="E3423" i="1"/>
  <c r="H3422" i="1"/>
  <c r="G3422" i="1"/>
  <c r="E3422" i="1"/>
  <c r="H3421" i="1"/>
  <c r="G3421" i="1"/>
  <c r="E3421" i="1"/>
  <c r="H3420" i="1"/>
  <c r="G3420" i="1"/>
  <c r="E3420" i="1"/>
  <c r="H3419" i="1"/>
  <c r="G3419" i="1"/>
  <c r="E3419" i="1"/>
  <c r="H3418" i="1"/>
  <c r="G3418" i="1"/>
  <c r="E3418" i="1"/>
  <c r="H3417" i="1"/>
  <c r="G3417" i="1"/>
  <c r="E3417" i="1"/>
  <c r="H3416" i="1"/>
  <c r="G3416" i="1"/>
  <c r="E3416" i="1"/>
  <c r="H3415" i="1"/>
  <c r="G3415" i="1"/>
  <c r="E3415" i="1"/>
  <c r="H3414" i="1"/>
  <c r="G3414" i="1"/>
  <c r="E3414" i="1"/>
  <c r="H3413" i="1"/>
  <c r="G3413" i="1"/>
  <c r="E3413" i="1"/>
  <c r="H3412" i="1"/>
  <c r="G3412" i="1"/>
  <c r="E3412" i="1"/>
  <c r="H3411" i="1"/>
  <c r="G3411" i="1"/>
  <c r="E3411" i="1"/>
  <c r="H3410" i="1"/>
  <c r="G3410" i="1"/>
  <c r="E3410" i="1"/>
  <c r="H3409" i="1"/>
  <c r="G3409" i="1"/>
  <c r="E3409" i="1"/>
  <c r="H3408" i="1"/>
  <c r="G3408" i="1"/>
  <c r="E3408" i="1"/>
  <c r="H3407" i="1"/>
  <c r="G3407" i="1"/>
  <c r="E3407" i="1"/>
  <c r="H3406" i="1"/>
  <c r="G3406" i="1"/>
  <c r="E3406" i="1"/>
  <c r="H3405" i="1"/>
  <c r="G3405" i="1"/>
  <c r="E3405" i="1"/>
  <c r="H3404" i="1"/>
  <c r="G3404" i="1"/>
  <c r="E3404" i="1"/>
  <c r="H3403" i="1"/>
  <c r="G3403" i="1"/>
  <c r="E3403" i="1"/>
  <c r="H3402" i="1"/>
  <c r="G3402" i="1"/>
  <c r="E3402" i="1"/>
  <c r="H3401" i="1"/>
  <c r="G3401" i="1"/>
  <c r="E3401" i="1"/>
  <c r="H3400" i="1"/>
  <c r="G3400" i="1"/>
  <c r="E3400" i="1"/>
  <c r="H3399" i="1"/>
  <c r="G3399" i="1"/>
  <c r="E3399" i="1"/>
  <c r="H3398" i="1"/>
  <c r="G3398" i="1"/>
  <c r="E3398" i="1"/>
  <c r="H3397" i="1"/>
  <c r="G3397" i="1"/>
  <c r="E3397" i="1"/>
  <c r="H3396" i="1"/>
  <c r="G3396" i="1"/>
  <c r="E3396" i="1"/>
  <c r="H3395" i="1"/>
  <c r="G3395" i="1"/>
  <c r="E3395" i="1"/>
  <c r="H3394" i="1"/>
  <c r="G3394" i="1"/>
  <c r="E3394" i="1"/>
  <c r="H3393" i="1"/>
  <c r="G3393" i="1"/>
  <c r="E3393" i="1"/>
  <c r="H3392" i="1"/>
  <c r="G3392" i="1"/>
  <c r="E3392" i="1"/>
  <c r="H3391" i="1"/>
  <c r="G3391" i="1"/>
  <c r="E3391" i="1"/>
  <c r="H3390" i="1"/>
  <c r="G3390" i="1"/>
  <c r="E3390" i="1"/>
  <c r="H3389" i="1"/>
  <c r="G3389" i="1"/>
  <c r="E3389" i="1"/>
  <c r="H3388" i="1"/>
  <c r="G3388" i="1"/>
  <c r="E3388" i="1"/>
  <c r="H3387" i="1"/>
  <c r="G3387" i="1"/>
  <c r="E3387" i="1"/>
  <c r="H3386" i="1"/>
  <c r="G3386" i="1"/>
  <c r="E3386" i="1"/>
  <c r="H3385" i="1"/>
  <c r="G3385" i="1"/>
  <c r="E3385" i="1"/>
  <c r="H3384" i="1"/>
  <c r="G3384" i="1"/>
  <c r="E3384" i="1"/>
  <c r="H3383" i="1"/>
  <c r="G3383" i="1"/>
  <c r="E3383" i="1"/>
  <c r="H3382" i="1"/>
  <c r="G3382" i="1"/>
  <c r="E3382" i="1"/>
  <c r="H3381" i="1"/>
  <c r="G3381" i="1"/>
  <c r="E3381" i="1"/>
  <c r="H3380" i="1"/>
  <c r="G3380" i="1"/>
  <c r="E3380" i="1"/>
  <c r="H3379" i="1"/>
  <c r="G3379" i="1"/>
  <c r="E3379" i="1"/>
  <c r="H3378" i="1"/>
  <c r="G3378" i="1"/>
  <c r="E3378" i="1"/>
  <c r="H3377" i="1"/>
  <c r="G3377" i="1"/>
  <c r="E3377" i="1"/>
  <c r="H3376" i="1"/>
  <c r="G3376" i="1"/>
  <c r="E3376" i="1"/>
  <c r="H3375" i="1"/>
  <c r="G3375" i="1"/>
  <c r="E3375" i="1"/>
  <c r="H3374" i="1"/>
  <c r="G3374" i="1"/>
  <c r="E3374" i="1"/>
  <c r="H3373" i="1"/>
  <c r="G3373" i="1"/>
  <c r="E3373" i="1"/>
  <c r="H3372" i="1"/>
  <c r="G3372" i="1"/>
  <c r="E3372" i="1"/>
  <c r="H3371" i="1"/>
  <c r="G3371" i="1"/>
  <c r="E3371" i="1"/>
  <c r="H3370" i="1"/>
  <c r="G3370" i="1"/>
  <c r="E3370" i="1"/>
  <c r="H3369" i="1"/>
  <c r="G3369" i="1"/>
  <c r="E3369" i="1"/>
  <c r="H3368" i="1"/>
  <c r="G3368" i="1"/>
  <c r="E3368" i="1"/>
  <c r="H3367" i="1"/>
  <c r="G3367" i="1"/>
  <c r="E3367" i="1"/>
  <c r="H3366" i="1"/>
  <c r="G3366" i="1"/>
  <c r="E3366" i="1"/>
  <c r="H3365" i="1"/>
  <c r="G3365" i="1"/>
  <c r="E3365" i="1"/>
  <c r="H3364" i="1"/>
  <c r="G3364" i="1"/>
  <c r="E3364" i="1"/>
  <c r="H3363" i="1"/>
  <c r="G3363" i="1"/>
  <c r="E3363" i="1"/>
  <c r="H3362" i="1"/>
  <c r="G3362" i="1"/>
  <c r="E3362" i="1"/>
  <c r="H3361" i="1"/>
  <c r="G3361" i="1"/>
  <c r="E3361" i="1"/>
  <c r="H3360" i="1"/>
  <c r="G3360" i="1"/>
  <c r="E3360" i="1"/>
  <c r="H3359" i="1"/>
  <c r="G3359" i="1"/>
  <c r="E3359" i="1"/>
  <c r="H3358" i="1"/>
  <c r="G3358" i="1"/>
  <c r="E3358" i="1"/>
  <c r="H3357" i="1"/>
  <c r="G3357" i="1"/>
  <c r="E3357" i="1"/>
  <c r="H3356" i="1"/>
  <c r="G3356" i="1"/>
  <c r="E3356" i="1"/>
  <c r="H3355" i="1"/>
  <c r="G3355" i="1"/>
  <c r="E3355" i="1"/>
  <c r="H3354" i="1"/>
  <c r="G3354" i="1"/>
  <c r="E3354" i="1"/>
  <c r="H3353" i="1"/>
  <c r="G3353" i="1"/>
  <c r="E3353" i="1"/>
  <c r="H3352" i="1"/>
  <c r="G3352" i="1"/>
  <c r="E3352" i="1"/>
  <c r="H3351" i="1"/>
  <c r="G3351" i="1"/>
  <c r="E3351" i="1"/>
  <c r="H3350" i="1"/>
  <c r="G3350" i="1"/>
  <c r="E3350" i="1"/>
  <c r="H3349" i="1"/>
  <c r="G3349" i="1"/>
  <c r="E3349" i="1"/>
  <c r="H3348" i="1"/>
  <c r="G3348" i="1"/>
  <c r="E3348" i="1"/>
  <c r="H3347" i="1"/>
  <c r="G3347" i="1"/>
  <c r="E3347" i="1"/>
  <c r="H3346" i="1"/>
  <c r="G3346" i="1"/>
  <c r="E3346" i="1"/>
  <c r="H3345" i="1"/>
  <c r="G3345" i="1"/>
  <c r="E3345" i="1"/>
  <c r="H3344" i="1"/>
  <c r="G3344" i="1"/>
  <c r="E3344" i="1"/>
  <c r="H3343" i="1"/>
  <c r="G3343" i="1"/>
  <c r="E3343" i="1"/>
  <c r="H3342" i="1"/>
  <c r="G3342" i="1"/>
  <c r="E3342" i="1"/>
  <c r="H3341" i="1"/>
  <c r="G3341" i="1"/>
  <c r="E3341" i="1"/>
  <c r="H3340" i="1"/>
  <c r="G3340" i="1"/>
  <c r="E3340" i="1"/>
  <c r="H3339" i="1"/>
  <c r="G3339" i="1"/>
  <c r="E3339" i="1"/>
  <c r="H3338" i="1"/>
  <c r="G3338" i="1"/>
  <c r="E3338" i="1"/>
  <c r="H3337" i="1"/>
  <c r="G3337" i="1"/>
  <c r="E3337" i="1"/>
  <c r="H3336" i="1"/>
  <c r="G3336" i="1"/>
  <c r="E3336" i="1"/>
  <c r="H3335" i="1"/>
  <c r="G3335" i="1"/>
  <c r="E3335" i="1"/>
  <c r="H3334" i="1"/>
  <c r="G3334" i="1"/>
  <c r="E3334" i="1"/>
  <c r="H3333" i="1"/>
  <c r="G3333" i="1"/>
  <c r="E3333" i="1"/>
  <c r="H3332" i="1"/>
  <c r="G3332" i="1"/>
  <c r="E3332" i="1"/>
  <c r="H3331" i="1"/>
  <c r="G3331" i="1"/>
  <c r="E3331" i="1"/>
  <c r="H3330" i="1"/>
  <c r="G3330" i="1"/>
  <c r="E3330" i="1"/>
  <c r="H3329" i="1"/>
  <c r="G3329" i="1"/>
  <c r="E3329" i="1"/>
  <c r="H3328" i="1"/>
  <c r="G3328" i="1"/>
  <c r="E3328" i="1"/>
  <c r="H3327" i="1"/>
  <c r="G3327" i="1"/>
  <c r="E3327" i="1"/>
  <c r="H3326" i="1"/>
  <c r="G3326" i="1"/>
  <c r="E3326" i="1"/>
  <c r="H3325" i="1"/>
  <c r="G3325" i="1"/>
  <c r="E3325" i="1"/>
  <c r="H3324" i="1"/>
  <c r="G3324" i="1"/>
  <c r="E3324" i="1"/>
  <c r="H3323" i="1"/>
  <c r="G3323" i="1"/>
  <c r="E3323" i="1"/>
  <c r="H3322" i="1"/>
  <c r="G3322" i="1"/>
  <c r="E3322" i="1"/>
  <c r="H3321" i="1"/>
  <c r="G3321" i="1"/>
  <c r="E3321" i="1"/>
  <c r="H3320" i="1"/>
  <c r="G3320" i="1"/>
  <c r="E3320" i="1"/>
  <c r="H3319" i="1"/>
  <c r="G3319" i="1"/>
  <c r="E3319" i="1"/>
  <c r="H3318" i="1"/>
  <c r="G3318" i="1"/>
  <c r="E3318" i="1"/>
  <c r="H3317" i="1"/>
  <c r="G3317" i="1"/>
  <c r="E3317" i="1"/>
  <c r="H3316" i="1"/>
  <c r="G3316" i="1"/>
  <c r="E3316" i="1"/>
  <c r="H3315" i="1"/>
  <c r="G3315" i="1"/>
  <c r="E3315" i="1"/>
  <c r="H3314" i="1"/>
  <c r="G3314" i="1"/>
  <c r="E3314" i="1"/>
  <c r="H3313" i="1"/>
  <c r="G3313" i="1"/>
  <c r="E3313" i="1"/>
  <c r="H3312" i="1"/>
  <c r="G3312" i="1"/>
  <c r="E3312" i="1"/>
  <c r="H3311" i="1"/>
  <c r="G3311" i="1"/>
  <c r="E3311" i="1"/>
  <c r="H3310" i="1"/>
  <c r="G3310" i="1"/>
  <c r="E3310" i="1"/>
  <c r="H3309" i="1"/>
  <c r="G3309" i="1"/>
  <c r="E3309" i="1"/>
  <c r="H3308" i="1"/>
  <c r="G3308" i="1"/>
  <c r="E3308" i="1"/>
  <c r="H3307" i="1"/>
  <c r="G3307" i="1"/>
  <c r="E3307" i="1"/>
  <c r="H3306" i="1"/>
  <c r="G3306" i="1"/>
  <c r="E3306" i="1"/>
  <c r="H3305" i="1"/>
  <c r="G3305" i="1"/>
  <c r="E3305" i="1"/>
  <c r="H3304" i="1"/>
  <c r="G3304" i="1"/>
  <c r="E3304" i="1"/>
  <c r="H3303" i="1"/>
  <c r="G3303" i="1"/>
  <c r="E3303" i="1"/>
  <c r="H3302" i="1"/>
  <c r="G3302" i="1"/>
  <c r="E3302" i="1"/>
  <c r="H3301" i="1"/>
  <c r="G3301" i="1"/>
  <c r="E3301" i="1"/>
  <c r="H3300" i="1"/>
  <c r="G3300" i="1"/>
  <c r="E3300" i="1"/>
  <c r="H3299" i="1"/>
  <c r="G3299" i="1"/>
  <c r="E3299" i="1"/>
  <c r="H3298" i="1"/>
  <c r="G3298" i="1"/>
  <c r="E3298" i="1"/>
  <c r="H3297" i="1"/>
  <c r="G3297" i="1"/>
  <c r="E3297" i="1"/>
  <c r="H3296" i="1"/>
  <c r="G3296" i="1"/>
  <c r="E3296" i="1"/>
  <c r="H3295" i="1"/>
  <c r="G3295" i="1"/>
  <c r="E3295" i="1"/>
  <c r="H3294" i="1"/>
  <c r="G3294" i="1"/>
  <c r="E3294" i="1"/>
  <c r="H3293" i="1"/>
  <c r="G3293" i="1"/>
  <c r="E3293" i="1"/>
  <c r="H3292" i="1"/>
  <c r="G3292" i="1"/>
  <c r="E3292" i="1"/>
  <c r="H3291" i="1"/>
  <c r="G3291" i="1"/>
  <c r="E3291" i="1"/>
  <c r="H3290" i="1"/>
  <c r="G3290" i="1"/>
  <c r="E3290" i="1"/>
  <c r="H3289" i="1"/>
  <c r="G3289" i="1"/>
  <c r="E3289" i="1"/>
  <c r="H3288" i="1"/>
  <c r="G3288" i="1"/>
  <c r="E3288" i="1"/>
  <c r="H3287" i="1"/>
  <c r="G3287" i="1"/>
  <c r="E3287" i="1"/>
  <c r="H3286" i="1"/>
  <c r="G3286" i="1"/>
  <c r="E3286" i="1"/>
  <c r="H3285" i="1"/>
  <c r="G3285" i="1"/>
  <c r="E3285" i="1"/>
  <c r="H3284" i="1"/>
  <c r="G3284" i="1"/>
  <c r="E3284" i="1"/>
  <c r="H3283" i="1"/>
  <c r="G3283" i="1"/>
  <c r="E3283" i="1"/>
  <c r="H3282" i="1"/>
  <c r="G3282" i="1"/>
  <c r="E3282" i="1"/>
  <c r="H3281" i="1"/>
  <c r="G3281" i="1"/>
  <c r="E3281" i="1"/>
  <c r="H3280" i="1"/>
  <c r="G3280" i="1"/>
  <c r="E3280" i="1"/>
  <c r="H3279" i="1"/>
  <c r="G3279" i="1"/>
  <c r="E3279" i="1"/>
  <c r="H3278" i="1"/>
  <c r="G3278" i="1"/>
  <c r="E3278" i="1"/>
  <c r="H3277" i="1"/>
  <c r="G3277" i="1"/>
  <c r="E3277" i="1"/>
  <c r="H3276" i="1"/>
  <c r="G3276" i="1"/>
  <c r="E3276" i="1"/>
  <c r="H3275" i="1"/>
  <c r="G3275" i="1"/>
  <c r="E3275" i="1"/>
  <c r="H3274" i="1"/>
  <c r="G3274" i="1"/>
  <c r="E3274" i="1"/>
  <c r="H3273" i="1"/>
  <c r="G3273" i="1"/>
  <c r="E3273" i="1"/>
  <c r="H3272" i="1"/>
  <c r="G3272" i="1"/>
  <c r="E3272" i="1"/>
  <c r="H3271" i="1"/>
  <c r="G3271" i="1"/>
  <c r="E3271" i="1"/>
  <c r="H3270" i="1"/>
  <c r="G3270" i="1"/>
  <c r="E3270" i="1"/>
  <c r="H3269" i="1"/>
  <c r="G3269" i="1"/>
  <c r="E3269" i="1"/>
  <c r="H3268" i="1"/>
  <c r="G3268" i="1"/>
  <c r="E3268" i="1"/>
  <c r="H3267" i="1"/>
  <c r="G3267" i="1"/>
  <c r="E3267" i="1"/>
  <c r="H3266" i="1"/>
  <c r="G3266" i="1"/>
  <c r="E3266" i="1"/>
  <c r="H3265" i="1"/>
  <c r="G3265" i="1"/>
  <c r="E3265" i="1"/>
  <c r="H3264" i="1"/>
  <c r="G3264" i="1"/>
  <c r="E3264" i="1"/>
  <c r="H3263" i="1"/>
  <c r="G3263" i="1"/>
  <c r="E3263" i="1"/>
  <c r="H3262" i="1"/>
  <c r="G3262" i="1"/>
  <c r="E3262" i="1"/>
  <c r="H3261" i="1"/>
  <c r="G3261" i="1"/>
  <c r="E3261" i="1"/>
  <c r="H3260" i="1"/>
  <c r="G3260" i="1"/>
  <c r="E3260" i="1"/>
  <c r="H3259" i="1"/>
  <c r="G3259" i="1"/>
  <c r="E3259" i="1"/>
  <c r="H3258" i="1"/>
  <c r="G3258" i="1"/>
  <c r="E3258" i="1"/>
  <c r="H3257" i="1"/>
  <c r="G3257" i="1"/>
  <c r="E3257" i="1"/>
  <c r="H3256" i="1"/>
  <c r="G3256" i="1"/>
  <c r="E3256" i="1"/>
  <c r="H3255" i="1"/>
  <c r="G3255" i="1"/>
  <c r="E3255" i="1"/>
  <c r="H3254" i="1"/>
  <c r="G3254" i="1"/>
  <c r="E3254" i="1"/>
  <c r="H3253" i="1"/>
  <c r="G3253" i="1"/>
  <c r="E3253" i="1"/>
  <c r="H3252" i="1"/>
  <c r="G3252" i="1"/>
  <c r="E3252" i="1"/>
  <c r="H3251" i="1"/>
  <c r="G3251" i="1"/>
  <c r="E3251" i="1"/>
  <c r="H3250" i="1"/>
  <c r="G3250" i="1"/>
  <c r="E3250" i="1"/>
  <c r="H3249" i="1"/>
  <c r="G3249" i="1"/>
  <c r="E3249" i="1"/>
  <c r="H3248" i="1"/>
  <c r="G3248" i="1"/>
  <c r="E3248" i="1"/>
  <c r="H3247" i="1"/>
  <c r="G3247" i="1"/>
  <c r="E3247" i="1"/>
  <c r="H3246" i="1"/>
  <c r="G3246" i="1"/>
  <c r="E3246" i="1"/>
  <c r="H3245" i="1"/>
  <c r="G3245" i="1"/>
  <c r="E3245" i="1"/>
  <c r="H3244" i="1"/>
  <c r="G3244" i="1"/>
  <c r="E3244" i="1"/>
  <c r="H3243" i="1"/>
  <c r="G3243" i="1"/>
  <c r="E3243" i="1"/>
  <c r="H3242" i="1"/>
  <c r="G3242" i="1"/>
  <c r="E3242" i="1"/>
  <c r="H3241" i="1"/>
  <c r="G3241" i="1"/>
  <c r="E3241" i="1"/>
  <c r="H3240" i="1"/>
  <c r="G3240" i="1"/>
  <c r="E3240" i="1"/>
  <c r="H3239" i="1"/>
  <c r="G3239" i="1"/>
  <c r="E3239" i="1"/>
  <c r="H3238" i="1"/>
  <c r="G3238" i="1"/>
  <c r="E3238" i="1"/>
  <c r="H3237" i="1"/>
  <c r="G3237" i="1"/>
  <c r="E3237" i="1"/>
  <c r="H3236" i="1"/>
  <c r="G3236" i="1"/>
  <c r="E3236" i="1"/>
  <c r="H3235" i="1"/>
  <c r="G3235" i="1"/>
  <c r="E3235" i="1"/>
  <c r="H3234" i="1"/>
  <c r="G3234" i="1"/>
  <c r="E3234" i="1"/>
  <c r="H3233" i="1"/>
  <c r="G3233" i="1"/>
  <c r="E3233" i="1"/>
  <c r="H3232" i="1"/>
  <c r="G3232" i="1"/>
  <c r="E3232" i="1"/>
  <c r="H3231" i="1"/>
  <c r="G3231" i="1"/>
  <c r="E3231" i="1"/>
  <c r="H3230" i="1"/>
  <c r="G3230" i="1"/>
  <c r="E3230" i="1"/>
  <c r="H3229" i="1"/>
  <c r="G3229" i="1"/>
  <c r="E3229" i="1"/>
  <c r="H3228" i="1"/>
  <c r="G3228" i="1"/>
  <c r="E3228" i="1"/>
  <c r="H3227" i="1"/>
  <c r="G3227" i="1"/>
  <c r="E3227" i="1"/>
  <c r="H3226" i="1"/>
  <c r="G3226" i="1"/>
  <c r="E3226" i="1"/>
  <c r="H3225" i="1"/>
  <c r="G3225" i="1"/>
  <c r="E3225" i="1"/>
  <c r="H3224" i="1"/>
  <c r="G3224" i="1"/>
  <c r="E3224" i="1"/>
  <c r="H3223" i="1"/>
  <c r="G3223" i="1"/>
  <c r="E3223" i="1"/>
  <c r="H3222" i="1"/>
  <c r="G3222" i="1"/>
  <c r="E3222" i="1"/>
  <c r="H3221" i="1"/>
  <c r="G3221" i="1"/>
  <c r="E3221" i="1"/>
  <c r="H3220" i="1"/>
  <c r="G3220" i="1"/>
  <c r="E3220" i="1"/>
  <c r="H3219" i="1"/>
  <c r="G3219" i="1"/>
  <c r="E3219" i="1"/>
  <c r="H3218" i="1"/>
  <c r="G3218" i="1"/>
  <c r="E3218" i="1"/>
  <c r="H3217" i="1"/>
  <c r="G3217" i="1"/>
  <c r="E3217" i="1"/>
  <c r="H3216" i="1"/>
  <c r="G3216" i="1"/>
  <c r="E3216" i="1"/>
  <c r="H3215" i="1"/>
  <c r="G3215" i="1"/>
  <c r="E3215" i="1"/>
  <c r="H3214" i="1"/>
  <c r="G3214" i="1"/>
  <c r="E3214" i="1"/>
  <c r="H3213" i="1"/>
  <c r="G3213" i="1"/>
  <c r="E3213" i="1"/>
  <c r="H3212" i="1"/>
  <c r="G3212" i="1"/>
  <c r="E3212" i="1"/>
  <c r="H3211" i="1"/>
  <c r="G3211" i="1"/>
  <c r="E3211" i="1"/>
  <c r="H3210" i="1"/>
  <c r="G3210" i="1"/>
  <c r="E3210" i="1"/>
  <c r="H3209" i="1"/>
  <c r="G3209" i="1"/>
  <c r="E3209" i="1"/>
  <c r="H3208" i="1"/>
  <c r="G3208" i="1"/>
  <c r="E3208" i="1"/>
  <c r="H3207" i="1"/>
  <c r="G3207" i="1"/>
  <c r="E3207" i="1"/>
  <c r="H3206" i="1"/>
  <c r="G3206" i="1"/>
  <c r="E3206" i="1"/>
  <c r="H3205" i="1"/>
  <c r="G3205" i="1"/>
  <c r="E3205" i="1"/>
  <c r="H3204" i="1"/>
  <c r="G3204" i="1"/>
  <c r="E3204" i="1"/>
  <c r="H3203" i="1"/>
  <c r="G3203" i="1"/>
  <c r="E3203" i="1"/>
  <c r="H3202" i="1"/>
  <c r="G3202" i="1"/>
  <c r="E3202" i="1"/>
  <c r="H3201" i="1"/>
  <c r="G3201" i="1"/>
  <c r="E3201" i="1"/>
  <c r="H3200" i="1"/>
  <c r="G3200" i="1"/>
  <c r="E3200" i="1"/>
  <c r="H3199" i="1"/>
  <c r="G3199" i="1"/>
  <c r="E3199" i="1"/>
  <c r="H3198" i="1"/>
  <c r="G3198" i="1"/>
  <c r="E3198" i="1"/>
  <c r="H3197" i="1"/>
  <c r="G3197" i="1"/>
  <c r="E3197" i="1"/>
  <c r="H3196" i="1"/>
  <c r="G3196" i="1"/>
  <c r="E3196" i="1"/>
  <c r="H3195" i="1"/>
  <c r="G3195" i="1"/>
  <c r="E3195" i="1"/>
  <c r="H3194" i="1"/>
  <c r="G3194" i="1"/>
  <c r="E3194" i="1"/>
  <c r="H3193" i="1"/>
  <c r="G3193" i="1"/>
  <c r="E3193" i="1"/>
  <c r="H3192" i="1"/>
  <c r="G3192" i="1"/>
  <c r="E3192" i="1"/>
  <c r="H3191" i="1"/>
  <c r="G3191" i="1"/>
  <c r="E3191" i="1"/>
  <c r="H3190" i="1"/>
  <c r="G3190" i="1"/>
  <c r="E3190" i="1"/>
  <c r="H3189" i="1"/>
  <c r="G3189" i="1"/>
  <c r="E3189" i="1"/>
  <c r="H3188" i="1"/>
  <c r="G3188" i="1"/>
  <c r="E3188" i="1"/>
  <c r="H3187" i="1"/>
  <c r="G3187" i="1"/>
  <c r="E3187" i="1"/>
  <c r="H3186" i="1"/>
  <c r="G3186" i="1"/>
  <c r="E3186" i="1"/>
  <c r="H3185" i="1"/>
  <c r="G3185" i="1"/>
  <c r="E3185" i="1"/>
  <c r="H3184" i="1"/>
  <c r="G3184" i="1"/>
  <c r="E3184" i="1"/>
  <c r="H3183" i="1"/>
  <c r="G3183" i="1"/>
  <c r="E3183" i="1"/>
  <c r="H3182" i="1"/>
  <c r="G3182" i="1"/>
  <c r="E3182" i="1"/>
  <c r="H3181" i="1"/>
  <c r="G3181" i="1"/>
  <c r="E3181" i="1"/>
  <c r="H3180" i="1"/>
  <c r="G3180" i="1"/>
  <c r="E3180" i="1"/>
  <c r="H3179" i="1"/>
  <c r="G3179" i="1"/>
  <c r="E3179" i="1"/>
  <c r="H3178" i="1"/>
  <c r="G3178" i="1"/>
  <c r="E3178" i="1"/>
  <c r="H3177" i="1"/>
  <c r="G3177" i="1"/>
  <c r="E3177" i="1"/>
  <c r="H3176" i="1"/>
  <c r="G3176" i="1"/>
  <c r="E3176" i="1"/>
  <c r="H3175" i="1"/>
  <c r="G3175" i="1"/>
  <c r="E3175" i="1"/>
  <c r="H3174" i="1"/>
  <c r="G3174" i="1"/>
  <c r="E3174" i="1"/>
  <c r="H3173" i="1"/>
  <c r="G3173" i="1"/>
  <c r="E3173" i="1"/>
  <c r="H3172" i="1"/>
  <c r="G3172" i="1"/>
  <c r="E3172" i="1"/>
  <c r="H3171" i="1"/>
  <c r="G3171" i="1"/>
  <c r="E3171" i="1"/>
  <c r="H3170" i="1"/>
  <c r="G3170" i="1"/>
  <c r="E3170" i="1"/>
  <c r="H3169" i="1"/>
  <c r="G3169" i="1"/>
  <c r="E3169" i="1"/>
  <c r="H3168" i="1"/>
  <c r="G3168" i="1"/>
  <c r="E3168" i="1"/>
  <c r="H3167" i="1"/>
  <c r="G3167" i="1"/>
  <c r="E3167" i="1"/>
  <c r="H3166" i="1"/>
  <c r="G3166" i="1"/>
  <c r="E3166" i="1"/>
  <c r="H3165" i="1"/>
  <c r="G3165" i="1"/>
  <c r="E3165" i="1"/>
  <c r="H3164" i="1"/>
  <c r="G3164" i="1"/>
  <c r="E3164" i="1"/>
  <c r="H3163" i="1"/>
  <c r="G3163" i="1"/>
  <c r="E3163" i="1"/>
  <c r="H3162" i="1"/>
  <c r="G3162" i="1"/>
  <c r="E3162" i="1"/>
  <c r="H3161" i="1"/>
  <c r="G3161" i="1"/>
  <c r="E3161" i="1"/>
  <c r="H3160" i="1"/>
  <c r="G3160" i="1"/>
  <c r="E3160" i="1"/>
  <c r="H3159" i="1"/>
  <c r="G3159" i="1"/>
  <c r="E3159" i="1"/>
  <c r="H3158" i="1"/>
  <c r="G3158" i="1"/>
  <c r="E3158" i="1"/>
  <c r="H3157" i="1"/>
  <c r="G3157" i="1"/>
  <c r="E3157" i="1"/>
  <c r="H3156" i="1"/>
  <c r="G3156" i="1"/>
  <c r="E3156" i="1"/>
  <c r="H3155" i="1"/>
  <c r="G3155" i="1"/>
  <c r="E3155" i="1"/>
  <c r="H3154" i="1"/>
  <c r="G3154" i="1"/>
  <c r="E3154" i="1"/>
  <c r="H3153" i="1"/>
  <c r="G3153" i="1"/>
  <c r="E3153" i="1"/>
  <c r="H3152" i="1"/>
  <c r="G3152" i="1"/>
  <c r="E3152" i="1"/>
  <c r="H3151" i="1"/>
  <c r="G3151" i="1"/>
  <c r="E3151" i="1"/>
  <c r="H3150" i="1"/>
  <c r="G3150" i="1"/>
  <c r="E3150" i="1"/>
  <c r="H3149" i="1"/>
  <c r="G3149" i="1"/>
  <c r="E3149" i="1"/>
  <c r="H3148" i="1"/>
  <c r="G3148" i="1"/>
  <c r="E3148" i="1"/>
  <c r="H3147" i="1"/>
  <c r="G3147" i="1"/>
  <c r="E3147" i="1"/>
  <c r="H3146" i="1"/>
  <c r="G3146" i="1"/>
  <c r="E3146" i="1"/>
  <c r="H3145" i="1"/>
  <c r="G3145" i="1"/>
  <c r="E3145" i="1"/>
  <c r="H3144" i="1"/>
  <c r="G3144" i="1"/>
  <c r="E3144" i="1"/>
  <c r="H3143" i="1"/>
  <c r="G3143" i="1"/>
  <c r="E3143" i="1"/>
  <c r="H3142" i="1"/>
  <c r="G3142" i="1"/>
  <c r="E3142" i="1"/>
  <c r="H3141" i="1"/>
  <c r="G3141" i="1"/>
  <c r="E3141" i="1"/>
  <c r="H3140" i="1"/>
  <c r="G3140" i="1"/>
  <c r="E3140" i="1"/>
  <c r="H3139" i="1"/>
  <c r="G3139" i="1"/>
  <c r="E3139" i="1"/>
  <c r="H3138" i="1"/>
  <c r="G3138" i="1"/>
  <c r="E3138" i="1"/>
  <c r="H3137" i="1"/>
  <c r="G3137" i="1"/>
  <c r="E3137" i="1"/>
  <c r="H3136" i="1"/>
  <c r="G3136" i="1"/>
  <c r="E3136" i="1"/>
  <c r="H3135" i="1"/>
  <c r="G3135" i="1"/>
  <c r="E3135" i="1"/>
  <c r="H3134" i="1"/>
  <c r="G3134" i="1"/>
  <c r="E3134" i="1"/>
  <c r="H3133" i="1"/>
  <c r="G3133" i="1"/>
  <c r="E3133" i="1"/>
  <c r="H3132" i="1"/>
  <c r="G3132" i="1"/>
  <c r="E3132" i="1"/>
  <c r="H3131" i="1"/>
  <c r="G3131" i="1"/>
  <c r="E3131" i="1"/>
  <c r="H3130" i="1"/>
  <c r="G3130" i="1"/>
  <c r="E3130" i="1"/>
  <c r="H3129" i="1"/>
  <c r="G3129" i="1"/>
  <c r="E3129" i="1"/>
  <c r="H3128" i="1"/>
  <c r="G3128" i="1"/>
  <c r="E3128" i="1"/>
  <c r="H3127" i="1"/>
  <c r="G3127" i="1"/>
  <c r="E3127" i="1"/>
  <c r="H3126" i="1"/>
  <c r="G3126" i="1"/>
  <c r="E3126" i="1"/>
  <c r="H3125" i="1"/>
  <c r="G3125" i="1"/>
  <c r="E3125" i="1"/>
  <c r="H3124" i="1"/>
  <c r="G3124" i="1"/>
  <c r="E3124" i="1"/>
  <c r="H3123" i="1"/>
  <c r="G3123" i="1"/>
  <c r="E3123" i="1"/>
  <c r="H3122" i="1"/>
  <c r="G3122" i="1"/>
  <c r="E3122" i="1"/>
  <c r="H3121" i="1"/>
  <c r="G3121" i="1"/>
  <c r="E3121" i="1"/>
  <c r="H3120" i="1"/>
  <c r="G3120" i="1"/>
  <c r="E3120" i="1"/>
  <c r="H3119" i="1"/>
  <c r="G3119" i="1"/>
  <c r="E3119" i="1"/>
  <c r="H3118" i="1"/>
  <c r="G3118" i="1"/>
  <c r="E3118" i="1"/>
  <c r="H3117" i="1"/>
  <c r="G3117" i="1"/>
  <c r="E3117" i="1"/>
  <c r="H3116" i="1"/>
  <c r="G3116" i="1"/>
  <c r="E3116" i="1"/>
  <c r="H3115" i="1"/>
  <c r="G3115" i="1"/>
  <c r="E3115" i="1"/>
  <c r="H3114" i="1"/>
  <c r="G3114" i="1"/>
  <c r="E3114" i="1"/>
  <c r="H3113" i="1"/>
  <c r="G3113" i="1"/>
  <c r="E3113" i="1"/>
  <c r="H3112" i="1"/>
  <c r="G3112" i="1"/>
  <c r="E3112" i="1"/>
  <c r="H3111" i="1"/>
  <c r="G3111" i="1"/>
  <c r="E3111" i="1"/>
  <c r="H3110" i="1"/>
  <c r="G3110" i="1"/>
  <c r="E3110" i="1"/>
  <c r="H3109" i="1"/>
  <c r="G3109" i="1"/>
  <c r="E3109" i="1"/>
  <c r="H3108" i="1"/>
  <c r="G3108" i="1"/>
  <c r="E3108" i="1"/>
  <c r="H3107" i="1"/>
  <c r="G3107" i="1"/>
  <c r="E3107" i="1"/>
  <c r="H3106" i="1"/>
  <c r="G3106" i="1"/>
  <c r="E3106" i="1"/>
  <c r="H3105" i="1"/>
  <c r="G3105" i="1"/>
  <c r="E3105" i="1"/>
  <c r="H3104" i="1"/>
  <c r="G3104" i="1"/>
  <c r="E3104" i="1"/>
  <c r="H3103" i="1"/>
  <c r="G3103" i="1"/>
  <c r="E3103" i="1"/>
  <c r="H3102" i="1"/>
  <c r="G3102" i="1"/>
  <c r="E3102" i="1"/>
  <c r="H3101" i="1"/>
  <c r="G3101" i="1"/>
  <c r="E3101" i="1"/>
  <c r="H3100" i="1"/>
  <c r="G3100" i="1"/>
  <c r="E3100" i="1"/>
  <c r="H3099" i="1"/>
  <c r="G3099" i="1"/>
  <c r="E3099" i="1"/>
  <c r="H3098" i="1"/>
  <c r="G3098" i="1"/>
  <c r="E3098" i="1"/>
  <c r="H3097" i="1"/>
  <c r="G3097" i="1"/>
  <c r="E3097" i="1"/>
  <c r="H3096" i="1"/>
  <c r="G3096" i="1"/>
  <c r="E3096" i="1"/>
  <c r="H3095" i="1"/>
  <c r="G3095" i="1"/>
  <c r="E3095" i="1"/>
  <c r="H3094" i="1"/>
  <c r="G3094" i="1"/>
  <c r="E3094" i="1"/>
  <c r="H3093" i="1"/>
  <c r="G3093" i="1"/>
  <c r="E3093" i="1"/>
  <c r="H3092" i="1"/>
  <c r="G3092" i="1"/>
  <c r="E3092" i="1"/>
  <c r="H3091" i="1"/>
  <c r="G3091" i="1"/>
  <c r="E3091" i="1"/>
  <c r="H3090" i="1"/>
  <c r="G3090" i="1"/>
  <c r="E3090" i="1"/>
  <c r="H3089" i="1"/>
  <c r="G3089" i="1"/>
  <c r="E3089" i="1"/>
  <c r="H3088" i="1"/>
  <c r="G3088" i="1"/>
  <c r="E3088" i="1"/>
  <c r="H3087" i="1"/>
  <c r="G3087" i="1"/>
  <c r="E3087" i="1"/>
  <c r="H3086" i="1"/>
  <c r="G3086" i="1"/>
  <c r="E3086" i="1"/>
  <c r="H3085" i="1"/>
  <c r="G3085" i="1"/>
  <c r="E3085" i="1"/>
  <c r="H3084" i="1"/>
  <c r="G3084" i="1"/>
  <c r="E3084" i="1"/>
  <c r="H3083" i="1"/>
  <c r="G3083" i="1"/>
  <c r="E3083" i="1"/>
  <c r="H3082" i="1"/>
  <c r="G3082" i="1"/>
  <c r="E3082" i="1"/>
  <c r="H3081" i="1"/>
  <c r="G3081" i="1"/>
  <c r="E3081" i="1"/>
  <c r="H3080" i="1"/>
  <c r="G3080" i="1"/>
  <c r="E3080" i="1"/>
  <c r="H3079" i="1"/>
  <c r="G3079" i="1"/>
  <c r="E3079" i="1"/>
  <c r="H3078" i="1"/>
  <c r="G3078" i="1"/>
  <c r="E3078" i="1"/>
  <c r="H3077" i="1"/>
  <c r="G3077" i="1"/>
  <c r="E3077" i="1"/>
  <c r="H3076" i="1"/>
  <c r="G3076" i="1"/>
  <c r="E3076" i="1"/>
  <c r="H3075" i="1"/>
  <c r="G3075" i="1"/>
  <c r="E3075" i="1"/>
  <c r="H3074" i="1"/>
  <c r="G3074" i="1"/>
  <c r="E3074" i="1"/>
  <c r="H3073" i="1"/>
  <c r="G3073" i="1"/>
  <c r="E3073" i="1"/>
  <c r="H3072" i="1"/>
  <c r="G3072" i="1"/>
  <c r="E3072" i="1"/>
  <c r="H3071" i="1"/>
  <c r="G3071" i="1"/>
  <c r="E3071" i="1"/>
  <c r="H3070" i="1"/>
  <c r="G3070" i="1"/>
  <c r="E3070" i="1"/>
  <c r="H3069" i="1"/>
  <c r="G3069" i="1"/>
  <c r="E3069" i="1"/>
  <c r="H3068" i="1"/>
  <c r="G3068" i="1"/>
  <c r="E3068" i="1"/>
  <c r="H3067" i="1"/>
  <c r="G3067" i="1"/>
  <c r="E3067" i="1"/>
  <c r="H3066" i="1"/>
  <c r="G3066" i="1"/>
  <c r="E3066" i="1"/>
  <c r="H3065" i="1"/>
  <c r="G3065" i="1"/>
  <c r="E3065" i="1"/>
  <c r="H3064" i="1"/>
  <c r="G3064" i="1"/>
  <c r="E3064" i="1"/>
  <c r="H3063" i="1"/>
  <c r="G3063" i="1"/>
  <c r="E3063" i="1"/>
  <c r="H3062" i="1"/>
  <c r="G3062" i="1"/>
  <c r="E3062" i="1"/>
  <c r="H3061" i="1"/>
  <c r="G3061" i="1"/>
  <c r="E3061" i="1"/>
  <c r="H3060" i="1"/>
  <c r="G3060" i="1"/>
  <c r="E3060" i="1"/>
  <c r="H3059" i="1"/>
  <c r="G3059" i="1"/>
  <c r="E3059" i="1"/>
  <c r="H3058" i="1"/>
  <c r="G3058" i="1"/>
  <c r="E3058" i="1"/>
  <c r="H3057" i="1"/>
  <c r="G3057" i="1"/>
  <c r="E3057" i="1"/>
  <c r="H3056" i="1"/>
  <c r="G3056" i="1"/>
  <c r="E3056" i="1"/>
  <c r="H3055" i="1"/>
  <c r="G3055" i="1"/>
  <c r="E3055" i="1"/>
  <c r="H3054" i="1"/>
  <c r="G3054" i="1"/>
  <c r="E3054" i="1"/>
  <c r="H3053" i="1"/>
  <c r="G3053" i="1"/>
  <c r="E3053" i="1"/>
  <c r="H3052" i="1"/>
  <c r="G3052" i="1"/>
  <c r="E3052" i="1"/>
  <c r="H3051" i="1"/>
  <c r="G3051" i="1"/>
  <c r="E3051" i="1"/>
  <c r="H3050" i="1"/>
  <c r="G3050" i="1"/>
  <c r="E3050" i="1"/>
  <c r="H3049" i="1"/>
  <c r="G3049" i="1"/>
  <c r="E3049" i="1"/>
  <c r="H3048" i="1"/>
  <c r="G3048" i="1"/>
  <c r="E3048" i="1"/>
  <c r="H3047" i="1"/>
  <c r="G3047" i="1"/>
  <c r="E3047" i="1"/>
  <c r="H3046" i="1"/>
  <c r="G3046" i="1"/>
  <c r="E3046" i="1"/>
  <c r="H3045" i="1"/>
  <c r="G3045" i="1"/>
  <c r="E3045" i="1"/>
  <c r="H3044" i="1"/>
  <c r="G3044" i="1"/>
  <c r="E3044" i="1"/>
  <c r="H3043" i="1"/>
  <c r="G3043" i="1"/>
  <c r="E3043" i="1"/>
  <c r="H3042" i="1"/>
  <c r="G3042" i="1"/>
  <c r="E3042" i="1"/>
  <c r="H3041" i="1"/>
  <c r="G3041" i="1"/>
  <c r="E3041" i="1"/>
  <c r="H3040" i="1"/>
  <c r="G3040" i="1"/>
  <c r="E3040" i="1"/>
  <c r="H3039" i="1"/>
  <c r="G3039" i="1"/>
  <c r="E3039" i="1"/>
  <c r="H3038" i="1"/>
  <c r="G3038" i="1"/>
  <c r="E3038" i="1"/>
  <c r="H3037" i="1"/>
  <c r="G3037" i="1"/>
  <c r="E3037" i="1"/>
  <c r="H3036" i="1"/>
  <c r="G3036" i="1"/>
  <c r="E3036" i="1"/>
  <c r="H3035" i="1"/>
  <c r="G3035" i="1"/>
  <c r="E3035" i="1"/>
  <c r="H3034" i="1"/>
  <c r="G3034" i="1"/>
  <c r="E3034" i="1"/>
  <c r="H3033" i="1"/>
  <c r="G3033" i="1"/>
  <c r="E3033" i="1"/>
  <c r="H3032" i="1"/>
  <c r="G3032" i="1"/>
  <c r="E3032" i="1"/>
  <c r="H3031" i="1"/>
  <c r="G3031" i="1"/>
  <c r="E3031" i="1"/>
  <c r="H3030" i="1"/>
  <c r="G3030" i="1"/>
  <c r="E3030" i="1"/>
  <c r="H3029" i="1"/>
  <c r="G3029" i="1"/>
  <c r="E3029" i="1"/>
  <c r="H3028" i="1"/>
  <c r="G3028" i="1"/>
  <c r="E3028" i="1"/>
  <c r="H3027" i="1"/>
  <c r="G3027" i="1"/>
  <c r="E3027" i="1"/>
  <c r="H3026" i="1"/>
  <c r="G3026" i="1"/>
  <c r="E3026" i="1"/>
  <c r="H3025" i="1"/>
  <c r="G3025" i="1"/>
  <c r="E3025" i="1"/>
  <c r="H3024" i="1"/>
  <c r="G3024" i="1"/>
  <c r="E3024" i="1"/>
  <c r="H3023" i="1"/>
  <c r="G3023" i="1"/>
  <c r="E3023" i="1"/>
  <c r="H3022" i="1"/>
  <c r="G3022" i="1"/>
  <c r="E3022" i="1"/>
  <c r="H3021" i="1"/>
  <c r="G3021" i="1"/>
  <c r="E3021" i="1"/>
  <c r="H3020" i="1"/>
  <c r="G3020" i="1"/>
  <c r="E3020" i="1"/>
  <c r="H3019" i="1"/>
  <c r="G3019" i="1"/>
  <c r="E3019" i="1"/>
  <c r="H3018" i="1"/>
  <c r="G3018" i="1"/>
  <c r="E3018" i="1"/>
  <c r="H3017" i="1"/>
  <c r="G3017" i="1"/>
  <c r="E3017" i="1"/>
  <c r="H3016" i="1"/>
  <c r="G3016" i="1"/>
  <c r="E3016" i="1"/>
  <c r="H3015" i="1"/>
  <c r="G3015" i="1"/>
  <c r="E3015" i="1"/>
  <c r="H3014" i="1"/>
  <c r="G3014" i="1"/>
  <c r="E3014" i="1"/>
  <c r="H3013" i="1"/>
  <c r="G3013" i="1"/>
  <c r="E3013" i="1"/>
  <c r="H3012" i="1"/>
  <c r="G3012" i="1"/>
  <c r="E3012" i="1"/>
  <c r="H3011" i="1"/>
  <c r="G3011" i="1"/>
  <c r="E3011" i="1"/>
  <c r="H3010" i="1"/>
  <c r="G3010" i="1"/>
  <c r="E3010" i="1"/>
  <c r="H3009" i="1"/>
  <c r="G3009" i="1"/>
  <c r="E3009" i="1"/>
  <c r="H3008" i="1"/>
  <c r="G3008" i="1"/>
  <c r="E3008" i="1"/>
  <c r="H3007" i="1"/>
  <c r="G3007" i="1"/>
  <c r="E3007" i="1"/>
  <c r="H3006" i="1"/>
  <c r="G3006" i="1"/>
  <c r="E3006" i="1"/>
  <c r="H3005" i="1"/>
  <c r="G3005" i="1"/>
  <c r="E3005" i="1"/>
  <c r="H3004" i="1"/>
  <c r="G3004" i="1"/>
  <c r="E3004" i="1"/>
  <c r="H3003" i="1"/>
  <c r="G3003" i="1"/>
  <c r="E3003" i="1"/>
  <c r="H3002" i="1"/>
  <c r="G3002" i="1"/>
  <c r="E3002" i="1"/>
  <c r="H3001" i="1"/>
  <c r="G3001" i="1"/>
  <c r="E3001" i="1"/>
  <c r="H3000" i="1"/>
  <c r="G3000" i="1"/>
  <c r="E3000" i="1"/>
  <c r="H2999" i="1"/>
  <c r="G2999" i="1"/>
  <c r="E2999" i="1"/>
  <c r="H2998" i="1"/>
  <c r="G2998" i="1"/>
  <c r="E2998" i="1"/>
  <c r="H2997" i="1"/>
  <c r="G2997" i="1"/>
  <c r="E2997" i="1"/>
  <c r="H2996" i="1"/>
  <c r="G2996" i="1"/>
  <c r="E2996" i="1"/>
  <c r="H2995" i="1"/>
  <c r="G2995" i="1"/>
  <c r="E2995" i="1"/>
  <c r="H2994" i="1"/>
  <c r="G2994" i="1"/>
  <c r="E2994" i="1"/>
  <c r="H2993" i="1"/>
  <c r="G2993" i="1"/>
  <c r="E2993" i="1"/>
  <c r="H2992" i="1"/>
  <c r="G2992" i="1"/>
  <c r="E2992" i="1"/>
  <c r="H2991" i="1"/>
  <c r="G2991" i="1"/>
  <c r="E2991" i="1"/>
  <c r="H2990" i="1"/>
  <c r="G2990" i="1"/>
  <c r="E2990" i="1"/>
  <c r="H2989" i="1"/>
  <c r="G2989" i="1"/>
  <c r="E2989" i="1"/>
  <c r="H2988" i="1"/>
  <c r="G2988" i="1"/>
  <c r="E2988" i="1"/>
  <c r="H2987" i="1"/>
  <c r="G2987" i="1"/>
  <c r="E2987" i="1"/>
  <c r="H2986" i="1"/>
  <c r="G2986" i="1"/>
  <c r="E2986" i="1"/>
  <c r="H2985" i="1"/>
  <c r="G2985" i="1"/>
  <c r="E2985" i="1"/>
  <c r="H2984" i="1"/>
  <c r="G2984" i="1"/>
  <c r="E2984" i="1"/>
  <c r="H2983" i="1"/>
  <c r="G2983" i="1"/>
  <c r="E2983" i="1"/>
  <c r="H2982" i="1"/>
  <c r="G2982" i="1"/>
  <c r="E2982" i="1"/>
  <c r="H2981" i="1"/>
  <c r="G2981" i="1"/>
  <c r="E2981" i="1"/>
  <c r="H2980" i="1"/>
  <c r="G2980" i="1"/>
  <c r="E2980" i="1"/>
  <c r="H2979" i="1"/>
  <c r="G2979" i="1"/>
  <c r="E2979" i="1"/>
  <c r="H2978" i="1"/>
  <c r="G2978" i="1"/>
  <c r="E2978" i="1"/>
  <c r="H2977" i="1"/>
  <c r="G2977" i="1"/>
  <c r="E2977" i="1"/>
  <c r="H2976" i="1"/>
  <c r="G2976" i="1"/>
  <c r="E2976" i="1"/>
  <c r="H2975" i="1"/>
  <c r="G2975" i="1"/>
  <c r="E2975" i="1"/>
  <c r="H2974" i="1"/>
  <c r="G2974" i="1"/>
  <c r="E2974" i="1"/>
  <c r="H2973" i="1"/>
  <c r="G2973" i="1"/>
  <c r="E2973" i="1"/>
  <c r="H2972" i="1"/>
  <c r="G2972" i="1"/>
  <c r="E2972" i="1"/>
  <c r="H2971" i="1"/>
  <c r="G2971" i="1"/>
  <c r="E2971" i="1"/>
  <c r="H2970" i="1"/>
  <c r="G2970" i="1"/>
  <c r="E2970" i="1"/>
  <c r="H2969" i="1"/>
  <c r="G2969" i="1"/>
  <c r="E2969" i="1"/>
  <c r="H2968" i="1"/>
  <c r="G2968" i="1"/>
  <c r="E2968" i="1"/>
  <c r="H2967" i="1"/>
  <c r="G2967" i="1"/>
  <c r="E2967" i="1"/>
  <c r="H2966" i="1"/>
  <c r="G2966" i="1"/>
  <c r="E2966" i="1"/>
  <c r="H2965" i="1"/>
  <c r="G2965" i="1"/>
  <c r="E2965" i="1"/>
  <c r="H2964" i="1"/>
  <c r="G2964" i="1"/>
  <c r="E2964" i="1"/>
  <c r="H2963" i="1"/>
  <c r="G2963" i="1"/>
  <c r="E2963" i="1"/>
  <c r="H2962" i="1"/>
  <c r="G2962" i="1"/>
  <c r="E2962" i="1"/>
  <c r="H2961" i="1"/>
  <c r="G2961" i="1"/>
  <c r="E2961" i="1"/>
  <c r="H2960" i="1"/>
  <c r="G2960" i="1"/>
  <c r="E2960" i="1"/>
  <c r="H2959" i="1"/>
  <c r="G2959" i="1"/>
  <c r="E2959" i="1"/>
  <c r="H2958" i="1"/>
  <c r="G2958" i="1"/>
  <c r="E2958" i="1"/>
  <c r="H2957" i="1"/>
  <c r="G2957" i="1"/>
  <c r="E2957" i="1"/>
  <c r="H2956" i="1"/>
  <c r="G2956" i="1"/>
  <c r="E2956" i="1"/>
  <c r="H2955" i="1"/>
  <c r="G2955" i="1"/>
  <c r="E2955" i="1"/>
  <c r="H2954" i="1"/>
  <c r="G2954" i="1"/>
  <c r="E2954" i="1"/>
  <c r="H2953" i="1"/>
  <c r="G2953" i="1"/>
  <c r="E2953" i="1"/>
  <c r="H2952" i="1"/>
  <c r="G2952" i="1"/>
  <c r="E2952" i="1"/>
  <c r="H2951" i="1"/>
  <c r="G2951" i="1"/>
  <c r="E2951" i="1"/>
  <c r="H2950" i="1"/>
  <c r="G2950" i="1"/>
  <c r="E2950" i="1"/>
  <c r="H2949" i="1"/>
  <c r="G2949" i="1"/>
  <c r="E2949" i="1"/>
  <c r="H2948" i="1"/>
  <c r="G2948" i="1"/>
  <c r="E2948" i="1"/>
  <c r="H2947" i="1"/>
  <c r="G2947" i="1"/>
  <c r="E2947" i="1"/>
  <c r="H2946" i="1"/>
  <c r="G2946" i="1"/>
  <c r="E2946" i="1"/>
  <c r="H2945" i="1"/>
  <c r="G2945" i="1"/>
  <c r="E2945" i="1"/>
  <c r="H2944" i="1"/>
  <c r="G2944" i="1"/>
  <c r="E2944" i="1"/>
  <c r="H2943" i="1"/>
  <c r="G2943" i="1"/>
  <c r="E2943" i="1"/>
  <c r="H2942" i="1"/>
  <c r="G2942" i="1"/>
  <c r="E2942" i="1"/>
  <c r="H2941" i="1"/>
  <c r="G2941" i="1"/>
  <c r="E2941" i="1"/>
  <c r="H2940" i="1"/>
  <c r="G2940" i="1"/>
  <c r="E2940" i="1"/>
  <c r="H2939" i="1"/>
  <c r="G2939" i="1"/>
  <c r="E2939" i="1"/>
  <c r="H2938" i="1"/>
  <c r="G2938" i="1"/>
  <c r="E2938" i="1"/>
  <c r="H2937" i="1"/>
  <c r="G2937" i="1"/>
  <c r="E2937" i="1"/>
  <c r="H2936" i="1"/>
  <c r="G2936" i="1"/>
  <c r="E2936" i="1"/>
  <c r="H2935" i="1"/>
  <c r="G2935" i="1"/>
  <c r="E2935" i="1"/>
  <c r="H2934" i="1"/>
  <c r="G2934" i="1"/>
  <c r="E2934" i="1"/>
  <c r="H2933" i="1"/>
  <c r="G2933" i="1"/>
  <c r="E2933" i="1"/>
  <c r="H2932" i="1"/>
  <c r="G2932" i="1"/>
  <c r="E2932" i="1"/>
  <c r="H2931" i="1"/>
  <c r="G2931" i="1"/>
  <c r="E2931" i="1"/>
  <c r="H2930" i="1"/>
  <c r="G2930" i="1"/>
  <c r="E2930" i="1"/>
  <c r="H2929" i="1"/>
  <c r="G2929" i="1"/>
  <c r="E2929" i="1"/>
  <c r="H2928" i="1"/>
  <c r="G2928" i="1"/>
  <c r="E2928" i="1"/>
  <c r="H2927" i="1"/>
  <c r="G2927" i="1"/>
  <c r="E2927" i="1"/>
  <c r="H2926" i="1"/>
  <c r="G2926" i="1"/>
  <c r="E2926" i="1"/>
  <c r="H2925" i="1"/>
  <c r="G2925" i="1"/>
  <c r="E2925" i="1"/>
  <c r="H2924" i="1"/>
  <c r="G2924" i="1"/>
  <c r="E2924" i="1"/>
  <c r="H2923" i="1"/>
  <c r="G2923" i="1"/>
  <c r="E2923" i="1"/>
  <c r="H2922" i="1"/>
  <c r="G2922" i="1"/>
  <c r="E2922" i="1"/>
  <c r="H2921" i="1"/>
  <c r="G2921" i="1"/>
  <c r="E2921" i="1"/>
  <c r="H2920" i="1"/>
  <c r="G2920" i="1"/>
  <c r="E2920" i="1"/>
  <c r="H2919" i="1"/>
  <c r="G2919" i="1"/>
  <c r="E2919" i="1"/>
  <c r="H2918" i="1"/>
  <c r="G2918" i="1"/>
  <c r="E2918" i="1"/>
  <c r="H2917" i="1"/>
  <c r="G2917" i="1"/>
  <c r="E2917" i="1"/>
  <c r="H2916" i="1"/>
  <c r="G2916" i="1"/>
  <c r="E2916" i="1"/>
  <c r="H2915" i="1"/>
  <c r="G2915" i="1"/>
  <c r="E2915" i="1"/>
  <c r="H2914" i="1"/>
  <c r="G2914" i="1"/>
  <c r="E2914" i="1"/>
  <c r="H2913" i="1"/>
  <c r="G2913" i="1"/>
  <c r="E2913" i="1"/>
  <c r="H2912" i="1"/>
  <c r="G2912" i="1"/>
  <c r="E2912" i="1"/>
  <c r="H2911" i="1"/>
  <c r="G2911" i="1"/>
  <c r="E2911" i="1"/>
  <c r="H2910" i="1"/>
  <c r="G2910" i="1"/>
  <c r="E2910" i="1"/>
  <c r="H2909" i="1"/>
  <c r="G2909" i="1"/>
  <c r="E2909" i="1"/>
  <c r="H2908" i="1"/>
  <c r="G2908" i="1"/>
  <c r="E2908" i="1"/>
  <c r="H2907" i="1"/>
  <c r="G2907" i="1"/>
  <c r="E2907" i="1"/>
  <c r="H2906" i="1"/>
  <c r="G2906" i="1"/>
  <c r="E2906" i="1"/>
  <c r="H2905" i="1"/>
  <c r="G2905" i="1"/>
  <c r="E2905" i="1"/>
  <c r="H2904" i="1"/>
  <c r="G2904" i="1"/>
  <c r="E2904" i="1"/>
  <c r="H2903" i="1"/>
  <c r="G2903" i="1"/>
  <c r="E2903" i="1"/>
  <c r="H2902" i="1"/>
  <c r="G2902" i="1"/>
  <c r="E2902" i="1"/>
  <c r="H2901" i="1"/>
  <c r="G2901" i="1"/>
  <c r="E2901" i="1"/>
  <c r="H2900" i="1"/>
  <c r="G2900" i="1"/>
  <c r="E2900" i="1"/>
  <c r="H2899" i="1"/>
  <c r="G2899" i="1"/>
  <c r="E2899" i="1"/>
  <c r="H2898" i="1"/>
  <c r="G2898" i="1"/>
  <c r="E2898" i="1"/>
  <c r="H2897" i="1"/>
  <c r="G2897" i="1"/>
  <c r="E2897" i="1"/>
  <c r="H2896" i="1"/>
  <c r="G2896" i="1"/>
  <c r="E2896" i="1"/>
  <c r="H2895" i="1"/>
  <c r="G2895" i="1"/>
  <c r="E2895" i="1"/>
  <c r="H2894" i="1"/>
  <c r="G2894" i="1"/>
  <c r="E2894" i="1"/>
  <c r="H2893" i="1"/>
  <c r="G2893" i="1"/>
  <c r="E2893" i="1"/>
  <c r="H2892" i="1"/>
  <c r="G2892" i="1"/>
  <c r="E2892" i="1"/>
  <c r="H2891" i="1"/>
  <c r="G2891" i="1"/>
  <c r="E2891" i="1"/>
  <c r="H2890" i="1"/>
  <c r="G2890" i="1"/>
  <c r="E2890" i="1"/>
  <c r="H2889" i="1"/>
  <c r="G2889" i="1"/>
  <c r="E2889" i="1"/>
  <c r="H2888" i="1"/>
  <c r="G2888" i="1"/>
  <c r="E2888" i="1"/>
  <c r="H2887" i="1"/>
  <c r="G2887" i="1"/>
  <c r="E2887" i="1"/>
  <c r="H2886" i="1"/>
  <c r="G2886" i="1"/>
  <c r="E2886" i="1"/>
  <c r="H2885" i="1"/>
  <c r="G2885" i="1"/>
  <c r="E2885" i="1"/>
  <c r="H2884" i="1"/>
  <c r="G2884" i="1"/>
  <c r="E2884" i="1"/>
  <c r="H2883" i="1"/>
  <c r="G2883" i="1"/>
  <c r="E2883" i="1"/>
  <c r="H2882" i="1"/>
  <c r="G2882" i="1"/>
  <c r="E2882" i="1"/>
  <c r="H2881" i="1"/>
  <c r="G2881" i="1"/>
  <c r="E2881" i="1"/>
  <c r="H2880" i="1"/>
  <c r="G2880" i="1"/>
  <c r="E2880" i="1"/>
  <c r="H2879" i="1"/>
  <c r="G2879" i="1"/>
  <c r="E2879" i="1"/>
  <c r="H2878" i="1"/>
  <c r="G2878" i="1"/>
  <c r="E2878" i="1"/>
  <c r="H2877" i="1"/>
  <c r="G2877" i="1"/>
  <c r="E2877" i="1"/>
  <c r="H2876" i="1"/>
  <c r="G2876" i="1"/>
  <c r="E2876" i="1"/>
  <c r="H2875" i="1"/>
  <c r="G2875" i="1"/>
  <c r="E2875" i="1"/>
  <c r="H2874" i="1"/>
  <c r="G2874" i="1"/>
  <c r="E2874" i="1"/>
  <c r="H2873" i="1"/>
  <c r="G2873" i="1"/>
  <c r="E2873" i="1"/>
  <c r="H2872" i="1"/>
  <c r="G2872" i="1"/>
  <c r="E2872" i="1"/>
  <c r="H2871" i="1"/>
  <c r="G2871" i="1"/>
  <c r="E2871" i="1"/>
  <c r="H2870" i="1"/>
  <c r="G2870" i="1"/>
  <c r="E2870" i="1"/>
  <c r="H2869" i="1"/>
  <c r="G2869" i="1"/>
  <c r="E2869" i="1"/>
  <c r="H2868" i="1"/>
  <c r="G2868" i="1"/>
  <c r="E2868" i="1"/>
  <c r="H2867" i="1"/>
  <c r="G2867" i="1"/>
  <c r="E2867" i="1"/>
  <c r="H2866" i="1"/>
  <c r="G2866" i="1"/>
  <c r="E2866" i="1"/>
  <c r="H2865" i="1"/>
  <c r="G2865" i="1"/>
  <c r="E2865" i="1"/>
  <c r="H2864" i="1"/>
  <c r="G2864" i="1"/>
  <c r="E2864" i="1"/>
  <c r="H2863" i="1"/>
  <c r="G2863" i="1"/>
  <c r="E2863" i="1"/>
  <c r="H2862" i="1"/>
  <c r="G2862" i="1"/>
  <c r="E2862" i="1"/>
  <c r="H2861" i="1"/>
  <c r="G2861" i="1"/>
  <c r="E2861" i="1"/>
  <c r="H2860" i="1"/>
  <c r="G2860" i="1"/>
  <c r="E2860" i="1"/>
  <c r="H2859" i="1"/>
  <c r="G2859" i="1"/>
  <c r="E2859" i="1"/>
  <c r="H2858" i="1"/>
  <c r="G2858" i="1"/>
  <c r="E2858" i="1"/>
  <c r="H2857" i="1"/>
  <c r="G2857" i="1"/>
  <c r="E2857" i="1"/>
  <c r="H2856" i="1"/>
  <c r="G2856" i="1"/>
  <c r="E2856" i="1"/>
  <c r="H2855" i="1"/>
  <c r="G2855" i="1"/>
  <c r="E2855" i="1"/>
  <c r="H2854" i="1"/>
  <c r="G2854" i="1"/>
  <c r="E2854" i="1"/>
  <c r="H2853" i="1"/>
  <c r="G2853" i="1"/>
  <c r="E2853" i="1"/>
  <c r="H2852" i="1"/>
  <c r="G2852" i="1"/>
  <c r="E2852" i="1"/>
  <c r="H2851" i="1"/>
  <c r="G2851" i="1"/>
  <c r="E2851" i="1"/>
  <c r="H2850" i="1"/>
  <c r="G2850" i="1"/>
  <c r="E2850" i="1"/>
  <c r="H2849" i="1"/>
  <c r="G2849" i="1"/>
  <c r="E2849" i="1"/>
  <c r="H2848" i="1"/>
  <c r="G2848" i="1"/>
  <c r="E2848" i="1"/>
  <c r="H2847" i="1"/>
  <c r="G2847" i="1"/>
  <c r="E2847" i="1"/>
  <c r="H2846" i="1"/>
  <c r="G2846" i="1"/>
  <c r="E2846" i="1"/>
  <c r="H2845" i="1"/>
  <c r="G2845" i="1"/>
  <c r="E2845" i="1"/>
  <c r="H2844" i="1"/>
  <c r="G2844" i="1"/>
  <c r="E2844" i="1"/>
  <c r="H2843" i="1"/>
  <c r="G2843" i="1"/>
  <c r="E2843" i="1"/>
  <c r="H2842" i="1"/>
  <c r="G2842" i="1"/>
  <c r="E2842" i="1"/>
  <c r="H2841" i="1"/>
  <c r="G2841" i="1"/>
  <c r="E2841" i="1"/>
  <c r="H2840" i="1"/>
  <c r="G2840" i="1"/>
  <c r="E2840" i="1"/>
  <c r="H2839" i="1"/>
  <c r="G2839" i="1"/>
  <c r="E2839" i="1"/>
  <c r="H2838" i="1"/>
  <c r="G2838" i="1"/>
  <c r="E2838" i="1"/>
  <c r="H2837" i="1"/>
  <c r="G2837" i="1"/>
  <c r="E2837" i="1"/>
  <c r="H2836" i="1"/>
  <c r="G2836" i="1"/>
  <c r="E2836" i="1"/>
  <c r="H2835" i="1"/>
  <c r="G2835" i="1"/>
  <c r="E2835" i="1"/>
  <c r="H2834" i="1"/>
  <c r="G2834" i="1"/>
  <c r="E2834" i="1"/>
  <c r="H2833" i="1"/>
  <c r="G2833" i="1"/>
  <c r="E2833" i="1"/>
  <c r="H2832" i="1"/>
  <c r="G2832" i="1"/>
  <c r="E2832" i="1"/>
  <c r="H2831" i="1"/>
  <c r="G2831" i="1"/>
  <c r="E2831" i="1"/>
  <c r="H2830" i="1"/>
  <c r="G2830" i="1"/>
  <c r="E2830" i="1"/>
  <c r="H2829" i="1"/>
  <c r="G2829" i="1"/>
  <c r="E2829" i="1"/>
  <c r="H2828" i="1"/>
  <c r="G2828" i="1"/>
  <c r="E2828" i="1"/>
  <c r="H2827" i="1"/>
  <c r="G2827" i="1"/>
  <c r="E2827" i="1"/>
  <c r="H2826" i="1"/>
  <c r="G2826" i="1"/>
  <c r="E2826" i="1"/>
  <c r="H2825" i="1"/>
  <c r="G2825" i="1"/>
  <c r="E2825" i="1"/>
  <c r="H2824" i="1"/>
  <c r="G2824" i="1"/>
  <c r="E2824" i="1"/>
  <c r="H2823" i="1"/>
  <c r="G2823" i="1"/>
  <c r="E2823" i="1"/>
  <c r="H2822" i="1"/>
  <c r="G2822" i="1"/>
  <c r="E2822" i="1"/>
  <c r="H2821" i="1"/>
  <c r="G2821" i="1"/>
  <c r="E2821" i="1"/>
  <c r="H2820" i="1"/>
  <c r="G2820" i="1"/>
  <c r="E2820" i="1"/>
  <c r="H2819" i="1"/>
  <c r="G2819" i="1"/>
  <c r="E2819" i="1"/>
  <c r="H2818" i="1"/>
  <c r="G2818" i="1"/>
  <c r="E2818" i="1"/>
  <c r="H2817" i="1"/>
  <c r="G2817" i="1"/>
  <c r="E2817" i="1"/>
  <c r="H2816" i="1"/>
  <c r="G2816" i="1"/>
  <c r="E2816" i="1"/>
  <c r="H2815" i="1"/>
  <c r="G2815" i="1"/>
  <c r="E2815" i="1"/>
  <c r="H2814" i="1"/>
  <c r="G2814" i="1"/>
  <c r="E2814" i="1"/>
  <c r="H2813" i="1"/>
  <c r="G2813" i="1"/>
  <c r="E2813" i="1"/>
  <c r="H2812" i="1"/>
  <c r="G2812" i="1"/>
  <c r="E2812" i="1"/>
  <c r="H2811" i="1"/>
  <c r="G2811" i="1"/>
  <c r="E2811" i="1"/>
  <c r="H2810" i="1"/>
  <c r="G2810" i="1"/>
  <c r="E2810" i="1"/>
  <c r="H2809" i="1"/>
  <c r="G2809" i="1"/>
  <c r="E2809" i="1"/>
  <c r="H2808" i="1"/>
  <c r="G2808" i="1"/>
  <c r="E2808" i="1"/>
  <c r="H2807" i="1"/>
  <c r="G2807" i="1"/>
  <c r="E2807" i="1"/>
  <c r="H2806" i="1"/>
  <c r="G2806" i="1"/>
  <c r="E2806" i="1"/>
  <c r="H2805" i="1"/>
  <c r="G2805" i="1"/>
  <c r="E2805" i="1"/>
  <c r="H2804" i="1"/>
  <c r="G2804" i="1"/>
  <c r="E2804" i="1"/>
  <c r="H2803" i="1"/>
  <c r="G2803" i="1"/>
  <c r="E2803" i="1"/>
  <c r="H2802" i="1"/>
  <c r="G2802" i="1"/>
  <c r="E2802" i="1"/>
  <c r="H2801" i="1"/>
  <c r="G2801" i="1"/>
  <c r="E2801" i="1"/>
  <c r="H2800" i="1"/>
  <c r="G2800" i="1"/>
  <c r="E2800" i="1"/>
  <c r="H2799" i="1"/>
  <c r="G2799" i="1"/>
  <c r="E2799" i="1"/>
  <c r="H2798" i="1"/>
  <c r="G2798" i="1"/>
  <c r="E2798" i="1"/>
  <c r="H2797" i="1"/>
  <c r="G2797" i="1"/>
  <c r="E2797" i="1"/>
  <c r="H2796" i="1"/>
  <c r="G2796" i="1"/>
  <c r="E2796" i="1"/>
  <c r="H2795" i="1"/>
  <c r="G2795" i="1"/>
  <c r="E2795" i="1"/>
  <c r="H2794" i="1"/>
  <c r="G2794" i="1"/>
  <c r="E2794" i="1"/>
  <c r="H2793" i="1"/>
  <c r="G2793" i="1"/>
  <c r="E2793" i="1"/>
  <c r="H2792" i="1"/>
  <c r="G2792" i="1"/>
  <c r="E2792" i="1"/>
  <c r="H2791" i="1"/>
  <c r="G2791" i="1"/>
  <c r="E2791" i="1"/>
  <c r="H2790" i="1"/>
  <c r="G2790" i="1"/>
  <c r="E2790" i="1"/>
  <c r="H2789" i="1"/>
  <c r="G2789" i="1"/>
  <c r="E2789" i="1"/>
  <c r="H2788" i="1"/>
  <c r="G2788" i="1"/>
  <c r="E2788" i="1"/>
  <c r="H2787" i="1"/>
  <c r="G2787" i="1"/>
  <c r="E2787" i="1"/>
  <c r="H2786" i="1"/>
  <c r="G2786" i="1"/>
  <c r="E2786" i="1"/>
  <c r="H2785" i="1"/>
  <c r="G2785" i="1"/>
  <c r="E2785" i="1"/>
  <c r="H2784" i="1"/>
  <c r="G2784" i="1"/>
  <c r="E2784" i="1"/>
  <c r="H2783" i="1"/>
  <c r="G2783" i="1"/>
  <c r="E2783" i="1"/>
  <c r="H2782" i="1"/>
  <c r="G2782" i="1"/>
  <c r="E2782" i="1"/>
  <c r="H2781" i="1"/>
  <c r="G2781" i="1"/>
  <c r="E2781" i="1"/>
  <c r="H2780" i="1"/>
  <c r="G2780" i="1"/>
  <c r="E2780" i="1"/>
  <c r="H2779" i="1"/>
  <c r="G2779" i="1"/>
  <c r="E2779" i="1"/>
  <c r="H2778" i="1"/>
  <c r="G2778" i="1"/>
  <c r="E2778" i="1"/>
  <c r="H2777" i="1"/>
  <c r="G2777" i="1"/>
  <c r="E2777" i="1"/>
  <c r="H2776" i="1"/>
  <c r="G2776" i="1"/>
  <c r="E2776" i="1"/>
  <c r="H2775" i="1"/>
  <c r="G2775" i="1"/>
  <c r="E2775" i="1"/>
  <c r="H2774" i="1"/>
  <c r="G2774" i="1"/>
  <c r="E2774" i="1"/>
  <c r="H2773" i="1"/>
  <c r="G2773" i="1"/>
  <c r="E2773" i="1"/>
  <c r="H2772" i="1"/>
  <c r="G2772" i="1"/>
  <c r="E2772" i="1"/>
  <c r="H2771" i="1"/>
  <c r="G2771" i="1"/>
  <c r="E2771" i="1"/>
  <c r="H2770" i="1"/>
  <c r="G2770" i="1"/>
  <c r="E2770" i="1"/>
  <c r="H2769" i="1"/>
  <c r="G2769" i="1"/>
  <c r="E2769" i="1"/>
  <c r="H2768" i="1"/>
  <c r="G2768" i="1"/>
  <c r="E2768" i="1"/>
  <c r="H2767" i="1"/>
  <c r="G2767" i="1"/>
  <c r="E2767" i="1"/>
  <c r="H2766" i="1"/>
  <c r="G2766" i="1"/>
  <c r="E2766" i="1"/>
  <c r="H2765" i="1"/>
  <c r="G2765" i="1"/>
  <c r="E2765" i="1"/>
  <c r="H2764" i="1"/>
  <c r="G2764" i="1"/>
  <c r="E2764" i="1"/>
  <c r="H2763" i="1"/>
  <c r="G2763" i="1"/>
  <c r="E2763" i="1"/>
  <c r="H2762" i="1"/>
  <c r="G2762" i="1"/>
  <c r="E2762" i="1"/>
  <c r="H2761" i="1"/>
  <c r="G2761" i="1"/>
  <c r="E2761" i="1"/>
  <c r="H2760" i="1"/>
  <c r="G2760" i="1"/>
  <c r="E2760" i="1"/>
  <c r="H2759" i="1"/>
  <c r="G2759" i="1"/>
  <c r="E2759" i="1"/>
  <c r="H2758" i="1"/>
  <c r="G2758" i="1"/>
  <c r="E2758" i="1"/>
  <c r="H2757" i="1"/>
  <c r="G2757" i="1"/>
  <c r="E2757" i="1"/>
  <c r="H2756" i="1"/>
  <c r="G2756" i="1"/>
  <c r="E2756" i="1"/>
  <c r="H2755" i="1"/>
  <c r="G2755" i="1"/>
  <c r="E2755" i="1"/>
  <c r="H2754" i="1"/>
  <c r="G2754" i="1"/>
  <c r="E2754" i="1"/>
  <c r="H2753" i="1"/>
  <c r="G2753" i="1"/>
  <c r="E2753" i="1"/>
  <c r="H2752" i="1"/>
  <c r="G2752" i="1"/>
  <c r="E2752" i="1"/>
  <c r="H2751" i="1"/>
  <c r="G2751" i="1"/>
  <c r="E2751" i="1"/>
  <c r="H2750" i="1"/>
  <c r="G2750" i="1"/>
  <c r="E2750" i="1"/>
  <c r="H2749" i="1"/>
  <c r="G2749" i="1"/>
  <c r="E2749" i="1"/>
  <c r="H2748" i="1"/>
  <c r="G2748" i="1"/>
  <c r="E2748" i="1"/>
  <c r="H2747" i="1"/>
  <c r="G2747" i="1"/>
  <c r="E2747" i="1"/>
  <c r="H2746" i="1"/>
  <c r="G2746" i="1"/>
  <c r="E2746" i="1"/>
  <c r="H2745" i="1"/>
  <c r="G2745" i="1"/>
  <c r="E2745" i="1"/>
  <c r="H2744" i="1"/>
  <c r="G2744" i="1"/>
  <c r="E2744" i="1"/>
  <c r="H2743" i="1"/>
  <c r="G2743" i="1"/>
  <c r="E2743" i="1"/>
  <c r="H2742" i="1"/>
  <c r="G2742" i="1"/>
  <c r="E2742" i="1"/>
  <c r="H2741" i="1"/>
  <c r="G2741" i="1"/>
  <c r="E2741" i="1"/>
  <c r="H2740" i="1"/>
  <c r="G2740" i="1"/>
  <c r="E2740" i="1"/>
  <c r="H2739" i="1"/>
  <c r="G2739" i="1"/>
  <c r="E2739" i="1"/>
  <c r="H2738" i="1"/>
  <c r="G2738" i="1"/>
  <c r="E2738" i="1"/>
  <c r="H2737" i="1"/>
  <c r="G2737" i="1"/>
  <c r="E2737" i="1"/>
  <c r="H2736" i="1"/>
  <c r="G2736" i="1"/>
  <c r="E2736" i="1"/>
  <c r="H2735" i="1"/>
  <c r="G2735" i="1"/>
  <c r="E2735" i="1"/>
  <c r="H2734" i="1"/>
  <c r="G2734" i="1"/>
  <c r="E2734" i="1"/>
  <c r="H2733" i="1"/>
  <c r="G2733" i="1"/>
  <c r="E2733" i="1"/>
  <c r="H2732" i="1"/>
  <c r="G2732" i="1"/>
  <c r="E2732" i="1"/>
  <c r="H2731" i="1"/>
  <c r="G2731" i="1"/>
  <c r="E2731" i="1"/>
  <c r="H2730" i="1"/>
  <c r="G2730" i="1"/>
  <c r="E2730" i="1"/>
  <c r="H2729" i="1"/>
  <c r="G2729" i="1"/>
  <c r="E2729" i="1"/>
  <c r="H2728" i="1"/>
  <c r="G2728" i="1"/>
  <c r="E2728" i="1"/>
  <c r="H2727" i="1"/>
  <c r="G2727" i="1"/>
  <c r="E2727" i="1"/>
  <c r="H2726" i="1"/>
  <c r="G2726" i="1"/>
  <c r="E2726" i="1"/>
  <c r="H2725" i="1"/>
  <c r="G2725" i="1"/>
  <c r="E2725" i="1"/>
  <c r="H2724" i="1"/>
  <c r="G2724" i="1"/>
  <c r="E2724" i="1"/>
  <c r="H2723" i="1"/>
  <c r="G2723" i="1"/>
  <c r="E2723" i="1"/>
  <c r="H2722" i="1"/>
  <c r="G2722" i="1"/>
  <c r="E2722" i="1"/>
  <c r="H2721" i="1"/>
  <c r="G2721" i="1"/>
  <c r="E2721" i="1"/>
  <c r="H2720" i="1"/>
  <c r="G2720" i="1"/>
  <c r="E2720" i="1"/>
  <c r="H2719" i="1"/>
  <c r="G2719" i="1"/>
  <c r="E2719" i="1"/>
  <c r="H2718" i="1"/>
  <c r="G2718" i="1"/>
  <c r="E2718" i="1"/>
  <c r="H2717" i="1"/>
  <c r="G2717" i="1"/>
  <c r="E2717" i="1"/>
  <c r="H2716" i="1"/>
  <c r="G2716" i="1"/>
  <c r="E2716" i="1"/>
  <c r="H2715" i="1"/>
  <c r="G2715" i="1"/>
  <c r="E2715" i="1"/>
  <c r="H2714" i="1"/>
  <c r="G2714" i="1"/>
  <c r="E2714" i="1"/>
  <c r="H2713" i="1"/>
  <c r="G2713" i="1"/>
  <c r="E2713" i="1"/>
  <c r="H2712" i="1"/>
  <c r="G2712" i="1"/>
  <c r="E2712" i="1"/>
  <c r="H2711" i="1"/>
  <c r="G2711" i="1"/>
  <c r="E2711" i="1"/>
  <c r="H2710" i="1"/>
  <c r="G2710" i="1"/>
  <c r="E2710" i="1"/>
  <c r="H2709" i="1"/>
  <c r="G2709" i="1"/>
  <c r="E2709" i="1"/>
  <c r="H2708" i="1"/>
  <c r="G2708" i="1"/>
  <c r="E2708" i="1"/>
  <c r="H2707" i="1"/>
  <c r="G2707" i="1"/>
  <c r="E2707" i="1"/>
  <c r="H2706" i="1"/>
  <c r="G2706" i="1"/>
  <c r="E2706" i="1"/>
  <c r="H2705" i="1"/>
  <c r="G2705" i="1"/>
  <c r="E2705" i="1"/>
  <c r="H2704" i="1"/>
  <c r="G2704" i="1"/>
  <c r="E2704" i="1"/>
  <c r="H2703" i="1"/>
  <c r="G2703" i="1"/>
  <c r="E2703" i="1"/>
  <c r="H2702" i="1"/>
  <c r="G2702" i="1"/>
  <c r="E2702" i="1"/>
  <c r="H2701" i="1"/>
  <c r="G2701" i="1"/>
  <c r="E2701" i="1"/>
  <c r="H2700" i="1"/>
  <c r="G2700" i="1"/>
  <c r="E2700" i="1"/>
  <c r="H2699" i="1"/>
  <c r="G2699" i="1"/>
  <c r="E2699" i="1"/>
  <c r="H2698" i="1"/>
  <c r="G2698" i="1"/>
  <c r="E2698" i="1"/>
  <c r="H2697" i="1"/>
  <c r="G2697" i="1"/>
  <c r="E2697" i="1"/>
  <c r="H2696" i="1"/>
  <c r="G2696" i="1"/>
  <c r="E2696" i="1"/>
  <c r="H2695" i="1"/>
  <c r="G2695" i="1"/>
  <c r="E2695" i="1"/>
  <c r="H2694" i="1"/>
  <c r="G2694" i="1"/>
  <c r="E2694" i="1"/>
  <c r="H2693" i="1"/>
  <c r="G2693" i="1"/>
  <c r="E2693" i="1"/>
  <c r="H2692" i="1"/>
  <c r="G2692" i="1"/>
  <c r="E2692" i="1"/>
  <c r="H2691" i="1"/>
  <c r="G2691" i="1"/>
  <c r="E2691" i="1"/>
  <c r="H2690" i="1"/>
  <c r="G2690" i="1"/>
  <c r="E2690" i="1"/>
  <c r="H2689" i="1"/>
  <c r="G2689" i="1"/>
  <c r="E2689" i="1"/>
  <c r="H2688" i="1"/>
  <c r="G2688" i="1"/>
  <c r="E2688" i="1"/>
  <c r="H2687" i="1"/>
  <c r="G2687" i="1"/>
  <c r="E2687" i="1"/>
  <c r="H2686" i="1"/>
  <c r="G2686" i="1"/>
  <c r="E2686" i="1"/>
  <c r="H2685" i="1"/>
  <c r="G2685" i="1"/>
  <c r="E2685" i="1"/>
  <c r="H2684" i="1"/>
  <c r="G2684" i="1"/>
  <c r="E2684" i="1"/>
  <c r="H2683" i="1"/>
  <c r="G2683" i="1"/>
  <c r="E2683" i="1"/>
  <c r="H2682" i="1"/>
  <c r="G2682" i="1"/>
  <c r="E2682" i="1"/>
  <c r="H2681" i="1"/>
  <c r="G2681" i="1"/>
  <c r="E2681" i="1"/>
  <c r="H2680" i="1"/>
  <c r="G2680" i="1"/>
  <c r="E2680" i="1"/>
  <c r="H2679" i="1"/>
  <c r="G2679" i="1"/>
  <c r="E2679" i="1"/>
  <c r="H2678" i="1"/>
  <c r="G2678" i="1"/>
  <c r="E2678" i="1"/>
  <c r="H2677" i="1"/>
  <c r="G2677" i="1"/>
  <c r="E2677" i="1"/>
  <c r="H2676" i="1"/>
  <c r="G2676" i="1"/>
  <c r="E2676" i="1"/>
  <c r="H2675" i="1"/>
  <c r="G2675" i="1"/>
  <c r="E2675" i="1"/>
  <c r="H2674" i="1"/>
  <c r="G2674" i="1"/>
  <c r="E2674" i="1"/>
  <c r="H2673" i="1"/>
  <c r="G2673" i="1"/>
  <c r="E2673" i="1"/>
  <c r="H2672" i="1"/>
  <c r="G2672" i="1"/>
  <c r="E2672" i="1"/>
  <c r="H2671" i="1"/>
  <c r="G2671" i="1"/>
  <c r="E2671" i="1"/>
  <c r="H2670" i="1"/>
  <c r="G2670" i="1"/>
  <c r="E2670" i="1"/>
  <c r="H2669" i="1"/>
  <c r="G2669" i="1"/>
  <c r="E2669" i="1"/>
  <c r="H2668" i="1"/>
  <c r="G2668" i="1"/>
  <c r="E2668" i="1"/>
  <c r="H2667" i="1"/>
  <c r="G2667" i="1"/>
  <c r="E2667" i="1"/>
  <c r="H2666" i="1"/>
  <c r="G2666" i="1"/>
  <c r="E2666" i="1"/>
  <c r="H2665" i="1"/>
  <c r="G2665" i="1"/>
  <c r="E2665" i="1"/>
  <c r="H2664" i="1"/>
  <c r="G2664" i="1"/>
  <c r="E2664" i="1"/>
  <c r="H2663" i="1"/>
  <c r="G2663" i="1"/>
  <c r="E2663" i="1"/>
  <c r="H2662" i="1"/>
  <c r="G2662" i="1"/>
  <c r="E2662" i="1"/>
  <c r="H2661" i="1"/>
  <c r="G2661" i="1"/>
  <c r="E2661" i="1"/>
  <c r="H2660" i="1"/>
  <c r="G2660" i="1"/>
  <c r="E2660" i="1"/>
  <c r="H2659" i="1"/>
  <c r="G2659" i="1"/>
  <c r="E2659" i="1"/>
  <c r="H2658" i="1"/>
  <c r="G2658" i="1"/>
  <c r="E2658" i="1"/>
  <c r="H2657" i="1"/>
  <c r="G2657" i="1"/>
  <c r="E2657" i="1"/>
  <c r="H2656" i="1"/>
  <c r="G2656" i="1"/>
  <c r="E2656" i="1"/>
  <c r="H2655" i="1"/>
  <c r="G2655" i="1"/>
  <c r="E2655" i="1"/>
  <c r="H2654" i="1"/>
  <c r="G2654" i="1"/>
  <c r="E2654" i="1"/>
  <c r="H2653" i="1"/>
  <c r="G2653" i="1"/>
  <c r="E2653" i="1"/>
  <c r="H2652" i="1"/>
  <c r="G2652" i="1"/>
  <c r="E2652" i="1"/>
  <c r="H2651" i="1"/>
  <c r="G2651" i="1"/>
  <c r="E2651" i="1"/>
  <c r="H2650" i="1"/>
  <c r="G2650" i="1"/>
  <c r="E2650" i="1"/>
  <c r="H2649" i="1"/>
  <c r="G2649" i="1"/>
  <c r="E2649" i="1"/>
  <c r="H2648" i="1"/>
  <c r="G2648" i="1"/>
  <c r="E2648" i="1"/>
  <c r="H2647" i="1"/>
  <c r="G2647" i="1"/>
  <c r="E2647" i="1"/>
  <c r="H2646" i="1"/>
  <c r="G2646" i="1"/>
  <c r="E2646" i="1"/>
  <c r="H2645" i="1"/>
  <c r="G2645" i="1"/>
  <c r="E2645" i="1"/>
  <c r="H2644" i="1"/>
  <c r="G2644" i="1"/>
  <c r="E2644" i="1"/>
  <c r="H2643" i="1"/>
  <c r="G2643" i="1"/>
  <c r="E2643" i="1"/>
  <c r="H2642" i="1"/>
  <c r="G2642" i="1"/>
  <c r="E2642" i="1"/>
  <c r="H2641" i="1"/>
  <c r="G2641" i="1"/>
  <c r="E2641" i="1"/>
  <c r="H2640" i="1"/>
  <c r="G2640" i="1"/>
  <c r="E2640" i="1"/>
  <c r="H2639" i="1"/>
  <c r="G2639" i="1"/>
  <c r="E2639" i="1"/>
  <c r="H2638" i="1"/>
  <c r="G2638" i="1"/>
  <c r="E2638" i="1"/>
  <c r="H2637" i="1"/>
  <c r="G2637" i="1"/>
  <c r="E2637" i="1"/>
  <c r="H2636" i="1"/>
  <c r="G2636" i="1"/>
  <c r="E2636" i="1"/>
  <c r="H2635" i="1"/>
  <c r="G2635" i="1"/>
  <c r="E2635" i="1"/>
  <c r="H2634" i="1"/>
  <c r="G2634" i="1"/>
  <c r="E2634" i="1"/>
  <c r="H2633" i="1"/>
  <c r="G2633" i="1"/>
  <c r="E2633" i="1"/>
  <c r="H2632" i="1"/>
  <c r="G2632" i="1"/>
  <c r="E2632" i="1"/>
  <c r="H2631" i="1"/>
  <c r="G2631" i="1"/>
  <c r="E2631" i="1"/>
  <c r="H2630" i="1"/>
  <c r="G2630" i="1"/>
  <c r="E2630" i="1"/>
  <c r="H2629" i="1"/>
  <c r="G2629" i="1"/>
  <c r="E2629" i="1"/>
  <c r="H2628" i="1"/>
  <c r="G2628" i="1"/>
  <c r="E2628" i="1"/>
  <c r="H2627" i="1"/>
  <c r="G2627" i="1"/>
  <c r="E2627" i="1"/>
  <c r="H2626" i="1"/>
  <c r="G2626" i="1"/>
  <c r="E2626" i="1"/>
  <c r="H2625" i="1"/>
  <c r="G2625" i="1"/>
  <c r="E2625" i="1"/>
  <c r="H2624" i="1"/>
  <c r="G2624" i="1"/>
  <c r="E2624" i="1"/>
  <c r="H2623" i="1"/>
  <c r="G2623" i="1"/>
  <c r="E2623" i="1"/>
  <c r="H2622" i="1"/>
  <c r="G2622" i="1"/>
  <c r="E2622" i="1"/>
  <c r="H2621" i="1"/>
  <c r="G2621" i="1"/>
  <c r="E2621" i="1"/>
  <c r="H2620" i="1"/>
  <c r="G2620" i="1"/>
  <c r="E2620" i="1"/>
  <c r="H2619" i="1"/>
  <c r="G2619" i="1"/>
  <c r="E2619" i="1"/>
  <c r="H2618" i="1"/>
  <c r="G2618" i="1"/>
  <c r="E2618" i="1"/>
  <c r="H2617" i="1"/>
  <c r="G2617" i="1"/>
  <c r="E2617" i="1"/>
  <c r="H2616" i="1"/>
  <c r="G2616" i="1"/>
  <c r="E2616" i="1"/>
  <c r="H2615" i="1"/>
  <c r="G2615" i="1"/>
  <c r="E2615" i="1"/>
  <c r="H2614" i="1"/>
  <c r="G2614" i="1"/>
  <c r="E2614" i="1"/>
  <c r="H2613" i="1"/>
  <c r="G2613" i="1"/>
  <c r="E2613" i="1"/>
  <c r="H2612" i="1"/>
  <c r="G2612" i="1"/>
  <c r="E2612" i="1"/>
  <c r="H2611" i="1"/>
  <c r="G2611" i="1"/>
  <c r="E2611" i="1"/>
  <c r="H2610" i="1"/>
  <c r="G2610" i="1"/>
  <c r="E2610" i="1"/>
  <c r="H2609" i="1"/>
  <c r="G2609" i="1"/>
  <c r="E2609" i="1"/>
  <c r="H2608" i="1"/>
  <c r="G2608" i="1"/>
  <c r="E2608" i="1"/>
  <c r="H2607" i="1"/>
  <c r="G2607" i="1"/>
  <c r="E2607" i="1"/>
  <c r="H2606" i="1"/>
  <c r="G2606" i="1"/>
  <c r="E2606" i="1"/>
  <c r="H2605" i="1"/>
  <c r="G2605" i="1"/>
  <c r="E2605" i="1"/>
  <c r="H2604" i="1"/>
  <c r="G2604" i="1"/>
  <c r="E2604" i="1"/>
  <c r="H2603" i="1"/>
  <c r="G2603" i="1"/>
  <c r="E2603" i="1"/>
  <c r="H2602" i="1"/>
  <c r="G2602" i="1"/>
  <c r="E2602" i="1"/>
  <c r="H2601" i="1"/>
  <c r="G2601" i="1"/>
  <c r="E2601" i="1"/>
  <c r="H2600" i="1"/>
  <c r="G2600" i="1"/>
  <c r="E2600" i="1"/>
  <c r="H2599" i="1"/>
  <c r="G2599" i="1"/>
  <c r="E2599" i="1"/>
  <c r="H2598" i="1"/>
  <c r="G2598" i="1"/>
  <c r="E2598" i="1"/>
  <c r="H2597" i="1"/>
  <c r="G2597" i="1"/>
  <c r="E2597" i="1"/>
  <c r="H2596" i="1"/>
  <c r="G2596" i="1"/>
  <c r="E2596" i="1"/>
  <c r="H2595" i="1"/>
  <c r="G2595" i="1"/>
  <c r="E2595" i="1"/>
  <c r="H2594" i="1"/>
  <c r="G2594" i="1"/>
  <c r="E2594" i="1"/>
  <c r="H2593" i="1"/>
  <c r="G2593" i="1"/>
  <c r="E2593" i="1"/>
  <c r="H2592" i="1"/>
  <c r="G2592" i="1"/>
  <c r="E2592" i="1"/>
  <c r="H2591" i="1"/>
  <c r="G2591" i="1"/>
  <c r="E2591" i="1"/>
  <c r="H2590" i="1"/>
  <c r="G2590" i="1"/>
  <c r="E2590" i="1"/>
  <c r="H2589" i="1"/>
  <c r="G2589" i="1"/>
  <c r="E2589" i="1"/>
  <c r="H2588" i="1"/>
  <c r="G2588" i="1"/>
  <c r="E2588" i="1"/>
  <c r="H2587" i="1"/>
  <c r="G2587" i="1"/>
  <c r="E2587" i="1"/>
  <c r="H2586" i="1"/>
  <c r="G2586" i="1"/>
  <c r="E2586" i="1"/>
  <c r="H2585" i="1"/>
  <c r="G2585" i="1"/>
  <c r="E2585" i="1"/>
  <c r="H2584" i="1"/>
  <c r="G2584" i="1"/>
  <c r="E2584" i="1"/>
  <c r="H2583" i="1"/>
  <c r="G2583" i="1"/>
  <c r="E2583" i="1"/>
  <c r="H2582" i="1"/>
  <c r="G2582" i="1"/>
  <c r="E2582" i="1"/>
  <c r="H2581" i="1"/>
  <c r="G2581" i="1"/>
  <c r="E2581" i="1"/>
  <c r="H2580" i="1"/>
  <c r="G2580" i="1"/>
  <c r="E2580" i="1"/>
  <c r="H2579" i="1"/>
  <c r="G2579" i="1"/>
  <c r="E2579" i="1"/>
  <c r="H2578" i="1"/>
  <c r="G2578" i="1"/>
  <c r="E2578" i="1"/>
  <c r="H2577" i="1"/>
  <c r="G2577" i="1"/>
  <c r="E2577" i="1"/>
  <c r="H2576" i="1"/>
  <c r="G2576" i="1"/>
  <c r="E2576" i="1"/>
  <c r="H2575" i="1"/>
  <c r="G2575" i="1"/>
  <c r="E2575" i="1"/>
  <c r="H2574" i="1"/>
  <c r="G2574" i="1"/>
  <c r="E2574" i="1"/>
  <c r="H2573" i="1"/>
  <c r="G2573" i="1"/>
  <c r="E2573" i="1"/>
  <c r="H2572" i="1"/>
  <c r="G2572" i="1"/>
  <c r="E2572" i="1"/>
  <c r="H2571" i="1"/>
  <c r="G2571" i="1"/>
  <c r="E2571" i="1"/>
  <c r="H2570" i="1"/>
  <c r="G2570" i="1"/>
  <c r="E2570" i="1"/>
  <c r="H2569" i="1"/>
  <c r="G2569" i="1"/>
  <c r="E2569" i="1"/>
  <c r="H2568" i="1"/>
  <c r="G2568" i="1"/>
  <c r="E2568" i="1"/>
  <c r="H2567" i="1"/>
  <c r="G2567" i="1"/>
  <c r="E2567" i="1"/>
  <c r="H2566" i="1"/>
  <c r="G2566" i="1"/>
  <c r="E2566" i="1"/>
  <c r="H2565" i="1"/>
  <c r="G2565" i="1"/>
  <c r="E2565" i="1"/>
  <c r="H2564" i="1"/>
  <c r="G2564" i="1"/>
  <c r="E2564" i="1"/>
  <c r="H2563" i="1"/>
  <c r="G2563" i="1"/>
  <c r="E2563" i="1"/>
  <c r="H2562" i="1"/>
  <c r="G2562" i="1"/>
  <c r="E2562" i="1"/>
  <c r="H2561" i="1"/>
  <c r="G2561" i="1"/>
  <c r="E2561" i="1"/>
  <c r="H2560" i="1"/>
  <c r="G2560" i="1"/>
  <c r="E2560" i="1"/>
  <c r="H2559" i="1"/>
  <c r="G2559" i="1"/>
  <c r="E2559" i="1"/>
  <c r="H2558" i="1"/>
  <c r="G2558" i="1"/>
  <c r="E2558" i="1"/>
  <c r="H2557" i="1"/>
  <c r="G2557" i="1"/>
  <c r="E2557" i="1"/>
  <c r="H2556" i="1"/>
  <c r="G2556" i="1"/>
  <c r="E2556" i="1"/>
  <c r="H2555" i="1"/>
  <c r="G2555" i="1"/>
  <c r="E2555" i="1"/>
  <c r="H2554" i="1"/>
  <c r="G2554" i="1"/>
  <c r="E2554" i="1"/>
  <c r="H2553" i="1"/>
  <c r="G2553" i="1"/>
  <c r="E2553" i="1"/>
  <c r="H2552" i="1"/>
  <c r="G2552" i="1"/>
  <c r="E2552" i="1"/>
  <c r="H2551" i="1"/>
  <c r="G2551" i="1"/>
  <c r="E2551" i="1"/>
  <c r="H2550" i="1"/>
  <c r="G2550" i="1"/>
  <c r="E2550" i="1"/>
  <c r="H2549" i="1"/>
  <c r="G2549" i="1"/>
  <c r="E2549" i="1"/>
  <c r="H2548" i="1"/>
  <c r="G2548" i="1"/>
  <c r="E2548" i="1"/>
  <c r="H2547" i="1"/>
  <c r="G2547" i="1"/>
  <c r="E2547" i="1"/>
  <c r="H2546" i="1"/>
  <c r="G2546" i="1"/>
  <c r="E2546" i="1"/>
  <c r="H2545" i="1"/>
  <c r="G2545" i="1"/>
  <c r="E2545" i="1"/>
  <c r="H2544" i="1"/>
  <c r="G2544" i="1"/>
  <c r="E2544" i="1"/>
  <c r="H2543" i="1"/>
  <c r="G2543" i="1"/>
  <c r="E2543" i="1"/>
  <c r="H2542" i="1"/>
  <c r="G2542" i="1"/>
  <c r="E2542" i="1"/>
  <c r="H2541" i="1"/>
  <c r="G2541" i="1"/>
  <c r="E2541" i="1"/>
  <c r="H2540" i="1"/>
  <c r="G2540" i="1"/>
  <c r="E2540" i="1"/>
  <c r="H2539" i="1"/>
  <c r="G2539" i="1"/>
  <c r="E2539" i="1"/>
  <c r="H2538" i="1"/>
  <c r="G2538" i="1"/>
  <c r="E2538" i="1"/>
  <c r="H2537" i="1"/>
  <c r="G2537" i="1"/>
  <c r="E2537" i="1"/>
  <c r="H2536" i="1"/>
  <c r="G2536" i="1"/>
  <c r="E2536" i="1"/>
  <c r="H2535" i="1"/>
  <c r="G2535" i="1"/>
  <c r="E2535" i="1"/>
  <c r="H2534" i="1"/>
  <c r="G2534" i="1"/>
  <c r="E2534" i="1"/>
  <c r="H2533" i="1"/>
  <c r="G2533" i="1"/>
  <c r="E2533" i="1"/>
  <c r="H2532" i="1"/>
  <c r="G2532" i="1"/>
  <c r="E2532" i="1"/>
  <c r="H2531" i="1"/>
  <c r="G2531" i="1"/>
  <c r="E2531" i="1"/>
  <c r="H2530" i="1"/>
  <c r="G2530" i="1"/>
  <c r="E2530" i="1"/>
  <c r="H2529" i="1"/>
  <c r="G2529" i="1"/>
  <c r="E2529" i="1"/>
  <c r="H2528" i="1"/>
  <c r="G2528" i="1"/>
  <c r="E2528" i="1"/>
  <c r="H2527" i="1"/>
  <c r="G2527" i="1"/>
  <c r="E2527" i="1"/>
  <c r="H2526" i="1"/>
  <c r="G2526" i="1"/>
  <c r="E2526" i="1"/>
  <c r="H2525" i="1"/>
  <c r="G2525" i="1"/>
  <c r="E2525" i="1"/>
  <c r="H2524" i="1"/>
  <c r="G2524" i="1"/>
  <c r="E2524" i="1"/>
  <c r="H2523" i="1"/>
  <c r="G2523" i="1"/>
  <c r="E2523" i="1"/>
  <c r="H2522" i="1"/>
  <c r="G2522" i="1"/>
  <c r="E2522" i="1"/>
  <c r="H2521" i="1"/>
  <c r="G2521" i="1"/>
  <c r="E2521" i="1"/>
  <c r="H2520" i="1"/>
  <c r="G2520" i="1"/>
  <c r="E2520" i="1"/>
  <c r="H2519" i="1"/>
  <c r="G2519" i="1"/>
  <c r="E2519" i="1"/>
  <c r="H2518" i="1"/>
  <c r="G2518" i="1"/>
  <c r="E2518" i="1"/>
  <c r="H2517" i="1"/>
  <c r="G2517" i="1"/>
  <c r="E2517" i="1"/>
  <c r="H2516" i="1"/>
  <c r="G2516" i="1"/>
  <c r="E2516" i="1"/>
  <c r="H2515" i="1"/>
  <c r="G2515" i="1"/>
  <c r="E2515" i="1"/>
  <c r="H2514" i="1"/>
  <c r="G2514" i="1"/>
  <c r="E2514" i="1"/>
  <c r="H2513" i="1"/>
  <c r="G2513" i="1"/>
  <c r="E2513" i="1"/>
  <c r="H2512" i="1"/>
  <c r="G2512" i="1"/>
  <c r="E2512" i="1"/>
  <c r="H2511" i="1"/>
  <c r="G2511" i="1"/>
  <c r="E2511" i="1"/>
  <c r="H2510" i="1"/>
  <c r="G2510" i="1"/>
  <c r="E2510" i="1"/>
  <c r="H2509" i="1"/>
  <c r="G2509" i="1"/>
  <c r="E2509" i="1"/>
  <c r="H2508" i="1"/>
  <c r="G2508" i="1"/>
  <c r="E2508" i="1"/>
  <c r="H2507" i="1"/>
  <c r="G2507" i="1"/>
  <c r="E2507" i="1"/>
  <c r="H2506" i="1"/>
  <c r="G2506" i="1"/>
  <c r="E2506" i="1"/>
  <c r="H2505" i="1"/>
  <c r="G2505" i="1"/>
  <c r="E2505" i="1"/>
  <c r="H2504" i="1"/>
  <c r="G2504" i="1"/>
  <c r="E2504" i="1"/>
  <c r="H2503" i="1"/>
  <c r="G2503" i="1"/>
  <c r="E2503" i="1"/>
  <c r="H2502" i="1"/>
  <c r="G2502" i="1"/>
  <c r="E2502" i="1"/>
  <c r="H2501" i="1"/>
  <c r="G2501" i="1"/>
  <c r="E2501" i="1"/>
  <c r="H2500" i="1"/>
  <c r="G2500" i="1"/>
  <c r="E2500" i="1"/>
  <c r="H2499" i="1"/>
  <c r="G2499" i="1"/>
  <c r="E2499" i="1"/>
  <c r="H2498" i="1"/>
  <c r="G2498" i="1"/>
  <c r="E2498" i="1"/>
  <c r="H2497" i="1"/>
  <c r="G2497" i="1"/>
  <c r="E2497" i="1"/>
  <c r="H2496" i="1"/>
  <c r="G2496" i="1"/>
  <c r="E2496" i="1"/>
  <c r="H2495" i="1"/>
  <c r="G2495" i="1"/>
  <c r="E2495" i="1"/>
  <c r="H2494" i="1"/>
  <c r="G2494" i="1"/>
  <c r="E2494" i="1"/>
  <c r="H2493" i="1"/>
  <c r="G2493" i="1"/>
  <c r="E2493" i="1"/>
  <c r="H2492" i="1"/>
  <c r="G2492" i="1"/>
  <c r="E2492" i="1"/>
  <c r="H2491" i="1"/>
  <c r="G2491" i="1"/>
  <c r="E2491" i="1"/>
  <c r="H2490" i="1"/>
  <c r="G2490" i="1"/>
  <c r="E2490" i="1"/>
  <c r="H2489" i="1"/>
  <c r="G2489" i="1"/>
  <c r="E2489" i="1"/>
  <c r="H2488" i="1"/>
  <c r="G2488" i="1"/>
  <c r="E2488" i="1"/>
  <c r="H2487" i="1"/>
  <c r="G2487" i="1"/>
  <c r="E2487" i="1"/>
  <c r="H2486" i="1"/>
  <c r="G2486" i="1"/>
  <c r="E2486" i="1"/>
  <c r="H2485" i="1"/>
  <c r="G2485" i="1"/>
  <c r="E2485" i="1"/>
  <c r="H2484" i="1"/>
  <c r="G2484" i="1"/>
  <c r="E2484" i="1"/>
  <c r="H2483" i="1"/>
  <c r="G2483" i="1"/>
  <c r="E2483" i="1"/>
  <c r="H2482" i="1"/>
  <c r="G2482" i="1"/>
  <c r="E2482" i="1"/>
  <c r="H2481" i="1"/>
  <c r="G2481" i="1"/>
  <c r="E2481" i="1"/>
  <c r="H2480" i="1"/>
  <c r="G2480" i="1"/>
  <c r="E2480" i="1"/>
  <c r="H2479" i="1"/>
  <c r="G2479" i="1"/>
  <c r="E2479" i="1"/>
  <c r="H2478" i="1"/>
  <c r="G2478" i="1"/>
  <c r="E2478" i="1"/>
  <c r="H2477" i="1"/>
  <c r="G2477" i="1"/>
  <c r="E2477" i="1"/>
  <c r="H2476" i="1"/>
  <c r="G2476" i="1"/>
  <c r="E2476" i="1"/>
  <c r="H2475" i="1"/>
  <c r="G2475" i="1"/>
  <c r="E2475" i="1"/>
  <c r="H2474" i="1"/>
  <c r="G2474" i="1"/>
  <c r="E2474" i="1"/>
  <c r="H2473" i="1"/>
  <c r="G2473" i="1"/>
  <c r="E2473" i="1"/>
  <c r="H2472" i="1"/>
  <c r="G2472" i="1"/>
  <c r="E2472" i="1"/>
  <c r="H2471" i="1"/>
  <c r="G2471" i="1"/>
  <c r="E2471" i="1"/>
  <c r="H2470" i="1"/>
  <c r="G2470" i="1"/>
  <c r="E2470" i="1"/>
  <c r="H2469" i="1"/>
  <c r="G2469" i="1"/>
  <c r="E2469" i="1"/>
  <c r="H2468" i="1"/>
  <c r="G2468" i="1"/>
  <c r="E2468" i="1"/>
  <c r="H2467" i="1"/>
  <c r="G2467" i="1"/>
  <c r="E2467" i="1"/>
  <c r="H2466" i="1"/>
  <c r="G2466" i="1"/>
  <c r="E2466" i="1"/>
  <c r="H2465" i="1"/>
  <c r="G2465" i="1"/>
  <c r="E2465" i="1"/>
  <c r="H2464" i="1"/>
  <c r="G2464" i="1"/>
  <c r="E2464" i="1"/>
  <c r="H2463" i="1"/>
  <c r="G2463" i="1"/>
  <c r="E2463" i="1"/>
  <c r="H2462" i="1"/>
  <c r="G2462" i="1"/>
  <c r="E2462" i="1"/>
  <c r="H2461" i="1"/>
  <c r="G2461" i="1"/>
  <c r="E2461" i="1"/>
  <c r="H2460" i="1"/>
  <c r="G2460" i="1"/>
  <c r="E2460" i="1"/>
  <c r="H2459" i="1"/>
  <c r="G2459" i="1"/>
  <c r="E2459" i="1"/>
  <c r="H2458" i="1"/>
  <c r="G2458" i="1"/>
  <c r="E2458" i="1"/>
  <c r="H2457" i="1"/>
  <c r="G2457" i="1"/>
  <c r="E2457" i="1"/>
  <c r="H2456" i="1"/>
  <c r="G2456" i="1"/>
  <c r="E2456" i="1"/>
  <c r="H2455" i="1"/>
  <c r="G2455" i="1"/>
  <c r="E2455" i="1"/>
  <c r="H2454" i="1"/>
  <c r="G2454" i="1"/>
  <c r="E2454" i="1"/>
  <c r="H2453" i="1"/>
  <c r="G2453" i="1"/>
  <c r="E2453" i="1"/>
  <c r="H2452" i="1"/>
  <c r="G2452" i="1"/>
  <c r="E2452" i="1"/>
  <c r="H2451" i="1"/>
  <c r="G2451" i="1"/>
  <c r="E2451" i="1"/>
  <c r="H2450" i="1"/>
  <c r="G2450" i="1"/>
  <c r="E2450" i="1"/>
  <c r="H2449" i="1"/>
  <c r="G2449" i="1"/>
  <c r="E2449" i="1"/>
  <c r="H2448" i="1"/>
  <c r="G2448" i="1"/>
  <c r="E2448" i="1"/>
  <c r="H2447" i="1"/>
  <c r="G2447" i="1"/>
  <c r="E2447" i="1"/>
  <c r="H2446" i="1"/>
  <c r="G2446" i="1"/>
  <c r="E2446" i="1"/>
  <c r="H2445" i="1"/>
  <c r="G2445" i="1"/>
  <c r="E2445" i="1"/>
  <c r="H2444" i="1"/>
  <c r="G2444" i="1"/>
  <c r="E2444" i="1"/>
  <c r="H2443" i="1"/>
  <c r="G2443" i="1"/>
  <c r="E2443" i="1"/>
  <c r="H2442" i="1"/>
  <c r="G2442" i="1"/>
  <c r="E2442" i="1"/>
  <c r="H2441" i="1"/>
  <c r="G2441" i="1"/>
  <c r="E2441" i="1"/>
  <c r="H2440" i="1"/>
  <c r="G2440" i="1"/>
  <c r="E2440" i="1"/>
  <c r="H2439" i="1"/>
  <c r="G2439" i="1"/>
  <c r="E2439" i="1"/>
  <c r="H2438" i="1"/>
  <c r="G2438" i="1"/>
  <c r="E2438" i="1"/>
  <c r="H2437" i="1"/>
  <c r="G2437" i="1"/>
  <c r="E2437" i="1"/>
  <c r="H2436" i="1"/>
  <c r="G2436" i="1"/>
  <c r="E2436" i="1"/>
  <c r="H2435" i="1"/>
  <c r="G2435" i="1"/>
  <c r="E2435" i="1"/>
  <c r="H2434" i="1"/>
  <c r="G2434" i="1"/>
  <c r="E2434" i="1"/>
  <c r="H2433" i="1"/>
  <c r="G2433" i="1"/>
  <c r="E2433" i="1"/>
  <c r="H2432" i="1"/>
  <c r="G2432" i="1"/>
  <c r="E2432" i="1"/>
  <c r="H2431" i="1"/>
  <c r="G2431" i="1"/>
  <c r="E2431" i="1"/>
  <c r="H2430" i="1"/>
  <c r="G2430" i="1"/>
  <c r="E2430" i="1"/>
  <c r="H2429" i="1"/>
  <c r="G2429" i="1"/>
  <c r="E2429" i="1"/>
  <c r="H2428" i="1"/>
  <c r="G2428" i="1"/>
  <c r="E2428" i="1"/>
  <c r="H2427" i="1"/>
  <c r="G2427" i="1"/>
  <c r="E2427" i="1"/>
  <c r="H2426" i="1"/>
  <c r="G2426" i="1"/>
  <c r="E2426" i="1"/>
  <c r="H2425" i="1"/>
  <c r="G2425" i="1"/>
  <c r="E2425" i="1"/>
  <c r="H2424" i="1"/>
  <c r="G2424" i="1"/>
  <c r="E2424" i="1"/>
  <c r="H2423" i="1"/>
  <c r="G2423" i="1"/>
  <c r="E2423" i="1"/>
  <c r="H2422" i="1"/>
  <c r="G2422" i="1"/>
  <c r="E2422" i="1"/>
  <c r="H2421" i="1"/>
  <c r="G2421" i="1"/>
  <c r="E2421" i="1"/>
  <c r="H2420" i="1"/>
  <c r="G2420" i="1"/>
  <c r="E2420" i="1"/>
  <c r="H2419" i="1"/>
  <c r="G2419" i="1"/>
  <c r="E2419" i="1"/>
  <c r="H2418" i="1"/>
  <c r="G2418" i="1"/>
  <c r="E2418" i="1"/>
  <c r="H2417" i="1"/>
  <c r="G2417" i="1"/>
  <c r="E2417" i="1"/>
  <c r="H2416" i="1"/>
  <c r="G2416" i="1"/>
  <c r="E2416" i="1"/>
  <c r="H2415" i="1"/>
  <c r="G2415" i="1"/>
  <c r="E2415" i="1"/>
  <c r="H2414" i="1"/>
  <c r="G2414" i="1"/>
  <c r="E2414" i="1"/>
  <c r="H2413" i="1"/>
  <c r="G2413" i="1"/>
  <c r="E2413" i="1"/>
  <c r="H2412" i="1"/>
  <c r="G2412" i="1"/>
  <c r="E2412" i="1"/>
  <c r="H2411" i="1"/>
  <c r="G2411" i="1"/>
  <c r="E2411" i="1"/>
  <c r="H2410" i="1"/>
  <c r="G2410" i="1"/>
  <c r="E2410" i="1"/>
  <c r="H2409" i="1"/>
  <c r="G2409" i="1"/>
  <c r="E2409" i="1"/>
  <c r="H2408" i="1"/>
  <c r="G2408" i="1"/>
  <c r="E2408" i="1"/>
  <c r="H2407" i="1"/>
  <c r="G2407" i="1"/>
  <c r="E2407" i="1"/>
  <c r="H2406" i="1"/>
  <c r="G2406" i="1"/>
  <c r="E2406" i="1"/>
  <c r="H2405" i="1"/>
  <c r="G2405" i="1"/>
  <c r="E2405" i="1"/>
  <c r="H2404" i="1"/>
  <c r="G2404" i="1"/>
  <c r="E2404" i="1"/>
  <c r="H2403" i="1"/>
  <c r="G2403" i="1"/>
  <c r="E2403" i="1"/>
  <c r="H2402" i="1"/>
  <c r="G2402" i="1"/>
  <c r="E2402" i="1"/>
  <c r="H2401" i="1"/>
  <c r="G2401" i="1"/>
  <c r="E2401" i="1"/>
  <c r="H2400" i="1"/>
  <c r="G2400" i="1"/>
  <c r="E2400" i="1"/>
  <c r="H2399" i="1"/>
  <c r="G2399" i="1"/>
  <c r="E2399" i="1"/>
  <c r="H2398" i="1"/>
  <c r="G2398" i="1"/>
  <c r="E2398" i="1"/>
  <c r="H2397" i="1"/>
  <c r="G2397" i="1"/>
  <c r="E2397" i="1"/>
  <c r="H2396" i="1"/>
  <c r="G2396" i="1"/>
  <c r="E2396" i="1"/>
  <c r="H2395" i="1"/>
  <c r="G2395" i="1"/>
  <c r="E2395" i="1"/>
  <c r="H2394" i="1"/>
  <c r="G2394" i="1"/>
  <c r="E2394" i="1"/>
  <c r="H2393" i="1"/>
  <c r="G2393" i="1"/>
  <c r="E2393" i="1"/>
  <c r="H2392" i="1"/>
  <c r="G2392" i="1"/>
  <c r="E2392" i="1"/>
  <c r="H2391" i="1"/>
  <c r="G2391" i="1"/>
  <c r="E2391" i="1"/>
  <c r="H2390" i="1"/>
  <c r="G2390" i="1"/>
  <c r="E2390" i="1"/>
  <c r="H2389" i="1"/>
  <c r="G2389" i="1"/>
  <c r="E2389" i="1"/>
  <c r="H2388" i="1"/>
  <c r="G2388" i="1"/>
  <c r="E2388" i="1"/>
  <c r="H2387" i="1"/>
  <c r="G2387" i="1"/>
  <c r="E2387" i="1"/>
  <c r="H2386" i="1"/>
  <c r="G2386" i="1"/>
  <c r="E2386" i="1"/>
  <c r="H2385" i="1"/>
  <c r="G2385" i="1"/>
  <c r="E2385" i="1"/>
  <c r="H2384" i="1"/>
  <c r="G2384" i="1"/>
  <c r="E2384" i="1"/>
  <c r="H2383" i="1"/>
  <c r="G2383" i="1"/>
  <c r="E2383" i="1"/>
  <c r="H2382" i="1"/>
  <c r="G2382" i="1"/>
  <c r="E2382" i="1"/>
  <c r="H2381" i="1"/>
  <c r="G2381" i="1"/>
  <c r="E2381" i="1"/>
  <c r="H2380" i="1"/>
  <c r="G2380" i="1"/>
  <c r="E2380" i="1"/>
  <c r="H2379" i="1"/>
  <c r="G2379" i="1"/>
  <c r="E2379" i="1"/>
  <c r="H2378" i="1"/>
  <c r="G2378" i="1"/>
  <c r="E2378" i="1"/>
  <c r="H2377" i="1"/>
  <c r="G2377" i="1"/>
  <c r="E2377" i="1"/>
  <c r="H2376" i="1"/>
  <c r="G2376" i="1"/>
  <c r="E2376" i="1"/>
  <c r="H2375" i="1"/>
  <c r="G2375" i="1"/>
  <c r="E2375" i="1"/>
  <c r="H2374" i="1"/>
  <c r="G2374" i="1"/>
  <c r="E2374" i="1"/>
  <c r="H2373" i="1"/>
  <c r="G2373" i="1"/>
  <c r="E2373" i="1"/>
  <c r="H2372" i="1"/>
  <c r="G2372" i="1"/>
  <c r="E2372" i="1"/>
  <c r="H2371" i="1"/>
  <c r="G2371" i="1"/>
  <c r="E2371" i="1"/>
  <c r="H2370" i="1"/>
  <c r="G2370" i="1"/>
  <c r="E2370" i="1"/>
  <c r="H2369" i="1"/>
  <c r="G2369" i="1"/>
  <c r="E2369" i="1"/>
  <c r="H2368" i="1"/>
  <c r="G2368" i="1"/>
  <c r="E2368" i="1"/>
  <c r="H2367" i="1"/>
  <c r="G2367" i="1"/>
  <c r="E2367" i="1"/>
  <c r="H2366" i="1"/>
  <c r="G2366" i="1"/>
  <c r="E2366" i="1"/>
  <c r="H2365" i="1"/>
  <c r="G2365" i="1"/>
  <c r="E2365" i="1"/>
  <c r="H2364" i="1"/>
  <c r="G2364" i="1"/>
  <c r="E2364" i="1"/>
  <c r="H2363" i="1"/>
  <c r="G2363" i="1"/>
  <c r="E2363" i="1"/>
  <c r="H2362" i="1"/>
  <c r="G2362" i="1"/>
  <c r="E2362" i="1"/>
  <c r="H2361" i="1"/>
  <c r="G2361" i="1"/>
  <c r="E2361" i="1"/>
  <c r="H2360" i="1"/>
  <c r="G2360" i="1"/>
  <c r="E2360" i="1"/>
  <c r="H2359" i="1"/>
  <c r="G2359" i="1"/>
  <c r="E2359" i="1"/>
  <c r="H2358" i="1"/>
  <c r="G2358" i="1"/>
  <c r="E2358" i="1"/>
  <c r="H2357" i="1"/>
  <c r="G2357" i="1"/>
  <c r="E2357" i="1"/>
  <c r="H2356" i="1"/>
  <c r="G2356" i="1"/>
  <c r="E2356" i="1"/>
  <c r="H2355" i="1"/>
  <c r="G2355" i="1"/>
  <c r="E2355" i="1"/>
  <c r="H2354" i="1"/>
  <c r="G2354" i="1"/>
  <c r="E2354" i="1"/>
  <c r="H2353" i="1"/>
  <c r="G2353" i="1"/>
  <c r="E2353" i="1"/>
  <c r="H2352" i="1"/>
  <c r="G2352" i="1"/>
  <c r="E2352" i="1"/>
  <c r="H2351" i="1"/>
  <c r="G2351" i="1"/>
  <c r="E2351" i="1"/>
  <c r="H2350" i="1"/>
  <c r="G2350" i="1"/>
  <c r="E2350" i="1"/>
  <c r="H2349" i="1"/>
  <c r="G2349" i="1"/>
  <c r="E2349" i="1"/>
  <c r="H2348" i="1"/>
  <c r="G2348" i="1"/>
  <c r="E2348" i="1"/>
  <c r="H2347" i="1"/>
  <c r="G2347" i="1"/>
  <c r="E2347" i="1"/>
  <c r="H2346" i="1"/>
  <c r="G2346" i="1"/>
  <c r="E2346" i="1"/>
  <c r="H2345" i="1"/>
  <c r="G2345" i="1"/>
  <c r="E2345" i="1"/>
  <c r="H2344" i="1"/>
  <c r="G2344" i="1"/>
  <c r="E2344" i="1"/>
  <c r="H2343" i="1"/>
  <c r="G2343" i="1"/>
  <c r="E2343" i="1"/>
  <c r="H2342" i="1"/>
  <c r="G2342" i="1"/>
  <c r="E2342" i="1"/>
  <c r="H2341" i="1"/>
  <c r="G2341" i="1"/>
  <c r="E2341" i="1"/>
  <c r="H2340" i="1"/>
  <c r="G2340" i="1"/>
  <c r="E2340" i="1"/>
  <c r="H2339" i="1"/>
  <c r="G2339" i="1"/>
  <c r="E2339" i="1"/>
  <c r="H2338" i="1"/>
  <c r="G2338" i="1"/>
  <c r="E2338" i="1"/>
  <c r="H2337" i="1"/>
  <c r="G2337" i="1"/>
  <c r="E2337" i="1"/>
  <c r="H2336" i="1"/>
  <c r="G2336" i="1"/>
  <c r="E2336" i="1"/>
  <c r="H2335" i="1"/>
  <c r="G2335" i="1"/>
  <c r="E2335" i="1"/>
  <c r="H2334" i="1"/>
  <c r="G2334" i="1"/>
  <c r="E2334" i="1"/>
  <c r="H2333" i="1"/>
  <c r="G2333" i="1"/>
  <c r="E2333" i="1"/>
  <c r="H2332" i="1"/>
  <c r="G2332" i="1"/>
  <c r="E2332" i="1"/>
  <c r="H2331" i="1"/>
  <c r="G2331" i="1"/>
  <c r="E2331" i="1"/>
  <c r="H2330" i="1"/>
  <c r="G2330" i="1"/>
  <c r="E2330" i="1"/>
  <c r="H2329" i="1"/>
  <c r="G2329" i="1"/>
  <c r="E2329" i="1"/>
  <c r="H2328" i="1"/>
  <c r="G2328" i="1"/>
  <c r="E2328" i="1"/>
  <c r="H2327" i="1"/>
  <c r="G2327" i="1"/>
  <c r="E2327" i="1"/>
  <c r="H2326" i="1"/>
  <c r="G2326" i="1"/>
  <c r="E2326" i="1"/>
  <c r="H2325" i="1"/>
  <c r="G2325" i="1"/>
  <c r="E2325" i="1"/>
  <c r="H2324" i="1"/>
  <c r="G2324" i="1"/>
  <c r="E2324" i="1"/>
  <c r="H2323" i="1"/>
  <c r="G2323" i="1"/>
  <c r="E2323" i="1"/>
  <c r="H2322" i="1"/>
  <c r="G2322" i="1"/>
  <c r="E2322" i="1"/>
  <c r="H2321" i="1"/>
  <c r="G2321" i="1"/>
  <c r="E2321" i="1"/>
  <c r="H2320" i="1"/>
  <c r="G2320" i="1"/>
  <c r="E2320" i="1"/>
  <c r="H2319" i="1"/>
  <c r="G2319" i="1"/>
  <c r="E2319" i="1"/>
  <c r="H2318" i="1"/>
  <c r="G2318" i="1"/>
  <c r="E2318" i="1"/>
  <c r="H2317" i="1"/>
  <c r="G2317" i="1"/>
  <c r="E2317" i="1"/>
  <c r="H2316" i="1"/>
  <c r="G2316" i="1"/>
  <c r="E2316" i="1"/>
  <c r="H2315" i="1"/>
  <c r="G2315" i="1"/>
  <c r="E2315" i="1"/>
  <c r="H2314" i="1"/>
  <c r="G2314" i="1"/>
  <c r="E2314" i="1"/>
  <c r="H2313" i="1"/>
  <c r="G2313" i="1"/>
  <c r="E2313" i="1"/>
  <c r="H2312" i="1"/>
  <c r="G2312" i="1"/>
  <c r="E2312" i="1"/>
  <c r="H2311" i="1"/>
  <c r="G2311" i="1"/>
  <c r="E2311" i="1"/>
  <c r="H2310" i="1"/>
  <c r="G2310" i="1"/>
  <c r="E2310" i="1"/>
  <c r="H2309" i="1"/>
  <c r="G2309" i="1"/>
  <c r="E2309" i="1"/>
  <c r="H2308" i="1"/>
  <c r="G2308" i="1"/>
  <c r="E2308" i="1"/>
  <c r="H2307" i="1"/>
  <c r="G2307" i="1"/>
  <c r="E2307" i="1"/>
  <c r="H2306" i="1"/>
  <c r="G2306" i="1"/>
  <c r="E2306" i="1"/>
  <c r="H2305" i="1"/>
  <c r="G2305" i="1"/>
  <c r="E2305" i="1"/>
  <c r="H2304" i="1"/>
  <c r="G2304" i="1"/>
  <c r="E2304" i="1"/>
  <c r="H2303" i="1"/>
  <c r="G2303" i="1"/>
  <c r="E2303" i="1"/>
  <c r="H2302" i="1"/>
  <c r="G2302" i="1"/>
  <c r="E2302" i="1"/>
  <c r="H2301" i="1"/>
  <c r="G2301" i="1"/>
  <c r="E2301" i="1"/>
  <c r="H2300" i="1"/>
  <c r="G2300" i="1"/>
  <c r="E2300" i="1"/>
  <c r="H2299" i="1"/>
  <c r="G2299" i="1"/>
  <c r="E2299" i="1"/>
  <c r="H2298" i="1"/>
  <c r="G2298" i="1"/>
  <c r="E2298" i="1"/>
  <c r="H2297" i="1"/>
  <c r="G2297" i="1"/>
  <c r="E2297" i="1"/>
  <c r="H2296" i="1"/>
  <c r="G2296" i="1"/>
  <c r="E2296" i="1"/>
  <c r="H2295" i="1"/>
  <c r="G2295" i="1"/>
  <c r="E2295" i="1"/>
  <c r="H2294" i="1"/>
  <c r="G2294" i="1"/>
  <c r="E2294" i="1"/>
  <c r="H2293" i="1"/>
  <c r="G2293" i="1"/>
  <c r="E2293" i="1"/>
  <c r="H2292" i="1"/>
  <c r="G2292" i="1"/>
  <c r="E2292" i="1"/>
  <c r="H2291" i="1"/>
  <c r="G2291" i="1"/>
  <c r="E2291" i="1"/>
  <c r="H2290" i="1"/>
  <c r="G2290" i="1"/>
  <c r="E2290" i="1"/>
  <c r="H2289" i="1"/>
  <c r="G2289" i="1"/>
  <c r="E2289" i="1"/>
  <c r="H2288" i="1"/>
  <c r="G2288" i="1"/>
  <c r="E2288" i="1"/>
  <c r="H2287" i="1"/>
  <c r="G2287" i="1"/>
  <c r="E2287" i="1"/>
  <c r="H2286" i="1"/>
  <c r="G2286" i="1"/>
  <c r="E2286" i="1"/>
  <c r="H2285" i="1"/>
  <c r="G2285" i="1"/>
  <c r="E2285" i="1"/>
  <c r="H2284" i="1"/>
  <c r="G2284" i="1"/>
  <c r="E2284" i="1"/>
  <c r="H2283" i="1"/>
  <c r="G2283" i="1"/>
  <c r="E2283" i="1"/>
  <c r="H2282" i="1"/>
  <c r="G2282" i="1"/>
  <c r="E2282" i="1"/>
  <c r="H2281" i="1"/>
  <c r="G2281" i="1"/>
  <c r="E2281" i="1"/>
  <c r="H2280" i="1"/>
  <c r="G2280" i="1"/>
  <c r="E2280" i="1"/>
  <c r="H2279" i="1"/>
  <c r="G2279" i="1"/>
  <c r="E2279" i="1"/>
  <c r="H2278" i="1"/>
  <c r="G2278" i="1"/>
  <c r="E2278" i="1"/>
  <c r="H2277" i="1"/>
  <c r="G2277" i="1"/>
  <c r="E2277" i="1"/>
  <c r="H2276" i="1"/>
  <c r="G2276" i="1"/>
  <c r="E2276" i="1"/>
  <c r="H2275" i="1"/>
  <c r="G2275" i="1"/>
  <c r="E2275" i="1"/>
  <c r="H2274" i="1"/>
  <c r="G2274" i="1"/>
  <c r="E2274" i="1"/>
  <c r="H2273" i="1"/>
  <c r="G2273" i="1"/>
  <c r="E2273" i="1"/>
  <c r="H2272" i="1"/>
  <c r="G2272" i="1"/>
  <c r="E2272" i="1"/>
  <c r="H2271" i="1"/>
  <c r="G2271" i="1"/>
  <c r="E2271" i="1"/>
  <c r="H2270" i="1"/>
  <c r="G2270" i="1"/>
  <c r="E2270" i="1"/>
  <c r="H2269" i="1"/>
  <c r="G2269" i="1"/>
  <c r="E2269" i="1"/>
  <c r="H2268" i="1"/>
  <c r="G2268" i="1"/>
  <c r="E2268" i="1"/>
  <c r="H2267" i="1"/>
  <c r="G2267" i="1"/>
  <c r="E2267" i="1"/>
  <c r="H2266" i="1"/>
  <c r="G2266" i="1"/>
  <c r="E2266" i="1"/>
  <c r="H2265" i="1"/>
  <c r="G2265" i="1"/>
  <c r="E2265" i="1"/>
  <c r="H2264" i="1"/>
  <c r="G2264" i="1"/>
  <c r="E2264" i="1"/>
  <c r="H2263" i="1"/>
  <c r="G2263" i="1"/>
  <c r="E2263" i="1"/>
  <c r="H2262" i="1"/>
  <c r="G2262" i="1"/>
  <c r="E2262" i="1"/>
  <c r="H2261" i="1"/>
  <c r="G2261" i="1"/>
  <c r="E2261" i="1"/>
  <c r="H2260" i="1"/>
  <c r="G2260" i="1"/>
  <c r="E2260" i="1"/>
  <c r="H2259" i="1"/>
  <c r="G2259" i="1"/>
  <c r="E2259" i="1"/>
  <c r="H2258" i="1"/>
  <c r="G2258" i="1"/>
  <c r="E2258" i="1"/>
  <c r="H2257" i="1"/>
  <c r="G2257" i="1"/>
  <c r="E2257" i="1"/>
  <c r="H2256" i="1"/>
  <c r="G2256" i="1"/>
  <c r="E2256" i="1"/>
  <c r="H2255" i="1"/>
  <c r="G2255" i="1"/>
  <c r="E2255" i="1"/>
  <c r="H2254" i="1"/>
  <c r="G2254" i="1"/>
  <c r="E2254" i="1"/>
  <c r="H2253" i="1"/>
  <c r="G2253" i="1"/>
  <c r="E2253" i="1"/>
  <c r="H2252" i="1"/>
  <c r="G2252" i="1"/>
  <c r="E2252" i="1"/>
  <c r="H2251" i="1"/>
  <c r="G2251" i="1"/>
  <c r="E2251" i="1"/>
  <c r="H2250" i="1"/>
  <c r="G2250" i="1"/>
  <c r="E2250" i="1"/>
  <c r="H2249" i="1"/>
  <c r="G2249" i="1"/>
  <c r="E2249" i="1"/>
  <c r="H2248" i="1"/>
  <c r="G2248" i="1"/>
  <c r="E2248" i="1"/>
  <c r="H2247" i="1"/>
  <c r="G2247" i="1"/>
  <c r="E2247" i="1"/>
  <c r="H2246" i="1"/>
  <c r="G2246" i="1"/>
  <c r="E2246" i="1"/>
  <c r="H2245" i="1"/>
  <c r="G2245" i="1"/>
  <c r="E2245" i="1"/>
  <c r="H2244" i="1"/>
  <c r="G2244" i="1"/>
  <c r="E2244" i="1"/>
  <c r="H2243" i="1"/>
  <c r="G2243" i="1"/>
  <c r="E2243" i="1"/>
  <c r="H2242" i="1"/>
  <c r="G2242" i="1"/>
  <c r="E2242" i="1"/>
  <c r="H2241" i="1"/>
  <c r="G2241" i="1"/>
  <c r="E2241" i="1"/>
  <c r="H2240" i="1"/>
  <c r="G2240" i="1"/>
  <c r="E2240" i="1"/>
  <c r="H2239" i="1"/>
  <c r="G2239" i="1"/>
  <c r="E2239" i="1"/>
  <c r="H2238" i="1"/>
  <c r="G2238" i="1"/>
  <c r="E2238" i="1"/>
  <c r="H2237" i="1"/>
  <c r="G2237" i="1"/>
  <c r="E2237" i="1"/>
  <c r="H2236" i="1"/>
  <c r="G2236" i="1"/>
  <c r="E2236" i="1"/>
  <c r="H2235" i="1"/>
  <c r="G2235" i="1"/>
  <c r="E2235" i="1"/>
  <c r="H2234" i="1"/>
  <c r="G2234" i="1"/>
  <c r="E2234" i="1"/>
  <c r="H2233" i="1"/>
  <c r="G2233" i="1"/>
  <c r="E2233" i="1"/>
  <c r="H2232" i="1"/>
  <c r="G2232" i="1"/>
  <c r="E2232" i="1"/>
  <c r="H2231" i="1"/>
  <c r="G2231" i="1"/>
  <c r="E2231" i="1"/>
  <c r="H2230" i="1"/>
  <c r="G2230" i="1"/>
  <c r="E2230" i="1"/>
  <c r="H2229" i="1"/>
  <c r="G2229" i="1"/>
  <c r="E2229" i="1"/>
  <c r="H2228" i="1"/>
  <c r="G2228" i="1"/>
  <c r="E2228" i="1"/>
  <c r="H2227" i="1"/>
  <c r="G2227" i="1"/>
  <c r="E2227" i="1"/>
  <c r="H2226" i="1"/>
  <c r="G2226" i="1"/>
  <c r="E2226" i="1"/>
  <c r="H2225" i="1"/>
  <c r="G2225" i="1"/>
  <c r="E2225" i="1"/>
  <c r="H2224" i="1"/>
  <c r="G2224" i="1"/>
  <c r="E2224" i="1"/>
  <c r="H2223" i="1"/>
  <c r="G2223" i="1"/>
  <c r="E2223" i="1"/>
  <c r="H2222" i="1"/>
  <c r="G2222" i="1"/>
  <c r="E2222" i="1"/>
  <c r="H2221" i="1"/>
  <c r="G2221" i="1"/>
  <c r="E2221" i="1"/>
  <c r="H2220" i="1"/>
  <c r="G2220" i="1"/>
  <c r="E2220" i="1"/>
  <c r="H2219" i="1"/>
  <c r="G2219" i="1"/>
  <c r="E2219" i="1"/>
  <c r="H2218" i="1"/>
  <c r="G2218" i="1"/>
  <c r="E2218" i="1"/>
  <c r="H2217" i="1"/>
  <c r="G2217" i="1"/>
  <c r="E2217" i="1"/>
  <c r="H2216" i="1"/>
  <c r="G2216" i="1"/>
  <c r="E2216" i="1"/>
  <c r="H2215" i="1"/>
  <c r="G2215" i="1"/>
  <c r="E2215" i="1"/>
  <c r="H2214" i="1"/>
  <c r="G2214" i="1"/>
  <c r="E2214" i="1"/>
  <c r="H2213" i="1"/>
  <c r="G2213" i="1"/>
  <c r="E2213" i="1"/>
  <c r="H2212" i="1"/>
  <c r="G2212" i="1"/>
  <c r="E2212" i="1"/>
  <c r="H2211" i="1"/>
  <c r="G2211" i="1"/>
  <c r="E2211" i="1"/>
  <c r="H2210" i="1"/>
  <c r="G2210" i="1"/>
  <c r="E2210" i="1"/>
  <c r="H2209" i="1"/>
  <c r="G2209" i="1"/>
  <c r="E2209" i="1"/>
  <c r="H2208" i="1"/>
  <c r="G2208" i="1"/>
  <c r="E2208" i="1"/>
  <c r="H2207" i="1"/>
  <c r="G2207" i="1"/>
  <c r="E2207" i="1"/>
  <c r="H2206" i="1"/>
  <c r="G2206" i="1"/>
  <c r="E2206" i="1"/>
  <c r="H2205" i="1"/>
  <c r="G2205" i="1"/>
  <c r="E2205" i="1"/>
  <c r="H2204" i="1"/>
  <c r="G2204" i="1"/>
  <c r="E2204" i="1"/>
  <c r="H2203" i="1"/>
  <c r="G2203" i="1"/>
  <c r="E2203" i="1"/>
  <c r="H2202" i="1"/>
  <c r="G2202" i="1"/>
  <c r="E2202" i="1"/>
  <c r="H2201" i="1"/>
  <c r="G2201" i="1"/>
  <c r="E2201" i="1"/>
  <c r="H2200" i="1"/>
  <c r="G2200" i="1"/>
  <c r="E2200" i="1"/>
  <c r="H2199" i="1"/>
  <c r="G2199" i="1"/>
  <c r="E2199" i="1"/>
  <c r="H2198" i="1"/>
  <c r="G2198" i="1"/>
  <c r="E2198" i="1"/>
  <c r="H2197" i="1"/>
  <c r="G2197" i="1"/>
  <c r="E2197" i="1"/>
  <c r="H2196" i="1"/>
  <c r="G2196" i="1"/>
  <c r="E2196" i="1"/>
  <c r="H2195" i="1"/>
  <c r="G2195" i="1"/>
  <c r="E2195" i="1"/>
  <c r="H2194" i="1"/>
  <c r="G2194" i="1"/>
  <c r="E2194" i="1"/>
  <c r="H2193" i="1"/>
  <c r="G2193" i="1"/>
  <c r="E2193" i="1"/>
  <c r="H2192" i="1"/>
  <c r="G2192" i="1"/>
  <c r="E2192" i="1"/>
  <c r="H2191" i="1"/>
  <c r="G2191" i="1"/>
  <c r="E2191" i="1"/>
  <c r="H2190" i="1"/>
  <c r="G2190" i="1"/>
  <c r="E2190" i="1"/>
  <c r="H2189" i="1"/>
  <c r="G2189" i="1"/>
  <c r="E2189" i="1"/>
  <c r="H2188" i="1"/>
  <c r="G2188" i="1"/>
  <c r="E2188" i="1"/>
  <c r="H2187" i="1"/>
  <c r="G2187" i="1"/>
  <c r="E2187" i="1"/>
  <c r="H2186" i="1"/>
  <c r="G2186" i="1"/>
  <c r="E2186" i="1"/>
  <c r="H2185" i="1"/>
  <c r="G2185" i="1"/>
  <c r="E2185" i="1"/>
  <c r="H2184" i="1"/>
  <c r="G2184" i="1"/>
  <c r="E2184" i="1"/>
  <c r="H2183" i="1"/>
  <c r="G2183" i="1"/>
  <c r="E2183" i="1"/>
  <c r="H2182" i="1"/>
  <c r="G2182" i="1"/>
  <c r="E2182" i="1"/>
  <c r="H2181" i="1"/>
  <c r="G2181" i="1"/>
  <c r="E2181" i="1"/>
  <c r="H2180" i="1"/>
  <c r="G2180" i="1"/>
  <c r="E2180" i="1"/>
  <c r="H2179" i="1"/>
  <c r="G2179" i="1"/>
  <c r="E2179" i="1"/>
  <c r="H2178" i="1"/>
  <c r="G2178" i="1"/>
  <c r="E2178" i="1"/>
  <c r="H2177" i="1"/>
  <c r="G2177" i="1"/>
  <c r="E2177" i="1"/>
  <c r="H2176" i="1"/>
  <c r="G2176" i="1"/>
  <c r="E2176" i="1"/>
  <c r="H2175" i="1"/>
  <c r="G2175" i="1"/>
  <c r="E2175" i="1"/>
  <c r="H2174" i="1"/>
  <c r="G2174" i="1"/>
  <c r="E2174" i="1"/>
  <c r="H2173" i="1"/>
  <c r="G2173" i="1"/>
  <c r="E2173" i="1"/>
  <c r="H2172" i="1"/>
  <c r="G2172" i="1"/>
  <c r="E2172" i="1"/>
  <c r="H2171" i="1"/>
  <c r="G2171" i="1"/>
  <c r="E2171" i="1"/>
  <c r="H2170" i="1"/>
  <c r="G2170" i="1"/>
  <c r="E2170" i="1"/>
  <c r="H2169" i="1"/>
  <c r="G2169" i="1"/>
  <c r="E2169" i="1"/>
  <c r="H2168" i="1"/>
  <c r="G2168" i="1"/>
  <c r="E2168" i="1"/>
  <c r="H2167" i="1"/>
  <c r="G2167" i="1"/>
  <c r="E2167" i="1"/>
  <c r="H2166" i="1"/>
  <c r="G2166" i="1"/>
  <c r="E2166" i="1"/>
  <c r="H2165" i="1"/>
  <c r="G2165" i="1"/>
  <c r="E2165" i="1"/>
  <c r="H2164" i="1"/>
  <c r="G2164" i="1"/>
  <c r="E2164" i="1"/>
  <c r="H2163" i="1"/>
  <c r="G2163" i="1"/>
  <c r="E2163" i="1"/>
  <c r="H2162" i="1"/>
  <c r="G2162" i="1"/>
  <c r="E2162" i="1"/>
  <c r="H2161" i="1"/>
  <c r="G2161" i="1"/>
  <c r="E2161" i="1"/>
  <c r="H2160" i="1"/>
  <c r="G2160" i="1"/>
  <c r="E2160" i="1"/>
  <c r="H2159" i="1"/>
  <c r="G2159" i="1"/>
  <c r="E2159" i="1"/>
  <c r="H2158" i="1"/>
  <c r="G2158" i="1"/>
  <c r="E2158" i="1"/>
  <c r="H2157" i="1"/>
  <c r="G2157" i="1"/>
  <c r="E2157" i="1"/>
  <c r="H2156" i="1"/>
  <c r="G2156" i="1"/>
  <c r="E2156" i="1"/>
  <c r="H2155" i="1"/>
  <c r="G2155" i="1"/>
  <c r="E2155" i="1"/>
  <c r="H2154" i="1"/>
  <c r="G2154" i="1"/>
  <c r="E2154" i="1"/>
  <c r="H2153" i="1"/>
  <c r="G2153" i="1"/>
  <c r="E2153" i="1"/>
  <c r="H2152" i="1"/>
  <c r="G2152" i="1"/>
  <c r="E2152" i="1"/>
  <c r="H2151" i="1"/>
  <c r="G2151" i="1"/>
  <c r="E2151" i="1"/>
  <c r="H2150" i="1"/>
  <c r="G2150" i="1"/>
  <c r="E2150" i="1"/>
  <c r="H2149" i="1"/>
  <c r="G2149" i="1"/>
  <c r="E2149" i="1"/>
  <c r="H2148" i="1"/>
  <c r="G2148" i="1"/>
  <c r="E2148" i="1"/>
  <c r="H2147" i="1"/>
  <c r="G2147" i="1"/>
  <c r="E2147" i="1"/>
  <c r="H2146" i="1"/>
  <c r="G2146" i="1"/>
  <c r="E2146" i="1"/>
  <c r="H2145" i="1"/>
  <c r="G2145" i="1"/>
  <c r="E2145" i="1"/>
  <c r="H2144" i="1"/>
  <c r="G2144" i="1"/>
  <c r="E2144" i="1"/>
  <c r="H2143" i="1"/>
  <c r="G2143" i="1"/>
  <c r="E2143" i="1"/>
  <c r="H2142" i="1"/>
  <c r="G2142" i="1"/>
  <c r="E2142" i="1"/>
  <c r="H2141" i="1"/>
  <c r="G2141" i="1"/>
  <c r="E2141" i="1"/>
  <c r="H2140" i="1"/>
  <c r="G2140" i="1"/>
  <c r="E2140" i="1"/>
  <c r="H2139" i="1"/>
  <c r="G2139" i="1"/>
  <c r="E2139" i="1"/>
  <c r="H2138" i="1"/>
  <c r="G2138" i="1"/>
  <c r="E2138" i="1"/>
  <c r="H2137" i="1"/>
  <c r="G2137" i="1"/>
  <c r="E2137" i="1"/>
  <c r="H2136" i="1"/>
  <c r="G2136" i="1"/>
  <c r="E2136" i="1"/>
  <c r="H2135" i="1"/>
  <c r="G2135" i="1"/>
  <c r="E2135" i="1"/>
  <c r="H2134" i="1"/>
  <c r="G2134" i="1"/>
  <c r="E2134" i="1"/>
  <c r="H2133" i="1"/>
  <c r="G2133" i="1"/>
  <c r="E2133" i="1"/>
  <c r="H2132" i="1"/>
  <c r="G2132" i="1"/>
  <c r="E2132" i="1"/>
  <c r="H2131" i="1"/>
  <c r="G2131" i="1"/>
  <c r="E2131" i="1"/>
  <c r="H2130" i="1"/>
  <c r="G2130" i="1"/>
  <c r="E2130" i="1"/>
  <c r="H2129" i="1"/>
  <c r="G2129" i="1"/>
  <c r="E2129" i="1"/>
  <c r="H2128" i="1"/>
  <c r="G2128" i="1"/>
  <c r="E2128" i="1"/>
  <c r="H2127" i="1"/>
  <c r="G2127" i="1"/>
  <c r="E2127" i="1"/>
  <c r="H2126" i="1"/>
  <c r="G2126" i="1"/>
  <c r="E2126" i="1"/>
  <c r="H2125" i="1"/>
  <c r="G2125" i="1"/>
  <c r="E2125" i="1"/>
  <c r="H2124" i="1"/>
  <c r="G2124" i="1"/>
  <c r="E2124" i="1"/>
  <c r="H2123" i="1"/>
  <c r="G2123" i="1"/>
  <c r="E2123" i="1"/>
  <c r="H2122" i="1"/>
  <c r="G2122" i="1"/>
  <c r="E2122" i="1"/>
  <c r="H2121" i="1"/>
  <c r="G2121" i="1"/>
  <c r="E2121" i="1"/>
  <c r="H2120" i="1"/>
  <c r="G2120" i="1"/>
  <c r="E2120" i="1"/>
  <c r="H2119" i="1"/>
  <c r="G2119" i="1"/>
  <c r="E2119" i="1"/>
  <c r="H2118" i="1"/>
  <c r="G2118" i="1"/>
  <c r="E2118" i="1"/>
  <c r="H2117" i="1"/>
  <c r="G2117" i="1"/>
  <c r="E2117" i="1"/>
  <c r="H2116" i="1"/>
  <c r="G2116" i="1"/>
  <c r="E2116" i="1"/>
  <c r="H2115" i="1"/>
  <c r="G2115" i="1"/>
  <c r="E2115" i="1"/>
  <c r="H2114" i="1"/>
  <c r="G2114" i="1"/>
  <c r="E2114" i="1"/>
  <c r="H2113" i="1"/>
  <c r="G2113" i="1"/>
  <c r="E2113" i="1"/>
  <c r="H2112" i="1"/>
  <c r="G2112" i="1"/>
  <c r="E2112" i="1"/>
  <c r="H2111" i="1"/>
  <c r="G2111" i="1"/>
  <c r="E2111" i="1"/>
  <c r="H2110" i="1"/>
  <c r="G2110" i="1"/>
  <c r="E2110" i="1"/>
  <c r="H2109" i="1"/>
  <c r="G2109" i="1"/>
  <c r="E2109" i="1"/>
  <c r="H2108" i="1"/>
  <c r="G2108" i="1"/>
  <c r="E2108" i="1"/>
  <c r="H2107" i="1"/>
  <c r="G2107" i="1"/>
  <c r="E2107" i="1"/>
  <c r="H2106" i="1"/>
  <c r="G2106" i="1"/>
  <c r="E2106" i="1"/>
  <c r="H2105" i="1"/>
  <c r="G2105" i="1"/>
  <c r="E2105" i="1"/>
  <c r="H2104" i="1"/>
  <c r="G2104" i="1"/>
  <c r="E2104" i="1"/>
  <c r="H2103" i="1"/>
  <c r="G2103" i="1"/>
  <c r="E2103" i="1"/>
  <c r="H2102" i="1"/>
  <c r="G2102" i="1"/>
  <c r="E2102" i="1"/>
  <c r="H2101" i="1"/>
  <c r="G2101" i="1"/>
  <c r="E2101" i="1"/>
  <c r="H2100" i="1"/>
  <c r="G2100" i="1"/>
  <c r="E2100" i="1"/>
  <c r="H2099" i="1"/>
  <c r="G2099" i="1"/>
  <c r="E2099" i="1"/>
  <c r="H2098" i="1"/>
  <c r="G2098" i="1"/>
  <c r="E2098" i="1"/>
  <c r="H2097" i="1"/>
  <c r="G2097" i="1"/>
  <c r="E2097" i="1"/>
  <c r="H2096" i="1"/>
  <c r="G2096" i="1"/>
  <c r="E2096" i="1"/>
  <c r="H2095" i="1"/>
  <c r="G2095" i="1"/>
  <c r="E2095" i="1"/>
  <c r="H2094" i="1"/>
  <c r="G2094" i="1"/>
  <c r="E2094" i="1"/>
  <c r="H2093" i="1"/>
  <c r="G2093" i="1"/>
  <c r="E2093" i="1"/>
  <c r="H2092" i="1"/>
  <c r="G2092" i="1"/>
  <c r="E2092" i="1"/>
  <c r="H2091" i="1"/>
  <c r="G2091" i="1"/>
  <c r="E2091" i="1"/>
  <c r="H2090" i="1"/>
  <c r="G2090" i="1"/>
  <c r="E2090" i="1"/>
  <c r="H2089" i="1"/>
  <c r="G2089" i="1"/>
  <c r="E2089" i="1"/>
  <c r="H2088" i="1"/>
  <c r="G2088" i="1"/>
  <c r="E2088" i="1"/>
  <c r="H2087" i="1"/>
  <c r="G2087" i="1"/>
  <c r="E2087" i="1"/>
  <c r="H2086" i="1"/>
  <c r="G2086" i="1"/>
  <c r="E2086" i="1"/>
  <c r="H2085" i="1"/>
  <c r="G2085" i="1"/>
  <c r="E2085" i="1"/>
  <c r="H2084" i="1"/>
  <c r="G2084" i="1"/>
  <c r="E2084" i="1"/>
  <c r="H2083" i="1"/>
  <c r="G2083" i="1"/>
  <c r="E2083" i="1"/>
  <c r="H2082" i="1"/>
  <c r="G2082" i="1"/>
  <c r="E2082" i="1"/>
  <c r="H2081" i="1"/>
  <c r="G2081" i="1"/>
  <c r="E2081" i="1"/>
  <c r="H2080" i="1"/>
  <c r="G2080" i="1"/>
  <c r="E2080" i="1"/>
  <c r="H2079" i="1"/>
  <c r="G2079" i="1"/>
  <c r="E2079" i="1"/>
  <c r="H2078" i="1"/>
  <c r="G2078" i="1"/>
  <c r="E2078" i="1"/>
  <c r="H2077" i="1"/>
  <c r="G2077" i="1"/>
  <c r="E2077" i="1"/>
  <c r="H2076" i="1"/>
  <c r="G2076" i="1"/>
  <c r="E2076" i="1"/>
  <c r="H2075" i="1"/>
  <c r="G2075" i="1"/>
  <c r="E2075" i="1"/>
  <c r="H2074" i="1"/>
  <c r="G2074" i="1"/>
  <c r="E2074" i="1"/>
  <c r="H2073" i="1"/>
  <c r="G2073" i="1"/>
  <c r="E2073" i="1"/>
  <c r="H2072" i="1"/>
  <c r="G2072" i="1"/>
  <c r="E2072" i="1"/>
  <c r="H2071" i="1"/>
  <c r="G2071" i="1"/>
  <c r="E2071" i="1"/>
  <c r="H2070" i="1"/>
  <c r="G2070" i="1"/>
  <c r="E2070" i="1"/>
  <c r="H2069" i="1"/>
  <c r="G2069" i="1"/>
  <c r="E2069" i="1"/>
  <c r="H2068" i="1"/>
  <c r="G2068" i="1"/>
  <c r="E2068" i="1"/>
  <c r="H2067" i="1"/>
  <c r="G2067" i="1"/>
  <c r="E2067" i="1"/>
  <c r="H2066" i="1"/>
  <c r="G2066" i="1"/>
  <c r="E2066" i="1"/>
  <c r="H2065" i="1"/>
  <c r="G2065" i="1"/>
  <c r="E2065" i="1"/>
  <c r="H2064" i="1"/>
  <c r="G2064" i="1"/>
  <c r="E2064" i="1"/>
  <c r="H2063" i="1"/>
  <c r="G2063" i="1"/>
  <c r="E2063" i="1"/>
  <c r="H2062" i="1"/>
  <c r="G2062" i="1"/>
  <c r="E2062" i="1"/>
  <c r="H2061" i="1"/>
  <c r="G2061" i="1"/>
  <c r="E2061" i="1"/>
  <c r="H2060" i="1"/>
  <c r="G2060" i="1"/>
  <c r="E2060" i="1"/>
  <c r="H2059" i="1"/>
  <c r="G2059" i="1"/>
  <c r="E2059" i="1"/>
  <c r="H2058" i="1"/>
  <c r="G2058" i="1"/>
  <c r="E2058" i="1"/>
  <c r="H2057" i="1"/>
  <c r="G2057" i="1"/>
  <c r="E2057" i="1"/>
  <c r="H2056" i="1"/>
  <c r="G2056" i="1"/>
  <c r="E2056" i="1"/>
  <c r="H2055" i="1"/>
  <c r="G2055" i="1"/>
  <c r="E2055" i="1"/>
  <c r="H2054" i="1"/>
  <c r="G2054" i="1"/>
  <c r="E2054" i="1"/>
  <c r="H2053" i="1"/>
  <c r="G2053" i="1"/>
  <c r="E2053" i="1"/>
  <c r="H2052" i="1"/>
  <c r="G2052" i="1"/>
  <c r="E2052" i="1"/>
  <c r="H2051" i="1"/>
  <c r="G2051" i="1"/>
  <c r="E2051" i="1"/>
  <c r="H2050" i="1"/>
  <c r="G2050" i="1"/>
  <c r="E2050" i="1"/>
  <c r="H2049" i="1"/>
  <c r="G2049" i="1"/>
  <c r="E2049" i="1"/>
  <c r="H2048" i="1"/>
  <c r="G2048" i="1"/>
  <c r="E2048" i="1"/>
  <c r="H2047" i="1"/>
  <c r="G2047" i="1"/>
  <c r="E2047" i="1"/>
  <c r="H2046" i="1"/>
  <c r="G2046" i="1"/>
  <c r="E2046" i="1"/>
  <c r="H2045" i="1"/>
  <c r="G2045" i="1"/>
  <c r="E2045" i="1"/>
  <c r="H2044" i="1"/>
  <c r="G2044" i="1"/>
  <c r="E2044" i="1"/>
  <c r="H2043" i="1"/>
  <c r="G2043" i="1"/>
  <c r="E2043" i="1"/>
  <c r="H2042" i="1"/>
  <c r="G2042" i="1"/>
  <c r="E2042" i="1"/>
  <c r="H2041" i="1"/>
  <c r="G2041" i="1"/>
  <c r="E2041" i="1"/>
  <c r="H2040" i="1"/>
  <c r="G2040" i="1"/>
  <c r="E2040" i="1"/>
  <c r="H2039" i="1"/>
  <c r="G2039" i="1"/>
  <c r="E2039" i="1"/>
  <c r="H2038" i="1"/>
  <c r="G2038" i="1"/>
  <c r="E2038" i="1"/>
  <c r="H2037" i="1"/>
  <c r="G2037" i="1"/>
  <c r="E2037" i="1"/>
  <c r="H2036" i="1"/>
  <c r="G2036" i="1"/>
  <c r="E2036" i="1"/>
  <c r="H2035" i="1"/>
  <c r="G2035" i="1"/>
  <c r="E2035" i="1"/>
  <c r="H2034" i="1"/>
  <c r="G2034" i="1"/>
  <c r="E2034" i="1"/>
  <c r="H2033" i="1"/>
  <c r="G2033" i="1"/>
  <c r="E2033" i="1"/>
  <c r="H2032" i="1"/>
  <c r="G2032" i="1"/>
  <c r="E2032" i="1"/>
  <c r="H2031" i="1"/>
  <c r="G2031" i="1"/>
  <c r="E2031" i="1"/>
  <c r="H2030" i="1"/>
  <c r="G2030" i="1"/>
  <c r="E2030" i="1"/>
  <c r="H2029" i="1"/>
  <c r="G2029" i="1"/>
  <c r="E2029" i="1"/>
  <c r="H2028" i="1"/>
  <c r="G2028" i="1"/>
  <c r="E2028" i="1"/>
  <c r="H2027" i="1"/>
  <c r="G2027" i="1"/>
  <c r="E2027" i="1"/>
  <c r="H2026" i="1"/>
  <c r="G2026" i="1"/>
  <c r="E2026" i="1"/>
  <c r="H2025" i="1"/>
  <c r="G2025" i="1"/>
  <c r="E2025" i="1"/>
  <c r="H2024" i="1"/>
  <c r="G2024" i="1"/>
  <c r="E2024" i="1"/>
  <c r="H2023" i="1"/>
  <c r="G2023" i="1"/>
  <c r="E2023" i="1"/>
  <c r="H2022" i="1"/>
  <c r="G2022" i="1"/>
  <c r="E2022" i="1"/>
  <c r="H2021" i="1"/>
  <c r="G2021" i="1"/>
  <c r="E2021" i="1"/>
  <c r="H2020" i="1"/>
  <c r="G2020" i="1"/>
  <c r="E2020" i="1"/>
  <c r="H2019" i="1"/>
  <c r="G2019" i="1"/>
  <c r="E2019" i="1"/>
  <c r="H2018" i="1"/>
  <c r="G2018" i="1"/>
  <c r="E2018" i="1"/>
  <c r="H2017" i="1"/>
  <c r="G2017" i="1"/>
  <c r="E2017" i="1"/>
  <c r="H2016" i="1"/>
  <c r="G2016" i="1"/>
  <c r="E2016" i="1"/>
  <c r="H2015" i="1"/>
  <c r="G2015" i="1"/>
  <c r="E2015" i="1"/>
  <c r="H2014" i="1"/>
  <c r="G2014" i="1"/>
  <c r="E2014" i="1"/>
  <c r="H2013" i="1"/>
  <c r="G2013" i="1"/>
  <c r="E2013" i="1"/>
  <c r="H2012" i="1"/>
  <c r="G2012" i="1"/>
  <c r="E2012" i="1"/>
  <c r="H2011" i="1"/>
  <c r="G2011" i="1"/>
  <c r="E2011" i="1"/>
  <c r="H2010" i="1"/>
  <c r="G2010" i="1"/>
  <c r="E2010" i="1"/>
  <c r="H2009" i="1"/>
  <c r="G2009" i="1"/>
  <c r="E2009" i="1"/>
  <c r="H2008" i="1"/>
  <c r="G2008" i="1"/>
  <c r="E2008" i="1"/>
  <c r="H2007" i="1"/>
  <c r="G2007" i="1"/>
  <c r="E2007" i="1"/>
  <c r="H2006" i="1"/>
  <c r="G2006" i="1"/>
  <c r="E2006" i="1"/>
  <c r="H2005" i="1"/>
  <c r="G2005" i="1"/>
  <c r="E2005" i="1"/>
  <c r="H2004" i="1"/>
  <c r="G2004" i="1"/>
  <c r="E2004" i="1"/>
  <c r="H2003" i="1"/>
  <c r="G2003" i="1"/>
  <c r="E2003" i="1"/>
  <c r="H2002" i="1"/>
  <c r="G2002" i="1"/>
  <c r="E2002" i="1"/>
  <c r="H2001" i="1"/>
  <c r="G2001" i="1"/>
  <c r="E2001" i="1"/>
  <c r="H2000" i="1"/>
  <c r="G2000" i="1"/>
  <c r="E2000" i="1"/>
  <c r="H1999" i="1"/>
  <c r="G1999" i="1"/>
  <c r="E1999" i="1"/>
  <c r="H1998" i="1"/>
  <c r="G1998" i="1"/>
  <c r="E1998" i="1"/>
  <c r="H1997" i="1"/>
  <c r="G1997" i="1"/>
  <c r="E1997" i="1"/>
  <c r="H1996" i="1"/>
  <c r="G1996" i="1"/>
  <c r="E1996" i="1"/>
  <c r="H1995" i="1"/>
  <c r="G1995" i="1"/>
  <c r="E1995" i="1"/>
  <c r="H1994" i="1"/>
  <c r="G1994" i="1"/>
  <c r="E1994" i="1"/>
  <c r="H1993" i="1"/>
  <c r="G1993" i="1"/>
  <c r="E1993" i="1"/>
  <c r="H1992" i="1"/>
  <c r="G1992" i="1"/>
  <c r="E1992" i="1"/>
  <c r="H1991" i="1"/>
  <c r="G1991" i="1"/>
  <c r="E1991" i="1"/>
  <c r="H1990" i="1"/>
  <c r="G1990" i="1"/>
  <c r="E1990" i="1"/>
  <c r="H1989" i="1"/>
  <c r="G1989" i="1"/>
  <c r="E1989" i="1"/>
  <c r="H1988" i="1"/>
  <c r="G1988" i="1"/>
  <c r="E1988" i="1"/>
  <c r="H1987" i="1"/>
  <c r="G1987" i="1"/>
  <c r="E1987" i="1"/>
  <c r="H1986" i="1"/>
  <c r="G1986" i="1"/>
  <c r="E1986" i="1"/>
  <c r="H1985" i="1"/>
  <c r="G1985" i="1"/>
  <c r="E1985" i="1"/>
  <c r="H1984" i="1"/>
  <c r="G1984" i="1"/>
  <c r="E1984" i="1"/>
  <c r="H1983" i="1"/>
  <c r="G1983" i="1"/>
  <c r="E1983" i="1"/>
  <c r="H1982" i="1"/>
  <c r="G1982" i="1"/>
  <c r="E1982" i="1"/>
  <c r="H1981" i="1"/>
  <c r="G1981" i="1"/>
  <c r="E1981" i="1"/>
  <c r="H1980" i="1"/>
  <c r="G1980" i="1"/>
  <c r="E1980" i="1"/>
  <c r="H1979" i="1"/>
  <c r="G1979" i="1"/>
  <c r="E1979" i="1"/>
  <c r="H1978" i="1"/>
  <c r="G1978" i="1"/>
  <c r="E1978" i="1"/>
  <c r="H1977" i="1"/>
  <c r="G1977" i="1"/>
  <c r="E1977" i="1"/>
  <c r="H1976" i="1"/>
  <c r="G1976" i="1"/>
  <c r="E1976" i="1"/>
  <c r="H1975" i="1"/>
  <c r="G1975" i="1"/>
  <c r="E1975" i="1"/>
  <c r="H1974" i="1"/>
  <c r="G1974" i="1"/>
  <c r="E1974" i="1"/>
  <c r="H1973" i="1"/>
  <c r="G1973" i="1"/>
  <c r="E1973" i="1"/>
  <c r="H1972" i="1"/>
  <c r="G1972" i="1"/>
  <c r="E1972" i="1"/>
  <c r="H1971" i="1"/>
  <c r="G1971" i="1"/>
  <c r="E1971" i="1"/>
  <c r="H1970" i="1"/>
  <c r="G1970" i="1"/>
  <c r="E1970" i="1"/>
  <c r="H1969" i="1"/>
  <c r="G1969" i="1"/>
  <c r="E1969" i="1"/>
  <c r="H1968" i="1"/>
  <c r="G1968" i="1"/>
  <c r="E1968" i="1"/>
  <c r="H1967" i="1"/>
  <c r="G1967" i="1"/>
  <c r="E1967" i="1"/>
  <c r="H1966" i="1"/>
  <c r="G1966" i="1"/>
  <c r="E1966" i="1"/>
  <c r="H1965" i="1"/>
  <c r="G1965" i="1"/>
  <c r="E1965" i="1"/>
  <c r="H1964" i="1"/>
  <c r="G1964" i="1"/>
  <c r="E1964" i="1"/>
  <c r="H1963" i="1"/>
  <c r="G1963" i="1"/>
  <c r="E1963" i="1"/>
  <c r="H1962" i="1"/>
  <c r="G1962" i="1"/>
  <c r="E1962" i="1"/>
  <c r="H1961" i="1"/>
  <c r="G1961" i="1"/>
  <c r="E1961" i="1"/>
  <c r="H1960" i="1"/>
  <c r="G1960" i="1"/>
  <c r="E1960" i="1"/>
  <c r="H1959" i="1"/>
  <c r="G1959" i="1"/>
  <c r="E1959" i="1"/>
  <c r="H1958" i="1"/>
  <c r="G1958" i="1"/>
  <c r="E1958" i="1"/>
  <c r="H1957" i="1"/>
  <c r="G1957" i="1"/>
  <c r="E1957" i="1"/>
  <c r="H1956" i="1"/>
  <c r="G1956" i="1"/>
  <c r="E1956" i="1"/>
  <c r="H1955" i="1"/>
  <c r="G1955" i="1"/>
  <c r="E1955" i="1"/>
  <c r="H1954" i="1"/>
  <c r="G1954" i="1"/>
  <c r="E1954" i="1"/>
  <c r="H1953" i="1"/>
  <c r="G1953" i="1"/>
  <c r="E1953" i="1"/>
  <c r="H1952" i="1"/>
  <c r="G1952" i="1"/>
  <c r="E1952" i="1"/>
  <c r="H1951" i="1"/>
  <c r="G1951" i="1"/>
  <c r="E1951" i="1"/>
  <c r="H1950" i="1"/>
  <c r="G1950" i="1"/>
  <c r="E1950" i="1"/>
  <c r="H1949" i="1"/>
  <c r="G1949" i="1"/>
  <c r="E1949" i="1"/>
  <c r="H1948" i="1"/>
  <c r="G1948" i="1"/>
  <c r="E1948" i="1"/>
  <c r="H1947" i="1"/>
  <c r="G1947" i="1"/>
  <c r="E1947" i="1"/>
  <c r="H1946" i="1"/>
  <c r="G1946" i="1"/>
  <c r="E1946" i="1"/>
  <c r="H1945" i="1"/>
  <c r="G1945" i="1"/>
  <c r="E1945" i="1"/>
  <c r="H1944" i="1"/>
  <c r="G1944" i="1"/>
  <c r="E1944" i="1"/>
  <c r="H1943" i="1"/>
  <c r="G1943" i="1"/>
  <c r="E1943" i="1"/>
  <c r="H1942" i="1"/>
  <c r="G1942" i="1"/>
  <c r="E1942" i="1"/>
  <c r="H1941" i="1"/>
  <c r="G1941" i="1"/>
  <c r="E1941" i="1"/>
  <c r="H1940" i="1"/>
  <c r="G1940" i="1"/>
  <c r="E1940" i="1"/>
  <c r="H1939" i="1"/>
  <c r="G1939" i="1"/>
  <c r="E1939" i="1"/>
  <c r="H1938" i="1"/>
  <c r="G1938" i="1"/>
  <c r="E1938" i="1"/>
  <c r="H1937" i="1"/>
  <c r="G1937" i="1"/>
  <c r="E1937" i="1"/>
  <c r="H1936" i="1"/>
  <c r="G1936" i="1"/>
  <c r="E1936" i="1"/>
  <c r="H1935" i="1"/>
  <c r="G1935" i="1"/>
  <c r="E1935" i="1"/>
  <c r="H1934" i="1"/>
  <c r="G1934" i="1"/>
  <c r="E1934" i="1"/>
  <c r="H1933" i="1"/>
  <c r="G1933" i="1"/>
  <c r="E1933" i="1"/>
  <c r="H1932" i="1"/>
  <c r="G1932" i="1"/>
  <c r="E1932" i="1"/>
  <c r="H1931" i="1"/>
  <c r="G1931" i="1"/>
  <c r="E1931" i="1"/>
  <c r="H1930" i="1"/>
  <c r="G1930" i="1"/>
  <c r="E1930" i="1"/>
  <c r="H1929" i="1"/>
  <c r="G1929" i="1"/>
  <c r="E1929" i="1"/>
  <c r="H1928" i="1"/>
  <c r="G1928" i="1"/>
  <c r="E1928" i="1"/>
  <c r="H1927" i="1"/>
  <c r="G1927" i="1"/>
  <c r="E1927" i="1"/>
  <c r="H1926" i="1"/>
  <c r="G1926" i="1"/>
  <c r="E1926" i="1"/>
  <c r="H1925" i="1"/>
  <c r="G1925" i="1"/>
  <c r="E1925" i="1"/>
  <c r="H1924" i="1"/>
  <c r="G1924" i="1"/>
  <c r="E1924" i="1"/>
  <c r="H1923" i="1"/>
  <c r="G1923" i="1"/>
  <c r="E1923" i="1"/>
  <c r="H1922" i="1"/>
  <c r="G1922" i="1"/>
  <c r="E1922" i="1"/>
  <c r="H1921" i="1"/>
  <c r="G1921" i="1"/>
  <c r="E1921" i="1"/>
  <c r="H1920" i="1"/>
  <c r="G1920" i="1"/>
  <c r="E1920" i="1"/>
  <c r="H1919" i="1"/>
  <c r="G1919" i="1"/>
  <c r="E1919" i="1"/>
  <c r="H1918" i="1"/>
  <c r="G1918" i="1"/>
  <c r="E1918" i="1"/>
  <c r="H1917" i="1"/>
  <c r="G1917" i="1"/>
  <c r="E1917" i="1"/>
  <c r="H1916" i="1"/>
  <c r="G1916" i="1"/>
  <c r="E1916" i="1"/>
  <c r="H1915" i="1"/>
  <c r="G1915" i="1"/>
  <c r="E1915" i="1"/>
  <c r="H1914" i="1"/>
  <c r="G1914" i="1"/>
  <c r="E1914" i="1"/>
  <c r="H1913" i="1"/>
  <c r="G1913" i="1"/>
  <c r="E1913" i="1"/>
  <c r="H1912" i="1"/>
  <c r="G1912" i="1"/>
  <c r="E1912" i="1"/>
  <c r="H1911" i="1"/>
  <c r="G1911" i="1"/>
  <c r="E1911" i="1"/>
  <c r="H1910" i="1"/>
  <c r="G1910" i="1"/>
  <c r="E1910" i="1"/>
  <c r="H1909" i="1"/>
  <c r="G1909" i="1"/>
  <c r="E1909" i="1"/>
  <c r="H1908" i="1"/>
  <c r="G1908" i="1"/>
  <c r="E1908" i="1"/>
  <c r="H1907" i="1"/>
  <c r="G1907" i="1"/>
  <c r="E1907" i="1"/>
  <c r="H1906" i="1"/>
  <c r="G1906" i="1"/>
  <c r="E1906" i="1"/>
  <c r="H1905" i="1"/>
  <c r="G1905" i="1"/>
  <c r="E1905" i="1"/>
  <c r="H1904" i="1"/>
  <c r="G1904" i="1"/>
  <c r="E1904" i="1"/>
  <c r="H1903" i="1"/>
  <c r="G1903" i="1"/>
  <c r="E1903" i="1"/>
  <c r="H1902" i="1"/>
  <c r="G1902" i="1"/>
  <c r="E1902" i="1"/>
  <c r="H1901" i="1"/>
  <c r="G1901" i="1"/>
  <c r="E1901" i="1"/>
  <c r="H1900" i="1"/>
  <c r="G1900" i="1"/>
  <c r="E1900" i="1"/>
  <c r="H1899" i="1"/>
  <c r="G1899" i="1"/>
  <c r="E1899" i="1"/>
  <c r="H1898" i="1"/>
  <c r="G1898" i="1"/>
  <c r="E1898" i="1"/>
  <c r="H1897" i="1"/>
  <c r="G1897" i="1"/>
  <c r="E1897" i="1"/>
  <c r="H1896" i="1"/>
  <c r="G1896" i="1"/>
  <c r="E1896" i="1"/>
  <c r="H1895" i="1"/>
  <c r="G1895" i="1"/>
  <c r="E1895" i="1"/>
  <c r="H1894" i="1"/>
  <c r="G1894" i="1"/>
  <c r="E1894" i="1"/>
  <c r="H1893" i="1"/>
  <c r="G1893" i="1"/>
  <c r="E1893" i="1"/>
  <c r="H1892" i="1"/>
  <c r="G1892" i="1"/>
  <c r="E1892" i="1"/>
  <c r="H1891" i="1"/>
  <c r="G1891" i="1"/>
  <c r="E1891" i="1"/>
  <c r="H1890" i="1"/>
  <c r="G1890" i="1"/>
  <c r="E1890" i="1"/>
  <c r="H1889" i="1"/>
  <c r="G1889" i="1"/>
  <c r="E1889" i="1"/>
  <c r="H1888" i="1"/>
  <c r="G1888" i="1"/>
  <c r="E1888" i="1"/>
  <c r="H1887" i="1"/>
  <c r="G1887" i="1"/>
  <c r="E1887" i="1"/>
  <c r="H1886" i="1"/>
  <c r="G1886" i="1"/>
  <c r="E1886" i="1"/>
  <c r="H1885" i="1"/>
  <c r="G1885" i="1"/>
  <c r="E1885" i="1"/>
  <c r="H1884" i="1"/>
  <c r="G1884" i="1"/>
  <c r="E1884" i="1"/>
  <c r="H1883" i="1"/>
  <c r="G1883" i="1"/>
  <c r="E1883" i="1"/>
  <c r="H1882" i="1"/>
  <c r="G1882" i="1"/>
  <c r="E1882" i="1"/>
  <c r="H1881" i="1"/>
  <c r="G1881" i="1"/>
  <c r="E1881" i="1"/>
  <c r="H1880" i="1"/>
  <c r="G1880" i="1"/>
  <c r="E1880" i="1"/>
  <c r="H1879" i="1"/>
  <c r="G1879" i="1"/>
  <c r="E1879" i="1"/>
  <c r="H1878" i="1"/>
  <c r="G1878" i="1"/>
  <c r="E1878" i="1"/>
  <c r="H1877" i="1"/>
  <c r="G1877" i="1"/>
  <c r="E1877" i="1"/>
  <c r="H1876" i="1"/>
  <c r="G1876" i="1"/>
  <c r="E1876" i="1"/>
  <c r="H1875" i="1"/>
  <c r="G1875" i="1"/>
  <c r="E1875" i="1"/>
  <c r="H1874" i="1"/>
  <c r="G1874" i="1"/>
  <c r="E1874" i="1"/>
  <c r="H1873" i="1"/>
  <c r="G1873" i="1"/>
  <c r="E1873" i="1"/>
  <c r="H1872" i="1"/>
  <c r="G1872" i="1"/>
  <c r="E1872" i="1"/>
  <c r="H1871" i="1"/>
  <c r="G1871" i="1"/>
  <c r="E1871" i="1"/>
  <c r="H1870" i="1"/>
  <c r="G1870" i="1"/>
  <c r="E1870" i="1"/>
  <c r="H1869" i="1"/>
  <c r="G1869" i="1"/>
  <c r="E1869" i="1"/>
  <c r="H1868" i="1"/>
  <c r="G1868" i="1"/>
  <c r="E1868" i="1"/>
  <c r="H1867" i="1"/>
  <c r="G1867" i="1"/>
  <c r="E1867" i="1"/>
  <c r="H1866" i="1"/>
  <c r="G1866" i="1"/>
  <c r="E1866" i="1"/>
  <c r="H1865" i="1"/>
  <c r="G1865" i="1"/>
  <c r="E1865" i="1"/>
  <c r="H1864" i="1"/>
  <c r="G1864" i="1"/>
  <c r="E1864" i="1"/>
  <c r="H1863" i="1"/>
  <c r="G1863" i="1"/>
  <c r="E1863" i="1"/>
  <c r="H1862" i="1"/>
  <c r="G1862" i="1"/>
  <c r="E1862" i="1"/>
  <c r="H1861" i="1"/>
  <c r="G1861" i="1"/>
  <c r="E1861" i="1"/>
  <c r="H1860" i="1"/>
  <c r="G1860" i="1"/>
  <c r="E1860" i="1"/>
  <c r="H1859" i="1"/>
  <c r="G1859" i="1"/>
  <c r="E1859" i="1"/>
  <c r="H1858" i="1"/>
  <c r="G1858" i="1"/>
  <c r="E1858" i="1"/>
  <c r="H1857" i="1"/>
  <c r="G1857" i="1"/>
  <c r="E1857" i="1"/>
  <c r="H1856" i="1"/>
  <c r="G1856" i="1"/>
  <c r="E1856" i="1"/>
  <c r="H1855" i="1"/>
  <c r="G1855" i="1"/>
  <c r="E1855" i="1"/>
  <c r="H1854" i="1"/>
  <c r="G1854" i="1"/>
  <c r="E1854" i="1"/>
  <c r="H1853" i="1"/>
  <c r="G1853" i="1"/>
  <c r="E1853" i="1"/>
  <c r="H1852" i="1"/>
  <c r="G1852" i="1"/>
  <c r="E1852" i="1"/>
  <c r="H1851" i="1"/>
  <c r="G1851" i="1"/>
  <c r="E1851" i="1"/>
  <c r="H1850" i="1"/>
  <c r="G1850" i="1"/>
  <c r="E1850" i="1"/>
  <c r="H1849" i="1"/>
  <c r="G1849" i="1"/>
  <c r="E1849" i="1"/>
  <c r="H1848" i="1"/>
  <c r="G1848" i="1"/>
  <c r="E1848" i="1"/>
  <c r="H1847" i="1"/>
  <c r="G1847" i="1"/>
  <c r="E1847" i="1"/>
  <c r="H1846" i="1"/>
  <c r="G1846" i="1"/>
  <c r="E1846" i="1"/>
  <c r="H1845" i="1"/>
  <c r="G1845" i="1"/>
  <c r="E1845" i="1"/>
  <c r="H1844" i="1"/>
  <c r="G1844" i="1"/>
  <c r="E1844" i="1"/>
  <c r="H1843" i="1"/>
  <c r="G1843" i="1"/>
  <c r="E1843" i="1"/>
  <c r="H1842" i="1"/>
  <c r="G1842" i="1"/>
  <c r="E1842" i="1"/>
  <c r="H1841" i="1"/>
  <c r="G1841" i="1"/>
  <c r="E1841" i="1"/>
  <c r="H1840" i="1"/>
  <c r="G1840" i="1"/>
  <c r="E1840" i="1"/>
  <c r="H1839" i="1"/>
  <c r="G1839" i="1"/>
  <c r="E1839" i="1"/>
  <c r="H1838" i="1"/>
  <c r="G1838" i="1"/>
  <c r="E1838" i="1"/>
  <c r="H1837" i="1"/>
  <c r="G1837" i="1"/>
  <c r="E1837" i="1"/>
  <c r="H1836" i="1"/>
  <c r="G1836" i="1"/>
  <c r="E1836" i="1"/>
  <c r="H1835" i="1"/>
  <c r="G1835" i="1"/>
  <c r="E1835" i="1"/>
  <c r="H1834" i="1"/>
  <c r="G1834" i="1"/>
  <c r="E1834" i="1"/>
  <c r="H1833" i="1"/>
  <c r="G1833" i="1"/>
  <c r="E1833" i="1"/>
  <c r="H1832" i="1"/>
  <c r="G1832" i="1"/>
  <c r="E1832" i="1"/>
  <c r="H1831" i="1"/>
  <c r="G1831" i="1"/>
  <c r="E1831" i="1"/>
  <c r="H1830" i="1"/>
  <c r="G1830" i="1"/>
  <c r="E1830" i="1"/>
  <c r="H1829" i="1"/>
  <c r="G1829" i="1"/>
  <c r="E1829" i="1"/>
  <c r="H1828" i="1"/>
  <c r="G1828" i="1"/>
  <c r="E1828" i="1"/>
  <c r="H1827" i="1"/>
  <c r="G1827" i="1"/>
  <c r="E1827" i="1"/>
  <c r="H1826" i="1"/>
  <c r="G1826" i="1"/>
  <c r="E1826" i="1"/>
  <c r="H1825" i="1"/>
  <c r="G1825" i="1"/>
  <c r="E1825" i="1"/>
  <c r="H1824" i="1"/>
  <c r="G1824" i="1"/>
  <c r="E1824" i="1"/>
  <c r="H1823" i="1"/>
  <c r="G1823" i="1"/>
  <c r="E1823" i="1"/>
  <c r="H1822" i="1"/>
  <c r="G1822" i="1"/>
  <c r="E1822" i="1"/>
  <c r="H1821" i="1"/>
  <c r="G1821" i="1"/>
  <c r="E1821" i="1"/>
  <c r="H1820" i="1"/>
  <c r="G1820" i="1"/>
  <c r="E1820" i="1"/>
  <c r="H1819" i="1"/>
  <c r="G1819" i="1"/>
  <c r="E1819" i="1"/>
  <c r="H1818" i="1"/>
  <c r="G1818" i="1"/>
  <c r="E1818" i="1"/>
  <c r="H1817" i="1"/>
  <c r="G1817" i="1"/>
  <c r="E1817" i="1"/>
  <c r="H1816" i="1"/>
  <c r="G1816" i="1"/>
  <c r="E1816" i="1"/>
  <c r="H1815" i="1"/>
  <c r="G1815" i="1"/>
  <c r="E1815" i="1"/>
  <c r="H1814" i="1"/>
  <c r="G1814" i="1"/>
  <c r="E1814" i="1"/>
  <c r="H1813" i="1"/>
  <c r="G1813" i="1"/>
  <c r="E1813" i="1"/>
  <c r="H1812" i="1"/>
  <c r="G1812" i="1"/>
  <c r="E1812" i="1"/>
  <c r="H1811" i="1"/>
  <c r="G1811" i="1"/>
  <c r="E1811" i="1"/>
  <c r="H1810" i="1"/>
  <c r="G1810" i="1"/>
  <c r="E1810" i="1"/>
  <c r="H1809" i="1"/>
  <c r="G1809" i="1"/>
  <c r="E1809" i="1"/>
  <c r="H1808" i="1"/>
  <c r="G1808" i="1"/>
  <c r="E1808" i="1"/>
  <c r="H1807" i="1"/>
  <c r="G1807" i="1"/>
  <c r="E1807" i="1"/>
  <c r="H1806" i="1"/>
  <c r="G1806" i="1"/>
  <c r="E1806" i="1"/>
  <c r="H1805" i="1"/>
  <c r="G1805" i="1"/>
  <c r="E1805" i="1"/>
  <c r="H1804" i="1"/>
  <c r="G1804" i="1"/>
  <c r="E1804" i="1"/>
  <c r="H1803" i="1"/>
  <c r="G1803" i="1"/>
  <c r="E1803" i="1"/>
  <c r="H1802" i="1"/>
  <c r="G1802" i="1"/>
  <c r="E1802" i="1"/>
  <c r="H1801" i="1"/>
  <c r="G1801" i="1"/>
  <c r="E1801" i="1"/>
  <c r="H1800" i="1"/>
  <c r="G1800" i="1"/>
  <c r="E1800" i="1"/>
  <c r="H1799" i="1"/>
  <c r="G1799" i="1"/>
  <c r="E1799" i="1"/>
  <c r="H1798" i="1"/>
  <c r="G1798" i="1"/>
  <c r="E1798" i="1"/>
  <c r="H1797" i="1"/>
  <c r="G1797" i="1"/>
  <c r="E1797" i="1"/>
  <c r="H1796" i="1"/>
  <c r="G1796" i="1"/>
  <c r="E1796" i="1"/>
  <c r="H1795" i="1"/>
  <c r="G1795" i="1"/>
  <c r="E1795" i="1"/>
  <c r="H1794" i="1"/>
  <c r="G1794" i="1"/>
  <c r="E1794" i="1"/>
  <c r="H1793" i="1"/>
  <c r="G1793" i="1"/>
  <c r="E1793" i="1"/>
  <c r="H1792" i="1"/>
  <c r="G1792" i="1"/>
  <c r="E1792" i="1"/>
  <c r="H1791" i="1"/>
  <c r="G1791" i="1"/>
  <c r="E1791" i="1"/>
  <c r="H1790" i="1"/>
  <c r="G1790" i="1"/>
  <c r="E1790" i="1"/>
  <c r="H1789" i="1"/>
  <c r="G1789" i="1"/>
  <c r="E1789" i="1"/>
  <c r="H1788" i="1"/>
  <c r="G1788" i="1"/>
  <c r="E1788" i="1"/>
  <c r="H1787" i="1"/>
  <c r="G1787" i="1"/>
  <c r="E1787" i="1"/>
  <c r="H1786" i="1"/>
  <c r="G1786" i="1"/>
  <c r="E1786" i="1"/>
  <c r="H1785" i="1"/>
  <c r="G1785" i="1"/>
  <c r="E1785" i="1"/>
  <c r="H1784" i="1"/>
  <c r="G1784" i="1"/>
  <c r="E1784" i="1"/>
  <c r="H1783" i="1"/>
  <c r="G1783" i="1"/>
  <c r="E1783" i="1"/>
  <c r="H1782" i="1"/>
  <c r="G1782" i="1"/>
  <c r="E1782" i="1"/>
  <c r="H1781" i="1"/>
  <c r="G1781" i="1"/>
  <c r="E1781" i="1"/>
  <c r="H1780" i="1"/>
  <c r="G1780" i="1"/>
  <c r="E1780" i="1"/>
  <c r="H1779" i="1"/>
  <c r="G1779" i="1"/>
  <c r="E1779" i="1"/>
  <c r="H1778" i="1"/>
  <c r="G1778" i="1"/>
  <c r="E1778" i="1"/>
  <c r="H1777" i="1"/>
  <c r="G1777" i="1"/>
  <c r="E1777" i="1"/>
  <c r="H1776" i="1"/>
  <c r="G1776" i="1"/>
  <c r="E1776" i="1"/>
  <c r="H1775" i="1"/>
  <c r="G1775" i="1"/>
  <c r="E1775" i="1"/>
  <c r="H1774" i="1"/>
  <c r="G1774" i="1"/>
  <c r="E1774" i="1"/>
  <c r="H1773" i="1"/>
  <c r="G1773" i="1"/>
  <c r="E1773" i="1"/>
  <c r="H1772" i="1"/>
  <c r="G1772" i="1"/>
  <c r="E1772" i="1"/>
  <c r="H1771" i="1"/>
  <c r="G1771" i="1"/>
  <c r="E1771" i="1"/>
  <c r="H1770" i="1"/>
  <c r="G1770" i="1"/>
  <c r="E1770" i="1"/>
  <c r="H1769" i="1"/>
  <c r="G1769" i="1"/>
  <c r="E1769" i="1"/>
  <c r="H1768" i="1"/>
  <c r="G1768" i="1"/>
  <c r="E1768" i="1"/>
  <c r="H1767" i="1"/>
  <c r="G1767" i="1"/>
  <c r="E1767" i="1"/>
  <c r="H1766" i="1"/>
  <c r="G1766" i="1"/>
  <c r="E1766" i="1"/>
  <c r="H1765" i="1"/>
  <c r="G1765" i="1"/>
  <c r="E1765" i="1"/>
  <c r="H1764" i="1"/>
  <c r="G1764" i="1"/>
  <c r="E1764" i="1"/>
  <c r="H1763" i="1"/>
  <c r="G1763" i="1"/>
  <c r="E1763" i="1"/>
  <c r="H1762" i="1"/>
  <c r="G1762" i="1"/>
  <c r="E1762" i="1"/>
  <c r="H1761" i="1"/>
  <c r="G1761" i="1"/>
  <c r="E1761" i="1"/>
  <c r="H1760" i="1"/>
  <c r="G1760" i="1"/>
  <c r="E1760" i="1"/>
  <c r="H1759" i="1"/>
  <c r="G1759" i="1"/>
  <c r="E1759" i="1"/>
  <c r="H1758" i="1"/>
  <c r="G1758" i="1"/>
  <c r="E1758" i="1"/>
  <c r="H1757" i="1"/>
  <c r="G1757" i="1"/>
  <c r="E1757" i="1"/>
  <c r="H1756" i="1"/>
  <c r="G1756" i="1"/>
  <c r="E1756" i="1"/>
  <c r="H1755" i="1"/>
  <c r="G1755" i="1"/>
  <c r="E1755" i="1"/>
  <c r="H1754" i="1"/>
  <c r="G1754" i="1"/>
  <c r="E1754" i="1"/>
  <c r="H1753" i="1"/>
  <c r="G1753" i="1"/>
  <c r="E1753" i="1"/>
  <c r="H1752" i="1"/>
  <c r="G1752" i="1"/>
  <c r="E1752" i="1"/>
  <c r="H1751" i="1"/>
  <c r="G1751" i="1"/>
  <c r="E1751" i="1"/>
  <c r="H1750" i="1"/>
  <c r="G1750" i="1"/>
  <c r="E1750" i="1"/>
  <c r="H1749" i="1"/>
  <c r="G1749" i="1"/>
  <c r="E1749" i="1"/>
  <c r="H1748" i="1"/>
  <c r="G1748" i="1"/>
  <c r="E1748" i="1"/>
  <c r="H1747" i="1"/>
  <c r="G1747" i="1"/>
  <c r="E1747" i="1"/>
  <c r="H1746" i="1"/>
  <c r="G1746" i="1"/>
  <c r="E1746" i="1"/>
  <c r="H1745" i="1"/>
  <c r="G1745" i="1"/>
  <c r="E1745" i="1"/>
  <c r="H1744" i="1"/>
  <c r="G1744" i="1"/>
  <c r="E1744" i="1"/>
  <c r="H1743" i="1"/>
  <c r="G1743" i="1"/>
  <c r="E1743" i="1"/>
  <c r="H1742" i="1"/>
  <c r="G1742" i="1"/>
  <c r="E1742" i="1"/>
  <c r="H1741" i="1"/>
  <c r="G1741" i="1"/>
  <c r="E1741" i="1"/>
  <c r="H1740" i="1"/>
  <c r="G1740" i="1"/>
  <c r="E1740" i="1"/>
  <c r="H1739" i="1"/>
  <c r="G1739" i="1"/>
  <c r="E1739" i="1"/>
  <c r="H1738" i="1"/>
  <c r="G1738" i="1"/>
  <c r="E1738" i="1"/>
  <c r="H1737" i="1"/>
  <c r="G1737" i="1"/>
  <c r="E1737" i="1"/>
  <c r="H1736" i="1"/>
  <c r="G1736" i="1"/>
  <c r="E1736" i="1"/>
  <c r="H1735" i="1"/>
  <c r="G1735" i="1"/>
  <c r="E1735" i="1"/>
  <c r="H1734" i="1"/>
  <c r="G1734" i="1"/>
  <c r="E1734" i="1"/>
  <c r="H1733" i="1"/>
  <c r="G1733" i="1"/>
  <c r="E1733" i="1"/>
  <c r="H1732" i="1"/>
  <c r="G1732" i="1"/>
  <c r="E1732" i="1"/>
  <c r="H1731" i="1"/>
  <c r="G1731" i="1"/>
  <c r="E1731" i="1"/>
  <c r="H1730" i="1"/>
  <c r="G1730" i="1"/>
  <c r="E1730" i="1"/>
  <c r="H1729" i="1"/>
  <c r="G1729" i="1"/>
  <c r="E1729" i="1"/>
  <c r="H1728" i="1"/>
  <c r="G1728" i="1"/>
  <c r="E1728" i="1"/>
  <c r="H1727" i="1"/>
  <c r="G1727" i="1"/>
  <c r="E1727" i="1"/>
  <c r="H1726" i="1"/>
  <c r="G1726" i="1"/>
  <c r="E1726" i="1"/>
  <c r="H1725" i="1"/>
  <c r="G1725" i="1"/>
  <c r="E1725" i="1"/>
  <c r="H1724" i="1"/>
  <c r="G1724" i="1"/>
  <c r="E1724" i="1"/>
  <c r="H1723" i="1"/>
  <c r="G1723" i="1"/>
  <c r="E1723" i="1"/>
  <c r="H1722" i="1"/>
  <c r="G1722" i="1"/>
  <c r="E1722" i="1"/>
  <c r="H1721" i="1"/>
  <c r="G1721" i="1"/>
  <c r="E1721" i="1"/>
  <c r="H1720" i="1"/>
  <c r="G1720" i="1"/>
  <c r="E1720" i="1"/>
  <c r="H1719" i="1"/>
  <c r="G1719" i="1"/>
  <c r="E1719" i="1"/>
  <c r="H1718" i="1"/>
  <c r="G1718" i="1"/>
  <c r="E1718" i="1"/>
  <c r="H1717" i="1"/>
  <c r="G1717" i="1"/>
  <c r="E1717" i="1"/>
  <c r="H1716" i="1"/>
  <c r="G1716" i="1"/>
  <c r="E1716" i="1"/>
  <c r="H1715" i="1"/>
  <c r="G1715" i="1"/>
  <c r="E1715" i="1"/>
  <c r="H1714" i="1"/>
  <c r="G1714" i="1"/>
  <c r="E1714" i="1"/>
  <c r="H1713" i="1"/>
  <c r="G1713" i="1"/>
  <c r="E1713" i="1"/>
  <c r="H1712" i="1"/>
  <c r="G1712" i="1"/>
  <c r="E1712" i="1"/>
  <c r="H1711" i="1"/>
  <c r="G1711" i="1"/>
  <c r="E1711" i="1"/>
  <c r="H1710" i="1"/>
  <c r="G1710" i="1"/>
  <c r="E1710" i="1"/>
  <c r="H1709" i="1"/>
  <c r="G1709" i="1"/>
  <c r="E1709" i="1"/>
  <c r="H1708" i="1"/>
  <c r="G1708" i="1"/>
  <c r="E1708" i="1"/>
  <c r="H1707" i="1"/>
  <c r="G1707" i="1"/>
  <c r="E1707" i="1"/>
  <c r="H1706" i="1"/>
  <c r="G1706" i="1"/>
  <c r="E1706" i="1"/>
  <c r="H1705" i="1"/>
  <c r="G1705" i="1"/>
  <c r="E1705" i="1"/>
  <c r="H1704" i="1"/>
  <c r="G1704" i="1"/>
  <c r="E1704" i="1"/>
  <c r="H1703" i="1"/>
  <c r="G1703" i="1"/>
  <c r="E1703" i="1"/>
  <c r="H1702" i="1"/>
  <c r="G1702" i="1"/>
  <c r="E1702" i="1"/>
  <c r="H1701" i="1"/>
  <c r="G1701" i="1"/>
  <c r="E1701" i="1"/>
  <c r="H1700" i="1"/>
  <c r="G1700" i="1"/>
  <c r="E1700" i="1"/>
  <c r="H1699" i="1"/>
  <c r="G1699" i="1"/>
  <c r="E1699" i="1"/>
  <c r="H1698" i="1"/>
  <c r="G1698" i="1"/>
  <c r="E1698" i="1"/>
  <c r="H1697" i="1"/>
  <c r="G1697" i="1"/>
  <c r="E1697" i="1"/>
  <c r="H1696" i="1"/>
  <c r="G1696" i="1"/>
  <c r="E1696" i="1"/>
  <c r="H1695" i="1"/>
  <c r="G1695" i="1"/>
  <c r="E1695" i="1"/>
  <c r="H1694" i="1"/>
  <c r="G1694" i="1"/>
  <c r="E1694" i="1"/>
  <c r="H1693" i="1"/>
  <c r="G1693" i="1"/>
  <c r="E1693" i="1"/>
  <c r="H1692" i="1"/>
  <c r="G1692" i="1"/>
  <c r="E1692" i="1"/>
  <c r="H1691" i="1"/>
  <c r="G1691" i="1"/>
  <c r="E1691" i="1"/>
  <c r="H1690" i="1"/>
  <c r="G1690" i="1"/>
  <c r="E1690" i="1"/>
  <c r="H1689" i="1"/>
  <c r="G1689" i="1"/>
  <c r="E1689" i="1"/>
  <c r="H1688" i="1"/>
  <c r="G1688" i="1"/>
  <c r="E1688" i="1"/>
  <c r="H1687" i="1"/>
  <c r="G1687" i="1"/>
  <c r="E1687" i="1"/>
  <c r="H1686" i="1"/>
  <c r="G1686" i="1"/>
  <c r="E1686" i="1"/>
  <c r="H1685" i="1"/>
  <c r="G1685" i="1"/>
  <c r="E1685" i="1"/>
  <c r="H1684" i="1"/>
  <c r="G1684" i="1"/>
  <c r="E1684" i="1"/>
  <c r="H1683" i="1"/>
  <c r="G1683" i="1"/>
  <c r="E1683" i="1"/>
  <c r="H1682" i="1"/>
  <c r="G1682" i="1"/>
  <c r="E1682" i="1"/>
  <c r="H1681" i="1"/>
  <c r="G1681" i="1"/>
  <c r="E1681" i="1"/>
  <c r="H1680" i="1"/>
  <c r="G1680" i="1"/>
  <c r="E1680" i="1"/>
  <c r="H1679" i="1"/>
  <c r="G1679" i="1"/>
  <c r="E1679" i="1"/>
  <c r="H1678" i="1"/>
  <c r="G1678" i="1"/>
  <c r="E1678" i="1"/>
  <c r="H1677" i="1"/>
  <c r="G1677" i="1"/>
  <c r="E1677" i="1"/>
  <c r="H1676" i="1"/>
  <c r="G1676" i="1"/>
  <c r="E1676" i="1"/>
  <c r="H1675" i="1"/>
  <c r="G1675" i="1"/>
  <c r="E1675" i="1"/>
  <c r="H1674" i="1"/>
  <c r="G1674" i="1"/>
  <c r="E1674" i="1"/>
  <c r="H1673" i="1"/>
  <c r="G1673" i="1"/>
  <c r="E1673" i="1"/>
  <c r="H1672" i="1"/>
  <c r="G1672" i="1"/>
  <c r="E1672" i="1"/>
  <c r="H1671" i="1"/>
  <c r="G1671" i="1"/>
  <c r="E1671" i="1"/>
  <c r="H1670" i="1"/>
  <c r="G1670" i="1"/>
  <c r="E1670" i="1"/>
  <c r="H1669" i="1"/>
  <c r="G1669" i="1"/>
  <c r="E1669" i="1"/>
  <c r="H1668" i="1"/>
  <c r="G1668" i="1"/>
  <c r="E1668" i="1"/>
  <c r="H1667" i="1"/>
  <c r="G1667" i="1"/>
  <c r="E1667" i="1"/>
  <c r="H1666" i="1"/>
  <c r="G1666" i="1"/>
  <c r="E1666" i="1"/>
  <c r="H1665" i="1"/>
  <c r="G1665" i="1"/>
  <c r="E1665" i="1"/>
  <c r="H1664" i="1"/>
  <c r="G1664" i="1"/>
  <c r="E1664" i="1"/>
  <c r="H1663" i="1"/>
  <c r="G1663" i="1"/>
  <c r="E1663" i="1"/>
  <c r="H1662" i="1"/>
  <c r="G1662" i="1"/>
  <c r="E1662" i="1"/>
  <c r="H1661" i="1"/>
  <c r="G1661" i="1"/>
  <c r="E1661" i="1"/>
  <c r="H1660" i="1"/>
  <c r="G1660" i="1"/>
  <c r="E1660" i="1"/>
  <c r="H1659" i="1"/>
  <c r="G1659" i="1"/>
  <c r="E1659" i="1"/>
  <c r="H1658" i="1"/>
  <c r="G1658" i="1"/>
  <c r="E1658" i="1"/>
  <c r="H1657" i="1"/>
  <c r="G1657" i="1"/>
  <c r="E1657" i="1"/>
  <c r="H1656" i="1"/>
  <c r="G1656" i="1"/>
  <c r="E1656" i="1"/>
  <c r="H1655" i="1"/>
  <c r="G1655" i="1"/>
  <c r="E1655" i="1"/>
  <c r="H1654" i="1"/>
  <c r="G1654" i="1"/>
  <c r="E1654" i="1"/>
  <c r="H1653" i="1"/>
  <c r="G1653" i="1"/>
  <c r="E1653" i="1"/>
  <c r="H1652" i="1"/>
  <c r="G1652" i="1"/>
  <c r="E1652" i="1"/>
  <c r="H1651" i="1"/>
  <c r="G1651" i="1"/>
  <c r="E1651" i="1"/>
  <c r="H1650" i="1"/>
  <c r="G1650" i="1"/>
  <c r="E1650" i="1"/>
  <c r="H1649" i="1"/>
  <c r="G1649" i="1"/>
  <c r="E1649" i="1"/>
  <c r="H1648" i="1"/>
  <c r="G1648" i="1"/>
  <c r="E1648" i="1"/>
  <c r="H1647" i="1"/>
  <c r="G1647" i="1"/>
  <c r="E1647" i="1"/>
  <c r="H1646" i="1"/>
  <c r="G1646" i="1"/>
  <c r="E1646" i="1"/>
  <c r="H1645" i="1"/>
  <c r="G1645" i="1"/>
  <c r="E1645" i="1"/>
  <c r="H1644" i="1"/>
  <c r="G1644" i="1"/>
  <c r="E1644" i="1"/>
  <c r="H1643" i="1"/>
  <c r="G1643" i="1"/>
  <c r="E1643" i="1"/>
  <c r="H1642" i="1"/>
  <c r="G1642" i="1"/>
  <c r="E1642" i="1"/>
  <c r="H1641" i="1"/>
  <c r="G1641" i="1"/>
  <c r="E1641" i="1"/>
  <c r="H1640" i="1"/>
  <c r="G1640" i="1"/>
  <c r="E1640" i="1"/>
  <c r="H1639" i="1"/>
  <c r="G1639" i="1"/>
  <c r="E1639" i="1"/>
  <c r="H1638" i="1"/>
  <c r="G1638" i="1"/>
  <c r="E1638" i="1"/>
  <c r="H1637" i="1"/>
  <c r="G1637" i="1"/>
  <c r="E1637" i="1"/>
  <c r="H1636" i="1"/>
  <c r="G1636" i="1"/>
  <c r="E1636" i="1"/>
  <c r="H1635" i="1"/>
  <c r="G1635" i="1"/>
  <c r="E1635" i="1"/>
  <c r="H1634" i="1"/>
  <c r="G1634" i="1"/>
  <c r="E1634" i="1"/>
  <c r="H1633" i="1"/>
  <c r="G1633" i="1"/>
  <c r="E1633" i="1"/>
  <c r="H1632" i="1"/>
  <c r="G1632" i="1"/>
  <c r="E1632" i="1"/>
  <c r="H1631" i="1"/>
  <c r="G1631" i="1"/>
  <c r="E1631" i="1"/>
  <c r="H1630" i="1"/>
  <c r="G1630" i="1"/>
  <c r="E1630" i="1"/>
  <c r="H1629" i="1"/>
  <c r="G1629" i="1"/>
  <c r="E1629" i="1"/>
  <c r="H1628" i="1"/>
  <c r="G1628" i="1"/>
  <c r="E1628" i="1"/>
  <c r="H1627" i="1"/>
  <c r="G1627" i="1"/>
  <c r="E1627" i="1"/>
  <c r="H1626" i="1"/>
  <c r="G1626" i="1"/>
  <c r="E1626" i="1"/>
  <c r="H1625" i="1"/>
  <c r="G1625" i="1"/>
  <c r="E1625" i="1"/>
  <c r="H1624" i="1"/>
  <c r="G1624" i="1"/>
  <c r="E1624" i="1"/>
  <c r="H1623" i="1"/>
  <c r="G1623" i="1"/>
  <c r="E1623" i="1"/>
  <c r="H1622" i="1"/>
  <c r="G1622" i="1"/>
  <c r="E1622" i="1"/>
  <c r="H1621" i="1"/>
  <c r="G1621" i="1"/>
  <c r="E1621" i="1"/>
  <c r="H1620" i="1"/>
  <c r="G1620" i="1"/>
  <c r="E1620" i="1"/>
  <c r="H1619" i="1"/>
  <c r="G1619" i="1"/>
  <c r="E1619" i="1"/>
  <c r="H1618" i="1"/>
  <c r="G1618" i="1"/>
  <c r="E1618" i="1"/>
  <c r="H1617" i="1"/>
  <c r="G1617" i="1"/>
  <c r="E1617" i="1"/>
  <c r="H1616" i="1"/>
  <c r="G1616" i="1"/>
  <c r="E1616" i="1"/>
  <c r="H1615" i="1"/>
  <c r="G1615" i="1"/>
  <c r="E1615" i="1"/>
  <c r="H1614" i="1"/>
  <c r="G1614" i="1"/>
  <c r="E1614" i="1"/>
  <c r="H1613" i="1"/>
  <c r="G1613" i="1"/>
  <c r="E1613" i="1"/>
  <c r="H1612" i="1"/>
  <c r="G1612" i="1"/>
  <c r="E1612" i="1"/>
  <c r="H1611" i="1"/>
  <c r="G1611" i="1"/>
  <c r="E1611" i="1"/>
  <c r="H1610" i="1"/>
  <c r="G1610" i="1"/>
  <c r="E1610" i="1"/>
  <c r="H1609" i="1"/>
  <c r="G1609" i="1"/>
  <c r="E1609" i="1"/>
  <c r="H1608" i="1"/>
  <c r="G1608" i="1"/>
  <c r="E1608" i="1"/>
  <c r="H1607" i="1"/>
  <c r="G1607" i="1"/>
  <c r="E1607" i="1"/>
  <c r="H1606" i="1"/>
  <c r="G1606" i="1"/>
  <c r="E1606" i="1"/>
  <c r="H1605" i="1"/>
  <c r="G1605" i="1"/>
  <c r="E1605" i="1"/>
  <c r="H1604" i="1"/>
  <c r="G1604" i="1"/>
  <c r="E1604" i="1"/>
  <c r="H1603" i="1"/>
  <c r="G1603" i="1"/>
  <c r="E1603" i="1"/>
  <c r="H1602" i="1"/>
  <c r="G1602" i="1"/>
  <c r="E1602" i="1"/>
  <c r="H1601" i="1"/>
  <c r="G1601" i="1"/>
  <c r="E1601" i="1"/>
  <c r="H1600" i="1"/>
  <c r="G1600" i="1"/>
  <c r="E1600" i="1"/>
  <c r="H1599" i="1"/>
  <c r="G1599" i="1"/>
  <c r="E1599" i="1"/>
  <c r="H1598" i="1"/>
  <c r="G1598" i="1"/>
  <c r="E1598" i="1"/>
  <c r="H1597" i="1"/>
  <c r="G1597" i="1"/>
  <c r="E1597" i="1"/>
  <c r="H1596" i="1"/>
  <c r="G1596" i="1"/>
  <c r="E1596" i="1"/>
  <c r="H1595" i="1"/>
  <c r="G1595" i="1"/>
  <c r="E1595" i="1"/>
  <c r="H1594" i="1"/>
  <c r="G1594" i="1"/>
  <c r="E1594" i="1"/>
  <c r="H1593" i="1"/>
  <c r="G1593" i="1"/>
  <c r="E1593" i="1"/>
  <c r="H1592" i="1"/>
  <c r="G1592" i="1"/>
  <c r="E1592" i="1"/>
  <c r="H1591" i="1"/>
  <c r="G1591" i="1"/>
  <c r="E1591" i="1"/>
  <c r="H1590" i="1"/>
  <c r="G1590" i="1"/>
  <c r="E1590" i="1"/>
  <c r="H1589" i="1"/>
  <c r="G1589" i="1"/>
  <c r="E1589" i="1"/>
  <c r="H1588" i="1"/>
  <c r="G1588" i="1"/>
  <c r="E1588" i="1"/>
  <c r="H1587" i="1"/>
  <c r="G1587" i="1"/>
  <c r="E1587" i="1"/>
  <c r="H1586" i="1"/>
  <c r="G1586" i="1"/>
  <c r="E1586" i="1"/>
  <c r="H1585" i="1"/>
  <c r="G1585" i="1"/>
  <c r="E1585" i="1"/>
  <c r="H1584" i="1"/>
  <c r="G1584" i="1"/>
  <c r="E1584" i="1"/>
  <c r="H1583" i="1"/>
  <c r="G1583" i="1"/>
  <c r="E1583" i="1"/>
  <c r="H1582" i="1"/>
  <c r="G1582" i="1"/>
  <c r="E1582" i="1"/>
  <c r="H1581" i="1"/>
  <c r="G1581" i="1"/>
  <c r="E1581" i="1"/>
  <c r="H1580" i="1"/>
  <c r="G1580" i="1"/>
  <c r="E1580" i="1"/>
  <c r="H1579" i="1"/>
  <c r="G1579" i="1"/>
  <c r="E1579" i="1"/>
  <c r="H1578" i="1"/>
  <c r="G1578" i="1"/>
  <c r="E1578" i="1"/>
  <c r="H1577" i="1"/>
  <c r="G1577" i="1"/>
  <c r="E1577" i="1"/>
  <c r="H1576" i="1"/>
  <c r="G1576" i="1"/>
  <c r="E1576" i="1"/>
  <c r="H1575" i="1"/>
  <c r="G1575" i="1"/>
  <c r="E1575" i="1"/>
  <c r="H1574" i="1"/>
  <c r="G1574" i="1"/>
  <c r="E1574" i="1"/>
  <c r="H1573" i="1"/>
  <c r="G1573" i="1"/>
  <c r="E1573" i="1"/>
  <c r="H1572" i="1"/>
  <c r="G1572" i="1"/>
  <c r="E1572" i="1"/>
  <c r="H1571" i="1"/>
  <c r="G1571" i="1"/>
  <c r="E1571" i="1"/>
  <c r="H1570" i="1"/>
  <c r="G1570" i="1"/>
  <c r="E1570" i="1"/>
  <c r="H1569" i="1"/>
  <c r="G1569" i="1"/>
  <c r="E1569" i="1"/>
  <c r="H1568" i="1"/>
  <c r="G1568" i="1"/>
  <c r="E1568" i="1"/>
  <c r="H1567" i="1"/>
  <c r="G1567" i="1"/>
  <c r="E1567" i="1"/>
  <c r="H1566" i="1"/>
  <c r="G1566" i="1"/>
  <c r="E1566" i="1"/>
  <c r="H1565" i="1"/>
  <c r="G1565" i="1"/>
  <c r="E1565" i="1"/>
  <c r="H1564" i="1"/>
  <c r="G1564" i="1"/>
  <c r="E1564" i="1"/>
  <c r="H1563" i="1"/>
  <c r="G1563" i="1"/>
  <c r="E1563" i="1"/>
  <c r="H1562" i="1"/>
  <c r="G1562" i="1"/>
  <c r="E1562" i="1"/>
  <c r="H1561" i="1"/>
  <c r="G1561" i="1"/>
  <c r="E1561" i="1"/>
  <c r="H1560" i="1"/>
  <c r="G1560" i="1"/>
  <c r="E1560" i="1"/>
  <c r="H1559" i="1"/>
  <c r="G1559" i="1"/>
  <c r="E1559" i="1"/>
  <c r="H1558" i="1"/>
  <c r="G1558" i="1"/>
  <c r="E1558" i="1"/>
  <c r="H1557" i="1"/>
  <c r="G1557" i="1"/>
  <c r="E1557" i="1"/>
  <c r="H1556" i="1"/>
  <c r="G1556" i="1"/>
  <c r="E1556" i="1"/>
  <c r="H1555" i="1"/>
  <c r="G1555" i="1"/>
  <c r="E1555" i="1"/>
  <c r="H1554" i="1"/>
  <c r="G1554" i="1"/>
  <c r="E1554" i="1"/>
  <c r="H1553" i="1"/>
  <c r="G1553" i="1"/>
  <c r="E1553" i="1"/>
  <c r="H1552" i="1"/>
  <c r="G1552" i="1"/>
  <c r="E1552" i="1"/>
  <c r="H1551" i="1"/>
  <c r="G1551" i="1"/>
  <c r="E1551" i="1"/>
  <c r="H1550" i="1"/>
  <c r="G1550" i="1"/>
  <c r="E1550" i="1"/>
  <c r="H1549" i="1"/>
  <c r="G1549" i="1"/>
  <c r="E1549" i="1"/>
  <c r="H1548" i="1"/>
  <c r="G1548" i="1"/>
  <c r="E1548" i="1"/>
  <c r="H1547" i="1"/>
  <c r="G1547" i="1"/>
  <c r="E1547" i="1"/>
  <c r="H1546" i="1"/>
  <c r="G1546" i="1"/>
  <c r="E1546" i="1"/>
  <c r="H1545" i="1"/>
  <c r="G1545" i="1"/>
  <c r="E1545" i="1"/>
  <c r="H1544" i="1"/>
  <c r="G1544" i="1"/>
  <c r="E1544" i="1"/>
  <c r="H1543" i="1"/>
  <c r="G1543" i="1"/>
  <c r="E1543" i="1"/>
  <c r="H1542" i="1"/>
  <c r="G1542" i="1"/>
  <c r="E1542" i="1"/>
  <c r="H1541" i="1"/>
  <c r="G1541" i="1"/>
  <c r="E1541" i="1"/>
  <c r="H1540" i="1"/>
  <c r="G1540" i="1"/>
  <c r="E1540" i="1"/>
  <c r="H1539" i="1"/>
  <c r="G1539" i="1"/>
  <c r="E1539" i="1"/>
  <c r="H1538" i="1"/>
  <c r="G1538" i="1"/>
  <c r="E1538" i="1"/>
  <c r="H1537" i="1"/>
  <c r="G1537" i="1"/>
  <c r="E1537" i="1"/>
  <c r="H1536" i="1"/>
  <c r="G1536" i="1"/>
  <c r="E1536" i="1"/>
  <c r="H1535" i="1"/>
  <c r="G1535" i="1"/>
  <c r="E1535" i="1"/>
  <c r="H1534" i="1"/>
  <c r="G1534" i="1"/>
  <c r="E1534" i="1"/>
  <c r="H1533" i="1"/>
  <c r="G1533" i="1"/>
  <c r="E1533" i="1"/>
  <c r="H1532" i="1"/>
  <c r="G1532" i="1"/>
  <c r="E1532" i="1"/>
  <c r="H1531" i="1"/>
  <c r="G1531" i="1"/>
  <c r="E1531" i="1"/>
  <c r="H1530" i="1"/>
  <c r="G1530" i="1"/>
  <c r="E1530" i="1"/>
  <c r="H1529" i="1"/>
  <c r="G1529" i="1"/>
  <c r="E1529" i="1"/>
  <c r="H1528" i="1"/>
  <c r="G1528" i="1"/>
  <c r="E1528" i="1"/>
  <c r="H1527" i="1"/>
  <c r="G1527" i="1"/>
  <c r="E1527" i="1"/>
  <c r="H1526" i="1"/>
  <c r="G1526" i="1"/>
  <c r="E1526" i="1"/>
  <c r="H1525" i="1"/>
  <c r="G1525" i="1"/>
  <c r="E1525" i="1"/>
  <c r="H1524" i="1"/>
  <c r="G1524" i="1"/>
  <c r="E1524" i="1"/>
  <c r="H1523" i="1"/>
  <c r="G1523" i="1"/>
  <c r="E1523" i="1"/>
  <c r="H1522" i="1"/>
  <c r="G1522" i="1"/>
  <c r="E1522" i="1"/>
  <c r="H1521" i="1"/>
  <c r="G1521" i="1"/>
  <c r="E1521" i="1"/>
  <c r="H1520" i="1"/>
  <c r="G1520" i="1"/>
  <c r="E1520" i="1"/>
  <c r="H1519" i="1"/>
  <c r="G1519" i="1"/>
  <c r="E1519" i="1"/>
  <c r="H1518" i="1"/>
  <c r="G1518" i="1"/>
  <c r="E1518" i="1"/>
  <c r="H1517" i="1"/>
  <c r="G1517" i="1"/>
  <c r="E1517" i="1"/>
  <c r="H1516" i="1"/>
  <c r="G1516" i="1"/>
  <c r="E1516" i="1"/>
  <c r="H1515" i="1"/>
  <c r="G1515" i="1"/>
  <c r="E1515" i="1"/>
  <c r="H1514" i="1"/>
  <c r="G1514" i="1"/>
  <c r="E1514" i="1"/>
  <c r="H1513" i="1"/>
  <c r="G1513" i="1"/>
  <c r="E1513" i="1"/>
  <c r="H1512" i="1"/>
  <c r="G1512" i="1"/>
  <c r="E1512" i="1"/>
  <c r="H1511" i="1"/>
  <c r="G1511" i="1"/>
  <c r="E1511" i="1"/>
  <c r="H1510" i="1"/>
  <c r="G1510" i="1"/>
  <c r="E1510" i="1"/>
  <c r="H1509" i="1"/>
  <c r="G1509" i="1"/>
  <c r="E1509" i="1"/>
  <c r="H1508" i="1"/>
  <c r="G1508" i="1"/>
  <c r="E1508" i="1"/>
  <c r="H1507" i="1"/>
  <c r="G1507" i="1"/>
  <c r="E1507" i="1"/>
  <c r="H1506" i="1"/>
  <c r="G1506" i="1"/>
  <c r="E1506" i="1"/>
  <c r="H1505" i="1"/>
  <c r="G1505" i="1"/>
  <c r="E1505" i="1"/>
  <c r="H1504" i="1"/>
  <c r="G1504" i="1"/>
  <c r="E1504" i="1"/>
  <c r="H1503" i="1"/>
  <c r="G1503" i="1"/>
  <c r="E1503" i="1"/>
  <c r="H1502" i="1"/>
  <c r="G1502" i="1"/>
  <c r="E1502" i="1"/>
  <c r="H1501" i="1"/>
  <c r="G1501" i="1"/>
  <c r="E1501" i="1"/>
  <c r="H1500" i="1"/>
  <c r="G1500" i="1"/>
  <c r="E1500" i="1"/>
  <c r="H1499" i="1"/>
  <c r="G1499" i="1"/>
  <c r="E1499" i="1"/>
  <c r="H1498" i="1"/>
  <c r="G1498" i="1"/>
  <c r="E1498" i="1"/>
  <c r="H1497" i="1"/>
  <c r="G1497" i="1"/>
  <c r="E1497" i="1"/>
  <c r="H1496" i="1"/>
  <c r="G1496" i="1"/>
  <c r="E1496" i="1"/>
  <c r="H1495" i="1"/>
  <c r="G1495" i="1"/>
  <c r="E1495" i="1"/>
  <c r="H1494" i="1"/>
  <c r="G1494" i="1"/>
  <c r="E1494" i="1"/>
  <c r="H1493" i="1"/>
  <c r="G1493" i="1"/>
  <c r="E1493" i="1"/>
  <c r="H1492" i="1"/>
  <c r="G1492" i="1"/>
  <c r="E1492" i="1"/>
  <c r="H1491" i="1"/>
  <c r="G1491" i="1"/>
  <c r="E1491" i="1"/>
  <c r="H1490" i="1"/>
  <c r="G1490" i="1"/>
  <c r="E1490" i="1"/>
  <c r="H1489" i="1"/>
  <c r="G1489" i="1"/>
  <c r="E1489" i="1"/>
  <c r="H1488" i="1"/>
  <c r="G1488" i="1"/>
  <c r="E1488" i="1"/>
  <c r="H1487" i="1"/>
  <c r="G1487" i="1"/>
  <c r="E1487" i="1"/>
  <c r="H1486" i="1"/>
  <c r="G1486" i="1"/>
  <c r="E1486" i="1"/>
  <c r="H1485" i="1"/>
  <c r="G1485" i="1"/>
  <c r="E1485" i="1"/>
  <c r="H1484" i="1"/>
  <c r="G1484" i="1"/>
  <c r="E1484" i="1"/>
  <c r="H1483" i="1"/>
  <c r="G1483" i="1"/>
  <c r="E1483" i="1"/>
  <c r="H1482" i="1"/>
  <c r="G1482" i="1"/>
  <c r="E1482" i="1"/>
  <c r="H1481" i="1"/>
  <c r="G1481" i="1"/>
  <c r="E1481" i="1"/>
  <c r="H1480" i="1"/>
  <c r="G1480" i="1"/>
  <c r="E1480" i="1"/>
  <c r="H1479" i="1"/>
  <c r="G1479" i="1"/>
  <c r="E1479" i="1"/>
  <c r="H1478" i="1"/>
  <c r="G1478" i="1"/>
  <c r="E1478" i="1"/>
  <c r="H1477" i="1"/>
  <c r="G1477" i="1"/>
  <c r="E1477" i="1"/>
  <c r="H1476" i="1"/>
  <c r="G1476" i="1"/>
  <c r="E1476" i="1"/>
  <c r="H1475" i="1"/>
  <c r="G1475" i="1"/>
  <c r="E1475" i="1"/>
  <c r="H1474" i="1"/>
  <c r="G1474" i="1"/>
  <c r="E1474" i="1"/>
  <c r="H1473" i="1"/>
  <c r="G1473" i="1"/>
  <c r="E1473" i="1"/>
  <c r="H1472" i="1"/>
  <c r="G1472" i="1"/>
  <c r="E1472" i="1"/>
  <c r="H1471" i="1"/>
  <c r="G1471" i="1"/>
  <c r="E1471" i="1"/>
  <c r="H1470" i="1"/>
  <c r="G1470" i="1"/>
  <c r="E1470" i="1"/>
  <c r="H1469" i="1"/>
  <c r="G1469" i="1"/>
  <c r="E1469" i="1"/>
  <c r="H1468" i="1"/>
  <c r="G1468" i="1"/>
  <c r="E1468" i="1"/>
  <c r="H1467" i="1"/>
  <c r="G1467" i="1"/>
  <c r="E1467" i="1"/>
  <c r="H1466" i="1"/>
  <c r="G1466" i="1"/>
  <c r="E1466" i="1"/>
  <c r="H1465" i="1"/>
  <c r="G1465" i="1"/>
  <c r="E1465" i="1"/>
  <c r="H1464" i="1"/>
  <c r="G1464" i="1"/>
  <c r="E1464" i="1"/>
  <c r="H1463" i="1"/>
  <c r="G1463" i="1"/>
  <c r="E1463" i="1"/>
  <c r="H1462" i="1"/>
  <c r="G1462" i="1"/>
  <c r="E1462" i="1"/>
  <c r="H1461" i="1"/>
  <c r="G1461" i="1"/>
  <c r="E1461" i="1"/>
  <c r="H1460" i="1"/>
  <c r="G1460" i="1"/>
  <c r="E1460" i="1"/>
  <c r="H1459" i="1"/>
  <c r="G1459" i="1"/>
  <c r="E1459" i="1"/>
  <c r="H1458" i="1"/>
  <c r="G1458" i="1"/>
  <c r="E1458" i="1"/>
  <c r="H1457" i="1"/>
  <c r="G1457" i="1"/>
  <c r="E1457" i="1"/>
  <c r="H1456" i="1"/>
  <c r="G1456" i="1"/>
  <c r="E1456" i="1"/>
  <c r="H1455" i="1"/>
  <c r="G1455" i="1"/>
  <c r="E1455" i="1"/>
  <c r="H1454" i="1"/>
  <c r="G1454" i="1"/>
  <c r="E1454" i="1"/>
  <c r="H1453" i="1"/>
  <c r="G1453" i="1"/>
  <c r="E1453" i="1"/>
  <c r="H1452" i="1"/>
  <c r="G1452" i="1"/>
  <c r="E1452" i="1"/>
  <c r="H1451" i="1"/>
  <c r="G1451" i="1"/>
  <c r="E1451" i="1"/>
  <c r="H1450" i="1"/>
  <c r="G1450" i="1"/>
  <c r="E1450" i="1"/>
  <c r="H1449" i="1"/>
  <c r="G1449" i="1"/>
  <c r="E1449" i="1"/>
  <c r="H1448" i="1"/>
  <c r="G1448" i="1"/>
  <c r="E1448" i="1"/>
  <c r="H1447" i="1"/>
  <c r="G1447" i="1"/>
  <c r="E1447" i="1"/>
  <c r="H1446" i="1"/>
  <c r="G1446" i="1"/>
  <c r="E1446" i="1"/>
  <c r="H1445" i="1"/>
  <c r="G1445" i="1"/>
  <c r="E1445" i="1"/>
  <c r="H1444" i="1"/>
  <c r="G1444" i="1"/>
  <c r="E1444" i="1"/>
  <c r="H1443" i="1"/>
  <c r="G1443" i="1"/>
  <c r="E1443" i="1"/>
  <c r="H1442" i="1"/>
  <c r="G1442" i="1"/>
  <c r="E1442" i="1"/>
  <c r="H1441" i="1"/>
  <c r="G1441" i="1"/>
  <c r="E1441" i="1"/>
  <c r="H1440" i="1"/>
  <c r="G1440" i="1"/>
  <c r="E1440" i="1"/>
  <c r="H1439" i="1"/>
  <c r="G1439" i="1"/>
  <c r="E1439" i="1"/>
  <c r="H1438" i="1"/>
  <c r="G1438" i="1"/>
  <c r="E1438" i="1"/>
  <c r="H1437" i="1"/>
  <c r="G1437" i="1"/>
  <c r="E1437" i="1"/>
  <c r="H1436" i="1"/>
  <c r="G1436" i="1"/>
  <c r="E1436" i="1"/>
  <c r="H1435" i="1"/>
  <c r="G1435" i="1"/>
  <c r="E1435" i="1"/>
  <c r="H1434" i="1"/>
  <c r="G1434" i="1"/>
  <c r="E1434" i="1"/>
  <c r="H1433" i="1"/>
  <c r="G1433" i="1"/>
  <c r="E1433" i="1"/>
  <c r="H1432" i="1"/>
  <c r="G1432" i="1"/>
  <c r="E1432" i="1"/>
  <c r="H1431" i="1"/>
  <c r="G1431" i="1"/>
  <c r="E1431" i="1"/>
  <c r="H1430" i="1"/>
  <c r="G1430" i="1"/>
  <c r="E1430" i="1"/>
  <c r="H1429" i="1"/>
  <c r="G1429" i="1"/>
  <c r="E1429" i="1"/>
  <c r="H1428" i="1"/>
  <c r="G1428" i="1"/>
  <c r="E1428" i="1"/>
  <c r="H1427" i="1"/>
  <c r="G1427" i="1"/>
  <c r="E1427" i="1"/>
  <c r="H1426" i="1"/>
  <c r="G1426" i="1"/>
  <c r="E1426" i="1"/>
  <c r="H1425" i="1"/>
  <c r="G1425" i="1"/>
  <c r="E1425" i="1"/>
  <c r="H1424" i="1"/>
  <c r="G1424" i="1"/>
  <c r="E1424" i="1"/>
  <c r="H1423" i="1"/>
  <c r="G1423" i="1"/>
  <c r="E1423" i="1"/>
  <c r="H1422" i="1"/>
  <c r="G1422" i="1"/>
  <c r="E1422" i="1"/>
  <c r="H1421" i="1"/>
  <c r="G1421" i="1"/>
  <c r="E1421" i="1"/>
  <c r="H1420" i="1"/>
  <c r="G1420" i="1"/>
  <c r="E1420" i="1"/>
  <c r="H1419" i="1"/>
  <c r="G1419" i="1"/>
  <c r="E1419" i="1"/>
  <c r="H1418" i="1"/>
  <c r="G1418" i="1"/>
  <c r="E1418" i="1"/>
  <c r="H1417" i="1"/>
  <c r="G1417" i="1"/>
  <c r="E1417" i="1"/>
  <c r="H1416" i="1"/>
  <c r="G1416" i="1"/>
  <c r="E1416" i="1"/>
  <c r="H1415" i="1"/>
  <c r="G1415" i="1"/>
  <c r="E1415" i="1"/>
  <c r="H1414" i="1"/>
  <c r="G1414" i="1"/>
  <c r="E1414" i="1"/>
  <c r="H1413" i="1"/>
  <c r="G1413" i="1"/>
  <c r="E1413" i="1"/>
  <c r="H1412" i="1"/>
  <c r="G1412" i="1"/>
  <c r="E1412" i="1"/>
  <c r="H1411" i="1"/>
  <c r="G1411" i="1"/>
  <c r="E1411" i="1"/>
  <c r="H1410" i="1"/>
  <c r="G1410" i="1"/>
  <c r="E1410" i="1"/>
  <c r="H1409" i="1"/>
  <c r="G1409" i="1"/>
  <c r="E1409" i="1"/>
  <c r="H1408" i="1"/>
  <c r="G1408" i="1"/>
  <c r="E1408" i="1"/>
  <c r="H1407" i="1"/>
  <c r="G1407" i="1"/>
  <c r="E1407" i="1"/>
  <c r="H1406" i="1"/>
  <c r="G1406" i="1"/>
  <c r="E1406" i="1"/>
  <c r="H1405" i="1"/>
  <c r="G1405" i="1"/>
  <c r="E1405" i="1"/>
  <c r="H1404" i="1"/>
  <c r="G1404" i="1"/>
  <c r="E1404" i="1"/>
  <c r="H1403" i="1"/>
  <c r="G1403" i="1"/>
  <c r="E1403" i="1"/>
  <c r="H1402" i="1"/>
  <c r="G1402" i="1"/>
  <c r="E1402" i="1"/>
  <c r="H1401" i="1"/>
  <c r="G1401" i="1"/>
  <c r="E1401" i="1"/>
  <c r="H1400" i="1"/>
  <c r="G1400" i="1"/>
  <c r="E1400" i="1"/>
  <c r="H1399" i="1"/>
  <c r="G1399" i="1"/>
  <c r="E1399" i="1"/>
  <c r="H1398" i="1"/>
  <c r="G1398" i="1"/>
  <c r="E1398" i="1"/>
  <c r="H1397" i="1"/>
  <c r="G1397" i="1"/>
  <c r="E1397" i="1"/>
  <c r="H1396" i="1"/>
  <c r="G1396" i="1"/>
  <c r="E1396" i="1"/>
  <c r="H1395" i="1"/>
  <c r="G1395" i="1"/>
  <c r="E1395" i="1"/>
  <c r="H1394" i="1"/>
  <c r="G1394" i="1"/>
  <c r="E1394" i="1"/>
  <c r="H1393" i="1"/>
  <c r="G1393" i="1"/>
  <c r="E1393" i="1"/>
  <c r="H1392" i="1"/>
  <c r="G1392" i="1"/>
  <c r="E1392" i="1"/>
  <c r="H1391" i="1"/>
  <c r="G1391" i="1"/>
  <c r="E1391" i="1"/>
  <c r="H1390" i="1"/>
  <c r="G1390" i="1"/>
  <c r="E1390" i="1"/>
  <c r="H1389" i="1"/>
  <c r="G1389" i="1"/>
  <c r="E1389" i="1"/>
  <c r="H1388" i="1"/>
  <c r="G1388" i="1"/>
  <c r="E1388" i="1"/>
  <c r="H1387" i="1"/>
  <c r="G1387" i="1"/>
  <c r="E1387" i="1"/>
  <c r="H1386" i="1"/>
  <c r="G1386" i="1"/>
  <c r="E1386" i="1"/>
  <c r="H1385" i="1"/>
  <c r="G1385" i="1"/>
  <c r="E1385" i="1"/>
  <c r="H1384" i="1"/>
  <c r="G1384" i="1"/>
  <c r="E1384" i="1"/>
  <c r="H1383" i="1"/>
  <c r="G1383" i="1"/>
  <c r="E1383" i="1"/>
  <c r="H1382" i="1"/>
  <c r="G1382" i="1"/>
  <c r="E1382" i="1"/>
  <c r="H1381" i="1"/>
  <c r="G1381" i="1"/>
  <c r="E1381" i="1"/>
  <c r="H1380" i="1"/>
  <c r="G1380" i="1"/>
  <c r="E1380" i="1"/>
  <c r="H1379" i="1"/>
  <c r="G1379" i="1"/>
  <c r="E1379" i="1"/>
  <c r="H1378" i="1"/>
  <c r="G1378" i="1"/>
  <c r="E1378" i="1"/>
  <c r="H1377" i="1"/>
  <c r="G1377" i="1"/>
  <c r="E1377" i="1"/>
  <c r="H1376" i="1"/>
  <c r="G1376" i="1"/>
  <c r="E1376" i="1"/>
  <c r="H1375" i="1"/>
  <c r="G1375" i="1"/>
  <c r="E1375" i="1"/>
  <c r="H1374" i="1"/>
  <c r="G1374" i="1"/>
  <c r="E1374" i="1"/>
  <c r="H1373" i="1"/>
  <c r="G1373" i="1"/>
  <c r="E1373" i="1"/>
  <c r="H1372" i="1"/>
  <c r="G1372" i="1"/>
  <c r="E1372" i="1"/>
  <c r="H1371" i="1"/>
  <c r="G1371" i="1"/>
  <c r="E1371" i="1"/>
  <c r="H1370" i="1"/>
  <c r="G1370" i="1"/>
  <c r="E1370" i="1"/>
  <c r="H1369" i="1"/>
  <c r="G1369" i="1"/>
  <c r="E1369" i="1"/>
  <c r="H1368" i="1"/>
  <c r="G1368" i="1"/>
  <c r="E1368" i="1"/>
  <c r="H1367" i="1"/>
  <c r="G1367" i="1"/>
  <c r="E1367" i="1"/>
  <c r="H1366" i="1"/>
  <c r="G1366" i="1"/>
  <c r="E1366" i="1"/>
  <c r="H1365" i="1"/>
  <c r="G1365" i="1"/>
  <c r="E1365" i="1"/>
  <c r="H1364" i="1"/>
  <c r="G1364" i="1"/>
  <c r="E1364" i="1"/>
  <c r="H1363" i="1"/>
  <c r="G1363" i="1"/>
  <c r="E1363" i="1"/>
  <c r="H1362" i="1"/>
  <c r="G1362" i="1"/>
  <c r="E1362" i="1"/>
  <c r="H1361" i="1"/>
  <c r="G1361" i="1"/>
  <c r="E1361" i="1"/>
  <c r="H1360" i="1"/>
  <c r="G1360" i="1"/>
  <c r="E1360" i="1"/>
  <c r="H1359" i="1"/>
  <c r="G1359" i="1"/>
  <c r="E1359" i="1"/>
  <c r="H1358" i="1"/>
  <c r="G1358" i="1"/>
  <c r="E1358" i="1"/>
  <c r="H1357" i="1"/>
  <c r="G1357" i="1"/>
  <c r="E1357" i="1"/>
  <c r="H1356" i="1"/>
  <c r="G1356" i="1"/>
  <c r="E1356" i="1"/>
  <c r="H1355" i="1"/>
  <c r="G1355" i="1"/>
  <c r="E1355" i="1"/>
  <c r="H1354" i="1"/>
  <c r="G1354" i="1"/>
  <c r="E1354" i="1"/>
  <c r="H1353" i="1"/>
  <c r="G1353" i="1"/>
  <c r="E1353" i="1"/>
  <c r="H1352" i="1"/>
  <c r="G1352" i="1"/>
  <c r="E1352" i="1"/>
  <c r="H1351" i="1"/>
  <c r="G1351" i="1"/>
  <c r="E1351" i="1"/>
  <c r="H1350" i="1"/>
  <c r="G1350" i="1"/>
  <c r="E1350" i="1"/>
  <c r="H1349" i="1"/>
  <c r="G1349" i="1"/>
  <c r="E1349" i="1"/>
  <c r="H1348" i="1"/>
  <c r="G1348" i="1"/>
  <c r="E1348" i="1"/>
  <c r="H1347" i="1"/>
  <c r="G1347" i="1"/>
  <c r="E1347" i="1"/>
  <c r="H1346" i="1"/>
  <c r="G1346" i="1"/>
  <c r="E1346" i="1"/>
  <c r="H1345" i="1"/>
  <c r="G1345" i="1"/>
  <c r="E1345" i="1"/>
  <c r="H1344" i="1"/>
  <c r="G1344" i="1"/>
  <c r="E1344" i="1"/>
  <c r="H1343" i="1"/>
  <c r="G1343" i="1"/>
  <c r="E1343" i="1"/>
  <c r="H1342" i="1"/>
  <c r="G1342" i="1"/>
  <c r="E1342" i="1"/>
  <c r="H1341" i="1"/>
  <c r="G1341" i="1"/>
  <c r="E1341" i="1"/>
  <c r="H1340" i="1"/>
  <c r="G1340" i="1"/>
  <c r="E1340" i="1"/>
  <c r="H1339" i="1"/>
  <c r="G1339" i="1"/>
  <c r="E1339" i="1"/>
  <c r="H1338" i="1"/>
  <c r="G1338" i="1"/>
  <c r="E1338" i="1"/>
  <c r="H1337" i="1"/>
  <c r="G1337" i="1"/>
  <c r="E1337" i="1"/>
  <c r="H1336" i="1"/>
  <c r="G1336" i="1"/>
  <c r="E1336" i="1"/>
  <c r="H1335" i="1"/>
  <c r="G1335" i="1"/>
  <c r="E1335" i="1"/>
  <c r="H1334" i="1"/>
  <c r="G1334" i="1"/>
  <c r="E1334" i="1"/>
  <c r="H1333" i="1"/>
  <c r="G1333" i="1"/>
  <c r="E1333" i="1"/>
  <c r="H1332" i="1"/>
  <c r="G1332" i="1"/>
  <c r="E1332" i="1"/>
  <c r="H1331" i="1"/>
  <c r="G1331" i="1"/>
  <c r="E1331" i="1"/>
  <c r="H1330" i="1"/>
  <c r="G1330" i="1"/>
  <c r="E1330" i="1"/>
  <c r="H1329" i="1"/>
  <c r="G1329" i="1"/>
  <c r="E1329" i="1"/>
  <c r="H1328" i="1"/>
  <c r="G1328" i="1"/>
  <c r="E1328" i="1"/>
  <c r="H1327" i="1"/>
  <c r="G1327" i="1"/>
  <c r="E1327" i="1"/>
  <c r="H1326" i="1"/>
  <c r="G1326" i="1"/>
  <c r="E1326" i="1"/>
  <c r="H1325" i="1"/>
  <c r="G1325" i="1"/>
  <c r="E1325" i="1"/>
  <c r="H1324" i="1"/>
  <c r="G1324" i="1"/>
  <c r="E1324" i="1"/>
  <c r="H1323" i="1"/>
  <c r="G1323" i="1"/>
  <c r="E1323" i="1"/>
  <c r="H1322" i="1"/>
  <c r="G1322" i="1"/>
  <c r="E1322" i="1"/>
  <c r="H1321" i="1"/>
  <c r="G1321" i="1"/>
  <c r="E1321" i="1"/>
  <c r="H1320" i="1"/>
  <c r="G1320" i="1"/>
  <c r="E1320" i="1"/>
  <c r="H1319" i="1"/>
  <c r="G1319" i="1"/>
  <c r="E1319" i="1"/>
  <c r="H1318" i="1"/>
  <c r="G1318" i="1"/>
  <c r="E1318" i="1"/>
  <c r="H1317" i="1"/>
  <c r="G1317" i="1"/>
  <c r="E1317" i="1"/>
  <c r="H1316" i="1"/>
  <c r="G1316" i="1"/>
  <c r="E1316" i="1"/>
  <c r="H1315" i="1"/>
  <c r="G1315" i="1"/>
  <c r="E1315" i="1"/>
  <c r="H1314" i="1"/>
  <c r="G1314" i="1"/>
  <c r="E1314" i="1"/>
  <c r="H1313" i="1"/>
  <c r="G1313" i="1"/>
  <c r="E1313" i="1"/>
  <c r="H1312" i="1"/>
  <c r="G1312" i="1"/>
  <c r="E1312" i="1"/>
  <c r="H1311" i="1"/>
  <c r="G1311" i="1"/>
  <c r="E1311" i="1"/>
  <c r="H1310" i="1"/>
  <c r="G1310" i="1"/>
  <c r="E1310" i="1"/>
  <c r="H1309" i="1"/>
  <c r="G1309" i="1"/>
  <c r="E1309" i="1"/>
  <c r="H1308" i="1"/>
  <c r="G1308" i="1"/>
  <c r="E1308" i="1"/>
  <c r="H1307" i="1"/>
  <c r="G1307" i="1"/>
  <c r="E1307" i="1"/>
  <c r="H1306" i="1"/>
  <c r="G1306" i="1"/>
  <c r="E1306" i="1"/>
  <c r="H1305" i="1"/>
  <c r="G1305" i="1"/>
  <c r="E1305" i="1"/>
  <c r="H1304" i="1"/>
  <c r="G1304" i="1"/>
  <c r="E1304" i="1"/>
  <c r="H1303" i="1"/>
  <c r="G1303" i="1"/>
  <c r="E1303" i="1"/>
  <c r="H1302" i="1"/>
  <c r="G1302" i="1"/>
  <c r="E1302" i="1"/>
  <c r="H1301" i="1"/>
  <c r="G1301" i="1"/>
  <c r="E1301" i="1"/>
  <c r="H1300" i="1"/>
  <c r="G1300" i="1"/>
  <c r="E1300" i="1"/>
  <c r="H1299" i="1"/>
  <c r="G1299" i="1"/>
  <c r="E1299" i="1"/>
  <c r="H1298" i="1"/>
  <c r="G1298" i="1"/>
  <c r="E1298" i="1"/>
  <c r="H1297" i="1"/>
  <c r="G1297" i="1"/>
  <c r="E1297" i="1"/>
  <c r="H1296" i="1"/>
  <c r="G1296" i="1"/>
  <c r="E1296" i="1"/>
  <c r="H1295" i="1"/>
  <c r="G1295" i="1"/>
  <c r="E1295" i="1"/>
  <c r="H1294" i="1"/>
  <c r="G1294" i="1"/>
  <c r="E1294" i="1"/>
  <c r="H1293" i="1"/>
  <c r="G1293" i="1"/>
  <c r="E1293" i="1"/>
  <c r="H1292" i="1"/>
  <c r="G1292" i="1"/>
  <c r="E1292" i="1"/>
  <c r="H1291" i="1"/>
  <c r="G1291" i="1"/>
  <c r="E1291" i="1"/>
  <c r="H1290" i="1"/>
  <c r="G1290" i="1"/>
  <c r="E1290" i="1"/>
  <c r="H1289" i="1"/>
  <c r="G1289" i="1"/>
  <c r="E1289" i="1"/>
  <c r="H1288" i="1"/>
  <c r="G1288" i="1"/>
  <c r="E1288" i="1"/>
  <c r="H1287" i="1"/>
  <c r="G1287" i="1"/>
  <c r="E1287" i="1"/>
  <c r="H1286" i="1"/>
  <c r="G1286" i="1"/>
  <c r="E1286" i="1"/>
  <c r="H1285" i="1"/>
  <c r="G1285" i="1"/>
  <c r="E1285" i="1"/>
  <c r="H1284" i="1"/>
  <c r="G1284" i="1"/>
  <c r="E1284" i="1"/>
  <c r="H1283" i="1"/>
  <c r="G1283" i="1"/>
  <c r="E1283" i="1"/>
  <c r="H1282" i="1"/>
  <c r="G1282" i="1"/>
  <c r="E1282" i="1"/>
  <c r="H1281" i="1"/>
  <c r="G1281" i="1"/>
  <c r="E1281" i="1"/>
  <c r="H1280" i="1"/>
  <c r="G1280" i="1"/>
  <c r="E1280" i="1"/>
  <c r="H1279" i="1"/>
  <c r="G1279" i="1"/>
  <c r="E1279" i="1"/>
  <c r="H1278" i="1"/>
  <c r="G1278" i="1"/>
  <c r="E1278" i="1"/>
  <c r="H1277" i="1"/>
  <c r="G1277" i="1"/>
  <c r="E1277" i="1"/>
  <c r="H1276" i="1"/>
  <c r="G1276" i="1"/>
  <c r="E1276" i="1"/>
  <c r="H1275" i="1"/>
  <c r="G1275" i="1"/>
  <c r="E1275" i="1"/>
  <c r="H1274" i="1"/>
  <c r="G1274" i="1"/>
  <c r="E1274" i="1"/>
  <c r="H1273" i="1"/>
  <c r="G1273" i="1"/>
  <c r="E1273" i="1"/>
  <c r="H1272" i="1"/>
  <c r="G1272" i="1"/>
  <c r="E1272" i="1"/>
  <c r="H1271" i="1"/>
  <c r="G1271" i="1"/>
  <c r="E1271" i="1"/>
  <c r="H1270" i="1"/>
  <c r="G1270" i="1"/>
  <c r="E1270" i="1"/>
  <c r="H1269" i="1"/>
  <c r="G1269" i="1"/>
  <c r="E1269" i="1"/>
  <c r="H1268" i="1"/>
  <c r="G1268" i="1"/>
  <c r="E1268" i="1"/>
  <c r="H1267" i="1"/>
  <c r="G1267" i="1"/>
  <c r="E1267" i="1"/>
  <c r="H1266" i="1"/>
  <c r="G1266" i="1"/>
  <c r="E1266" i="1"/>
  <c r="H1265" i="1"/>
  <c r="G1265" i="1"/>
  <c r="E1265" i="1"/>
  <c r="H1264" i="1"/>
  <c r="G1264" i="1"/>
  <c r="E1264" i="1"/>
  <c r="H1263" i="1"/>
  <c r="G1263" i="1"/>
  <c r="E1263" i="1"/>
  <c r="H1262" i="1"/>
  <c r="G1262" i="1"/>
  <c r="E1262" i="1"/>
  <c r="H1261" i="1"/>
  <c r="G1261" i="1"/>
  <c r="E1261" i="1"/>
  <c r="H1260" i="1"/>
  <c r="G1260" i="1"/>
  <c r="E1260" i="1"/>
  <c r="H1259" i="1"/>
  <c r="G1259" i="1"/>
  <c r="E1259" i="1"/>
  <c r="H1258" i="1"/>
  <c r="G1258" i="1"/>
  <c r="E1258" i="1"/>
  <c r="H1257" i="1"/>
  <c r="G1257" i="1"/>
  <c r="E1257" i="1"/>
  <c r="H1256" i="1"/>
  <c r="G1256" i="1"/>
  <c r="E1256" i="1"/>
  <c r="H1255" i="1"/>
  <c r="G1255" i="1"/>
  <c r="E1255" i="1"/>
  <c r="H1254" i="1"/>
  <c r="G1254" i="1"/>
  <c r="E1254" i="1"/>
  <c r="H1253" i="1"/>
  <c r="G1253" i="1"/>
  <c r="E1253" i="1"/>
  <c r="H1252" i="1"/>
  <c r="G1252" i="1"/>
  <c r="E1252" i="1"/>
  <c r="H1251" i="1"/>
  <c r="G1251" i="1"/>
  <c r="E1251" i="1"/>
  <c r="H1250" i="1"/>
  <c r="G1250" i="1"/>
  <c r="E1250" i="1"/>
  <c r="H1249" i="1"/>
  <c r="G1249" i="1"/>
  <c r="E1249" i="1"/>
  <c r="H1248" i="1"/>
  <c r="G1248" i="1"/>
  <c r="E1248" i="1"/>
  <c r="H1247" i="1"/>
  <c r="G1247" i="1"/>
  <c r="E1247" i="1"/>
  <c r="H1246" i="1"/>
  <c r="G1246" i="1"/>
  <c r="E1246" i="1"/>
  <c r="H1245" i="1"/>
  <c r="G1245" i="1"/>
  <c r="E1245" i="1"/>
  <c r="H1244" i="1"/>
  <c r="G1244" i="1"/>
  <c r="E1244" i="1"/>
  <c r="H1243" i="1"/>
  <c r="G1243" i="1"/>
  <c r="E1243" i="1"/>
  <c r="H1242" i="1"/>
  <c r="G1242" i="1"/>
  <c r="E1242" i="1"/>
  <c r="H1241" i="1"/>
  <c r="G1241" i="1"/>
  <c r="E1241" i="1"/>
  <c r="H1240" i="1"/>
  <c r="G1240" i="1"/>
  <c r="E1240" i="1"/>
  <c r="H1239" i="1"/>
  <c r="G1239" i="1"/>
  <c r="E1239" i="1"/>
  <c r="H1238" i="1"/>
  <c r="G1238" i="1"/>
  <c r="E1238" i="1"/>
  <c r="H1237" i="1"/>
  <c r="G1237" i="1"/>
  <c r="E1237" i="1"/>
  <c r="H1236" i="1"/>
  <c r="G1236" i="1"/>
  <c r="E1236" i="1"/>
  <c r="H1235" i="1"/>
  <c r="G1235" i="1"/>
  <c r="E1235" i="1"/>
  <c r="H1234" i="1"/>
  <c r="G1234" i="1"/>
  <c r="E1234" i="1"/>
  <c r="H1233" i="1"/>
  <c r="G1233" i="1"/>
  <c r="E1233" i="1"/>
  <c r="H1232" i="1"/>
  <c r="G1232" i="1"/>
  <c r="E1232" i="1"/>
  <c r="H1231" i="1"/>
  <c r="G1231" i="1"/>
  <c r="E1231" i="1"/>
  <c r="H1230" i="1"/>
  <c r="G1230" i="1"/>
  <c r="E1230" i="1"/>
  <c r="H1229" i="1"/>
  <c r="G1229" i="1"/>
  <c r="E1229" i="1"/>
  <c r="H1228" i="1"/>
  <c r="G1228" i="1"/>
  <c r="E1228" i="1"/>
  <c r="H1227" i="1"/>
  <c r="G1227" i="1"/>
  <c r="E1227" i="1"/>
  <c r="H1226" i="1"/>
  <c r="G1226" i="1"/>
  <c r="E1226" i="1"/>
  <c r="H1225" i="1"/>
  <c r="G1225" i="1"/>
  <c r="E1225" i="1"/>
  <c r="H1224" i="1"/>
  <c r="G1224" i="1"/>
  <c r="E1224" i="1"/>
  <c r="H1223" i="1"/>
  <c r="G1223" i="1"/>
  <c r="E1223" i="1"/>
  <c r="H1222" i="1"/>
  <c r="G1222" i="1"/>
  <c r="E1222" i="1"/>
  <c r="H1221" i="1"/>
  <c r="G1221" i="1"/>
  <c r="E1221" i="1"/>
  <c r="H1220" i="1"/>
  <c r="G1220" i="1"/>
  <c r="E1220" i="1"/>
  <c r="H1219" i="1"/>
  <c r="G1219" i="1"/>
  <c r="E1219" i="1"/>
  <c r="H1218" i="1"/>
  <c r="G1218" i="1"/>
  <c r="E1218" i="1"/>
  <c r="H1217" i="1"/>
  <c r="G1217" i="1"/>
  <c r="E1217" i="1"/>
  <c r="H1216" i="1"/>
  <c r="G1216" i="1"/>
  <c r="E1216" i="1"/>
  <c r="H1215" i="1"/>
  <c r="G1215" i="1"/>
  <c r="E1215" i="1"/>
  <c r="H1214" i="1"/>
  <c r="G1214" i="1"/>
  <c r="E1214" i="1"/>
  <c r="H1213" i="1"/>
  <c r="G1213" i="1"/>
  <c r="E1213" i="1"/>
  <c r="H1212" i="1"/>
  <c r="G1212" i="1"/>
  <c r="E1212" i="1"/>
  <c r="H1211" i="1"/>
  <c r="G1211" i="1"/>
  <c r="E1211" i="1"/>
  <c r="H1210" i="1"/>
  <c r="G1210" i="1"/>
  <c r="E1210" i="1"/>
  <c r="H1209" i="1"/>
  <c r="G1209" i="1"/>
  <c r="E1209" i="1"/>
  <c r="H1208" i="1"/>
  <c r="G1208" i="1"/>
  <c r="E1208" i="1"/>
  <c r="H1207" i="1"/>
  <c r="G1207" i="1"/>
  <c r="E1207" i="1"/>
  <c r="H1206" i="1"/>
  <c r="G1206" i="1"/>
  <c r="E1206" i="1"/>
  <c r="H1205" i="1"/>
  <c r="G1205" i="1"/>
  <c r="E1205" i="1"/>
  <c r="H1204" i="1"/>
  <c r="G1204" i="1"/>
  <c r="E1204" i="1"/>
  <c r="H1203" i="1"/>
  <c r="G1203" i="1"/>
  <c r="E1203" i="1"/>
  <c r="H1202" i="1"/>
  <c r="G1202" i="1"/>
  <c r="E1202" i="1"/>
  <c r="H1201" i="1"/>
  <c r="G1201" i="1"/>
  <c r="E1201" i="1"/>
  <c r="H1200" i="1"/>
  <c r="G1200" i="1"/>
  <c r="E1200" i="1"/>
  <c r="H1199" i="1"/>
  <c r="G1199" i="1"/>
  <c r="E1199" i="1"/>
  <c r="H1198" i="1"/>
  <c r="G1198" i="1"/>
  <c r="E1198" i="1"/>
  <c r="H1197" i="1"/>
  <c r="G1197" i="1"/>
  <c r="E1197" i="1"/>
  <c r="H1196" i="1"/>
  <c r="G1196" i="1"/>
  <c r="E1196" i="1"/>
  <c r="H1195" i="1"/>
  <c r="G1195" i="1"/>
  <c r="E1195" i="1"/>
  <c r="H1194" i="1"/>
  <c r="G1194" i="1"/>
  <c r="E1194" i="1"/>
  <c r="H1193" i="1"/>
  <c r="G1193" i="1"/>
  <c r="E1193" i="1"/>
  <c r="H1192" i="1"/>
  <c r="G1192" i="1"/>
  <c r="E1192" i="1"/>
  <c r="H1191" i="1"/>
  <c r="G1191" i="1"/>
  <c r="E1191" i="1"/>
  <c r="H1190" i="1"/>
  <c r="G1190" i="1"/>
  <c r="E1190" i="1"/>
  <c r="H1189" i="1"/>
  <c r="G1189" i="1"/>
  <c r="E1189" i="1"/>
  <c r="H1188" i="1"/>
  <c r="G1188" i="1"/>
  <c r="E1188" i="1"/>
  <c r="H1187" i="1"/>
  <c r="G1187" i="1"/>
  <c r="E1187" i="1"/>
  <c r="H1186" i="1"/>
  <c r="G1186" i="1"/>
  <c r="E1186" i="1"/>
  <c r="H1185" i="1"/>
  <c r="G1185" i="1"/>
  <c r="E1185" i="1"/>
  <c r="H1184" i="1"/>
  <c r="G1184" i="1"/>
  <c r="E1184" i="1"/>
  <c r="H1183" i="1"/>
  <c r="G1183" i="1"/>
  <c r="E1183" i="1"/>
  <c r="H1182" i="1"/>
  <c r="G1182" i="1"/>
  <c r="E1182" i="1"/>
  <c r="H1181" i="1"/>
  <c r="G1181" i="1"/>
  <c r="E1181" i="1"/>
  <c r="H1180" i="1"/>
  <c r="G1180" i="1"/>
  <c r="E1180" i="1"/>
  <c r="H1179" i="1"/>
  <c r="G1179" i="1"/>
  <c r="E1179" i="1"/>
  <c r="H1178" i="1"/>
  <c r="G1178" i="1"/>
  <c r="E1178" i="1"/>
  <c r="H1177" i="1"/>
  <c r="G1177" i="1"/>
  <c r="E1177" i="1"/>
  <c r="H1176" i="1"/>
  <c r="G1176" i="1"/>
  <c r="E1176" i="1"/>
  <c r="H1175" i="1"/>
  <c r="G1175" i="1"/>
  <c r="E1175" i="1"/>
  <c r="H1174" i="1"/>
  <c r="G1174" i="1"/>
  <c r="E1174" i="1"/>
  <c r="H1173" i="1"/>
  <c r="G1173" i="1"/>
  <c r="E1173" i="1"/>
  <c r="H1172" i="1"/>
  <c r="G1172" i="1"/>
  <c r="E1172" i="1"/>
  <c r="H1171" i="1"/>
  <c r="G1171" i="1"/>
  <c r="E1171" i="1"/>
  <c r="H1170" i="1"/>
  <c r="G1170" i="1"/>
  <c r="E1170" i="1"/>
  <c r="H1169" i="1"/>
  <c r="G1169" i="1"/>
  <c r="E1169" i="1"/>
  <c r="H1168" i="1"/>
  <c r="G1168" i="1"/>
  <c r="E1168" i="1"/>
  <c r="H1167" i="1"/>
  <c r="G1167" i="1"/>
  <c r="E1167" i="1"/>
  <c r="H1166" i="1"/>
  <c r="G1166" i="1"/>
  <c r="E1166" i="1"/>
  <c r="H1165" i="1"/>
  <c r="G1165" i="1"/>
  <c r="E1165" i="1"/>
  <c r="H1164" i="1"/>
  <c r="G1164" i="1"/>
  <c r="E1164" i="1"/>
  <c r="H1163" i="1"/>
  <c r="G1163" i="1"/>
  <c r="E1163" i="1"/>
  <c r="H1162" i="1"/>
  <c r="G1162" i="1"/>
  <c r="E1162" i="1"/>
  <c r="H1161" i="1"/>
  <c r="G1161" i="1"/>
  <c r="E1161" i="1"/>
  <c r="H1160" i="1"/>
  <c r="G1160" i="1"/>
  <c r="E1160" i="1"/>
  <c r="H1159" i="1"/>
  <c r="G1159" i="1"/>
  <c r="E1159" i="1"/>
  <c r="H1158" i="1"/>
  <c r="G1158" i="1"/>
  <c r="E1158" i="1"/>
  <c r="H1157" i="1"/>
  <c r="G1157" i="1"/>
  <c r="E1157" i="1"/>
  <c r="H1156" i="1"/>
  <c r="G1156" i="1"/>
  <c r="E1156" i="1"/>
  <c r="H1155" i="1"/>
  <c r="G1155" i="1"/>
  <c r="E1155" i="1"/>
  <c r="H1154" i="1"/>
  <c r="G1154" i="1"/>
  <c r="E1154" i="1"/>
  <c r="H1153" i="1"/>
  <c r="G1153" i="1"/>
  <c r="E1153" i="1"/>
  <c r="H1152" i="1"/>
  <c r="G1152" i="1"/>
  <c r="E1152" i="1"/>
  <c r="H1151" i="1"/>
  <c r="G1151" i="1"/>
  <c r="E1151" i="1"/>
  <c r="H1150" i="1"/>
  <c r="G1150" i="1"/>
  <c r="E1150" i="1"/>
  <c r="H1149" i="1"/>
  <c r="G1149" i="1"/>
  <c r="E1149" i="1"/>
  <c r="H1148" i="1"/>
  <c r="G1148" i="1"/>
  <c r="E1148" i="1"/>
  <c r="H1147" i="1"/>
  <c r="G1147" i="1"/>
  <c r="E1147" i="1"/>
  <c r="H1146" i="1"/>
  <c r="G1146" i="1"/>
  <c r="E1146" i="1"/>
  <c r="H1145" i="1"/>
  <c r="G1145" i="1"/>
  <c r="E1145" i="1"/>
  <c r="H1144" i="1"/>
  <c r="G1144" i="1"/>
  <c r="E1144" i="1"/>
  <c r="H1143" i="1"/>
  <c r="G1143" i="1"/>
  <c r="E1143" i="1"/>
  <c r="H1142" i="1"/>
  <c r="G1142" i="1"/>
  <c r="E1142" i="1"/>
  <c r="H1141" i="1"/>
  <c r="G1141" i="1"/>
  <c r="E1141" i="1"/>
  <c r="H1140" i="1"/>
  <c r="G1140" i="1"/>
  <c r="E1140" i="1"/>
  <c r="H1139" i="1"/>
  <c r="G1139" i="1"/>
  <c r="E1139" i="1"/>
  <c r="H1138" i="1"/>
  <c r="G1138" i="1"/>
  <c r="E1138" i="1"/>
  <c r="H1137" i="1"/>
  <c r="G1137" i="1"/>
  <c r="E1137" i="1"/>
  <c r="H1136" i="1"/>
  <c r="G1136" i="1"/>
  <c r="E1136" i="1"/>
  <c r="H1135" i="1"/>
  <c r="G1135" i="1"/>
  <c r="E1135" i="1"/>
  <c r="H1134" i="1"/>
  <c r="G1134" i="1"/>
  <c r="E1134" i="1"/>
  <c r="H1133" i="1"/>
  <c r="G1133" i="1"/>
  <c r="E1133" i="1"/>
  <c r="H1132" i="1"/>
  <c r="G1132" i="1"/>
  <c r="E1132" i="1"/>
  <c r="H1131" i="1"/>
  <c r="G1131" i="1"/>
  <c r="E1131" i="1"/>
  <c r="H1130" i="1"/>
  <c r="G1130" i="1"/>
  <c r="E1130" i="1"/>
  <c r="H1129" i="1"/>
  <c r="G1129" i="1"/>
  <c r="E1129" i="1"/>
  <c r="H1128" i="1"/>
  <c r="G1128" i="1"/>
  <c r="E1128" i="1"/>
  <c r="H1127" i="1"/>
  <c r="G1127" i="1"/>
  <c r="E1127" i="1"/>
  <c r="H1126" i="1"/>
  <c r="G1126" i="1"/>
  <c r="E1126" i="1"/>
  <c r="H1125" i="1"/>
  <c r="G1125" i="1"/>
  <c r="E1125" i="1"/>
  <c r="H1124" i="1"/>
  <c r="G1124" i="1"/>
  <c r="E1124" i="1"/>
  <c r="H1123" i="1"/>
  <c r="G1123" i="1"/>
  <c r="E1123" i="1"/>
  <c r="H1122" i="1"/>
  <c r="G1122" i="1"/>
  <c r="E1122" i="1"/>
  <c r="H1121" i="1"/>
  <c r="G1121" i="1"/>
  <c r="E1121" i="1"/>
  <c r="H1120" i="1"/>
  <c r="G1120" i="1"/>
  <c r="E1120" i="1"/>
  <c r="H1119" i="1"/>
  <c r="G1119" i="1"/>
  <c r="E1119" i="1"/>
  <c r="H1118" i="1"/>
  <c r="G1118" i="1"/>
  <c r="E1118" i="1"/>
  <c r="H1117" i="1"/>
  <c r="G1117" i="1"/>
  <c r="E1117" i="1"/>
  <c r="H1116" i="1"/>
  <c r="G1116" i="1"/>
  <c r="E1116" i="1"/>
  <c r="H1115" i="1"/>
  <c r="G1115" i="1"/>
  <c r="E1115" i="1"/>
  <c r="H1114" i="1"/>
  <c r="G1114" i="1"/>
  <c r="E1114" i="1"/>
  <c r="H1113" i="1"/>
  <c r="G1113" i="1"/>
  <c r="E1113" i="1"/>
  <c r="H1112" i="1"/>
  <c r="G1112" i="1"/>
  <c r="E1112" i="1"/>
  <c r="H1111" i="1"/>
  <c r="G1111" i="1"/>
  <c r="E1111" i="1"/>
  <c r="H1110" i="1"/>
  <c r="G1110" i="1"/>
  <c r="E1110" i="1"/>
  <c r="H1109" i="1"/>
  <c r="G1109" i="1"/>
  <c r="E1109" i="1"/>
  <c r="H1108" i="1"/>
  <c r="G1108" i="1"/>
  <c r="E1108" i="1"/>
  <c r="H1107" i="1"/>
  <c r="G1107" i="1"/>
  <c r="E1107" i="1"/>
  <c r="H1106" i="1"/>
  <c r="G1106" i="1"/>
  <c r="E1106" i="1"/>
  <c r="H1105" i="1"/>
  <c r="G1105" i="1"/>
  <c r="E1105" i="1"/>
  <c r="H1104" i="1"/>
  <c r="G1104" i="1"/>
  <c r="E1104" i="1"/>
  <c r="H1103" i="1"/>
  <c r="G1103" i="1"/>
  <c r="E1103" i="1"/>
  <c r="H1102" i="1"/>
  <c r="G1102" i="1"/>
  <c r="E1102" i="1"/>
  <c r="H1101" i="1"/>
  <c r="G1101" i="1"/>
  <c r="E1101" i="1"/>
  <c r="H1100" i="1"/>
  <c r="G1100" i="1"/>
  <c r="E1100" i="1"/>
  <c r="H1099" i="1"/>
  <c r="G1099" i="1"/>
  <c r="E1099" i="1"/>
  <c r="H1098" i="1"/>
  <c r="G1098" i="1"/>
  <c r="E1098" i="1"/>
  <c r="H1097" i="1"/>
  <c r="G1097" i="1"/>
  <c r="E1097" i="1"/>
  <c r="H1096" i="1"/>
  <c r="G1096" i="1"/>
  <c r="E1096" i="1"/>
  <c r="H1095" i="1"/>
  <c r="G1095" i="1"/>
  <c r="E1095" i="1"/>
  <c r="H1094" i="1"/>
  <c r="G1094" i="1"/>
  <c r="E1094" i="1"/>
  <c r="H1093" i="1"/>
  <c r="G1093" i="1"/>
  <c r="E1093" i="1"/>
  <c r="H1092" i="1"/>
  <c r="G1092" i="1"/>
  <c r="E1092" i="1"/>
  <c r="H1091" i="1"/>
  <c r="G1091" i="1"/>
  <c r="E1091" i="1"/>
  <c r="H1090" i="1"/>
  <c r="G1090" i="1"/>
  <c r="E1090" i="1"/>
  <c r="H1089" i="1"/>
  <c r="G1089" i="1"/>
  <c r="E1089" i="1"/>
  <c r="H1088" i="1"/>
  <c r="G1088" i="1"/>
  <c r="E1088" i="1"/>
  <c r="H1087" i="1"/>
  <c r="G1087" i="1"/>
  <c r="E1087" i="1"/>
  <c r="H1086" i="1"/>
  <c r="G1086" i="1"/>
  <c r="E1086" i="1"/>
  <c r="H1085" i="1"/>
  <c r="G1085" i="1"/>
  <c r="E1085" i="1"/>
  <c r="H1084" i="1"/>
  <c r="G1084" i="1"/>
  <c r="E1084" i="1"/>
  <c r="H1083" i="1"/>
  <c r="G1083" i="1"/>
  <c r="E1083" i="1"/>
  <c r="H1082" i="1"/>
  <c r="G1082" i="1"/>
  <c r="E1082" i="1"/>
  <c r="H1081" i="1"/>
  <c r="G1081" i="1"/>
  <c r="E1081" i="1"/>
  <c r="H1080" i="1"/>
  <c r="G1080" i="1"/>
  <c r="E1080" i="1"/>
  <c r="H1079" i="1"/>
  <c r="G1079" i="1"/>
  <c r="E1079" i="1"/>
  <c r="H1078" i="1"/>
  <c r="G1078" i="1"/>
  <c r="E1078" i="1"/>
  <c r="H1077" i="1"/>
  <c r="G1077" i="1"/>
  <c r="E1077" i="1"/>
  <c r="H1076" i="1"/>
  <c r="G1076" i="1"/>
  <c r="E1076" i="1"/>
  <c r="H1075" i="1"/>
  <c r="G1075" i="1"/>
  <c r="E1075" i="1"/>
  <c r="H1074" i="1"/>
  <c r="G1074" i="1"/>
  <c r="E1074" i="1"/>
  <c r="H1073" i="1"/>
  <c r="G1073" i="1"/>
  <c r="E1073" i="1"/>
  <c r="H1072" i="1"/>
  <c r="G1072" i="1"/>
  <c r="E1072" i="1"/>
  <c r="H1071" i="1"/>
  <c r="G1071" i="1"/>
  <c r="E1071" i="1"/>
  <c r="H1070" i="1"/>
  <c r="G1070" i="1"/>
  <c r="E1070" i="1"/>
  <c r="H1069" i="1"/>
  <c r="G1069" i="1"/>
  <c r="E1069" i="1"/>
  <c r="H1068" i="1"/>
  <c r="G1068" i="1"/>
  <c r="E1068" i="1"/>
  <c r="H1067" i="1"/>
  <c r="G1067" i="1"/>
  <c r="E1067" i="1"/>
  <c r="H1066" i="1"/>
  <c r="G1066" i="1"/>
  <c r="E1066" i="1"/>
  <c r="H1065" i="1"/>
  <c r="G1065" i="1"/>
  <c r="E1065" i="1"/>
  <c r="H1064" i="1"/>
  <c r="G1064" i="1"/>
  <c r="E1064" i="1"/>
  <c r="H1063" i="1"/>
  <c r="G1063" i="1"/>
  <c r="E1063" i="1"/>
  <c r="H1062" i="1"/>
  <c r="G1062" i="1"/>
  <c r="E1062" i="1"/>
  <c r="H1061" i="1"/>
  <c r="G1061" i="1"/>
  <c r="E1061" i="1"/>
  <c r="H1060" i="1"/>
  <c r="G1060" i="1"/>
  <c r="E1060" i="1"/>
  <c r="H1059" i="1"/>
  <c r="G1059" i="1"/>
  <c r="E1059" i="1"/>
  <c r="H1058" i="1"/>
  <c r="G1058" i="1"/>
  <c r="E1058" i="1"/>
  <c r="H1057" i="1"/>
  <c r="G1057" i="1"/>
  <c r="E1057" i="1"/>
  <c r="H1056" i="1"/>
  <c r="G1056" i="1"/>
  <c r="E1056" i="1"/>
  <c r="H1055" i="1"/>
  <c r="G1055" i="1"/>
  <c r="E1055" i="1"/>
  <c r="H1054" i="1"/>
  <c r="G1054" i="1"/>
  <c r="E1054" i="1"/>
  <c r="H1053" i="1"/>
  <c r="G1053" i="1"/>
  <c r="E1053" i="1"/>
  <c r="H1052" i="1"/>
  <c r="G1052" i="1"/>
  <c r="E1052" i="1"/>
  <c r="H1051" i="1"/>
  <c r="G1051" i="1"/>
  <c r="E1051" i="1"/>
  <c r="H1050" i="1"/>
  <c r="G1050" i="1"/>
  <c r="E1050" i="1"/>
  <c r="H1049" i="1"/>
  <c r="G1049" i="1"/>
  <c r="E1049" i="1"/>
  <c r="H1048" i="1"/>
  <c r="G1048" i="1"/>
  <c r="E1048" i="1"/>
  <c r="H1047" i="1"/>
  <c r="G1047" i="1"/>
  <c r="E1047" i="1"/>
  <c r="H1046" i="1"/>
  <c r="G1046" i="1"/>
  <c r="E1046" i="1"/>
  <c r="H1045" i="1"/>
  <c r="G1045" i="1"/>
  <c r="E1045" i="1"/>
  <c r="H1044" i="1"/>
  <c r="G1044" i="1"/>
  <c r="E1044" i="1"/>
  <c r="H1043" i="1"/>
  <c r="G1043" i="1"/>
  <c r="E1043" i="1"/>
  <c r="H1042" i="1"/>
  <c r="G1042" i="1"/>
  <c r="E1042" i="1"/>
  <c r="H1041" i="1"/>
  <c r="G1041" i="1"/>
  <c r="E1041" i="1"/>
  <c r="H1040" i="1"/>
  <c r="G1040" i="1"/>
  <c r="E1040" i="1"/>
  <c r="H1039" i="1"/>
  <c r="G1039" i="1"/>
  <c r="E1039" i="1"/>
  <c r="H1038" i="1"/>
  <c r="G1038" i="1"/>
  <c r="E1038" i="1"/>
  <c r="H1037" i="1"/>
  <c r="G1037" i="1"/>
  <c r="E1037" i="1"/>
  <c r="H1036" i="1"/>
  <c r="G1036" i="1"/>
  <c r="E1036" i="1"/>
  <c r="H1035" i="1"/>
  <c r="G1035" i="1"/>
  <c r="E1035" i="1"/>
  <c r="H1034" i="1"/>
  <c r="G1034" i="1"/>
  <c r="E1034" i="1"/>
  <c r="H1033" i="1"/>
  <c r="G1033" i="1"/>
  <c r="E1033" i="1"/>
  <c r="H1032" i="1"/>
  <c r="G1032" i="1"/>
  <c r="E1032" i="1"/>
  <c r="H1031" i="1"/>
  <c r="G1031" i="1"/>
  <c r="E1031" i="1"/>
  <c r="H1030" i="1"/>
  <c r="G1030" i="1"/>
  <c r="E1030" i="1"/>
  <c r="H1029" i="1"/>
  <c r="G1029" i="1"/>
  <c r="E1029" i="1"/>
  <c r="H1028" i="1"/>
  <c r="G1028" i="1"/>
  <c r="E1028" i="1"/>
  <c r="H1027" i="1"/>
  <c r="G1027" i="1"/>
  <c r="E1027" i="1"/>
  <c r="H1026" i="1"/>
  <c r="G1026" i="1"/>
  <c r="E1026" i="1"/>
  <c r="H1025" i="1"/>
  <c r="G1025" i="1"/>
  <c r="E1025" i="1"/>
  <c r="H1024" i="1"/>
  <c r="G1024" i="1"/>
  <c r="E1024" i="1"/>
  <c r="H1023" i="1"/>
  <c r="G1023" i="1"/>
  <c r="E1023" i="1"/>
  <c r="H1022" i="1"/>
  <c r="G1022" i="1"/>
  <c r="E1022" i="1"/>
  <c r="H1021" i="1"/>
  <c r="G1021" i="1"/>
  <c r="E1021" i="1"/>
  <c r="H1020" i="1"/>
  <c r="G1020" i="1"/>
  <c r="E1020" i="1"/>
  <c r="H1019" i="1"/>
  <c r="G1019" i="1"/>
  <c r="E1019" i="1"/>
  <c r="H1018" i="1"/>
  <c r="G1018" i="1"/>
  <c r="E1018" i="1"/>
  <c r="H1017" i="1"/>
  <c r="G1017" i="1"/>
  <c r="E1017" i="1"/>
  <c r="H1016" i="1"/>
  <c r="G1016" i="1"/>
  <c r="E1016" i="1"/>
  <c r="H1015" i="1"/>
  <c r="G1015" i="1"/>
  <c r="E1015" i="1"/>
  <c r="H1014" i="1"/>
  <c r="G1014" i="1"/>
  <c r="E1014" i="1"/>
  <c r="H1013" i="1"/>
  <c r="G1013" i="1"/>
  <c r="E1013" i="1"/>
  <c r="H1012" i="1"/>
  <c r="G1012" i="1"/>
  <c r="E1012" i="1"/>
  <c r="H1011" i="1"/>
  <c r="G1011" i="1"/>
  <c r="E1011" i="1"/>
  <c r="H1010" i="1"/>
  <c r="G1010" i="1"/>
  <c r="E1010" i="1"/>
  <c r="H1009" i="1"/>
  <c r="G1009" i="1"/>
  <c r="E1009" i="1"/>
  <c r="H1008" i="1"/>
  <c r="G1008" i="1"/>
  <c r="E1008" i="1"/>
  <c r="H1007" i="1"/>
  <c r="G1007" i="1"/>
  <c r="E1007" i="1"/>
  <c r="H1006" i="1"/>
  <c r="G1006" i="1"/>
  <c r="E1006" i="1"/>
  <c r="H1005" i="1"/>
  <c r="G1005" i="1"/>
  <c r="E1005" i="1"/>
  <c r="H1004" i="1"/>
  <c r="G1004" i="1"/>
  <c r="E1004" i="1"/>
  <c r="H1003" i="1"/>
  <c r="G1003" i="1"/>
  <c r="E1003" i="1"/>
  <c r="H1002" i="1"/>
  <c r="G1002" i="1"/>
  <c r="E1002" i="1"/>
  <c r="H1001" i="1"/>
  <c r="G1001" i="1"/>
  <c r="E1001" i="1"/>
  <c r="H1000" i="1"/>
  <c r="G1000" i="1"/>
  <c r="E1000" i="1"/>
  <c r="H999" i="1"/>
  <c r="G999" i="1"/>
  <c r="E999" i="1"/>
  <c r="H998" i="1"/>
  <c r="G998" i="1"/>
  <c r="E998" i="1"/>
  <c r="H997" i="1"/>
  <c r="G997" i="1"/>
  <c r="E997" i="1"/>
  <c r="H996" i="1"/>
  <c r="G996" i="1"/>
  <c r="E996" i="1"/>
  <c r="H995" i="1"/>
  <c r="G995" i="1"/>
  <c r="E995" i="1"/>
  <c r="H994" i="1"/>
  <c r="G994" i="1"/>
  <c r="E994" i="1"/>
  <c r="H993" i="1"/>
  <c r="G993" i="1"/>
  <c r="E993" i="1"/>
  <c r="H992" i="1"/>
  <c r="G992" i="1"/>
  <c r="E992" i="1"/>
  <c r="H991" i="1"/>
  <c r="G991" i="1"/>
  <c r="E991" i="1"/>
  <c r="H990" i="1"/>
  <c r="G990" i="1"/>
  <c r="E990" i="1"/>
  <c r="H989" i="1"/>
  <c r="G989" i="1"/>
  <c r="E989" i="1"/>
  <c r="H988" i="1"/>
  <c r="G988" i="1"/>
  <c r="E988" i="1"/>
  <c r="H987" i="1"/>
  <c r="G987" i="1"/>
  <c r="E987" i="1"/>
  <c r="H986" i="1"/>
  <c r="G986" i="1"/>
  <c r="E986" i="1"/>
  <c r="H985" i="1"/>
  <c r="G985" i="1"/>
  <c r="E985" i="1"/>
  <c r="H984" i="1"/>
  <c r="G984" i="1"/>
  <c r="E984" i="1"/>
  <c r="H983" i="1"/>
  <c r="G983" i="1"/>
  <c r="E983" i="1"/>
  <c r="H982" i="1"/>
  <c r="G982" i="1"/>
  <c r="E982" i="1"/>
  <c r="H981" i="1"/>
  <c r="G981" i="1"/>
  <c r="E981" i="1"/>
  <c r="H980" i="1"/>
  <c r="G980" i="1"/>
  <c r="E980" i="1"/>
  <c r="H979" i="1"/>
  <c r="G979" i="1"/>
  <c r="E979" i="1"/>
  <c r="H978" i="1"/>
  <c r="G978" i="1"/>
  <c r="E978" i="1"/>
  <c r="H977" i="1"/>
  <c r="G977" i="1"/>
  <c r="E977" i="1"/>
  <c r="H976" i="1"/>
  <c r="G976" i="1"/>
  <c r="E976" i="1"/>
  <c r="H975" i="1"/>
  <c r="G975" i="1"/>
  <c r="E975" i="1"/>
  <c r="H974" i="1"/>
  <c r="G974" i="1"/>
  <c r="E974" i="1"/>
  <c r="H973" i="1"/>
  <c r="G973" i="1"/>
  <c r="E973" i="1"/>
  <c r="H972" i="1"/>
  <c r="G972" i="1"/>
  <c r="E972" i="1"/>
  <c r="H971" i="1"/>
  <c r="G971" i="1"/>
  <c r="E971" i="1"/>
  <c r="H970" i="1"/>
  <c r="G970" i="1"/>
  <c r="E970" i="1"/>
  <c r="H969" i="1"/>
  <c r="G969" i="1"/>
  <c r="E969" i="1"/>
  <c r="H968" i="1"/>
  <c r="G968" i="1"/>
  <c r="E968" i="1"/>
  <c r="H967" i="1"/>
  <c r="G967" i="1"/>
  <c r="E967" i="1"/>
  <c r="H966" i="1"/>
  <c r="G966" i="1"/>
  <c r="E966" i="1"/>
  <c r="H965" i="1"/>
  <c r="G965" i="1"/>
  <c r="E965" i="1"/>
  <c r="H964" i="1"/>
  <c r="G964" i="1"/>
  <c r="E964" i="1"/>
  <c r="H963" i="1"/>
  <c r="G963" i="1"/>
  <c r="E963" i="1"/>
  <c r="H962" i="1"/>
  <c r="G962" i="1"/>
  <c r="E962" i="1"/>
  <c r="H961" i="1"/>
  <c r="G961" i="1"/>
  <c r="E961" i="1"/>
  <c r="H960" i="1"/>
  <c r="G960" i="1"/>
  <c r="E960" i="1"/>
  <c r="H959" i="1"/>
  <c r="G959" i="1"/>
  <c r="E959" i="1"/>
  <c r="H958" i="1"/>
  <c r="G958" i="1"/>
  <c r="E958" i="1"/>
  <c r="H957" i="1"/>
  <c r="G957" i="1"/>
  <c r="E957" i="1"/>
  <c r="H956" i="1"/>
  <c r="G956" i="1"/>
  <c r="E956" i="1"/>
  <c r="H955" i="1"/>
  <c r="G955" i="1"/>
  <c r="E955" i="1"/>
  <c r="H954" i="1"/>
  <c r="G954" i="1"/>
  <c r="E954" i="1"/>
  <c r="H953" i="1"/>
  <c r="G953" i="1"/>
  <c r="E953" i="1"/>
  <c r="H952" i="1"/>
  <c r="G952" i="1"/>
  <c r="E952" i="1"/>
  <c r="H951" i="1"/>
  <c r="G951" i="1"/>
  <c r="E951" i="1"/>
  <c r="H950" i="1"/>
  <c r="G950" i="1"/>
  <c r="E950" i="1"/>
  <c r="H949" i="1"/>
  <c r="G949" i="1"/>
  <c r="E949" i="1"/>
  <c r="H948" i="1"/>
  <c r="G948" i="1"/>
  <c r="E948" i="1"/>
  <c r="H947" i="1"/>
  <c r="G947" i="1"/>
  <c r="E947" i="1"/>
  <c r="H946" i="1"/>
  <c r="G946" i="1"/>
  <c r="E946" i="1"/>
  <c r="H945" i="1"/>
  <c r="G945" i="1"/>
  <c r="E945" i="1"/>
  <c r="H944" i="1"/>
  <c r="G944" i="1"/>
  <c r="E944" i="1"/>
  <c r="H943" i="1"/>
  <c r="G943" i="1"/>
  <c r="E943" i="1"/>
  <c r="H942" i="1"/>
  <c r="G942" i="1"/>
  <c r="E942" i="1"/>
  <c r="H941" i="1"/>
  <c r="G941" i="1"/>
  <c r="E941" i="1"/>
  <c r="H940" i="1"/>
  <c r="G940" i="1"/>
  <c r="E940" i="1"/>
  <c r="H939" i="1"/>
  <c r="G939" i="1"/>
  <c r="E939" i="1"/>
  <c r="H938" i="1"/>
  <c r="G938" i="1"/>
  <c r="E938" i="1"/>
  <c r="H937" i="1"/>
  <c r="G937" i="1"/>
  <c r="E937" i="1"/>
  <c r="H936" i="1"/>
  <c r="G936" i="1"/>
  <c r="E936" i="1"/>
  <c r="H935" i="1"/>
  <c r="G935" i="1"/>
  <c r="E935" i="1"/>
  <c r="H934" i="1"/>
  <c r="G934" i="1"/>
  <c r="E934" i="1"/>
  <c r="H933" i="1"/>
  <c r="G933" i="1"/>
  <c r="E933" i="1"/>
  <c r="H932" i="1"/>
  <c r="G932" i="1"/>
  <c r="E932" i="1"/>
  <c r="H931" i="1"/>
  <c r="G931" i="1"/>
  <c r="E931" i="1"/>
  <c r="H930" i="1"/>
  <c r="G930" i="1"/>
  <c r="E930" i="1"/>
  <c r="H929" i="1"/>
  <c r="G929" i="1"/>
  <c r="E929" i="1"/>
  <c r="H928" i="1"/>
  <c r="G928" i="1"/>
  <c r="E928" i="1"/>
  <c r="H927" i="1"/>
  <c r="G927" i="1"/>
  <c r="E927" i="1"/>
  <c r="H926" i="1"/>
  <c r="G926" i="1"/>
  <c r="E926" i="1"/>
  <c r="H925" i="1"/>
  <c r="G925" i="1"/>
  <c r="E925" i="1"/>
  <c r="H924" i="1"/>
  <c r="G924" i="1"/>
  <c r="E924" i="1"/>
  <c r="H923" i="1"/>
  <c r="G923" i="1"/>
  <c r="E923" i="1"/>
  <c r="H922" i="1"/>
  <c r="G922" i="1"/>
  <c r="E922" i="1"/>
  <c r="H921" i="1"/>
  <c r="G921" i="1"/>
  <c r="E921" i="1"/>
  <c r="H920" i="1"/>
  <c r="G920" i="1"/>
  <c r="E920" i="1"/>
  <c r="H919" i="1"/>
  <c r="G919" i="1"/>
  <c r="E919" i="1"/>
  <c r="H918" i="1"/>
  <c r="G918" i="1"/>
  <c r="E918" i="1"/>
  <c r="H917" i="1"/>
  <c r="G917" i="1"/>
  <c r="E917" i="1"/>
  <c r="H916" i="1"/>
  <c r="G916" i="1"/>
  <c r="E916" i="1"/>
  <c r="H915" i="1"/>
  <c r="G915" i="1"/>
  <c r="E915" i="1"/>
  <c r="H914" i="1"/>
  <c r="G914" i="1"/>
  <c r="E914" i="1"/>
  <c r="H913" i="1"/>
  <c r="G913" i="1"/>
  <c r="E913" i="1"/>
  <c r="H912" i="1"/>
  <c r="G912" i="1"/>
  <c r="E912" i="1"/>
  <c r="H911" i="1"/>
  <c r="G911" i="1"/>
  <c r="E911" i="1"/>
  <c r="H910" i="1"/>
  <c r="G910" i="1"/>
  <c r="E910" i="1"/>
  <c r="H909" i="1"/>
  <c r="G909" i="1"/>
  <c r="E909" i="1"/>
  <c r="H908" i="1"/>
  <c r="G908" i="1"/>
  <c r="E908" i="1"/>
  <c r="H907" i="1"/>
  <c r="G907" i="1"/>
  <c r="E907" i="1"/>
  <c r="H906" i="1"/>
  <c r="G906" i="1"/>
  <c r="E906" i="1"/>
  <c r="H905" i="1"/>
  <c r="G905" i="1"/>
  <c r="E905" i="1"/>
  <c r="H904" i="1"/>
  <c r="G904" i="1"/>
  <c r="E904" i="1"/>
  <c r="H903" i="1"/>
  <c r="G903" i="1"/>
  <c r="E903" i="1"/>
  <c r="H902" i="1"/>
  <c r="G902" i="1"/>
  <c r="E902" i="1"/>
  <c r="H901" i="1"/>
  <c r="G901" i="1"/>
  <c r="E901" i="1"/>
  <c r="H900" i="1"/>
  <c r="G900" i="1"/>
  <c r="E900" i="1"/>
  <c r="H899" i="1"/>
  <c r="G899" i="1"/>
  <c r="E899" i="1"/>
  <c r="H898" i="1"/>
  <c r="G898" i="1"/>
  <c r="E898" i="1"/>
  <c r="H897" i="1"/>
  <c r="G897" i="1"/>
  <c r="E897" i="1"/>
  <c r="H896" i="1"/>
  <c r="G896" i="1"/>
  <c r="E896" i="1"/>
  <c r="H895" i="1"/>
  <c r="G895" i="1"/>
  <c r="E895" i="1"/>
  <c r="H894" i="1"/>
  <c r="G894" i="1"/>
  <c r="E894" i="1"/>
  <c r="H893" i="1"/>
  <c r="G893" i="1"/>
  <c r="E893" i="1"/>
  <c r="H892" i="1"/>
  <c r="G892" i="1"/>
  <c r="E892" i="1"/>
  <c r="H891" i="1"/>
  <c r="G891" i="1"/>
  <c r="E891" i="1"/>
  <c r="H890" i="1"/>
  <c r="G890" i="1"/>
  <c r="E890" i="1"/>
  <c r="H889" i="1"/>
  <c r="G889" i="1"/>
  <c r="E889" i="1"/>
  <c r="H888" i="1"/>
  <c r="G888" i="1"/>
  <c r="E888" i="1"/>
  <c r="H887" i="1"/>
  <c r="G887" i="1"/>
  <c r="E887" i="1"/>
  <c r="H886" i="1"/>
  <c r="G886" i="1"/>
  <c r="E886" i="1"/>
  <c r="H885" i="1"/>
  <c r="G885" i="1"/>
  <c r="E885" i="1"/>
  <c r="H884" i="1"/>
  <c r="G884" i="1"/>
  <c r="E884" i="1"/>
  <c r="H883" i="1"/>
  <c r="G883" i="1"/>
  <c r="E883" i="1"/>
  <c r="H882" i="1"/>
  <c r="G882" i="1"/>
  <c r="E882" i="1"/>
  <c r="H881" i="1"/>
  <c r="G881" i="1"/>
  <c r="E881" i="1"/>
  <c r="H880" i="1"/>
  <c r="G880" i="1"/>
  <c r="E880" i="1"/>
  <c r="H879" i="1"/>
  <c r="G879" i="1"/>
  <c r="E879" i="1"/>
  <c r="H878" i="1"/>
  <c r="G878" i="1"/>
  <c r="E878" i="1"/>
  <c r="H877" i="1"/>
  <c r="G877" i="1"/>
  <c r="E877" i="1"/>
  <c r="H876" i="1"/>
  <c r="G876" i="1"/>
  <c r="E876" i="1"/>
  <c r="H875" i="1"/>
  <c r="G875" i="1"/>
  <c r="E875" i="1"/>
  <c r="H874" i="1"/>
  <c r="G874" i="1"/>
  <c r="E874" i="1"/>
  <c r="H873" i="1"/>
  <c r="G873" i="1"/>
  <c r="E873" i="1"/>
  <c r="H872" i="1"/>
  <c r="G872" i="1"/>
  <c r="E872" i="1"/>
  <c r="H871" i="1"/>
  <c r="G871" i="1"/>
  <c r="E871" i="1"/>
  <c r="H870" i="1"/>
  <c r="G870" i="1"/>
  <c r="E870" i="1"/>
  <c r="H869" i="1"/>
  <c r="G869" i="1"/>
  <c r="E869" i="1"/>
  <c r="H868" i="1"/>
  <c r="G868" i="1"/>
  <c r="E868" i="1"/>
  <c r="H867" i="1"/>
  <c r="G867" i="1"/>
  <c r="E867" i="1"/>
  <c r="H866" i="1"/>
  <c r="G866" i="1"/>
  <c r="E866" i="1"/>
  <c r="H865" i="1"/>
  <c r="G865" i="1"/>
  <c r="E865" i="1"/>
  <c r="H864" i="1"/>
  <c r="G864" i="1"/>
  <c r="E864" i="1"/>
  <c r="H863" i="1"/>
  <c r="G863" i="1"/>
  <c r="E863" i="1"/>
  <c r="H862" i="1"/>
  <c r="G862" i="1"/>
  <c r="E862" i="1"/>
  <c r="H861" i="1"/>
  <c r="G861" i="1"/>
  <c r="E861" i="1"/>
  <c r="H860" i="1"/>
  <c r="G860" i="1"/>
  <c r="E860" i="1"/>
  <c r="H859" i="1"/>
  <c r="G859" i="1"/>
  <c r="E859" i="1"/>
  <c r="H858" i="1"/>
  <c r="G858" i="1"/>
  <c r="E858" i="1"/>
  <c r="H857" i="1"/>
  <c r="G857" i="1"/>
  <c r="E857" i="1"/>
  <c r="H856" i="1"/>
  <c r="G856" i="1"/>
  <c r="E856" i="1"/>
  <c r="H855" i="1"/>
  <c r="G855" i="1"/>
  <c r="E855" i="1"/>
  <c r="H854" i="1"/>
  <c r="G854" i="1"/>
  <c r="E854" i="1"/>
  <c r="H853" i="1"/>
  <c r="G853" i="1"/>
  <c r="E853" i="1"/>
  <c r="H852" i="1"/>
  <c r="G852" i="1"/>
  <c r="E852" i="1"/>
  <c r="H851" i="1"/>
  <c r="G851" i="1"/>
  <c r="E851" i="1"/>
  <c r="H850" i="1"/>
  <c r="G850" i="1"/>
  <c r="E850" i="1"/>
  <c r="H849" i="1"/>
  <c r="G849" i="1"/>
  <c r="E849" i="1"/>
  <c r="H848" i="1"/>
  <c r="G848" i="1"/>
  <c r="E848" i="1"/>
  <c r="H847" i="1"/>
  <c r="G847" i="1"/>
  <c r="E847" i="1"/>
  <c r="H846" i="1"/>
  <c r="G846" i="1"/>
  <c r="E846" i="1"/>
  <c r="H845" i="1"/>
  <c r="G845" i="1"/>
  <c r="E845" i="1"/>
  <c r="H844" i="1"/>
  <c r="G844" i="1"/>
  <c r="E844" i="1"/>
  <c r="H843" i="1"/>
  <c r="G843" i="1"/>
  <c r="E843" i="1"/>
  <c r="H842" i="1"/>
  <c r="G842" i="1"/>
  <c r="E842" i="1"/>
  <c r="H841" i="1"/>
  <c r="G841" i="1"/>
  <c r="E841" i="1"/>
  <c r="H840" i="1"/>
  <c r="G840" i="1"/>
  <c r="E840" i="1"/>
  <c r="H839" i="1"/>
  <c r="G839" i="1"/>
  <c r="E839" i="1"/>
  <c r="H838" i="1"/>
  <c r="G838" i="1"/>
  <c r="E838" i="1"/>
  <c r="H837" i="1"/>
  <c r="G837" i="1"/>
  <c r="E837" i="1"/>
  <c r="H836" i="1"/>
  <c r="G836" i="1"/>
  <c r="E836" i="1"/>
  <c r="H835" i="1"/>
  <c r="G835" i="1"/>
  <c r="E835" i="1"/>
  <c r="H834" i="1"/>
  <c r="G834" i="1"/>
  <c r="E834" i="1"/>
  <c r="H833" i="1"/>
  <c r="G833" i="1"/>
  <c r="E833" i="1"/>
  <c r="H832" i="1"/>
  <c r="G832" i="1"/>
  <c r="E832" i="1"/>
  <c r="H831" i="1"/>
  <c r="G831" i="1"/>
  <c r="E831" i="1"/>
  <c r="H830" i="1"/>
  <c r="G830" i="1"/>
  <c r="E830" i="1"/>
  <c r="H829" i="1"/>
  <c r="G829" i="1"/>
  <c r="E829" i="1"/>
  <c r="H828" i="1"/>
  <c r="G828" i="1"/>
  <c r="E828" i="1"/>
  <c r="H827" i="1"/>
  <c r="G827" i="1"/>
  <c r="E827" i="1"/>
  <c r="H826" i="1"/>
  <c r="G826" i="1"/>
  <c r="E826" i="1"/>
  <c r="H825" i="1"/>
  <c r="G825" i="1"/>
  <c r="E825" i="1"/>
  <c r="H824" i="1"/>
  <c r="G824" i="1"/>
  <c r="E824" i="1"/>
  <c r="H823" i="1"/>
  <c r="G823" i="1"/>
  <c r="E823" i="1"/>
  <c r="H822" i="1"/>
  <c r="G822" i="1"/>
  <c r="E822" i="1"/>
  <c r="H821" i="1"/>
  <c r="G821" i="1"/>
  <c r="E821" i="1"/>
  <c r="H820" i="1"/>
  <c r="G820" i="1"/>
  <c r="E820" i="1"/>
  <c r="H819" i="1"/>
  <c r="G819" i="1"/>
  <c r="E819" i="1"/>
  <c r="H818" i="1"/>
  <c r="G818" i="1"/>
  <c r="E818" i="1"/>
  <c r="H817" i="1"/>
  <c r="G817" i="1"/>
  <c r="E817" i="1"/>
  <c r="H816" i="1"/>
  <c r="G816" i="1"/>
  <c r="E816" i="1"/>
  <c r="H815" i="1"/>
  <c r="G815" i="1"/>
  <c r="E815" i="1"/>
  <c r="H814" i="1"/>
  <c r="G814" i="1"/>
  <c r="E814" i="1"/>
  <c r="H813" i="1"/>
  <c r="G813" i="1"/>
  <c r="E813" i="1"/>
  <c r="H812" i="1"/>
  <c r="G812" i="1"/>
  <c r="E812" i="1"/>
  <c r="H811" i="1"/>
  <c r="G811" i="1"/>
  <c r="E811" i="1"/>
  <c r="H810" i="1"/>
  <c r="G810" i="1"/>
  <c r="E810" i="1"/>
  <c r="H809" i="1"/>
  <c r="G809" i="1"/>
  <c r="E809" i="1"/>
  <c r="H808" i="1"/>
  <c r="G808" i="1"/>
  <c r="E808" i="1"/>
  <c r="H807" i="1"/>
  <c r="G807" i="1"/>
  <c r="E807" i="1"/>
  <c r="H806" i="1"/>
  <c r="G806" i="1"/>
  <c r="E806" i="1"/>
  <c r="H805" i="1"/>
  <c r="G805" i="1"/>
  <c r="E805" i="1"/>
  <c r="H804" i="1"/>
  <c r="G804" i="1"/>
  <c r="E804" i="1"/>
  <c r="H803" i="1"/>
  <c r="G803" i="1"/>
  <c r="E803" i="1"/>
  <c r="H802" i="1"/>
  <c r="G802" i="1"/>
  <c r="E802" i="1"/>
  <c r="H801" i="1"/>
  <c r="G801" i="1"/>
  <c r="E801" i="1"/>
  <c r="H800" i="1"/>
  <c r="G800" i="1"/>
  <c r="E800" i="1"/>
  <c r="H799" i="1"/>
  <c r="G799" i="1"/>
  <c r="E799" i="1"/>
  <c r="H798" i="1"/>
  <c r="G798" i="1"/>
  <c r="E798" i="1"/>
  <c r="H797" i="1"/>
  <c r="G797" i="1"/>
  <c r="E797" i="1"/>
  <c r="H796" i="1"/>
  <c r="G796" i="1"/>
  <c r="E796" i="1"/>
  <c r="H795" i="1"/>
  <c r="G795" i="1"/>
  <c r="E795" i="1"/>
  <c r="H794" i="1"/>
  <c r="G794" i="1"/>
  <c r="E794" i="1"/>
  <c r="H793" i="1"/>
  <c r="G793" i="1"/>
  <c r="E793" i="1"/>
  <c r="H792" i="1"/>
  <c r="G792" i="1"/>
  <c r="E792" i="1"/>
  <c r="H791" i="1"/>
  <c r="G791" i="1"/>
  <c r="E791" i="1"/>
  <c r="H790" i="1"/>
  <c r="G790" i="1"/>
  <c r="E790" i="1"/>
  <c r="H789" i="1"/>
  <c r="G789" i="1"/>
  <c r="E789" i="1"/>
  <c r="H788" i="1"/>
  <c r="G788" i="1"/>
  <c r="E788" i="1"/>
  <c r="H787" i="1"/>
  <c r="G787" i="1"/>
  <c r="E787" i="1"/>
  <c r="H786" i="1"/>
  <c r="G786" i="1"/>
  <c r="E786" i="1"/>
  <c r="H785" i="1"/>
  <c r="G785" i="1"/>
  <c r="E785" i="1"/>
  <c r="H784" i="1"/>
  <c r="G784" i="1"/>
  <c r="E784" i="1"/>
  <c r="H783" i="1"/>
  <c r="G783" i="1"/>
  <c r="E783" i="1"/>
  <c r="H782" i="1"/>
  <c r="G782" i="1"/>
  <c r="E782" i="1"/>
  <c r="H781" i="1"/>
  <c r="G781" i="1"/>
  <c r="E781" i="1"/>
  <c r="H780" i="1"/>
  <c r="G780" i="1"/>
  <c r="E780" i="1"/>
  <c r="H779" i="1"/>
  <c r="G779" i="1"/>
  <c r="E779" i="1"/>
  <c r="H778" i="1"/>
  <c r="G778" i="1"/>
  <c r="E778" i="1"/>
  <c r="H777" i="1"/>
  <c r="G777" i="1"/>
  <c r="E777" i="1"/>
  <c r="H776" i="1"/>
  <c r="G776" i="1"/>
  <c r="E776" i="1"/>
  <c r="H775" i="1"/>
  <c r="G775" i="1"/>
  <c r="E775" i="1"/>
  <c r="H774" i="1"/>
  <c r="G774" i="1"/>
  <c r="E774" i="1"/>
  <c r="H773" i="1"/>
  <c r="G773" i="1"/>
  <c r="E773" i="1"/>
  <c r="H772" i="1"/>
  <c r="G772" i="1"/>
  <c r="E772" i="1"/>
  <c r="H771" i="1"/>
  <c r="G771" i="1"/>
  <c r="E771" i="1"/>
  <c r="H770" i="1"/>
  <c r="G770" i="1"/>
  <c r="E770" i="1"/>
  <c r="H769" i="1"/>
  <c r="G769" i="1"/>
  <c r="E769" i="1"/>
  <c r="H768" i="1"/>
  <c r="G768" i="1"/>
  <c r="E768" i="1"/>
  <c r="H767" i="1"/>
  <c r="G767" i="1"/>
  <c r="E767" i="1"/>
  <c r="H766" i="1"/>
  <c r="G766" i="1"/>
  <c r="E766" i="1"/>
  <c r="H765" i="1"/>
  <c r="G765" i="1"/>
  <c r="E765" i="1"/>
  <c r="H764" i="1"/>
  <c r="G764" i="1"/>
  <c r="E764" i="1"/>
  <c r="H763" i="1"/>
  <c r="G763" i="1"/>
  <c r="E763" i="1"/>
  <c r="H762" i="1"/>
  <c r="G762" i="1"/>
  <c r="E762" i="1"/>
  <c r="H761" i="1"/>
  <c r="G761" i="1"/>
  <c r="E761" i="1"/>
  <c r="H760" i="1"/>
  <c r="G760" i="1"/>
  <c r="E760" i="1"/>
  <c r="H759" i="1"/>
  <c r="G759" i="1"/>
  <c r="E759" i="1"/>
  <c r="H758" i="1"/>
  <c r="G758" i="1"/>
  <c r="E758" i="1"/>
  <c r="H757" i="1"/>
  <c r="G757" i="1"/>
  <c r="E757" i="1"/>
  <c r="H756" i="1"/>
  <c r="G756" i="1"/>
  <c r="E756" i="1"/>
  <c r="H755" i="1"/>
  <c r="G755" i="1"/>
  <c r="E755" i="1"/>
  <c r="H754" i="1"/>
  <c r="G754" i="1"/>
  <c r="E754" i="1"/>
  <c r="H753" i="1"/>
  <c r="G753" i="1"/>
  <c r="E753" i="1"/>
  <c r="H752" i="1"/>
  <c r="G752" i="1"/>
  <c r="E752" i="1"/>
  <c r="H751" i="1"/>
  <c r="G751" i="1"/>
  <c r="E751" i="1"/>
  <c r="H750" i="1"/>
  <c r="G750" i="1"/>
  <c r="E750" i="1"/>
  <c r="H749" i="1"/>
  <c r="G749" i="1"/>
  <c r="E749" i="1"/>
  <c r="H748" i="1"/>
  <c r="G748" i="1"/>
  <c r="E748" i="1"/>
  <c r="H747" i="1"/>
  <c r="G747" i="1"/>
  <c r="E747" i="1"/>
  <c r="H746" i="1"/>
  <c r="G746" i="1"/>
  <c r="E746" i="1"/>
  <c r="H745" i="1"/>
  <c r="G745" i="1"/>
  <c r="E745" i="1"/>
  <c r="H744" i="1"/>
  <c r="G744" i="1"/>
  <c r="E744" i="1"/>
  <c r="H743" i="1"/>
  <c r="G743" i="1"/>
  <c r="E743" i="1"/>
  <c r="H742" i="1"/>
  <c r="G742" i="1"/>
  <c r="E742" i="1"/>
  <c r="H741" i="1"/>
  <c r="G741" i="1"/>
  <c r="E741" i="1"/>
  <c r="H740" i="1"/>
  <c r="G740" i="1"/>
  <c r="E740" i="1"/>
  <c r="H739" i="1"/>
  <c r="G739" i="1"/>
  <c r="E739" i="1"/>
  <c r="H738" i="1"/>
  <c r="G738" i="1"/>
  <c r="E738" i="1"/>
  <c r="H737" i="1"/>
  <c r="G737" i="1"/>
  <c r="E737" i="1"/>
  <c r="H736" i="1"/>
  <c r="G736" i="1"/>
  <c r="E736" i="1"/>
  <c r="H735" i="1"/>
  <c r="G735" i="1"/>
  <c r="E735" i="1"/>
  <c r="H734" i="1"/>
  <c r="G734" i="1"/>
  <c r="E734" i="1"/>
  <c r="H733" i="1"/>
  <c r="G733" i="1"/>
  <c r="E733" i="1"/>
  <c r="H732" i="1"/>
  <c r="G732" i="1"/>
  <c r="E732" i="1"/>
  <c r="H731" i="1"/>
  <c r="G731" i="1"/>
  <c r="E731" i="1"/>
  <c r="H730" i="1"/>
  <c r="G730" i="1"/>
  <c r="E730" i="1"/>
  <c r="H729" i="1"/>
  <c r="G729" i="1"/>
  <c r="E729" i="1"/>
  <c r="H728" i="1"/>
  <c r="G728" i="1"/>
  <c r="E728" i="1"/>
  <c r="H727" i="1"/>
  <c r="G727" i="1"/>
  <c r="E727" i="1"/>
  <c r="H726" i="1"/>
  <c r="G726" i="1"/>
  <c r="E726" i="1"/>
  <c r="H725" i="1"/>
  <c r="G725" i="1"/>
  <c r="E725" i="1"/>
  <c r="H724" i="1"/>
  <c r="G724" i="1"/>
  <c r="E724" i="1"/>
  <c r="H723" i="1"/>
  <c r="G723" i="1"/>
  <c r="E723" i="1"/>
  <c r="H722" i="1"/>
  <c r="G722" i="1"/>
  <c r="E722" i="1"/>
  <c r="H721" i="1"/>
  <c r="G721" i="1"/>
  <c r="E721" i="1"/>
  <c r="H720" i="1"/>
  <c r="G720" i="1"/>
  <c r="E720" i="1"/>
  <c r="H719" i="1"/>
  <c r="G719" i="1"/>
  <c r="E719" i="1"/>
  <c r="H718" i="1"/>
  <c r="G718" i="1"/>
  <c r="E718" i="1"/>
  <c r="H717" i="1"/>
  <c r="G717" i="1"/>
  <c r="E717" i="1"/>
  <c r="H716" i="1"/>
  <c r="G716" i="1"/>
  <c r="E716" i="1"/>
  <c r="H715" i="1"/>
  <c r="G715" i="1"/>
  <c r="E715" i="1"/>
  <c r="H714" i="1"/>
  <c r="G714" i="1"/>
  <c r="E714" i="1"/>
  <c r="H713" i="1"/>
  <c r="G713" i="1"/>
  <c r="E713" i="1"/>
  <c r="H712" i="1"/>
  <c r="G712" i="1"/>
  <c r="E712" i="1"/>
  <c r="H711" i="1"/>
  <c r="G711" i="1"/>
  <c r="E711" i="1"/>
  <c r="H710" i="1"/>
  <c r="G710" i="1"/>
  <c r="E710" i="1"/>
  <c r="H709" i="1"/>
  <c r="G709" i="1"/>
  <c r="E709" i="1"/>
  <c r="H708" i="1"/>
  <c r="G708" i="1"/>
  <c r="E708" i="1"/>
  <c r="H707" i="1"/>
  <c r="G707" i="1"/>
  <c r="E707" i="1"/>
  <c r="H706" i="1"/>
  <c r="G706" i="1"/>
  <c r="E706" i="1"/>
  <c r="H705" i="1"/>
  <c r="G705" i="1"/>
  <c r="E705" i="1"/>
  <c r="H704" i="1"/>
  <c r="G704" i="1"/>
  <c r="E704" i="1"/>
  <c r="H703" i="1"/>
  <c r="G703" i="1"/>
  <c r="E703" i="1"/>
  <c r="H702" i="1"/>
  <c r="G702" i="1"/>
  <c r="E702" i="1"/>
  <c r="H701" i="1"/>
  <c r="G701" i="1"/>
  <c r="E701" i="1"/>
  <c r="H700" i="1"/>
  <c r="G700" i="1"/>
  <c r="E700" i="1"/>
  <c r="H699" i="1"/>
  <c r="G699" i="1"/>
  <c r="E699" i="1"/>
  <c r="H698" i="1"/>
  <c r="G698" i="1"/>
  <c r="E698" i="1"/>
  <c r="H697" i="1"/>
  <c r="G697" i="1"/>
  <c r="E697" i="1"/>
  <c r="H696" i="1"/>
  <c r="G696" i="1"/>
  <c r="E696" i="1"/>
  <c r="H695" i="1"/>
  <c r="G695" i="1"/>
  <c r="E695" i="1"/>
  <c r="H694" i="1"/>
  <c r="G694" i="1"/>
  <c r="E694" i="1"/>
  <c r="H693" i="1"/>
  <c r="G693" i="1"/>
  <c r="E693" i="1"/>
  <c r="H692" i="1"/>
  <c r="G692" i="1"/>
  <c r="E692" i="1"/>
  <c r="H691" i="1"/>
  <c r="G691" i="1"/>
  <c r="E691" i="1"/>
  <c r="H690" i="1"/>
  <c r="G690" i="1"/>
  <c r="E690" i="1"/>
  <c r="H689" i="1"/>
  <c r="G689" i="1"/>
  <c r="E689" i="1"/>
  <c r="H688" i="1"/>
  <c r="G688" i="1"/>
  <c r="E688" i="1"/>
  <c r="H687" i="1"/>
  <c r="G687" i="1"/>
  <c r="E687" i="1"/>
  <c r="H686" i="1"/>
  <c r="G686" i="1"/>
  <c r="E686" i="1"/>
  <c r="H685" i="1"/>
  <c r="G685" i="1"/>
  <c r="E685" i="1"/>
  <c r="H684" i="1"/>
  <c r="G684" i="1"/>
  <c r="E684" i="1"/>
  <c r="H683" i="1"/>
  <c r="G683" i="1"/>
  <c r="E683" i="1"/>
  <c r="H682" i="1"/>
  <c r="G682" i="1"/>
  <c r="E682" i="1"/>
  <c r="H681" i="1"/>
  <c r="G681" i="1"/>
  <c r="E681" i="1"/>
  <c r="H680" i="1"/>
  <c r="G680" i="1"/>
  <c r="E680" i="1"/>
  <c r="H679" i="1"/>
  <c r="G679" i="1"/>
  <c r="E679" i="1"/>
  <c r="H678" i="1"/>
  <c r="G678" i="1"/>
  <c r="E678" i="1"/>
  <c r="H677" i="1"/>
  <c r="G677" i="1"/>
  <c r="E677" i="1"/>
  <c r="H676" i="1"/>
  <c r="G676" i="1"/>
  <c r="E676" i="1"/>
  <c r="H675" i="1"/>
  <c r="G675" i="1"/>
  <c r="E675" i="1"/>
  <c r="H674" i="1"/>
  <c r="G674" i="1"/>
  <c r="E674" i="1"/>
  <c r="H673" i="1"/>
  <c r="G673" i="1"/>
  <c r="E673" i="1"/>
  <c r="H672" i="1"/>
  <c r="G672" i="1"/>
  <c r="E672" i="1"/>
  <c r="H671" i="1"/>
  <c r="G671" i="1"/>
  <c r="E671" i="1"/>
  <c r="H670" i="1"/>
  <c r="G670" i="1"/>
  <c r="E670" i="1"/>
  <c r="H669" i="1"/>
  <c r="G669" i="1"/>
  <c r="E669" i="1"/>
  <c r="H668" i="1"/>
  <c r="G668" i="1"/>
  <c r="E668" i="1"/>
  <c r="H667" i="1"/>
  <c r="G667" i="1"/>
  <c r="E667" i="1"/>
  <c r="H666" i="1"/>
  <c r="G666" i="1"/>
  <c r="E666" i="1"/>
  <c r="H665" i="1"/>
  <c r="G665" i="1"/>
  <c r="E665" i="1"/>
  <c r="H664" i="1"/>
  <c r="G664" i="1"/>
  <c r="E664" i="1"/>
  <c r="H663" i="1"/>
  <c r="G663" i="1"/>
  <c r="E663" i="1"/>
  <c r="H662" i="1"/>
  <c r="G662" i="1"/>
  <c r="E662" i="1"/>
  <c r="H661" i="1"/>
  <c r="G661" i="1"/>
  <c r="E661" i="1"/>
  <c r="H660" i="1"/>
  <c r="G660" i="1"/>
  <c r="E660" i="1"/>
  <c r="H659" i="1"/>
  <c r="G659" i="1"/>
  <c r="E659" i="1"/>
  <c r="H658" i="1"/>
  <c r="G658" i="1"/>
  <c r="E658" i="1"/>
  <c r="H657" i="1"/>
  <c r="G657" i="1"/>
  <c r="E657" i="1"/>
  <c r="H656" i="1"/>
  <c r="G656" i="1"/>
  <c r="E656" i="1"/>
  <c r="H655" i="1"/>
  <c r="G655" i="1"/>
  <c r="E655" i="1"/>
  <c r="H654" i="1"/>
  <c r="G654" i="1"/>
  <c r="E654" i="1"/>
  <c r="H653" i="1"/>
  <c r="G653" i="1"/>
  <c r="E653" i="1"/>
  <c r="H652" i="1"/>
  <c r="G652" i="1"/>
  <c r="E652" i="1"/>
  <c r="H651" i="1"/>
  <c r="G651" i="1"/>
  <c r="E651" i="1"/>
  <c r="H650" i="1"/>
  <c r="G650" i="1"/>
  <c r="E650" i="1"/>
  <c r="H649" i="1"/>
  <c r="G649" i="1"/>
  <c r="E649" i="1"/>
  <c r="H648" i="1"/>
  <c r="G648" i="1"/>
  <c r="E648" i="1"/>
  <c r="H647" i="1"/>
  <c r="G647" i="1"/>
  <c r="E647" i="1"/>
  <c r="H646" i="1"/>
  <c r="G646" i="1"/>
  <c r="E646" i="1"/>
  <c r="H645" i="1"/>
  <c r="G645" i="1"/>
  <c r="E645" i="1"/>
  <c r="H644" i="1"/>
  <c r="G644" i="1"/>
  <c r="E644" i="1"/>
  <c r="H643" i="1"/>
  <c r="G643" i="1"/>
  <c r="E643" i="1"/>
  <c r="H642" i="1"/>
  <c r="G642" i="1"/>
  <c r="E642" i="1"/>
  <c r="H641" i="1"/>
  <c r="G641" i="1"/>
  <c r="E641" i="1"/>
  <c r="H640" i="1"/>
  <c r="G640" i="1"/>
  <c r="E640" i="1"/>
  <c r="H639" i="1"/>
  <c r="G639" i="1"/>
  <c r="E639" i="1"/>
  <c r="H638" i="1"/>
  <c r="G638" i="1"/>
  <c r="E638" i="1"/>
  <c r="H637" i="1"/>
  <c r="G637" i="1"/>
  <c r="E637" i="1"/>
  <c r="H636" i="1"/>
  <c r="G636" i="1"/>
  <c r="E636" i="1"/>
  <c r="H635" i="1"/>
  <c r="G635" i="1"/>
  <c r="E635" i="1"/>
  <c r="H634" i="1"/>
  <c r="G634" i="1"/>
  <c r="E634" i="1"/>
  <c r="H633" i="1"/>
  <c r="G633" i="1"/>
  <c r="E633" i="1"/>
  <c r="H632" i="1"/>
  <c r="G632" i="1"/>
  <c r="E632" i="1"/>
  <c r="H631" i="1"/>
  <c r="G631" i="1"/>
  <c r="E631" i="1"/>
  <c r="H630" i="1"/>
  <c r="G630" i="1"/>
  <c r="E630" i="1"/>
  <c r="H629" i="1"/>
  <c r="G629" i="1"/>
  <c r="E629" i="1"/>
  <c r="H628" i="1"/>
  <c r="G628" i="1"/>
  <c r="E628" i="1"/>
  <c r="H627" i="1"/>
  <c r="G627" i="1"/>
  <c r="E627" i="1"/>
  <c r="H626" i="1"/>
  <c r="G626" i="1"/>
  <c r="E626" i="1"/>
  <c r="H625" i="1"/>
  <c r="G625" i="1"/>
  <c r="E625" i="1"/>
  <c r="H624" i="1"/>
  <c r="G624" i="1"/>
  <c r="E624" i="1"/>
  <c r="H623" i="1"/>
  <c r="G623" i="1"/>
  <c r="E623" i="1"/>
  <c r="H622" i="1"/>
  <c r="G622" i="1"/>
  <c r="E622" i="1"/>
  <c r="H621" i="1"/>
  <c r="G621" i="1"/>
  <c r="E621" i="1"/>
  <c r="H620" i="1"/>
  <c r="G620" i="1"/>
  <c r="E620" i="1"/>
  <c r="H619" i="1"/>
  <c r="G619" i="1"/>
  <c r="E619" i="1"/>
  <c r="H618" i="1"/>
  <c r="G618" i="1"/>
  <c r="E618" i="1"/>
  <c r="H617" i="1"/>
  <c r="G617" i="1"/>
  <c r="E617" i="1"/>
  <c r="H616" i="1"/>
  <c r="G616" i="1"/>
  <c r="E616" i="1"/>
  <c r="H615" i="1"/>
  <c r="G615" i="1"/>
  <c r="E615" i="1"/>
  <c r="H614" i="1"/>
  <c r="G614" i="1"/>
  <c r="E614" i="1"/>
  <c r="H613" i="1"/>
  <c r="G613" i="1"/>
  <c r="E613" i="1"/>
  <c r="H612" i="1"/>
  <c r="G612" i="1"/>
  <c r="E612" i="1"/>
  <c r="H611" i="1"/>
  <c r="G611" i="1"/>
  <c r="E611" i="1"/>
  <c r="H610" i="1"/>
  <c r="G610" i="1"/>
  <c r="E610" i="1"/>
  <c r="H609" i="1"/>
  <c r="G609" i="1"/>
  <c r="E609" i="1"/>
  <c r="H608" i="1"/>
  <c r="G608" i="1"/>
  <c r="E608" i="1"/>
  <c r="H607" i="1"/>
  <c r="G607" i="1"/>
  <c r="E607" i="1"/>
  <c r="H606" i="1"/>
  <c r="G606" i="1"/>
  <c r="E606" i="1"/>
  <c r="H605" i="1"/>
  <c r="G605" i="1"/>
  <c r="E605" i="1"/>
  <c r="H604" i="1"/>
  <c r="G604" i="1"/>
  <c r="E604" i="1"/>
  <c r="H603" i="1"/>
  <c r="G603" i="1"/>
  <c r="E603" i="1"/>
  <c r="H602" i="1"/>
  <c r="G602" i="1"/>
  <c r="E602" i="1"/>
  <c r="H601" i="1"/>
  <c r="G601" i="1"/>
  <c r="E601" i="1"/>
  <c r="H600" i="1"/>
  <c r="G600" i="1"/>
  <c r="E600" i="1"/>
  <c r="H599" i="1"/>
  <c r="G599" i="1"/>
  <c r="E599" i="1"/>
  <c r="H598" i="1"/>
  <c r="G598" i="1"/>
  <c r="E598" i="1"/>
  <c r="H597" i="1"/>
  <c r="G597" i="1"/>
  <c r="E597" i="1"/>
  <c r="H596" i="1"/>
  <c r="G596" i="1"/>
  <c r="E596" i="1"/>
  <c r="H595" i="1"/>
  <c r="G595" i="1"/>
  <c r="E595" i="1"/>
  <c r="H594" i="1"/>
  <c r="G594" i="1"/>
  <c r="E594" i="1"/>
  <c r="H593" i="1"/>
  <c r="G593" i="1"/>
  <c r="E593" i="1"/>
  <c r="H592" i="1"/>
  <c r="G592" i="1"/>
  <c r="E592" i="1"/>
  <c r="H591" i="1"/>
  <c r="G591" i="1"/>
  <c r="E591" i="1"/>
  <c r="H590" i="1"/>
  <c r="G590" i="1"/>
  <c r="E590" i="1"/>
  <c r="H589" i="1"/>
  <c r="G589" i="1"/>
  <c r="E589" i="1"/>
  <c r="H588" i="1"/>
  <c r="G588" i="1"/>
  <c r="E588" i="1"/>
  <c r="H587" i="1"/>
  <c r="G587" i="1"/>
  <c r="E587" i="1"/>
  <c r="H586" i="1"/>
  <c r="G586" i="1"/>
  <c r="E586" i="1"/>
  <c r="H585" i="1"/>
  <c r="G585" i="1"/>
  <c r="E585" i="1"/>
  <c r="H584" i="1"/>
  <c r="G584" i="1"/>
  <c r="E584" i="1"/>
  <c r="H583" i="1"/>
  <c r="G583" i="1"/>
  <c r="E583" i="1"/>
  <c r="H582" i="1"/>
  <c r="G582" i="1"/>
  <c r="E582" i="1"/>
  <c r="H581" i="1"/>
  <c r="G581" i="1"/>
  <c r="E581" i="1"/>
  <c r="H580" i="1"/>
  <c r="G580" i="1"/>
  <c r="E580" i="1"/>
  <c r="H579" i="1"/>
  <c r="G579" i="1"/>
  <c r="E579" i="1"/>
  <c r="H578" i="1"/>
  <c r="G578" i="1"/>
  <c r="E578" i="1"/>
  <c r="H577" i="1"/>
  <c r="G577" i="1"/>
  <c r="E577" i="1"/>
  <c r="H576" i="1"/>
  <c r="G576" i="1"/>
  <c r="E576" i="1"/>
  <c r="H575" i="1"/>
  <c r="G575" i="1"/>
  <c r="E575" i="1"/>
  <c r="H574" i="1"/>
  <c r="G574" i="1"/>
  <c r="E574" i="1"/>
  <c r="H573" i="1"/>
  <c r="G573" i="1"/>
  <c r="E573" i="1"/>
  <c r="H572" i="1"/>
  <c r="G572" i="1"/>
  <c r="E572" i="1"/>
  <c r="H571" i="1"/>
  <c r="G571" i="1"/>
  <c r="E571" i="1"/>
  <c r="H570" i="1"/>
  <c r="G570" i="1"/>
  <c r="E570" i="1"/>
  <c r="H569" i="1"/>
  <c r="G569" i="1"/>
  <c r="E569" i="1"/>
  <c r="H568" i="1"/>
  <c r="G568" i="1"/>
  <c r="E568" i="1"/>
  <c r="H567" i="1"/>
  <c r="G567" i="1"/>
  <c r="E567" i="1"/>
  <c r="H566" i="1"/>
  <c r="G566" i="1"/>
  <c r="E566" i="1"/>
  <c r="H565" i="1"/>
  <c r="G565" i="1"/>
  <c r="E565" i="1"/>
  <c r="H564" i="1"/>
  <c r="G564" i="1"/>
  <c r="E564" i="1"/>
  <c r="H563" i="1"/>
  <c r="G563" i="1"/>
  <c r="E563" i="1"/>
  <c r="H562" i="1"/>
  <c r="G562" i="1"/>
  <c r="E562" i="1"/>
  <c r="H561" i="1"/>
  <c r="G561" i="1"/>
  <c r="E561" i="1"/>
  <c r="H560" i="1"/>
  <c r="G560" i="1"/>
  <c r="E560" i="1"/>
  <c r="H559" i="1"/>
  <c r="G559" i="1"/>
  <c r="E559" i="1"/>
  <c r="H558" i="1"/>
  <c r="G558" i="1"/>
  <c r="E558" i="1"/>
  <c r="H557" i="1"/>
  <c r="G557" i="1"/>
  <c r="E557" i="1"/>
  <c r="H556" i="1"/>
  <c r="G556" i="1"/>
  <c r="E556" i="1"/>
  <c r="H555" i="1"/>
  <c r="G555" i="1"/>
  <c r="E555" i="1"/>
  <c r="H554" i="1"/>
  <c r="G554" i="1"/>
  <c r="E554" i="1"/>
  <c r="H553" i="1"/>
  <c r="G553" i="1"/>
  <c r="E553" i="1"/>
  <c r="H552" i="1"/>
  <c r="G552" i="1"/>
  <c r="E552" i="1"/>
  <c r="H551" i="1"/>
  <c r="G551" i="1"/>
  <c r="E551" i="1"/>
  <c r="H550" i="1"/>
  <c r="G550" i="1"/>
  <c r="E550" i="1"/>
  <c r="H549" i="1"/>
  <c r="G549" i="1"/>
  <c r="E549" i="1"/>
  <c r="H548" i="1"/>
  <c r="G548" i="1"/>
  <c r="E548" i="1"/>
  <c r="H547" i="1"/>
  <c r="G547" i="1"/>
  <c r="E547" i="1"/>
  <c r="H546" i="1"/>
  <c r="G546" i="1"/>
  <c r="E546" i="1"/>
  <c r="H545" i="1"/>
  <c r="G545" i="1"/>
  <c r="E545" i="1"/>
  <c r="H544" i="1"/>
  <c r="G544" i="1"/>
  <c r="E544" i="1"/>
  <c r="H543" i="1"/>
  <c r="G543" i="1"/>
  <c r="E543" i="1"/>
  <c r="H542" i="1"/>
  <c r="G542" i="1"/>
  <c r="E542" i="1"/>
  <c r="H541" i="1"/>
  <c r="G541" i="1"/>
  <c r="E541" i="1"/>
  <c r="H540" i="1"/>
  <c r="G540" i="1"/>
  <c r="E540" i="1"/>
  <c r="H539" i="1"/>
  <c r="G539" i="1"/>
  <c r="E539" i="1"/>
  <c r="H538" i="1"/>
  <c r="G538" i="1"/>
  <c r="E538" i="1"/>
  <c r="H537" i="1"/>
  <c r="G537" i="1"/>
  <c r="E537" i="1"/>
  <c r="H536" i="1"/>
  <c r="G536" i="1"/>
  <c r="E536" i="1"/>
  <c r="H535" i="1"/>
  <c r="G535" i="1"/>
  <c r="E535" i="1"/>
  <c r="H534" i="1"/>
  <c r="G534" i="1"/>
  <c r="E534" i="1"/>
  <c r="H533" i="1"/>
  <c r="G533" i="1"/>
  <c r="E533" i="1"/>
  <c r="H532" i="1"/>
  <c r="G532" i="1"/>
  <c r="E532" i="1"/>
  <c r="H531" i="1"/>
  <c r="G531" i="1"/>
  <c r="E531" i="1"/>
  <c r="H530" i="1"/>
  <c r="G530" i="1"/>
  <c r="E530" i="1"/>
  <c r="H529" i="1"/>
  <c r="G529" i="1"/>
  <c r="E529" i="1"/>
  <c r="H528" i="1"/>
  <c r="G528" i="1"/>
  <c r="E528" i="1"/>
  <c r="H527" i="1"/>
  <c r="G527" i="1"/>
  <c r="E527" i="1"/>
  <c r="H526" i="1"/>
  <c r="G526" i="1"/>
  <c r="E526" i="1"/>
  <c r="H525" i="1"/>
  <c r="G525" i="1"/>
  <c r="E525" i="1"/>
  <c r="H524" i="1"/>
  <c r="G524" i="1"/>
  <c r="E524" i="1"/>
  <c r="H523" i="1"/>
  <c r="G523" i="1"/>
  <c r="E523" i="1"/>
  <c r="H522" i="1"/>
  <c r="G522" i="1"/>
  <c r="E522" i="1"/>
  <c r="H521" i="1"/>
  <c r="G521" i="1"/>
  <c r="E521" i="1"/>
  <c r="H520" i="1"/>
  <c r="G520" i="1"/>
  <c r="E520" i="1"/>
  <c r="H519" i="1"/>
  <c r="G519" i="1"/>
  <c r="E519" i="1"/>
  <c r="H518" i="1"/>
  <c r="G518" i="1"/>
  <c r="E518" i="1"/>
  <c r="H517" i="1"/>
  <c r="G517" i="1"/>
  <c r="E517" i="1"/>
  <c r="H516" i="1"/>
  <c r="G516" i="1"/>
  <c r="E516" i="1"/>
  <c r="H515" i="1"/>
  <c r="G515" i="1"/>
  <c r="E515" i="1"/>
  <c r="H514" i="1"/>
  <c r="G514" i="1"/>
  <c r="E514" i="1"/>
  <c r="H513" i="1"/>
  <c r="G513" i="1"/>
  <c r="E513" i="1"/>
  <c r="H512" i="1"/>
  <c r="G512" i="1"/>
  <c r="E512" i="1"/>
  <c r="H511" i="1"/>
  <c r="G511" i="1"/>
  <c r="E511" i="1"/>
  <c r="H510" i="1"/>
  <c r="G510" i="1"/>
  <c r="E510" i="1"/>
  <c r="H509" i="1"/>
  <c r="G509" i="1"/>
  <c r="E509" i="1"/>
  <c r="H508" i="1"/>
  <c r="G508" i="1"/>
  <c r="E508" i="1"/>
  <c r="H507" i="1"/>
  <c r="G507" i="1"/>
  <c r="E507" i="1"/>
  <c r="H506" i="1"/>
  <c r="G506" i="1"/>
  <c r="E506" i="1"/>
  <c r="H505" i="1"/>
  <c r="G505" i="1"/>
  <c r="E505" i="1"/>
  <c r="H504" i="1"/>
  <c r="G504" i="1"/>
  <c r="E504" i="1"/>
  <c r="H503" i="1"/>
  <c r="G503" i="1"/>
  <c r="E503" i="1"/>
  <c r="H502" i="1"/>
  <c r="G502" i="1"/>
  <c r="E502" i="1"/>
  <c r="H501" i="1"/>
  <c r="G501" i="1"/>
  <c r="E501" i="1"/>
  <c r="H500" i="1"/>
  <c r="G500" i="1"/>
  <c r="E500" i="1"/>
  <c r="H499" i="1"/>
  <c r="G499" i="1"/>
  <c r="E499" i="1"/>
  <c r="H498" i="1"/>
  <c r="G498" i="1"/>
  <c r="E498" i="1"/>
  <c r="H497" i="1"/>
  <c r="G497" i="1"/>
  <c r="E497" i="1"/>
  <c r="H496" i="1"/>
  <c r="G496" i="1"/>
  <c r="E496" i="1"/>
  <c r="H495" i="1"/>
  <c r="G495" i="1"/>
  <c r="E495" i="1"/>
  <c r="H494" i="1"/>
  <c r="G494" i="1"/>
  <c r="E494" i="1"/>
  <c r="H493" i="1"/>
  <c r="G493" i="1"/>
  <c r="E493" i="1"/>
  <c r="H492" i="1"/>
  <c r="G492" i="1"/>
  <c r="E492" i="1"/>
  <c r="H491" i="1"/>
  <c r="G491" i="1"/>
  <c r="E491" i="1"/>
  <c r="H490" i="1"/>
  <c r="G490" i="1"/>
  <c r="E490" i="1"/>
  <c r="H489" i="1"/>
  <c r="G489" i="1"/>
  <c r="E489" i="1"/>
  <c r="H488" i="1"/>
  <c r="G488" i="1"/>
  <c r="E488" i="1"/>
  <c r="H487" i="1"/>
  <c r="G487" i="1"/>
  <c r="E487" i="1"/>
  <c r="H486" i="1"/>
  <c r="G486" i="1"/>
  <c r="E486" i="1"/>
  <c r="H485" i="1"/>
  <c r="G485" i="1"/>
  <c r="E485" i="1"/>
  <c r="H484" i="1"/>
  <c r="G484" i="1"/>
  <c r="E484" i="1"/>
  <c r="H483" i="1"/>
  <c r="G483" i="1"/>
  <c r="E483" i="1"/>
  <c r="H482" i="1"/>
  <c r="G482" i="1"/>
  <c r="E482" i="1"/>
  <c r="H481" i="1"/>
  <c r="G481" i="1"/>
  <c r="E481" i="1"/>
  <c r="H480" i="1"/>
  <c r="G480" i="1"/>
  <c r="E480" i="1"/>
  <c r="H479" i="1"/>
  <c r="G479" i="1"/>
  <c r="E479" i="1"/>
  <c r="H478" i="1"/>
  <c r="G478" i="1"/>
  <c r="E478" i="1"/>
  <c r="H477" i="1"/>
  <c r="G477" i="1"/>
  <c r="E477" i="1"/>
  <c r="H476" i="1"/>
  <c r="G476" i="1"/>
  <c r="E476" i="1"/>
  <c r="H475" i="1"/>
  <c r="G475" i="1"/>
  <c r="E475" i="1"/>
  <c r="H474" i="1"/>
  <c r="G474" i="1"/>
  <c r="E474" i="1"/>
  <c r="H473" i="1"/>
  <c r="G473" i="1"/>
  <c r="E473" i="1"/>
  <c r="H472" i="1"/>
  <c r="G472" i="1"/>
  <c r="E472" i="1"/>
  <c r="H471" i="1"/>
  <c r="G471" i="1"/>
  <c r="E471" i="1"/>
  <c r="H470" i="1"/>
  <c r="G470" i="1"/>
  <c r="E470" i="1"/>
  <c r="H469" i="1"/>
  <c r="G469" i="1"/>
  <c r="E469" i="1"/>
  <c r="H468" i="1"/>
  <c r="G468" i="1"/>
  <c r="E468" i="1"/>
  <c r="H467" i="1"/>
  <c r="G467" i="1"/>
  <c r="E467" i="1"/>
  <c r="H466" i="1"/>
  <c r="G466" i="1"/>
  <c r="E466" i="1"/>
  <c r="H465" i="1"/>
  <c r="G465" i="1"/>
  <c r="E465" i="1"/>
  <c r="H464" i="1"/>
  <c r="G464" i="1"/>
  <c r="E464" i="1"/>
  <c r="H463" i="1"/>
  <c r="G463" i="1"/>
  <c r="E463" i="1"/>
  <c r="H462" i="1"/>
  <c r="G462" i="1"/>
  <c r="E462" i="1"/>
  <c r="H461" i="1"/>
  <c r="G461" i="1"/>
  <c r="E461" i="1"/>
  <c r="H460" i="1"/>
  <c r="G460" i="1"/>
  <c r="E460" i="1"/>
  <c r="H459" i="1"/>
  <c r="G459" i="1"/>
  <c r="E459" i="1"/>
  <c r="H458" i="1"/>
  <c r="G458" i="1"/>
  <c r="E458" i="1"/>
  <c r="H457" i="1"/>
  <c r="G457" i="1"/>
  <c r="E457" i="1"/>
  <c r="H456" i="1"/>
  <c r="G456" i="1"/>
  <c r="E456" i="1"/>
  <c r="H455" i="1"/>
  <c r="G455" i="1"/>
  <c r="E455" i="1"/>
  <c r="H454" i="1"/>
  <c r="G454" i="1"/>
  <c r="E454" i="1"/>
  <c r="H453" i="1"/>
  <c r="G453" i="1"/>
  <c r="E453" i="1"/>
  <c r="H452" i="1"/>
  <c r="G452" i="1"/>
  <c r="E452" i="1"/>
  <c r="H451" i="1"/>
  <c r="G451" i="1"/>
  <c r="E451" i="1"/>
  <c r="H450" i="1"/>
  <c r="G450" i="1"/>
  <c r="E450" i="1"/>
  <c r="H449" i="1"/>
  <c r="G449" i="1"/>
  <c r="E449" i="1"/>
  <c r="H448" i="1"/>
  <c r="G448" i="1"/>
  <c r="E448" i="1"/>
  <c r="H447" i="1"/>
  <c r="G447" i="1"/>
  <c r="E447" i="1"/>
  <c r="H446" i="1"/>
  <c r="G446" i="1"/>
  <c r="E446" i="1"/>
  <c r="H445" i="1"/>
  <c r="G445" i="1"/>
  <c r="E445" i="1"/>
  <c r="H444" i="1"/>
  <c r="G444" i="1"/>
  <c r="E444" i="1"/>
  <c r="H443" i="1"/>
  <c r="G443" i="1"/>
  <c r="E443" i="1"/>
  <c r="H442" i="1"/>
  <c r="G442" i="1"/>
  <c r="E442" i="1"/>
  <c r="H441" i="1"/>
  <c r="G441" i="1"/>
  <c r="E441" i="1"/>
  <c r="H440" i="1"/>
  <c r="G440" i="1"/>
  <c r="E440" i="1"/>
  <c r="H439" i="1"/>
  <c r="G439" i="1"/>
  <c r="E439" i="1"/>
  <c r="H438" i="1"/>
  <c r="G438" i="1"/>
  <c r="E438" i="1"/>
  <c r="H437" i="1"/>
  <c r="G437" i="1"/>
  <c r="E437" i="1"/>
  <c r="H436" i="1"/>
  <c r="G436" i="1"/>
  <c r="E436" i="1"/>
  <c r="H435" i="1"/>
  <c r="G435" i="1"/>
  <c r="E435" i="1"/>
  <c r="H434" i="1"/>
  <c r="G434" i="1"/>
  <c r="E434" i="1"/>
  <c r="H433" i="1"/>
  <c r="G433" i="1"/>
  <c r="E433" i="1"/>
  <c r="H432" i="1"/>
  <c r="G432" i="1"/>
  <c r="E432" i="1"/>
  <c r="H431" i="1"/>
  <c r="G431" i="1"/>
  <c r="E431" i="1"/>
  <c r="H430" i="1"/>
  <c r="G430" i="1"/>
  <c r="E430" i="1"/>
  <c r="H429" i="1"/>
  <c r="G429" i="1"/>
  <c r="E429" i="1"/>
  <c r="H428" i="1"/>
  <c r="G428" i="1"/>
  <c r="E428" i="1"/>
  <c r="H427" i="1"/>
  <c r="G427" i="1"/>
  <c r="E427" i="1"/>
  <c r="H426" i="1"/>
  <c r="G426" i="1"/>
  <c r="E426" i="1"/>
  <c r="H425" i="1"/>
  <c r="G425" i="1"/>
  <c r="E425" i="1"/>
  <c r="H424" i="1"/>
  <c r="G424" i="1"/>
  <c r="E424" i="1"/>
  <c r="H423" i="1"/>
  <c r="G423" i="1"/>
  <c r="E423" i="1"/>
  <c r="H422" i="1"/>
  <c r="G422" i="1"/>
  <c r="E422" i="1"/>
  <c r="H421" i="1"/>
  <c r="G421" i="1"/>
  <c r="E421" i="1"/>
  <c r="H420" i="1"/>
  <c r="G420" i="1"/>
  <c r="E420" i="1"/>
  <c r="H419" i="1"/>
  <c r="G419" i="1"/>
  <c r="E419" i="1"/>
  <c r="H418" i="1"/>
  <c r="G418" i="1"/>
  <c r="E418" i="1"/>
  <c r="H417" i="1"/>
  <c r="G417" i="1"/>
  <c r="E417" i="1"/>
  <c r="H416" i="1"/>
  <c r="G416" i="1"/>
  <c r="E416" i="1"/>
  <c r="H415" i="1"/>
  <c r="G415" i="1"/>
  <c r="E415" i="1"/>
  <c r="H414" i="1"/>
  <c r="G414" i="1"/>
  <c r="E414" i="1"/>
  <c r="H413" i="1"/>
  <c r="G413" i="1"/>
  <c r="E413" i="1"/>
  <c r="H412" i="1"/>
  <c r="G412" i="1"/>
  <c r="E412" i="1"/>
  <c r="H411" i="1"/>
  <c r="G411" i="1"/>
  <c r="E411" i="1"/>
  <c r="H410" i="1"/>
  <c r="G410" i="1"/>
  <c r="E410" i="1"/>
  <c r="H409" i="1"/>
  <c r="G409" i="1"/>
  <c r="E409" i="1"/>
  <c r="H408" i="1"/>
  <c r="G408" i="1"/>
  <c r="E408" i="1"/>
  <c r="H407" i="1"/>
  <c r="G407" i="1"/>
  <c r="E407" i="1"/>
  <c r="H406" i="1"/>
  <c r="G406" i="1"/>
  <c r="E406" i="1"/>
  <c r="H405" i="1"/>
  <c r="G405" i="1"/>
  <c r="E405" i="1"/>
  <c r="H404" i="1"/>
  <c r="G404" i="1"/>
  <c r="E404" i="1"/>
  <c r="H403" i="1"/>
  <c r="G403" i="1"/>
  <c r="E403" i="1"/>
  <c r="H402" i="1"/>
  <c r="G402" i="1"/>
  <c r="E402" i="1"/>
  <c r="H401" i="1"/>
  <c r="G401" i="1"/>
  <c r="E401" i="1"/>
  <c r="H400" i="1"/>
  <c r="G400" i="1"/>
  <c r="E400" i="1"/>
  <c r="H399" i="1"/>
  <c r="G399" i="1"/>
  <c r="E399" i="1"/>
  <c r="H398" i="1"/>
  <c r="G398" i="1"/>
  <c r="E398" i="1"/>
  <c r="H397" i="1"/>
  <c r="G397" i="1"/>
  <c r="E397" i="1"/>
  <c r="H396" i="1"/>
  <c r="G396" i="1"/>
  <c r="E396" i="1"/>
  <c r="H395" i="1"/>
  <c r="G395" i="1"/>
  <c r="E395" i="1"/>
  <c r="H394" i="1"/>
  <c r="G394" i="1"/>
  <c r="E394" i="1"/>
  <c r="H393" i="1"/>
  <c r="G393" i="1"/>
  <c r="E393" i="1"/>
  <c r="H392" i="1"/>
  <c r="G392" i="1"/>
  <c r="E392" i="1"/>
  <c r="H391" i="1"/>
  <c r="G391" i="1"/>
  <c r="E391" i="1"/>
  <c r="H390" i="1"/>
  <c r="G390" i="1"/>
  <c r="E390" i="1"/>
  <c r="H389" i="1"/>
  <c r="G389" i="1"/>
  <c r="E389" i="1"/>
  <c r="H388" i="1"/>
  <c r="G388" i="1"/>
  <c r="E388" i="1"/>
  <c r="H387" i="1"/>
  <c r="G387" i="1"/>
  <c r="E387" i="1"/>
  <c r="H386" i="1"/>
  <c r="G386" i="1"/>
  <c r="E386" i="1"/>
  <c r="H385" i="1"/>
  <c r="G385" i="1"/>
  <c r="E385" i="1"/>
  <c r="H384" i="1"/>
  <c r="G384" i="1"/>
  <c r="E384" i="1"/>
  <c r="H383" i="1"/>
  <c r="G383" i="1"/>
  <c r="E383" i="1"/>
  <c r="H382" i="1"/>
  <c r="G382" i="1"/>
  <c r="E382" i="1"/>
  <c r="H381" i="1"/>
  <c r="G381" i="1"/>
  <c r="E381" i="1"/>
  <c r="H380" i="1"/>
  <c r="G380" i="1"/>
  <c r="E380" i="1"/>
  <c r="H379" i="1"/>
  <c r="G379" i="1"/>
  <c r="E379" i="1"/>
  <c r="H378" i="1"/>
  <c r="G378" i="1"/>
  <c r="E378" i="1"/>
  <c r="H377" i="1"/>
  <c r="G377" i="1"/>
  <c r="E377" i="1"/>
  <c r="H376" i="1"/>
  <c r="G376" i="1"/>
  <c r="E376" i="1"/>
  <c r="H375" i="1"/>
  <c r="G375" i="1"/>
  <c r="E375" i="1"/>
  <c r="H374" i="1"/>
  <c r="G374" i="1"/>
  <c r="E374" i="1"/>
  <c r="H373" i="1"/>
  <c r="G373" i="1"/>
  <c r="E373" i="1"/>
  <c r="H372" i="1"/>
  <c r="G372" i="1"/>
  <c r="E372" i="1"/>
  <c r="H371" i="1"/>
  <c r="G371" i="1"/>
  <c r="E371" i="1"/>
  <c r="H370" i="1"/>
  <c r="G370" i="1"/>
  <c r="E370" i="1"/>
  <c r="H369" i="1"/>
  <c r="G369" i="1"/>
  <c r="E369" i="1"/>
  <c r="H368" i="1"/>
  <c r="G368" i="1"/>
  <c r="E368" i="1"/>
  <c r="H367" i="1"/>
  <c r="G367" i="1"/>
  <c r="E367" i="1"/>
  <c r="H366" i="1"/>
  <c r="G366" i="1"/>
  <c r="E366" i="1"/>
  <c r="H365" i="1"/>
  <c r="G365" i="1"/>
  <c r="E365" i="1"/>
  <c r="H364" i="1"/>
  <c r="G364" i="1"/>
  <c r="E364" i="1"/>
  <c r="H363" i="1"/>
  <c r="G363" i="1"/>
  <c r="E363" i="1"/>
  <c r="H362" i="1"/>
  <c r="G362" i="1"/>
  <c r="E362" i="1"/>
  <c r="H361" i="1"/>
  <c r="G361" i="1"/>
  <c r="E361" i="1"/>
  <c r="H360" i="1"/>
  <c r="G360" i="1"/>
  <c r="H359" i="1"/>
  <c r="G359" i="1"/>
  <c r="E359" i="1"/>
  <c r="H358" i="1"/>
  <c r="G358" i="1"/>
  <c r="E358" i="1"/>
  <c r="H357" i="1"/>
  <c r="G357" i="1"/>
  <c r="E357" i="1"/>
  <c r="H356" i="1"/>
  <c r="G356" i="1"/>
  <c r="E356" i="1"/>
  <c r="H355" i="1"/>
  <c r="G355" i="1"/>
  <c r="E355" i="1"/>
  <c r="H354" i="1"/>
  <c r="G354" i="1"/>
  <c r="E354" i="1"/>
  <c r="H353" i="1"/>
  <c r="G353" i="1"/>
  <c r="E353" i="1"/>
  <c r="H352" i="1"/>
  <c r="G352" i="1"/>
  <c r="E352" i="1"/>
  <c r="H351" i="1"/>
  <c r="G351" i="1"/>
  <c r="E351" i="1"/>
  <c r="H350" i="1"/>
  <c r="G350" i="1"/>
  <c r="E350" i="1"/>
  <c r="H349" i="1"/>
  <c r="G349" i="1"/>
  <c r="E349" i="1"/>
  <c r="H348" i="1"/>
  <c r="G348" i="1"/>
  <c r="E348" i="1"/>
  <c r="H347" i="1"/>
  <c r="G347" i="1"/>
  <c r="E347" i="1"/>
  <c r="H346" i="1"/>
  <c r="G346" i="1"/>
  <c r="E346" i="1"/>
  <c r="H345" i="1"/>
  <c r="G345" i="1"/>
  <c r="E345" i="1"/>
  <c r="H344" i="1"/>
  <c r="G344" i="1"/>
  <c r="E344" i="1"/>
  <c r="H343" i="1"/>
  <c r="G343" i="1"/>
  <c r="E343" i="1"/>
  <c r="H342" i="1"/>
  <c r="G342" i="1"/>
  <c r="E342" i="1"/>
  <c r="H341" i="1"/>
  <c r="G341" i="1"/>
  <c r="E341" i="1"/>
  <c r="H340" i="1"/>
  <c r="G340" i="1"/>
  <c r="E340" i="1"/>
  <c r="H339" i="1"/>
  <c r="G339" i="1"/>
  <c r="E339" i="1"/>
  <c r="H338" i="1"/>
  <c r="G338" i="1"/>
  <c r="E338" i="1"/>
  <c r="H337" i="1"/>
  <c r="G337" i="1"/>
  <c r="E337" i="1"/>
  <c r="H336" i="1"/>
  <c r="G336" i="1"/>
  <c r="E336" i="1"/>
  <c r="H335" i="1"/>
  <c r="G335" i="1"/>
  <c r="E335" i="1"/>
  <c r="H334" i="1"/>
  <c r="G334" i="1"/>
  <c r="E334" i="1"/>
  <c r="H333" i="1"/>
  <c r="G333" i="1"/>
  <c r="E333" i="1"/>
  <c r="H332" i="1"/>
  <c r="G332" i="1"/>
  <c r="E332" i="1"/>
  <c r="H331" i="1"/>
  <c r="G331" i="1"/>
  <c r="E331" i="1"/>
  <c r="H330" i="1"/>
  <c r="G330" i="1"/>
  <c r="E330" i="1"/>
  <c r="H329" i="1"/>
  <c r="G329" i="1"/>
  <c r="E329" i="1"/>
  <c r="H328" i="1"/>
  <c r="G328" i="1"/>
  <c r="E328" i="1"/>
  <c r="H327" i="1"/>
  <c r="G327" i="1"/>
  <c r="E327" i="1"/>
  <c r="H326" i="1"/>
  <c r="G326" i="1"/>
  <c r="E326" i="1"/>
  <c r="H325" i="1"/>
  <c r="G325" i="1"/>
  <c r="E325" i="1"/>
  <c r="H324" i="1"/>
  <c r="G324" i="1"/>
  <c r="E324" i="1"/>
  <c r="H323" i="1"/>
  <c r="G323" i="1"/>
  <c r="E323" i="1"/>
  <c r="H322" i="1"/>
  <c r="G322" i="1"/>
  <c r="E322" i="1"/>
  <c r="H321" i="1"/>
  <c r="G321" i="1"/>
  <c r="E321" i="1"/>
  <c r="H320" i="1"/>
  <c r="G320" i="1"/>
  <c r="E320" i="1"/>
  <c r="H319" i="1"/>
  <c r="G319" i="1"/>
  <c r="E319" i="1"/>
  <c r="H318" i="1"/>
  <c r="G318" i="1"/>
  <c r="E318" i="1"/>
  <c r="H317" i="1"/>
  <c r="G317" i="1"/>
  <c r="E317" i="1"/>
  <c r="H316" i="1"/>
  <c r="G316" i="1"/>
  <c r="E316" i="1"/>
  <c r="H315" i="1"/>
  <c r="G315" i="1"/>
  <c r="E315" i="1"/>
  <c r="H314" i="1"/>
  <c r="G314" i="1"/>
  <c r="E314" i="1"/>
  <c r="H313" i="1"/>
  <c r="G313" i="1"/>
  <c r="E313" i="1"/>
  <c r="H312" i="1"/>
  <c r="G312" i="1"/>
  <c r="E312" i="1"/>
  <c r="H311" i="1"/>
  <c r="G311" i="1"/>
  <c r="E311" i="1"/>
  <c r="H310" i="1"/>
  <c r="G310" i="1"/>
  <c r="E310" i="1"/>
  <c r="H309" i="1"/>
  <c r="G309" i="1"/>
  <c r="E309" i="1"/>
  <c r="H308" i="1"/>
  <c r="G308" i="1"/>
  <c r="E308" i="1"/>
  <c r="H307" i="1"/>
  <c r="G307" i="1"/>
  <c r="E307" i="1"/>
  <c r="H306" i="1"/>
  <c r="G306" i="1"/>
  <c r="E306" i="1"/>
  <c r="H305" i="1"/>
  <c r="G305" i="1"/>
  <c r="E305" i="1"/>
  <c r="H304" i="1"/>
  <c r="G304" i="1"/>
  <c r="E304" i="1"/>
  <c r="H303" i="1"/>
  <c r="G303" i="1"/>
  <c r="E303" i="1"/>
  <c r="H302" i="1"/>
  <c r="G302" i="1"/>
  <c r="E302" i="1"/>
  <c r="H301" i="1"/>
  <c r="G301" i="1"/>
  <c r="E301" i="1"/>
  <c r="H300" i="1"/>
  <c r="G300" i="1"/>
  <c r="E300" i="1"/>
  <c r="H299" i="1"/>
  <c r="G299" i="1"/>
  <c r="E299" i="1"/>
  <c r="H298" i="1"/>
  <c r="G298" i="1"/>
  <c r="E298" i="1"/>
  <c r="H297" i="1"/>
  <c r="G297" i="1"/>
  <c r="E297" i="1"/>
  <c r="H296" i="1"/>
  <c r="G296" i="1"/>
  <c r="E296" i="1"/>
  <c r="H295" i="1"/>
  <c r="G295" i="1"/>
  <c r="E295" i="1"/>
  <c r="H294" i="1"/>
  <c r="G294" i="1"/>
  <c r="E294" i="1"/>
  <c r="H293" i="1"/>
  <c r="G293" i="1"/>
  <c r="E293" i="1"/>
  <c r="H292" i="1"/>
  <c r="G292" i="1"/>
  <c r="E292" i="1"/>
  <c r="H291" i="1"/>
  <c r="G291" i="1"/>
  <c r="E291" i="1"/>
  <c r="H290" i="1"/>
  <c r="G290" i="1"/>
  <c r="E290" i="1"/>
  <c r="H289" i="1"/>
  <c r="G289" i="1"/>
  <c r="E289" i="1"/>
  <c r="H288" i="1"/>
  <c r="G288" i="1"/>
  <c r="E288" i="1"/>
  <c r="H287" i="1"/>
  <c r="G287" i="1"/>
  <c r="E287" i="1"/>
  <c r="H286" i="1"/>
  <c r="G286" i="1"/>
  <c r="E286" i="1"/>
  <c r="H285" i="1"/>
  <c r="G285" i="1"/>
  <c r="E285" i="1"/>
  <c r="H284" i="1"/>
  <c r="G284" i="1"/>
  <c r="E284" i="1"/>
  <c r="H283" i="1"/>
  <c r="G283" i="1"/>
  <c r="E283" i="1"/>
  <c r="H282" i="1"/>
  <c r="G282" i="1"/>
  <c r="E282" i="1"/>
  <c r="H281" i="1"/>
  <c r="G281" i="1"/>
  <c r="E281" i="1"/>
  <c r="H280" i="1"/>
  <c r="G280" i="1"/>
  <c r="E280" i="1"/>
  <c r="H279" i="1"/>
  <c r="G279" i="1"/>
  <c r="E279" i="1"/>
  <c r="H278" i="1"/>
  <c r="G278" i="1"/>
  <c r="E278" i="1"/>
  <c r="H277" i="1"/>
  <c r="G277" i="1"/>
  <c r="E277" i="1"/>
  <c r="H276" i="1"/>
  <c r="G276" i="1"/>
  <c r="E276" i="1"/>
  <c r="H275" i="1"/>
  <c r="G275" i="1"/>
  <c r="E275" i="1"/>
  <c r="H274" i="1"/>
  <c r="G274" i="1"/>
  <c r="E274" i="1"/>
  <c r="H273" i="1"/>
  <c r="G273" i="1"/>
  <c r="E273" i="1"/>
  <c r="H272" i="1"/>
  <c r="G272" i="1"/>
  <c r="E272" i="1"/>
  <c r="H271" i="1"/>
  <c r="G271" i="1"/>
  <c r="E271" i="1"/>
  <c r="H270" i="1"/>
  <c r="G270" i="1"/>
  <c r="E270" i="1"/>
  <c r="H269" i="1"/>
  <c r="G269" i="1"/>
  <c r="E269" i="1"/>
  <c r="H268" i="1"/>
  <c r="G268" i="1"/>
  <c r="E268" i="1"/>
  <c r="H267" i="1"/>
  <c r="G267" i="1"/>
  <c r="E267" i="1"/>
  <c r="H266" i="1"/>
  <c r="G266" i="1"/>
  <c r="E266" i="1"/>
  <c r="H265" i="1"/>
  <c r="G265" i="1"/>
  <c r="E265" i="1"/>
  <c r="H264" i="1"/>
  <c r="G264" i="1"/>
  <c r="E264" i="1"/>
  <c r="H263" i="1"/>
  <c r="G263" i="1"/>
  <c r="E263" i="1"/>
  <c r="H262" i="1"/>
  <c r="G262" i="1"/>
  <c r="E262" i="1"/>
  <c r="H261" i="1"/>
  <c r="G261" i="1"/>
  <c r="E261" i="1"/>
  <c r="H260" i="1"/>
  <c r="G260" i="1"/>
  <c r="E260" i="1"/>
  <c r="H259" i="1"/>
  <c r="G259" i="1"/>
  <c r="E259" i="1"/>
  <c r="H258" i="1"/>
  <c r="G258" i="1"/>
  <c r="E258" i="1"/>
  <c r="H257" i="1"/>
  <c r="G257" i="1"/>
  <c r="E257" i="1"/>
  <c r="H256" i="1"/>
  <c r="G256" i="1"/>
  <c r="E256" i="1"/>
  <c r="H255" i="1"/>
  <c r="G255" i="1"/>
  <c r="E255" i="1"/>
  <c r="H254" i="1"/>
  <c r="G254" i="1"/>
  <c r="E254" i="1"/>
  <c r="H253" i="1"/>
  <c r="G253" i="1"/>
  <c r="E253" i="1"/>
  <c r="H252" i="1"/>
  <c r="G252" i="1"/>
  <c r="E252" i="1"/>
  <c r="H251" i="1"/>
  <c r="G251" i="1"/>
  <c r="E251" i="1"/>
  <c r="H250" i="1"/>
  <c r="G250" i="1"/>
  <c r="E250" i="1"/>
  <c r="H249" i="1"/>
  <c r="G249" i="1"/>
  <c r="E249" i="1"/>
  <c r="H248" i="1"/>
  <c r="G248" i="1"/>
  <c r="E248" i="1"/>
  <c r="H247" i="1"/>
  <c r="G247" i="1"/>
  <c r="E247" i="1"/>
  <c r="H246" i="1"/>
  <c r="G246" i="1"/>
  <c r="E246" i="1"/>
  <c r="H245" i="1"/>
  <c r="G245" i="1"/>
  <c r="E245" i="1"/>
  <c r="H244" i="1"/>
  <c r="G244" i="1"/>
  <c r="E244" i="1"/>
  <c r="H243" i="1"/>
  <c r="G243" i="1"/>
  <c r="E243" i="1"/>
  <c r="H242" i="1"/>
  <c r="G242" i="1"/>
  <c r="E242" i="1"/>
  <c r="H241" i="1"/>
  <c r="G241" i="1"/>
  <c r="E241" i="1"/>
  <c r="H240" i="1"/>
  <c r="G240" i="1"/>
  <c r="E240" i="1"/>
  <c r="H239" i="1"/>
  <c r="G239" i="1"/>
  <c r="E239" i="1"/>
  <c r="H238" i="1"/>
  <c r="G238" i="1"/>
  <c r="E238" i="1"/>
  <c r="H237" i="1"/>
  <c r="G237" i="1"/>
  <c r="E237" i="1"/>
  <c r="H236" i="1"/>
  <c r="G236" i="1"/>
  <c r="E236" i="1"/>
  <c r="H235" i="1"/>
  <c r="G235" i="1"/>
  <c r="E235" i="1"/>
  <c r="H234" i="1"/>
  <c r="G234" i="1"/>
  <c r="E234" i="1"/>
  <c r="H233" i="1"/>
  <c r="G233" i="1"/>
  <c r="E233" i="1"/>
  <c r="H232" i="1"/>
  <c r="G232" i="1"/>
  <c r="E232" i="1"/>
  <c r="H231" i="1"/>
  <c r="G231" i="1"/>
  <c r="E231" i="1"/>
  <c r="H230" i="1"/>
  <c r="G230" i="1"/>
  <c r="E230" i="1"/>
  <c r="H229" i="1"/>
  <c r="G229" i="1"/>
  <c r="E229" i="1"/>
  <c r="H228" i="1"/>
  <c r="G228" i="1"/>
  <c r="E228" i="1"/>
  <c r="H227" i="1"/>
  <c r="G227" i="1"/>
  <c r="E227" i="1"/>
  <c r="H226" i="1"/>
  <c r="G226" i="1"/>
  <c r="E226" i="1"/>
  <c r="H225" i="1"/>
  <c r="G225" i="1"/>
  <c r="E225" i="1"/>
  <c r="H224" i="1"/>
  <c r="G224" i="1"/>
  <c r="E224" i="1"/>
  <c r="H223" i="1"/>
  <c r="G223" i="1"/>
  <c r="E223" i="1"/>
  <c r="H222" i="1"/>
  <c r="G222" i="1"/>
  <c r="E222" i="1"/>
  <c r="H221" i="1"/>
  <c r="G221" i="1"/>
  <c r="E221" i="1"/>
  <c r="H220" i="1"/>
  <c r="G220" i="1"/>
  <c r="E220" i="1"/>
  <c r="H219" i="1"/>
  <c r="G219" i="1"/>
  <c r="E219" i="1"/>
  <c r="H218" i="1"/>
  <c r="G218" i="1"/>
  <c r="E218" i="1"/>
  <c r="H217" i="1"/>
  <c r="G217" i="1"/>
  <c r="E217" i="1"/>
  <c r="H216" i="1"/>
  <c r="G216" i="1"/>
  <c r="E216" i="1"/>
  <c r="H215" i="1"/>
  <c r="G215" i="1"/>
  <c r="E215" i="1"/>
  <c r="H214" i="1"/>
  <c r="G214" i="1"/>
  <c r="E214" i="1"/>
  <c r="H213" i="1"/>
  <c r="G213" i="1"/>
  <c r="E213" i="1"/>
  <c r="H212" i="1"/>
  <c r="G212" i="1"/>
  <c r="E212" i="1"/>
  <c r="H211" i="1"/>
  <c r="G211" i="1"/>
  <c r="E211" i="1"/>
  <c r="H210" i="1"/>
  <c r="G210" i="1"/>
  <c r="E210" i="1"/>
  <c r="H209" i="1"/>
  <c r="G209" i="1"/>
  <c r="E209" i="1"/>
  <c r="H208" i="1"/>
  <c r="G208" i="1"/>
  <c r="E208" i="1"/>
  <c r="H207" i="1"/>
  <c r="G207" i="1"/>
  <c r="E207" i="1"/>
  <c r="H206" i="1"/>
  <c r="G206" i="1"/>
  <c r="E206" i="1"/>
  <c r="H205" i="1"/>
  <c r="G205" i="1"/>
  <c r="E205" i="1"/>
  <c r="H204" i="1"/>
  <c r="G204" i="1"/>
  <c r="E204" i="1"/>
  <c r="H203" i="1"/>
  <c r="G203" i="1"/>
  <c r="E203" i="1"/>
  <c r="H202" i="1"/>
  <c r="G202" i="1"/>
  <c r="E202" i="1"/>
  <c r="H201" i="1"/>
  <c r="G201" i="1"/>
  <c r="E201" i="1"/>
  <c r="H200" i="1"/>
  <c r="G200" i="1"/>
  <c r="E200" i="1"/>
  <c r="H199" i="1"/>
  <c r="G199" i="1"/>
  <c r="E199" i="1"/>
  <c r="H198" i="1"/>
  <c r="G198" i="1"/>
  <c r="E198" i="1"/>
  <c r="H197" i="1"/>
  <c r="G197" i="1"/>
  <c r="E197" i="1"/>
  <c r="H196" i="1"/>
  <c r="G196" i="1"/>
  <c r="E196" i="1"/>
  <c r="H195" i="1"/>
  <c r="G195" i="1"/>
  <c r="E195" i="1"/>
  <c r="H194" i="1"/>
  <c r="G194" i="1"/>
  <c r="E194" i="1"/>
  <c r="H193" i="1"/>
  <c r="G193" i="1"/>
  <c r="E193" i="1"/>
  <c r="H192" i="1"/>
  <c r="G192" i="1"/>
  <c r="E192" i="1"/>
  <c r="H191" i="1"/>
  <c r="G191" i="1"/>
  <c r="E191" i="1"/>
  <c r="H190" i="1"/>
  <c r="G190" i="1"/>
  <c r="E190" i="1"/>
  <c r="H189" i="1"/>
  <c r="G189" i="1"/>
  <c r="E189" i="1"/>
  <c r="H188" i="1"/>
  <c r="G188" i="1"/>
  <c r="E188" i="1"/>
  <c r="H187" i="1"/>
  <c r="G187" i="1"/>
  <c r="E187" i="1"/>
  <c r="H186" i="1"/>
  <c r="G186" i="1"/>
  <c r="E186" i="1"/>
  <c r="H185" i="1"/>
  <c r="G185" i="1"/>
  <c r="E185" i="1"/>
  <c r="H184" i="1"/>
  <c r="G184" i="1"/>
  <c r="E184" i="1"/>
  <c r="H183" i="1"/>
  <c r="G183" i="1"/>
  <c r="E183" i="1"/>
  <c r="H182" i="1"/>
  <c r="G182" i="1"/>
  <c r="E182" i="1"/>
  <c r="H181" i="1"/>
  <c r="G181" i="1"/>
  <c r="E181" i="1"/>
  <c r="H180" i="1"/>
  <c r="G180" i="1"/>
  <c r="E180" i="1"/>
  <c r="H179" i="1"/>
  <c r="G179" i="1"/>
  <c r="E179" i="1"/>
  <c r="H178" i="1"/>
  <c r="G178" i="1"/>
  <c r="E178" i="1"/>
  <c r="H177" i="1"/>
  <c r="G177" i="1"/>
  <c r="E177" i="1"/>
  <c r="H176" i="1"/>
  <c r="G176" i="1"/>
  <c r="E176" i="1"/>
  <c r="H175" i="1"/>
  <c r="G175" i="1"/>
  <c r="E175" i="1"/>
  <c r="H174" i="1"/>
  <c r="G174" i="1"/>
  <c r="E174" i="1"/>
  <c r="H173" i="1"/>
  <c r="G173" i="1"/>
  <c r="E173" i="1"/>
  <c r="H172" i="1"/>
  <c r="G172" i="1"/>
  <c r="E172" i="1"/>
  <c r="H171" i="1"/>
  <c r="G171" i="1"/>
  <c r="E171" i="1"/>
  <c r="H170" i="1"/>
  <c r="G170" i="1"/>
  <c r="E170" i="1"/>
  <c r="H169" i="1"/>
  <c r="G169" i="1"/>
  <c r="E169" i="1"/>
  <c r="H168" i="1"/>
  <c r="G168" i="1"/>
  <c r="E168" i="1"/>
  <c r="H167" i="1"/>
  <c r="G167" i="1"/>
  <c r="E167" i="1"/>
  <c r="H166" i="1"/>
  <c r="G166" i="1"/>
  <c r="E166" i="1"/>
  <c r="H165" i="1"/>
  <c r="G165" i="1"/>
  <c r="E165" i="1"/>
  <c r="H164" i="1"/>
  <c r="G164" i="1"/>
  <c r="E164" i="1"/>
  <c r="H163" i="1"/>
  <c r="G163" i="1"/>
  <c r="E163" i="1"/>
  <c r="H162" i="1"/>
  <c r="G162" i="1"/>
  <c r="E162" i="1"/>
  <c r="H161" i="1"/>
  <c r="G161" i="1"/>
  <c r="E161" i="1"/>
  <c r="H160" i="1"/>
  <c r="G160" i="1"/>
  <c r="E160" i="1"/>
  <c r="H159" i="1"/>
  <c r="G159" i="1"/>
  <c r="E159" i="1"/>
  <c r="H158" i="1"/>
  <c r="G158" i="1"/>
  <c r="E158" i="1"/>
  <c r="H157" i="1"/>
  <c r="G157" i="1"/>
  <c r="E157" i="1"/>
  <c r="H156" i="1"/>
  <c r="G156" i="1"/>
  <c r="E156" i="1"/>
  <c r="H155" i="1"/>
  <c r="G155" i="1"/>
  <c r="E155" i="1"/>
  <c r="H154" i="1"/>
  <c r="G154" i="1"/>
  <c r="E154" i="1"/>
  <c r="H153" i="1"/>
  <c r="G153" i="1"/>
  <c r="E153" i="1"/>
  <c r="H152" i="1"/>
  <c r="G152" i="1"/>
  <c r="E152" i="1"/>
  <c r="H151" i="1"/>
  <c r="G151" i="1"/>
  <c r="E151" i="1"/>
  <c r="H150" i="1"/>
  <c r="G150" i="1"/>
  <c r="E150" i="1"/>
  <c r="H149" i="1"/>
  <c r="G149" i="1"/>
  <c r="E149" i="1"/>
  <c r="H148" i="1"/>
  <c r="G148" i="1"/>
  <c r="E148" i="1"/>
  <c r="H147" i="1"/>
  <c r="G147" i="1"/>
  <c r="E147" i="1"/>
  <c r="H146" i="1"/>
  <c r="G146" i="1"/>
  <c r="E146" i="1"/>
  <c r="H145" i="1"/>
  <c r="G145" i="1"/>
  <c r="E145" i="1"/>
  <c r="H144" i="1"/>
  <c r="G144" i="1"/>
  <c r="E144" i="1"/>
  <c r="H143" i="1"/>
  <c r="G143" i="1"/>
  <c r="E143" i="1"/>
  <c r="H142" i="1"/>
  <c r="G142" i="1"/>
  <c r="E142" i="1"/>
  <c r="H141" i="1"/>
  <c r="G141" i="1"/>
  <c r="E141" i="1"/>
  <c r="H140" i="1"/>
  <c r="G140" i="1"/>
  <c r="E140" i="1"/>
  <c r="H139" i="1"/>
  <c r="G139" i="1"/>
  <c r="E139" i="1"/>
  <c r="H138" i="1"/>
  <c r="G138" i="1"/>
  <c r="E138" i="1"/>
  <c r="H137" i="1"/>
  <c r="G137" i="1"/>
  <c r="E137" i="1"/>
  <c r="H136" i="1"/>
  <c r="G136" i="1"/>
  <c r="E136" i="1"/>
  <c r="H135" i="1"/>
  <c r="G135" i="1"/>
  <c r="E135" i="1"/>
  <c r="H134" i="1"/>
  <c r="G134" i="1"/>
  <c r="E134" i="1"/>
  <c r="H133" i="1"/>
  <c r="G133" i="1"/>
  <c r="E133" i="1"/>
  <c r="H132" i="1"/>
  <c r="G132" i="1"/>
  <c r="E132" i="1"/>
  <c r="H131" i="1"/>
  <c r="G131" i="1"/>
  <c r="E131" i="1"/>
  <c r="H130" i="1"/>
  <c r="G130" i="1"/>
  <c r="E130" i="1"/>
  <c r="H129" i="1"/>
  <c r="G129" i="1"/>
  <c r="E129" i="1"/>
  <c r="H128" i="1"/>
  <c r="G128" i="1"/>
  <c r="E128" i="1"/>
  <c r="H127" i="1"/>
  <c r="G127" i="1"/>
  <c r="E127" i="1"/>
  <c r="H126" i="1"/>
  <c r="G126" i="1"/>
  <c r="E126" i="1"/>
  <c r="H125" i="1"/>
  <c r="G125" i="1"/>
  <c r="E125" i="1"/>
  <c r="H124" i="1"/>
  <c r="G124" i="1"/>
  <c r="E124" i="1"/>
  <c r="H123" i="1"/>
  <c r="G123" i="1"/>
  <c r="E123" i="1"/>
  <c r="H122" i="1"/>
  <c r="G122" i="1"/>
  <c r="E122" i="1"/>
  <c r="H121" i="1"/>
  <c r="G121" i="1"/>
  <c r="E121" i="1"/>
  <c r="H120" i="1"/>
  <c r="G120" i="1"/>
  <c r="E120" i="1"/>
  <c r="H119" i="1"/>
  <c r="G119" i="1"/>
  <c r="E119" i="1"/>
  <c r="H118" i="1"/>
  <c r="G118" i="1"/>
  <c r="E118" i="1"/>
  <c r="H117" i="1"/>
  <c r="G117" i="1"/>
  <c r="E117" i="1"/>
  <c r="H116" i="1"/>
  <c r="G116" i="1"/>
  <c r="E116" i="1"/>
  <c r="H115" i="1"/>
  <c r="G115" i="1"/>
  <c r="E115" i="1"/>
  <c r="H114" i="1"/>
  <c r="G114" i="1"/>
  <c r="E114" i="1"/>
  <c r="H113" i="1"/>
  <c r="G113" i="1"/>
  <c r="E113" i="1"/>
  <c r="H112" i="1"/>
  <c r="G112" i="1"/>
  <c r="E112" i="1"/>
  <c r="H111" i="1"/>
  <c r="G111" i="1"/>
  <c r="E111" i="1"/>
  <c r="H110" i="1"/>
  <c r="G110" i="1"/>
  <c r="E110" i="1"/>
  <c r="H109" i="1"/>
  <c r="G109" i="1"/>
  <c r="E109" i="1"/>
  <c r="H108" i="1"/>
  <c r="G108" i="1"/>
  <c r="E108" i="1"/>
  <c r="H107" i="1"/>
  <c r="G107" i="1"/>
  <c r="E107" i="1"/>
  <c r="H106" i="1"/>
  <c r="G106" i="1"/>
  <c r="E106" i="1"/>
  <c r="H105" i="1"/>
  <c r="G105" i="1"/>
  <c r="E105" i="1"/>
  <c r="H104" i="1"/>
  <c r="G104" i="1"/>
  <c r="E104" i="1"/>
  <c r="H103" i="1"/>
  <c r="G103" i="1"/>
  <c r="E103" i="1"/>
  <c r="H102" i="1"/>
  <c r="G102" i="1"/>
  <c r="E102" i="1"/>
  <c r="H101" i="1"/>
  <c r="G101" i="1"/>
  <c r="E101" i="1"/>
  <c r="H100" i="1"/>
  <c r="G100" i="1"/>
  <c r="E100" i="1"/>
  <c r="H99" i="1"/>
  <c r="G99" i="1"/>
  <c r="E99" i="1"/>
  <c r="H98" i="1"/>
  <c r="G98" i="1"/>
  <c r="E98" i="1"/>
  <c r="H97" i="1"/>
  <c r="G97" i="1"/>
  <c r="E97" i="1"/>
  <c r="H96" i="1"/>
  <c r="G96" i="1"/>
  <c r="E96" i="1"/>
  <c r="H95" i="1"/>
  <c r="G95" i="1"/>
  <c r="E95" i="1"/>
  <c r="H94" i="1"/>
  <c r="G94" i="1"/>
  <c r="E94" i="1"/>
  <c r="H93" i="1"/>
  <c r="G93" i="1"/>
  <c r="E93" i="1"/>
  <c r="H92" i="1"/>
  <c r="G92" i="1"/>
  <c r="E92" i="1"/>
  <c r="H91" i="1"/>
  <c r="G91" i="1"/>
  <c r="E91" i="1"/>
  <c r="H90" i="1"/>
  <c r="G90" i="1"/>
  <c r="E90" i="1"/>
  <c r="H89" i="1"/>
  <c r="G89" i="1"/>
  <c r="E89" i="1"/>
  <c r="H88" i="1"/>
  <c r="G88" i="1"/>
  <c r="E88" i="1"/>
  <c r="H87" i="1"/>
  <c r="G87" i="1"/>
  <c r="E87" i="1"/>
  <c r="H86" i="1"/>
  <c r="G86" i="1"/>
  <c r="E86" i="1"/>
  <c r="H85" i="1"/>
  <c r="G85" i="1"/>
  <c r="E85" i="1"/>
  <c r="H84" i="1"/>
  <c r="G84" i="1"/>
  <c r="E84" i="1"/>
  <c r="H83" i="1"/>
  <c r="G83" i="1"/>
  <c r="E83" i="1"/>
  <c r="H82" i="1"/>
  <c r="G82" i="1"/>
  <c r="E82" i="1"/>
  <c r="H81" i="1"/>
  <c r="G81" i="1"/>
  <c r="E81" i="1"/>
  <c r="H80" i="1"/>
  <c r="G80" i="1"/>
  <c r="E80" i="1"/>
  <c r="H79" i="1"/>
  <c r="G79" i="1"/>
  <c r="E79" i="1"/>
  <c r="H78" i="1"/>
  <c r="G78" i="1"/>
  <c r="E78" i="1"/>
  <c r="H77" i="1"/>
  <c r="G77" i="1"/>
  <c r="E77" i="1"/>
  <c r="H76" i="1"/>
  <c r="G76" i="1"/>
  <c r="E76" i="1"/>
  <c r="H75" i="1"/>
  <c r="G75" i="1"/>
  <c r="E75" i="1"/>
  <c r="H74" i="1"/>
  <c r="G74" i="1"/>
  <c r="E74" i="1"/>
  <c r="H73" i="1"/>
  <c r="G73" i="1"/>
  <c r="E73" i="1"/>
  <c r="H72" i="1"/>
  <c r="G72" i="1"/>
  <c r="E72" i="1"/>
  <c r="H71" i="1"/>
  <c r="G71" i="1"/>
  <c r="E71" i="1"/>
  <c r="H70" i="1"/>
  <c r="G70" i="1"/>
  <c r="E70" i="1"/>
  <c r="H69" i="1"/>
  <c r="G69" i="1"/>
  <c r="E69" i="1"/>
  <c r="H68" i="1"/>
  <c r="G68" i="1"/>
  <c r="E68" i="1"/>
  <c r="H67" i="1"/>
  <c r="G67" i="1"/>
  <c r="E67" i="1"/>
  <c r="H66" i="1"/>
  <c r="G66" i="1"/>
  <c r="E66" i="1"/>
  <c r="H65" i="1"/>
  <c r="G65" i="1"/>
  <c r="E65" i="1"/>
  <c r="H64" i="1"/>
  <c r="G64" i="1"/>
  <c r="E64" i="1"/>
  <c r="H63" i="1"/>
  <c r="G63" i="1"/>
  <c r="E63" i="1"/>
  <c r="H62" i="1"/>
  <c r="G62" i="1"/>
  <c r="E62" i="1"/>
  <c r="H61" i="1"/>
  <c r="G61" i="1"/>
  <c r="E61" i="1"/>
  <c r="H60" i="1"/>
  <c r="G60" i="1"/>
  <c r="E60" i="1"/>
  <c r="H59" i="1"/>
  <c r="G59" i="1"/>
  <c r="E59" i="1"/>
  <c r="H58" i="1"/>
  <c r="G58" i="1"/>
  <c r="E58" i="1"/>
  <c r="H57" i="1"/>
  <c r="G57" i="1"/>
  <c r="E57" i="1"/>
  <c r="H56" i="1"/>
  <c r="G56" i="1"/>
  <c r="E56" i="1"/>
  <c r="H55" i="1"/>
  <c r="G55" i="1"/>
  <c r="E55" i="1"/>
  <c r="H54" i="1"/>
  <c r="G54" i="1"/>
  <c r="E54" i="1"/>
  <c r="H53" i="1"/>
  <c r="G53" i="1"/>
  <c r="E53" i="1"/>
  <c r="H52" i="1"/>
  <c r="G52" i="1"/>
  <c r="E52" i="1"/>
  <c r="H51" i="1"/>
  <c r="G51" i="1"/>
  <c r="E51" i="1"/>
  <c r="H50" i="1"/>
  <c r="G50" i="1"/>
  <c r="E50" i="1"/>
  <c r="H49" i="1"/>
  <c r="G49" i="1"/>
  <c r="E49" i="1"/>
  <c r="H48" i="1"/>
  <c r="G48" i="1"/>
  <c r="E48" i="1"/>
  <c r="H47" i="1"/>
  <c r="G47" i="1"/>
  <c r="E47" i="1"/>
  <c r="H46" i="1"/>
  <c r="G46" i="1"/>
  <c r="E46" i="1"/>
  <c r="H45" i="1"/>
  <c r="G45" i="1"/>
  <c r="E45" i="1"/>
  <c r="H44" i="1"/>
  <c r="G44" i="1"/>
  <c r="E44" i="1"/>
  <c r="H43" i="1"/>
  <c r="G43" i="1"/>
  <c r="E43" i="1"/>
  <c r="H42" i="1"/>
  <c r="G42" i="1"/>
  <c r="E42" i="1"/>
  <c r="H41" i="1"/>
  <c r="G41" i="1"/>
  <c r="E41" i="1"/>
  <c r="H40" i="1"/>
  <c r="G40" i="1"/>
  <c r="E40" i="1"/>
  <c r="H39" i="1"/>
  <c r="G39" i="1"/>
  <c r="E39" i="1"/>
  <c r="H38" i="1"/>
  <c r="G38" i="1"/>
  <c r="E38" i="1"/>
  <c r="H37" i="1"/>
  <c r="G37" i="1"/>
  <c r="E37" i="1"/>
  <c r="H36" i="1"/>
  <c r="G36" i="1"/>
  <c r="E36" i="1"/>
  <c r="H35" i="1"/>
  <c r="G35" i="1"/>
  <c r="E35" i="1"/>
  <c r="H34" i="1"/>
  <c r="G34" i="1"/>
  <c r="E34" i="1"/>
  <c r="H33" i="1"/>
  <c r="G33" i="1"/>
  <c r="E33" i="1"/>
  <c r="H32" i="1"/>
  <c r="G32" i="1"/>
  <c r="E32" i="1"/>
  <c r="H31" i="1"/>
  <c r="G31" i="1"/>
  <c r="E31" i="1"/>
  <c r="H30" i="1"/>
  <c r="G30" i="1"/>
  <c r="E30" i="1"/>
  <c r="H29" i="1"/>
  <c r="G29" i="1"/>
  <c r="E29" i="1"/>
  <c r="H28" i="1"/>
  <c r="G28" i="1"/>
  <c r="E28" i="1"/>
  <c r="H27" i="1"/>
  <c r="G27" i="1"/>
  <c r="E27" i="1"/>
  <c r="H26" i="1"/>
  <c r="G26" i="1"/>
  <c r="E26" i="1"/>
  <c r="H25" i="1"/>
  <c r="G25" i="1"/>
  <c r="E25" i="1"/>
  <c r="H24" i="1"/>
  <c r="G24" i="1"/>
  <c r="E24" i="1"/>
  <c r="H23" i="1"/>
  <c r="G23" i="1"/>
  <c r="E23" i="1"/>
  <c r="H22" i="1"/>
  <c r="G22" i="1"/>
  <c r="E22" i="1"/>
  <c r="H21" i="1"/>
  <c r="G21" i="1"/>
  <c r="E21" i="1"/>
  <c r="H20" i="1"/>
  <c r="G20" i="1"/>
  <c r="E20" i="1"/>
  <c r="H19" i="1"/>
  <c r="G19" i="1"/>
  <c r="E19" i="1"/>
  <c r="H18" i="1"/>
  <c r="G18" i="1"/>
  <c r="E18" i="1"/>
  <c r="H17" i="1"/>
  <c r="G17" i="1"/>
  <c r="E17" i="1"/>
  <c r="H16" i="1"/>
  <c r="G16" i="1"/>
  <c r="E16" i="1"/>
  <c r="H15" i="1"/>
  <c r="G15" i="1"/>
  <c r="E15" i="1"/>
  <c r="H14" i="1"/>
  <c r="G14" i="1"/>
  <c r="E14" i="1"/>
  <c r="H13" i="1"/>
  <c r="G13" i="1"/>
  <c r="E13" i="1"/>
  <c r="H12" i="1"/>
  <c r="G12" i="1"/>
  <c r="E12" i="1"/>
  <c r="H11" i="1"/>
  <c r="G11" i="1"/>
  <c r="E11" i="1"/>
  <c r="H10" i="1"/>
  <c r="G10" i="1"/>
  <c r="E10" i="1"/>
  <c r="H9" i="1"/>
  <c r="G9" i="1"/>
  <c r="E9" i="1"/>
  <c r="H8" i="1"/>
  <c r="G8" i="1"/>
  <c r="E8" i="1"/>
  <c r="H7" i="1"/>
  <c r="G7" i="1"/>
  <c r="E7" i="1"/>
  <c r="H6" i="1"/>
  <c r="G6" i="1"/>
  <c r="E6" i="1"/>
  <c r="H5" i="1"/>
  <c r="G5" i="1"/>
  <c r="E5" i="1"/>
  <c r="H4" i="1"/>
  <c r="G4" i="1"/>
  <c r="E4" i="1"/>
  <c r="H3" i="1"/>
  <c r="G3" i="1"/>
  <c r="E3" i="1"/>
  <c r="H2" i="1"/>
  <c r="G2" i="1"/>
  <c r="E2" i="1"/>
</calcChain>
</file>

<file path=xl/sharedStrings.xml><?xml version="1.0" encoding="utf-8"?>
<sst xmlns="http://schemas.openxmlformats.org/spreadsheetml/2006/main" count="62857" uniqueCount="4884">
  <si>
    <t>ID Wisata</t>
  </si>
  <si>
    <t>Nama Wisata</t>
  </si>
  <si>
    <t>Kategori</t>
  </si>
  <si>
    <t>Tokenizing</t>
  </si>
  <si>
    <t>TF</t>
  </si>
  <si>
    <t>DF</t>
  </si>
  <si>
    <t>IDF</t>
  </si>
  <si>
    <t>TF x IDF</t>
  </si>
  <si>
    <t>TF-IDF (Hasil Akhir)</t>
  </si>
  <si>
    <t>Air Terjun Sipisopiso</t>
  </si>
  <si>
    <t>Wisata Alam</t>
  </si>
  <si>
    <t>air</t>
  </si>
  <si>
    <t>terjun</t>
  </si>
  <si>
    <t>sipisopiso</t>
  </si>
  <si>
    <t>sipiso-piso</t>
  </si>
  <si>
    <t>desa</t>
  </si>
  <si>
    <t>tongging</t>
  </si>
  <si>
    <t>camat</t>
  </si>
  <si>
    <t>merek</t>
  </si>
  <si>
    <t>kabupaten</t>
  </si>
  <si>
    <t>karo</t>
  </si>
  <si>
    <t>provinsi</t>
  </si>
  <si>
    <t>sumatera</t>
  </si>
  <si>
    <t>utara</t>
  </si>
  <si>
    <t>indonesia</t>
  </si>
  <si>
    <t>milik</t>
  </si>
  <si>
    <t>tinggi</t>
  </si>
  <si>
    <t>120</t>
  </si>
  <si>
    <t>meter</t>
  </si>
  <si>
    <t>kucur</t>
  </si>
  <si>
    <t>deras</t>
  </si>
  <si>
    <t>bentuk</t>
  </si>
  <si>
    <t>garis</t>
  </si>
  <si>
    <t>vertikal</t>
  </si>
  <si>
    <t>sempurna</t>
  </si>
  <si>
    <t>Bukit Holbung Samosir</t>
  </si>
  <si>
    <t>bukit</t>
  </si>
  <si>
    <t>holbung</t>
  </si>
  <si>
    <t>salah</t>
  </si>
  <si>
    <t>wisata</t>
  </si>
  <si>
    <t>danau</t>
  </si>
  <si>
    <t>toba</t>
  </si>
  <si>
    <t>letak</t>
  </si>
  <si>
    <t>sitiotio</t>
  </si>
  <si>
    <t>samosir</t>
  </si>
  <si>
    <t>rangkai</t>
  </si>
  <si>
    <t>200</t>
  </si>
  <si>
    <t>Museum Batak T.B. Silalahi Center</t>
  </si>
  <si>
    <t>Wisata Budaya</t>
  </si>
  <si>
    <t>museum</t>
  </si>
  <si>
    <t>batak</t>
  </si>
  <si>
    <t>tampil</t>
  </si>
  <si>
    <t>sejarah</t>
  </si>
  <si>
    <t>budaya</t>
  </si>
  <si>
    <t>adat</t>
  </si>
  <si>
    <t>etnis</t>
  </si>
  <si>
    <t>6</t>
  </si>
  <si>
    <t>sub</t>
  </si>
  <si>
    <t>diri</t>
  </si>
  <si>
    <t>tuju</t>
  </si>
  <si>
    <t>bangun</t>
  </si>
  <si>
    <t>generasi</t>
  </si>
  <si>
    <t>muda</t>
  </si>
  <si>
    <t>Desa Tomok / Patung Sigalegale</t>
  </si>
  <si>
    <t>tomok</t>
  </si>
  <si>
    <t>tepi</t>
  </si>
  <si>
    <t>pesisir</t>
  </si>
  <si>
    <t>timur</t>
  </si>
  <si>
    <t>pulau</t>
  </si>
  <si>
    <t>tepat</t>
  </si>
  <si>
    <t>simanindo</t>
  </si>
  <si>
    <t>mekar</t>
  </si>
  <si>
    <t>2</t>
  </si>
  <si>
    <t>parsaoran</t>
  </si>
  <si>
    <t>Warung Pesona Alam</t>
  </si>
  <si>
    <t>Wisata Kuliner</t>
  </si>
  <si>
    <t>pandang</t>
  </si>
  <si>
    <t>indah</t>
  </si>
  <si>
    <t>suasana</t>
  </si>
  <si>
    <t>sejuk</t>
  </si>
  <si>
    <t>Rumah Makan Muslim Bella</t>
  </si>
  <si>
    <t>sedia</t>
  </si>
  <si>
    <t>makan</t>
  </si>
  <si>
    <t>hala</t>
  </si>
  <si>
    <t>Wisata Budaya Toba</t>
  </si>
  <si>
    <t>kait</t>
  </si>
  <si>
    <t>upacara</t>
  </si>
  <si>
    <t>tari</t>
  </si>
  <si>
    <t>musik</t>
  </si>
  <si>
    <t>kuliner</t>
  </si>
  <si>
    <t>huta</t>
  </si>
  <si>
    <t>bolon</t>
  </si>
  <si>
    <t>simpan</t>
  </si>
  <si>
    <t>tinggal</t>
  </si>
  <si>
    <t>suku</t>
  </si>
  <si>
    <t>senjata</t>
  </si>
  <si>
    <t>perang</t>
  </si>
  <si>
    <t>main</t>
  </si>
  <si>
    <t>tradisional</t>
  </si>
  <si>
    <t>kain</t>
  </si>
  <si>
    <t>ulos</t>
  </si>
  <si>
    <t>ambarita</t>
  </si>
  <si>
    <t>kursi</t>
  </si>
  <si>
    <t>batu</t>
  </si>
  <si>
    <t>raja</t>
  </si>
  <si>
    <t>kenal</t>
  </si>
  <si>
    <t>patung</t>
  </si>
  <si>
    <t>sigale-gale</t>
  </si>
  <si>
    <t>makam</t>
  </si>
  <si>
    <t>sidabutar</t>
  </si>
  <si>
    <t>jangga</t>
  </si>
  <si>
    <t>dolok</t>
  </si>
  <si>
    <t>rumah</t>
  </si>
  <si>
    <t>tua</t>
  </si>
  <si>
    <t>tobasa</t>
  </si>
  <si>
    <t>lumban</t>
  </si>
  <si>
    <t>suh</t>
  </si>
  <si>
    <t>hasil</t>
  </si>
  <si>
    <t>tenun</t>
  </si>
  <si>
    <t>wisatawan</t>
  </si>
  <si>
    <t>saksi</t>
  </si>
  <si>
    <t>tunjuk</t>
  </si>
  <si>
    <t>tor</t>
  </si>
  <si>
    <t>aktivitas</t>
  </si>
  <si>
    <t>tonton</t>
  </si>
  <si>
    <t>cicip</t>
  </si>
  <si>
    <t>khas</t>
  </si>
  <si>
    <t>beli</t>
  </si>
  <si>
    <t>suvenir</t>
  </si>
  <si>
    <t>rajin</t>
  </si>
  <si>
    <t>tangan</t>
  </si>
  <si>
    <t>masyarakat</t>
  </si>
  <si>
    <t>trekking</t>
  </si>
  <si>
    <t>nikmat</t>
  </si>
  <si>
    <t>matahari</t>
  </si>
  <si>
    <t>terbit</t>
  </si>
  <si>
    <t>benam</t>
  </si>
  <si>
    <t>Toba Parapat Lighthouse - Rambu Suar Garuda</t>
  </si>
  <si>
    <t>Akomodasi</t>
  </si>
  <si>
    <t>sarana</t>
  </si>
  <si>
    <t>bantu</t>
  </si>
  <si>
    <t>navigasi</t>
  </si>
  <si>
    <t>layar</t>
  </si>
  <si>
    <t>sbnp</t>
  </si>
  <si>
    <t>lokasi</t>
  </si>
  <si>
    <t>rambu</t>
  </si>
  <si>
    <t>suar</t>
  </si>
  <si>
    <t>parapat</t>
  </si>
  <si>
    <t>0 5t</t>
  </si>
  <si>
    <t>ndash</t>
  </si>
  <si>
    <t>3 5g</t>
  </si>
  <si>
    <t>warna</t>
  </si>
  <si>
    <t>putih</t>
  </si>
  <si>
    <t>ajibata</t>
  </si>
  <si>
    <t>tuk</t>
  </si>
  <si>
    <t>4 5g</t>
  </si>
  <si>
    <t>alur</t>
  </si>
  <si>
    <t>labuh</t>
  </si>
  <si>
    <t>muara</t>
  </si>
  <si>
    <t>1 3t</t>
  </si>
  <si>
    <t>3 0g</t>
  </si>
  <si>
    <t>hijau</t>
  </si>
  <si>
    <t>1 0g</t>
  </si>
  <si>
    <t>2 0g</t>
  </si>
  <si>
    <t>1 5t</t>
  </si>
  <si>
    <t>p</t>
  </si>
  <si>
    <t>sibandang</t>
  </si>
  <si>
    <t>2 5g</t>
  </si>
  <si>
    <t>balige</t>
  </si>
  <si>
    <t>tigaras</t>
  </si>
  <si>
    <t>malau</t>
  </si>
  <si>
    <t>tanda</t>
  </si>
  <si>
    <t>bahaya</t>
  </si>
  <si>
    <t>siallagan</t>
  </si>
  <si>
    <t>merah</t>
  </si>
  <si>
    <t>onanrunggu</t>
  </si>
  <si>
    <t>sipinggan</t>
  </si>
  <si>
    <t>onanbaru</t>
  </si>
  <si>
    <t>Tugu Somba Debata Siahaan</t>
  </si>
  <si>
    <t>tugu</t>
  </si>
  <si>
    <t>somba</t>
  </si>
  <si>
    <t>debata</t>
  </si>
  <si>
    <t>siahaan</t>
  </si>
  <si>
    <t>nbsp</t>
  </si>
  <si>
    <t>ompu</t>
  </si>
  <si>
    <t>muat</t>
  </si>
  <si>
    <t>tujuh</t>
  </si>
  <si>
    <t>turun</t>
  </si>
  <si>
    <t>leluhur</t>
  </si>
  <si>
    <t>marga</t>
  </si>
  <si>
    <t>asal</t>
  </si>
  <si>
    <t>Wisata Parapat Sanggar Dolok Sipiak</t>
  </si>
  <si>
    <t>sanggar</t>
  </si>
  <si>
    <t>seni</t>
  </si>
  <si>
    <t>sipiak</t>
  </si>
  <si>
    <t>simalungun</t>
  </si>
  <si>
    <t>pusat</t>
  </si>
  <si>
    <t>lestari</t>
  </si>
  <si>
    <t>kembang</t>
  </si>
  <si>
    <t>wadah</t>
  </si>
  <si>
    <t>seniman</t>
  </si>
  <si>
    <t>lokal</t>
  </si>
  <si>
    <t>ekspresi</t>
  </si>
  <si>
    <t>kreativitas</t>
  </si>
  <si>
    <t>tawar</t>
  </si>
  <si>
    <t>tortor</t>
  </si>
  <si>
    <t>cermin</t>
  </si>
  <si>
    <t>kaya</t>
  </si>
  <si>
    <t>medan tribunnews com</t>
  </si>
  <si>
    <t>pekan</t>
  </si>
  <si>
    <t>sabtu</t>
  </si>
  <si>
    <t>ada</t>
  </si>
  <si>
    <t>17 30</t>
  </si>
  <si>
    <t>18 30</t>
  </si>
  <si>
    <t>wib</t>
  </si>
  <si>
    <t>daya</t>
  </si>
  <si>
    <t>tarik</t>
  </si>
  <si>
    <t>rasa</t>
  </si>
  <si>
    <t>langsung</t>
  </si>
  <si>
    <t>uni</t>
  </si>
  <si>
    <t>youtube com</t>
  </si>
  <si>
    <t>aktif</t>
  </si>
  <si>
    <t>giat</t>
  </si>
  <si>
    <t>wakil</t>
  </si>
  <si>
    <t>acara</t>
  </si>
  <si>
    <t>internasional</t>
  </si>
  <si>
    <t>culture</t>
  </si>
  <si>
    <t>week</t>
  </si>
  <si>
    <t>2018</t>
  </si>
  <si>
    <t>malaysia</t>
  </si>
  <si>
    <t>libat</t>
  </si>
  <si>
    <t>komitmen</t>
  </si>
  <si>
    <t>promosi</t>
  </si>
  <si>
    <t>tingkat</t>
  </si>
  <si>
    <t>global</t>
  </si>
  <si>
    <t>greenberita com</t>
  </si>
  <si>
    <t>kunjung</t>
  </si>
  <si>
    <t>unjung</t>
  </si>
  <si>
    <t>sempat</t>
  </si>
  <si>
    <t>harga</t>
  </si>
  <si>
    <t>autentik</t>
  </si>
  <si>
    <t>dalam</t>
  </si>
  <si>
    <t>Gedung Pusat Informasi Geopark Kaldera Danau Toba</t>
  </si>
  <si>
    <t>informasi</t>
  </si>
  <si>
    <t>geopark</t>
  </si>
  <si>
    <t>kaldera</t>
  </si>
  <si>
    <t>pigkt</t>
  </si>
  <si>
    <t>destinasi</t>
  </si>
  <si>
    <t>edukasi</t>
  </si>
  <si>
    <t>sigulatti</t>
  </si>
  <si>
    <t>sianjur</t>
  </si>
  <si>
    <t>mulamula</t>
  </si>
  <si>
    <t>tayang</t>
  </si>
  <si>
    <t>videotron</t>
  </si>
  <si>
    <t>damping</t>
  </si>
  <si>
    <t>guide</t>
  </si>
  <si>
    <t>ramah</t>
  </si>
  <si>
    <t>Tugu Raja Nabuttu Siagian</t>
  </si>
  <si>
    <t>siagian</t>
  </si>
  <si>
    <t>surat</t>
  </si>
  <si>
    <t>daerah</t>
  </si>
  <si>
    <t>2013</t>
  </si>
  <si>
    <t>satu</t>
  </si>
  <si>
    <t>resmi</t>
  </si>
  <si>
    <t>gubernur</t>
  </si>
  <si>
    <t>gatot</t>
  </si>
  <si>
    <t>pujo</t>
  </si>
  <si>
    <t>nugroho</t>
  </si>
  <si>
    <t>sihobuk</t>
  </si>
  <si>
    <t>bon</t>
  </si>
  <si>
    <t>iii</t>
  </si>
  <si>
    <t>etimologi</t>
  </si>
  <si>
    <t>nama</t>
  </si>
  <si>
    <t>bahasa</t>
  </si>
  <si>
    <t>harfiah</t>
  </si>
  <si>
    <t>rujuk</t>
  </si>
  <si>
    <t>si</t>
  </si>
  <si>
    <t>anggian</t>
  </si>
  <si>
    <t>arti</t>
  </si>
  <si>
    <t>anak</t>
  </si>
  <si>
    <t>bungsu</t>
  </si>
  <si>
    <t>acu</t>
  </si>
  <si>
    <t>prefiks</t>
  </si>
  <si>
    <t>pakai</t>
  </si>
  <si>
    <t>saudara</t>
  </si>
  <si>
    <t>nyata</t>
  </si>
  <si>
    <t>tuan</t>
  </si>
  <si>
    <t>dibangarna</t>
  </si>
  <si>
    <t>kisah</t>
  </si>
  <si>
    <t>cerita</t>
  </si>
  <si>
    <t>istri</t>
  </si>
  <si>
    <t>meni</t>
  </si>
  <si>
    <t>perempuan</t>
  </si>
  <si>
    <t>boru</t>
  </si>
  <si>
    <t>pasaribu</t>
  </si>
  <si>
    <t>lahir</t>
  </si>
  <si>
    <t>sianipar</t>
  </si>
  <si>
    <t>tiga</t>
  </si>
  <si>
    <t>abang</t>
  </si>
  <si>
    <t>panjaitan</t>
  </si>
  <si>
    <t>silitonga</t>
  </si>
  <si>
    <t>dewasa</t>
  </si>
  <si>
    <t>Tugu Raja Napitu</t>
  </si>
  <si>
    <t>napitupulu</t>
  </si>
  <si>
    <t>na</t>
  </si>
  <si>
    <t>pitupulu</t>
  </si>
  <si>
    <t>puluh</t>
  </si>
  <si>
    <t>hubung</t>
  </si>
  <si>
    <t>Ruang Terbuka Publik Dermaga Pariwisata Parapat</t>
  </si>
  <si>
    <t>ruang</t>
  </si>
  <si>
    <t>buka</t>
  </si>
  <si>
    <t>publik</t>
  </si>
  <si>
    <t>dermaga</t>
  </si>
  <si>
    <t>pariwisata</t>
  </si>
  <si>
    <t>publikmaga</t>
  </si>
  <si>
    <t>pantai</t>
  </si>
  <si>
    <t>bebas</t>
  </si>
  <si>
    <t>2021</t>
  </si>
  <si>
    <t>areseluas</t>
  </si>
  <si>
    <t>10 0</t>
  </si>
  <si>
    <t>ter</t>
  </si>
  <si>
    <t>persegi</t>
  </si>
  <si>
    <t>fasilitas</t>
  </si>
  <si>
    <t>amphitheater</t>
  </si>
  <si>
    <t>area</t>
  </si>
  <si>
    <t>terbukaau</t>
  </si>
  <si>
    <t>kompas com</t>
  </si>
  <si>
    <t>ideal</t>
  </si>
  <si>
    <t>menikmatsuasana</t>
  </si>
  <si>
    <t>santai</t>
  </si>
  <si>
    <t>samb</t>
  </si>
  <si>
    <t>alam</t>
  </si>
  <si>
    <t>tiktok com</t>
  </si>
  <si>
    <t>titik</t>
  </si>
  <si>
    <t>antan</t>
  </si>
  <si>
    <t>kapal</t>
  </si>
  <si>
    <t>gantung</t>
  </si>
  <si>
    <t>m facebook com</t>
  </si>
  <si>
    <t>lengkap</t>
  </si>
  <si>
    <t>akses</t>
  </si>
  <si>
    <t>mudah</t>
  </si>
  <si>
    <t>magnet</t>
  </si>
  <si>
    <t>video</t>
  </si>
  <si>
    <t>Pertunjukan Tari Sigalegale</t>
  </si>
  <si>
    <t>ikon</t>
  </si>
  <si>
    <t>wilayah</t>
  </si>
  <si>
    <t>boneka</t>
  </si>
  <si>
    <t>manusia</t>
  </si>
  <si>
    <t>gerak</t>
  </si>
  <si>
    <t>iring</t>
  </si>
  <si>
    <t>fakta</t>
  </si>
  <si>
    <t>gera</t>
  </si>
  <si>
    <t>rupa</t>
  </si>
  <si>
    <t>kerangka</t>
  </si>
  <si>
    <t>sendi</t>
  </si>
  <si>
    <t>tubuh</t>
  </si>
  <si>
    <t>luwes</t>
  </si>
  <si>
    <t>variasi</t>
  </si>
  <si>
    <t>tor-tor</t>
  </si>
  <si>
    <t>durasi</t>
  </si>
  <si>
    <t>1</t>
  </si>
  <si>
    <t>jam</t>
  </si>
  <si>
    <t>saji</t>
  </si>
  <si>
    <t>unik</t>
  </si>
  <si>
    <t>Situs Objek Diduga Cagar Budaya Batu Jongjong dan Batu Sigadap</t>
  </si>
  <si>
    <t>jongjong</t>
  </si>
  <si>
    <t>sigadap</t>
  </si>
  <si>
    <t>keramat</t>
  </si>
  <si>
    <t>silalahi</t>
  </si>
  <si>
    <t>silalahiabupaten</t>
  </si>
  <si>
    <t>dairi</t>
  </si>
  <si>
    <t>sumera</t>
  </si>
  <si>
    <t>percaya</t>
  </si>
  <si>
    <t>kuat</t>
  </si>
  <si>
    <t>mistik</t>
  </si>
  <si>
    <t>tisierta</t>
  </si>
  <si>
    <t>batigap</t>
  </si>
  <si>
    <t>besaa</t>
  </si>
  <si>
    <t>posisi</t>
  </si>
  <si>
    <t>beda</t>
  </si>
  <si>
    <t>sijongjong</t>
  </si>
  <si>
    <t>tegak</t>
  </si>
  <si>
    <t>diah</t>
  </si>
  <si>
    <t>panungkunan</t>
  </si>
  <si>
    <t>mei</t>
  </si>
  <si>
    <t>benar</t>
  </si>
  <si>
    <t>ketidakbenaran</t>
  </si>
  <si>
    <t>uji</t>
  </si>
  <si>
    <t>bawa</t>
  </si>
  <si>
    <t>batuersebut</t>
  </si>
  <si>
    <t>melih</t>
  </si>
  <si>
    <t>reaksi</t>
  </si>
  <si>
    <t>ki</t>
  </si>
  <si>
    <t>anggap</t>
  </si>
  <si>
    <t>pendudukempat</t>
  </si>
  <si>
    <t>budaya kemdikbud go id</t>
  </si>
  <si>
    <t>iormasi</t>
  </si>
  <si>
    <t>spesifik</t>
  </si>
  <si>
    <t>sumber</t>
  </si>
  <si>
    <t>dasar</t>
  </si>
  <si>
    <t>konteks</t>
  </si>
  <si>
    <t>pasang</t>
  </si>
  <si>
    <t>uanya</t>
  </si>
  <si>
    <t>waris</t>
  </si>
  <si>
    <t>objek</t>
  </si>
  <si>
    <t>paham</t>
  </si>
  <si>
    <t>tradisi</t>
  </si>
  <si>
    <t>Rumah Seni &amp; Budaya Batak Toba</t>
  </si>
  <si>
    <t>amp</t>
  </si>
  <si>
    <t>dedikasi</t>
  </si>
  <si>
    <t>melestaridan</t>
  </si>
  <si>
    <t>pamer</t>
  </si>
  <si>
    <t>lebiemahami</t>
  </si>
  <si>
    <t>fasitas</t>
  </si>
  <si>
    <t>karya</t>
  </si>
  <si>
    <t>to</t>
  </si>
  <si>
    <t>ukir</t>
  </si>
  <si>
    <t>kayu</t>
  </si>
  <si>
    <t>n</t>
  </si>
  <si>
    <t>hias</t>
  </si>
  <si>
    <t>gondang</t>
  </si>
  <si>
    <t>sabangunan</t>
  </si>
  <si>
    <t>adaatak</t>
  </si>
  <si>
    <t>tor-toran</t>
  </si>
  <si>
    <t>workshop</t>
  </si>
  <si>
    <t>kelas</t>
  </si>
  <si>
    <t>ajar</t>
  </si>
  <si>
    <t>memb</t>
  </si>
  <si>
    <t>adisional</t>
  </si>
  <si>
    <t>a</t>
  </si>
  <si>
    <t>sistemekerabatan</t>
  </si>
  <si>
    <t>tobtau</t>
  </si>
  <si>
    <t>kota</t>
  </si>
  <si>
    <t>sepertmedan</t>
  </si>
  <si>
    <t>operasional</t>
  </si>
  <si>
    <t>umumnuka</t>
  </si>
  <si>
    <t>pagi</t>
  </si>
  <si>
    <t>sore</t>
  </si>
  <si>
    <t>saran</t>
  </si>
  <si>
    <t>periksa</t>
  </si>
  <si>
    <t>jadwal</t>
  </si>
  <si>
    <t>ataertunjukan</t>
  </si>
  <si>
    <t>khusus</t>
  </si>
  <si>
    <t>lum</t>
  </si>
  <si>
    <t>tiket</t>
  </si>
  <si>
    <t>masuk</t>
  </si>
  <si>
    <t>ylain</t>
  </si>
  <si>
    <t>gratis</t>
  </si>
  <si>
    <t>jangkau</t>
  </si>
  <si>
    <t>ubah</t>
  </si>
  <si>
    <t>sesuai</t>
  </si>
  <si>
    <t>jenis</t>
  </si>
  <si>
    <t>ra</t>
  </si>
  <si>
    <t>kontak</t>
  </si>
  <si>
    <t>grup</t>
  </si>
  <si>
    <t>nomor</t>
  </si>
  <si>
    <t>telepon</t>
  </si>
  <si>
    <t>email</t>
  </si>
  <si>
    <t>situs</t>
  </si>
  <si>
    <t>web</t>
  </si>
  <si>
    <t>TUGU RAJA PANJAITAN</t>
  </si>
  <si>
    <t>baca</t>
  </si>
  <si>
    <t>tarombo</t>
  </si>
  <si>
    <t>Singgolom</t>
  </si>
  <si>
    <t>singgolom</t>
  </si>
  <si>
    <t>kawasan</t>
  </si>
  <si>
    <t>lintong</t>
  </si>
  <si>
    <t>nihuta</t>
  </si>
  <si>
    <t>eksotis</t>
  </si>
  <si>
    <t>latar</t>
  </si>
  <si>
    <t>kepala</t>
  </si>
  <si>
    <t>dinas</t>
  </si>
  <si>
    <t>jhon</t>
  </si>
  <si>
    <t>piter</t>
  </si>
  <si>
    <t>favorit</t>
  </si>
  <si>
    <t>kilometer</t>
  </si>
  <si>
    <t>muka</t>
  </si>
  <si>
    <t>hampar</t>
  </si>
  <si>
    <t>sibolga</t>
  </si>
  <si>
    <t>boya</t>
  </si>
  <si>
    <t>reva</t>
  </si>
  <si>
    <t>betapa</t>
  </si>
  <si>
    <t>quot</t>
  </si>
  <si>
    <t>tenang</t>
  </si>
  <si>
    <t>pikir</t>
  </si>
  <si>
    <t>luas</t>
  </si>
  <si>
    <t>angin</t>
  </si>
  <si>
    <t>panorama</t>
  </si>
  <si>
    <t>Museum Huta Bolon Simanindo</t>
  </si>
  <si>
    <t>koleksi</t>
  </si>
  <si>
    <t>orang</t>
  </si>
  <si>
    <t>parhalaan</t>
  </si>
  <si>
    <t>pustaha</t>
  </si>
  <si>
    <t>laklak</t>
  </si>
  <si>
    <t>tunggal</t>
  </si>
  <si>
    <t>panaluan</t>
  </si>
  <si>
    <t>solu</t>
  </si>
  <si>
    <t>bolo</t>
  </si>
  <si>
    <t>PDA Panggung Drama Alam. BIS ANNEX</t>
  </si>
  <si>
    <t>pda</t>
  </si>
  <si>
    <t>panggung</t>
  </si>
  <si>
    <t>drama</t>
  </si>
  <si>
    <t>bis</t>
  </si>
  <si>
    <t>annex</t>
  </si>
  <si>
    <t>kaben</t>
  </si>
  <si>
    <t>keindahaam</t>
  </si>
  <si>
    <t>trip com</t>
  </si>
  <si>
    <t>daftar</t>
  </si>
  <si>
    <t>simungun</t>
  </si>
  <si>
    <t>layak</t>
  </si>
  <si>
    <t>dinngi</t>
  </si>
  <si>
    <t>ca trip com</t>
  </si>
  <si>
    <t>menawn</t>
  </si>
  <si>
    <t>atraksi</t>
  </si>
  <si>
    <t>sidamanik</t>
  </si>
  <si>
    <t>sirube-rube</t>
  </si>
  <si>
    <t>tarak</t>
  </si>
  <si>
    <t>nnggang</t>
  </si>
  <si>
    <t>inieadi</t>
  </si>
  <si>
    <t>dfasilitas</t>
  </si>
  <si>
    <t>cari</t>
  </si>
  <si>
    <t>baru</t>
  </si>
  <si>
    <t>UMKM Maju Bersama Saudara (MBS)</t>
  </si>
  <si>
    <t>umkm</t>
  </si>
  <si>
    <t>maju</t>
  </si>
  <si>
    <t>mbs</t>
  </si>
  <si>
    <t>inisiatif</t>
  </si>
  <si>
    <t>sejahtera</t>
  </si>
  <si>
    <t>usaha</t>
  </si>
  <si>
    <t>mikro</t>
  </si>
  <si>
    <t>tengah</t>
  </si>
  <si>
    <t>ram</t>
  </si>
  <si>
    <t>dukung</t>
  </si>
  <si>
    <t>perintah</t>
  </si>
  <si>
    <t>alokasi</t>
  </si>
  <si>
    <t>dana</t>
  </si>
  <si>
    <t>anggar</t>
  </si>
  <si>
    <t>dapat</t>
  </si>
  <si>
    <t>belanja</t>
  </si>
  <si>
    <t>apbd</t>
  </si>
  <si>
    <t>2024</t>
  </si>
  <si>
    <t>cebook com</t>
  </si>
  <si>
    <t>capai</t>
  </si>
  <si>
    <t>signifikan</t>
  </si>
  <si>
    <t>program</t>
  </si>
  <si>
    <t>produk</t>
  </si>
  <si>
    <t>pasuk</t>
  </si>
  <si>
    <t>mini</t>
  </si>
  <si>
    <t>market</t>
  </si>
  <si>
    <t>naonal</t>
  </si>
  <si>
    <t>sibilitas</t>
  </si>
  <si>
    <t>saing</t>
  </si>
  <si>
    <t>pasar</t>
  </si>
  <si>
    <t>samosirkab go id</t>
  </si>
  <si>
    <t>jalin</t>
  </si>
  <si>
    <t>mitra</t>
  </si>
  <si>
    <t>bank</t>
  </si>
  <si>
    <t>bi</t>
  </si>
  <si>
    <t>sektor</t>
  </si>
  <si>
    <t>erta</t>
  </si>
  <si>
    <t>dorong</t>
  </si>
  <si>
    <t>elektronifikasi</t>
  </si>
  <si>
    <t>transaksi</t>
  </si>
  <si>
    <t>linkumkm id</t>
  </si>
  <si>
    <t>upaya</t>
  </si>
  <si>
    <t>harap</t>
  </si>
  <si>
    <t>tumbuh</t>
  </si>
  <si>
    <t>manfaat</t>
  </si>
  <si>
    <t>ekonomi</t>
  </si>
  <si>
    <t>Taman Wisata Sibea Bea (Patung Yesus)</t>
  </si>
  <si>
    <t>taman</t>
  </si>
  <si>
    <t>sibea</t>
  </si>
  <si>
    <t>bea</t>
  </si>
  <si>
    <t>hari</t>
  </si>
  <si>
    <t>boho</t>
  </si>
  <si>
    <t>katen</t>
  </si>
  <si>
    <t>yesus</t>
  </si>
  <si>
    <t>kristus</t>
  </si>
  <si>
    <t>julang</t>
  </si>
  <si>
    <t>61</t>
  </si>
  <si>
    <t>puncak</t>
  </si>
  <si>
    <t>ting</t>
  </si>
  <si>
    <t>dunia</t>
  </si>
  <si>
    <t>mengalahnatung</t>
  </si>
  <si>
    <t>tebus</t>
  </si>
  <si>
    <t>rio</t>
  </si>
  <si>
    <t>de</t>
  </si>
  <si>
    <t>janeiro</t>
  </si>
  <si>
    <t>brasil</t>
  </si>
  <si>
    <t>30</t>
  </si>
  <si>
    <t>tempo co</t>
  </si>
  <si>
    <t>jalur</t>
  </si>
  <si>
    <t>kelang</t>
  </si>
  <si>
    <t>spot</t>
  </si>
  <si>
    <t>foto</t>
  </si>
  <si>
    <t>id theasianparent com</t>
  </si>
  <si>
    <t>kendara</t>
  </si>
  <si>
    <t>pribadi</t>
  </si>
  <si>
    <t>tsportasi</t>
  </si>
  <si>
    <t>lanjut</t>
  </si>
  <si>
    <t>jalan</t>
  </si>
  <si>
    <t>lupa</t>
  </si>
  <si>
    <t>pesona</t>
  </si>
  <si>
    <t>sibea-bea</t>
  </si>
  <si>
    <t>Situs- Siboru Naitang Naibaho</t>
  </si>
  <si>
    <t>naitang</t>
  </si>
  <si>
    <t>naibaho</t>
  </si>
  <si>
    <t>tokoh</t>
  </si>
  <si>
    <t>rakyat</t>
  </si>
  <si>
    <t>tolong</t>
  </si>
  <si>
    <t>ayah</t>
  </si>
  <si>
    <t>sidauruk</t>
  </si>
  <si>
    <t>asing</t>
  </si>
  <si>
    <t>goa</t>
  </si>
  <si>
    <t>warga</t>
  </si>
  <si>
    <t>hamil</t>
  </si>
  <si>
    <t>kembar</t>
  </si>
  <si>
    <t>ikat</t>
  </si>
  <si>
    <t>lesung</t>
  </si>
  <si>
    <t>bad</t>
  </si>
  <si>
    <t>tenggelam</t>
  </si>
  <si>
    <t>sembah</t>
  </si>
  <si>
    <t>ini</t>
  </si>
  <si>
    <t>Aek sitobu sira</t>
  </si>
  <si>
    <t>ragam</t>
  </si>
  <si>
    <t>tempat</t>
  </si>
  <si>
    <t>nilai</t>
  </si>
  <si>
    <t>historis</t>
  </si>
  <si>
    <t>mikat</t>
  </si>
  <si>
    <t>terkadang</t>
  </si>
  <si>
    <t>terima</t>
  </si>
  <si>
    <t>akal</t>
  </si>
  <si>
    <t>sehat</t>
  </si>
  <si>
    <t>lepas</t>
  </si>
  <si>
    <t>Gedung Kesenian TukTuk</t>
  </si>
  <si>
    <t>gedung</t>
  </si>
  <si>
    <t>tuktuk</t>
  </si>
  <si>
    <t>siadong</t>
  </si>
  <si>
    <t>tun</t>
  </si>
  <si>
    <t>18</t>
  </si>
  <si>
    <t>2019</t>
  </si>
  <si>
    <t>saturday</t>
  </si>
  <si>
    <t>night</t>
  </si>
  <si>
    <t>cral</t>
  </si>
  <si>
    <t>habonaran</t>
  </si>
  <si>
    <t>hadir</t>
  </si>
  <si>
    <t>bupati</t>
  </si>
  <si>
    <t>rapidin</t>
  </si>
  <si>
    <t>simbolon</t>
  </si>
  <si>
    <t>tamu</t>
  </si>
  <si>
    <t>hormat</t>
  </si>
  <si>
    <t>dirjen</t>
  </si>
  <si>
    <t>bimas</t>
  </si>
  <si>
    <t>kristen</t>
  </si>
  <si>
    <t>menteri</t>
  </si>
  <si>
    <t>agama</t>
  </si>
  <si>
    <t>ri</t>
  </si>
  <si>
    <t>prof</t>
  </si>
  <si>
    <t>dr</t>
  </si>
  <si>
    <t>thomas</t>
  </si>
  <si>
    <t>pentury</t>
  </si>
  <si>
    <t>rektor</t>
  </si>
  <si>
    <t>universitas</t>
  </si>
  <si>
    <t>apresiasi</t>
  </si>
  <si>
    <t>terger</t>
  </si>
  <si>
    <t>zam sumut antaranews com</t>
  </si>
  <si>
    <t>komunitas</t>
  </si>
  <si>
    <t>lam</t>
  </si>
  <si>
    <t>ohomunitas</t>
  </si>
  <si>
    <t>andur</t>
  </si>
  <si>
    <t>food</t>
  </si>
  <si>
    <t>operasi</t>
  </si>
  <si>
    <t>16 00</t>
  </si>
  <si>
    <t>22 00</t>
  </si>
  <si>
    <t>lingkar</t>
  </si>
  <si>
    <t>ng</t>
  </si>
  <si>
    <t>instagram com</t>
  </si>
  <si>
    <t>juli</t>
  </si>
  <si>
    <t>2023</t>
  </si>
  <si>
    <t>lapor</t>
  </si>
  <si>
    <t>alami</t>
  </si>
  <si>
    <t>kerusadan</t>
  </si>
  <si>
    <t>awat</t>
  </si>
  <si>
    <t>sekretaris</t>
  </si>
  <si>
    <t>samor</t>
  </si>
  <si>
    <t>tetti</t>
  </si>
  <si>
    <t>myakan</t>
  </si>
  <si>
    <t>aset</t>
  </si>
  <si>
    <t>kondisi</t>
  </si>
  <si>
    <t>rusak</t>
  </si>
  <si>
    <t>menginventarisir</t>
  </si>
  <si>
    <t>rusa</t>
  </si>
  <si>
    <t>sege</t>
  </si>
  <si>
    <t>baik</t>
  </si>
  <si>
    <t>danau-toba wahananews co</t>
  </si>
  <si>
    <t>simbol</t>
  </si>
  <si>
    <t>Pusat Informasi Toba Caldera UNESCO Global Geopark</t>
  </si>
  <si>
    <t>adadestinasi</t>
  </si>
  <si>
    <t>pengetahuendalam</t>
  </si>
  <si>
    <t>geologi</t>
  </si>
  <si>
    <t>keanekaragaman</t>
  </si>
  <si>
    <t>hayati</t>
  </si>
  <si>
    <t>audio</t>
  </si>
  <si>
    <t>sual</t>
  </si>
  <si>
    <t>mgkinkan</t>
  </si>
  <si>
    <t>proses</t>
  </si>
  <si>
    <t>vulkanik</t>
  </si>
  <si>
    <t>terr</t>
  </si>
  <si>
    <t>kpi go id</t>
  </si>
  <si>
    <t>aku</t>
  </si>
  <si>
    <t>sebaunesco</t>
  </si>
  <si>
    <t>2020</t>
  </si>
  <si>
    <t>status</t>
  </si>
  <si>
    <t>dikelolaengan</t>
  </si>
  <si>
    <t>dekat</t>
  </si>
  <si>
    <t>holistik</t>
  </si>
  <si>
    <t>cakup</t>
  </si>
  <si>
    <t>lindung</t>
  </si>
  <si>
    <t>didik</t>
  </si>
  <si>
    <t>en unesco org</t>
  </si>
  <si>
    <t>jajah</t>
  </si>
  <si>
    <t>Batu Sawan</t>
  </si>
  <si>
    <t>sawan</t>
  </si>
  <si>
    <t>asam</t>
  </si>
  <si>
    <t>belah</t>
  </si>
  <si>
    <t>barat</t>
  </si>
  <si>
    <t>gunung</t>
  </si>
  <si>
    <t>pusuk</t>
  </si>
  <si>
    <t>buhit</t>
  </si>
  <si>
    <t>mula</t>
  </si>
  <si>
    <t>alir</t>
  </si>
  <si>
    <t>lewat</t>
  </si>
  <si>
    <t>tebing</t>
  </si>
  <si>
    <t>tampung</t>
  </si>
  <si>
    <t>cawan</t>
  </si>
  <si>
    <t>jeruk</t>
  </si>
  <si>
    <t>purut</t>
  </si>
  <si>
    <t>sensasi</t>
  </si>
  <si>
    <t>jarang</t>
  </si>
  <si>
    <t>temu</t>
  </si>
  <si>
    <t>Tao Silalahi Hotel</t>
  </si>
  <si>
    <t>tao</t>
  </si>
  <si>
    <t>yanrletak</t>
  </si>
  <si>
    <t>suasa</t>
  </si>
  <si>
    <t>hotel</t>
  </si>
  <si>
    <t>dat</t>
  </si>
  <si>
    <t>pilih</t>
  </si>
  <si>
    <t>akomodasi</t>
  </si>
  <si>
    <t>timbang</t>
  </si>
  <si>
    <t>debang</t>
  </si>
  <si>
    <t>resort</t>
  </si>
  <si>
    <t>resor</t>
  </si>
  <si>
    <t>takjub</t>
  </si>
  <si>
    <t>pada</t>
  </si>
  <si>
    <t>nyaman</t>
  </si>
  <si>
    <t>inap</t>
  </si>
  <si>
    <t>reddoorz</t>
  </si>
  <si>
    <t>plus</t>
  </si>
  <si>
    <t>strategis</t>
  </si>
  <si>
    <t>standar</t>
  </si>
  <si>
    <t>anugerah</t>
  </si>
  <si>
    <t>rapi</t>
  </si>
  <si>
    <t>kamar</t>
  </si>
  <si>
    <t>bersih</t>
  </si>
  <si>
    <t>cocok</t>
  </si>
  <si>
    <t>keluarga</t>
  </si>
  <si>
    <t>martabe</t>
  </si>
  <si>
    <t>layan</t>
  </si>
  <si>
    <t>lau</t>
  </si>
  <si>
    <t>dengasilitas</t>
  </si>
  <si>
    <t>reservasi</t>
  </si>
  <si>
    <t>eriksa</t>
  </si>
  <si>
    <t>ulas</t>
  </si>
  <si>
    <t>platform</t>
  </si>
  <si>
    <t>mesan</t>
  </si>
  <si>
    <t>pasti</t>
  </si>
  <si>
    <t>butuh</t>
  </si>
  <si>
    <t>preferensi</t>
  </si>
  <si>
    <t>Tugu KM Sinar Bangun</t>
  </si>
  <si>
    <t>km</t>
  </si>
  <si>
    <t>sinar</t>
  </si>
  <si>
    <t>monumen</t>
  </si>
  <si>
    <t>ingat</t>
  </si>
  <si>
    <t>dibangunuk</t>
  </si>
  <si>
    <t>kenang</t>
  </si>
  <si>
    <t>tragedi</t>
  </si>
  <si>
    <t>motor</t>
  </si>
  <si>
    <t>pad18</t>
  </si>
  <si>
    <t>juni</t>
  </si>
  <si>
    <t>periswtersebut</t>
  </si>
  <si>
    <t>renggut</t>
  </si>
  <si>
    <t>164</t>
  </si>
  <si>
    <t>nyawa</t>
  </si>
  <si>
    <t>tumpang</t>
  </si>
  <si>
    <t>merdeka com</t>
  </si>
  <si>
    <t>men</t>
  </si>
  <si>
    <t>desainnyan</t>
  </si>
  <si>
    <t>miniatur</t>
  </si>
  <si>
    <t>semi-transparan</t>
  </si>
  <si>
    <t>hadap</t>
  </si>
  <si>
    <t>korban</t>
  </si>
  <si>
    <t>koordinatkasi</t>
  </si>
  <si>
    <t>jpnn com</t>
  </si>
  <si>
    <t>ziarah</t>
  </si>
  <si>
    <t>selamat</t>
  </si>
  <si>
    <t>transportasi</t>
  </si>
  <si>
    <t>Huta Seni Sitangkubang</t>
  </si>
  <si>
    <t>sitangkubang</t>
  </si>
  <si>
    <t>humbang</t>
  </si>
  <si>
    <t>hasundutan</t>
  </si>
  <si>
    <t>bengkel</t>
  </si>
  <si>
    <t>buat</t>
  </si>
  <si>
    <t>alat</t>
  </si>
  <si>
    <t>Rumah Bolon Raja Purba</t>
  </si>
  <si>
    <t>pematang</t>
  </si>
  <si>
    <t>purba</t>
  </si>
  <si>
    <t>bak</t>
  </si>
  <si>
    <t>rngsi</t>
  </si>
  <si>
    <t>istana</t>
  </si>
  <si>
    <t>kuasa</t>
  </si>
  <si>
    <t>partuanan</t>
  </si>
  <si>
    <t>ut</t>
  </si>
  <si>
    <t>id wikipedia org</t>
  </si>
  <si>
    <t>utama</t>
  </si>
  <si>
    <t>kompleks</t>
  </si>
  <si>
    <t>digukan</t>
  </si>
  <si>
    <t>nal</t>
  </si>
  <si>
    <t>29 44</t>
  </si>
  <si>
    <t>lebar</t>
  </si>
  <si>
    <t>7</t>
  </si>
  <si>
    <t>5</t>
  </si>
  <si>
    <t>atap</t>
  </si>
  <si>
    <t>ijuk</t>
  </si>
  <si>
    <t>anyam</t>
  </si>
  <si>
    <t>tahan</t>
  </si>
  <si>
    <t>bpodt i</t>
  </si>
  <si>
    <t>https</t>
  </si>
  <si>
    <t>www bpodt mah-bolon-purba-istana-para-raja-2</t>
  </si>
  <si>
    <t>utm source chatgpt com</t>
  </si>
  <si>
    <t>rapa</t>
  </si>
  <si>
    <t>balai</t>
  </si>
  <si>
    <t>pattangan</t>
  </si>
  <si>
    <t>pantang</t>
  </si>
  <si>
    <t>permaisuri</t>
  </si>
  <si>
    <t>ja</t>
  </si>
  <si>
    <t>buttu</t>
  </si>
  <si>
    <t>jabu</t>
  </si>
  <si>
    <t>jingga</t>
  </si>
  <si>
    <t>tetap</t>
  </si>
  <si>
    <t>1961 seum</t>
  </si>
  <si>
    <t>07 00</t>
  </si>
  <si>
    <t>18 00</t>
  </si>
  <si>
    <t>tarif</t>
  </si>
  <si>
    <t>rp1 500</t>
  </si>
  <si>
    <t>rp500</t>
  </si>
  <si>
    <t>rombong</t>
  </si>
  <si>
    <t>wawas</t>
  </si>
  <si>
    <t>arsitektur</t>
  </si>
  <si>
    <t>Phinos</t>
  </si>
  <si>
    <t>lake</t>
  </si>
  <si>
    <t>baligsilangit</t>
  </si>
  <si>
    <t>tour</t>
  </si>
  <si>
    <t>package</t>
  </si>
  <si>
    <t>4</t>
  </si>
  <si>
    <t>days</t>
  </si>
  <si>
    <t>3</t>
  </si>
  <si>
    <t>nights</t>
  </si>
  <si>
    <t>cultural</t>
  </si>
  <si>
    <t>from</t>
  </si>
  <si>
    <t>silangit</t>
  </si>
  <si>
    <t>phino</t>
  </si>
  <si>
    <t>39</t>
  </si>
  <si>
    <t>s</t>
  </si>
  <si>
    <t>berli</t>
  </si>
  <si>
    <t>lukis</t>
  </si>
  <si>
    <t>airbrush</t>
  </si>
  <si>
    <t>perabot</t>
  </si>
  <si>
    <t>reklame</t>
  </si>
  <si>
    <t>souvenir</t>
  </si>
  <si>
    <t>dekorasi</t>
  </si>
  <si>
    <t>mengunjgi</t>
  </si>
  <si>
    <t>halaman</t>
  </si>
  <si>
    <t>facebookeka</t>
  </si>
  <si>
    <t>portofolio</t>
  </si>
  <si>
    <t>facebook com</t>
  </si>
  <si>
    <t>mere</t>
  </si>
  <si>
    <t>ga</t>
  </si>
  <si>
    <t>akun</t>
  </si>
  <si>
    <t>instagram</t>
  </si>
  <si>
    <t>guna</t>
  </si>
  <si>
    <t>phinos artworker</t>
  </si>
  <si>
    <t>berbag</t>
  </si>
  <si>
    <t>proyek</t>
  </si>
  <si>
    <t>mes</t>
  </si>
  <si>
    <t>whatsapp</t>
  </si>
  <si>
    <t>0852-6239-7691</t>
  </si>
  <si>
    <t>Dolok Sipatungan</t>
  </si>
  <si>
    <t>tualang</t>
  </si>
  <si>
    <t>senang</t>
  </si>
  <si>
    <t>hati</t>
  </si>
  <si>
    <t>janji</t>
  </si>
  <si>
    <t>ragu</t>
  </si>
  <si>
    <t>sebut</t>
  </si>
  <si>
    <t>negeri</t>
  </si>
  <si>
    <t>keping</t>
  </si>
  <si>
    <t>surga</t>
  </si>
  <si>
    <t>tagline</t>
  </si>
  <si>
    <t>kali</t>
  </si>
  <si>
    <t>sipatung</t>
  </si>
  <si>
    <t>sabulan</t>
  </si>
  <si>
    <t>manja</t>
  </si>
  <si>
    <t>mata</t>
  </si>
  <si>
    <t>putar</t>
  </si>
  <si>
    <t>arah</t>
  </si>
  <si>
    <t>kiri</t>
  </si>
  <si>
    <t>sisi</t>
  </si>
  <si>
    <t>badan</t>
  </si>
  <si>
    <t>akan</t>
  </si>
  <si>
    <t>keren</t>
  </si>
  <si>
    <t>Huta Bolon</t>
  </si>
  <si>
    <t>pangururan</t>
  </si>
  <si>
    <t>Lake Above The Lake (Danau di atas Danau)</t>
  </si>
  <si>
    <t>sidihoni</t>
  </si>
  <si>
    <t>juluk</t>
  </si>
  <si>
    <t>deskripsi</t>
  </si>
  <si>
    <t>ronggur</t>
  </si>
  <si>
    <t>ni</t>
  </si>
  <si>
    <t>8</t>
  </si>
  <si>
    <t>1 300</t>
  </si>
  <si>
    <t>laut</t>
  </si>
  <si>
    <t>hektar</t>
  </si>
  <si>
    <t>mandi</t>
  </si>
  <si>
    <t>keliling</t>
  </si>
  <si>
    <t>landai</t>
  </si>
  <si>
    <t>mangkok</t>
  </si>
  <si>
    <t>refreshing</t>
  </si>
  <si>
    <t>udara</t>
  </si>
  <si>
    <t>segar</t>
  </si>
  <si>
    <t>sunset</t>
  </si>
  <si>
    <t>pukau</t>
  </si>
  <si>
    <t>sistem</t>
  </si>
  <si>
    <t>cekung</t>
  </si>
  <si>
    <t>isi</t>
  </si>
  <si>
    <t>akibat</t>
  </si>
  <si>
    <t>pola</t>
  </si>
  <si>
    <t>patah</t>
  </si>
  <si>
    <t>Tugu Makam Raja Silahisabungan</t>
  </si>
  <si>
    <t>silahisabungan</t>
  </si>
  <si>
    <t>datu</t>
  </si>
  <si>
    <t>segani</t>
  </si>
  <si>
    <t>masa</t>
  </si>
  <si>
    <t>minim</t>
  </si>
  <si>
    <t>literatur</t>
  </si>
  <si>
    <t>tanah</t>
  </si>
  <si>
    <t>ulayat</t>
  </si>
  <si>
    <t>adil</t>
  </si>
  <si>
    <t>sijongjong-sigadap</t>
  </si>
  <si>
    <t>sakral</t>
  </si>
  <si>
    <t>nabolak</t>
  </si>
  <si>
    <t>bukti</t>
  </si>
  <si>
    <t>kompasiana com</t>
  </si>
  <si>
    <t>ritual</t>
  </si>
  <si>
    <t>doa</t>
  </si>
  <si>
    <t>berkah</t>
  </si>
  <si>
    <t>marpangir</t>
  </si>
  <si>
    <t>yakin</t>
  </si>
  <si>
    <t>hal</t>
  </si>
  <si>
    <t>buruk</t>
  </si>
  <si>
    <t>Huta Dolok Martahan</t>
  </si>
  <si>
    <t>martahan</t>
  </si>
  <si>
    <t>tradisial</t>
  </si>
  <si>
    <t>drumah-rumah</t>
  </si>
  <si>
    <t>parik</t>
  </si>
  <si>
    <t>tembok</t>
  </si>
  <si>
    <t>harbangan</t>
  </si>
  <si>
    <t>pintu</t>
  </si>
  <si>
    <t>gerbang</t>
  </si>
  <si>
    <t>khasyoutube com</t>
  </si>
  <si>
    <t>www youtube com watch</t>
  </si>
  <si>
    <t>v uzdotyfgcnc</t>
  </si>
  <si>
    <t>listrik</t>
  </si>
  <si>
    <t>40</t>
  </si>
  <si>
    <t>tahunwarga</t>
  </si>
  <si>
    <t>belumikmati</t>
  </si>
  <si>
    <t>jaring</t>
  </si>
  <si>
    <t>aju</t>
  </si>
  <si>
    <t>mohon</t>
  </si>
  <si>
    <t>wujud</t>
  </si>
  <si>
    <t>rindu</t>
  </si>
  <si>
    <t>gosumut com</t>
  </si>
  <si>
    <t>Pantai Tulas</t>
  </si>
  <si>
    <t>tulas</t>
  </si>
  <si>
    <t>siboro</t>
  </si>
  <si>
    <t>imawarkan</t>
  </si>
  <si>
    <t>jadi</t>
  </si>
  <si>
    <t>sin</t>
  </si>
  <si>
    <t>kecamatanianjur</t>
  </si>
  <si>
    <t>menk</t>
  </si>
  <si>
    <t>rjun</t>
  </si>
  <si>
    <t>efrata</t>
  </si>
  <si>
    <t>yanenakjubkan</t>
  </si>
  <si>
    <t>naiogop</t>
  </si>
  <si>
    <t>tatap</t>
  </si>
  <si>
    <t>u</t>
  </si>
  <si>
    <t>anduhur</t>
  </si>
  <si>
    <t>dengapemandangan</t>
  </si>
  <si>
    <t>swiss</t>
  </si>
  <si>
    <t>bo</t>
  </si>
  <si>
    <t>lok</t>
  </si>
  <si>
    <t>kebudayaaapariwisata</t>
  </si>
  <si>
    <t>Tugu Raja Naibaho (Monument of King Naibaho)</t>
  </si>
  <si>
    <t>ah</t>
  </si>
  <si>
    <t>momen</t>
  </si>
  <si>
    <t>die</t>
  </si>
  <si>
    <t>tajur</t>
  </si>
  <si>
    <t>lurah</t>
  </si>
  <si>
    <t>nbaho</t>
  </si>
  <si>
    <t>sebagaiah</t>
  </si>
  <si>
    <t>peran</t>
  </si>
  <si>
    <t>sosial</t>
  </si>
  <si>
    <t>tobac wikipedia org</t>
  </si>
  <si>
    <t>fungsi</t>
  </si>
  <si>
    <t>identitas</t>
  </si>
  <si>
    <t>bangga</t>
  </si>
  <si>
    <t>lebihnt</t>
  </si>
  <si>
    <t>facebook</t>
  </si>
  <si>
    <t>rajaibaho</t>
  </si>
  <si>
    <t>Tugu Tambunan Baruara</t>
  </si>
  <si>
    <t>tambun</t>
  </si>
  <si>
    <t>silah</t>
  </si>
  <si>
    <t>sabung</t>
  </si>
  <si>
    <t>milingiling</t>
  </si>
  <si>
    <t>putri</t>
  </si>
  <si>
    <t>mangarerak</t>
  </si>
  <si>
    <t>Batu Raja Tuan Sorimangaraja</t>
  </si>
  <si>
    <t>sobu</t>
  </si>
  <si>
    <t>induk</t>
  </si>
  <si>
    <t>siraja</t>
  </si>
  <si>
    <t>Tugu Raja Simanihuruk/Br Sihaloho</t>
  </si>
  <si>
    <t>simanihuruk</t>
  </si>
  <si>
    <t>manihuruk</t>
  </si>
  <si>
    <t>2010</t>
  </si>
  <si>
    <t>tanggal</t>
  </si>
  <si>
    <t>27</t>
  </si>
  <si>
    <t>desember</t>
  </si>
  <si>
    <t>2012</t>
  </si>
  <si>
    <t>Guru Raya SiDasuha</t>
  </si>
  <si>
    <t>sidasuha</t>
  </si>
  <si>
    <t>dasuha</t>
  </si>
  <si>
    <t>panei</t>
  </si>
  <si>
    <t>Tugu Sitohang</t>
  </si>
  <si>
    <t>sitohang</t>
  </si>
  <si>
    <t>palipi</t>
  </si>
  <si>
    <t>1991</t>
  </si>
  <si>
    <t>jab</t>
  </si>
  <si>
    <t>maranak</t>
  </si>
  <si>
    <t>pomparan</t>
  </si>
  <si>
    <t>pangaribuan</t>
  </si>
  <si>
    <t>Istana Raja Sisingamangaraja</t>
  </si>
  <si>
    <t>sisingamangaraja</t>
  </si>
  <si>
    <t>i</t>
  </si>
  <si>
    <t>xii</t>
  </si>
  <si>
    <t>dusun</t>
  </si>
  <si>
    <t>simamora</t>
  </si>
  <si>
    <t>baktiraja</t>
  </si>
  <si>
    <t>Samosir View</t>
  </si>
  <si>
    <t>view</t>
  </si>
  <si>
    <t>spektakuler</t>
  </si>
  <si>
    <t>tele</t>
  </si>
  <si>
    <t>observation</t>
  </si>
  <si>
    <t>tower</t>
  </si>
  <si>
    <t>menara</t>
  </si>
  <si>
    <t>observasi</t>
  </si>
  <si>
    <t>biaya</t>
  </si>
  <si>
    <t>idr</t>
  </si>
  <si>
    <t>7 000</t>
  </si>
  <si>
    <t>tripadvisor com</t>
  </si>
  <si>
    <t>simarjarunjung</t>
  </si>
  <si>
    <t>tawan</t>
  </si>
  <si>
    <t>populer</t>
  </si>
  <si>
    <t>kopi</t>
  </si>
  <si>
    <t>pasir</t>
  </si>
  <si>
    <t>parbaba</t>
  </si>
  <si>
    <t>santa</t>
  </si>
  <si>
    <t>damai</t>
  </si>
  <si>
    <t>relaksasi</t>
  </si>
  <si>
    <t>Signage Geopark Kaldera Toba</t>
  </si>
  <si>
    <t>signage</t>
  </si>
  <si>
    <t>papan</t>
  </si>
  <si>
    <t>drbagai</t>
  </si>
  <si>
    <t>unesco</t>
  </si>
  <si>
    <t>sega</t>
  </si>
  <si>
    <t>endak</t>
  </si>
  <si>
    <t>unesco org</t>
  </si>
  <si>
    <t>rancang</t>
  </si>
  <si>
    <t>formasi</t>
  </si>
  <si>
    <t>flora</t>
  </si>
  <si>
    <t>fauna</t>
  </si>
  <si>
    <t>lingkung</t>
  </si>
  <si>
    <t>contoh</t>
  </si>
  <si>
    <t>geoparkaldera</t>
  </si>
  <si>
    <t>supervolcano</t>
  </si>
  <si>
    <t>fitur</t>
  </si>
  <si>
    <t>alamy com</t>
  </si>
  <si>
    <t>geosite</t>
  </si>
  <si>
    <t>calderatobageopark org</t>
  </si>
  <si>
    <t>the</t>
  </si>
  <si>
    <t>reasons</t>
  </si>
  <si>
    <t>loved</t>
  </si>
  <si>
    <t>nature</t>
  </si>
  <si>
    <t>travel</t>
  </si>
  <si>
    <t>kalderatoba</t>
  </si>
  <si>
    <t>Sidagambir</t>
  </si>
  <si>
    <t>sidagambir</t>
  </si>
  <si>
    <t>asli</t>
  </si>
  <si>
    <t>damanik</t>
  </si>
  <si>
    <t>saragih</t>
  </si>
  <si>
    <t>sinaga</t>
  </si>
  <si>
    <t>empat</t>
  </si>
  <si>
    <t>Desa Adat Ragi Hotang Meat</t>
  </si>
  <si>
    <t>ragi</t>
  </si>
  <si>
    <t>hotang</t>
  </si>
  <si>
    <t>meat</t>
  </si>
  <si>
    <t>relatif</t>
  </si>
  <si>
    <t>kukuh</t>
  </si>
  <si>
    <t>agam</t>
  </si>
  <si>
    <t>daur</t>
  </si>
  <si>
    <t>hidup</t>
  </si>
  <si>
    <t>nikah</t>
  </si>
  <si>
    <t>mati</t>
  </si>
  <si>
    <t>penuh</t>
  </si>
  <si>
    <t>makna</t>
  </si>
  <si>
    <t>simbolisme</t>
  </si>
  <si>
    <t>80</t>
  </si>
  <si>
    <t>istimewa</t>
  </si>
  <si>
    <t>usia</t>
  </si>
  <si>
    <t>ratus</t>
  </si>
  <si>
    <t>mangongkal</t>
  </si>
  <si>
    <t>holi</t>
  </si>
  <si>
    <t>pindah</t>
  </si>
  <si>
    <t>tulang-belulang</t>
  </si>
  <si>
    <t>tambak</t>
  </si>
  <si>
    <t>energik</t>
  </si>
  <si>
    <t>riah</t>
  </si>
  <si>
    <t>undang</t>
  </si>
  <si>
    <t>semangat</t>
  </si>
  <si>
    <t>silat</t>
  </si>
  <si>
    <t>bela</t>
  </si>
  <si>
    <t>akrobatik</t>
  </si>
  <si>
    <t>catat</t>
  </si>
  <si>
    <t>sopan</t>
  </si>
  <si>
    <t>norma</t>
  </si>
  <si>
    <t>laku</t>
  </si>
  <si>
    <t>minta</t>
  </si>
  <si>
    <t>izin</t>
  </si>
  <si>
    <t>ambil</t>
  </si>
  <si>
    <t>Open Stage</t>
  </si>
  <si>
    <t>open</t>
  </si>
  <si>
    <t>stage</t>
  </si>
  <si>
    <t>yaerletak</t>
  </si>
  <si>
    <t>danusik</t>
  </si>
  <si>
    <t>kons</t>
  </si>
  <si>
    <t>sik</t>
  </si>
  <si>
    <t>musisi</t>
  </si>
  <si>
    <t>mancanegara</t>
  </si>
  <si>
    <t>sumut antaranews com</t>
  </si>
  <si>
    <t>tahu2024</t>
  </si>
  <si>
    <t>tuusiadong</t>
  </si>
  <si>
    <t>music</t>
  </si>
  <si>
    <t>international</t>
  </si>
  <si>
    <t>smi</t>
  </si>
  <si>
    <t>9</t>
  </si>
  <si>
    <t>11</t>
  </si>
  <si>
    <t>agustus</t>
  </si>
  <si>
    <t>dabudaya</t>
  </si>
  <si>
    <t>tikemasuk</t>
  </si>
  <si>
    <t>kena</t>
  </si>
  <si>
    <t>rp150 000</t>
  </si>
  <si>
    <t>detail</t>
  </si>
  <si>
    <t>Bukit Sipolha</t>
  </si>
  <si>
    <t>sipolha</t>
  </si>
  <si>
    <t>ramai</t>
  </si>
  <si>
    <t>lancong</t>
  </si>
  <si>
    <t>Geopark Kaldera Toba</t>
  </si>
  <si>
    <t>volkano-tektonik</t>
  </si>
  <si>
    <t>besar</t>
  </si>
  <si>
    <t>langka</t>
  </si>
  <si>
    <t>megalitik</t>
  </si>
  <si>
    <t>bas</t>
  </si>
  <si>
    <t>konservasi</t>
  </si>
  <si>
    <t>peluang</t>
  </si>
  <si>
    <t>oleh</t>
  </si>
  <si>
    <t>untung</t>
  </si>
  <si>
    <t>sipiso</t>
  </si>
  <si>
    <t>piso</t>
  </si>
  <si>
    <t>haranggaol</t>
  </si>
  <si>
    <t>sibaganding</t>
  </si>
  <si>
    <t>Batu Hundul-Hundulan</t>
  </si>
  <si>
    <t>hundul-hundulan</t>
  </si>
  <si>
    <t>dulunya</t>
  </si>
  <si>
    <t>pimpin</t>
  </si>
  <si>
    <t>rapat</t>
  </si>
  <si>
    <t>tatap awas</t>
  </si>
  <si>
    <t>sinambela</t>
  </si>
  <si>
    <t>hariara</t>
  </si>
  <si>
    <t>tunghot</t>
  </si>
  <si>
    <t>Panalaya HomeStay</t>
  </si>
  <si>
    <t>panalaya</t>
  </si>
  <si>
    <t>homestay</t>
  </si>
  <si>
    <t>sibola</t>
  </si>
  <si>
    <t>hotangsas</t>
  </si>
  <si>
    <t>kode</t>
  </si>
  <si>
    <t>po22</t>
  </si>
  <si>
    <t>inginnlajahi</t>
  </si>
  <si>
    <t>fily</t>
  </si>
  <si>
    <t>sibolatg</t>
  </si>
  <si>
    <t>id trip com</t>
  </si>
  <si>
    <t>nauli</t>
  </si>
  <si>
    <t>inn</t>
  </si>
  <si>
    <t>sibolahotang</t>
  </si>
  <si>
    <t>k1 2</t>
  </si>
  <si>
    <t>myiakan</t>
  </si>
  <si>
    <t>parkir</t>
  </si>
  <si>
    <t>boat</t>
  </si>
  <si>
    <t>and</t>
  </si>
  <si>
    <t>spa</t>
  </si>
  <si>
    <t>agoda com</t>
  </si>
  <si>
    <t>leblanjut</t>
  </si>
  <si>
    <t>agoda</t>
  </si>
  <si>
    <t>Lapangan Pusuk Buhit</t>
  </si>
  <si>
    <t>pinggir</t>
  </si>
  <si>
    <t>mitologi</t>
  </si>
  <si>
    <t>54 5</t>
  </si>
  <si>
    <t>ribu</t>
  </si>
  <si>
    <t>1972</t>
  </si>
  <si>
    <t>mdpl</t>
  </si>
  <si>
    <t>Tambak Op. Mangisi Sianturi</t>
  </si>
  <si>
    <t>sianturi</t>
  </si>
  <si>
    <t>tapanuli</t>
  </si>
  <si>
    <t>sub-marga</t>
  </si>
  <si>
    <t>simatupang</t>
  </si>
  <si>
    <t>toga</t>
  </si>
  <si>
    <t>Sentra Kerajinan Gerabah Partobuna</t>
  </si>
  <si>
    <t>sentra</t>
  </si>
  <si>
    <t>keramik</t>
  </si>
  <si>
    <t>partobuna</t>
  </si>
  <si>
    <t>butarbutar</t>
  </si>
  <si>
    <t>narom</t>
  </si>
  <si>
    <t>ulu</t>
  </si>
  <si>
    <t>parsadaan</t>
  </si>
  <si>
    <t>lapang</t>
  </si>
  <si>
    <t>kerja</t>
  </si>
  <si>
    <t>liat</t>
  </si>
  <si>
    <t>marom</t>
  </si>
  <si>
    <t>siregar</t>
  </si>
  <si>
    <t>aek</t>
  </si>
  <si>
    <t>nalas</t>
  </si>
  <si>
    <t>bahan</t>
  </si>
  <si>
    <t>aduk</t>
  </si>
  <si>
    <t>ering</t>
  </si>
  <si>
    <t>tungku</t>
  </si>
  <si>
    <t>bakar</t>
  </si>
  <si>
    <t>Tugu Lumban Tungkup</t>
  </si>
  <si>
    <t>lumbantungkup</t>
  </si>
  <si>
    <t>tulis</t>
  </si>
  <si>
    <t>tungkup</t>
  </si>
  <si>
    <t>nainggolan</t>
  </si>
  <si>
    <t>tanja</t>
  </si>
  <si>
    <t>bau</t>
  </si>
  <si>
    <t>cucu</t>
  </si>
  <si>
    <t>Tugu Datu Pejel</t>
  </si>
  <si>
    <t>jel</t>
  </si>
  <si>
    <t>tokohegendaris</t>
  </si>
  <si>
    <t>mito</t>
  </si>
  <si>
    <t>dukun</t>
  </si>
  <si>
    <t>sakti</t>
  </si>
  <si>
    <t>manurung</t>
  </si>
  <si>
    <t>sitorus</t>
  </si>
  <si>
    <t>sirait</t>
  </si>
  <si>
    <t>gin</t>
  </si>
  <si>
    <t>sibisa</t>
  </si>
  <si>
    <t>burbutar</t>
  </si>
  <si>
    <t>tunan</t>
  </si>
  <si>
    <t>raya</t>
  </si>
  <si>
    <t>100</t>
  </si>
  <si>
    <t>simatung</t>
  </si>
  <si>
    <t>kampg</t>
  </si>
  <si>
    <t>laguboti</t>
  </si>
  <si>
    <t>Makam Tua Raja Sidabutar</t>
  </si>
  <si>
    <t>istirahat</t>
  </si>
  <si>
    <t>konstruksi</t>
  </si>
  <si>
    <t>utuh</t>
  </si>
  <si>
    <t>sambung</t>
  </si>
  <si>
    <t>pahat</t>
  </si>
  <si>
    <t>sang</t>
  </si>
  <si>
    <t>kumpar com</t>
  </si>
  <si>
    <t>gambar</t>
  </si>
  <si>
    <t>panglima</t>
  </si>
  <si>
    <t>guru</t>
  </si>
  <si>
    <t>saung</t>
  </si>
  <si>
    <t>lang</t>
  </si>
  <si>
    <t>meraji</t>
  </si>
  <si>
    <t>gajah</t>
  </si>
  <si>
    <t>abadi</t>
  </si>
  <si>
    <t>sinamot</t>
  </si>
  <si>
    <t>mahar</t>
  </si>
  <si>
    <t>lamar</t>
  </si>
  <si>
    <t>laksana</t>
  </si>
  <si>
    <t>Tugu Simarmata</t>
  </si>
  <si>
    <t>simarmata</t>
  </si>
  <si>
    <t>adalonumen</t>
  </si>
  <si>
    <t>simataraja</t>
  </si>
  <si>
    <t>monum</t>
  </si>
  <si>
    <t>luabatu</t>
  </si>
  <si>
    <t>sg trip com</t>
  </si>
  <si>
    <t>prakarsa</t>
  </si>
  <si>
    <t>m a</t>
  </si>
  <si>
    <t>binjai</t>
  </si>
  <si>
    <t>luarga</t>
  </si>
  <si>
    <t>simarmaan</t>
  </si>
  <si>
    <t>didirikada</t>
  </si>
  <si>
    <t>1973</t>
  </si>
  <si>
    <t>toguan</t>
  </si>
  <si>
    <t>simarmata or id</t>
  </si>
  <si>
    <t>keluargesar</t>
  </si>
  <si>
    <t>punguan</t>
  </si>
  <si>
    <t>Hariara Tungkot</t>
  </si>
  <si>
    <t>tungkot</t>
  </si>
  <si>
    <t>pohon</t>
  </si>
  <si>
    <t>500</t>
  </si>
  <si>
    <t>diameter</t>
  </si>
  <si>
    <t>pagar</t>
  </si>
  <si>
    <t>besi</t>
  </si>
  <si>
    <t>daun</t>
  </si>
  <si>
    <t>balik</t>
  </si>
  <si>
    <t>tumbang</t>
  </si>
  <si>
    <t>sisa</t>
  </si>
  <si>
    <t>asal-usul</t>
  </si>
  <si>
    <t>konon</t>
  </si>
  <si>
    <t>tongkat</t>
  </si>
  <si>
    <t>tancap</t>
  </si>
  <si>
    <t>Batu Hobon</t>
  </si>
  <si>
    <t>hobon</t>
  </si>
  <si>
    <t>saribu</t>
  </si>
  <si>
    <t>pergi</t>
  </si>
  <si>
    <t>aman</t>
  </si>
  <si>
    <t>pusaka</t>
  </si>
  <si>
    <t>mantra</t>
  </si>
  <si>
    <t>obat</t>
  </si>
  <si>
    <t>belanda</t>
  </si>
  <si>
    <t>bongkar</t>
  </si>
  <si>
    <t>gagal</t>
  </si>
  <si>
    <t>uti</t>
  </si>
  <si>
    <t>harta</t>
  </si>
  <si>
    <t>lampau</t>
  </si>
  <si>
    <t>legenda</t>
  </si>
  <si>
    <t>keluar</t>
  </si>
  <si>
    <t>misteri</t>
  </si>
  <si>
    <t>limut</t>
  </si>
  <si>
    <t>coba</t>
  </si>
  <si>
    <t>malapetaka</t>
  </si>
  <si>
    <t>bala</t>
  </si>
  <si>
    <t>ikut</t>
  </si>
  <si>
    <t>prosedur</t>
  </si>
  <si>
    <t>Situs Cagar Budaya Nasional Batu Gajah</t>
  </si>
  <si>
    <t>cagar</t>
  </si>
  <si>
    <t>ya</t>
  </si>
  <si>
    <t>nagori</t>
  </si>
  <si>
    <t>panribuan</t>
  </si>
  <si>
    <t>umatera</t>
  </si>
  <si>
    <t>situini</t>
  </si>
  <si>
    <t>goodnewsfromindonesia id</t>
  </si>
  <si>
    <t>eskripsi</t>
  </si>
  <si>
    <t>relief</t>
  </si>
  <si>
    <t>sungai</t>
  </si>
  <si>
    <t>bah</t>
  </si>
  <si>
    <t>kisat</t>
  </si>
  <si>
    <t>ukur</t>
  </si>
  <si>
    <t>275</t>
  </si>
  <si>
    <t>cm</t>
  </si>
  <si>
    <t>ar</t>
  </si>
  <si>
    <t>70</t>
  </si>
  <si>
    <t>90</t>
  </si>
  <si>
    <t>fir</t>
  </si>
  <si>
    <t>tobaria com</t>
  </si>
  <si>
    <t>struktur</t>
  </si>
  <si>
    <t>undak</t>
  </si>
  <si>
    <t>tri</t>
  </si>
  <si>
    <t>dakubur</t>
  </si>
  <si>
    <t>struktuini</t>
  </si>
  <si>
    <t>adanyaktivitas</t>
  </si>
  <si>
    <t>ngkungan</t>
  </si>
  <si>
    <t>apit</t>
  </si>
  <si>
    <t>mu</t>
  </si>
  <si>
    <t>timuritus</t>
  </si>
  <si>
    <t>ju</t>
  </si>
  <si>
    <t>hutan</t>
  </si>
  <si>
    <t>tambah</t>
  </si>
  <si>
    <t>aksesibilitas</t>
  </si>
  <si>
    <t>roda</t>
  </si>
  <si>
    <t>pematg</t>
  </si>
  <si>
    <t>siantar</t>
  </si>
  <si>
    <t>rak</t>
  </si>
  <si>
    <t>25</t>
  </si>
  <si>
    <t>kilomet</t>
  </si>
  <si>
    <t>tempuh</t>
  </si>
  <si>
    <t>45</t>
  </si>
  <si>
    <t>menit</t>
  </si>
  <si>
    <t>perhati</t>
  </si>
  <si>
    <t>menat</t>
  </si>
  <si>
    <t>lintaspublik id</t>
  </si>
  <si>
    <t>hukum</t>
  </si>
  <si>
    <t>atur</t>
  </si>
  <si>
    <t>pm 88 pw 007 mkp 2011</t>
  </si>
  <si>
    <t>17</t>
  </si>
  <si>
    <t>oktober</t>
  </si>
  <si>
    <t>2011</t>
  </si>
  <si>
    <t>putus</t>
  </si>
  <si>
    <t>tani</t>
  </si>
  <si>
    <t>923 kpts um 12 82</t>
  </si>
  <si>
    <t>1982</t>
  </si>
  <si>
    <t>potensi</t>
  </si>
  <si>
    <t>infrastruktur</t>
  </si>
  <si>
    <t>mistar id</t>
  </si>
  <si>
    <t>direktorat</t>
  </si>
  <si>
    <t xml:space="preserve">Tugu Tipang </t>
  </si>
  <si>
    <t>tipang</t>
  </si>
  <si>
    <t>kabupatenbang</t>
  </si>
  <si>
    <t>mi</t>
  </si>
  <si>
    <t>tipg</t>
  </si>
  <si>
    <t>sos</t>
  </si>
  <si>
    <t>masyarakasetempat</t>
  </si>
  <si>
    <t>hdutan</t>
  </si>
  <si>
    <t>darat</t>
  </si>
  <si>
    <t>doloksanggul</t>
  </si>
  <si>
    <t>kabupn</t>
  </si>
  <si>
    <t>peres</t>
  </si>
  <si>
    <t>pesta</t>
  </si>
  <si>
    <t>horja</t>
  </si>
  <si>
    <t>sima</t>
  </si>
  <si>
    <t>memperkuaikatan</t>
  </si>
  <si>
    <t>nstagram com</t>
  </si>
  <si>
    <t>ww instagram com explore locations 132737033574506 tipang-baktiraja recent</t>
  </si>
  <si>
    <t>aksesibilita</t>
  </si>
  <si>
    <t>d</t>
  </si>
  <si>
    <t>memeksa</t>
  </si>
  <si>
    <t>musim</t>
  </si>
  <si>
    <t>hujan</t>
  </si>
  <si>
    <t>rekomendasi</t>
  </si>
  <si>
    <t>budaytau</t>
  </si>
  <si>
    <t>festival</t>
  </si>
  <si>
    <t>tidaa</t>
  </si>
  <si>
    <t>interaksi</t>
  </si>
  <si>
    <t>duduk</t>
  </si>
  <si>
    <t>menjgi</t>
  </si>
  <si>
    <t>tform</t>
  </si>
  <si>
    <t>media</t>
  </si>
  <si>
    <t>tiktok</t>
  </si>
  <si>
    <t>simara</t>
  </si>
  <si>
    <t>eksotis desa</t>
  </si>
  <si>
    <t>Bukit Gibeon</t>
  </si>
  <si>
    <t>gibeon</t>
  </si>
  <si>
    <t>rp</t>
  </si>
  <si>
    <t>10 000</t>
  </si>
  <si>
    <t>5 000</t>
  </si>
  <si>
    <t>mobil</t>
  </si>
  <si>
    <t>2 000</t>
  </si>
  <si>
    <t>08 00</t>
  </si>
  <si>
    <t>17 00</t>
  </si>
  <si>
    <t>cuaca</t>
  </si>
  <si>
    <t>cerah</t>
  </si>
  <si>
    <t>maksimal</t>
  </si>
  <si>
    <t>rute</t>
  </si>
  <si>
    <t>medan</t>
  </si>
  <si>
    <t>bus</t>
  </si>
  <si>
    <t>rental</t>
  </si>
  <si>
    <t>an</t>
  </si>
  <si>
    <t>selatan</t>
  </si>
  <si>
    <t>jarak</t>
  </si>
  <si>
    <t>183</t>
  </si>
  <si>
    <t>20</t>
  </si>
  <si>
    <t>probadi</t>
  </si>
  <si>
    <t>angkut</t>
  </si>
  <si>
    <t>rentalcarmedan</t>
  </si>
  <si>
    <t>lubuk</t>
  </si>
  <si>
    <t>pakam</t>
  </si>
  <si>
    <t>kisar</t>
  </si>
  <si>
    <t>rantau</t>
  </si>
  <si>
    <t>prapat</t>
  </si>
  <si>
    <t>masihul</t>
  </si>
  <si>
    <t>sionggang</t>
  </si>
  <si>
    <t>julu</t>
  </si>
  <si>
    <t>lintas</t>
  </si>
  <si>
    <t>cepat</t>
  </si>
  <si>
    <t>rata</t>
  </si>
  <si>
    <t>detailed</t>
  </si>
  <si>
    <t>jl</t>
  </si>
  <si>
    <t>b</t>
  </si>
  <si>
    <t>landmark</t>
  </si>
  <si>
    <t>eden</t>
  </si>
  <si>
    <t>c</t>
  </si>
  <si>
    <t>belok</t>
  </si>
  <si>
    <t>bulbul</t>
  </si>
  <si>
    <t>e</t>
  </si>
  <si>
    <t>tikung</t>
  </si>
  <si>
    <t>kanan</t>
  </si>
  <si>
    <t>iman</t>
  </si>
  <si>
    <t>sitinjo</t>
  </si>
  <si>
    <t>f</t>
  </si>
  <si>
    <t>terus</t>
  </si>
  <si>
    <t>g</t>
  </si>
  <si>
    <t>unnamed</t>
  </si>
  <si>
    <t>road</t>
  </si>
  <si>
    <t>khawatir</t>
  </si>
  <si>
    <t>h</t>
  </si>
  <si>
    <t>singkat</t>
  </si>
  <si>
    <t>seminari</t>
  </si>
  <si>
    <t>sekolah</t>
  </si>
  <si>
    <t>misionaris</t>
  </si>
  <si>
    <t>pendeta</t>
  </si>
  <si>
    <t>rohani</t>
  </si>
  <si>
    <t>siap</t>
  </si>
  <si>
    <t>partisipasi</t>
  </si>
  <si>
    <t>transformasi</t>
  </si>
  <si>
    <t>atmosfer</t>
  </si>
  <si>
    <t>spiritual</t>
  </si>
  <si>
    <t>renung</t>
  </si>
  <si>
    <t>sunyi</t>
  </si>
  <si>
    <t>harmoni</t>
  </si>
  <si>
    <t>lanskap</t>
  </si>
  <si>
    <t>ikonik</t>
  </si>
  <si>
    <t>bangsa</t>
  </si>
  <si>
    <t>kolam</t>
  </si>
  <si>
    <t>renang</t>
  </si>
  <si>
    <t>jernih</t>
  </si>
  <si>
    <t>jatuh</t>
  </si>
  <si>
    <t>wahana</t>
  </si>
  <si>
    <t>restoran</t>
  </si>
  <si>
    <t>aktifitas</t>
  </si>
  <si>
    <t>seru</t>
  </si>
  <si>
    <t>toilet</t>
  </si>
  <si>
    <t>ganti</t>
  </si>
  <si>
    <t>loker</t>
  </si>
  <si>
    <t>tunjang</t>
  </si>
  <si>
    <t>warung</t>
  </si>
  <si>
    <t>religi</t>
  </si>
  <si>
    <t>lezat</t>
  </si>
  <si>
    <t>mampir</t>
  </si>
  <si>
    <t>rendang</t>
  </si>
  <si>
    <t>sate</t>
  </si>
  <si>
    <t>arsik</t>
  </si>
  <si>
    <t>saksang</t>
  </si>
  <si>
    <t>simpul</t>
  </si>
  <si>
    <t>kombinasi</t>
  </si>
  <si>
    <t>Pejiarahan Nauli Basa</t>
  </si>
  <si>
    <t>pejiarahan</t>
  </si>
  <si>
    <t>basa</t>
  </si>
  <si>
    <t>hatonduhan</t>
  </si>
  <si>
    <t>atera</t>
  </si>
  <si>
    <t>pelaanaan</t>
  </si>
  <si>
    <t>idtas</t>
  </si>
  <si>
    <t>hatonduhakabupaten</t>
  </si>
  <si>
    <t>iniapat</t>
  </si>
  <si>
    <t>kumpul</t>
  </si>
  <si>
    <t>untukrayakan</t>
  </si>
  <si>
    <t>mperkuat</t>
  </si>
  <si>
    <t>ntuk</t>
  </si>
  <si>
    <t>jalmenuju</t>
  </si>
  <si>
    <t>disarankanntuk</t>
  </si>
  <si>
    <t>fesval</t>
  </si>
  <si>
    <t>gjungi</t>
  </si>
  <si>
    <t>pfnauli</t>
  </si>
  <si>
    <t>Aek Sipangolu</t>
  </si>
  <si>
    <t>sipangolu</t>
  </si>
  <si>
    <t>simangulampe</t>
  </si>
  <si>
    <t>Supervolcano toba</t>
  </si>
  <si>
    <t>rap</t>
  </si>
  <si>
    <t>super</t>
  </si>
  <si>
    <t>letus</t>
  </si>
  <si>
    <t>74 000</t>
  </si>
  <si>
    <t>dahsyat</t>
  </si>
  <si>
    <t>bumi</t>
  </si>
  <si>
    <t>material</t>
  </si>
  <si>
    <t>2 800</t>
  </si>
  <si>
    <t>5 300</t>
  </si>
  <si>
    <t>kubik</t>
  </si>
  <si>
    <t>lontar</t>
  </si>
  <si>
    <t>sebab</t>
  </si>
  <si>
    <t>suhu</t>
  </si>
  <si>
    <t>drastis</t>
  </si>
  <si>
    <t>dekade</t>
  </si>
  <si>
    <t>tutup</t>
  </si>
  <si>
    <t>india</t>
  </si>
  <si>
    <t>abu</t>
  </si>
  <si>
    <t>ambles</t>
  </si>
  <si>
    <t>panjang</t>
  </si>
  <si>
    <t>tenggara</t>
  </si>
  <si>
    <t>muncul</t>
  </si>
  <si>
    <t>umur</t>
  </si>
  <si>
    <t>permo-karbon</t>
  </si>
  <si>
    <t>300</t>
  </si>
  <si>
    <t>juta</t>
  </si>
  <si>
    <t>istilah</t>
  </si>
  <si>
    <t>volcano</t>
  </si>
  <si>
    <t>explosivity</t>
  </si>
  <si>
    <t>index</t>
  </si>
  <si>
    <t>vei</t>
  </si>
  <si>
    <t>Desa Bonandolok</t>
  </si>
  <si>
    <t>sawah</t>
  </si>
  <si>
    <t>sitapigagan</t>
  </si>
  <si>
    <t>Huta Balian</t>
  </si>
  <si>
    <t>hutabalian</t>
  </si>
  <si>
    <t>Amphitheatre Taman Simalem Resort</t>
  </si>
  <si>
    <t>simalem</t>
  </si>
  <si>
    <t>mewah</t>
  </si>
  <si>
    <t>Pasar Tomok</t>
  </si>
  <si>
    <t>kios</t>
  </si>
  <si>
    <t>jejer</t>
  </si>
  <si>
    <t>jual</t>
  </si>
  <si>
    <t>cinderamata</t>
  </si>
  <si>
    <t>baju</t>
  </si>
  <si>
    <t>gelang</t>
  </si>
  <si>
    <t>kunci</t>
  </si>
  <si>
    <t>benda</t>
  </si>
  <si>
    <t>motif</t>
  </si>
  <si>
    <t>hitam</t>
  </si>
  <si>
    <t>tips</t>
  </si>
  <si>
    <t>barang</t>
  </si>
  <si>
    <t>murah</t>
  </si>
  <si>
    <t>banding</t>
  </si>
  <si>
    <t>pintar</t>
  </si>
  <si>
    <t>seberang</t>
  </si>
  <si>
    <t>ferry</t>
  </si>
  <si>
    <t>libur</t>
  </si>
  <si>
    <t>pulang</t>
  </si>
  <si>
    <t>rekan</t>
  </si>
  <si>
    <t>macam</t>
  </si>
  <si>
    <t>topeng</t>
  </si>
  <si>
    <t>kaos</t>
  </si>
  <si>
    <t>desain</t>
  </si>
  <si>
    <t>love</t>
  </si>
  <si>
    <t>aksesoris</t>
  </si>
  <si>
    <t>kalung</t>
  </si>
  <si>
    <t>tas</t>
  </si>
  <si>
    <t>gorga</t>
  </si>
  <si>
    <t>cicak</t>
  </si>
  <si>
    <t>baur</t>
  </si>
  <si>
    <t>kalender</t>
  </si>
  <si>
    <t>bambu</t>
  </si>
  <si>
    <t>pinggang</t>
  </si>
  <si>
    <t>benang</t>
  </si>
  <si>
    <t>tebal</t>
  </si>
  <si>
    <t>wajib</t>
  </si>
  <si>
    <t>singgah</t>
  </si>
  <si>
    <t>horas</t>
  </si>
  <si>
    <t>Bottean Solu Toga Simatupang</t>
  </si>
  <si>
    <t>lontung</t>
  </si>
  <si>
    <t>sipaettua</t>
  </si>
  <si>
    <t>laki</t>
  </si>
  <si>
    <t>togatorop</t>
  </si>
  <si>
    <t>partano</t>
  </si>
  <si>
    <t>nai</t>
  </si>
  <si>
    <t>borngin</t>
  </si>
  <si>
    <t>parbarumbung</t>
  </si>
  <si>
    <t>panopo</t>
  </si>
  <si>
    <t>mas</t>
  </si>
  <si>
    <t>gultom</t>
  </si>
  <si>
    <t>baginda</t>
  </si>
  <si>
    <t>mulana</t>
  </si>
  <si>
    <t>sarumpaet</t>
  </si>
  <si>
    <t>bagot</t>
  </si>
  <si>
    <t>sinta</t>
  </si>
  <si>
    <t>simangonding</t>
  </si>
  <si>
    <t>siharinuan</t>
  </si>
  <si>
    <t>siata</t>
  </si>
  <si>
    <t>silala</t>
  </si>
  <si>
    <t>lasiak</t>
  </si>
  <si>
    <t>buntu</t>
  </si>
  <si>
    <t>simataniari</t>
  </si>
  <si>
    <t>hutahaean</t>
  </si>
  <si>
    <t>malim</t>
  </si>
  <si>
    <t>tunggul</t>
  </si>
  <si>
    <t>siburian</t>
  </si>
  <si>
    <t>tamba</t>
  </si>
  <si>
    <t>nahum</t>
  </si>
  <si>
    <t>sounangon</t>
  </si>
  <si>
    <t>napang</t>
  </si>
  <si>
    <t>naungkup</t>
  </si>
  <si>
    <t>parbaju</t>
  </si>
  <si>
    <t>bos</t>
  </si>
  <si>
    <t>sialaman</t>
  </si>
  <si>
    <t>panggana</t>
  </si>
  <si>
    <t>mora</t>
  </si>
  <si>
    <t>mangiring</t>
  </si>
  <si>
    <t>omas</t>
  </si>
  <si>
    <t>hasibuan</t>
  </si>
  <si>
    <t>pinggan</t>
  </si>
  <si>
    <t>matio</t>
  </si>
  <si>
    <t>Tombak Sulusulu</t>
  </si>
  <si>
    <t>tombak</t>
  </si>
  <si>
    <t>sulusulu</t>
  </si>
  <si>
    <t>mulajadi</t>
  </si>
  <si>
    <t>nabolon</t>
  </si>
  <si>
    <t>tuhan</t>
  </si>
  <si>
    <t>kuno</t>
  </si>
  <si>
    <t>belantara</t>
  </si>
  <si>
    <t>tanam</t>
  </si>
  <si>
    <t>mistis</t>
  </si>
  <si>
    <t>datar</t>
  </si>
  <si>
    <t>asri</t>
  </si>
  <si>
    <t>telusur</t>
  </si>
  <si>
    <t>eksplorasi</t>
  </si>
  <si>
    <t>Tugu Raja Sitanggang</t>
  </si>
  <si>
    <t>sitanggang</t>
  </si>
  <si>
    <t>konsep</t>
  </si>
  <si>
    <t>sama</t>
  </si>
  <si>
    <t>inisiasi</t>
  </si>
  <si>
    <t>fransiskus</t>
  </si>
  <si>
    <t>rosinta</t>
  </si>
  <si>
    <t>hibah</t>
  </si>
  <si>
    <t>jan</t>
  </si>
  <si>
    <t>ketua</t>
  </si>
  <si>
    <t>panitia</t>
  </si>
  <si>
    <t>jonny</t>
  </si>
  <si>
    <t>rp5</t>
  </si>
  <si>
    <t>miliar</t>
  </si>
  <si>
    <t>Parapat Night Market</t>
  </si>
  <si>
    <t>malam</t>
  </si>
  <si>
    <t>nusantara</t>
  </si>
  <si>
    <t>naniura</t>
  </si>
  <si>
    <t>ikan</t>
  </si>
  <si>
    <t>masak</t>
  </si>
  <si>
    <t>babi</t>
  </si>
  <si>
    <t>panggang</t>
  </si>
  <si>
    <t>jajan</t>
  </si>
  <si>
    <t>ombus-ombus</t>
  </si>
  <si>
    <t>lapet</t>
  </si>
  <si>
    <t>pohul-pohul</t>
  </si>
  <si>
    <t>nasi</t>
  </si>
  <si>
    <t>goreng</t>
  </si>
  <si>
    <t>bakso</t>
  </si>
  <si>
    <t>sidikalang</t>
  </si>
  <si>
    <t>teh</t>
  </si>
  <si>
    <t>lampu</t>
  </si>
  <si>
    <t>warna-warni</t>
  </si>
  <si>
    <t>cipta</t>
  </si>
  <si>
    <t>romantis</t>
  </si>
  <si>
    <t>live</t>
  </si>
  <si>
    <t>23 00</t>
  </si>
  <si>
    <t>buru</t>
  </si>
  <si>
    <t>Tugu Marga Aritonang</t>
  </si>
  <si>
    <t>aritonang</t>
  </si>
  <si>
    <t>pos</t>
  </si>
  <si>
    <t>22476</t>
  </si>
  <si>
    <t>erat</t>
  </si>
  <si>
    <t>kandung</t>
  </si>
  <si>
    <t>elemen</t>
  </si>
  <si>
    <t>ornamen</t>
  </si>
  <si>
    <t>Phinos Artworker</t>
  </si>
  <si>
    <t>artworker</t>
  </si>
  <si>
    <t>Juwita Cafe - Cooking Class</t>
  </si>
  <si>
    <t>juwitae</t>
  </si>
  <si>
    <t>masakan</t>
  </si>
  <si>
    <t>otentik</t>
  </si>
  <si>
    <t>juwita</t>
  </si>
  <si>
    <t>cafe</t>
  </si>
  <si>
    <t>nawarkan</t>
  </si>
  <si>
    <t>memak</t>
  </si>
  <si>
    <t>inginempelajari</t>
  </si>
  <si>
    <t>hidang</t>
  </si>
  <si>
    <t>rtoran</t>
  </si>
  <si>
    <t>asana</t>
  </si>
  <si>
    <t>nyan</t>
  </si>
  <si>
    <t>wi-fi</t>
  </si>
  <si>
    <t>pengunju</t>
  </si>
  <si>
    <t>onetoba com</t>
  </si>
  <si>
    <t>07 30</t>
  </si>
  <si>
    <t>21 30</t>
  </si>
  <si>
    <t>w</t>
  </si>
  <si>
    <t>62</t>
  </si>
  <si>
    <t>821-7992-3438</t>
  </si>
  <si>
    <t>id sluurpy com</t>
  </si>
  <si>
    <t>Souvenir Shop Siallagan</t>
  </si>
  <si>
    <t>shop</t>
  </si>
  <si>
    <t>toko</t>
  </si>
  <si>
    <t>22395</t>
  </si>
  <si>
    <t>pernak-pernik</t>
  </si>
  <si>
    <t>sidang</t>
  </si>
  <si>
    <t>staf</t>
  </si>
  <si>
    <t>cendera</t>
  </si>
  <si>
    <t>Kursus musik dan pertunjukan SOPO Art Samosir</t>
  </si>
  <si>
    <t>rdasarkan</t>
  </si>
  <si>
    <t>sopo</t>
  </si>
  <si>
    <t>art</t>
  </si>
  <si>
    <t>13</t>
  </si>
  <si>
    <t>minat</t>
  </si>
  <si>
    <t>bidang</t>
  </si>
  <si>
    <t>nitas</t>
  </si>
  <si>
    <t>stagram com</t>
  </si>
  <si>
    <t>kursus</t>
  </si>
  <si>
    <t>pertunjukayang</t>
  </si>
  <si>
    <t>selenggara</t>
  </si>
  <si>
    <t>instagr</t>
  </si>
  <si>
    <t>sopoartsamosir</t>
  </si>
  <si>
    <t>Homestay Bonatorang</t>
  </si>
  <si>
    <t>bonatorang</t>
  </si>
  <si>
    <t>nuansa</t>
  </si>
  <si>
    <t>kehidnokal</t>
  </si>
  <si>
    <t>liput</t>
  </si>
  <si>
    <t>tidur</t>
  </si>
  <si>
    <t>wa</t>
  </si>
  <si>
    <t>aasi</t>
  </si>
  <si>
    <t>kelola</t>
  </si>
  <si>
    <t>plarm</t>
  </si>
  <si>
    <t>online</t>
  </si>
  <si>
    <t>Tugu Simpang Silaen</t>
  </si>
  <si>
    <t>silaen</t>
  </si>
  <si>
    <t>sapala</t>
  </si>
  <si>
    <t>tampuk</t>
  </si>
  <si>
    <t>sondiraja</t>
  </si>
  <si>
    <t>badiaraja</t>
  </si>
  <si>
    <t>sitompul</t>
  </si>
  <si>
    <t>tampubolon</t>
  </si>
  <si>
    <t>Air Terjun Situmurun</t>
  </si>
  <si>
    <t>situmurun</t>
  </si>
  <si>
    <t>binangalom</t>
  </si>
  <si>
    <t>Danau Toba Parapat</t>
  </si>
  <si>
    <t>asia</t>
  </si>
  <si>
    <t>1 130</t>
  </si>
  <si>
    <t>505</t>
  </si>
  <si>
    <t>prioritas</t>
  </si>
  <si>
    <t>jaga</t>
  </si>
  <si>
    <t>panas</t>
  </si>
  <si>
    <t>jelajah</t>
  </si>
  <si>
    <t>perahu</t>
  </si>
  <si>
    <t>Pakkodian Toba</t>
  </si>
  <si>
    <t>pakkodian</t>
  </si>
  <si>
    <t>danaba</t>
  </si>
  <si>
    <t>tampah</t>
  </si>
  <si>
    <t>memukauengan</t>
  </si>
  <si>
    <t>lengkung</t>
  </si>
  <si>
    <t>idntimecom</t>
  </si>
  <si>
    <t>keunan</t>
  </si>
  <si>
    <t>kesan</t>
  </si>
  <si>
    <t>medi</t>
  </si>
  <si>
    <t>bagpengunjung</t>
  </si>
  <si>
    <t>idntimes com</t>
  </si>
  <si>
    <t>iniangat</t>
  </si>
  <si>
    <t>den</t>
  </si>
  <si>
    <t>sembunyi</t>
  </si>
  <si>
    <t>inemiliki</t>
  </si>
  <si>
    <t>jer</t>
  </si>
  <si>
    <t>ide</t>
  </si>
  <si>
    <t>fotografi</t>
  </si>
  <si>
    <t>instagramable</t>
  </si>
  <si>
    <t>camping</t>
  </si>
  <si>
    <t>arekitar</t>
  </si>
  <si>
    <t>kemah</t>
  </si>
  <si>
    <t>t</t>
  </si>
  <si>
    <t>batas</t>
  </si>
  <si>
    <t>keindn</t>
  </si>
  <si>
    <t>padan</t>
  </si>
  <si>
    <t>capa</t>
  </si>
  <si>
    <t>jamah</t>
  </si>
  <si>
    <t>Pantai Batuhoda</t>
  </si>
  <si>
    <t>hoda</t>
  </si>
  <si>
    <t>cinta</t>
  </si>
  <si>
    <t>dame</t>
  </si>
  <si>
    <t>lembut</t>
  </si>
  <si>
    <t>dapatenikmati</t>
  </si>
  <si>
    <t>pemandangapbukitan</t>
  </si>
  <si>
    <t>ekor</t>
  </si>
  <si>
    <t>kuda</t>
  </si>
  <si>
    <t>setia</t>
  </si>
  <si>
    <t>tunggu</t>
  </si>
  <si>
    <t>rnya</t>
  </si>
  <si>
    <t>gazebo</t>
  </si>
  <si>
    <t>untubersantai</t>
  </si>
  <si>
    <t>fotyg</t>
  </si>
  <si>
    <t>mushola</t>
  </si>
  <si>
    <t>jemur</t>
  </si>
  <si>
    <t>sambienikmati</t>
  </si>
  <si>
    <t>bhbbatuhoda com</t>
  </si>
  <si>
    <t>0</t>
  </si>
  <si>
    <t>kalang</t>
  </si>
  <si>
    <t>Pantai Bebas Parapat</t>
  </si>
  <si>
    <t>adalastinasi</t>
  </si>
  <si>
    <t>pemandgan</t>
  </si>
  <si>
    <t>tobdengan</t>
  </si>
  <si>
    <t>halus</t>
  </si>
  <si>
    <t>yanmirip</t>
  </si>
  <si>
    <t>tariutama</t>
  </si>
  <si>
    <t>nau</t>
  </si>
  <si>
    <t>teit</t>
  </si>
  <si>
    <t>mparan com</t>
  </si>
  <si>
    <t>anta</t>
  </si>
  <si>
    <t>sir</t>
  </si>
  <si>
    <t>dengapantai</t>
  </si>
  <si>
    <t>denganrbagai</t>
  </si>
  <si>
    <t>uuk</t>
  </si>
  <si>
    <t>onetoba c</t>
  </si>
  <si>
    <t>onetoba com plas pantai-bebas-parapat</t>
  </si>
  <si>
    <t>beo</t>
  </si>
  <si>
    <t>-menikmati</t>
  </si>
  <si>
    <t>berbai</t>
  </si>
  <si>
    <t>alamat</t>
  </si>
  <si>
    <t>sisingaaraja</t>
  </si>
  <si>
    <t>girsang</t>
  </si>
  <si>
    <t>sipangan</t>
  </si>
  <si>
    <t>man</t>
  </si>
  <si>
    <t>dapadicapai</t>
  </si>
  <si>
    <t>16</t>
  </si>
  <si>
    <t>medan kompasom</t>
  </si>
  <si>
    <t>mil</t>
  </si>
  <si>
    <t>tetapsehingga</t>
  </si>
  <si>
    <t>pengunjunghapkan</t>
  </si>
  <si>
    <t>bayar</t>
  </si>
  <si>
    <t>wisata app</t>
  </si>
  <si>
    <t>sampah</t>
  </si>
  <si>
    <t>buang</t>
  </si>
  <si>
    <t>sembarang</t>
  </si>
  <si>
    <t>minum</t>
  </si>
  <si>
    <t>ringan</t>
  </si>
  <si>
    <t>Pantai Ikan Mas Tandarabun</t>
  </si>
  <si>
    <t>tandarabun</t>
  </si>
  <si>
    <t>dosroha</t>
  </si>
  <si>
    <t>tar</t>
  </si>
  <si>
    <t>yg</t>
  </si>
  <si>
    <t>meadikannya</t>
  </si>
  <si>
    <t>destina</t>
  </si>
  <si>
    <t>bsantai</t>
  </si>
  <si>
    <t>am</t>
  </si>
  <si>
    <t>tempatakan</t>
  </si>
  <si>
    <t>olahga</t>
  </si>
  <si>
    <t>selfie</t>
  </si>
  <si>
    <t>pelampung</t>
  </si>
  <si>
    <t>tanrabun</t>
  </si>
  <si>
    <t>kul</t>
  </si>
  <si>
    <t>20 00</t>
  </si>
  <si>
    <t>netoba com</t>
  </si>
  <si>
    <t>onetobam places pantai-tandarabun</t>
  </si>
  <si>
    <t>utm sourcchatgpt com</t>
  </si>
  <si>
    <t>15</t>
  </si>
  <si>
    <t>parkirobil</t>
  </si>
  <si>
    <t>20 000</t>
  </si>
  <si>
    <t>lembcocok</t>
  </si>
  <si>
    <t>pasiatau</t>
  </si>
  <si>
    <t>sepoi</t>
  </si>
  <si>
    <t>kelapa</t>
  </si>
  <si>
    <t>dengar</t>
  </si>
  <si>
    <t>suara</t>
  </si>
  <si>
    <t>ombak</t>
  </si>
  <si>
    <t>pancing</t>
  </si>
  <si>
    <t>sewa</t>
  </si>
  <si>
    <t>memcing</t>
  </si>
  <si>
    <t>danaatau</t>
  </si>
  <si>
    <t>ntai</t>
  </si>
  <si>
    <t>pribi</t>
  </si>
  <si>
    <t>mek</t>
  </si>
  <si>
    <t>cuacebelum</t>
  </si>
  <si>
    <t>Bukit Sipatungan</t>
  </si>
  <si>
    <t>toleh</t>
  </si>
  <si>
    <t>hembus</t>
  </si>
  <si>
    <t>sempur</t>
  </si>
  <si>
    <t>traveling</t>
  </si>
  <si>
    <t>nampak</t>
  </si>
  <si>
    <t>unit</t>
  </si>
  <si>
    <t>kampung</t>
  </si>
  <si>
    <t>5 000 orang</t>
  </si>
  <si>
    <t>1 600</t>
  </si>
  <si>
    <t>mogang</t>
  </si>
  <si>
    <t>trip</t>
  </si>
  <si>
    <t>09 00</t>
  </si>
  <si>
    <t>via</t>
  </si>
  <si>
    <t>sepeda</t>
  </si>
  <si>
    <t>ganjil</t>
  </si>
  <si>
    <t>genap</t>
  </si>
  <si>
    <t>menyebrang</t>
  </si>
  <si>
    <t>rabat</t>
  </si>
  <si>
    <t>sertunisasi</t>
  </si>
  <si>
    <t>very</t>
  </si>
  <si>
    <t>penyebrangan</t>
  </si>
  <si>
    <t>nya</t>
  </si>
  <si>
    <t>antar</t>
  </si>
  <si>
    <t>10</t>
  </si>
  <si>
    <t>daki</t>
  </si>
  <si>
    <t>tangga</t>
  </si>
  <si>
    <t>78</t>
  </si>
  <si>
    <t>hayok</t>
  </si>
  <si>
    <t>bro</t>
  </si>
  <si>
    <t>sista</t>
  </si>
  <si>
    <t>tentu</t>
  </si>
  <si>
    <t>jiono</t>
  </si>
  <si>
    <t>siregar pe</t>
  </si>
  <si>
    <t>Gunung Pusuk Buhit</t>
  </si>
  <si>
    <t>Batu Gantung</t>
  </si>
  <si>
    <t>gadis</t>
  </si>
  <si>
    <t>cantik</t>
  </si>
  <si>
    <t>bunuh</t>
  </si>
  <si>
    <t>jodoh</t>
  </si>
  <si>
    <t>namborunya</t>
  </si>
  <si>
    <t>Bukit Sibeabea</t>
  </si>
  <si>
    <t>Bukit Burung</t>
  </si>
  <si>
    <t>burung</t>
  </si>
  <si>
    <t>golong</t>
  </si>
  <si>
    <t>padang</t>
  </si>
  <si>
    <t>rumput</t>
  </si>
  <si>
    <t>madu</t>
  </si>
  <si>
    <t>hun</t>
  </si>
  <si>
    <t>pondok</t>
  </si>
  <si>
    <t>Air Terjun Janji</t>
  </si>
  <si>
    <t>marbun</t>
  </si>
  <si>
    <t>bebukitan</t>
  </si>
  <si>
    <t>Pasir Putih Lumban Bulbul</t>
  </si>
  <si>
    <t>sumata</t>
  </si>
  <si>
    <t>inienawarkan</t>
  </si>
  <si>
    <t>ta</t>
  </si>
  <si>
    <t>orami d</t>
  </si>
  <si>
    <t>menikmatberenang</t>
  </si>
  <si>
    <t>tang</t>
  </si>
  <si>
    <t>orami co</t>
  </si>
  <si>
    <t>www orami co id magazine wisata-pantai-lbul-balige</t>
  </si>
  <si>
    <t>utm soue chatgpt com</t>
  </si>
  <si>
    <t>put</t>
  </si>
  <si>
    <t>orami co id</t>
  </si>
  <si>
    <t>kano</t>
  </si>
  <si>
    <t>selat</t>
  </si>
  <si>
    <t>ttps</t>
  </si>
  <si>
    <t>www orami co id magazine wisata-ntai-bulbul-balige</t>
  </si>
  <si>
    <t>utmrce chatgpt com</t>
  </si>
  <si>
    <t>mag</t>
  </si>
  <si>
    <t>oramio id</t>
  </si>
  <si>
    <t>berjar</t>
  </si>
  <si>
    <t>3 7</t>
  </si>
  <si>
    <t>wakt10-20</t>
  </si>
  <si>
    <t>24</t>
  </si>
  <si>
    <t>rp5 000</t>
  </si>
  <si>
    <t>pir</t>
  </si>
  <si>
    <t>rp5 000-rp10 000</t>
  </si>
  <si>
    <t>rp10 000-rp30 000</t>
  </si>
  <si>
    <t>Air Terjun Sigarattung (Sampuran Na Pitu)</t>
  </si>
  <si>
    <t>sigarattung</t>
  </si>
  <si>
    <t>sampur</t>
  </si>
  <si>
    <t>pitu</t>
  </si>
  <si>
    <t>edar</t>
  </si>
  <si>
    <t>sigaratung</t>
  </si>
  <si>
    <t>hutaginjang</t>
  </si>
  <si>
    <t>sigarantung</t>
  </si>
  <si>
    <t>bilang</t>
  </si>
  <si>
    <t>hutabolon</t>
  </si>
  <si>
    <t>uang</t>
  </si>
  <si>
    <t>telur</t>
  </si>
  <si>
    <t>bird</t>
  </si>
  <si>
    <t>siraratung</t>
  </si>
  <si>
    <t>kemarau</t>
  </si>
  <si>
    <t>mana</t>
  </si>
  <si>
    <t>rembes</t>
  </si>
  <si>
    <t>penasaran</t>
  </si>
  <si>
    <t>sigarratung</t>
  </si>
  <si>
    <t>Pantai Silalahi</t>
  </si>
  <si>
    <t>pi</t>
  </si>
  <si>
    <t>yangrnih</t>
  </si>
  <si>
    <t>bermaiir</t>
  </si>
  <si>
    <t>jnih</t>
  </si>
  <si>
    <t>pas</t>
  </si>
  <si>
    <t>da</t>
  </si>
  <si>
    <t>dau</t>
  </si>
  <si>
    <t>mang</t>
  </si>
  <si>
    <t>daterbenam</t>
  </si>
  <si>
    <t>cadar</t>
  </si>
  <si>
    <t>5-6</t>
  </si>
  <si>
    <t>perjaan</t>
  </si>
  <si>
    <t>silahisungan</t>
  </si>
  <si>
    <t>sila</t>
  </si>
  <si>
    <t>bisekitar</t>
  </si>
  <si>
    <t>rp5 000-rp100</t>
  </si>
  <si>
    <t>berkar</t>
  </si>
  <si>
    <t>pastn</t>
  </si>
  <si>
    <t>menjagkebersihan</t>
  </si>
  <si>
    <t>aca</t>
  </si>
  <si>
    <t>ba</t>
  </si>
  <si>
    <t>Sitapigagan Air terjun</t>
  </si>
  <si>
    <t>airjun</t>
  </si>
  <si>
    <t>curam</t>
  </si>
  <si>
    <t>menctakan</t>
  </si>
  <si>
    <t>daermain</t>
  </si>
  <si>
    <t>pengunjundapat</t>
  </si>
  <si>
    <t>bawah</t>
  </si>
  <si>
    <t>meadikan</t>
  </si>
  <si>
    <t>fotografer</t>
  </si>
  <si>
    <t>perjalananlalui</t>
  </si>
  <si>
    <t>setapak</t>
  </si>
  <si>
    <t>yangikelilingi</t>
  </si>
  <si>
    <t>suka</t>
  </si>
  <si>
    <t>keaan</t>
  </si>
  <si>
    <t>ko</t>
  </si>
  <si>
    <t>jam jam</t>
  </si>
  <si>
    <t>konfirmasi</t>
  </si>
  <si>
    <t>disarankantuk</t>
  </si>
  <si>
    <t>tunai</t>
  </si>
  <si>
    <t>memiksa</t>
  </si>
  <si>
    <t>tik</t>
  </si>
  <si>
    <t>kbali</t>
  </si>
  <si>
    <t>padi</t>
  </si>
  <si>
    <t>mim</t>
  </si>
  <si>
    <t>rencana</t>
  </si>
  <si>
    <t>koniuaca</t>
  </si>
  <si>
    <t>iin</t>
  </si>
  <si>
    <t>hiruk-pikuk</t>
  </si>
  <si>
    <t>Pantai Indah Situngkir (PIS)</t>
  </si>
  <si>
    <t>situngkir</t>
  </si>
  <si>
    <t>pis</t>
  </si>
  <si>
    <t>pasputihnya</t>
  </si>
  <si>
    <t>enjadikannya</t>
  </si>
  <si>
    <t>avitas</t>
  </si>
  <si>
    <t>un</t>
  </si>
  <si>
    <t>berin</t>
  </si>
  <si>
    <t>erperahu</t>
  </si>
  <si>
    <t>menyewaerahu</t>
  </si>
  <si>
    <t>mataharerbenam</t>
  </si>
  <si>
    <t>mewarkan</t>
  </si>
  <si>
    <t>jmenuju</t>
  </si>
  <si>
    <t>amenuju</t>
  </si>
  <si>
    <t>hatiket</t>
  </si>
  <si>
    <t>biayarkir</t>
  </si>
  <si>
    <t>aktitas</t>
  </si>
  <si>
    <t>ersihan</t>
  </si>
  <si>
    <t>sebelumerkunjung</t>
  </si>
  <si>
    <t>pergpan</t>
  </si>
  <si>
    <t>Desa Wisata Sigapiton</t>
  </si>
  <si>
    <t>sigapiton</t>
  </si>
  <si>
    <t>agrowisata</t>
  </si>
  <si>
    <t>komoditas</t>
  </si>
  <si>
    <t>bawang</t>
  </si>
  <si>
    <t>kontur</t>
  </si>
  <si>
    <t>geografis</t>
  </si>
  <si>
    <t>produksi</t>
  </si>
  <si>
    <t>cahari</t>
  </si>
  <si>
    <t>tan</t>
  </si>
  <si>
    <t>agro</t>
  </si>
  <si>
    <t>administratif</t>
  </si>
  <si>
    <t>900</t>
  </si>
  <si>
    <t>sup2</t>
  </si>
  <si>
    <t>915</t>
  </si>
  <si>
    <t>profil</t>
  </si>
  <si>
    <t>568</t>
  </si>
  <si>
    <t>jiwa</t>
  </si>
  <si>
    <t>kantor</t>
  </si>
  <si>
    <t>motung</t>
  </si>
  <si>
    <t>sirungkungon</t>
  </si>
  <si>
    <t>pardamean</t>
  </si>
  <si>
    <t>Parbaba Beach</t>
  </si>
  <si>
    <t>Bukit Senyum Motung</t>
  </si>
  <si>
    <t>senyum</t>
  </si>
  <si>
    <t>suguh</t>
  </si>
  <si>
    <t>potret</t>
  </si>
  <si>
    <t>terpana</t>
  </si>
  <si>
    <t>pancar</t>
  </si>
  <si>
    <t>baris</t>
  </si>
  <si>
    <t>benteng</t>
  </si>
  <si>
    <t>palung</t>
  </si>
  <si>
    <t>raksasa</t>
  </si>
  <si>
    <t>terhampat</t>
  </si>
  <si>
    <t>sudut</t>
  </si>
  <si>
    <t>mukim</t>
  </si>
  <si>
    <t>tata</t>
  </si>
  <si>
    <t>Danau Aek Natonang</t>
  </si>
  <si>
    <t>natonang</t>
  </si>
  <si>
    <t>tanjung</t>
  </si>
  <si>
    <t>105</t>
  </si>
  <si>
    <t>hektare</t>
  </si>
  <si>
    <t>baharu</t>
  </si>
  <si>
    <t>aspal</t>
  </si>
  <si>
    <t>bagus</t>
  </si>
  <si>
    <t>prasarana</t>
  </si>
  <si>
    <t>areal</t>
  </si>
  <si>
    <t>Sibolazi Beach</t>
  </si>
  <si>
    <t>sibolazi</t>
  </si>
  <si>
    <t>unggul</t>
  </si>
  <si>
    <t>Wisata Panatapan Dolok Nagugun Sipira/Bukit Sipira</t>
  </si>
  <si>
    <t>panatapan</t>
  </si>
  <si>
    <t>nun</t>
  </si>
  <si>
    <t>sipira</t>
  </si>
  <si>
    <t>onan</t>
  </si>
  <si>
    <t>runggu</t>
  </si>
  <si>
    <t>spektaer</t>
  </si>
  <si>
    <t>tpat</t>
  </si>
  <si>
    <t>asilitas</t>
  </si>
  <si>
    <t>terutabagi</t>
  </si>
  <si>
    <t>bintang</t>
  </si>
  <si>
    <t>pndangan</t>
  </si>
  <si>
    <t>rbit</t>
  </si>
  <si>
    <t>sesi</t>
  </si>
  <si>
    <t>profesional</t>
  </si>
  <si>
    <t>amatir</t>
  </si>
  <si>
    <t>cak</t>
  </si>
  <si>
    <t>perlanan</t>
  </si>
  <si>
    <t>nagugun</t>
  </si>
  <si>
    <t>plan</t>
  </si>
  <si>
    <t>kian</t>
  </si>
  <si>
    <t>o</t>
  </si>
  <si>
    <t>dessipira</t>
  </si>
  <si>
    <t>okasi</t>
  </si>
  <si>
    <t>dikugi</t>
  </si>
  <si>
    <t>rp10 000</t>
  </si>
  <si>
    <t>dikonmasi</t>
  </si>
  <si>
    <t>memba</t>
  </si>
  <si>
    <t>bunjung</t>
  </si>
  <si>
    <t>kebersan</t>
  </si>
  <si>
    <t>kap</t>
  </si>
  <si>
    <t>bawperlengkapan</t>
  </si>
  <si>
    <t>tenda</t>
  </si>
  <si>
    <t>sleeping</t>
  </si>
  <si>
    <t>bag</t>
  </si>
  <si>
    <t>piksa</t>
  </si>
  <si>
    <t>baganda</t>
  </si>
  <si>
    <t>Taman Bunga Sapo Juma</t>
  </si>
  <si>
    <t>bunga</t>
  </si>
  <si>
    <t>sapo</t>
  </si>
  <si>
    <t>juma</t>
  </si>
  <si>
    <t>teman</t>
  </si>
  <si>
    <t>Pantai Sinalsal Tongging</t>
  </si>
  <si>
    <t>sinalsal</t>
  </si>
  <si>
    <t>mutiara</t>
  </si>
  <si>
    <t>biru</t>
  </si>
  <si>
    <t>Pantai Kenangan</t>
  </si>
  <si>
    <t>sekitar</t>
  </si>
  <si>
    <t>karna</t>
  </si>
  <si>
    <t>Sigurgur Beach &amp; Restaurant</t>
  </si>
  <si>
    <t>sigurgur</t>
  </si>
  <si>
    <t>beach</t>
  </si>
  <si>
    <t>restaurant</t>
  </si>
  <si>
    <t>dasuasana</t>
  </si>
  <si>
    <t>alam fasilitas</t>
  </si>
  <si>
    <t>akvitas</t>
  </si>
  <si>
    <t>sepanjaepi</t>
  </si>
  <si>
    <t>donesia</t>
  </si>
  <si>
    <t>tradisionalengan</t>
  </si>
  <si>
    <t>menu</t>
  </si>
  <si>
    <t>lt</t>
  </si>
  <si>
    <t>evendo m</t>
  </si>
  <si>
    <t>10 00</t>
  </si>
  <si>
    <t>21 00</t>
  </si>
  <si>
    <t>terak</t>
  </si>
  <si>
    <t>paten</t>
  </si>
  <si>
    <t>matera</t>
  </si>
  <si>
    <t>ndonesia</t>
  </si>
  <si>
    <t>untumencapai</t>
  </si>
  <si>
    <t>jung</t>
  </si>
  <si>
    <t>traportasi</t>
  </si>
  <si>
    <t>feri</t>
  </si>
  <si>
    <t>pu</t>
  </si>
  <si>
    <t>813-3842-3512</t>
  </si>
  <si>
    <t>ph trip com</t>
  </si>
  <si>
    <t>sigurgurresort</t>
  </si>
  <si>
    <t>gmail com</t>
  </si>
  <si>
    <t>taik</t>
  </si>
  <si>
    <t>resto</t>
  </si>
  <si>
    <t>Air Terjun Binanga Bolon</t>
  </si>
  <si>
    <t>binanga</t>
  </si>
  <si>
    <t>rimbun</t>
  </si>
  <si>
    <t>gemericik</t>
  </si>
  <si>
    <t>Tempat Pengasingan Soekarno</t>
  </si>
  <si>
    <t>soekarno</t>
  </si>
  <si>
    <t>sebar</t>
  </si>
  <si>
    <t>bengkulu</t>
  </si>
  <si>
    <t>ende</t>
  </si>
  <si>
    <t>berastagi</t>
  </si>
  <si>
    <t>lapas</t>
  </si>
  <si>
    <t>sukamiskin</t>
  </si>
  <si>
    <t>soekarno-hatta</t>
  </si>
  <si>
    <t>anggut</t>
  </si>
  <si>
    <t>gading</t>
  </si>
  <si>
    <t>cempaka</t>
  </si>
  <si>
    <t>nasional</t>
  </si>
  <si>
    <t>limas</t>
  </si>
  <si>
    <t>1938</t>
  </si>
  <si>
    <t>1942</t>
  </si>
  <si>
    <t>abdullah</t>
  </si>
  <si>
    <t>ambuwaru</t>
  </si>
  <si>
    <t>1934</t>
  </si>
  <si>
    <t>peringkat</t>
  </si>
  <si>
    <t>2014</t>
  </si>
  <si>
    <t>gumba</t>
  </si>
  <si>
    <t>12</t>
  </si>
  <si>
    <t>1948</t>
  </si>
  <si>
    <t>landraad</t>
  </si>
  <si>
    <t>buku</t>
  </si>
  <si>
    <t>gugat</t>
  </si>
  <si>
    <t>parapa</t>
  </si>
  <si>
    <t>simpanganbo</t>
  </si>
  <si>
    <t>21174</t>
  </si>
  <si>
    <t>pk trip com</t>
  </si>
  <si>
    <t>iniibangun</t>
  </si>
  <si>
    <t>2oleh</t>
  </si>
  <si>
    <t>vila</t>
  </si>
  <si>
    <t>kebun</t>
  </si>
  <si>
    <t>sum antaranews com</t>
  </si>
  <si>
    <t>januari</t>
  </si>
  <si>
    <t>1949</t>
  </si>
  <si>
    <t>ekarno</t>
  </si>
  <si>
    <t>alas</t>
  </si>
  <si>
    <t>mess</t>
  </si>
  <si>
    <t>pemda</t>
  </si>
  <si>
    <t>enjoytourmedan com</t>
  </si>
  <si>
    <t>Wisata Alam Fishing-Camp Siarubung</t>
  </si>
  <si>
    <t>fishingp</t>
  </si>
  <si>
    <t>siarubung</t>
  </si>
  <si>
    <t>turpuk</t>
  </si>
  <si>
    <t>limbong</t>
  </si>
  <si>
    <t>menawarkengalaman</t>
  </si>
  <si>
    <t>nila</t>
  </si>
  <si>
    <t>mujaer</t>
  </si>
  <si>
    <t>bumdes</t>
  </si>
  <si>
    <t>litas</t>
  </si>
  <si>
    <t>selimut</t>
  </si>
  <si>
    <t>bantal</t>
  </si>
  <si>
    <t>tikar</t>
  </si>
  <si>
    <t>terang</t>
  </si>
  <si>
    <t>bakardan</t>
  </si>
  <si>
    <t>set</t>
  </si>
  <si>
    <t>akustik</t>
  </si>
  <si>
    <t>yanisediakan</t>
  </si>
  <si>
    <t>menampg</t>
  </si>
  <si>
    <t>pennjung</t>
  </si>
  <si>
    <t>bimbing</t>
  </si>
  <si>
    <t>pandu</t>
  </si>
  <si>
    <t>lan</t>
  </si>
  <si>
    <t>fishing-camp</t>
  </si>
  <si>
    <t>siarung</t>
  </si>
  <si>
    <t>sekita40</t>
  </si>
  <si>
    <t>pangururadan</t>
  </si>
  <si>
    <t>sibeabea</t>
  </si>
  <si>
    <t>desurpuk</t>
  </si>
  <si>
    <t>kamat</t>
  </si>
  <si>
    <t>oria com</t>
  </si>
  <si>
    <t>tobaria com berkemah-dan-memancing-di-fishing-camp-srubung-ada-spot-suntnya</t>
  </si>
  <si>
    <t>utm source chgpt com</t>
  </si>
  <si>
    <t>revasi</t>
  </si>
  <si>
    <t>lh</t>
  </si>
  <si>
    <t>rervasi</t>
  </si>
  <si>
    <t>pat</t>
  </si>
  <si>
    <t>booking</t>
  </si>
  <si>
    <t>083830595339</t>
  </si>
  <si>
    <t>krik</t>
  </si>
  <si>
    <t>081361740476</t>
  </si>
  <si>
    <t>pa</t>
  </si>
  <si>
    <t>paket</t>
  </si>
  <si>
    <t>rp100 000</t>
  </si>
  <si>
    <t>tersebutdah</t>
  </si>
  <si>
    <t>fasilis</t>
  </si>
  <si>
    <t>pribadieperti</t>
  </si>
  <si>
    <t>Aek Rangat Pangururan</t>
  </si>
  <si>
    <t>rangat</t>
  </si>
  <si>
    <t>lereng</t>
  </si>
  <si>
    <t>siogung</t>
  </si>
  <si>
    <t>ogung</t>
  </si>
  <si>
    <t>201 3</t>
  </si>
  <si>
    <t>Tanjung Unta</t>
  </si>
  <si>
    <t>unta</t>
  </si>
  <si>
    <t>proklamator</t>
  </si>
  <si>
    <t>mohammad</t>
  </si>
  <si>
    <t>hatta</t>
  </si>
  <si>
    <t>beliau</t>
  </si>
  <si>
    <t>jauh</t>
  </si>
  <si>
    <t>hewan</t>
  </si>
  <si>
    <t>60</t>
  </si>
  <si>
    <t>110</t>
  </si>
  <si>
    <t>niat</t>
  </si>
  <si>
    <t>siang</t>
  </si>
  <si>
    <t>jelang</t>
  </si>
  <si>
    <t>puas</t>
  </si>
  <si>
    <t>fantastis</t>
  </si>
  <si>
    <t>kalah</t>
  </si>
  <si>
    <t>belai</t>
  </si>
  <si>
    <t>kulit</t>
  </si>
  <si>
    <t>api</t>
  </si>
  <si>
    <t>unggun</t>
  </si>
  <si>
    <t>nang</t>
  </si>
  <si>
    <t>sampan</t>
  </si>
  <si>
    <t>jet</t>
  </si>
  <si>
    <t>ski</t>
  </si>
  <si>
    <t>naik</t>
  </si>
  <si>
    <t>adrenalin</t>
  </si>
  <si>
    <t>pinus</t>
  </si>
  <si>
    <t>gembira</t>
  </si>
  <si>
    <t>Bukit Pahoda</t>
  </si>
  <si>
    <t>memang</t>
  </si>
  <si>
    <t>dipungkiri</t>
  </si>
  <si>
    <t>elo</t>
  </si>
  <si>
    <t>liku</t>
  </si>
  <si>
    <t>tebak</t>
  </si>
  <si>
    <t>membuaat</t>
  </si>
  <si>
    <t>pahoda</t>
  </si>
  <si>
    <t>kec</t>
  </si>
  <si>
    <t>kab</t>
  </si>
  <si>
    <t>sumut</t>
  </si>
  <si>
    <t>taruh</t>
  </si>
  <si>
    <t>rahasia</t>
  </si>
  <si>
    <t>silintong</t>
  </si>
  <si>
    <t>lumayan</t>
  </si>
  <si>
    <t>Air Terjun Efrata</t>
  </si>
  <si>
    <t>sendiri</t>
  </si>
  <si>
    <t>kesana</t>
  </si>
  <si>
    <t>186</t>
  </si>
  <si>
    <t>heran</t>
  </si>
  <si>
    <t>sambut</t>
  </si>
  <si>
    <t>nan</t>
  </si>
  <si>
    <t>Istana Kaldera Unesco Geopark Danau Toba</t>
  </si>
  <si>
    <t>rinjani</t>
  </si>
  <si>
    <t>okezone</t>
  </si>
  <si>
    <t>tse1 mm bing net th</t>
  </si>
  <si>
    <t>id oip cel43nubjo3uh ae13welghafj</t>
  </si>
  <si>
    <t>pid</t>
  </si>
  <si>
    <t>unescoebagai</t>
  </si>
  <si>
    <t>glob</t>
  </si>
  <si>
    <t>menjadikannyaalah</t>
  </si>
  <si>
    <t>tara</t>
  </si>
  <si>
    <t>tampahanabupaten</t>
  </si>
  <si>
    <t>mpahan</t>
  </si>
  <si>
    <t>wis</t>
  </si>
  <si>
    <t>kalde</t>
  </si>
  <si>
    <t>vulka</t>
  </si>
  <si>
    <t>kalra</t>
  </si>
  <si>
    <t>outdoor</t>
  </si>
  <si>
    <t>gan</t>
  </si>
  <si>
    <t>sapadia</t>
  </si>
  <si>
    <t>villa</t>
  </si>
  <si>
    <t>3 96</t>
  </si>
  <si>
    <t>11 43</t>
  </si>
  <si>
    <t>kara</t>
  </si>
  <si>
    <t>kaki</t>
  </si>
  <si>
    <t>ibadi</t>
  </si>
  <si>
    <t>bekal</t>
  </si>
  <si>
    <t>mungkterbatas</t>
  </si>
  <si>
    <t>bih</t>
  </si>
  <si>
    <t>calabageopark org</t>
  </si>
  <si>
    <t>Huta Siallagan</t>
  </si>
  <si>
    <t>dompak</t>
  </si>
  <si>
    <t>singa</t>
  </si>
  <si>
    <t>lambang</t>
  </si>
  <si>
    <t>payudara</t>
  </si>
  <si>
    <t>lama</t>
  </si>
  <si>
    <t>Bukit Indah Simarjarunjung</t>
  </si>
  <si>
    <t>Bukit Indah Sitalmak Talmak Sihotang</t>
  </si>
  <si>
    <t>sitalmak</t>
  </si>
  <si>
    <t>talmak</t>
  </si>
  <si>
    <t>sihotang</t>
  </si>
  <si>
    <t>padu</t>
  </si>
  <si>
    <t>penat</t>
  </si>
  <si>
    <t>sunrise</t>
  </si>
  <si>
    <t>piknik</t>
  </si>
  <si>
    <t>mengeksplor</t>
  </si>
  <si>
    <t>hirup</t>
  </si>
  <si>
    <t>ajaib</t>
  </si>
  <si>
    <t>Natio</t>
  </si>
  <si>
    <t>natio</t>
  </si>
  <si>
    <t>simalun</t>
  </si>
  <si>
    <t>cil</t>
  </si>
  <si>
    <t>transit</t>
  </si>
  <si>
    <t>en wikipedia org</t>
  </si>
  <si>
    <t>aktias</t>
  </si>
  <si>
    <t>bega</t>
  </si>
  <si>
    <t>natioarapat</t>
  </si>
  <si>
    <t>memungkinkanngunjung</t>
  </si>
  <si>
    <t>keiahan</t>
  </si>
  <si>
    <t>sekitarea</t>
  </si>
  <si>
    <t>kh</t>
  </si>
  <si>
    <t>olahraga</t>
  </si>
  <si>
    <t>memancinn</t>
  </si>
  <si>
    <t>waktumpuh</t>
  </si>
  <si>
    <t>tiba</t>
  </si>
  <si>
    <t>tipsrkunjung</t>
  </si>
  <si>
    <t>-transportasi</t>
  </si>
  <si>
    <t>kelau</t>
  </si>
  <si>
    <t>cca</t>
  </si>
  <si>
    <t>prakira</t>
  </si>
  <si>
    <t>kenyamansama</t>
  </si>
  <si>
    <t>tidambuang</t>
  </si>
  <si>
    <t>keindan</t>
  </si>
  <si>
    <t>Pantai Paris</t>
  </si>
  <si>
    <t>paris</t>
  </si>
  <si>
    <t>Long Beach</t>
  </si>
  <si>
    <t>long</t>
  </si>
  <si>
    <t>panini</t>
  </si>
  <si>
    <t>pengipan</t>
  </si>
  <si>
    <t>star</t>
  </si>
  <si>
    <t>bch</t>
  </si>
  <si>
    <t>mawar</t>
  </si>
  <si>
    <t>en tiket com</t>
  </si>
  <si>
    <t>khaatak</t>
  </si>
  <si>
    <t>lausegar</t>
  </si>
  <si>
    <t>sandi</t>
  </si>
  <si>
    <t>aata</t>
  </si>
  <si>
    <t>lol</t>
  </si>
  <si>
    <t>sebeng</t>
  </si>
  <si>
    <t>berkunj</t>
  </si>
  <si>
    <t>lung</t>
  </si>
  <si>
    <t>Batu Kursi Raja Siallagan ( Stone Chair of King Siallagan )</t>
  </si>
  <si>
    <t>jasa</t>
  </si>
  <si>
    <t>susun</t>
  </si>
  <si>
    <t>Kebun Raya Samosir</t>
  </si>
  <si>
    <t>sar</t>
  </si>
  <si>
    <t>botani</t>
  </si>
  <si>
    <t>teliti</t>
  </si>
  <si>
    <t>rekreasi</t>
  </si>
  <si>
    <t>samos</t>
  </si>
  <si>
    <t>ees</t>
  </si>
  <si>
    <t>endemik</t>
  </si>
  <si>
    <t>agathis</t>
  </si>
  <si>
    <t>dammara</t>
  </si>
  <si>
    <t>altingia</t>
  </si>
  <si>
    <t>excels</t>
  </si>
  <si>
    <t>cinnamomum</t>
  </si>
  <si>
    <t>burmannii</t>
  </si>
  <si>
    <t>dacrycarpus</t>
  </si>
  <si>
    <t>imbricatus</t>
  </si>
  <si>
    <t>styrax</t>
  </si>
  <si>
    <t>paralleloneurus</t>
  </si>
  <si>
    <t>schima</t>
  </si>
  <si>
    <t>wallichii</t>
  </si>
  <si>
    <t>2022</t>
  </si>
  <si>
    <t>cat</t>
  </si>
  <si>
    <t>rekor</t>
  </si>
  <si>
    <t>muri</t>
  </si>
  <si>
    <t>dengamenanam</t>
  </si>
  <si>
    <t>spesies</t>
  </si>
  <si>
    <t>serentak</t>
  </si>
  <si>
    <t>www facebook com krsamosir</t>
  </si>
  <si>
    <t>Pantai Danau Toba Marom</t>
  </si>
  <si>
    <t>porsea</t>
  </si>
  <si>
    <t>nawa</t>
  </si>
  <si>
    <t>loinya</t>
  </si>
  <si>
    <t>poper</t>
  </si>
  <si>
    <t>fastas</t>
  </si>
  <si>
    <t>bnang</t>
  </si>
  <si>
    <t>bersant</t>
  </si>
  <si>
    <t>pandan</t>
  </si>
  <si>
    <t>m</t>
  </si>
  <si>
    <t>palanan</t>
  </si>
  <si>
    <t>transpasi</t>
  </si>
  <si>
    <t>pastikauntuk</t>
  </si>
  <si>
    <t>iksa</t>
  </si>
  <si>
    <t>cuacuntuk</t>
  </si>
  <si>
    <t>kebeh</t>
  </si>
  <si>
    <t>View Point Tongging Geopark Kaldera Toba</t>
  </si>
  <si>
    <t>point</t>
  </si>
  <si>
    <t>geo</t>
  </si>
  <si>
    <t>pemandangspektakuler</t>
  </si>
  <si>
    <t>glamping</t>
  </si>
  <si>
    <t>untupengalaman</t>
  </si>
  <si>
    <t>menginapang</t>
  </si>
  <si>
    <t>fasilitaglamping</t>
  </si>
  <si>
    <t>glamorous</t>
  </si>
  <si>
    <t>kafe</t>
  </si>
  <si>
    <t>sertspot</t>
  </si>
  <si>
    <t>perjaln</t>
  </si>
  <si>
    <t>ngan</t>
  </si>
  <si>
    <t>dilank</t>
  </si>
  <si>
    <t>Paepira Lakeside</t>
  </si>
  <si>
    <t>paepira</t>
  </si>
  <si>
    <t>lakeside</t>
  </si>
  <si>
    <t>sibolangit</t>
  </si>
  <si>
    <t>menawarkaengalaman</t>
  </si>
  <si>
    <t>apung</t>
  </si>
  <si>
    <t>tenh</t>
  </si>
  <si>
    <t>apun</t>
  </si>
  <si>
    <t>taerlupakan</t>
  </si>
  <si>
    <t>glamng</t>
  </si>
  <si>
    <t>sata</t>
  </si>
  <si>
    <t>jelajahieindahan</t>
  </si>
  <si>
    <t>aibilitas</t>
  </si>
  <si>
    <t>sategis</t>
  </si>
  <si>
    <t>instagram c</t>
  </si>
  <si>
    <t>koak</t>
  </si>
  <si>
    <t>paepirafloatinghouse</t>
  </si>
  <si>
    <t>faook</t>
  </si>
  <si>
    <t>side</t>
  </si>
  <si>
    <t>menghubungielalui</t>
  </si>
  <si>
    <t>Sihalpe Danau Toba dan area mendaki</t>
  </si>
  <si>
    <t>supervulkan</t>
  </si>
  <si>
    <t>sibuatan</t>
  </si>
  <si>
    <t>508</t>
  </si>
  <si>
    <t>905</t>
  </si>
  <si>
    <t>Air Terjun Siringo</t>
  </si>
  <si>
    <t>siringo</t>
  </si>
  <si>
    <t>tropis</t>
  </si>
  <si>
    <t>Wisata Anugerah Indah Sippan</t>
  </si>
  <si>
    <t>sippwais</t>
  </si>
  <si>
    <t>sippan</t>
  </si>
  <si>
    <t>tigaraja</t>
  </si>
  <si>
    <t>pamatang</t>
  </si>
  <si>
    <t>silimahuta</t>
  </si>
  <si>
    <t>1 410</t>
  </si>
  <si>
    <t>rmukaan</t>
  </si>
  <si>
    <t>wais</t>
  </si>
  <si>
    <t>memadukahamparan</t>
  </si>
  <si>
    <t>diea</t>
  </si>
  <si>
    <t>dediakan</t>
  </si>
  <si>
    <t>fotogi</t>
  </si>
  <si>
    <t>spot-spot</t>
  </si>
  <si>
    <t>strates</t>
  </si>
  <si>
    <t>terutamagi</t>
  </si>
  <si>
    <t>pinta</t>
  </si>
  <si>
    <t>hiking</t>
  </si>
  <si>
    <t>terdt</t>
  </si>
  <si>
    <t>jar</t>
  </si>
  <si>
    <t>keinda</t>
  </si>
  <si>
    <t>alasekitar</t>
  </si>
  <si>
    <t>at</t>
  </si>
  <si>
    <t>mgikuti</t>
  </si>
  <si>
    <t>daretang</t>
  </si>
  <si>
    <t>karah</t>
  </si>
  <si>
    <t>lah</t>
  </si>
  <si>
    <t>sampa</t>
  </si>
  <si>
    <t>sn</t>
  </si>
  <si>
    <t>suk</t>
  </si>
  <si>
    <t>peelola</t>
  </si>
  <si>
    <t>berkunjg</t>
  </si>
  <si>
    <t>mendapainformasi</t>
  </si>
  <si>
    <t>kini</t>
  </si>
  <si>
    <t>travel kompas com</t>
  </si>
  <si>
    <t>infasi</t>
  </si>
  <si>
    <t>wisataanugrahindahsippan</t>
  </si>
  <si>
    <t>0858-3772-7863</t>
  </si>
  <si>
    <t>Pantai Pasir Putih Said Dolok</t>
  </si>
  <si>
    <t>said</t>
  </si>
  <si>
    <t>destinaisata</t>
  </si>
  <si>
    <t>sumaa</t>
  </si>
  <si>
    <t>pasirutih</t>
  </si>
  <si>
    <t>paai</t>
  </si>
  <si>
    <t>loka</t>
  </si>
  <si>
    <t>mah</t>
  </si>
  <si>
    <t>tobanjadikan</t>
  </si>
  <si>
    <t>putihaid</t>
  </si>
  <si>
    <t>sorong</t>
  </si>
  <si>
    <t>borong</t>
  </si>
  <si>
    <t>simgun</t>
  </si>
  <si>
    <t>us trip com</t>
  </si>
  <si>
    <t>pantaini</t>
  </si>
  <si>
    <t>seti</t>
  </si>
  <si>
    <t>opasional</t>
  </si>
  <si>
    <t>17 0wib</t>
  </si>
  <si>
    <t>gunandapatkan</t>
  </si>
  <si>
    <t>informasierkini</t>
  </si>
  <si>
    <t>infa</t>
  </si>
  <si>
    <t>0856-8794-3677</t>
  </si>
  <si>
    <t>Pelabuhan Wisata Danau Toba</t>
  </si>
  <si>
    <t>kspn</t>
  </si>
  <si>
    <t>ajibata-ambarita</t>
  </si>
  <si>
    <t>ajibata-tomok</t>
  </si>
  <si>
    <t>ajibata-nainggolan</t>
  </si>
  <si>
    <t>ajibata-onanrunggu</t>
  </si>
  <si>
    <t>lift</t>
  </si>
  <si>
    <t>eskalator</t>
  </si>
  <si>
    <t>terminal</t>
  </si>
  <si>
    <t>sandang</t>
  </si>
  <si>
    <t>disabilitas</t>
  </si>
  <si>
    <t>tongging-silalahi</t>
  </si>
  <si>
    <t>Pea Porohan</t>
  </si>
  <si>
    <t>pea</t>
  </si>
  <si>
    <t>porohan</t>
  </si>
  <si>
    <t>tnya</t>
  </si>
  <si>
    <t>salaon</t>
  </si>
  <si>
    <t>dgan</t>
  </si>
  <si>
    <t>ingkar</t>
  </si>
  <si>
    <t>jai</t>
  </si>
  <si>
    <t>melambang</t>
  </si>
  <si>
    <t>penhianatan</t>
  </si>
  <si>
    <t>sumut jadesta com</t>
  </si>
  <si>
    <t>jungle</t>
  </si>
  <si>
    <t>tracking</t>
  </si>
  <si>
    <t>peunjung</t>
  </si>
  <si>
    <t>sumut sta com</t>
  </si>
  <si>
    <t>ronggurihuta</t>
  </si>
  <si>
    <t>utar22392</t>
  </si>
  <si>
    <t>lifzesitanggang</t>
  </si>
  <si>
    <t>082260579668</t>
  </si>
  <si>
    <t>lifzensitanggangsman2prr</t>
  </si>
  <si>
    <t>danket</t>
  </si>
  <si>
    <t>dia</t>
  </si>
  <si>
    <t>tera</t>
  </si>
  <si>
    <t>berku</t>
  </si>
  <si>
    <t>kamanan</t>
  </si>
  <si>
    <t>visual</t>
  </si>
  <si>
    <t>Dermaga Silalahi</t>
  </si>
  <si>
    <t>pentahapan</t>
  </si>
  <si>
    <t>2017</t>
  </si>
  <si>
    <t>rampung</t>
  </si>
  <si>
    <t>mengakomodir</t>
  </si>
  <si>
    <t>kmp</t>
  </si>
  <si>
    <t>jurung</t>
  </si>
  <si>
    <t>rincian</t>
  </si>
  <si>
    <t>kantong</t>
  </si>
  <si>
    <t>385</t>
  </si>
  <si>
    <t>1 229 30</t>
  </si>
  <si>
    <t>135</t>
  </si>
  <si>
    <t>436 77</t>
  </si>
  <si>
    <t>utilitas</t>
  </si>
  <si>
    <t>landscape</t>
  </si>
  <si>
    <t>369 53</t>
  </si>
  <si>
    <t>288</t>
  </si>
  <si>
    <t>lantai</t>
  </si>
  <si>
    <t>Desa Wisata Tomok Parsaoran</t>
  </si>
  <si>
    <t>4-5</t>
  </si>
  <si>
    <t>antar-kota</t>
  </si>
  <si>
    <t>agraris</t>
  </si>
  <si>
    <t>dagang</t>
  </si>
  <si>
    <t>pengaruh</t>
  </si>
  <si>
    <t>modernitas</t>
  </si>
  <si>
    <t>gereja</t>
  </si>
  <si>
    <t>becak</t>
  </si>
  <si>
    <t>inggris</t>
  </si>
  <si>
    <t>sumatra</t>
  </si>
  <si>
    <t>sosok</t>
  </si>
  <si>
    <t>Bukit Sipisopiso</t>
  </si>
  <si>
    <t>kerap</t>
  </si>
  <si>
    <t>tanduk</t>
  </si>
  <si>
    <t>banua</t>
  </si>
  <si>
    <t>negara</t>
  </si>
  <si>
    <t>1 400</t>
  </si>
  <si>
    <t>jakarta</t>
  </si>
  <si>
    <t>Bukit Gajah Bobok</t>
  </si>
  <si>
    <t>bobok</t>
  </si>
  <si>
    <t>pangambaten</t>
  </si>
  <si>
    <t>1 200</t>
  </si>
  <si>
    <t>Patung Yesus, Bukit Sibeabea</t>
  </si>
  <si>
    <t>buk</t>
  </si>
  <si>
    <t>kabupat</t>
  </si>
  <si>
    <t>pang</t>
  </si>
  <si>
    <t>haan</t>
  </si>
  <si>
    <t>mengalahk</t>
  </si>
  <si>
    <t>nus</t>
  </si>
  <si>
    <t>rasil</t>
  </si>
  <si>
    <t>katolikana com</t>
  </si>
  <si>
    <t>ejarah</t>
  </si>
  <si>
    <t>tah</t>
  </si>
  <si>
    <t>selesai</t>
  </si>
  <si>
    <t>dbukit</t>
  </si>
  <si>
    <t>jr</t>
  </si>
  <si>
    <t>untudilalui</t>
  </si>
  <si>
    <t>umat</t>
  </si>
  <si>
    <t>kristiani</t>
  </si>
  <si>
    <t>berziah</t>
  </si>
  <si>
    <t>trafi</t>
  </si>
  <si>
    <t>eal</t>
  </si>
  <si>
    <t>hindar</t>
  </si>
  <si>
    <t>fisik</t>
  </si>
  <si>
    <t>prima</t>
  </si>
  <si>
    <t>wikipedia</t>
  </si>
  <si>
    <t>Taman Wisata Asal Usul (Legenda) Danau Toba</t>
  </si>
  <si>
    <t>dongeng</t>
  </si>
  <si>
    <t>langgar</t>
  </si>
  <si>
    <t>marah</t>
  </si>
  <si>
    <t>Sijukjuk Hill</t>
  </si>
  <si>
    <t>sijukjuk</t>
  </si>
  <si>
    <t>hill</t>
  </si>
  <si>
    <t>pepohan</t>
  </si>
  <si>
    <t>favot</t>
  </si>
  <si>
    <t>ung inews id</t>
  </si>
  <si>
    <t>pemandangaalam</t>
  </si>
  <si>
    <t>unturfoto</t>
  </si>
  <si>
    <t>ea</t>
  </si>
  <si>
    <t>rsama</t>
  </si>
  <si>
    <t>sijuk</t>
  </si>
  <si>
    <t>wak</t>
  </si>
  <si>
    <t>menghdari</t>
  </si>
  <si>
    <t>nmati</t>
  </si>
  <si>
    <t>camil</t>
  </si>
  <si>
    <t>indung</t>
  </si>
  <si>
    <t>Batu Marhosa</t>
  </si>
  <si>
    <t>marhosa</t>
  </si>
  <si>
    <t>Bukit Gabok</t>
  </si>
  <si>
    <t>amat</t>
  </si>
  <si>
    <t>simpel</t>
  </si>
  <si>
    <t>Penatapan Simarjarunjung</t>
  </si>
  <si>
    <t>dolog</t>
  </si>
  <si>
    <t>sipintu</t>
  </si>
  <si>
    <t>salsabila</t>
  </si>
  <si>
    <t>hills</t>
  </si>
  <si>
    <t>flying</t>
  </si>
  <si>
    <t>fox</t>
  </si>
  <si>
    <t>king</t>
  </si>
  <si>
    <t>kong</t>
  </si>
  <si>
    <t>Pulau Tolping</t>
  </si>
  <si>
    <t>tolping</t>
  </si>
  <si>
    <t>Caldera Toba Nomadic Escape (Glamour Camping)</t>
  </si>
  <si>
    <t>nomadic</t>
  </si>
  <si>
    <t>escape</t>
  </si>
  <si>
    <t>traveller</t>
  </si>
  <si>
    <t>gandrung</t>
  </si>
  <si>
    <t>usung</t>
  </si>
  <si>
    <t>glamour</t>
  </si>
  <si>
    <t>kembara</t>
  </si>
  <si>
    <t>akrab</t>
  </si>
  <si>
    <t>traveler</t>
  </si>
  <si>
    <t>Pantai Pulo Tao</t>
  </si>
  <si>
    <t>pulo</t>
  </si>
  <si>
    <t>sitalolo</t>
  </si>
  <si>
    <t>no desa</t>
  </si>
  <si>
    <t>menrn</t>
  </si>
  <si>
    <t>andpat</t>
  </si>
  <si>
    <t>sitl</t>
  </si>
  <si>
    <t>tobai</t>
  </si>
  <si>
    <t>terseddi</t>
  </si>
  <si>
    <t>Air Terjun Sitiris Tiris</t>
  </si>
  <si>
    <t>sitir</t>
  </si>
  <si>
    <t>tiris</t>
  </si>
  <si>
    <t>hasinggaan</t>
  </si>
  <si>
    <t>pelosok</t>
  </si>
  <si>
    <t>wajar</t>
  </si>
  <si>
    <t>sulit</t>
  </si>
  <si>
    <t>natural</t>
  </si>
  <si>
    <t>cemar</t>
  </si>
  <si>
    <t>limbah</t>
  </si>
  <si>
    <t>apa</t>
  </si>
  <si>
    <t>samping</t>
  </si>
  <si>
    <t>komplit</t>
  </si>
  <si>
    <t>Bukit Simargulang Ombun</t>
  </si>
  <si>
    <t>simargalung</t>
  </si>
  <si>
    <t>ombun</t>
  </si>
  <si>
    <t>magis</t>
  </si>
  <si>
    <t>bentang</t>
  </si>
  <si>
    <t>salur</t>
  </si>
  <si>
    <t>hobi</t>
  </si>
  <si>
    <t>goda</t>
  </si>
  <si>
    <t>Lake Toba Adventure Tour</t>
  </si>
  <si>
    <t>adventure</t>
  </si>
  <si>
    <t>kectan</t>
  </si>
  <si>
    <t>sasir</t>
  </si>
  <si>
    <t>ekseiada</t>
  </si>
  <si>
    <t>itinerary</t>
  </si>
  <si>
    <t>ambariuuk</t>
  </si>
  <si>
    <t>kegiatanmhan</t>
  </si>
  <si>
    <t>come2indonesia</t>
  </si>
  <si>
    <t>Air Mancur Menari Water Front Pangururan</t>
  </si>
  <si>
    <t>mancur</t>
  </si>
  <si>
    <t>water</t>
  </si>
  <si>
    <t>front</t>
  </si>
  <si>
    <t>irama</t>
  </si>
  <si>
    <t>Geosite Sipinsur</t>
  </si>
  <si>
    <t>sipinsur</t>
  </si>
  <si>
    <t>endap</t>
  </si>
  <si>
    <t>debu</t>
  </si>
  <si>
    <t>plateu</t>
  </si>
  <si>
    <t>rim</t>
  </si>
  <si>
    <t>Tepian Sibea Bea Danau Toba</t>
  </si>
  <si>
    <t>kecam</t>
  </si>
  <si>
    <t>tung</t>
  </si>
  <si>
    <t>patuini</t>
  </si>
  <si>
    <t>wisa</t>
  </si>
  <si>
    <t>tyang</t>
  </si>
  <si>
    <t>untukrsantai</t>
  </si>
  <si>
    <t>kedi</t>
  </si>
  <si>
    <t>perjalanailanjutkan</t>
  </si>
  <si>
    <t>bukisibea-bea</t>
  </si>
  <si>
    <t>meiari</t>
  </si>
  <si>
    <t>kamera</t>
  </si>
  <si>
    <t>kdisi</t>
  </si>
  <si>
    <t>Wisata Indah Sippan (WIS) Juma Reben 2</t>
  </si>
  <si>
    <t>reben</t>
  </si>
  <si>
    <t>sumateraara</t>
  </si>
  <si>
    <t>fasil</t>
  </si>
  <si>
    <t>ground</t>
  </si>
  <si>
    <t>youtubeom</t>
  </si>
  <si>
    <t>prii</t>
  </si>
  <si>
    <t>parkimobil</t>
  </si>
  <si>
    <t>berswafoto</t>
  </si>
  <si>
    <t>aksesibilas</t>
  </si>
  <si>
    <t>indahippan</t>
  </si>
  <si>
    <t>dolok-kabanjahe</t>
  </si>
  <si>
    <t>xsnews co id</t>
  </si>
  <si>
    <t>xsnews co id wis-juma-reben-2-camping-ground-asyiknya-kemah-dengan-panorama-danau-toba</t>
  </si>
  <si>
    <t>urce chatgpt com</t>
  </si>
  <si>
    <t>plengkapan</t>
  </si>
  <si>
    <t>matras</t>
  </si>
  <si>
    <t>Sapo Juma</t>
  </si>
  <si>
    <t>pangebatan</t>
  </si>
  <si>
    <t>semai</t>
  </si>
  <si>
    <t>dibudidayakan</t>
  </si>
  <si>
    <t>viral</t>
  </si>
  <si>
    <t>organik</t>
  </si>
  <si>
    <t>Pantai Carita</t>
  </si>
  <si>
    <t>carita</t>
  </si>
  <si>
    <t>joglo tikar</t>
  </si>
  <si>
    <t>simalung</t>
  </si>
  <si>
    <t>ptai</t>
  </si>
  <si>
    <t>njadi</t>
  </si>
  <si>
    <t>simalungun-tourism com</t>
  </si>
  <si>
    <t>joglo</t>
  </si>
  <si>
    <t>simalun-tourism com</t>
  </si>
  <si>
    <t>menarcocok</t>
  </si>
  <si>
    <t>parkirng</t>
  </si>
  <si>
    <t>danus</t>
  </si>
  <si>
    <t>papat</t>
  </si>
  <si>
    <t>wiswan</t>
  </si>
  <si>
    <t>berkunjun</t>
  </si>
  <si>
    <t>menikm</t>
  </si>
  <si>
    <t>mandangan</t>
  </si>
  <si>
    <t>untukenyamanan</t>
  </si>
  <si>
    <t>Loho Beach &amp; Camping Ground</t>
  </si>
  <si>
    <t>loho</t>
  </si>
  <si>
    <t>ping</t>
  </si>
  <si>
    <t>ala</t>
  </si>
  <si>
    <t>tempaini</t>
  </si>
  <si>
    <t>terse</t>
  </si>
  <si>
    <t>pan</t>
  </si>
  <si>
    <t>kir</t>
  </si>
  <si>
    <t>matah</t>
  </si>
  <si>
    <t>erdapat</t>
  </si>
  <si>
    <t>silitas</t>
  </si>
  <si>
    <t>k</t>
  </si>
  <si>
    <t>rjalanan</t>
  </si>
  <si>
    <t>wisatawan tips</t>
  </si>
  <si>
    <t>perleapan</t>
  </si>
  <si>
    <t>perlenapan</t>
  </si>
  <si>
    <t>keman</t>
  </si>
  <si>
    <t>camng</t>
  </si>
  <si>
    <t>Menara Pandang Tele</t>
  </si>
  <si>
    <t>markah</t>
  </si>
  <si>
    <t>1 479</t>
  </si>
  <si>
    <t>La Repa Beach</t>
  </si>
  <si>
    <t>la</t>
  </si>
  <si>
    <t>repa</t>
  </si>
  <si>
    <t>horison</t>
  </si>
  <si>
    <t>leo</t>
  </si>
  <si>
    <t>fernando</t>
  </si>
  <si>
    <t>supang</t>
  </si>
  <si>
    <t>sotarduga</t>
  </si>
  <si>
    <t>sihombing</t>
  </si>
  <si>
    <t>kualitas</t>
  </si>
  <si>
    <t>lian</t>
  </si>
  <si>
    <t>efektif</t>
  </si>
  <si>
    <t>pantairsebut</t>
  </si>
  <si>
    <t>j-innovative org</t>
  </si>
  <si>
    <t>Bukit Cinta</t>
  </si>
  <si>
    <t>ujung</t>
  </si>
  <si>
    <t>kronologis</t>
  </si>
  <si>
    <t>Puncak Tarabunga</t>
  </si>
  <si>
    <t>tarabunga</t>
  </si>
  <si>
    <t>10-15</t>
  </si>
  <si>
    <t>atas</t>
  </si>
  <si>
    <t>arwah</t>
  </si>
  <si>
    <t>outbond</t>
  </si>
  <si>
    <t>swafoto</t>
  </si>
  <si>
    <t>Sopo Guru Tatea Bulan</t>
  </si>
  <si>
    <t>tatea</t>
  </si>
  <si>
    <t>dewan</t>
  </si>
  <si>
    <t>urus</t>
  </si>
  <si>
    <t>1995</t>
  </si>
  <si>
    <t>sigulanti</t>
  </si>
  <si>
    <t>Penatapan Meat Balige</t>
  </si>
  <si>
    <t>pangkodian</t>
  </si>
  <si>
    <t>samo</t>
  </si>
  <si>
    <t>yanewan</t>
  </si>
  <si>
    <t>alamesa</t>
  </si>
  <si>
    <t>bal</t>
  </si>
  <si>
    <t>menjakan</t>
  </si>
  <si>
    <t>sebagasah</t>
  </si>
  <si>
    <t>infopublik id</t>
  </si>
  <si>
    <t>sebagaiesa</t>
  </si>
  <si>
    <t>mena</t>
  </si>
  <si>
    <t>1 000</t>
  </si>
  <si>
    <t>luruangan</t>
  </si>
  <si>
    <t>Monkey Forest Umar Manik Sibaganding</t>
  </si>
  <si>
    <t>monkey</t>
  </si>
  <si>
    <t>forest</t>
  </si>
  <si>
    <t>umar</t>
  </si>
  <si>
    <t>manikaganding</t>
  </si>
  <si>
    <t>sai</t>
  </si>
  <si>
    <t>habitat</t>
  </si>
  <si>
    <t>monyet</t>
  </si>
  <si>
    <t>macaca</t>
  </si>
  <si>
    <t>fascicularis</t>
  </si>
  <si>
    <t>aliar</t>
  </si>
  <si>
    <t>abdulrahman</t>
  </si>
  <si>
    <t>manik</t>
  </si>
  <si>
    <t>detim</t>
  </si>
  <si>
    <t>primata</t>
  </si>
  <si>
    <t>rawat</t>
  </si>
  <si>
    <t>tabrak</t>
  </si>
  <si>
    <t>mediator</t>
  </si>
  <si>
    <t>satwa</t>
  </si>
  <si>
    <t>liar</t>
  </si>
  <si>
    <t>menyediak</t>
  </si>
  <si>
    <t>monyemyet</t>
  </si>
  <si>
    <t>kurang</t>
  </si>
  <si>
    <t>konflik</t>
  </si>
  <si>
    <t>news mongabay com</t>
  </si>
  <si>
    <t>tali</t>
  </si>
  <si>
    <t>kawat</t>
  </si>
  <si>
    <t>untuknt-monyet</t>
  </si>
  <si>
    <t>belr</t>
  </si>
  <si>
    <t>perdana</t>
  </si>
  <si>
    <t>beruk</t>
  </si>
  <si>
    <t>Spot Foto Silalahi</t>
  </si>
  <si>
    <t>ii</t>
  </si>
  <si>
    <t>paropo</t>
  </si>
  <si>
    <t>simartubi</t>
  </si>
  <si>
    <t>gelar</t>
  </si>
  <si>
    <t>Bukit Beta Tuk-tuk</t>
  </si>
  <si>
    <t>teks</t>
  </si>
  <si>
    <t>kirim</t>
  </si>
  <si>
    <t>beta</t>
  </si>
  <si>
    <t>ringroad</t>
  </si>
  <si>
    <t>arena</t>
  </si>
  <si>
    <t>lomba</t>
  </si>
  <si>
    <t>paralayang</t>
  </si>
  <si>
    <t>faktor</t>
  </si>
  <si>
    <t>atlet</t>
  </si>
  <si>
    <t>betah</t>
  </si>
  <si>
    <t>manuver</t>
  </si>
  <si>
    <t>Garoga Beach, Hotel and Cafe. Wisata Halal Danau Toba</t>
  </si>
  <si>
    <t>garoga</t>
  </si>
  <si>
    <t>halal</t>
  </si>
  <si>
    <t>modern</t>
  </si>
  <si>
    <t>caf</t>
  </si>
  <si>
    <t>eacute</t>
  </si>
  <si>
    <t>Pemandian Aek Sipitu Dai</t>
  </si>
  <si>
    <t>sipitu</t>
  </si>
  <si>
    <t>dai</t>
  </si>
  <si>
    <t>pancur</t>
  </si>
  <si>
    <t>Tano Ponggol Promenade</t>
  </si>
  <si>
    <t>tano</t>
  </si>
  <si>
    <t>ponggol</t>
  </si>
  <si>
    <t>terjemah</t>
  </si>
  <si>
    <t>magotap</t>
  </si>
  <si>
    <t>potong</t>
  </si>
  <si>
    <t>kanal</t>
  </si>
  <si>
    <t>mdash</t>
  </si>
  <si>
    <t>maret</t>
  </si>
  <si>
    <t>1906</t>
  </si>
  <si>
    <t>kolonial</t>
  </si>
  <si>
    <t>pisah</t>
  </si>
  <si>
    <t>1913</t>
  </si>
  <si>
    <t>ratu</t>
  </si>
  <si>
    <t>wilhelmina</t>
  </si>
  <si>
    <t>keruk</t>
  </si>
  <si>
    <t>eru</t>
  </si>
  <si>
    <t>takut</t>
  </si>
  <si>
    <t>roh</t>
  </si>
  <si>
    <t>l c</t>
  </si>
  <si>
    <t>welsink</t>
  </si>
  <si>
    <t>pegawai</t>
  </si>
  <si>
    <t>jembatan</t>
  </si>
  <si>
    <t>bws</t>
  </si>
  <si>
    <t>pesiar</t>
  </si>
  <si>
    <t>Penatapan Parhallow Sigarantung</t>
  </si>
  <si>
    <t>penatapanhallow</t>
  </si>
  <si>
    <t>simanindobupaten</t>
  </si>
  <si>
    <t>suana</t>
  </si>
  <si>
    <t>eropa</t>
  </si>
  <si>
    <t>penguu</t>
  </si>
  <si>
    <t>youtube</t>
  </si>
  <si>
    <t>v h0 2ljxjlqm</t>
  </si>
  <si>
    <t>parhallow</t>
  </si>
  <si>
    <t>viewpoint</t>
  </si>
  <si>
    <t>coffee</t>
  </si>
  <si>
    <t>sp</t>
  </si>
  <si>
    <t>diosi</t>
  </si>
  <si>
    <t>sertzebo</t>
  </si>
  <si>
    <t>hk trip com</t>
  </si>
  <si>
    <t>untmencapai</t>
  </si>
  <si>
    <t>Pasir Siriaon</t>
  </si>
  <si>
    <t>siriaon</t>
  </si>
  <si>
    <t>inewarkan</t>
  </si>
  <si>
    <t>paniasir</t>
  </si>
  <si>
    <t>jun0</t>
  </si>
  <si>
    <t>www greenberita com 2022 06 wow-pasir-siri-</t>
  </si>
  <si>
    <t>Air Terjun Taman Eden 100</t>
  </si>
  <si>
    <t>meuju</t>
  </si>
  <si>
    <t>dingin</t>
  </si>
  <si>
    <t>bikin</t>
  </si>
  <si>
    <t>mengigil</t>
  </si>
  <si>
    <t>ken</t>
  </si>
  <si>
    <t>kemping</t>
  </si>
  <si>
    <t>weekend</t>
  </si>
  <si>
    <t>private</t>
  </si>
  <si>
    <t>Desa Wisata Martoba</t>
  </si>
  <si>
    <t>martoba</t>
  </si>
  <si>
    <t>180</t>
  </si>
  <si>
    <t>deg</t>
  </si>
  <si>
    <t>huni</t>
  </si>
  <si>
    <t>fery</t>
  </si>
  <si>
    <t>plusmn</t>
  </si>
  <si>
    <t>3 5</t>
  </si>
  <si>
    <t>7 5</t>
  </si>
  <si>
    <t>april</t>
  </si>
  <si>
    <t>Perkemahan Paropo</t>
  </si>
  <si>
    <t>ygempesona</t>
  </si>
  <si>
    <t>it</t>
  </si>
  <si>
    <t>papo</t>
  </si>
  <si>
    <t>piyang</t>
  </si>
  <si>
    <t>beren</t>
  </si>
  <si>
    <t>mangga</t>
  </si>
  <si>
    <t>pora</t>
  </si>
  <si>
    <t>Hutan Indah Lestari</t>
  </si>
  <si>
    <t>aksi</t>
  </si>
  <si>
    <t>pendakia</t>
  </si>
  <si>
    <t>peakian</t>
  </si>
  <si>
    <t>menikmatanorama</t>
  </si>
  <si>
    <t>arepiknik</t>
  </si>
  <si>
    <t>ataeman</t>
  </si>
  <si>
    <t>hut</t>
  </si>
  <si>
    <t>lebat</t>
  </si>
  <si>
    <t>topated online</t>
  </si>
  <si>
    <t>jrjx 7f</t>
  </si>
  <si>
    <t>sumateraar22395</t>
  </si>
  <si>
    <t>813-6161-5494</t>
  </si>
  <si>
    <t>Pantai Pasir Putih Sigurgur</t>
  </si>
  <si>
    <t>jepang</t>
  </si>
  <si>
    <t>manca</t>
  </si>
  <si>
    <t>jepertan</t>
  </si>
  <si>
    <t>instagrammer</t>
  </si>
  <si>
    <t>holic</t>
  </si>
  <si>
    <t>romansa</t>
  </si>
  <si>
    <t>216</t>
  </si>
  <si>
    <t>pungut</t>
  </si>
  <si>
    <t>Simarjarunjung Carabel</t>
  </si>
  <si>
    <t>carabel</t>
  </si>
  <si>
    <t>sijarunjung</t>
  </si>
  <si>
    <t>simalungunsumatera</t>
  </si>
  <si>
    <t>li</t>
  </si>
  <si>
    <t>ka</t>
  </si>
  <si>
    <t>kaca</t>
  </si>
  <si>
    <t>sataya</t>
  </si>
  <si>
    <t>adal</t>
  </si>
  <si>
    <t>kawasanni</t>
  </si>
  <si>
    <t>fodengan</t>
  </si>
  <si>
    <t>tersuk</t>
  </si>
  <si>
    <t>yangcok</t>
  </si>
  <si>
    <t>gemar</t>
  </si>
  <si>
    <t>berfo</t>
  </si>
  <si>
    <t>sigurguyang</t>
  </si>
  <si>
    <t>tid</t>
  </si>
  <si>
    <t>fasilitaserkemah</t>
  </si>
  <si>
    <t>ngung</t>
  </si>
  <si>
    <t>teaik</t>
  </si>
  <si>
    <t>mewperlengkapan</t>
  </si>
  <si>
    <t>Pantai Gading Pulau Samosir</t>
  </si>
  <si>
    <t>tena</t>
  </si>
  <si>
    <t>menyediakanbagai</t>
  </si>
  <si>
    <t>kung</t>
  </si>
  <si>
    <t>gunjung</t>
  </si>
  <si>
    <t>labersa</t>
  </si>
  <si>
    <t>bisnis</t>
  </si>
  <si>
    <t>rogate</t>
  </si>
  <si>
    <t>menikmatiuasana</t>
  </si>
  <si>
    <t>thyesza</t>
  </si>
  <si>
    <t>akmudah</t>
  </si>
  <si>
    <t>menggunn</t>
  </si>
  <si>
    <t>menujpulau</t>
  </si>
  <si>
    <t>so</t>
  </si>
  <si>
    <t>WAIS Desa Sippan</t>
  </si>
  <si>
    <t>indappan</t>
  </si>
  <si>
    <t>sekar</t>
  </si>
  <si>
    <t>spektakul</t>
  </si>
  <si>
    <t>keliling arasitoday com</t>
  </si>
  <si>
    <t>akis</t>
  </si>
  <si>
    <t>luastoilet</t>
  </si>
  <si>
    <t>ibadah</t>
  </si>
  <si>
    <t>ak</t>
  </si>
  <si>
    <t>aksesibils</t>
  </si>
  <si>
    <t>melanjutkerjalanan</t>
  </si>
  <si>
    <t>pamang</t>
  </si>
  <si>
    <t>kanaal</t>
  </si>
  <si>
    <t>dapaaibus</t>
  </si>
  <si>
    <t>amplas</t>
  </si>
  <si>
    <t>darernal</t>
  </si>
  <si>
    <t>jurus</t>
  </si>
  <si>
    <t>hingganpai</t>
  </si>
  <si>
    <t>datang</t>
  </si>
  <si>
    <t>optimal</t>
  </si>
  <si>
    <t>terjal</t>
  </si>
  <si>
    <t>The Kaldera</t>
  </si>
  <si>
    <t>otorita</t>
  </si>
  <si>
    <t>bpodt</t>
  </si>
  <si>
    <t>terap</t>
  </si>
  <si>
    <t>tourism</t>
  </si>
  <si>
    <t>glass</t>
  </si>
  <si>
    <t>house</t>
  </si>
  <si>
    <t>bubble</t>
  </si>
  <si>
    <t>tent</t>
  </si>
  <si>
    <t>plaza</t>
  </si>
  <si>
    <t>cabin</t>
  </si>
  <si>
    <t>caravan</t>
  </si>
  <si>
    <t>park</t>
  </si>
  <si>
    <t>bell</t>
  </si>
  <si>
    <t>helipad</t>
  </si>
  <si>
    <t>vip</t>
  </si>
  <si>
    <t>I Love Samosir Danau Toba</t>
  </si>
  <si>
    <t>630</t>
  </si>
  <si>
    <t>huruf</t>
  </si>
  <si>
    <t>sub-etnis</t>
  </si>
  <si>
    <t>Air Terjun Tombak Pangaribuan</t>
  </si>
  <si>
    <t>andal</t>
  </si>
  <si>
    <t>pardoman</t>
  </si>
  <si>
    <t>jagar</t>
  </si>
  <si>
    <t>limpah</t>
  </si>
  <si>
    <t>400</t>
  </si>
  <si>
    <t>35</t>
  </si>
  <si>
    <t>persemayamanan</t>
  </si>
  <si>
    <t>lotung</t>
  </si>
  <si>
    <t>waterfall</t>
  </si>
  <si>
    <t>konten</t>
  </si>
  <si>
    <t>www switour com</t>
  </si>
  <si>
    <t>Pantai Batu Papan Indah</t>
  </si>
  <si>
    <t>amban</t>
  </si>
  <si>
    <t>manokwari</t>
  </si>
  <si>
    <t>papua</t>
  </si>
  <si>
    <t>latih</t>
  </si>
  <si>
    <t>selancar</t>
  </si>
  <si>
    <t>dar</t>
  </si>
  <si>
    <t>individu</t>
  </si>
  <si>
    <t>lahan</t>
  </si>
  <si>
    <t>Wisata Ikan Mas Sipolha</t>
  </si>
  <si>
    <t>destinassata</t>
  </si>
  <si>
    <t>kabupatenmalungun</t>
  </si>
  <si>
    <t>denn</t>
  </si>
  <si>
    <t>replika</t>
  </si>
  <si>
    <t>aktivi</t>
  </si>
  <si>
    <t>pusatuliner</t>
  </si>
  <si>
    <t>pt</t>
  </si>
  <si>
    <t>mendukungroduk</t>
  </si>
  <si>
    <t>gerai</t>
  </si>
  <si>
    <t>italisasi</t>
  </si>
  <si>
    <t>bengkalai</t>
  </si>
  <si>
    <t>dibenahiada</t>
  </si>
  <si>
    <t>revalisasi</t>
  </si>
  <si>
    <t>unk</t>
  </si>
  <si>
    <t>slha</t>
  </si>
  <si>
    <t>lalu</t>
  </si>
  <si>
    <t>budari</t>
  </si>
  <si>
    <t>sorhari</t>
  </si>
  <si>
    <t>pengea</t>
  </si>
  <si>
    <t>disarank</t>
  </si>
  <si>
    <t>Batak Museum</t>
  </si>
  <si>
    <t>tb</t>
  </si>
  <si>
    <t>center</t>
  </si>
  <si>
    <t>jejak</t>
  </si>
  <si>
    <t>langkah</t>
  </si>
  <si>
    <t>no</t>
  </si>
  <si>
    <t>88</t>
  </si>
  <si>
    <t>Patung Boraspati ni Tano- Boru Saniang Naga</t>
  </si>
  <si>
    <t>boraspati</t>
  </si>
  <si>
    <t>bengkarung</t>
  </si>
  <si>
    <t>kadal</t>
  </si>
  <si>
    <t>dewa</t>
  </si>
  <si>
    <t>beri</t>
  </si>
  <si>
    <t>subur</t>
  </si>
  <si>
    <t>saniang</t>
  </si>
  <si>
    <t>naga</t>
  </si>
  <si>
    <t>dewi</t>
  </si>
  <si>
    <t>unsur</t>
  </si>
  <si>
    <t>rutin</t>
  </si>
  <si>
    <t>panen</t>
  </si>
  <si>
    <t>wajah</t>
  </si>
  <si>
    <t>sipu</t>
  </si>
  <si>
    <t>rambut</t>
  </si>
  <si>
    <t>juntai</t>
  </si>
  <si>
    <t>gelombang</t>
  </si>
  <si>
    <t>wanita</t>
  </si>
  <si>
    <t>base</t>
  </si>
  <si>
    <t>landas</t>
  </si>
  <si>
    <t>plat</t>
  </si>
  <si>
    <t>segitiga</t>
  </si>
  <si>
    <t>analogi</t>
  </si>
  <si>
    <t>bangso</t>
  </si>
  <si>
    <t>waterfornt</t>
  </si>
  <si>
    <t>Pantai Pak Surung Silalahi</t>
  </si>
  <si>
    <t>surunlalahi</t>
  </si>
  <si>
    <t>pantaiienawarkan</t>
  </si>
  <si>
    <t>brna</t>
  </si>
  <si>
    <t>surung</t>
  </si>
  <si>
    <t>sia</t>
  </si>
  <si>
    <t>maabe</t>
  </si>
  <si>
    <t>in trip com</t>
  </si>
  <si>
    <t>iri</t>
  </si>
  <si>
    <t>bike</t>
  </si>
  <si>
    <t>camp</t>
  </si>
  <si>
    <t>Batu Lihi Star</t>
  </si>
  <si>
    <t>lihi</t>
  </si>
  <si>
    <t>Puncak Huta Ginjang</t>
  </si>
  <si>
    <t>LA Pinus Damasus Bistro &amp; Restro</t>
  </si>
  <si>
    <t>bistro</t>
  </si>
  <si>
    <t>digital</t>
  </si>
  <si>
    <t>kartu</t>
  </si>
  <si>
    <t>kredit</t>
  </si>
  <si>
    <t>mastercard</t>
  </si>
  <si>
    <t>visa</t>
  </si>
  <si>
    <t>sarap</t>
  </si>
  <si>
    <t>brunch</t>
  </si>
  <si>
    <t>gaya</t>
  </si>
  <si>
    <t>meja</t>
  </si>
  <si>
    <t>Tepi Danau Bistro</t>
  </si>
  <si>
    <t>Damasus Nataboan Resto</t>
  </si>
  <si>
    <t>9 00-21 00</t>
  </si>
  <si>
    <t>Damar Toba ~ Lakeside Eatery &amp; Stay</t>
  </si>
  <si>
    <t>damar</t>
  </si>
  <si>
    <t>ber-ac</t>
  </si>
  <si>
    <t>wifi</t>
  </si>
  <si>
    <t>Warung Bikers Parapat</t>
  </si>
  <si>
    <t>bikparapat</t>
  </si>
  <si>
    <t>sebai</t>
  </si>
  <si>
    <t>berkumpulaomunitas</t>
  </si>
  <si>
    <t>estaurantguru com</t>
  </si>
  <si>
    <t>bikers</t>
  </si>
  <si>
    <t>rating</t>
  </si>
  <si>
    <t>4 6</t>
  </si>
  <si>
    <t>berdasarkan3lasan</t>
  </si>
  <si>
    <t>restaurantguru com</t>
  </si>
  <si>
    <t>warungbikersparapat</t>
  </si>
  <si>
    <t>Today s Cafe</t>
  </si>
  <si>
    <t>today</t>
  </si>
  <si>
    <t>alan</t>
  </si>
  <si>
    <t>indonesian</t>
  </si>
  <si>
    <t>non-kopi</t>
  </si>
  <si>
    <t>wisawan</t>
  </si>
  <si>
    <t>ktak</t>
  </si>
  <si>
    <t>tu</t>
  </si>
  <si>
    <t>sutera</t>
  </si>
  <si>
    <t>ionesia</t>
  </si>
  <si>
    <t>tripadvir com</t>
  </si>
  <si>
    <t>813-7521-4981</t>
  </si>
  <si>
    <t>evendo com</t>
  </si>
  <si>
    <t>senin</t>
  </si>
  <si>
    <t>higa</t>
  </si>
  <si>
    <t>minggu</t>
  </si>
  <si>
    <t>0-</t>
  </si>
  <si>
    <t>endo com</t>
  </si>
  <si>
    <t>indoor</t>
  </si>
  <si>
    <t>odoor</t>
  </si>
  <si>
    <t>tripadvisor</t>
  </si>
  <si>
    <t>komentar</t>
  </si>
  <si>
    <t>positif</t>
  </si>
  <si>
    <t>mie</t>
  </si>
  <si>
    <t>smoothie</t>
  </si>
  <si>
    <t>buah</t>
  </si>
  <si>
    <t>Maruba Restaurant</t>
  </si>
  <si>
    <t>diet</t>
  </si>
  <si>
    <t>vegetarian</t>
  </si>
  <si>
    <t>vegan</t>
  </si>
  <si>
    <t>alkohol</t>
  </si>
  <si>
    <t>Rumah Makan Elizabeth</t>
  </si>
  <si>
    <t>abeth</t>
  </si>
  <si>
    <t>sungun</t>
  </si>
  <si>
    <t>hgga</t>
  </si>
  <si>
    <t>pu06 00</t>
  </si>
  <si>
    <t>0813-7091-1546</t>
  </si>
  <si>
    <t>semu com</t>
  </si>
  <si>
    <t>elizabeth</t>
  </si>
  <si>
    <t>mliki</t>
  </si>
  <si>
    <t>4 0</t>
  </si>
  <si>
    <t>242</t>
  </si>
  <si>
    <t>bukutelepon cybo com</t>
  </si>
  <si>
    <t>rmelizabeth business site</t>
  </si>
  <si>
    <t>Rumah Makan Islam Murni</t>
  </si>
  <si>
    <t>islamurni</t>
  </si>
  <si>
    <t>reviews</t>
  </si>
  <si>
    <t>tse2 mm bing net th</t>
  </si>
  <si>
    <t>id oip rk9 velrsaba5s-wdwsrlqhah0</t>
  </si>
  <si>
    <t>pid apirumah</t>
  </si>
  <si>
    <t>islam</t>
  </si>
  <si>
    <t>murni</t>
  </si>
  <si>
    <t>samosirsumatera</t>
  </si>
  <si>
    <t>resran</t>
  </si>
  <si>
    <t>telaheroperasi</t>
  </si>
  <si>
    <t>1989</t>
  </si>
  <si>
    <t>indonesiaang</t>
  </si>
  <si>
    <t>jurnaleh pikiran-rakyat com</t>
  </si>
  <si>
    <t>jurnalaceh pikiran-rakyat com nasion pr-1797192474 ini-o-10-rumah-kan-muslim-di-danau-toba-yang-paling-hits-soal-rasa-sudah-pasti-enak</t>
  </si>
  <si>
    <t>page all</t>
  </si>
  <si>
    <t>singamangaraja</t>
  </si>
  <si>
    <t>jurnalaceh pikiran-rakyat com</t>
  </si>
  <si>
    <t>06 00</t>
  </si>
  <si>
    <t>tobajoujou com</t>
  </si>
  <si>
    <t>ayam</t>
  </si>
  <si>
    <t>pecel</t>
  </si>
  <si>
    <t>gulai</t>
  </si>
  <si>
    <t>soto</t>
  </si>
  <si>
    <t>lontong</t>
  </si>
  <si>
    <t>sayur</t>
  </si>
  <si>
    <t>4 2</t>
  </si>
  <si>
    <t>114</t>
  </si>
  <si>
    <t>Greens Cafe Balige</t>
  </si>
  <si>
    <t>greens</t>
  </si>
  <si>
    <t>nongkro</t>
  </si>
  <si>
    <t>berskan</t>
  </si>
  <si>
    <t>langgan</t>
  </si>
  <si>
    <t>cafelige</t>
  </si>
  <si>
    <t>repositori uma ac id</t>
  </si>
  <si>
    <t>Buddhas Cafe- Vegan (புத்தர் கஃபே/बुद्ध कैफे)</t>
  </si>
  <si>
    <t>buddhas</t>
  </si>
  <si>
    <t>mart</t>
  </si>
  <si>
    <t>denganemandangan</t>
  </si>
  <si>
    <t>pengalamanliner</t>
  </si>
  <si>
    <t>berkeljutan</t>
  </si>
  <si>
    <t>pr46 f5w</t>
  </si>
  <si>
    <t>selasa</t>
  </si>
  <si>
    <t>rabu</t>
  </si>
  <si>
    <t>kamis</t>
  </si>
  <si>
    <t>jumat</t>
  </si>
  <si>
    <t>10 0-</t>
  </si>
  <si>
    <t>gugah</t>
  </si>
  <si>
    <t>selera</t>
  </si>
  <si>
    <t>kentang</t>
  </si>
  <si>
    <t>bam</t>
  </si>
  <si>
    <t>java</t>
  </si>
  <si>
    <t>stik</t>
  </si>
  <si>
    <t>tempe</t>
  </si>
  <si>
    <t>renyah</t>
  </si>
  <si>
    <t>saus</t>
  </si>
  <si>
    <t>kacang</t>
  </si>
  <si>
    <t>plantbaseddennis nl</t>
  </si>
  <si>
    <t>buddha</t>
  </si>
  <si>
    <t>the cafebuddha</t>
  </si>
  <si>
    <t>Biwa Cafe &amp; Resto</t>
  </si>
  <si>
    <t>Rumah Makan Lomak</t>
  </si>
  <si>
    <t>lomak</t>
  </si>
  <si>
    <t>masatradisional</t>
  </si>
  <si>
    <t>daging</t>
  </si>
  <si>
    <t>ling</t>
  </si>
  <si>
    <t>no lurah</t>
  </si>
  <si>
    <t>tukkiadong</t>
  </si>
  <si>
    <t>lomakuka</t>
  </si>
  <si>
    <t>makanmana net</t>
  </si>
  <si>
    <t>0821-6738-1178</t>
  </si>
  <si>
    <t>LEO S Restaurant</t>
  </si>
  <si>
    <t>upaten</t>
  </si>
  <si>
    <t>tp</t>
  </si>
  <si>
    <t>24 00</t>
  </si>
  <si>
    <t>dean</t>
  </si>
  <si>
    <t>hangat</t>
  </si>
  <si>
    <t>inh</t>
  </si>
  <si>
    <t>813-7745-3783</t>
  </si>
  <si>
    <t>RM Berkah Nasional Muslim</t>
  </si>
  <si>
    <t>rm</t>
  </si>
  <si>
    <t>muslim</t>
  </si>
  <si>
    <t>siborongborong</t>
  </si>
  <si>
    <t>zat</t>
  </si>
  <si>
    <t>-alamat</t>
  </si>
  <si>
    <t>mwrf 38cjalan</t>
  </si>
  <si>
    <t>simalgun</t>
  </si>
  <si>
    <t>utara1174</t>
  </si>
  <si>
    <t>semuabis com</t>
  </si>
  <si>
    <t>semua com</t>
  </si>
  <si>
    <t>0821-6666-9981</t>
  </si>
  <si>
    <t>muabis com</t>
  </si>
  <si>
    <t>www suabis com rm-berkah-nasional-muslim-0821-6666-9981</t>
  </si>
  <si>
    <t>fasili</t>
  </si>
  <si>
    <t>ssial</t>
  </si>
  <si>
    <t>penyet</t>
  </si>
  <si>
    <t>sambal</t>
  </si>
  <si>
    <t>dikenalgan</t>
  </si>
  <si>
    <t>sebagaempat</t>
  </si>
  <si>
    <t>Rumah Makan Islam Mami Tempo</t>
  </si>
  <si>
    <t>mami</t>
  </si>
  <si>
    <t>tempo</t>
  </si>
  <si>
    <t>2239empat</t>
  </si>
  <si>
    <t>berdasark</t>
  </si>
  <si>
    <t>tripadvirrestoran</t>
  </si>
  <si>
    <t>4 5</t>
  </si>
  <si>
    <t>puji</t>
  </si>
  <si>
    <t>tripadvisor co id</t>
  </si>
  <si>
    <t>bera</t>
  </si>
  <si>
    <t>rp80 000</t>
  </si>
  <si>
    <t>porsi</t>
  </si>
  <si>
    <t>gor</t>
  </si>
  <si>
    <t>Warung sarapan pagi Risna</t>
  </si>
  <si>
    <t>risna</t>
  </si>
  <si>
    <t>josep</t>
  </si>
  <si>
    <t>no 90</t>
  </si>
  <si>
    <t>kabupateimalungun</t>
  </si>
  <si>
    <t>temp</t>
  </si>
  <si>
    <t>lokaang</t>
  </si>
  <si>
    <t>informa</t>
  </si>
  <si>
    <t>tepon</t>
  </si>
  <si>
    <t>0822-7718-7705</t>
  </si>
  <si>
    <t>mingg</t>
  </si>
  <si>
    <t>inndapatkan</t>
  </si>
  <si>
    <t>26</t>
  </si>
  <si>
    <t>pengunng</t>
  </si>
  <si>
    <t>yangyaman</t>
  </si>
  <si>
    <t>tional</t>
  </si>
  <si>
    <t>lauk</t>
  </si>
  <si>
    <t>pauk</t>
  </si>
  <si>
    <t>ngsung</t>
  </si>
  <si>
    <t>Kedai bakmie &amp; Kopi Serasi</t>
  </si>
  <si>
    <t>kedai</t>
  </si>
  <si>
    <t>bakmie</t>
  </si>
  <si>
    <t>serasi</t>
  </si>
  <si>
    <t>bakmi</t>
  </si>
  <si>
    <t>cita</t>
  </si>
  <si>
    <t>www instagram com explore locations 332870707206532 kedai-kopi-serasi</t>
  </si>
  <si>
    <t>Parapat Central Food</t>
  </si>
  <si>
    <t>central</t>
  </si>
  <si>
    <t>inas</t>
  </si>
  <si>
    <t>seba</t>
  </si>
  <si>
    <t>0827755-5</t>
  </si>
  <si>
    <t>15 00</t>
  </si>
  <si>
    <t>02 30</t>
  </si>
  <si>
    <t>waze com</t>
  </si>
  <si>
    <t>ketersediaban</t>
  </si>
  <si>
    <t>parat</t>
  </si>
  <si>
    <t>RM. Nasional Sampean Uli</t>
  </si>
  <si>
    <t>sampean</t>
  </si>
  <si>
    <t>uli</t>
  </si>
  <si>
    <t>siga</t>
  </si>
  <si>
    <t>kabupatesamosir</t>
  </si>
  <si>
    <t>napinadar</t>
  </si>
  <si>
    <t>frit</t>
  </si>
  <si>
    <t>insgram com</t>
  </si>
  <si>
    <t>0821-6606-36</t>
  </si>
  <si>
    <t>wonly</t>
  </si>
  <si>
    <t>instam m</t>
  </si>
  <si>
    <t>tup</t>
  </si>
  <si>
    <t>RM Siaek Mual</t>
  </si>
  <si>
    <t>siaek</t>
  </si>
  <si>
    <t>mual</t>
  </si>
  <si>
    <t>pangururanbupaten</t>
  </si>
  <si>
    <t>22392</t>
  </si>
  <si>
    <t>favorbagi</t>
  </si>
  <si>
    <t>wisatawan informasi</t>
  </si>
  <si>
    <t>jamperasional</t>
  </si>
  <si>
    <t>sen</t>
  </si>
  <si>
    <t>hingminggu</t>
  </si>
  <si>
    <t>210</t>
  </si>
  <si>
    <t>Joes Restaurant</t>
  </si>
  <si>
    <t>joe</t>
  </si>
  <si>
    <t>kapaten</t>
  </si>
  <si>
    <t>sumara</t>
  </si>
  <si>
    <t>dikenalengan</t>
  </si>
  <si>
    <t>rh</t>
  </si>
  <si>
    <t>gi</t>
  </si>
  <si>
    <t>ssialisasi</t>
  </si>
  <si>
    <t>hidanradisional</t>
  </si>
  <si>
    <t>dipangganean</t>
  </si>
  <si>
    <t>bumbu</t>
  </si>
  <si>
    <t>sapi</t>
  </si>
  <si>
    <t>dimasadengan</t>
  </si>
  <si>
    <t>rempah-rempakaya</t>
  </si>
  <si>
    <t>nasyang</t>
  </si>
  <si>
    <t>tusuk</t>
  </si>
  <si>
    <t>barbekyu</t>
  </si>
  <si>
    <t>salad</t>
  </si>
  <si>
    <t>filitas</t>
  </si>
  <si>
    <t>restaurantenawarkan</t>
  </si>
  <si>
    <t>mikmati</t>
  </si>
  <si>
    <t>lokasbil</t>
  </si>
  <si>
    <t>opesional</t>
  </si>
  <si>
    <t>22 30</t>
  </si>
  <si>
    <t>813-6217-2110</t>
  </si>
  <si>
    <t>Sekapur Sirih</t>
  </si>
  <si>
    <t>kapur</t>
  </si>
  <si>
    <t>sirih</t>
  </si>
  <si>
    <t>reoran</t>
  </si>
  <si>
    <t>hidanganhas</t>
  </si>
  <si>
    <t>yanamah</t>
  </si>
  <si>
    <t>tripadvisor c</t>
  </si>
  <si>
    <t>821-6230-0099</t>
  </si>
  <si>
    <t>Palito Coffee and Resto</t>
  </si>
  <si>
    <t>palito</t>
  </si>
  <si>
    <t>fl</t>
  </si>
  <si>
    <t>tobing</t>
  </si>
  <si>
    <t>67</t>
  </si>
  <si>
    <t>sair</t>
  </si>
  <si>
    <t>khsamosir</t>
  </si>
  <si>
    <t>kal</t>
  </si>
  <si>
    <t>nor</t>
  </si>
  <si>
    <t>626328</t>
  </si>
  <si>
    <t>idalamat com</t>
  </si>
  <si>
    <t>RM BPK Anugrah Siopat Parbaba</t>
  </si>
  <si>
    <t>085216498</t>
  </si>
  <si>
    <t>mus m</t>
  </si>
  <si>
    <t>00</t>
  </si>
  <si>
    <t>bpk</t>
  </si>
  <si>
    <t>anugrah</t>
  </si>
  <si>
    <t>siopat</t>
  </si>
  <si>
    <t>Restoran Sinar Pagi</t>
  </si>
  <si>
    <t>opat</t>
  </si>
  <si>
    <t>adalahumah</t>
  </si>
  <si>
    <t>panruran</t>
  </si>
  <si>
    <t>no km</t>
  </si>
  <si>
    <t>bonabona</t>
  </si>
  <si>
    <t>semuabcom</t>
  </si>
  <si>
    <t>ngururan</t>
  </si>
  <si>
    <t>simanindodesa</t>
  </si>
  <si>
    <t>bonaa</t>
  </si>
  <si>
    <t>ecamatan</t>
  </si>
  <si>
    <t>RM Gulasa (Khas Batak)</t>
  </si>
  <si>
    <t>0813-7555-7619</t>
  </si>
  <si>
    <t>www semuabis com rm-gulasa-khas-batak-0813-7555-7619</t>
  </si>
  <si>
    <t>gulasa</t>
  </si>
  <si>
    <t>River Side Samosir</t>
  </si>
  <si>
    <t>river</t>
  </si>
  <si>
    <t>jln</t>
  </si>
  <si>
    <t>kabupatamosir</t>
  </si>
  <si>
    <t>22391</t>
  </si>
  <si>
    <t>indahrip</t>
  </si>
  <si>
    <t>nook</t>
  </si>
  <si>
    <t>indomie</t>
  </si>
  <si>
    <t>kuah</t>
  </si>
  <si>
    <t>spesial</t>
  </si>
  <si>
    <t>udang</t>
  </si>
  <si>
    <t>seraion</t>
  </si>
  <si>
    <t>jahe</t>
  </si>
  <si>
    <t>yangitawarkan</t>
  </si>
  <si>
    <t>terjak</t>
  </si>
  <si>
    <t>top-rated online</t>
  </si>
  <si>
    <t>memilikiing</t>
  </si>
  <si>
    <t>4 4</t>
  </si>
  <si>
    <t>847</t>
  </si>
  <si>
    <t>google</t>
  </si>
  <si>
    <t>maps</t>
  </si>
  <si>
    <t>pukul0</t>
  </si>
  <si>
    <t>813-9653-3966</t>
  </si>
  <si>
    <t>Elios - Rumah Makan Khas Batak</t>
  </si>
  <si>
    <t>kantin</t>
  </si>
  <si>
    <t>Rumah makan muslim citra langkat</t>
  </si>
  <si>
    <t>citra</t>
  </si>
  <si>
    <t>langkat</t>
  </si>
  <si>
    <t>oran</t>
  </si>
  <si>
    <t>melayu</t>
  </si>
  <si>
    <t>operasionala</t>
  </si>
  <si>
    <t>hardi</t>
  </si>
  <si>
    <t>0823-6948-3114</t>
  </si>
  <si>
    <t>RM Orangta BPK &amp; Tombur</t>
  </si>
  <si>
    <t>orangta</t>
  </si>
  <si>
    <t>tombur</t>
  </si>
  <si>
    <t>sup</t>
  </si>
  <si>
    <t>pedas</t>
  </si>
  <si>
    <t>andaliman</t>
  </si>
  <si>
    <t>sua</t>
  </si>
  <si>
    <t>santap</t>
  </si>
  <si>
    <t>waerlog com</t>
  </si>
  <si>
    <t>17 25</t>
  </si>
  <si>
    <t>19 00</t>
  </si>
  <si>
    <t>informi</t>
  </si>
  <si>
    <t>anddapat</t>
  </si>
  <si>
    <t>878-2517-8909</t>
  </si>
  <si>
    <t>wanderlog com</t>
  </si>
  <si>
    <t>Pondok Kolding Pangururan.samosir</t>
  </si>
  <si>
    <t>kolding</t>
  </si>
  <si>
    <t>rran</t>
  </si>
  <si>
    <t>patuan</t>
  </si>
  <si>
    <t>anggi</t>
  </si>
  <si>
    <t>kabupen</t>
  </si>
  <si>
    <t>sumaterura</t>
  </si>
  <si>
    <t>pangsit</t>
  </si>
  <si>
    <t>operional</t>
  </si>
  <si>
    <t>koldin</t>
  </si>
  <si>
    <t>0856-5801-8208</t>
  </si>
  <si>
    <t>sisparnas com</t>
  </si>
  <si>
    <t>Rumah Makan Muslim Hajjah Zuleka</t>
  </si>
  <si>
    <t>hh</t>
  </si>
  <si>
    <t>zuleka</t>
  </si>
  <si>
    <t>sumatutara</t>
  </si>
  <si>
    <t>lur</t>
  </si>
  <si>
    <t>balado</t>
  </si>
  <si>
    <t>uubi</t>
  </si>
  <si>
    <t>tumbuk</t>
  </si>
  <si>
    <t>jengkol</t>
  </si>
  <si>
    <t>jamin</t>
  </si>
  <si>
    <t>konsumsi</t>
  </si>
  <si>
    <t>switour com</t>
  </si>
  <si>
    <t>menyajamasakan</t>
  </si>
  <si>
    <t>hajjah</t>
  </si>
  <si>
    <t>yaideal</t>
  </si>
  <si>
    <t>batakita com</t>
  </si>
  <si>
    <t>Putra Kembar Coffee Shop &amp; Resto</t>
  </si>
  <si>
    <t>putra</t>
  </si>
  <si>
    <t>warkop</t>
  </si>
  <si>
    <t>pahae</t>
  </si>
  <si>
    <t>22463</t>
  </si>
  <si>
    <t>mbil</t>
  </si>
  <si>
    <t>keinh</t>
  </si>
  <si>
    <t>depok pikiran-rakyat com</t>
  </si>
  <si>
    <t>jaoperasional</t>
  </si>
  <si>
    <t>kb</t>
  </si>
  <si>
    <t>821-6339-1447</t>
  </si>
  <si>
    <t>Rumah Makan Marina</t>
  </si>
  <si>
    <t>mamarina</t>
  </si>
  <si>
    <t>no 48</t>
  </si>
  <si>
    <t>nidangan</t>
  </si>
  <si>
    <t>pari</t>
  </si>
  <si>
    <t>bany</t>
  </si>
  <si>
    <t>top-t online</t>
  </si>
  <si>
    <t>marina</t>
  </si>
  <si>
    <t>0822-7696-4616</t>
  </si>
  <si>
    <t>RM. Fly Over Laguboti</t>
  </si>
  <si>
    <t>fly</t>
  </si>
  <si>
    <t>over</t>
  </si>
  <si>
    <t>tobaosir</t>
  </si>
  <si>
    <t>22381</t>
  </si>
  <si>
    <t>naniura uasana</t>
  </si>
  <si>
    <t>yanbsih</t>
  </si>
  <si>
    <t>temt</t>
  </si>
  <si>
    <t>busiap</t>
  </si>
  <si>
    <t>Parapat Pansit Babi</t>
  </si>
  <si>
    <t>pansit</t>
  </si>
  <si>
    <t>suma</t>
  </si>
  <si>
    <t>28174</t>
  </si>
  <si>
    <t>damenjadi</t>
  </si>
  <si>
    <t>bankengunjung</t>
  </si>
  <si>
    <t>capcay</t>
  </si>
  <si>
    <t>tiocom</t>
  </si>
  <si>
    <t>iingga</t>
  </si>
  <si>
    <t>enak</t>
  </si>
  <si>
    <t>legend</t>
  </si>
  <si>
    <t>Widya Restaurant</t>
  </si>
  <si>
    <t>widya</t>
  </si>
  <si>
    <t>specialist</t>
  </si>
  <si>
    <t>lobster</t>
  </si>
  <si>
    <t>teak</t>
  </si>
  <si>
    <t>ksusnya</t>
  </si>
  <si>
    <t>spesialisasi</t>
  </si>
  <si>
    <t>wya</t>
  </si>
  <si>
    <t>menawark</t>
  </si>
  <si>
    <t>aneka</t>
  </si>
  <si>
    <t>sah</t>
  </si>
  <si>
    <t>direkondasikan</t>
  </si>
  <si>
    <t>galah</t>
  </si>
  <si>
    <t>seafood</t>
  </si>
  <si>
    <t>paradise</t>
  </si>
  <si>
    <t>best</t>
  </si>
  <si>
    <t>sellers</t>
  </si>
  <si>
    <t>Wisata Bagot</t>
  </si>
  <si>
    <t>parlondut</t>
  </si>
  <si>
    <t>nira</t>
  </si>
  <si>
    <t>berbagahidangan</t>
  </si>
  <si>
    <t>napinadaitu</t>
  </si>
  <si>
    <t>rempah</t>
  </si>
  <si>
    <t>animan</t>
  </si>
  <si>
    <t>14 00</t>
  </si>
  <si>
    <t>081388590638</t>
  </si>
  <si>
    <t>Yodi Kuliner Khas Batak</t>
  </si>
  <si>
    <t>yodi</t>
  </si>
  <si>
    <t>pindaraya</t>
  </si>
  <si>
    <t>suaa</t>
  </si>
  <si>
    <t>meti</t>
  </si>
  <si>
    <t>irmasi</t>
  </si>
  <si>
    <t>6281260943482</t>
  </si>
  <si>
    <t>etiap</t>
  </si>
  <si>
    <t>Restaurant Asia</t>
  </si>
  <si>
    <t>no 65</t>
  </si>
  <si>
    <t>sek</t>
  </si>
  <si>
    <t>1965</t>
  </si>
  <si>
    <t>tiongkok</t>
  </si>
  <si>
    <t>restoraia</t>
  </si>
  <si>
    <t>menyediakapilihan</t>
  </si>
  <si>
    <t>bebepa</t>
  </si>
  <si>
    <t>goren</t>
  </si>
  <si>
    <t>hidanganaut</t>
  </si>
  <si>
    <t>restaurantru com</t>
  </si>
  <si>
    <t>Rumah Makan Khas Minang</t>
  </si>
  <si>
    <t>minangkabau</t>
  </si>
  <si>
    <t>sepertrendang</t>
  </si>
  <si>
    <t>pa-pora</t>
  </si>
  <si>
    <t>cabe</t>
  </si>
  <si>
    <t>gore</t>
  </si>
  <si>
    <t>tripvisor co id</t>
  </si>
  <si>
    <t>0625</t>
  </si>
  <si>
    <t>41450</t>
  </si>
  <si>
    <t>Waroeng Lesehan Gok Parasian</t>
  </si>
  <si>
    <t>waroeng</t>
  </si>
  <si>
    <t>leseh</t>
  </si>
  <si>
    <t>gok</t>
  </si>
  <si>
    <t>parasian</t>
  </si>
  <si>
    <t>parasianlah</t>
  </si>
  <si>
    <t>pangururakabupaten</t>
  </si>
  <si>
    <t>info</t>
  </si>
  <si>
    <t>telepon831-9016-9425</t>
  </si>
  <si>
    <t>operal</t>
  </si>
  <si>
    <t>06 23</t>
  </si>
  <si>
    <t>05 27</t>
  </si>
  <si>
    <t>00 00</t>
  </si>
  <si>
    <t>Tipang Mas Restoran</t>
  </si>
  <si>
    <t>mastoran</t>
  </si>
  <si>
    <t>bakti</t>
  </si>
  <si>
    <t>22457</t>
  </si>
  <si>
    <t>kemba</t>
  </si>
  <si>
    <t>mungkin</t>
  </si>
  <si>
    <t>lay</t>
  </si>
  <si>
    <t>keramba</t>
  </si>
  <si>
    <t>terapg</t>
  </si>
  <si>
    <t>akomoda</t>
  </si>
  <si>
    <t>total</t>
  </si>
  <si>
    <t>0853-3899-5246</t>
  </si>
  <si>
    <t>scribd com</t>
  </si>
  <si>
    <t>Tabodo Masakan Khas Batak</t>
  </si>
  <si>
    <t>tabodo</t>
  </si>
  <si>
    <t>patane</t>
  </si>
  <si>
    <t>v</t>
  </si>
  <si>
    <t>porseabupaten</t>
  </si>
  <si>
    <t>22384</t>
  </si>
  <si>
    <t>0821100-4998</t>
  </si>
  <si>
    <t>bkppkutim c</t>
  </si>
  <si>
    <t>harina</t>
  </si>
  <si>
    <t>nomtdan</t>
  </si>
  <si>
    <t>Jenny s Restaurant</t>
  </si>
  <si>
    <t>jenny</t>
  </si>
  <si>
    <t>sumate</t>
  </si>
  <si>
    <t>indones</t>
  </si>
  <si>
    <t>edoom</t>
  </si>
  <si>
    <t>jny</t>
  </si>
  <si>
    <t>termasu-rendang</t>
  </si>
  <si>
    <t>doreng</t>
  </si>
  <si>
    <t>as</t>
  </si>
  <si>
    <t>bakhas</t>
  </si>
  <si>
    <t>danuasana</t>
  </si>
  <si>
    <t>nman</t>
  </si>
  <si>
    <t>meniktkeindahan</t>
  </si>
  <si>
    <t>jey</t>
  </si>
  <si>
    <t>813-9791-4229</t>
  </si>
  <si>
    <t>Rumah Makan Islam Murni TukTuk Siadong</t>
  </si>
  <si>
    <t>Warung Mas Budi</t>
  </si>
  <si>
    <t>budi</t>
  </si>
  <si>
    <t>restorang</t>
  </si>
  <si>
    <t>pardomuan</t>
  </si>
  <si>
    <t>reston</t>
  </si>
  <si>
    <t>me</t>
  </si>
  <si>
    <t>lele</t>
  </si>
  <si>
    <t>jawa</t>
  </si>
  <si>
    <t>hive blog</t>
  </si>
  <si>
    <t>821-6104-4637</t>
  </si>
  <si>
    <t>bkppkutim coh288292093</t>
  </si>
  <si>
    <t>Vivi Cafe</t>
  </si>
  <si>
    <t>vivi</t>
  </si>
  <si>
    <t>22312</t>
  </si>
  <si>
    <t>untnikmati</t>
  </si>
  <si>
    <t>infori</t>
  </si>
  <si>
    <t>21</t>
  </si>
  <si>
    <t>mengunjunlo</t>
  </si>
  <si>
    <t>Mi Gomak Op.Togi. Sejak 1970</t>
  </si>
  <si>
    <t>gomak</t>
  </si>
  <si>
    <t>op togi</t>
  </si>
  <si>
    <t>legendaris</t>
  </si>
  <si>
    <t>1970</t>
  </si>
  <si>
    <t>bius</t>
  </si>
  <si>
    <t>no 62</t>
  </si>
  <si>
    <t>hidan</t>
  </si>
  <si>
    <t>porsekabupaten</t>
  </si>
  <si>
    <t>tk</t>
  </si>
  <si>
    <t>bumbs</t>
  </si>
  <si>
    <t>ang</t>
  </si>
  <si>
    <t>lattau</t>
  </si>
  <si>
    <t>yangmop togi</t>
  </si>
  <si>
    <t>BPK ( Babi Panggang Karo) Sembiring</t>
  </si>
  <si>
    <t>kabanjahe</t>
  </si>
  <si>
    <t>pekanbaru</t>
  </si>
  <si>
    <t>serang</t>
  </si>
  <si>
    <t>tangerang</t>
  </si>
  <si>
    <t>bekas</t>
  </si>
  <si>
    <t>bandung</t>
  </si>
  <si>
    <t>iris</t>
  </si>
  <si>
    <t>singkong</t>
  </si>
  <si>
    <t>kincong</t>
  </si>
  <si>
    <t>darah</t>
  </si>
  <si>
    <t>bara</t>
  </si>
  <si>
    <t>ramu</t>
  </si>
  <si>
    <t>lain</t>
  </si>
  <si>
    <t>matang</t>
  </si>
  <si>
    <t>cokelat</t>
  </si>
  <si>
    <t>gari</t>
  </si>
  <si>
    <t>aroma</t>
  </si>
  <si>
    <t>dapur</t>
  </si>
  <si>
    <t>kencong</t>
  </si>
  <si>
    <t>tuba</t>
  </si>
  <si>
    <t>jumpa</t>
  </si>
  <si>
    <t>Horas Restaurant</t>
  </si>
  <si>
    <t>siad</t>
  </si>
  <si>
    <t>yangezat</t>
  </si>
  <si>
    <t>pengunjg</t>
  </si>
  <si>
    <t>dahl</t>
  </si>
  <si>
    <t>acar</t>
  </si>
  <si>
    <t>hummus</t>
  </si>
  <si>
    <t>roti</t>
  </si>
  <si>
    <t>witawan</t>
  </si>
  <si>
    <t>meari</t>
  </si>
  <si>
    <t>operasion</t>
  </si>
  <si>
    <t>untuknformasi</t>
  </si>
  <si>
    <t>Rumah Makan Khas Batak Saurtua</t>
  </si>
  <si>
    <t>saurtua</t>
  </si>
  <si>
    <t>stera</t>
  </si>
  <si>
    <t>Restaurant Hong Kong</t>
  </si>
  <si>
    <t>restorant</t>
  </si>
  <si>
    <t>hong</t>
  </si>
  <si>
    <t>daerahebut</t>
  </si>
  <si>
    <t>41395</t>
  </si>
  <si>
    <t>dim</t>
  </si>
  <si>
    <t>sum</t>
  </si>
  <si>
    <t>leza-nasi</t>
  </si>
  <si>
    <t>siram</t>
  </si>
  <si>
    <t>miean</t>
  </si>
  <si>
    <t>kental</t>
  </si>
  <si>
    <t>topping</t>
  </si>
  <si>
    <t>andaalah</t>
  </si>
  <si>
    <t>Rumah Makan Khas Batak Lamhot</t>
  </si>
  <si>
    <t>lamhot</t>
  </si>
  <si>
    <t>nagari</t>
  </si>
  <si>
    <t>sangkar</t>
  </si>
  <si>
    <t>nihutaecamatan</t>
  </si>
  <si>
    <t>kabupan</t>
  </si>
  <si>
    <t>22313</t>
  </si>
  <si>
    <t>saksarsik</t>
  </si>
  <si>
    <t>sangkarhuta</t>
  </si>
  <si>
    <t>bige</t>
  </si>
  <si>
    <t>0852-4897</t>
  </si>
  <si>
    <t>bk-</t>
  </si>
  <si>
    <t>Babi Basecame Balige</t>
  </si>
  <si>
    <t>basecame</t>
  </si>
  <si>
    <t>Rumah Makan Panca</t>
  </si>
  <si>
    <t>makkan</t>
  </si>
  <si>
    <t>panca</t>
  </si>
  <si>
    <t>paindoan</t>
  </si>
  <si>
    <t>no 14</t>
  </si>
  <si>
    <t>haume</t>
  </si>
  <si>
    <t>bange</t>
  </si>
  <si>
    <t>kecamatbalige</t>
  </si>
  <si>
    <t>tet</t>
  </si>
  <si>
    <t>852-8037-2677</t>
  </si>
  <si>
    <t>kenyang</t>
  </si>
  <si>
    <t>habis</t>
  </si>
  <si>
    <t>50kg</t>
  </si>
  <si>
    <t>b2</t>
  </si>
  <si>
    <t>Warung Kopi Synergy Samosir</t>
  </si>
  <si>
    <t>synergy</t>
  </si>
  <si>
    <t>tempongkrong</t>
  </si>
  <si>
    <t>nyak</t>
  </si>
  <si>
    <t>853-7253-7333</t>
  </si>
  <si>
    <t>2 00</t>
  </si>
  <si>
    <t>13 00</t>
  </si>
  <si>
    <t>naung</t>
  </si>
  <si>
    <t>fokus</t>
  </si>
  <si>
    <t>industri</t>
  </si>
  <si>
    <t>sosir</t>
  </si>
  <si>
    <t>dustri</t>
  </si>
  <si>
    <t>lanjutn</t>
  </si>
  <si>
    <t>warungkopisynergy</t>
  </si>
  <si>
    <t>www instagraoatkan</t>
  </si>
  <si>
    <t>Wita Cafe</t>
  </si>
  <si>
    <t>wita</t>
  </si>
  <si>
    <t>telen</t>
  </si>
  <si>
    <t>813-7531-8783</t>
  </si>
  <si>
    <t>internet</t>
  </si>
  <si>
    <t>Orari Restaurant</t>
  </si>
  <si>
    <t>orari</t>
  </si>
  <si>
    <t>rean</t>
  </si>
  <si>
    <t>uta</t>
  </si>
  <si>
    <t>hidangaikan</t>
  </si>
  <si>
    <t>821-6071-9748</t>
  </si>
  <si>
    <t>cumi</t>
  </si>
  <si>
    <t>kerang</t>
  </si>
  <si>
    <t>Hotel and Restaurant Singgalang</t>
  </si>
  <si>
    <t>singgalang</t>
  </si>
  <si>
    <t>52</t>
  </si>
  <si>
    <t>625</t>
  </si>
  <si>
    <t>41260</t>
  </si>
  <si>
    <t>Latosu cafe</t>
  </si>
  <si>
    <t>latosu</t>
  </si>
  <si>
    <t>852-7607-5316</t>
  </si>
  <si>
    <t>karaoke</t>
  </si>
  <si>
    <t>hibur</t>
  </si>
  <si>
    <t>Warung Mbak Siti Kdi 1</t>
  </si>
  <si>
    <t>mbak</t>
  </si>
  <si>
    <t>siti</t>
  </si>
  <si>
    <t>kdi</t>
  </si>
  <si>
    <t>0852-9742-3523</t>
  </si>
  <si>
    <t>Mafir Restaurant</t>
  </si>
  <si>
    <t>mafir</t>
  </si>
  <si>
    <t>resepsionis</t>
  </si>
  <si>
    <t>traveloka</t>
  </si>
  <si>
    <t>Coffee2Go</t>
  </si>
  <si>
    <t>free</t>
  </si>
  <si>
    <t>lawang</t>
  </si>
  <si>
    <t>bersatagi</t>
  </si>
  <si>
    <t>ticket</t>
  </si>
  <si>
    <t>pesawat</t>
  </si>
  <si>
    <t>zumba</t>
  </si>
  <si>
    <t>class</t>
  </si>
  <si>
    <t>lamtiar</t>
  </si>
  <si>
    <t>butar</t>
  </si>
  <si>
    <t>lapo toba</t>
  </si>
  <si>
    <t>lapo</t>
  </si>
  <si>
    <t>bagas</t>
  </si>
  <si>
    <t>lapotoba balige</t>
  </si>
  <si>
    <t>Romlan Restaurant &amp; Bakery Café</t>
  </si>
  <si>
    <t>romlan</t>
  </si>
  <si>
    <t>bakery</t>
  </si>
  <si>
    <t>guesthouse</t>
  </si>
  <si>
    <t>36</t>
  </si>
  <si>
    <t>kue</t>
  </si>
  <si>
    <t>415386</t>
  </si>
  <si>
    <t>romlantuktuk</t>
  </si>
  <si>
    <t>Alyssa Restaurant Pizza</t>
  </si>
  <si>
    <t>alyssa</t>
  </si>
  <si>
    <t>pizza</t>
  </si>
  <si>
    <t>manis</t>
  </si>
  <si>
    <t>Restoran Tabo Toko Roti dan Sangrai Kopi</t>
  </si>
  <si>
    <t>tabo</t>
  </si>
  <si>
    <t>sangrai</t>
  </si>
  <si>
    <t>115</t>
  </si>
  <si>
    <t>tabocottages</t>
  </si>
  <si>
    <t>Samosir Villa Restaurant</t>
  </si>
  <si>
    <t>samosirvillaresort</t>
  </si>
  <si>
    <t>tipe</t>
  </si>
  <si>
    <t>Rumba Restaurant</t>
  </si>
  <si>
    <t>rumba</t>
  </si>
  <si>
    <t>vintage</t>
  </si>
  <si>
    <t>813-9633-5694</t>
  </si>
  <si>
    <t>italia</t>
  </si>
  <si>
    <t>pasta</t>
  </si>
  <si>
    <t>interior</t>
  </si>
  <si>
    <t>Restaurant Minang Gumarang</t>
  </si>
  <si>
    <t>gumarang</t>
  </si>
  <si>
    <t>sederhana</t>
  </si>
  <si>
    <t>BPK Karona</t>
  </si>
  <si>
    <t>haram</t>
  </si>
  <si>
    <t>middot</t>
  </si>
  <si>
    <t>sop</t>
  </si>
  <si>
    <t>getah</t>
  </si>
  <si>
    <t>Bakso Setan</t>
  </si>
  <si>
    <t>setan</t>
  </si>
  <si>
    <t>level</t>
  </si>
  <si>
    <t>selo</t>
  </si>
  <si>
    <t>1 4</t>
  </si>
  <si>
    <t>15 000</t>
  </si>
  <si>
    <t>bocor</t>
  </si>
  <si>
    <t>R.M Roy Khas Batak</t>
  </si>
  <si>
    <t>r m</t>
  </si>
  <si>
    <t>roy</t>
  </si>
  <si>
    <t>0813-6276-2233</t>
  </si>
  <si>
    <t>813-7711-1274</t>
  </si>
  <si>
    <t>lomok-lomok</t>
  </si>
  <si>
    <t>saksang panggang</t>
  </si>
  <si>
    <t>natinombur</t>
  </si>
  <si>
    <t>Cantik Daijo Cafe</t>
  </si>
  <si>
    <t>tea</t>
  </si>
  <si>
    <t>late</t>
  </si>
  <si>
    <t>vietnam</t>
  </si>
  <si>
    <t>Caldera Resto and Coffee</t>
  </si>
  <si>
    <t>caldera</t>
  </si>
  <si>
    <t>meeting</t>
  </si>
  <si>
    <t>western</t>
  </si>
  <si>
    <t>seruput</t>
  </si>
  <si>
    <t>instagrammable</t>
  </si>
  <si>
    <t>Restaurant Istana Minang 2</t>
  </si>
  <si>
    <t>no 72</t>
  </si>
  <si>
    <t>marihat</t>
  </si>
  <si>
    <t>21114</t>
  </si>
  <si>
    <t>mantap</t>
  </si>
  <si>
    <t>41262</t>
  </si>
  <si>
    <t>Kedai Bakmi Laris</t>
  </si>
  <si>
    <t>bakpao</t>
  </si>
  <si>
    <t>laris</t>
  </si>
  <si>
    <t>05 30</t>
  </si>
  <si>
    <t>rp4 000-an</t>
  </si>
  <si>
    <t>632</t>
  </si>
  <si>
    <t>21472</t>
  </si>
  <si>
    <t>Tepi Coffee</t>
  </si>
  <si>
    <t>no 13</t>
  </si>
  <si>
    <t>cangkir</t>
  </si>
  <si>
    <t>12 00</t>
  </si>
  <si>
    <t>812-6975-8711</t>
  </si>
  <si>
    <t>in</t>
  </si>
  <si>
    <t>located</t>
  </si>
  <si>
    <t>on</t>
  </si>
  <si>
    <t>scenic</t>
  </si>
  <si>
    <t>shores</t>
  </si>
  <si>
    <t>of</t>
  </si>
  <si>
    <t>offers</t>
  </si>
  <si>
    <t>serene</t>
  </si>
  <si>
    <t>picturesque</t>
  </si>
  <si>
    <t>setting</t>
  </si>
  <si>
    <t>for</t>
  </si>
  <si>
    <t>lovers</t>
  </si>
  <si>
    <t>enthusiasts</t>
  </si>
  <si>
    <t>alike</t>
  </si>
  <si>
    <t>renovasi</t>
  </si>
  <si>
    <t>ganggu</t>
  </si>
  <si>
    <t>ngopi</t>
  </si>
  <si>
    <t>SOP Kerbau Siparo Gogo</t>
  </si>
  <si>
    <t>kerbau</t>
  </si>
  <si>
    <t>koordinat</t>
  </si>
  <si>
    <t>peta</t>
  </si>
  <si>
    <t>siparo</t>
  </si>
  <si>
    <t>gogo</t>
  </si>
  <si>
    <t>WinTie CoffeeShop-Parapat</t>
  </si>
  <si>
    <t>wintie</t>
  </si>
  <si>
    <t>coffeeshop</t>
  </si>
  <si>
    <t>simpang</t>
  </si>
  <si>
    <t>sitahoan</t>
  </si>
  <si>
    <t>rp53 000</t>
  </si>
  <si>
    <t>rp186 000</t>
  </si>
  <si>
    <t>tripadvisor in</t>
  </si>
  <si>
    <t>wintie coffeeshop</t>
  </si>
  <si>
    <t>0822-1152-9282</t>
  </si>
  <si>
    <t>perangkat</t>
  </si>
  <si>
    <t>elektronik</t>
  </si>
  <si>
    <t>Warung Bakso Rahayu</t>
  </si>
  <si>
    <t>rp13 000</t>
  </si>
  <si>
    <t>rp25 000</t>
  </si>
  <si>
    <t>rp22 000</t>
  </si>
  <si>
    <t>Pizza Andaliman</t>
  </si>
  <si>
    <t>wortel</t>
  </si>
  <si>
    <t>kol</t>
  </si>
  <si>
    <t>jagung</t>
  </si>
  <si>
    <t>Warung Muslim Suteja</t>
  </si>
  <si>
    <t>suteja</t>
  </si>
  <si>
    <t>danautoba co id</t>
  </si>
  <si>
    <t>0812-8107-1300</t>
  </si>
  <si>
    <t>20 30</t>
  </si>
  <si>
    <t>Cafe Hollywood</t>
  </si>
  <si>
    <t>hollywood</t>
  </si>
  <si>
    <t>soposurung</t>
  </si>
  <si>
    <t>semi-outdoor</t>
  </si>
  <si>
    <t>11 00</t>
  </si>
  <si>
    <t>0632-4320526</t>
  </si>
  <si>
    <t>0811-6296-978</t>
  </si>
  <si>
    <t>muas</t>
  </si>
  <si>
    <t>Chinese Restaurant Tuktuk</t>
  </si>
  <si>
    <t>chinese</t>
  </si>
  <si>
    <t>cina</t>
  </si>
  <si>
    <t>raquo</t>
  </si>
  <si>
    <t>Tuktuk Pizzeria Restaurant</t>
  </si>
  <si>
    <t>pizzeria</t>
  </si>
  <si>
    <t>tipis</t>
  </si>
  <si>
    <t>oven</t>
  </si>
  <si>
    <t>bir</t>
  </si>
  <si>
    <t>biliar</t>
  </si>
  <si>
    <t>tenis</t>
  </si>
  <si>
    <t>857-6118-9770</t>
  </si>
  <si>
    <t>RM Sopo Balian</t>
  </si>
  <si>
    <t>balian</t>
  </si>
  <si>
    <t>siliwangi</t>
  </si>
  <si>
    <t>sanggul</t>
  </si>
  <si>
    <t>bonani</t>
  </si>
  <si>
    <t>0823-8900-7972</t>
  </si>
  <si>
    <t>patut</t>
  </si>
  <si>
    <t>Mie Gomak Mak Renny</t>
  </si>
  <si>
    <t>mak</t>
  </si>
  <si>
    <t>renny</t>
  </si>
  <si>
    <t>banderol</t>
  </si>
  <si>
    <t>rp7 000</t>
  </si>
  <si>
    <t>Chinese Food Gemar</t>
  </si>
  <si>
    <t>kategori</t>
  </si>
  <si>
    <t>china</t>
  </si>
  <si>
    <t>fitru</t>
  </si>
  <si>
    <t>pesan</t>
  </si>
  <si>
    <t>kelompok</t>
  </si>
  <si>
    <t>Ecovillage Silimalombu homestay/farmstay</t>
  </si>
  <si>
    <t>bagi</t>
  </si>
  <si>
    <t>terna</t>
  </si>
  <si>
    <t>hasilnyaxx</t>
  </si>
  <si>
    <t>makana</t>
  </si>
  <si>
    <t>beras</t>
  </si>
  <si>
    <t>petik</t>
  </si>
  <si>
    <t>kenan</t>
  </si>
  <si>
    <t>wine</t>
  </si>
  <si>
    <t>cuka</t>
  </si>
  <si>
    <t>selai</t>
  </si>
  <si>
    <t>herbal</t>
  </si>
  <si>
    <t>200-500</t>
  </si>
  <si>
    <t>ternak</t>
  </si>
  <si>
    <t>markisa</t>
  </si>
  <si>
    <t>jambu</t>
  </si>
  <si>
    <t>klutuk</t>
  </si>
  <si>
    <t>apokat</t>
  </si>
  <si>
    <t>pisang</t>
  </si>
  <si>
    <t>durian</t>
  </si>
  <si>
    <t>terong</t>
  </si>
  <si>
    <t>dll</t>
  </si>
  <si>
    <t>100 000 orang hari</t>
  </si>
  <si>
    <t>teras</t>
  </si>
  <si>
    <t>batak-cusine</t>
  </si>
  <si>
    <t>fish-bbq</t>
  </si>
  <si>
    <t>evenings</t>
  </si>
  <si>
    <t>olah</t>
  </si>
  <si>
    <t>anggur</t>
  </si>
  <si>
    <t>lari</t>
  </si>
  <si>
    <t>--</t>
  </si>
  <si>
    <t>wisma</t>
  </si>
  <si>
    <t>-kami</t>
  </si>
  <si>
    <t>tisu</t>
  </si>
  <si>
    <t>praktik</t>
  </si>
  <si>
    <t>tanpa</t>
  </si>
  <si>
    <t>usb</t>
  </si>
  <si>
    <t>surya</t>
  </si>
  <si>
    <t>volt</t>
  </si>
  <si>
    <t>soket</t>
  </si>
  <si>
    <t>-wifi</t>
  </si>
  <si>
    <t>koneksi</t>
  </si>
  <si>
    <t>starlink</t>
  </si>
  <si>
    <t>mbit</t>
  </si>
  <si>
    <t>anjing</t>
  </si>
  <si>
    <t>prasmanan</t>
  </si>
  <si>
    <t>kemas</t>
  </si>
  <si>
    <t>biar</t>
  </si>
  <si>
    <t>kotor</t>
  </si>
  <si>
    <t>kasih</t>
  </si>
  <si>
    <t>Tabo Cottages</t>
  </si>
  <si>
    <t>cottages</t>
  </si>
  <si>
    <t>tabocottages com</t>
  </si>
  <si>
    <t>etnik</t>
  </si>
  <si>
    <t>paviliun</t>
  </si>
  <si>
    <t>451318</t>
  </si>
  <si>
    <t>Resto Sosor Tukkup Nauli</t>
  </si>
  <si>
    <t>0813-6156-2992</t>
  </si>
  <si>
    <t>RM. Islam Parsalakan Padangsidempuan</t>
  </si>
  <si>
    <t>parsalakan</t>
  </si>
  <si>
    <t>padangsidempuan</t>
  </si>
  <si>
    <t>sidempuan</t>
  </si>
  <si>
    <t>0821-6049-7813</t>
  </si>
  <si>
    <t>Toba Village inn</t>
  </si>
  <si>
    <t>village</t>
  </si>
  <si>
    <t>pegas</t>
  </si>
  <si>
    <t>kelambu</t>
  </si>
  <si>
    <t>deluxe</t>
  </si>
  <si>
    <t>suite</t>
  </si>
  <si>
    <t>superior</t>
  </si>
  <si>
    <t>rotua t</t>
  </si>
  <si>
    <t>yahoo com</t>
  </si>
  <si>
    <t>4570005</t>
  </si>
  <si>
    <t>Carolina Hotel</t>
  </si>
  <si>
    <t>carolina</t>
  </si>
  <si>
    <t>properti</t>
  </si>
  <si>
    <t>satpam</t>
  </si>
  <si>
    <t>oleh cinderamata</t>
  </si>
  <si>
    <t>linen</t>
  </si>
  <si>
    <t>handuk</t>
  </si>
  <si>
    <t>mesin</t>
  </si>
  <si>
    <t>tak-bermesin</t>
  </si>
  <si>
    <t>Khas Parapat Hotel</t>
  </si>
  <si>
    <t>no 1</t>
  </si>
  <si>
    <t>junior</t>
  </si>
  <si>
    <t>family</t>
  </si>
  <si>
    <t>room</t>
  </si>
  <si>
    <t>topi</t>
  </si>
  <si>
    <t>onang</t>
  </si>
  <si>
    <t>khashotels com</t>
  </si>
  <si>
    <t>skyscanner co id</t>
  </si>
  <si>
    <t>41012</t>
  </si>
  <si>
    <t>stay parapat</t>
  </si>
  <si>
    <t>check-in</t>
  </si>
  <si>
    <t>check-out</t>
  </si>
  <si>
    <t>Rumah Makan Tapian Nadenggan</t>
  </si>
  <si>
    <t>tapi</t>
  </si>
  <si>
    <t>nadenggan</t>
  </si>
  <si>
    <t>812-6551-3041</t>
  </si>
  <si>
    <t>Paropo Tepian Danau Toba</t>
  </si>
  <si>
    <t>silahsabungan</t>
  </si>
  <si>
    <t>22281</t>
  </si>
  <si>
    <t>pes</t>
  </si>
  <si>
    <t>paropo silalahi</t>
  </si>
  <si>
    <t>0812-2284-0115</t>
  </si>
  <si>
    <t>Parapat Danau Toba</t>
  </si>
  <si>
    <t>pagoda</t>
  </si>
  <si>
    <t>alun</t>
  </si>
  <si>
    <t>presiden</t>
  </si>
  <si>
    <t>kawah</t>
  </si>
  <si>
    <t>1 145</t>
  </si>
  <si>
    <t>450</t>
  </si>
  <si>
    <t>Nauli Cafe dan Resto</t>
  </si>
  <si>
    <t>Rumah Makan Khas Batak Hasudungan</t>
  </si>
  <si>
    <t>hasudungan</t>
  </si>
  <si>
    <t>siborong</t>
  </si>
  <si>
    <t>22474</t>
  </si>
  <si>
    <t>0853-4733-7321</t>
  </si>
  <si>
    <t>09 30</t>
  </si>
  <si>
    <t>Hotel &amp; Resto Waterboom Anugerah Soambaton</t>
  </si>
  <si>
    <t>waterboom</t>
  </si>
  <si>
    <t>soambaton</t>
  </si>
  <si>
    <t>capital</t>
  </si>
  <si>
    <t>92364</t>
  </si>
  <si>
    <t>822-1150-3439</t>
  </si>
  <si>
    <t>ac</t>
  </si>
  <si>
    <t>tv</t>
  </si>
  <si>
    <t>booking com</t>
  </si>
  <si>
    <t>Romlan Guesthouse</t>
  </si>
  <si>
    <t>813-6113-1888</t>
  </si>
  <si>
    <t>balkon</t>
  </si>
  <si>
    <t>bagasi</t>
  </si>
  <si>
    <t>antar-jemput</t>
  </si>
  <si>
    <t>Samosir Villa Resort</t>
  </si>
  <si>
    <t>451</t>
  </si>
  <si>
    <t>399</t>
  </si>
  <si>
    <t>KR. Sipinsur Resto &amp; Homestay</t>
  </si>
  <si>
    <t>kr</t>
  </si>
  <si>
    <t>parulohan</t>
  </si>
  <si>
    <t>812-1919-1962</t>
  </si>
  <si>
    <t>Hotel Tuk-Tuk Timbul</t>
  </si>
  <si>
    <t>timbul</t>
  </si>
  <si>
    <t>8126-401-1194</t>
  </si>
  <si>
    <t>The Parapat View Hotel</t>
  </si>
  <si>
    <t>sidaha</t>
  </si>
  <si>
    <t>pinto</t>
  </si>
  <si>
    <t>no 7</t>
  </si>
  <si>
    <t>851-9116-6419</t>
  </si>
  <si>
    <t>Kedai Bakmie Panjang</t>
  </si>
  <si>
    <t>merdeka</t>
  </si>
  <si>
    <t>tionghoa</t>
  </si>
  <si>
    <t>Labersa Hotel &amp; Convention Centre Toba - Sumut</t>
  </si>
  <si>
    <t>convention</t>
  </si>
  <si>
    <t>maria</t>
  </si>
  <si>
    <t>152</t>
  </si>
  <si>
    <t>konvensi</t>
  </si>
  <si>
    <t>bandara</t>
  </si>
  <si>
    <t>Kedai Bakmi Panjang</t>
  </si>
  <si>
    <t>siborong-borong</t>
  </si>
  <si>
    <t>Atsari Hotel</t>
  </si>
  <si>
    <t>atsari</t>
  </si>
  <si>
    <t>34</t>
  </si>
  <si>
    <t>55</t>
  </si>
  <si>
    <t>sofa</t>
  </si>
  <si>
    <t>setrika</t>
  </si>
  <si>
    <t>en</t>
  </si>
  <si>
    <t>ketel</t>
  </si>
  <si>
    <t>lemari</t>
  </si>
  <si>
    <t>es</t>
  </si>
  <si>
    <t>pecah</t>
  </si>
  <si>
    <t>check-in check-out</t>
  </si>
  <si>
    <t>14 00-19 00</t>
  </si>
  <si>
    <t>nirkabel</t>
  </si>
  <si>
    <t>atsari-hotel-parapat hotelmix id</t>
  </si>
  <si>
    <t>Bagus Bay Guest House</t>
  </si>
  <si>
    <t>bay</t>
  </si>
  <si>
    <t>bar</t>
  </si>
  <si>
    <t>Wisma Bahari</t>
  </si>
  <si>
    <t>bahari</t>
  </si>
  <si>
    <t>tpr</t>
  </si>
  <si>
    <t>Horas Cafe Balian Tomok</t>
  </si>
  <si>
    <t>Kedai Coffe Shop</t>
  </si>
  <si>
    <t>el</t>
  </si>
  <si>
    <t>tona</t>
  </si>
  <si>
    <t>coffeehouse</t>
  </si>
  <si>
    <t>81</t>
  </si>
  <si>
    <t>ris</t>
  </si>
  <si>
    <t>regency</t>
  </si>
  <si>
    <t>north</t>
  </si>
  <si>
    <t>06 30</t>
  </si>
  <si>
    <t>moga</t>
  </si>
  <si>
    <t>Dolmen Batu Hundul-hundulan</t>
  </si>
  <si>
    <t>dolmen</t>
  </si>
  <si>
    <t>Ayam penyet lamongan puja kesuma food court</t>
  </si>
  <si>
    <t>lamongan</t>
  </si>
  <si>
    <t>puja</t>
  </si>
  <si>
    <t>kesuma</t>
  </si>
  <si>
    <t>court</t>
  </si>
  <si>
    <t>gurih</t>
  </si>
  <si>
    <t>Tugu Toga Sinaga Urat</t>
  </si>
  <si>
    <t>Aek Natio Cafe dan Resto</t>
  </si>
  <si>
    <t>tegah</t>
  </si>
  <si>
    <t xml:space="preserve"> Air Terjun Simangande</t>
  </si>
  <si>
    <t>simangande</t>
  </si>
  <si>
    <t>Wisata Alam Gurgur</t>
  </si>
  <si>
    <t>gurgur</t>
  </si>
  <si>
    <t>bejarak</t>
  </si>
  <si>
    <t>rest</t>
  </si>
  <si>
    <t>Meat</t>
  </si>
  <si>
    <t>dabau</t>
  </si>
  <si>
    <t>nelayan</t>
  </si>
  <si>
    <t>lembah</t>
  </si>
  <si>
    <t>teluk</t>
  </si>
  <si>
    <t>selam</t>
  </si>
  <si>
    <t>mujahir</t>
  </si>
  <si>
    <t>Dolok Tolong</t>
  </si>
  <si>
    <t>tumpu</t>
  </si>
  <si>
    <t>komponen</t>
  </si>
  <si>
    <t>engitari</t>
  </si>
  <si>
    <t>variatif</t>
  </si>
  <si>
    <t>tonjol</t>
  </si>
  <si>
    <t>tualang cross</t>
  </si>
  <si>
    <t>country</t>
  </si>
  <si>
    <t>Lumban Silintong</t>
  </si>
  <si>
    <t>senandung</t>
  </si>
  <si>
    <t>lagu</t>
  </si>
  <si>
    <t>caf -caf</t>
  </si>
  <si>
    <t>Hatulian Beach</t>
  </si>
  <si>
    <t>hatulian</t>
  </si>
  <si>
    <t>kece</t>
  </si>
  <si>
    <t>banget</t>
  </si>
  <si>
    <t>udah</t>
  </si>
  <si>
    <t>oke</t>
  </si>
  <si>
    <t>teduh</t>
  </si>
  <si>
    <t>cenderamata</t>
  </si>
  <si>
    <t>nyemil</t>
  </si>
  <si>
    <t>Tao Godung, Janji Matogu, Porsea</t>
  </si>
  <si>
    <t>godung</t>
  </si>
  <si>
    <t>matogu</t>
  </si>
  <si>
    <t>Lumban Binanga Beach Laguboti</t>
  </si>
  <si>
    <t>kilau</t>
  </si>
  <si>
    <t>Salib Kasih Tarutung</t>
  </si>
  <si>
    <t>salib</t>
  </si>
  <si>
    <t>siatas</t>
  </si>
  <si>
    <t>barita</t>
  </si>
  <si>
    <t>31</t>
  </si>
  <si>
    <t>jerman</t>
  </si>
  <si>
    <t>ingwer</t>
  </si>
  <si>
    <t>ludwig</t>
  </si>
  <si>
    <t>nommensen</t>
  </si>
  <si>
    <t>abad</t>
  </si>
  <si>
    <t>ke-19</t>
  </si>
  <si>
    <t>barus</t>
  </si>
  <si>
    <t>1861</t>
  </si>
  <si>
    <t>misi</t>
  </si>
  <si>
    <t>gigih</t>
  </si>
  <si>
    <t>1878</t>
  </si>
  <si>
    <t>nazar</t>
  </si>
  <si>
    <t>serah</t>
  </si>
  <si>
    <t>hayat</t>
  </si>
  <si>
    <t>6-7</t>
  </si>
  <si>
    <t>tarutung</t>
  </si>
  <si>
    <t>Air Terjun Lumban Rang</t>
  </si>
  <si>
    <t>rang</t>
  </si>
  <si>
    <t>anggrek</t>
  </si>
  <si>
    <t>sipangulubao</t>
  </si>
  <si>
    <t>pijat</t>
  </si>
  <si>
    <t>50</t>
  </si>
  <si>
    <t>Air Terjun Simanimbo</t>
  </si>
  <si>
    <t>debit</t>
  </si>
  <si>
    <t>bendung</t>
  </si>
  <si>
    <t>sigura-gura</t>
  </si>
  <si>
    <t>Air Terjun Siallogo</t>
  </si>
  <si>
    <t>meranti</t>
  </si>
  <si>
    <t>pohan</t>
  </si>
  <si>
    <t>Air Terjun Sigura-Gura</t>
  </si>
  <si>
    <t>250</t>
  </si>
  <si>
    <t>Pantai Pasir Putih Parparean</t>
  </si>
  <si>
    <t>parparean</t>
  </si>
  <si>
    <t>syuting</t>
  </si>
  <si>
    <t>film</t>
  </si>
  <si>
    <t>prawira</t>
  </si>
  <si>
    <t>Labersa Simalungun Fantasi</t>
  </si>
  <si>
    <t>waterpark</t>
  </si>
  <si>
    <t>fantasi</t>
  </si>
  <si>
    <t>4 8</t>
  </si>
  <si>
    <t>sahabat</t>
  </si>
  <si>
    <t>Pantai Raya</t>
  </si>
  <si>
    <t>banana</t>
  </si>
  <si>
    <t>bebek</t>
  </si>
  <si>
    <t>kanoe</t>
  </si>
  <si>
    <t>rp50 000</t>
  </si>
  <si>
    <t>Pemandian alam Bah Damanik</t>
  </si>
  <si>
    <t>Wisata Pemandian Alam Swembath (Loc: Sweembat)</t>
  </si>
  <si>
    <t>Taman Hewan Pematang Siantar</t>
  </si>
  <si>
    <t>thps</t>
  </si>
  <si>
    <t>binatang</t>
  </si>
  <si>
    <t>edukatif</t>
  </si>
  <si>
    <t>november</t>
  </si>
  <si>
    <t>1936</t>
  </si>
  <si>
    <t>700</t>
  </si>
  <si>
    <t>mamalia</t>
  </si>
  <si>
    <t>reptil</t>
  </si>
  <si>
    <t>simanuk-manuk</t>
  </si>
  <si>
    <t>rp35 000</t>
  </si>
  <si>
    <t>rp45 000</t>
  </si>
  <si>
    <t>harimau</t>
  </si>
  <si>
    <t>beruang</t>
  </si>
  <si>
    <t>zoologi</t>
  </si>
  <si>
    <t>awet</t>
  </si>
  <si>
    <t>www siantarzoo net</t>
  </si>
  <si>
    <t>siantar zoo</t>
  </si>
  <si>
    <t>Martoba Water Park</t>
  </si>
  <si>
    <t>rakutta</t>
  </si>
  <si>
    <t>sembiring</t>
  </si>
  <si>
    <t>pita</t>
  </si>
  <si>
    <t>21137</t>
  </si>
  <si>
    <t>seluncur</t>
  </si>
  <si>
    <t>tantang</t>
  </si>
  <si>
    <t>Museum Simalungun</t>
  </si>
  <si>
    <t>sudirman</t>
  </si>
  <si>
    <t>proklamasi</t>
  </si>
  <si>
    <t>1940</t>
  </si>
  <si>
    <t>975</t>
  </si>
  <si>
    <t>etnografi</t>
  </si>
  <si>
    <t>arkeologi</t>
  </si>
  <si>
    <t>silapalapa</t>
  </si>
  <si>
    <t>zaman</t>
  </si>
  <si>
    <t>emas</t>
  </si>
  <si>
    <t>perak</t>
  </si>
  <si>
    <t>koin</t>
  </si>
  <si>
    <t>manuskrip</t>
  </si>
  <si>
    <t>ilmu</t>
  </si>
  <si>
    <t>tahu</t>
  </si>
  <si>
    <t>seminar</t>
  </si>
  <si>
    <t>Pemandian Mata Air Karang Anyar</t>
  </si>
  <si>
    <t>karang</t>
  </si>
  <si>
    <t>anyar</t>
  </si>
  <si>
    <t>maligas</t>
  </si>
  <si>
    <t>Kebun Teh Sidamanik</t>
  </si>
  <si>
    <t>butong</t>
  </si>
  <si>
    <t>6 373 29</t>
  </si>
  <si>
    <t>800 1 100</t>
  </si>
  <si>
    <t>bingkai</t>
  </si>
  <si>
    <t>kupu-kupu</t>
  </si>
  <si>
    <t>Air Terjun Tonduhan</t>
  </si>
  <si>
    <t>tonduhan</t>
  </si>
  <si>
    <t>33</t>
  </si>
  <si>
    <t>2 6</t>
  </si>
  <si>
    <t>150</t>
  </si>
  <si>
    <t>rp3 000</t>
  </si>
  <si>
    <t>rp2 000</t>
  </si>
  <si>
    <t>arus</t>
  </si>
  <si>
    <t>Kawah Putih Tinggi Raja</t>
  </si>
  <si>
    <t>belerang</t>
  </si>
  <si>
    <t>salju</t>
  </si>
  <si>
    <t>1 5</t>
  </si>
  <si>
    <t>balaklak</t>
  </si>
  <si>
    <t>lapparan</t>
  </si>
  <si>
    <t>Pantai Dinklek Tigaras</t>
  </si>
  <si>
    <t>dinklek</t>
  </si>
  <si>
    <t>Goa Baba Liang</t>
  </si>
  <si>
    <t>baba</t>
  </si>
  <si>
    <t>liang</t>
  </si>
  <si>
    <t>gua</t>
  </si>
  <si>
    <t>kering</t>
  </si>
  <si>
    <t>horisan</t>
  </si>
  <si>
    <t>921</t>
  </si>
  <si>
    <t>juang</t>
  </si>
  <si>
    <t>lawan</t>
  </si>
  <si>
    <t>kolonialisme</t>
  </si>
  <si>
    <t>Wisata Alam Tunggul Naga</t>
  </si>
  <si>
    <t>malela</t>
  </si>
  <si>
    <t>1-2</t>
  </si>
  <si>
    <t>Pemandian Bah Silulu</t>
  </si>
  <si>
    <t>silulu</t>
  </si>
  <si>
    <t>rendam</t>
  </si>
  <si>
    <t>Sungai Lobang atau Sunglo</t>
  </si>
  <si>
    <t>lobang</t>
  </si>
  <si>
    <t>sunglo</t>
  </si>
  <si>
    <t>umbul</t>
  </si>
  <si>
    <t>bandar</t>
  </si>
  <si>
    <t>lubang</t>
  </si>
  <si>
    <t>Manigom Nauli</t>
  </si>
  <si>
    <t>manigom</t>
  </si>
  <si>
    <t>tigadolok</t>
  </si>
  <si>
    <t>Patung Dewi Kwan Im</t>
  </si>
  <si>
    <t>kwan</t>
  </si>
  <si>
    <t>im</t>
  </si>
  <si>
    <t>welas</t>
  </si>
  <si>
    <t>asih</t>
  </si>
  <si>
    <t>klenteng</t>
  </si>
  <si>
    <t>vihara</t>
  </si>
  <si>
    <t>batam</t>
  </si>
  <si>
    <t>22 3</t>
  </si>
  <si>
    <t>berat</t>
  </si>
  <si>
    <t>112</t>
  </si>
  <si>
    <t>ton</t>
  </si>
  <si>
    <t>agung</t>
  </si>
  <si>
    <t>surabaya</t>
  </si>
  <si>
    <t>kelenteng</t>
  </si>
  <si>
    <t>belitung</t>
  </si>
  <si>
    <t>avalokitesvara</t>
  </si>
  <si>
    <t>pematangsiantar</t>
  </si>
  <si>
    <t>22 8</t>
  </si>
  <si>
    <t>tong</t>
  </si>
  <si>
    <t>cendana</t>
  </si>
  <si>
    <t>teratai</t>
  </si>
  <si>
    <t>botol</t>
  </si>
  <si>
    <t>amertha</t>
  </si>
  <si>
    <t>suci</t>
  </si>
  <si>
    <t>embun</t>
  </si>
  <si>
    <t>khasiat</t>
  </si>
  <si>
    <t>sembuh</t>
  </si>
  <si>
    <t>Tugu Becak Motor Siantar</t>
  </si>
  <si>
    <t>birmingham</t>
  </si>
  <si>
    <t>small</t>
  </si>
  <si>
    <t>arms</t>
  </si>
  <si>
    <t>bsa</t>
  </si>
  <si>
    <t>kutip</t>
  </si>
  <si>
    <t>website</t>
  </si>
  <si>
    <t>repositori</t>
  </si>
  <si>
    <t>usu</t>
  </si>
  <si>
    <t>kayuh</t>
  </si>
  <si>
    <t>1952</t>
  </si>
  <si>
    <t>1954</t>
  </si>
  <si>
    <t>kapasitas</t>
  </si>
  <si>
    <t>350cc-500cc</t>
  </si>
  <si>
    <t>Taman Alam Lumbini Berastagi</t>
  </si>
  <si>
    <t>lumbini</t>
  </si>
  <si>
    <t>shwedagon</t>
  </si>
  <si>
    <t>myanmar</t>
  </si>
  <si>
    <t>megah</t>
  </si>
  <si>
    <t>Museum Pusaka Karo</t>
  </si>
  <si>
    <t>pastor</t>
  </si>
  <si>
    <t>joosten</t>
  </si>
  <si>
    <t>ginting</t>
  </si>
  <si>
    <t>peduli</t>
  </si>
  <si>
    <t>februari</t>
  </si>
  <si>
    <t>asik</t>
  </si>
  <si>
    <t>Hotel Tongging Point - Taman Simalem Resort</t>
  </si>
  <si>
    <t>kopi teh</t>
  </si>
  <si>
    <t>iklim</t>
  </si>
  <si>
    <t>twin double</t>
  </si>
  <si>
    <t>normal</t>
  </si>
  <si>
    <t>rp2 500 000</t>
  </si>
  <si>
    <t>rp1 500 000</t>
  </si>
  <si>
    <t>23</t>
  </si>
  <si>
    <t>shower</t>
  </si>
  <si>
    <t>rp3 000 000</t>
  </si>
  <si>
    <t>rp1 800 000</t>
  </si>
  <si>
    <t>22</t>
  </si>
  <si>
    <t>bathtub</t>
  </si>
  <si>
    <t>premier</t>
  </si>
  <si>
    <t>double</t>
  </si>
  <si>
    <t>rp3 800 000</t>
  </si>
  <si>
    <t>37</t>
  </si>
  <si>
    <t>jacuzzi</t>
  </si>
  <si>
    <t>triple</t>
  </si>
  <si>
    <t>rp4 500 000</t>
  </si>
  <si>
    <t>32</t>
  </si>
  <si>
    <t>quad</t>
  </si>
  <si>
    <t>rp5 000 000</t>
  </si>
  <si>
    <t>42</t>
  </si>
  <si>
    <t>rp5 500 000</t>
  </si>
  <si>
    <t>rp6 000 000</t>
  </si>
  <si>
    <t>golf</t>
  </si>
  <si>
    <t>klub</t>
  </si>
  <si>
    <t>bugar</t>
  </si>
  <si>
    <t>yoga</t>
  </si>
  <si>
    <t>Desa Budaya Lingga</t>
  </si>
  <si>
    <t>lingga</t>
  </si>
  <si>
    <t>kokoh</t>
  </si>
  <si>
    <t>siwaluh</t>
  </si>
  <si>
    <t>ciri</t>
  </si>
  <si>
    <t>tiang</t>
  </si>
  <si>
    <t>sangga</t>
  </si>
  <si>
    <t>sekat</t>
  </si>
  <si>
    <t>kerabat</t>
  </si>
  <si>
    <t>jambur</t>
  </si>
  <si>
    <t>musyawarah</t>
  </si>
  <si>
    <t>geriten</t>
  </si>
  <si>
    <t>jenazah</t>
  </si>
  <si>
    <t>ganjang</t>
  </si>
  <si>
    <t>lumbung</t>
  </si>
  <si>
    <t>brastagi</t>
  </si>
  <si>
    <t>kafetaria</t>
  </si>
  <si>
    <t>tur</t>
  </si>
  <si>
    <t>istiadat</t>
  </si>
  <si>
    <t>Mikie Funland</t>
  </si>
  <si>
    <t>mikie</t>
  </si>
  <si>
    <t>funland</t>
  </si>
  <si>
    <t>letjend</t>
  </si>
  <si>
    <t>sempajaya</t>
  </si>
  <si>
    <t>22152</t>
  </si>
  <si>
    <t>tsunami</t>
  </si>
  <si>
    <t>t-rex</t>
  </si>
  <si>
    <t>roller</t>
  </si>
  <si>
    <t>coaster</t>
  </si>
  <si>
    <t>falls</t>
  </si>
  <si>
    <t>dolphin</t>
  </si>
  <si>
    <t>interaktif</t>
  </si>
  <si>
    <t>tema</t>
  </si>
  <si>
    <t>sea</t>
  </si>
  <si>
    <t>battle</t>
  </si>
  <si>
    <t>tempur</t>
  </si>
  <si>
    <t>buzz</t>
  </si>
  <si>
    <t>terbang</t>
  </si>
  <si>
    <t>monster</t>
  </si>
  <si>
    <t>wave</t>
  </si>
  <si>
    <t>jelly</t>
  </si>
  <si>
    <t>swing</t>
  </si>
  <si>
    <t>ayun</t>
  </si>
  <si>
    <t>voyage</t>
  </si>
  <si>
    <t>attractions</t>
  </si>
  <si>
    <t>klinik</t>
  </si>
  <si>
    <t>shuttle</t>
  </si>
  <si>
    <t>masjid</t>
  </si>
  <si>
    <t>facilities</t>
  </si>
  <si>
    <t>rp85 000</t>
  </si>
  <si>
    <t>rp116 400</t>
  </si>
  <si>
    <t>Mikie Holiday Resort &amp; Hotel</t>
  </si>
  <si>
    <t>holiday</t>
  </si>
  <si>
    <t>143</t>
  </si>
  <si>
    <t>minimal</t>
  </si>
  <si>
    <t>satelit kabel</t>
  </si>
  <si>
    <t>azalea</t>
  </si>
  <si>
    <t>kontinental</t>
  </si>
  <si>
    <t>carte</t>
  </si>
  <si>
    <t>panoramik</t>
  </si>
  <si>
    <t>gym</t>
  </si>
  <si>
    <t>corner</t>
  </si>
  <si>
    <t>gossip</t>
  </si>
  <si>
    <t>leisure</t>
  </si>
  <si>
    <t>arcade</t>
  </si>
  <si>
    <t>grand</t>
  </si>
  <si>
    <t>ballroom</t>
  </si>
  <si>
    <t>concierge</t>
  </si>
  <si>
    <t>mikieholiday com</t>
  </si>
  <si>
    <t>Bukit Kubu Hotel</t>
  </si>
  <si>
    <t>kubu</t>
  </si>
  <si>
    <t>1910</t>
  </si>
  <si>
    <t>klasik</t>
  </si>
  <si>
    <t>Penatapan Puncak Sidiangkat</t>
  </si>
  <si>
    <t>sidiangkat</t>
  </si>
  <si>
    <t>sabit</t>
  </si>
  <si>
    <t>prewedding</t>
  </si>
  <si>
    <t>subulussalam</t>
  </si>
  <si>
    <t>tanjak</t>
  </si>
  <si>
    <t>diam</t>
  </si>
  <si>
    <t>serta</t>
  </si>
  <si>
    <t>14</t>
  </si>
  <si>
    <t>pugar</t>
  </si>
  <si>
    <t>piramida</t>
  </si>
  <si>
    <t>dinding</t>
  </si>
  <si>
    <t>10 30</t>
  </si>
  <si>
    <t>energi</t>
  </si>
  <si>
    <t>Pengrajin Ulos Samosir</t>
  </si>
  <si>
    <t>toruan</t>
  </si>
  <si>
    <t>manual</t>
  </si>
  <si>
    <t>ahli</t>
  </si>
  <si>
    <t>tahap</t>
  </si>
  <si>
    <t>simbolis</t>
  </si>
  <si>
    <t>ragidup</t>
  </si>
  <si>
    <t>restu</t>
  </si>
  <si>
    <t>bahagia</t>
  </si>
  <si>
    <t>diversifikasi</t>
  </si>
  <si>
    <t>sarung</t>
  </si>
  <si>
    <t>selendang</t>
  </si>
  <si>
    <t>aksesori</t>
  </si>
  <si>
    <t>fashion</t>
  </si>
  <si>
    <t>koperasi</t>
  </si>
  <si>
    <t>bina</t>
  </si>
  <si>
    <t>terampil</t>
  </si>
  <si>
    <t>teknologi</t>
  </si>
  <si>
    <t>revitalisasi</t>
  </si>
  <si>
    <t>Danau Sidihoni</t>
  </si>
  <si>
    <t>usul</t>
  </si>
  <si>
    <t>rawa</t>
  </si>
  <si>
    <t>tebang</t>
  </si>
  <si>
    <t>longsor</t>
  </si>
  <si>
    <t>lihat</t>
  </si>
  <si>
    <t>medan kompas com</t>
  </si>
  <si>
    <t>ronta</t>
  </si>
  <si>
    <t>kolonel</t>
  </si>
  <si>
    <t>gempa</t>
  </si>
  <si>
    <t>aceh</t>
  </si>
  <si>
    <t>2004</t>
  </si>
  <si>
    <t>perlu</t>
  </si>
  <si>
    <t>cuci</t>
  </si>
  <si>
    <t>lupa jalan</t>
  </si>
  <si>
    <t>senja</t>
  </si>
  <si>
    <t>Pemandian Air Panas Rianiate</t>
  </si>
  <si>
    <t>rianiate</t>
  </si>
  <si>
    <t>dangkal</t>
  </si>
  <si>
    <t>rctiplus com</t>
  </si>
  <si>
    <t>3-4</t>
  </si>
  <si>
    <t>176</t>
  </si>
  <si>
    <t>Pantai Sibandol</t>
  </si>
  <si>
    <t>sibandol</t>
  </si>
  <si>
    <t>voli</t>
  </si>
  <si>
    <t>Aek Sipaulak Hosa Loja</t>
  </si>
  <si>
    <t>sipaulak</t>
  </si>
  <si>
    <t>hosa</t>
  </si>
  <si>
    <t>loja</t>
  </si>
  <si>
    <t>batang</t>
  </si>
  <si>
    <t>ari</t>
  </si>
  <si>
    <t>balla</t>
  </si>
  <si>
    <t>pakpak</t>
  </si>
  <si>
    <t>bharat</t>
  </si>
  <si>
    <t>silaturahmi</t>
  </si>
  <si>
    <t>lelah</t>
  </si>
  <si>
    <t>haus</t>
  </si>
  <si>
    <t>maha</t>
  </si>
  <si>
    <t>esa</t>
  </si>
  <si>
    <t>hilang</t>
  </si>
  <si>
    <t>dahaga lelah</t>
  </si>
  <si>
    <t>sakit</t>
  </si>
  <si>
    <t>rezeki</t>
  </si>
  <si>
    <t>etika</t>
  </si>
  <si>
    <t>patuh</t>
  </si>
  <si>
    <t>parasantabian</t>
  </si>
  <si>
    <t>jojong</t>
  </si>
  <si>
    <t>aksara</t>
  </si>
  <si>
    <t>langit</t>
  </si>
  <si>
    <t>tinta</t>
  </si>
  <si>
    <t>dompet</t>
  </si>
  <si>
    <t>takdir</t>
  </si>
  <si>
    <t>Warung Nasi Muslim Lia, Perpaduan Masakan TapSel dan Pak - Pak.</t>
  </si>
  <si>
    <t>Pemandian Alam Lau Timah</t>
  </si>
  <si>
    <t>timah</t>
  </si>
  <si>
    <t>renun</t>
  </si>
  <si>
    <t>pinem</t>
  </si>
  <si>
    <t>kelok</t>
  </si>
  <si>
    <t>Air terjun Lae Pendaroh</t>
  </si>
  <si>
    <t>lae</t>
  </si>
  <si>
    <t>pendaroh</t>
  </si>
  <si>
    <t>seribudolok-sidikalang</t>
  </si>
  <si>
    <t>henti</t>
  </si>
  <si>
    <t>fenomena</t>
  </si>
  <si>
    <t>humus</t>
  </si>
  <si>
    <t>akar</t>
  </si>
  <si>
    <t>Bukit Siattaratas</t>
  </si>
  <si>
    <t>siattaratas</t>
  </si>
  <si>
    <t>Taman Wisata Iman Sitinjo</t>
  </si>
  <si>
    <t>twi</t>
  </si>
  <si>
    <t>enam</t>
  </si>
  <si>
    <t>saddhavadana</t>
  </si>
  <si>
    <t>oikumene</t>
  </si>
  <si>
    <t>pura</t>
  </si>
  <si>
    <t>hindu</t>
  </si>
  <si>
    <t>bunda</t>
  </si>
  <si>
    <t>katolik</t>
  </si>
  <si>
    <t>bahtera</t>
  </si>
  <si>
    <t>nuh</t>
  </si>
  <si>
    <t>getsemani</t>
  </si>
  <si>
    <t>dolorosa</t>
  </si>
  <si>
    <t>firdaus</t>
  </si>
  <si>
    <t>meditasi</t>
  </si>
  <si>
    <t>refleksi</t>
  </si>
  <si>
    <t>154</t>
  </si>
  <si>
    <t>Aek Simonggo</t>
  </si>
  <si>
    <t>simonggo</t>
  </si>
  <si>
    <t>sion</t>
  </si>
  <si>
    <t>parlilitan</t>
  </si>
  <si>
    <t>Martin Anugrah Hotel &amp; Restaurant</t>
  </si>
  <si>
    <t>martin</t>
  </si>
  <si>
    <t>lounge</t>
  </si>
  <si>
    <t>rokok</t>
  </si>
  <si>
    <t>Senior Bakara Hotel</t>
  </si>
  <si>
    <t>senior</t>
  </si>
  <si>
    <t>bakara</t>
  </si>
  <si>
    <t>Tao/Danau Silosung</t>
  </si>
  <si>
    <t>silosung</t>
  </si>
  <si>
    <t>siponjot</t>
  </si>
  <si>
    <t>lintongnihuta</t>
  </si>
  <si>
    <t>lubis</t>
  </si>
  <si>
    <t>dalu</t>
  </si>
  <si>
    <t>sahang</t>
  </si>
  <si>
    <t>maima</t>
  </si>
  <si>
    <t>Air Terjun Pollung</t>
  </si>
  <si>
    <t>pollung</t>
  </si>
  <si>
    <t>sampuren</t>
  </si>
  <si>
    <t>pakkat</t>
  </si>
  <si>
    <t>Air Terjun Simamora</t>
  </si>
  <si>
    <t>Dolok Pinapan</t>
  </si>
  <si>
    <t>Pulau Pardepur</t>
  </si>
  <si>
    <t>pardepur</t>
  </si>
  <si>
    <t>pardopur</t>
  </si>
  <si>
    <t>461</t>
  </si>
  <si>
    <t>910</t>
  </si>
  <si>
    <t>Bukit Doa</t>
  </si>
  <si>
    <t>tomohon</t>
  </si>
  <si>
    <t>mahawu</t>
  </si>
  <si>
    <t>sulawesi</t>
  </si>
  <si>
    <t>Wisata Pemandian Air Panas Sipoholon</t>
  </si>
  <si>
    <t>sipoholon</t>
  </si>
  <si>
    <t>tuh</t>
  </si>
  <si>
    <t>martimbang</t>
  </si>
  <si>
    <t>reda</t>
  </si>
  <si>
    <t>stres</t>
  </si>
  <si>
    <t>Pemandian Air Panas Tamaro</t>
  </si>
  <si>
    <t>tamaro</t>
  </si>
  <si>
    <t>mineral</t>
  </si>
  <si>
    <t>hutabarat</t>
  </si>
  <si>
    <t>bayi</t>
  </si>
  <si>
    <t>Monumen Si Raja Panggabean</t>
  </si>
  <si>
    <t>panggabean</t>
  </si>
  <si>
    <t>simorangkir</t>
  </si>
  <si>
    <t>prinsip</t>
  </si>
  <si>
    <t>dalih</t>
  </si>
  <si>
    <t>tolu</t>
  </si>
  <si>
    <t>1992</t>
  </si>
  <si>
    <t>sembelih</t>
  </si>
  <si>
    <t>Beryl Farm, Resto &amp; Homestay</t>
  </si>
  <si>
    <t>beryl</t>
  </si>
  <si>
    <t>farm</t>
  </si>
  <si>
    <t>nanas</t>
  </si>
  <si>
    <t>budidaya</t>
  </si>
  <si>
    <t>Taman Menara Lonceng</t>
  </si>
  <si>
    <t>lonceng</t>
  </si>
  <si>
    <t>nongkrong</t>
  </si>
  <si>
    <t>ngumpul</t>
  </si>
  <si>
    <t>ngobrol</t>
  </si>
  <si>
    <t>nikmatin</t>
  </si>
  <si>
    <t>bunyi</t>
  </si>
  <si>
    <t>ngingetin</t>
  </si>
  <si>
    <t>diskusi</t>
  </si>
  <si>
    <t>Pemandian Air Panas U.S.K Hineni</t>
  </si>
  <si>
    <t>u s k</t>
  </si>
  <si>
    <t>hineni</t>
  </si>
  <si>
    <t>sipahutar</t>
  </si>
  <si>
    <t>sirkulasi</t>
  </si>
  <si>
    <t>lidah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</si>
</sst>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0957"/>
  <sheetViews>
    <sheetView tabSelected="1" topLeftCell="A44" workbookViewId="0">
      <selection activeCell="G349" sqref="G349"/>
    </sheetView>
  </sheetViews>
  <sheetFormatPr defaultColWidth="20.7109375" defaultRowHeight="15" x14ac:dyDescent="0.25"/>
  <cols>
    <col min="1" max="1" width="10.8554687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1</v>
      </c>
      <c r="B2" t="s">
        <v>9</v>
      </c>
      <c r="C2" t="s">
        <v>10</v>
      </c>
      <c r="D2" t="s">
        <v>11</v>
      </c>
      <c r="E2">
        <f>3/29</f>
        <v>0.10344827586206896</v>
      </c>
      <c r="F2">
        <v>83</v>
      </c>
      <c r="G2">
        <f>LOG(382/(83+1))</f>
        <v>0.65778407684982709</v>
      </c>
      <c r="H2">
        <f>0.103448275862068*1.51460380976326</f>
        <v>0.15668315273412889</v>
      </c>
      <c r="I2">
        <v>0.1566831527341305</v>
      </c>
    </row>
    <row r="3" spans="1:9" x14ac:dyDescent="0.25">
      <c r="A3">
        <v>1</v>
      </c>
      <c r="B3" t="s">
        <v>9</v>
      </c>
      <c r="C3" t="s">
        <v>10</v>
      </c>
      <c r="D3" t="s">
        <v>12</v>
      </c>
      <c r="E3">
        <f>3/29</f>
        <v>0.10344827586206896</v>
      </c>
      <c r="F3">
        <v>28</v>
      </c>
      <c r="G3">
        <f>LOG(382/(28+1))</f>
        <v>1.1196653650127526</v>
      </c>
      <c r="H3">
        <f>0.103448275862068*2.5781247786201</f>
        <v>0.26670256330552511</v>
      </c>
      <c r="I3">
        <v>0.26670256330552772</v>
      </c>
    </row>
    <row r="4" spans="1:9" x14ac:dyDescent="0.25">
      <c r="A4">
        <v>1</v>
      </c>
      <c r="B4" t="s">
        <v>9</v>
      </c>
      <c r="C4" t="s">
        <v>10</v>
      </c>
      <c r="D4" t="s">
        <v>13</v>
      </c>
      <c r="E4">
        <f>2/29</f>
        <v>6.8965517241379309E-2</v>
      </c>
      <c r="F4">
        <v>1</v>
      </c>
      <c r="G4">
        <f>LOG(382/(1+1))</f>
        <v>2.2810333672477277</v>
      </c>
      <c r="H4">
        <f>0.0689655172413793*5.25227342804663</f>
        <v>0.36222575365838822</v>
      </c>
      <c r="I4">
        <v>0.36222575365838833</v>
      </c>
    </row>
    <row r="5" spans="1:9" x14ac:dyDescent="0.25">
      <c r="A5">
        <v>1</v>
      </c>
      <c r="B5" t="s">
        <v>9</v>
      </c>
      <c r="C5" t="s">
        <v>10</v>
      </c>
      <c r="D5" t="s">
        <v>14</v>
      </c>
      <c r="E5">
        <f t="shared" ref="E5:E25" si="0">1/29</f>
        <v>3.4482758620689655E-2</v>
      </c>
      <c r="F5">
        <v>2</v>
      </c>
      <c r="G5">
        <f>LOG(382/(2+1))</f>
        <v>2.1049421081920463</v>
      </c>
      <c r="H5">
        <f>0.0344827586206896*4.84680831993846</f>
        <v>0.167131321377188</v>
      </c>
      <c r="I5">
        <v>0.16713132137718839</v>
      </c>
    </row>
    <row r="6" spans="1:9" x14ac:dyDescent="0.25">
      <c r="A6">
        <v>1</v>
      </c>
      <c r="B6" t="s">
        <v>9</v>
      </c>
      <c r="C6" t="s">
        <v>10</v>
      </c>
      <c r="D6" t="s">
        <v>15</v>
      </c>
      <c r="E6">
        <f t="shared" si="0"/>
        <v>3.4482758620689655E-2</v>
      </c>
      <c r="F6">
        <v>112</v>
      </c>
      <c r="G6">
        <f>LOG(382/(112+1))</f>
        <v>0.52898491942828896</v>
      </c>
      <c r="H6">
        <f>0.0344827586206896*1.21803278989423</f>
        <v>4.2001130686007866E-2</v>
      </c>
      <c r="I6">
        <v>4.2001130686008102E-2</v>
      </c>
    </row>
    <row r="7" spans="1:9" x14ac:dyDescent="0.25">
      <c r="A7">
        <v>1</v>
      </c>
      <c r="B7" t="s">
        <v>9</v>
      </c>
      <c r="C7" t="s">
        <v>10</v>
      </c>
      <c r="D7" t="s">
        <v>16</v>
      </c>
      <c r="E7">
        <f t="shared" si="0"/>
        <v>3.4482758620689655E-2</v>
      </c>
      <c r="F7">
        <v>8</v>
      </c>
      <c r="G7">
        <f>LOG(382/(8+1))</f>
        <v>1.6278208534723839</v>
      </c>
      <c r="H7">
        <f>0.0344827586206896*3.74819603127035</f>
        <v>0.12924813900932219</v>
      </c>
      <c r="I7">
        <v>0.12924813900932261</v>
      </c>
    </row>
    <row r="8" spans="1:9" x14ac:dyDescent="0.25">
      <c r="A8">
        <v>1</v>
      </c>
      <c r="B8" t="s">
        <v>9</v>
      </c>
      <c r="C8" t="s">
        <v>10</v>
      </c>
      <c r="D8" t="s">
        <v>17</v>
      </c>
      <c r="E8">
        <f t="shared" si="0"/>
        <v>3.4482758620689655E-2</v>
      </c>
      <c r="F8">
        <v>169</v>
      </c>
      <c r="G8">
        <f>LOG(382/(169+1))</f>
        <v>0.3516144415334348</v>
      </c>
      <c r="H8">
        <f>0.0344827586206896*0.809622171556313</f>
        <v>2.7918005915734886E-2</v>
      </c>
      <c r="I8">
        <v>2.7918005915734949E-2</v>
      </c>
    </row>
    <row r="9" spans="1:9" x14ac:dyDescent="0.25">
      <c r="A9">
        <v>1</v>
      </c>
      <c r="B9" t="s">
        <v>9</v>
      </c>
      <c r="C9" t="s">
        <v>10</v>
      </c>
      <c r="D9" t="s">
        <v>18</v>
      </c>
      <c r="E9">
        <f t="shared" si="0"/>
        <v>3.4482758620689655E-2</v>
      </c>
      <c r="F9">
        <v>7</v>
      </c>
      <c r="G9">
        <f>LOG(382/(7+1))</f>
        <v>1.6789733759197651</v>
      </c>
      <c r="H9">
        <f>0.0344827586206896*3.86597906692673</f>
        <v>0.13330962299747323</v>
      </c>
      <c r="I9">
        <v>0.13330962299747379</v>
      </c>
    </row>
    <row r="10" spans="1:9" x14ac:dyDescent="0.25">
      <c r="A10">
        <v>1</v>
      </c>
      <c r="B10" t="s">
        <v>9</v>
      </c>
      <c r="C10" t="s">
        <v>10</v>
      </c>
      <c r="D10" t="s">
        <v>19</v>
      </c>
      <c r="E10">
        <f t="shared" si="0"/>
        <v>3.4482758620689655E-2</v>
      </c>
      <c r="F10">
        <v>220</v>
      </c>
      <c r="G10">
        <f>LOG(382/(220+1))</f>
        <v>0.23767108922659805</v>
      </c>
      <c r="H10">
        <f>0.0344827586206896*0.547257907088822</f>
        <v>1.8870962313407628E-2</v>
      </c>
      <c r="I10">
        <v>1.8870962313407669E-2</v>
      </c>
    </row>
    <row r="11" spans="1:9" x14ac:dyDescent="0.25">
      <c r="A11">
        <v>1</v>
      </c>
      <c r="B11" t="s">
        <v>9</v>
      </c>
      <c r="C11" t="s">
        <v>10</v>
      </c>
      <c r="D11" t="s">
        <v>20</v>
      </c>
      <c r="E11">
        <f t="shared" si="0"/>
        <v>3.4482758620689655E-2</v>
      </c>
      <c r="F11">
        <v>19</v>
      </c>
      <c r="G11">
        <f>LOG(382/(19+1))</f>
        <v>1.2810333672477277</v>
      </c>
      <c r="H11">
        <f>0.0344827586206896*2.94968833505258</f>
        <v>0.1017133908638819</v>
      </c>
      <c r="I11">
        <v>0.1017133908638822</v>
      </c>
    </row>
    <row r="12" spans="1:9" x14ac:dyDescent="0.25">
      <c r="A12">
        <v>1</v>
      </c>
      <c r="B12" t="s">
        <v>9</v>
      </c>
      <c r="C12" t="s">
        <v>10</v>
      </c>
      <c r="D12" t="s">
        <v>21</v>
      </c>
      <c r="E12">
        <f t="shared" si="0"/>
        <v>3.4482758620689655E-2</v>
      </c>
      <c r="F12">
        <v>14</v>
      </c>
      <c r="G12">
        <f>LOG(382/(14+1))</f>
        <v>1.4059721038560276</v>
      </c>
      <c r="H12">
        <f>0.0344827586206896*3.23737040750436</f>
        <v>0.11163346232773637</v>
      </c>
      <c r="I12">
        <v>0.1116334623277367</v>
      </c>
    </row>
    <row r="13" spans="1:9" x14ac:dyDescent="0.25">
      <c r="A13">
        <v>1</v>
      </c>
      <c r="B13" t="s">
        <v>9</v>
      </c>
      <c r="C13" t="s">
        <v>10</v>
      </c>
      <c r="D13" t="s">
        <v>22</v>
      </c>
      <c r="E13">
        <f t="shared" si="0"/>
        <v>3.4482758620689655E-2</v>
      </c>
      <c r="F13">
        <v>259</v>
      </c>
      <c r="G13">
        <f>LOG(382/(259+1))</f>
        <v>0.16709001494089079</v>
      </c>
      <c r="H13">
        <f>0.0344827586206896*0.384738977591047</f>
        <v>1.3266861296242979E-2</v>
      </c>
      <c r="I13">
        <v>1.3266861296243019E-2</v>
      </c>
    </row>
    <row r="14" spans="1:9" x14ac:dyDescent="0.25">
      <c r="A14">
        <v>1</v>
      </c>
      <c r="B14" t="s">
        <v>9</v>
      </c>
      <c r="C14" t="s">
        <v>10</v>
      </c>
      <c r="D14" t="s">
        <v>23</v>
      </c>
      <c r="E14">
        <f t="shared" si="0"/>
        <v>3.4482758620689655E-2</v>
      </c>
      <c r="F14">
        <v>275</v>
      </c>
      <c r="G14">
        <f>LOG(382/(275+1))</f>
        <v>0.14115428084649101</v>
      </c>
      <c r="H14">
        <f>0.0344827586206896*0.325019742889425</f>
        <v>1.1207577341014636E-2</v>
      </c>
      <c r="I14">
        <v>1.1207577341014661E-2</v>
      </c>
    </row>
    <row r="15" spans="1:9" x14ac:dyDescent="0.25">
      <c r="A15">
        <v>1</v>
      </c>
      <c r="B15" t="s">
        <v>9</v>
      </c>
      <c r="C15" t="s">
        <v>10</v>
      </c>
      <c r="D15" t="s">
        <v>24</v>
      </c>
      <c r="E15">
        <f t="shared" si="0"/>
        <v>3.4482758620689655E-2</v>
      </c>
      <c r="F15">
        <v>59</v>
      </c>
      <c r="G15">
        <f>LOG(382/(59+1))</f>
        <v>0.80391211252806505</v>
      </c>
      <c r="H15">
        <f>0.0344827586206896*1.85107604638447</f>
        <v>6.3830208496016103E-2</v>
      </c>
      <c r="I15">
        <v>6.3830208496016352E-2</v>
      </c>
    </row>
    <row r="16" spans="1:9" x14ac:dyDescent="0.25">
      <c r="A16">
        <v>1</v>
      </c>
      <c r="B16" t="s">
        <v>9</v>
      </c>
      <c r="C16" t="s">
        <v>10</v>
      </c>
      <c r="D16" t="s">
        <v>25</v>
      </c>
      <c r="E16">
        <f t="shared" si="0"/>
        <v>3.4482758620689655E-2</v>
      </c>
      <c r="F16">
        <v>106</v>
      </c>
      <c r="G16">
        <f>LOG(382/(106+1))</f>
        <v>0.55267958522649907</v>
      </c>
      <c r="H16">
        <f>0.0344827586206896*1.27259177414466</f>
        <v>4.3882474970505445E-2</v>
      </c>
      <c r="I16">
        <v>4.3882474970505833E-2</v>
      </c>
    </row>
    <row r="17" spans="1:9" x14ac:dyDescent="0.25">
      <c r="A17">
        <v>1</v>
      </c>
      <c r="B17" t="s">
        <v>9</v>
      </c>
      <c r="C17" t="s">
        <v>10</v>
      </c>
      <c r="D17" t="s">
        <v>26</v>
      </c>
      <c r="E17">
        <f t="shared" si="0"/>
        <v>3.4482758620689655E-2</v>
      </c>
      <c r="F17">
        <v>40</v>
      </c>
      <c r="G17">
        <f>LOG(382/(40+1))</f>
        <v>0.96927950619197323</v>
      </c>
      <c r="H17">
        <f>0.0344827586206896*2.23184854190226</f>
        <v>7.6960294548353667E-2</v>
      </c>
      <c r="I17">
        <v>7.6960294548354041E-2</v>
      </c>
    </row>
    <row r="18" spans="1:9" x14ac:dyDescent="0.25">
      <c r="A18">
        <v>1</v>
      </c>
      <c r="B18" t="s">
        <v>9</v>
      </c>
      <c r="C18" t="s">
        <v>10</v>
      </c>
      <c r="D18" t="s">
        <v>27</v>
      </c>
      <c r="E18">
        <f t="shared" si="0"/>
        <v>3.4482758620689655E-2</v>
      </c>
      <c r="F18">
        <v>2</v>
      </c>
      <c r="G18">
        <f>LOG(382/(2+1))</f>
        <v>2.1049421081920463</v>
      </c>
      <c r="H18">
        <f>0.0344827586206896*4.84680831993846</f>
        <v>0.167131321377188</v>
      </c>
      <c r="I18">
        <v>0.16713132137718839</v>
      </c>
    </row>
    <row r="19" spans="1:9" x14ac:dyDescent="0.25">
      <c r="A19">
        <v>1</v>
      </c>
      <c r="B19" t="s">
        <v>9</v>
      </c>
      <c r="C19" t="s">
        <v>10</v>
      </c>
      <c r="D19" t="s">
        <v>28</v>
      </c>
      <c r="E19">
        <f t="shared" si="0"/>
        <v>3.4482758620689655E-2</v>
      </c>
      <c r="F19">
        <v>35</v>
      </c>
      <c r="G19">
        <f>LOG(382/(35+1))</f>
        <v>1.0257608621444214</v>
      </c>
      <c r="H19">
        <f>0.0344827586206896*2.36190167015046</f>
        <v>8.1444885177601942E-2</v>
      </c>
      <c r="I19">
        <v>8.1444885177602233E-2</v>
      </c>
    </row>
    <row r="20" spans="1:9" x14ac:dyDescent="0.25">
      <c r="A20">
        <v>1</v>
      </c>
      <c r="B20" t="s">
        <v>9</v>
      </c>
      <c r="C20" t="s">
        <v>10</v>
      </c>
      <c r="D20" t="s">
        <v>29</v>
      </c>
      <c r="E20">
        <f t="shared" si="0"/>
        <v>3.4482758620689655E-2</v>
      </c>
      <c r="F20">
        <v>1</v>
      </c>
      <c r="G20">
        <f>LOG(382/(1+1))</f>
        <v>2.2810333672477277</v>
      </c>
      <c r="H20">
        <f>0.0344827586206896*5.25227342804663</f>
        <v>0.18111287682919383</v>
      </c>
      <c r="I20">
        <v>0.18111287682919411</v>
      </c>
    </row>
    <row r="21" spans="1:9" x14ac:dyDescent="0.25">
      <c r="A21">
        <v>1</v>
      </c>
      <c r="B21" t="s">
        <v>9</v>
      </c>
      <c r="C21" t="s">
        <v>10</v>
      </c>
      <c r="D21" t="s">
        <v>30</v>
      </c>
      <c r="E21">
        <f t="shared" si="0"/>
        <v>3.4482758620689655E-2</v>
      </c>
      <c r="F21">
        <v>7</v>
      </c>
      <c r="G21">
        <f>LOG(382/(7+1))</f>
        <v>1.6789733759197651</v>
      </c>
      <c r="H21">
        <f>0.0344827586206896*3.86597906692673</f>
        <v>0.13330962299747323</v>
      </c>
      <c r="I21">
        <v>0.13330962299747379</v>
      </c>
    </row>
    <row r="22" spans="1:9" x14ac:dyDescent="0.25">
      <c r="A22">
        <v>1</v>
      </c>
      <c r="B22" t="s">
        <v>9</v>
      </c>
      <c r="C22" t="s">
        <v>10</v>
      </c>
      <c r="D22" t="s">
        <v>31</v>
      </c>
      <c r="E22">
        <f t="shared" si="0"/>
        <v>3.4482758620689655E-2</v>
      </c>
      <c r="F22">
        <v>31</v>
      </c>
      <c r="G22">
        <f>LOG(382/(31+1))</f>
        <v>1.0769133845918029</v>
      </c>
      <c r="H22">
        <f>0.0344827586206896*2.47968470580684</f>
        <v>8.5506369165752966E-2</v>
      </c>
      <c r="I22">
        <v>8.550636916575341E-2</v>
      </c>
    </row>
    <row r="23" spans="1:9" x14ac:dyDescent="0.25">
      <c r="A23">
        <v>1</v>
      </c>
      <c r="B23" t="s">
        <v>9</v>
      </c>
      <c r="C23" t="s">
        <v>10</v>
      </c>
      <c r="D23" t="s">
        <v>32</v>
      </c>
      <c r="E23">
        <f t="shared" si="0"/>
        <v>3.4482758620689655E-2</v>
      </c>
      <c r="F23">
        <v>4</v>
      </c>
      <c r="G23">
        <f>LOG(382/(4+1))</f>
        <v>1.8830933585756899</v>
      </c>
      <c r="H23">
        <f>0.0344827586206896*4.33598269617247</f>
        <v>0.14951664469560219</v>
      </c>
      <c r="I23">
        <v>0.14951664469560261</v>
      </c>
    </row>
    <row r="24" spans="1:9" x14ac:dyDescent="0.25">
      <c r="A24">
        <v>1</v>
      </c>
      <c r="B24" t="s">
        <v>9</v>
      </c>
      <c r="C24" t="s">
        <v>10</v>
      </c>
      <c r="D24" t="s">
        <v>33</v>
      </c>
      <c r="E24">
        <f t="shared" si="0"/>
        <v>3.4482758620689655E-2</v>
      </c>
      <c r="F24">
        <v>1</v>
      </c>
      <c r="G24">
        <f>LOG(382/(1+1))</f>
        <v>2.2810333672477277</v>
      </c>
      <c r="H24">
        <f>0.0344827586206896*5.25227342804663</f>
        <v>0.18111287682919383</v>
      </c>
      <c r="I24">
        <v>0.18111287682919411</v>
      </c>
    </row>
    <row r="25" spans="1:9" x14ac:dyDescent="0.25">
      <c r="A25">
        <v>1</v>
      </c>
      <c r="B25" t="s">
        <v>9</v>
      </c>
      <c r="C25" t="s">
        <v>10</v>
      </c>
      <c r="D25" t="s">
        <v>34</v>
      </c>
      <c r="E25">
        <f t="shared" si="0"/>
        <v>3.4482758620689655E-2</v>
      </c>
      <c r="F25">
        <v>11</v>
      </c>
      <c r="G25">
        <f>LOG(382/(11+1))</f>
        <v>1.5028821168640838</v>
      </c>
      <c r="H25">
        <f>0.0344827586206896*3.46051395881857</f>
        <v>0.11932806754546774</v>
      </c>
      <c r="I25">
        <v>0.1193280675454681</v>
      </c>
    </row>
    <row r="26" spans="1:9" x14ac:dyDescent="0.25">
      <c r="A26">
        <v>2</v>
      </c>
      <c r="B26" t="s">
        <v>35</v>
      </c>
      <c r="C26" t="s">
        <v>10</v>
      </c>
      <c r="D26" t="s">
        <v>36</v>
      </c>
      <c r="E26">
        <f>4/21</f>
        <v>0.19047619047619047</v>
      </c>
      <c r="F26">
        <v>58</v>
      </c>
      <c r="G26">
        <f>LOG(382/(58+1))</f>
        <v>0.81121135126956456</v>
      </c>
      <c r="H26">
        <f>0.19047619047619*1.86788316470085</f>
        <v>0.35578726946682765</v>
      </c>
      <c r="I26">
        <v>0.35578726946682959</v>
      </c>
    </row>
    <row r="27" spans="1:9" x14ac:dyDescent="0.25">
      <c r="A27">
        <v>2</v>
      </c>
      <c r="B27" t="s">
        <v>35</v>
      </c>
      <c r="C27" t="s">
        <v>10</v>
      </c>
      <c r="D27" t="s">
        <v>37</v>
      </c>
      <c r="E27">
        <f>3/21</f>
        <v>0.14285714285714285</v>
      </c>
      <c r="F27">
        <v>2</v>
      </c>
      <c r="G27">
        <f>LOG(382/(2+1))</f>
        <v>2.1049421081920463</v>
      </c>
      <c r="H27">
        <f>0.142857142857142*4.84680831993846</f>
        <v>0.69240118856263289</v>
      </c>
      <c r="I27">
        <v>0.69240118856263788</v>
      </c>
    </row>
    <row r="28" spans="1:9" x14ac:dyDescent="0.25">
      <c r="A28">
        <v>2</v>
      </c>
      <c r="B28" t="s">
        <v>35</v>
      </c>
      <c r="C28" t="s">
        <v>10</v>
      </c>
      <c r="D28" t="s">
        <v>38</v>
      </c>
      <c r="E28">
        <f t="shared" ref="E28:E41" si="1">1/21</f>
        <v>4.7619047619047616E-2</v>
      </c>
      <c r="F28">
        <v>86</v>
      </c>
      <c r="G28">
        <f>LOG(382/(86+1))</f>
        <v>0.64254411029309022</v>
      </c>
      <c r="H28">
        <f>0.0476190476190476*1.47951248995199</f>
        <v>7.0452975711999502E-2</v>
      </c>
      <c r="I28">
        <v>7.0452975711999585E-2</v>
      </c>
    </row>
    <row r="29" spans="1:9" x14ac:dyDescent="0.25">
      <c r="A29">
        <v>2</v>
      </c>
      <c r="B29" t="s">
        <v>35</v>
      </c>
      <c r="C29" t="s">
        <v>10</v>
      </c>
      <c r="D29" t="s">
        <v>39</v>
      </c>
      <c r="E29">
        <f t="shared" si="1"/>
        <v>4.7619047619047616E-2</v>
      </c>
      <c r="F29">
        <v>145</v>
      </c>
      <c r="G29">
        <f>LOG(382/(145+1))</f>
        <v>0.41771050712727159</v>
      </c>
      <c r="H29">
        <f>0.0476190476190476*0.961813986898238</f>
        <v>4.5800666042773226E-2</v>
      </c>
      <c r="I29">
        <v>4.5800666042773268E-2</v>
      </c>
    </row>
    <row r="30" spans="1:9" x14ac:dyDescent="0.25">
      <c r="A30">
        <v>2</v>
      </c>
      <c r="B30" t="s">
        <v>35</v>
      </c>
      <c r="C30" t="s">
        <v>10</v>
      </c>
      <c r="D30" t="s">
        <v>40</v>
      </c>
      <c r="E30">
        <f t="shared" si="1"/>
        <v>4.7619047619047616E-2</v>
      </c>
      <c r="F30">
        <v>159</v>
      </c>
      <c r="G30">
        <f>LOG(382/(159+1))</f>
        <v>0.377943380255784</v>
      </c>
      <c r="H30">
        <f>0.0476190476190476*0.870246793372748</f>
        <v>4.1440323493940369E-2</v>
      </c>
      <c r="I30">
        <v>4.1440323493940397E-2</v>
      </c>
    </row>
    <row r="31" spans="1:9" x14ac:dyDescent="0.25">
      <c r="A31">
        <v>2</v>
      </c>
      <c r="B31" t="s">
        <v>35</v>
      </c>
      <c r="C31" t="s">
        <v>10</v>
      </c>
      <c r="D31" t="s">
        <v>41</v>
      </c>
      <c r="E31">
        <f t="shared" si="1"/>
        <v>4.7619047619047616E-2</v>
      </c>
      <c r="F31">
        <v>195</v>
      </c>
      <c r="G31">
        <f>LOG(382/(195+1))</f>
        <v>0.28980729155523272</v>
      </c>
      <c r="H31">
        <f>0.0476190476190476*0.667305949376058</f>
        <v>3.1776473779812277E-2</v>
      </c>
      <c r="I31">
        <v>3.1776473779812277E-2</v>
      </c>
    </row>
    <row r="32" spans="1:9" x14ac:dyDescent="0.25">
      <c r="A32">
        <v>2</v>
      </c>
      <c r="B32" t="s">
        <v>35</v>
      </c>
      <c r="C32" t="s">
        <v>10</v>
      </c>
      <c r="D32" t="s">
        <v>42</v>
      </c>
      <c r="E32">
        <f t="shared" si="1"/>
        <v>4.7619047619047616E-2</v>
      </c>
      <c r="F32">
        <v>251</v>
      </c>
      <c r="G32">
        <f>LOG(382/(251+1))</f>
        <v>0.18066282213016463</v>
      </c>
      <c r="H32">
        <f>0.0476190476190476*0.415991521095151</f>
        <v>1.9809120052150041E-2</v>
      </c>
      <c r="I32">
        <v>1.9809120052150089E-2</v>
      </c>
    </row>
    <row r="33" spans="1:9" x14ac:dyDescent="0.25">
      <c r="A33">
        <v>2</v>
      </c>
      <c r="B33" t="s">
        <v>35</v>
      </c>
      <c r="C33" t="s">
        <v>10</v>
      </c>
      <c r="D33" t="s">
        <v>15</v>
      </c>
      <c r="E33">
        <f t="shared" si="1"/>
        <v>4.7619047619047616E-2</v>
      </c>
      <c r="F33">
        <v>112</v>
      </c>
      <c r="G33">
        <f>LOG(382/(112+1))</f>
        <v>0.52898491942828896</v>
      </c>
      <c r="H33">
        <f>0.0476190476190476*1.21803278989423</f>
        <v>5.8001561423534742E-2</v>
      </c>
      <c r="I33">
        <v>5.8001561423534978E-2</v>
      </c>
    </row>
    <row r="34" spans="1:9" x14ac:dyDescent="0.25">
      <c r="A34">
        <v>2</v>
      </c>
      <c r="B34" t="s">
        <v>35</v>
      </c>
      <c r="C34" t="s">
        <v>10</v>
      </c>
      <c r="D34" t="s">
        <v>17</v>
      </c>
      <c r="E34">
        <f t="shared" si="1"/>
        <v>4.7619047619047616E-2</v>
      </c>
      <c r="F34">
        <v>169</v>
      </c>
      <c r="G34">
        <f>LOG(382/(169+1))</f>
        <v>0.3516144415334348</v>
      </c>
      <c r="H34">
        <f>0.0476190476190476*0.809622171556313</f>
        <v>3.8553436740776797E-2</v>
      </c>
      <c r="I34">
        <v>3.8553436740776832E-2</v>
      </c>
    </row>
    <row r="35" spans="1:9" x14ac:dyDescent="0.25">
      <c r="A35">
        <v>2</v>
      </c>
      <c r="B35" t="s">
        <v>35</v>
      </c>
      <c r="C35" t="s">
        <v>10</v>
      </c>
      <c r="D35" t="s">
        <v>43</v>
      </c>
      <c r="E35">
        <f t="shared" si="1"/>
        <v>4.7619047619047616E-2</v>
      </c>
      <c r="F35">
        <v>4</v>
      </c>
      <c r="G35">
        <f>LOG(382/(4+1))</f>
        <v>1.8830933585756899</v>
      </c>
      <c r="H35">
        <f>0.0476190476190476*4.33598269617247</f>
        <v>0.20647536648440329</v>
      </c>
      <c r="I35">
        <v>0.20647536648440351</v>
      </c>
    </row>
    <row r="36" spans="1:9" x14ac:dyDescent="0.25">
      <c r="A36">
        <v>2</v>
      </c>
      <c r="B36" t="s">
        <v>35</v>
      </c>
      <c r="C36" t="s">
        <v>10</v>
      </c>
      <c r="D36" t="s">
        <v>19</v>
      </c>
      <c r="E36">
        <f t="shared" si="1"/>
        <v>4.7619047619047616E-2</v>
      </c>
      <c r="F36">
        <v>220</v>
      </c>
      <c r="G36">
        <f>LOG(382/(220+1))</f>
        <v>0.23767108922659805</v>
      </c>
      <c r="H36">
        <f>0.0476190476190476*0.547257907088822</f>
        <v>2.6059900337562947E-2</v>
      </c>
      <c r="I36">
        <v>2.6059900337562971E-2</v>
      </c>
    </row>
    <row r="37" spans="1:9" x14ac:dyDescent="0.25">
      <c r="A37">
        <v>2</v>
      </c>
      <c r="B37" t="s">
        <v>35</v>
      </c>
      <c r="C37" t="s">
        <v>10</v>
      </c>
      <c r="D37" t="s">
        <v>44</v>
      </c>
      <c r="E37">
        <f t="shared" si="1"/>
        <v>4.7619047619047616E-2</v>
      </c>
      <c r="F37">
        <v>151</v>
      </c>
      <c r="G37">
        <f>LOG(382/(151+1))</f>
        <v>0.40021977496693617</v>
      </c>
      <c r="H37">
        <f>0.0476190476190476*0.921540087760298</f>
        <v>4.3882861321918938E-2</v>
      </c>
      <c r="I37">
        <v>4.3882861321918987E-2</v>
      </c>
    </row>
    <row r="38" spans="1:9" x14ac:dyDescent="0.25">
      <c r="A38">
        <v>2</v>
      </c>
      <c r="B38" t="s">
        <v>35</v>
      </c>
      <c r="C38" t="s">
        <v>10</v>
      </c>
      <c r="D38" t="s">
        <v>22</v>
      </c>
      <c r="E38">
        <f t="shared" si="1"/>
        <v>4.7619047619047616E-2</v>
      </c>
      <c r="F38">
        <v>259</v>
      </c>
      <c r="G38">
        <f>LOG(382/(259+1))</f>
        <v>0.16709001494089079</v>
      </c>
      <c r="H38">
        <f>0.0476190476190476*0.384738977591047</f>
        <v>1.8320903694811756E-2</v>
      </c>
      <c r="I38">
        <v>1.8320903694811791E-2</v>
      </c>
    </row>
    <row r="39" spans="1:9" x14ac:dyDescent="0.25">
      <c r="A39">
        <v>2</v>
      </c>
      <c r="B39" t="s">
        <v>35</v>
      </c>
      <c r="C39" t="s">
        <v>10</v>
      </c>
      <c r="D39" t="s">
        <v>23</v>
      </c>
      <c r="E39">
        <f t="shared" si="1"/>
        <v>4.7619047619047616E-2</v>
      </c>
      <c r="F39">
        <v>275</v>
      </c>
      <c r="G39">
        <f>LOG(382/(275+1))</f>
        <v>0.14115428084649101</v>
      </c>
      <c r="H39">
        <f>0.0476190476190476*0.325019742889425</f>
        <v>1.5477130613782137E-2</v>
      </c>
      <c r="I39">
        <v>1.5477130613782151E-2</v>
      </c>
    </row>
    <row r="40" spans="1:9" x14ac:dyDescent="0.25">
      <c r="A40">
        <v>2</v>
      </c>
      <c r="B40" t="s">
        <v>35</v>
      </c>
      <c r="C40" t="s">
        <v>10</v>
      </c>
      <c r="D40" t="s">
        <v>45</v>
      </c>
      <c r="E40">
        <f t="shared" si="1"/>
        <v>4.7619047619047616E-2</v>
      </c>
      <c r="F40">
        <v>2</v>
      </c>
      <c r="G40">
        <f>LOG(382/(2+1))</f>
        <v>2.1049421081920463</v>
      </c>
      <c r="H40">
        <f>0.0476190476190476*4.84680831993846</f>
        <v>0.23080039618754564</v>
      </c>
      <c r="I40">
        <v>0.23080039618754589</v>
      </c>
    </row>
    <row r="41" spans="1:9" x14ac:dyDescent="0.25">
      <c r="A41">
        <v>2</v>
      </c>
      <c r="B41" t="s">
        <v>35</v>
      </c>
      <c r="C41" t="s">
        <v>10</v>
      </c>
      <c r="D41" t="s">
        <v>46</v>
      </c>
      <c r="E41">
        <f t="shared" si="1"/>
        <v>4.7619047619047616E-2</v>
      </c>
      <c r="F41">
        <v>3</v>
      </c>
      <c r="G41">
        <f>LOG(382/(3+1))</f>
        <v>1.9800033715837464</v>
      </c>
      <c r="H41">
        <f>0.0476190476190476*4.55912624748668</f>
        <v>0.21710124988031801</v>
      </c>
      <c r="I41">
        <v>0.21710124988031829</v>
      </c>
    </row>
    <row r="42" spans="1:9" x14ac:dyDescent="0.25">
      <c r="A42">
        <v>3</v>
      </c>
      <c r="B42" t="s">
        <v>47</v>
      </c>
      <c r="C42" t="s">
        <v>48</v>
      </c>
      <c r="D42" t="s">
        <v>49</v>
      </c>
      <c r="E42">
        <f>2/20</f>
        <v>0.1</v>
      </c>
      <c r="F42">
        <v>13</v>
      </c>
      <c r="G42">
        <f>LOG(382/(13+1))</f>
        <v>1.4359353272334707</v>
      </c>
      <c r="H42">
        <f>0.1*3.30636327899131</f>
        <v>0.33063632789913106</v>
      </c>
      <c r="I42">
        <v>0.33063632789913172</v>
      </c>
    </row>
    <row r="43" spans="1:9" x14ac:dyDescent="0.25">
      <c r="A43">
        <v>3</v>
      </c>
      <c r="B43" t="s">
        <v>47</v>
      </c>
      <c r="C43" t="s">
        <v>48</v>
      </c>
      <c r="D43" t="s">
        <v>50</v>
      </c>
      <c r="E43">
        <f>3/20</f>
        <v>0.15</v>
      </c>
      <c r="F43">
        <v>109</v>
      </c>
      <c r="G43">
        <f>LOG(382/(109+1))</f>
        <v>0.54067067775348365</v>
      </c>
      <c r="H43">
        <f>0.15*1.24494024281415</f>
        <v>0.1867410364221225</v>
      </c>
      <c r="I43">
        <v>0.18674103642212381</v>
      </c>
    </row>
    <row r="44" spans="1:9" x14ac:dyDescent="0.25">
      <c r="A44">
        <v>3</v>
      </c>
      <c r="B44" t="s">
        <v>47</v>
      </c>
      <c r="C44" t="s">
        <v>48</v>
      </c>
      <c r="D44" t="s">
        <v>51</v>
      </c>
      <c r="E44">
        <f>1/20</f>
        <v>0.05</v>
      </c>
      <c r="F44">
        <v>8</v>
      </c>
      <c r="G44">
        <f>LOG(382/(8+1))</f>
        <v>1.6278208534723839</v>
      </c>
      <c r="H44">
        <f>0.05*3.74819603127035</f>
        <v>0.1874098015635175</v>
      </c>
      <c r="I44">
        <v>0.1874098015635178</v>
      </c>
    </row>
    <row r="45" spans="1:9" x14ac:dyDescent="0.25">
      <c r="A45">
        <v>3</v>
      </c>
      <c r="B45" t="s">
        <v>47</v>
      </c>
      <c r="C45" t="s">
        <v>48</v>
      </c>
      <c r="D45" t="s">
        <v>52</v>
      </c>
      <c r="E45">
        <f>3/20</f>
        <v>0.15</v>
      </c>
      <c r="F45">
        <v>35</v>
      </c>
      <c r="G45">
        <f>LOG(382/(35+1))</f>
        <v>1.0257608621444214</v>
      </c>
      <c r="H45">
        <f>0.15*2.36190167015046</f>
        <v>0.35428525052256898</v>
      </c>
      <c r="I45">
        <v>0.35428525052256971</v>
      </c>
    </row>
    <row r="46" spans="1:9" x14ac:dyDescent="0.25">
      <c r="A46">
        <v>3</v>
      </c>
      <c r="B46" t="s">
        <v>47</v>
      </c>
      <c r="C46" t="s">
        <v>48</v>
      </c>
      <c r="D46" t="s">
        <v>53</v>
      </c>
      <c r="E46">
        <f>1/20</f>
        <v>0.05</v>
      </c>
      <c r="F46">
        <v>57</v>
      </c>
      <c r="G46">
        <f>LOG(382/(57+1))</f>
        <v>0.81863536934877146</v>
      </c>
      <c r="H46">
        <f>0.05*1.88497759806015</f>
        <v>9.424887990300751E-2</v>
      </c>
      <c r="I46">
        <v>9.4248879903007787E-2</v>
      </c>
    </row>
    <row r="47" spans="1:9" x14ac:dyDescent="0.25">
      <c r="A47">
        <v>3</v>
      </c>
      <c r="B47" t="s">
        <v>47</v>
      </c>
      <c r="C47" t="s">
        <v>48</v>
      </c>
      <c r="D47" t="s">
        <v>54</v>
      </c>
      <c r="E47">
        <f>1/20</f>
        <v>0.05</v>
      </c>
      <c r="F47">
        <v>25</v>
      </c>
      <c r="G47">
        <f>LOG(382/(25+1))</f>
        <v>1.1670900149408907</v>
      </c>
      <c r="H47">
        <f>0.05*2.68732407058509</f>
        <v>0.13436620352925452</v>
      </c>
      <c r="I47">
        <v>0.13436620352925471</v>
      </c>
    </row>
    <row r="48" spans="1:9" x14ac:dyDescent="0.25">
      <c r="A48">
        <v>3</v>
      </c>
      <c r="B48" t="s">
        <v>47</v>
      </c>
      <c r="C48" t="s">
        <v>48</v>
      </c>
      <c r="D48" t="s">
        <v>55</v>
      </c>
      <c r="E48">
        <f>2/20</f>
        <v>0.1</v>
      </c>
      <c r="F48">
        <v>1</v>
      </c>
      <c r="G48">
        <f>LOG(382/(1+1))</f>
        <v>2.2810333672477277</v>
      </c>
      <c r="H48">
        <f>0.1*5.25227342804663</f>
        <v>0.52522734280466299</v>
      </c>
      <c r="I48">
        <v>0.52522734280466299</v>
      </c>
    </row>
    <row r="49" spans="1:9" x14ac:dyDescent="0.25">
      <c r="A49">
        <v>3</v>
      </c>
      <c r="B49" t="s">
        <v>47</v>
      </c>
      <c r="C49" t="s">
        <v>48</v>
      </c>
      <c r="D49" t="s">
        <v>56</v>
      </c>
      <c r="E49">
        <f t="shared" ref="E49:E55" si="2">1/20</f>
        <v>0.05</v>
      </c>
      <c r="F49">
        <v>4</v>
      </c>
      <c r="G49">
        <f>LOG(382/(4+1))</f>
        <v>1.8830933585756899</v>
      </c>
      <c r="H49">
        <f>0.05*4.33598269617247</f>
        <v>0.21679913480862353</v>
      </c>
      <c r="I49">
        <v>0.21679913480862381</v>
      </c>
    </row>
    <row r="50" spans="1:9" x14ac:dyDescent="0.25">
      <c r="A50">
        <v>3</v>
      </c>
      <c r="B50" t="s">
        <v>47</v>
      </c>
      <c r="C50" t="s">
        <v>48</v>
      </c>
      <c r="D50" t="s">
        <v>57</v>
      </c>
      <c r="E50">
        <f t="shared" si="2"/>
        <v>0.05</v>
      </c>
      <c r="F50">
        <v>1</v>
      </c>
      <c r="G50">
        <f>LOG(382/(1+1))</f>
        <v>2.2810333672477277</v>
      </c>
      <c r="H50">
        <f>0.05*5.25227342804663</f>
        <v>0.26261367140233149</v>
      </c>
      <c r="I50">
        <v>0.26261367140233149</v>
      </c>
    </row>
    <row r="51" spans="1:9" x14ac:dyDescent="0.25">
      <c r="A51">
        <v>3</v>
      </c>
      <c r="B51" t="s">
        <v>47</v>
      </c>
      <c r="C51" t="s">
        <v>48</v>
      </c>
      <c r="D51" t="s">
        <v>58</v>
      </c>
      <c r="E51">
        <f t="shared" si="2"/>
        <v>0.05</v>
      </c>
      <c r="F51">
        <v>18</v>
      </c>
      <c r="G51">
        <f>LOG(382/(18+1))</f>
        <v>1.3033097619588798</v>
      </c>
      <c r="H51">
        <f>0.05*3.00098162944013</f>
        <v>0.15004908147200652</v>
      </c>
      <c r="I51">
        <v>0.15004908147200671</v>
      </c>
    </row>
    <row r="52" spans="1:9" x14ac:dyDescent="0.25">
      <c r="A52">
        <v>3</v>
      </c>
      <c r="B52" t="s">
        <v>47</v>
      </c>
      <c r="C52" t="s">
        <v>48</v>
      </c>
      <c r="D52" t="s">
        <v>59</v>
      </c>
      <c r="E52">
        <f t="shared" si="2"/>
        <v>0.05</v>
      </c>
      <c r="F52">
        <v>13</v>
      </c>
      <c r="G52">
        <f>LOG(382/(13+1))</f>
        <v>1.4359353272334707</v>
      </c>
      <c r="H52">
        <f>0.05*3.30636327899131</f>
        <v>0.16531816394956553</v>
      </c>
      <c r="I52">
        <v>0.16531816394956581</v>
      </c>
    </row>
    <row r="53" spans="1:9" x14ac:dyDescent="0.25">
      <c r="A53">
        <v>3</v>
      </c>
      <c r="B53" t="s">
        <v>47</v>
      </c>
      <c r="C53" t="s">
        <v>48</v>
      </c>
      <c r="D53" t="s">
        <v>60</v>
      </c>
      <c r="E53">
        <f t="shared" si="2"/>
        <v>0.05</v>
      </c>
      <c r="F53">
        <v>24</v>
      </c>
      <c r="G53">
        <f>LOG(382/(24+1))</f>
        <v>1.1841233542396712</v>
      </c>
      <c r="H53">
        <f>0.05*2.72654478373837</f>
        <v>0.1363272391869185</v>
      </c>
      <c r="I53">
        <v>0.13632723918691869</v>
      </c>
    </row>
    <row r="54" spans="1:9" x14ac:dyDescent="0.25">
      <c r="A54">
        <v>3</v>
      </c>
      <c r="B54" t="s">
        <v>47</v>
      </c>
      <c r="C54" t="s">
        <v>48</v>
      </c>
      <c r="D54" t="s">
        <v>61</v>
      </c>
      <c r="E54">
        <f t="shared" si="2"/>
        <v>0.05</v>
      </c>
      <c r="F54">
        <v>6</v>
      </c>
      <c r="G54">
        <f>LOG(382/(6+1))</f>
        <v>1.736965322897452</v>
      </c>
      <c r="H54">
        <f>0.05*3.99951045955126</f>
        <v>0.19997552297756302</v>
      </c>
      <c r="I54">
        <v>0.1999755229775631</v>
      </c>
    </row>
    <row r="55" spans="1:9" x14ac:dyDescent="0.25">
      <c r="A55">
        <v>3</v>
      </c>
      <c r="B55" t="s">
        <v>47</v>
      </c>
      <c r="C55" t="s">
        <v>48</v>
      </c>
      <c r="D55" t="s">
        <v>62</v>
      </c>
      <c r="E55">
        <f t="shared" si="2"/>
        <v>0.05</v>
      </c>
      <c r="F55">
        <v>6</v>
      </c>
      <c r="G55">
        <f>LOG(382/(6+1))</f>
        <v>1.736965322897452</v>
      </c>
      <c r="H55">
        <f>0.05*3.99951045955126</f>
        <v>0.19997552297756302</v>
      </c>
      <c r="I55">
        <v>0.1999755229775631</v>
      </c>
    </row>
    <row r="56" spans="1:9" x14ac:dyDescent="0.25">
      <c r="A56">
        <v>4</v>
      </c>
      <c r="B56" t="s">
        <v>63</v>
      </c>
      <c r="C56" t="s">
        <v>48</v>
      </c>
      <c r="D56" t="s">
        <v>64</v>
      </c>
      <c r="E56">
        <f>4/28</f>
        <v>0.14285714285714285</v>
      </c>
      <c r="F56">
        <v>16</v>
      </c>
      <c r="G56">
        <f>LOG(382/(16+1))</f>
        <v>1.3516144415334348</v>
      </c>
      <c r="H56">
        <f>0.142857142857142*3.11220726455035</f>
        <v>0.44460103779290439</v>
      </c>
      <c r="I56">
        <v>0.44460103779290838</v>
      </c>
    </row>
    <row r="57" spans="1:9" x14ac:dyDescent="0.25">
      <c r="A57">
        <v>4</v>
      </c>
      <c r="B57" t="s">
        <v>63</v>
      </c>
      <c r="C57" t="s">
        <v>48</v>
      </c>
      <c r="D57" t="s">
        <v>38</v>
      </c>
      <c r="E57">
        <f>1/28</f>
        <v>3.5714285714285712E-2</v>
      </c>
      <c r="F57">
        <v>86</v>
      </c>
      <c r="G57">
        <f>LOG(382/(86+1))</f>
        <v>0.64254411029309022</v>
      </c>
      <c r="H57">
        <f>0.0357142857142857*1.47951248995199</f>
        <v>5.2839731783999623E-2</v>
      </c>
      <c r="I57">
        <v>5.2839731783999692E-2</v>
      </c>
    </row>
    <row r="58" spans="1:9" x14ac:dyDescent="0.25">
      <c r="A58">
        <v>4</v>
      </c>
      <c r="B58" t="s">
        <v>63</v>
      </c>
      <c r="C58" t="s">
        <v>48</v>
      </c>
      <c r="D58" t="s">
        <v>15</v>
      </c>
      <c r="E58">
        <f>4/28</f>
        <v>0.14285714285714285</v>
      </c>
      <c r="F58">
        <v>112</v>
      </c>
      <c r="G58">
        <f>LOG(382/(112+1))</f>
        <v>0.52898491942828896</v>
      </c>
      <c r="H58">
        <f>0.142857142857142*1.21803278989423</f>
        <v>0.17400468427060323</v>
      </c>
      <c r="I58">
        <v>0.17400468427060489</v>
      </c>
    </row>
    <row r="59" spans="1:9" x14ac:dyDescent="0.25">
      <c r="A59">
        <v>4</v>
      </c>
      <c r="B59" t="s">
        <v>63</v>
      </c>
      <c r="C59" t="s">
        <v>48</v>
      </c>
      <c r="D59" t="s">
        <v>65</v>
      </c>
      <c r="E59">
        <f t="shared" ref="E59:E64" si="3">1/28</f>
        <v>3.5714285714285712E-2</v>
      </c>
      <c r="F59">
        <v>32</v>
      </c>
      <c r="G59">
        <f>LOG(382/(32+1))</f>
        <v>1.0635494230338212</v>
      </c>
      <c r="H59">
        <f>0.0357142857142857*2.44891304714009</f>
        <v>8.7461180255003185E-2</v>
      </c>
      <c r="I59">
        <v>8.7461180255003393E-2</v>
      </c>
    </row>
    <row r="60" spans="1:9" x14ac:dyDescent="0.25">
      <c r="A60">
        <v>4</v>
      </c>
      <c r="B60" t="s">
        <v>63</v>
      </c>
      <c r="C60" t="s">
        <v>48</v>
      </c>
      <c r="D60" t="s">
        <v>40</v>
      </c>
      <c r="E60">
        <f t="shared" si="3"/>
        <v>3.5714285714285712E-2</v>
      </c>
      <c r="F60">
        <v>159</v>
      </c>
      <c r="G60">
        <f>LOG(382/(159+1))</f>
        <v>0.377943380255784</v>
      </c>
      <c r="H60">
        <f>0.0357142857142857*0.870246793372748</f>
        <v>3.1080242620455271E-2</v>
      </c>
      <c r="I60">
        <v>3.1080242620455299E-2</v>
      </c>
    </row>
    <row r="61" spans="1:9" x14ac:dyDescent="0.25">
      <c r="A61">
        <v>4</v>
      </c>
      <c r="B61" t="s">
        <v>63</v>
      </c>
      <c r="C61" t="s">
        <v>48</v>
      </c>
      <c r="D61" t="s">
        <v>41</v>
      </c>
      <c r="E61">
        <f t="shared" si="3"/>
        <v>3.5714285714285712E-2</v>
      </c>
      <c r="F61">
        <v>195</v>
      </c>
      <c r="G61">
        <f>LOG(382/(195+1))</f>
        <v>0.28980729155523272</v>
      </c>
      <c r="H61">
        <f>0.0357142857142857*0.667305949376058</f>
        <v>2.3832355334859206E-2</v>
      </c>
      <c r="I61">
        <v>2.3832355334859209E-2</v>
      </c>
    </row>
    <row r="62" spans="1:9" x14ac:dyDescent="0.25">
      <c r="A62">
        <v>4</v>
      </c>
      <c r="B62" t="s">
        <v>63</v>
      </c>
      <c r="C62" t="s">
        <v>48</v>
      </c>
      <c r="D62" t="s">
        <v>66</v>
      </c>
      <c r="E62">
        <f t="shared" si="3"/>
        <v>3.5714285714285712E-2</v>
      </c>
      <c r="F62">
        <v>3</v>
      </c>
      <c r="G62">
        <f>LOG(382/(3+1))</f>
        <v>1.9800033715837464</v>
      </c>
      <c r="H62">
        <f>0.0357142857142857*4.55912624748668</f>
        <v>0.16282593741023851</v>
      </c>
      <c r="I62">
        <v>0.16282593741023871</v>
      </c>
    </row>
    <row r="63" spans="1:9" x14ac:dyDescent="0.25">
      <c r="A63">
        <v>4</v>
      </c>
      <c r="B63" t="s">
        <v>63</v>
      </c>
      <c r="C63" t="s">
        <v>48</v>
      </c>
      <c r="D63" t="s">
        <v>67</v>
      </c>
      <c r="E63">
        <f t="shared" si="3"/>
        <v>3.5714285714285712E-2</v>
      </c>
      <c r="F63">
        <v>7</v>
      </c>
      <c r="G63">
        <f>LOG(382/(7+1))</f>
        <v>1.6789733759197651</v>
      </c>
      <c r="H63">
        <f>0.0357142857142857*3.86597906692673</f>
        <v>0.13807068096166888</v>
      </c>
      <c r="I63">
        <v>0.13807068096166919</v>
      </c>
    </row>
    <row r="64" spans="1:9" x14ac:dyDescent="0.25">
      <c r="A64">
        <v>4</v>
      </c>
      <c r="B64" t="s">
        <v>63</v>
      </c>
      <c r="C64" t="s">
        <v>48</v>
      </c>
      <c r="D64" t="s">
        <v>68</v>
      </c>
      <c r="E64">
        <f t="shared" si="3"/>
        <v>3.5714285714285712E-2</v>
      </c>
      <c r="F64">
        <v>43</v>
      </c>
      <c r="G64">
        <f>LOG(382/(43+1))</f>
        <v>0.93861068642552126</v>
      </c>
      <c r="H64">
        <f>0.0357142857142857*2.16123097468831</f>
        <v>7.7186820524582464E-2</v>
      </c>
      <c r="I64">
        <v>7.7186820524582631E-2</v>
      </c>
    </row>
    <row r="65" spans="1:9" x14ac:dyDescent="0.25">
      <c r="A65">
        <v>4</v>
      </c>
      <c r="B65" t="s">
        <v>63</v>
      </c>
      <c r="C65" t="s">
        <v>48</v>
      </c>
      <c r="D65" t="s">
        <v>44</v>
      </c>
      <c r="E65">
        <f>2/28</f>
        <v>7.1428571428571425E-2</v>
      </c>
      <c r="F65">
        <v>151</v>
      </c>
      <c r="G65">
        <f>LOG(382/(151+1))</f>
        <v>0.40021977496693617</v>
      </c>
      <c r="H65">
        <f>0.0714285714285714*0.921540087760298</f>
        <v>6.5824291982878397E-2</v>
      </c>
      <c r="I65">
        <v>6.582429198287848E-2</v>
      </c>
    </row>
    <row r="66" spans="1:9" x14ac:dyDescent="0.25">
      <c r="A66">
        <v>4</v>
      </c>
      <c r="B66" t="s">
        <v>63</v>
      </c>
      <c r="C66" t="s">
        <v>48</v>
      </c>
      <c r="D66" t="s">
        <v>69</v>
      </c>
      <c r="E66">
        <f t="shared" ref="E66:E76" si="4">1/28</f>
        <v>3.5714285714285712E-2</v>
      </c>
      <c r="F66">
        <v>13</v>
      </c>
      <c r="G66">
        <f>LOG(382/(13+1))</f>
        <v>1.4359353272334707</v>
      </c>
      <c r="H66">
        <f>0.0357142857142857*3.30636327899131</f>
        <v>0.11808440282111816</v>
      </c>
      <c r="I66">
        <v>0.1180844028211184</v>
      </c>
    </row>
    <row r="67" spans="1:9" x14ac:dyDescent="0.25">
      <c r="A67">
        <v>4</v>
      </c>
      <c r="B67" t="s">
        <v>63</v>
      </c>
      <c r="C67" t="s">
        <v>48</v>
      </c>
      <c r="D67" t="s">
        <v>17</v>
      </c>
      <c r="E67">
        <f t="shared" si="4"/>
        <v>3.5714285714285712E-2</v>
      </c>
      <c r="F67">
        <v>169</v>
      </c>
      <c r="G67">
        <f>LOG(382/(169+1))</f>
        <v>0.3516144415334348</v>
      </c>
      <c r="H67">
        <f>0.0357142857142857*0.809622171556313</f>
        <v>2.8915077555582595E-2</v>
      </c>
      <c r="I67">
        <v>2.8915077555582619E-2</v>
      </c>
    </row>
    <row r="68" spans="1:9" x14ac:dyDescent="0.25">
      <c r="A68">
        <v>4</v>
      </c>
      <c r="B68" t="s">
        <v>63</v>
      </c>
      <c r="C68" t="s">
        <v>48</v>
      </c>
      <c r="D68" t="s">
        <v>70</v>
      </c>
      <c r="E68">
        <f t="shared" si="4"/>
        <v>3.5714285714285712E-2</v>
      </c>
      <c r="F68">
        <v>44</v>
      </c>
      <c r="G68">
        <f>LOG(382/(44+1))</f>
        <v>0.92885084913636506</v>
      </c>
      <c r="H68">
        <f>0.0357142857142857*2.13875811883625</f>
        <v>7.638421852986603E-2</v>
      </c>
      <c r="I68">
        <v>7.6384218529866252E-2</v>
      </c>
    </row>
    <row r="69" spans="1:9" x14ac:dyDescent="0.25">
      <c r="A69">
        <v>4</v>
      </c>
      <c r="B69" t="s">
        <v>63</v>
      </c>
      <c r="C69" t="s">
        <v>48</v>
      </c>
      <c r="D69" t="s">
        <v>19</v>
      </c>
      <c r="E69">
        <f t="shared" si="4"/>
        <v>3.5714285714285712E-2</v>
      </c>
      <c r="F69">
        <v>220</v>
      </c>
      <c r="G69">
        <f>LOG(382/(220+1))</f>
        <v>0.23767108922659805</v>
      </c>
      <c r="H69">
        <f>0.0357142857142857*0.547257907088822</f>
        <v>1.9544925253172207E-2</v>
      </c>
      <c r="I69">
        <v>1.9544925253172231E-2</v>
      </c>
    </row>
    <row r="70" spans="1:9" x14ac:dyDescent="0.25">
      <c r="A70">
        <v>4</v>
      </c>
      <c r="B70" t="s">
        <v>63</v>
      </c>
      <c r="C70" t="s">
        <v>48</v>
      </c>
      <c r="D70" t="s">
        <v>21</v>
      </c>
      <c r="E70">
        <f t="shared" si="4"/>
        <v>3.5714285714285712E-2</v>
      </c>
      <c r="F70">
        <v>14</v>
      </c>
      <c r="G70">
        <f>LOG(382/(14+1))</f>
        <v>1.4059721038560276</v>
      </c>
      <c r="H70">
        <f>0.0357142857142857*3.23737040750436</f>
        <v>0.11562037169658423</v>
      </c>
      <c r="I70">
        <v>0.1156203716965845</v>
      </c>
    </row>
    <row r="71" spans="1:9" x14ac:dyDescent="0.25">
      <c r="A71">
        <v>4</v>
      </c>
      <c r="B71" t="s">
        <v>63</v>
      </c>
      <c r="C71" t="s">
        <v>48</v>
      </c>
      <c r="D71" t="s">
        <v>22</v>
      </c>
      <c r="E71">
        <f t="shared" si="4"/>
        <v>3.5714285714285712E-2</v>
      </c>
      <c r="F71">
        <v>259</v>
      </c>
      <c r="G71">
        <f>LOG(382/(259+1))</f>
        <v>0.16709001494089079</v>
      </c>
      <c r="H71">
        <f>0.0357142857142857*0.384738977591047</f>
        <v>1.3740677771108815E-2</v>
      </c>
      <c r="I71">
        <v>1.374067777110884E-2</v>
      </c>
    </row>
    <row r="72" spans="1:9" x14ac:dyDescent="0.25">
      <c r="A72">
        <v>4</v>
      </c>
      <c r="B72" t="s">
        <v>63</v>
      </c>
      <c r="C72" t="s">
        <v>48</v>
      </c>
      <c r="D72" t="s">
        <v>23</v>
      </c>
      <c r="E72">
        <f t="shared" si="4"/>
        <v>3.5714285714285712E-2</v>
      </c>
      <c r="F72">
        <v>275</v>
      </c>
      <c r="G72">
        <f>LOG(382/(275+1))</f>
        <v>0.14115428084649101</v>
      </c>
      <c r="H72">
        <f>0.0357142857142857*0.325019742889425</f>
        <v>1.1607847960336601E-2</v>
      </c>
      <c r="I72">
        <v>1.160784796033661E-2</v>
      </c>
    </row>
    <row r="73" spans="1:9" x14ac:dyDescent="0.25">
      <c r="A73">
        <v>4</v>
      </c>
      <c r="B73" t="s">
        <v>63</v>
      </c>
      <c r="C73" t="s">
        <v>48</v>
      </c>
      <c r="D73" t="s">
        <v>24</v>
      </c>
      <c r="E73">
        <f t="shared" si="4"/>
        <v>3.5714285714285712E-2</v>
      </c>
      <c r="F73">
        <v>59</v>
      </c>
      <c r="G73">
        <f>LOG(382/(59+1))</f>
        <v>0.80391211252806505</v>
      </c>
      <c r="H73">
        <f>0.0357142857142857*1.85107604638447</f>
        <v>6.6109858799445323E-2</v>
      </c>
      <c r="I73">
        <v>6.6109858799445517E-2</v>
      </c>
    </row>
    <row r="74" spans="1:9" x14ac:dyDescent="0.25">
      <c r="A74">
        <v>4</v>
      </c>
      <c r="B74" t="s">
        <v>63</v>
      </c>
      <c r="C74" t="s">
        <v>48</v>
      </c>
      <c r="D74" t="s">
        <v>71</v>
      </c>
      <c r="E74">
        <f t="shared" si="4"/>
        <v>3.5714285714285712E-2</v>
      </c>
      <c r="F74">
        <v>1</v>
      </c>
      <c r="G74">
        <f>LOG(382/(1+1))</f>
        <v>2.2810333672477277</v>
      </c>
      <c r="H74">
        <f>0.0357142857142857*5.25227342804663</f>
        <v>0.18758119385880812</v>
      </c>
      <c r="I74">
        <v>0.1875811938588082</v>
      </c>
    </row>
    <row r="75" spans="1:9" x14ac:dyDescent="0.25">
      <c r="A75">
        <v>4</v>
      </c>
      <c r="B75" t="s">
        <v>63</v>
      </c>
      <c r="C75" t="s">
        <v>48</v>
      </c>
      <c r="D75" t="s">
        <v>72</v>
      </c>
      <c r="E75">
        <f t="shared" si="4"/>
        <v>3.5714285714285712E-2</v>
      </c>
      <c r="F75">
        <v>13</v>
      </c>
      <c r="G75">
        <f>LOG(382/(13+1))</f>
        <v>1.4359353272334707</v>
      </c>
      <c r="H75">
        <f>0.0357142857142857*3.30636327899131</f>
        <v>0.11808440282111816</v>
      </c>
      <c r="I75">
        <v>0.1180844028211184</v>
      </c>
    </row>
    <row r="76" spans="1:9" x14ac:dyDescent="0.25">
      <c r="A76">
        <v>4</v>
      </c>
      <c r="B76" t="s">
        <v>63</v>
      </c>
      <c r="C76" t="s">
        <v>48</v>
      </c>
      <c r="D76" t="s">
        <v>73</v>
      </c>
      <c r="E76">
        <f t="shared" si="4"/>
        <v>3.5714285714285712E-2</v>
      </c>
      <c r="F76">
        <v>3</v>
      </c>
      <c r="G76">
        <f>LOG(382/(3+1))</f>
        <v>1.9800033715837464</v>
      </c>
      <c r="H76">
        <f>0.0357142857142857*4.55912624748668</f>
        <v>0.16282593741023851</v>
      </c>
      <c r="I76">
        <v>0.16282593741023871</v>
      </c>
    </row>
    <row r="77" spans="1:9" x14ac:dyDescent="0.25">
      <c r="A77">
        <v>5</v>
      </c>
      <c r="B77" t="s">
        <v>74</v>
      </c>
      <c r="C77" t="s">
        <v>75</v>
      </c>
      <c r="D77" t="s">
        <v>76</v>
      </c>
      <c r="E77">
        <f>1/4</f>
        <v>0.25</v>
      </c>
      <c r="F77">
        <v>140</v>
      </c>
      <c r="G77">
        <f>LOG(382/(140+1))</f>
        <v>0.43284425025632883</v>
      </c>
      <c r="H77">
        <f>0.25*0.996660718228407</f>
        <v>0.24916517955710174</v>
      </c>
      <c r="I77">
        <v>0.24916517955710171</v>
      </c>
    </row>
    <row r="78" spans="1:9" x14ac:dyDescent="0.25">
      <c r="A78">
        <v>5</v>
      </c>
      <c r="B78" t="s">
        <v>74</v>
      </c>
      <c r="C78" t="s">
        <v>75</v>
      </c>
      <c r="D78" t="s">
        <v>77</v>
      </c>
      <c r="E78">
        <f>1/4</f>
        <v>0.25</v>
      </c>
      <c r="F78">
        <v>148</v>
      </c>
      <c r="G78">
        <f>LOG(382/(148+1))</f>
        <v>0.40887709449943471</v>
      </c>
      <c r="H78">
        <f>0.25*0.941474302661116</f>
        <v>0.235368575665279</v>
      </c>
      <c r="I78">
        <v>0.235368575665279</v>
      </c>
    </row>
    <row r="79" spans="1:9" x14ac:dyDescent="0.25">
      <c r="A79">
        <v>5</v>
      </c>
      <c r="B79" t="s">
        <v>74</v>
      </c>
      <c r="C79" t="s">
        <v>75</v>
      </c>
      <c r="D79" t="s">
        <v>78</v>
      </c>
      <c r="E79">
        <f>1/4</f>
        <v>0.25</v>
      </c>
      <c r="F79">
        <v>122</v>
      </c>
      <c r="G79">
        <f>LOG(382/(122+1))</f>
        <v>0.49215825147231079</v>
      </c>
      <c r="H79">
        <f>0.25*1.13323625323415</f>
        <v>0.2833090633085375</v>
      </c>
      <c r="I79">
        <v>0.28330906330853939</v>
      </c>
    </row>
    <row r="80" spans="1:9" x14ac:dyDescent="0.25">
      <c r="A80">
        <v>5</v>
      </c>
      <c r="B80" t="s">
        <v>74</v>
      </c>
      <c r="C80" t="s">
        <v>75</v>
      </c>
      <c r="D80" t="s">
        <v>79</v>
      </c>
      <c r="E80">
        <f>1/4</f>
        <v>0.25</v>
      </c>
      <c r="F80">
        <v>26</v>
      </c>
      <c r="G80">
        <f>LOG(382/(26+1))</f>
        <v>1.1506995987527215</v>
      </c>
      <c r="H80">
        <f>0.25*2.64958374260224</f>
        <v>0.66239593565055999</v>
      </c>
      <c r="I80">
        <v>0.66239593565056154</v>
      </c>
    </row>
    <row r="81" spans="1:9" x14ac:dyDescent="0.25">
      <c r="A81">
        <v>6</v>
      </c>
      <c r="B81" t="s">
        <v>80</v>
      </c>
      <c r="C81" t="s">
        <v>75</v>
      </c>
      <c r="D81" t="s">
        <v>81</v>
      </c>
      <c r="E81">
        <f>1/3</f>
        <v>0.33333333333333331</v>
      </c>
      <c r="F81">
        <v>114</v>
      </c>
      <c r="G81">
        <f>LOG(382/(114+1))</f>
        <v>0.52136552255809698</v>
      </c>
      <c r="H81">
        <f>0.333333333333333*1.20048848024332</f>
        <v>0.40016282674777293</v>
      </c>
      <c r="I81">
        <v>0.40016282674777498</v>
      </c>
    </row>
    <row r="82" spans="1:9" x14ac:dyDescent="0.25">
      <c r="A82">
        <v>6</v>
      </c>
      <c r="B82" t="s">
        <v>80</v>
      </c>
      <c r="C82" t="s">
        <v>75</v>
      </c>
      <c r="D82" t="s">
        <v>82</v>
      </c>
      <c r="E82">
        <f>1/3</f>
        <v>0.33333333333333331</v>
      </c>
      <c r="F82">
        <v>92</v>
      </c>
      <c r="G82">
        <f>LOG(382/(92+1))</f>
        <v>0.61358041435777355</v>
      </c>
      <c r="H82">
        <f>0.333333333333333*1.41282111545331</f>
        <v>0.47094037181776949</v>
      </c>
      <c r="I82">
        <v>0.47094037181777298</v>
      </c>
    </row>
    <row r="83" spans="1:9" x14ac:dyDescent="0.25">
      <c r="A83">
        <v>6</v>
      </c>
      <c r="B83" t="s">
        <v>80</v>
      </c>
      <c r="C83" t="s">
        <v>75</v>
      </c>
      <c r="D83" t="s">
        <v>83</v>
      </c>
      <c r="E83">
        <f>1/3</f>
        <v>0.33333333333333331</v>
      </c>
      <c r="F83">
        <v>1</v>
      </c>
      <c r="G83">
        <f>LOG(382/(1+1))</f>
        <v>2.2810333672477277</v>
      </c>
      <c r="H83">
        <f>0.333333333333333*5.25227342804663</f>
        <v>1.7507578093488747</v>
      </c>
      <c r="I83">
        <v>1.750757809348876</v>
      </c>
    </row>
    <row r="84" spans="1:9" x14ac:dyDescent="0.25">
      <c r="A84">
        <v>207</v>
      </c>
      <c r="B84" t="s">
        <v>84</v>
      </c>
      <c r="C84" t="s">
        <v>48</v>
      </c>
      <c r="D84" t="s">
        <v>39</v>
      </c>
      <c r="E84">
        <f>4/101</f>
        <v>3.9603960396039604E-2</v>
      </c>
      <c r="F84">
        <v>145</v>
      </c>
      <c r="G84">
        <f>LOG(382/(145+1))</f>
        <v>0.41771050712727159</v>
      </c>
      <c r="H84">
        <f>0.0396039603960396*0.961813986898238</f>
        <v>3.8091643045474771E-2</v>
      </c>
      <c r="I84">
        <v>3.8091643045474799E-2</v>
      </c>
    </row>
    <row r="85" spans="1:9" x14ac:dyDescent="0.25">
      <c r="A85">
        <v>207</v>
      </c>
      <c r="B85" t="s">
        <v>84</v>
      </c>
      <c r="C85" t="s">
        <v>48</v>
      </c>
      <c r="D85" t="s">
        <v>53</v>
      </c>
      <c r="E85">
        <f>3/101</f>
        <v>2.9702970297029702E-2</v>
      </c>
      <c r="F85">
        <v>57</v>
      </c>
      <c r="G85">
        <f>LOG(382/(57+1))</f>
        <v>0.81863536934877146</v>
      </c>
      <c r="H85">
        <f>0.0297029702970297*1.88497759806015</f>
        <v>5.5989433605747027E-2</v>
      </c>
      <c r="I85">
        <v>5.5989433605747201E-2</v>
      </c>
    </row>
    <row r="86" spans="1:9" x14ac:dyDescent="0.25">
      <c r="A86">
        <v>207</v>
      </c>
      <c r="B86" t="s">
        <v>84</v>
      </c>
      <c r="C86" t="s">
        <v>48</v>
      </c>
      <c r="D86" t="s">
        <v>40</v>
      </c>
      <c r="E86">
        <f>3/101</f>
        <v>2.9702970297029702E-2</v>
      </c>
      <c r="F86">
        <v>159</v>
      </c>
      <c r="G86">
        <f>LOG(382/(159+1))</f>
        <v>0.377943380255784</v>
      </c>
      <c r="H86">
        <f>0.0297029702970297*0.870246793372748</f>
        <v>2.5848914654636079E-2</v>
      </c>
      <c r="I86">
        <v>2.5848914654636089E-2</v>
      </c>
    </row>
    <row r="87" spans="1:9" x14ac:dyDescent="0.25">
      <c r="A87">
        <v>207</v>
      </c>
      <c r="B87" t="s">
        <v>84</v>
      </c>
      <c r="C87" t="s">
        <v>48</v>
      </c>
      <c r="D87" t="s">
        <v>41</v>
      </c>
      <c r="E87">
        <f>5/101</f>
        <v>4.9504950495049507E-2</v>
      </c>
      <c r="F87">
        <v>195</v>
      </c>
      <c r="G87">
        <f>LOG(382/(195+1))</f>
        <v>0.28980729155523272</v>
      </c>
      <c r="H87">
        <f>0.0495049504950495*0.667305949376058</f>
        <v>3.3034947988913758E-2</v>
      </c>
      <c r="I87">
        <v>3.3034947988913772E-2</v>
      </c>
    </row>
    <row r="88" spans="1:9" x14ac:dyDescent="0.25">
      <c r="A88">
        <v>207</v>
      </c>
      <c r="B88" t="s">
        <v>84</v>
      </c>
      <c r="C88" t="s">
        <v>48</v>
      </c>
      <c r="D88" t="s">
        <v>85</v>
      </c>
      <c r="E88">
        <f>1/101</f>
        <v>9.9009900990099011E-3</v>
      </c>
      <c r="F88">
        <v>13</v>
      </c>
      <c r="G88">
        <f>LOG(382/(13+1))</f>
        <v>1.4359353272334707</v>
      </c>
      <c r="H88">
        <f>0.0099009900990099*3.30636327899131</f>
        <v>3.273627008902287E-2</v>
      </c>
      <c r="I88">
        <v>3.2736270089022933E-2</v>
      </c>
    </row>
    <row r="89" spans="1:9" x14ac:dyDescent="0.25">
      <c r="A89">
        <v>207</v>
      </c>
      <c r="B89" t="s">
        <v>84</v>
      </c>
      <c r="C89" t="s">
        <v>48</v>
      </c>
      <c r="D89" t="s">
        <v>50</v>
      </c>
      <c r="E89">
        <f>6/101</f>
        <v>5.9405940594059403E-2</v>
      </c>
      <c r="F89">
        <v>109</v>
      </c>
      <c r="G89">
        <f>LOG(382/(109+1))</f>
        <v>0.54067067775348365</v>
      </c>
      <c r="H89">
        <f>0.0594059405940594*1.24494024281415</f>
        <v>7.3956846107771285E-2</v>
      </c>
      <c r="I89">
        <v>7.3956846107771812E-2</v>
      </c>
    </row>
    <row r="90" spans="1:9" x14ac:dyDescent="0.25">
      <c r="A90">
        <v>207</v>
      </c>
      <c r="B90" t="s">
        <v>84</v>
      </c>
      <c r="C90" t="s">
        <v>48</v>
      </c>
      <c r="D90" t="s">
        <v>86</v>
      </c>
      <c r="E90">
        <f>2/101</f>
        <v>1.9801980198019802E-2</v>
      </c>
      <c r="F90">
        <v>8</v>
      </c>
      <c r="G90">
        <f>LOG(382/(8+1))</f>
        <v>1.6278208534723839</v>
      </c>
      <c r="H90">
        <f>0.0198019801980198*3.74819603127035</f>
        <v>7.422170358951187E-2</v>
      </c>
      <c r="I90">
        <v>7.4221703589511995E-2</v>
      </c>
    </row>
    <row r="91" spans="1:9" x14ac:dyDescent="0.25">
      <c r="A91">
        <v>207</v>
      </c>
      <c r="B91" t="s">
        <v>84</v>
      </c>
      <c r="C91" t="s">
        <v>48</v>
      </c>
      <c r="D91" t="s">
        <v>54</v>
      </c>
      <c r="E91">
        <f>3/101</f>
        <v>2.9702970297029702E-2</v>
      </c>
      <c r="F91">
        <v>25</v>
      </c>
      <c r="G91">
        <f>LOG(382/(25+1))</f>
        <v>1.1670900149408907</v>
      </c>
      <c r="H91">
        <f>0.0297029702970297*2.68732407058509</f>
        <v>7.982150704708188E-2</v>
      </c>
      <c r="I91">
        <v>7.9821507047081977E-2</v>
      </c>
    </row>
    <row r="92" spans="1:9" x14ac:dyDescent="0.25">
      <c r="A92">
        <v>207</v>
      </c>
      <c r="B92" t="s">
        <v>84</v>
      </c>
      <c r="C92" t="s">
        <v>48</v>
      </c>
      <c r="D92" t="s">
        <v>87</v>
      </c>
      <c r="E92">
        <f>2/101</f>
        <v>1.9801980198019802E-2</v>
      </c>
      <c r="F92">
        <v>12</v>
      </c>
      <c r="G92">
        <f>LOG(382/(12+1))</f>
        <v>1.468120010604872</v>
      </c>
      <c r="H92">
        <f>0.0198019801980198*3.38047125114503</f>
        <v>6.6940024775149098E-2</v>
      </c>
      <c r="I92">
        <v>6.6940024775149279E-2</v>
      </c>
    </row>
    <row r="93" spans="1:9" x14ac:dyDescent="0.25">
      <c r="A93">
        <v>207</v>
      </c>
      <c r="B93" t="s">
        <v>84</v>
      </c>
      <c r="C93" t="s">
        <v>48</v>
      </c>
      <c r="D93" t="s">
        <v>88</v>
      </c>
      <c r="E93">
        <f>1/101</f>
        <v>9.9009900990099011E-3</v>
      </c>
      <c r="F93">
        <v>13</v>
      </c>
      <c r="G93">
        <f>LOG(382/(13+1))</f>
        <v>1.4359353272334707</v>
      </c>
      <c r="H93">
        <f>0.0099009900990099*3.30636327899131</f>
        <v>3.273627008902287E-2</v>
      </c>
      <c r="I93">
        <v>3.2736270089022933E-2</v>
      </c>
    </row>
    <row r="94" spans="1:9" x14ac:dyDescent="0.25">
      <c r="A94">
        <v>207</v>
      </c>
      <c r="B94" t="s">
        <v>84</v>
      </c>
      <c r="C94" t="s">
        <v>48</v>
      </c>
      <c r="D94" t="s">
        <v>89</v>
      </c>
      <c r="E94">
        <f>2/101</f>
        <v>1.9801980198019802E-2</v>
      </c>
      <c r="F94">
        <v>40</v>
      </c>
      <c r="G94">
        <f>LOG(382/(40+1))</f>
        <v>0.96927950619197323</v>
      </c>
      <c r="H94">
        <f>0.0198019801980198*2.23184854190226</f>
        <v>4.4195020631727908E-2</v>
      </c>
      <c r="I94">
        <v>4.4195020631728067E-2</v>
      </c>
    </row>
    <row r="95" spans="1:9" x14ac:dyDescent="0.25">
      <c r="A95">
        <v>207</v>
      </c>
      <c r="B95" t="s">
        <v>84</v>
      </c>
      <c r="C95" t="s">
        <v>48</v>
      </c>
      <c r="D95" t="s">
        <v>49</v>
      </c>
      <c r="E95">
        <f>2/101</f>
        <v>1.9801980198019802E-2</v>
      </c>
      <c r="F95">
        <v>13</v>
      </c>
      <c r="G95">
        <f>LOG(382/(13+1))</f>
        <v>1.4359353272334707</v>
      </c>
      <c r="H95">
        <f>0.0198019801980198*3.30636327899131</f>
        <v>6.5472540178045741E-2</v>
      </c>
      <c r="I95">
        <v>6.5472540178045865E-2</v>
      </c>
    </row>
    <row r="96" spans="1:9" x14ac:dyDescent="0.25">
      <c r="A96">
        <v>207</v>
      </c>
      <c r="B96" t="s">
        <v>84</v>
      </c>
      <c r="C96" t="s">
        <v>48</v>
      </c>
      <c r="D96" t="s">
        <v>90</v>
      </c>
      <c r="E96">
        <f>1/101</f>
        <v>9.9009900990099011E-3</v>
      </c>
      <c r="F96">
        <v>13</v>
      </c>
      <c r="G96">
        <f>LOG(382/(13+1))</f>
        <v>1.4359353272334707</v>
      </c>
      <c r="H96">
        <f>0.0099009900990099*3.30636327899131</f>
        <v>3.273627008902287E-2</v>
      </c>
      <c r="I96">
        <v>3.2736270089022933E-2</v>
      </c>
    </row>
    <row r="97" spans="1:9" x14ac:dyDescent="0.25">
      <c r="A97">
        <v>207</v>
      </c>
      <c r="B97" t="s">
        <v>84</v>
      </c>
      <c r="C97" t="s">
        <v>48</v>
      </c>
      <c r="D97" t="s">
        <v>91</v>
      </c>
      <c r="E97">
        <f>1/101</f>
        <v>9.9009900990099011E-3</v>
      </c>
      <c r="F97">
        <v>33</v>
      </c>
      <c r="G97">
        <f>LOG(382/(33+1))</f>
        <v>1.0505844458694535</v>
      </c>
      <c r="H97">
        <f>0.0099009900990099*2.41906008399041</f>
        <v>2.3951089940499107E-2</v>
      </c>
      <c r="I97">
        <v>2.3951089940499149E-2</v>
      </c>
    </row>
    <row r="98" spans="1:9" x14ac:dyDescent="0.25">
      <c r="A98">
        <v>207</v>
      </c>
      <c r="B98" t="s">
        <v>84</v>
      </c>
      <c r="C98" t="s">
        <v>48</v>
      </c>
      <c r="D98" t="s">
        <v>92</v>
      </c>
      <c r="E98">
        <f>1/101</f>
        <v>9.9009900990099011E-3</v>
      </c>
      <c r="F98">
        <v>12</v>
      </c>
      <c r="G98">
        <f>LOG(382/(12+1))</f>
        <v>1.468120010604872</v>
      </c>
      <c r="H98">
        <f>0.0099009900990099*3.38047125114503</f>
        <v>3.3470012387574549E-2</v>
      </c>
      <c r="I98">
        <v>3.3470012387574639E-2</v>
      </c>
    </row>
    <row r="99" spans="1:9" x14ac:dyDescent="0.25">
      <c r="A99">
        <v>207</v>
      </c>
      <c r="B99" t="s">
        <v>84</v>
      </c>
      <c r="C99" t="s">
        <v>48</v>
      </c>
      <c r="D99" t="s">
        <v>93</v>
      </c>
      <c r="E99">
        <f>2/101</f>
        <v>1.9801980198019802E-2</v>
      </c>
      <c r="F99">
        <v>11</v>
      </c>
      <c r="G99">
        <f>LOG(382/(11+1))</f>
        <v>1.5028821168640838</v>
      </c>
      <c r="H99">
        <f>0.0198019801980198*3.46051395881857</f>
        <v>6.8525028887496425E-2</v>
      </c>
      <c r="I99">
        <v>6.8525028887496536E-2</v>
      </c>
    </row>
    <row r="100" spans="1:9" x14ac:dyDescent="0.25">
      <c r="A100">
        <v>207</v>
      </c>
      <c r="B100" t="s">
        <v>84</v>
      </c>
      <c r="C100" t="s">
        <v>48</v>
      </c>
      <c r="D100" t="s">
        <v>94</v>
      </c>
      <c r="E100">
        <f>1/101</f>
        <v>9.9009900990099011E-3</v>
      </c>
      <c r="F100">
        <v>12</v>
      </c>
      <c r="G100">
        <f>LOG(382/(12+1))</f>
        <v>1.468120010604872</v>
      </c>
      <c r="H100">
        <f>0.0099009900990099*3.38047125114503</f>
        <v>3.3470012387574549E-2</v>
      </c>
      <c r="I100">
        <v>3.3470012387574639E-2</v>
      </c>
    </row>
    <row r="101" spans="1:9" x14ac:dyDescent="0.25">
      <c r="A101">
        <v>207</v>
      </c>
      <c r="B101" t="s">
        <v>84</v>
      </c>
      <c r="C101" t="s">
        <v>48</v>
      </c>
      <c r="D101" t="s">
        <v>95</v>
      </c>
      <c r="E101">
        <f>1/101</f>
        <v>9.9009900990099011E-3</v>
      </c>
      <c r="F101">
        <v>1</v>
      </c>
      <c r="G101">
        <f>LOG(382/(1+1))</f>
        <v>2.2810333672477277</v>
      </c>
      <c r="H101">
        <f>0.0099009900990099*5.25227342804663</f>
        <v>5.2002707208382466E-2</v>
      </c>
      <c r="I101">
        <v>5.2002707208382473E-2</v>
      </c>
    </row>
    <row r="102" spans="1:9" x14ac:dyDescent="0.25">
      <c r="A102">
        <v>207</v>
      </c>
      <c r="B102" t="s">
        <v>84</v>
      </c>
      <c r="C102" t="s">
        <v>48</v>
      </c>
      <c r="D102" t="s">
        <v>96</v>
      </c>
      <c r="E102">
        <f>1/101</f>
        <v>9.9009900990099011E-3</v>
      </c>
      <c r="F102">
        <v>2</v>
      </c>
      <c r="G102">
        <f>LOG(382/(2+1))</f>
        <v>2.1049421081920463</v>
      </c>
      <c r="H102">
        <f>0.0099009900990099*4.84680831993846</f>
        <v>4.7988201187509495E-2</v>
      </c>
      <c r="I102">
        <v>4.7988201187509558E-2</v>
      </c>
    </row>
    <row r="103" spans="1:9" x14ac:dyDescent="0.25">
      <c r="A103">
        <v>207</v>
      </c>
      <c r="B103" t="s">
        <v>84</v>
      </c>
      <c r="C103" t="s">
        <v>48</v>
      </c>
      <c r="D103" t="s">
        <v>97</v>
      </c>
      <c r="E103">
        <f>1/101</f>
        <v>9.9009900990099011E-3</v>
      </c>
      <c r="F103">
        <v>19</v>
      </c>
      <c r="G103">
        <f>LOG(382/(19+1))</f>
        <v>1.2810333672477277</v>
      </c>
      <c r="H103">
        <f>0.0099009900990099*2.94968833505258</f>
        <v>2.9204835000520589E-2</v>
      </c>
      <c r="I103">
        <v>2.9204835000520641E-2</v>
      </c>
    </row>
    <row r="104" spans="1:9" x14ac:dyDescent="0.25">
      <c r="A104">
        <v>207</v>
      </c>
      <c r="B104" t="s">
        <v>84</v>
      </c>
      <c r="C104" t="s">
        <v>48</v>
      </c>
      <c r="D104" t="s">
        <v>98</v>
      </c>
      <c r="E104">
        <f>1/101</f>
        <v>9.9009900990099011E-3</v>
      </c>
      <c r="F104">
        <v>56</v>
      </c>
      <c r="G104">
        <f>LOG(382/(56+1))</f>
        <v>0.82618850723921733</v>
      </c>
      <c r="H104">
        <f>0.0099009900990099*1.90236934077202</f>
        <v>1.883534000764376E-2</v>
      </c>
      <c r="I104">
        <v>1.8835340007643812E-2</v>
      </c>
    </row>
    <row r="105" spans="1:9" x14ac:dyDescent="0.25">
      <c r="A105">
        <v>207</v>
      </c>
      <c r="B105" t="s">
        <v>84</v>
      </c>
      <c r="C105" t="s">
        <v>48</v>
      </c>
      <c r="D105" t="s">
        <v>99</v>
      </c>
      <c r="E105">
        <f>2/101</f>
        <v>1.9801980198019802E-2</v>
      </c>
      <c r="F105">
        <v>4</v>
      </c>
      <c r="G105">
        <f>LOG(382/(4+1))</f>
        <v>1.8830933585756899</v>
      </c>
      <c r="H105">
        <f>0.0198019801980198*4.33598269617247</f>
        <v>8.5861043488563757E-2</v>
      </c>
      <c r="I105">
        <v>8.5861043488563854E-2</v>
      </c>
    </row>
    <row r="106" spans="1:9" x14ac:dyDescent="0.25">
      <c r="A106">
        <v>207</v>
      </c>
      <c r="B106" t="s">
        <v>84</v>
      </c>
      <c r="C106" t="s">
        <v>48</v>
      </c>
      <c r="D106" t="s">
        <v>100</v>
      </c>
      <c r="E106">
        <f>3/101</f>
        <v>2.9702970297029702E-2</v>
      </c>
      <c r="F106">
        <v>9</v>
      </c>
      <c r="G106">
        <f>LOG(382/(9+1))</f>
        <v>1.5820633629117087</v>
      </c>
      <c r="H106">
        <f>0.0297029702970297*3.64283551561252</f>
        <v>0.10820303511720356</v>
      </c>
      <c r="I106">
        <v>0.10820303511720381</v>
      </c>
    </row>
    <row r="107" spans="1:9" x14ac:dyDescent="0.25">
      <c r="A107">
        <v>207</v>
      </c>
      <c r="B107" t="s">
        <v>84</v>
      </c>
      <c r="C107" t="s">
        <v>48</v>
      </c>
      <c r="D107" t="s">
        <v>15</v>
      </c>
      <c r="E107">
        <f>8/101</f>
        <v>7.9207920792079209E-2</v>
      </c>
      <c r="F107">
        <v>112</v>
      </c>
      <c r="G107">
        <f>LOG(382/(112+1))</f>
        <v>0.52898491942828896</v>
      </c>
      <c r="H107">
        <f>0.0792079207920792*1.21803278989423</f>
        <v>9.6477844744097416E-2</v>
      </c>
      <c r="I107">
        <v>9.6477844744097804E-2</v>
      </c>
    </row>
    <row r="108" spans="1:9" x14ac:dyDescent="0.25">
      <c r="A108">
        <v>207</v>
      </c>
      <c r="B108" t="s">
        <v>84</v>
      </c>
      <c r="C108" t="s">
        <v>48</v>
      </c>
      <c r="D108" t="s">
        <v>101</v>
      </c>
      <c r="E108">
        <f>1/101</f>
        <v>9.9009900990099011E-3</v>
      </c>
      <c r="F108">
        <v>7</v>
      </c>
      <c r="G108">
        <f>LOG(382/(7+1))</f>
        <v>1.6789733759197651</v>
      </c>
      <c r="H108">
        <f>0.0099009900990099*3.86597906692673</f>
        <v>3.8277020464621087E-2</v>
      </c>
      <c r="I108">
        <v>3.8277020464621177E-2</v>
      </c>
    </row>
    <row r="109" spans="1:9" x14ac:dyDescent="0.25">
      <c r="A109">
        <v>207</v>
      </c>
      <c r="B109" t="s">
        <v>84</v>
      </c>
      <c r="C109" t="s">
        <v>48</v>
      </c>
      <c r="D109" t="s">
        <v>25</v>
      </c>
      <c r="E109">
        <f>2/101</f>
        <v>1.9801980198019802E-2</v>
      </c>
      <c r="F109">
        <v>106</v>
      </c>
      <c r="G109">
        <f>LOG(382/(106+1))</f>
        <v>0.55267958522649907</v>
      </c>
      <c r="H109">
        <f>0.0198019801980198*1.27259177414466</f>
        <v>2.5199837111775442E-2</v>
      </c>
      <c r="I109">
        <v>2.519983711177563E-2</v>
      </c>
    </row>
    <row r="110" spans="1:9" x14ac:dyDescent="0.25">
      <c r="A110">
        <v>207</v>
      </c>
      <c r="B110" t="s">
        <v>84</v>
      </c>
      <c r="C110" t="s">
        <v>48</v>
      </c>
      <c r="D110" t="s">
        <v>102</v>
      </c>
      <c r="E110">
        <f>1/101</f>
        <v>9.9009900990099011E-3</v>
      </c>
      <c r="F110">
        <v>4</v>
      </c>
      <c r="G110">
        <f>LOG(382/(4+1))</f>
        <v>1.8830933585756899</v>
      </c>
      <c r="H110">
        <f>0.0099009900990099*4.33598269617247</f>
        <v>4.2930521744281878E-2</v>
      </c>
      <c r="I110">
        <v>4.2930521744281927E-2</v>
      </c>
    </row>
    <row r="111" spans="1:9" x14ac:dyDescent="0.25">
      <c r="A111">
        <v>207</v>
      </c>
      <c r="B111" t="s">
        <v>84</v>
      </c>
      <c r="C111" t="s">
        <v>48</v>
      </c>
      <c r="D111" t="s">
        <v>103</v>
      </c>
      <c r="E111">
        <f>1/101</f>
        <v>9.9009900990099011E-3</v>
      </c>
      <c r="F111">
        <v>38</v>
      </c>
      <c r="G111">
        <f>LOG(382/(38+1))</f>
        <v>0.99099875588520958</v>
      </c>
      <c r="H111">
        <f>0.0099009900990099*2.28185896247692</f>
        <v>2.2592662994820989E-2</v>
      </c>
      <c r="I111">
        <v>2.2592662994821079E-2</v>
      </c>
    </row>
    <row r="112" spans="1:9" x14ac:dyDescent="0.25">
      <c r="A112">
        <v>207</v>
      </c>
      <c r="B112" t="s">
        <v>84</v>
      </c>
      <c r="C112" t="s">
        <v>48</v>
      </c>
      <c r="D112" t="s">
        <v>104</v>
      </c>
      <c r="E112">
        <f>2/101</f>
        <v>1.9801980198019802E-2</v>
      </c>
      <c r="F112">
        <v>49</v>
      </c>
      <c r="G112">
        <f>LOG(382/(49+1))</f>
        <v>0.88309335857568994</v>
      </c>
      <c r="H112">
        <f>0.0198019801980198*2.03339760317842</f>
        <v>4.0265299072839995E-2</v>
      </c>
      <c r="I112">
        <v>4.0265299072840183E-2</v>
      </c>
    </row>
    <row r="113" spans="1:9" x14ac:dyDescent="0.25">
      <c r="A113">
        <v>207</v>
      </c>
      <c r="B113" t="s">
        <v>84</v>
      </c>
      <c r="C113" t="s">
        <v>48</v>
      </c>
      <c r="D113" t="s">
        <v>64</v>
      </c>
      <c r="E113">
        <f>1/101</f>
        <v>9.9009900990099011E-3</v>
      </c>
      <c r="F113">
        <v>16</v>
      </c>
      <c r="G113">
        <f>LOG(382/(16+1))</f>
        <v>1.3516144415334348</v>
      </c>
      <c r="H113">
        <f>0.0099009900990099*3.11220726455035</f>
        <v>3.0813933312379697E-2</v>
      </c>
      <c r="I113">
        <v>3.081393331237979E-2</v>
      </c>
    </row>
    <row r="114" spans="1:9" x14ac:dyDescent="0.25">
      <c r="A114">
        <v>207</v>
      </c>
      <c r="B114" t="s">
        <v>84</v>
      </c>
      <c r="C114" t="s">
        <v>48</v>
      </c>
      <c r="D114" t="s">
        <v>105</v>
      </c>
      <c r="E114">
        <f>1/101</f>
        <v>9.9009900990099011E-3</v>
      </c>
      <c r="F114">
        <v>122</v>
      </c>
      <c r="G114">
        <f>LOG(382/(122+1))</f>
        <v>0.49215825147231079</v>
      </c>
      <c r="H114">
        <f>0.0099009900990099*1.13323625323415</f>
        <v>1.1220160923110394E-2</v>
      </c>
      <c r="I114">
        <v>1.122016092311047E-2</v>
      </c>
    </row>
    <row r="115" spans="1:9" x14ac:dyDescent="0.25">
      <c r="A115">
        <v>207</v>
      </c>
      <c r="B115" t="s">
        <v>84</v>
      </c>
      <c r="C115" t="s">
        <v>48</v>
      </c>
      <c r="D115" t="s">
        <v>106</v>
      </c>
      <c r="E115">
        <f>1/101</f>
        <v>9.9009900990099011E-3</v>
      </c>
      <c r="F115">
        <v>17</v>
      </c>
      <c r="G115">
        <f>LOG(382/(17+1))</f>
        <v>1.3267908578084027</v>
      </c>
      <c r="H115">
        <f>0.0099009900990099*3.05504885071041</f>
        <v>3.0248008422875339E-2</v>
      </c>
      <c r="I115">
        <v>3.0248008422875349E-2</v>
      </c>
    </row>
    <row r="116" spans="1:9" x14ac:dyDescent="0.25">
      <c r="A116">
        <v>207</v>
      </c>
      <c r="B116" t="s">
        <v>84</v>
      </c>
      <c r="C116" t="s">
        <v>48</v>
      </c>
      <c r="D116" t="s">
        <v>107</v>
      </c>
      <c r="E116">
        <f>2/101</f>
        <v>1.9801980198019802E-2</v>
      </c>
      <c r="F116">
        <v>6</v>
      </c>
      <c r="G116">
        <f>LOG(382/(6+1))</f>
        <v>1.736965322897452</v>
      </c>
      <c r="H116">
        <f>0.0198019801980198*3.99951045955126</f>
        <v>7.9198226921807113E-2</v>
      </c>
      <c r="I116">
        <v>7.9198226921807169E-2</v>
      </c>
    </row>
    <row r="117" spans="1:9" x14ac:dyDescent="0.25">
      <c r="A117">
        <v>207</v>
      </c>
      <c r="B117" t="s">
        <v>84</v>
      </c>
      <c r="C117" t="s">
        <v>48</v>
      </c>
      <c r="D117" t="s">
        <v>108</v>
      </c>
      <c r="E117">
        <f t="shared" ref="E117:E125" si="5">1/101</f>
        <v>9.9009900990099011E-3</v>
      </c>
      <c r="F117">
        <v>9</v>
      </c>
      <c r="G117">
        <f>LOG(382/(9+1))</f>
        <v>1.5820633629117087</v>
      </c>
      <c r="H117">
        <f>0.0099009900990099*3.64283551561252</f>
        <v>3.6067678372401185E-2</v>
      </c>
      <c r="I117">
        <v>3.6067678372401282E-2</v>
      </c>
    </row>
    <row r="118" spans="1:9" x14ac:dyDescent="0.25">
      <c r="A118">
        <v>207</v>
      </c>
      <c r="B118" t="s">
        <v>84</v>
      </c>
      <c r="C118" t="s">
        <v>48</v>
      </c>
      <c r="D118" t="s">
        <v>109</v>
      </c>
      <c r="E118">
        <f t="shared" si="5"/>
        <v>9.9009900990099011E-3</v>
      </c>
      <c r="F118">
        <v>3</v>
      </c>
      <c r="G118">
        <f>LOG(382/(3+1))</f>
        <v>1.9800033715837464</v>
      </c>
      <c r="H118">
        <f>0.0099009900990099*4.55912624748668</f>
        <v>4.5139863836501773E-2</v>
      </c>
      <c r="I118">
        <v>4.5139863836501828E-2</v>
      </c>
    </row>
    <row r="119" spans="1:9" x14ac:dyDescent="0.25">
      <c r="A119">
        <v>207</v>
      </c>
      <c r="B119" t="s">
        <v>84</v>
      </c>
      <c r="C119" t="s">
        <v>48</v>
      </c>
      <c r="D119" t="s">
        <v>110</v>
      </c>
      <c r="E119">
        <f t="shared" si="5"/>
        <v>9.9009900990099011E-3</v>
      </c>
      <c r="F119">
        <v>1</v>
      </c>
      <c r="G119">
        <f>LOG(382/(1+1))</f>
        <v>2.2810333672477277</v>
      </c>
      <c r="H119">
        <f>0.0099009900990099*5.25227342804663</f>
        <v>5.2002707208382466E-2</v>
      </c>
      <c r="I119">
        <v>5.2002707208382473E-2</v>
      </c>
    </row>
    <row r="120" spans="1:9" x14ac:dyDescent="0.25">
      <c r="A120">
        <v>207</v>
      </c>
      <c r="B120" t="s">
        <v>84</v>
      </c>
      <c r="C120" t="s">
        <v>48</v>
      </c>
      <c r="D120" t="s">
        <v>111</v>
      </c>
      <c r="E120">
        <f t="shared" si="5"/>
        <v>9.9009900990099011E-3</v>
      </c>
      <c r="F120">
        <v>33</v>
      </c>
      <c r="G120">
        <f>LOG(382/(33+1))</f>
        <v>1.0505844458694535</v>
      </c>
      <c r="H120">
        <f>0.0099009900990099*2.41906008399041</f>
        <v>2.3951089940499107E-2</v>
      </c>
      <c r="I120">
        <v>2.3951089940499149E-2</v>
      </c>
    </row>
    <row r="121" spans="1:9" x14ac:dyDescent="0.25">
      <c r="A121">
        <v>207</v>
      </c>
      <c r="B121" t="s">
        <v>84</v>
      </c>
      <c r="C121" t="s">
        <v>48</v>
      </c>
      <c r="D121" t="s">
        <v>112</v>
      </c>
      <c r="E121">
        <f t="shared" si="5"/>
        <v>9.9009900990099011E-3</v>
      </c>
      <c r="F121">
        <v>52</v>
      </c>
      <c r="G121">
        <f>LOG(382/(52+1))</f>
        <v>0.85778749331091964</v>
      </c>
      <c r="H121">
        <f>0.0099009900990099*1.97512869505445</f>
        <v>1.9555729654004452E-2</v>
      </c>
      <c r="I121">
        <v>1.955572965400449E-2</v>
      </c>
    </row>
    <row r="122" spans="1:9" x14ac:dyDescent="0.25">
      <c r="A122">
        <v>207</v>
      </c>
      <c r="B122" t="s">
        <v>84</v>
      </c>
      <c r="C122" t="s">
        <v>48</v>
      </c>
      <c r="D122" t="s">
        <v>113</v>
      </c>
      <c r="E122">
        <f t="shared" si="5"/>
        <v>9.9009900990099011E-3</v>
      </c>
      <c r="F122">
        <v>8</v>
      </c>
      <c r="G122">
        <f>LOG(382/(8+1))</f>
        <v>1.6278208534723839</v>
      </c>
      <c r="H122">
        <f>0.0099009900990099*3.74819603127035</f>
        <v>3.7110851794755935E-2</v>
      </c>
      <c r="I122">
        <v>3.7110851794755997E-2</v>
      </c>
    </row>
    <row r="123" spans="1:9" x14ac:dyDescent="0.25">
      <c r="A123">
        <v>207</v>
      </c>
      <c r="B123" t="s">
        <v>84</v>
      </c>
      <c r="C123" t="s">
        <v>48</v>
      </c>
      <c r="D123" t="s">
        <v>114</v>
      </c>
      <c r="E123">
        <f t="shared" si="5"/>
        <v>9.9009900990099011E-3</v>
      </c>
      <c r="F123">
        <v>2</v>
      </c>
      <c r="G123">
        <f>LOG(382/(2+1))</f>
        <v>2.1049421081920463</v>
      </c>
      <c r="H123">
        <f>0.0099009900990099*4.84680831993846</f>
        <v>4.7988201187509495E-2</v>
      </c>
      <c r="I123">
        <v>4.7988201187509558E-2</v>
      </c>
    </row>
    <row r="124" spans="1:9" x14ac:dyDescent="0.25">
      <c r="A124">
        <v>207</v>
      </c>
      <c r="B124" t="s">
        <v>84</v>
      </c>
      <c r="C124" t="s">
        <v>48</v>
      </c>
      <c r="D124" t="s">
        <v>115</v>
      </c>
      <c r="E124">
        <f t="shared" si="5"/>
        <v>9.9009900990099011E-3</v>
      </c>
      <c r="F124">
        <v>17</v>
      </c>
      <c r="G124">
        <f>LOG(382/(17+1))</f>
        <v>1.3267908578084027</v>
      </c>
      <c r="H124">
        <f>0.0099009900990099*3.05504885071041</f>
        <v>3.0248008422875339E-2</v>
      </c>
      <c r="I124">
        <v>3.0248008422875349E-2</v>
      </c>
    </row>
    <row r="125" spans="1:9" x14ac:dyDescent="0.25">
      <c r="A125">
        <v>207</v>
      </c>
      <c r="B125" t="s">
        <v>84</v>
      </c>
      <c r="C125" t="s">
        <v>48</v>
      </c>
      <c r="D125" t="s">
        <v>116</v>
      </c>
      <c r="E125">
        <f t="shared" si="5"/>
        <v>9.9009900990099011E-3</v>
      </c>
      <c r="F125">
        <v>3</v>
      </c>
      <c r="G125">
        <f>LOG(382/(3+1))</f>
        <v>1.9800033715837464</v>
      </c>
      <c r="H125">
        <f>0.0099009900990099*4.55912624748668</f>
        <v>4.5139863836501773E-2</v>
      </c>
      <c r="I125">
        <v>4.5139863836501828E-2</v>
      </c>
    </row>
    <row r="126" spans="1:9" x14ac:dyDescent="0.25">
      <c r="A126">
        <v>207</v>
      </c>
      <c r="B126" t="s">
        <v>84</v>
      </c>
      <c r="C126" t="s">
        <v>48</v>
      </c>
      <c r="D126" t="s">
        <v>117</v>
      </c>
      <c r="E126">
        <f>2/101</f>
        <v>1.9801980198019802E-2</v>
      </c>
      <c r="F126">
        <v>8</v>
      </c>
      <c r="G126">
        <f>LOG(382/(8+1))</f>
        <v>1.6278208534723839</v>
      </c>
      <c r="H126">
        <f>0.0198019801980198*3.74819603127035</f>
        <v>7.422170358951187E-2</v>
      </c>
      <c r="I126">
        <v>7.4221703589511995E-2</v>
      </c>
    </row>
    <row r="127" spans="1:9" x14ac:dyDescent="0.25">
      <c r="A127">
        <v>207</v>
      </c>
      <c r="B127" t="s">
        <v>84</v>
      </c>
      <c r="C127" t="s">
        <v>48</v>
      </c>
      <c r="D127" t="s">
        <v>118</v>
      </c>
      <c r="E127">
        <f>1/101</f>
        <v>9.9009900990099011E-3</v>
      </c>
      <c r="F127">
        <v>8</v>
      </c>
      <c r="G127">
        <f>LOG(382/(8+1))</f>
        <v>1.6278208534723839</v>
      </c>
      <c r="H127">
        <f>0.0099009900990099*3.74819603127035</f>
        <v>3.7110851794755935E-2</v>
      </c>
      <c r="I127">
        <v>3.7110851794755997E-2</v>
      </c>
    </row>
    <row r="128" spans="1:9" x14ac:dyDescent="0.25">
      <c r="A128">
        <v>207</v>
      </c>
      <c r="B128" t="s">
        <v>84</v>
      </c>
      <c r="C128" t="s">
        <v>48</v>
      </c>
      <c r="D128" t="s">
        <v>119</v>
      </c>
      <c r="E128">
        <f>1/101</f>
        <v>9.9009900990099011E-3</v>
      </c>
      <c r="F128">
        <v>79</v>
      </c>
      <c r="G128">
        <f>LOG(382/(79+1))</f>
        <v>0.67897337591976514</v>
      </c>
      <c r="H128">
        <f>0.0099009900990099*1.56339397393269</f>
        <v>1.5479148256759305E-2</v>
      </c>
      <c r="I128">
        <v>1.5479148256759339E-2</v>
      </c>
    </row>
    <row r="129" spans="1:9" x14ac:dyDescent="0.25">
      <c r="A129">
        <v>207</v>
      </c>
      <c r="B129" t="s">
        <v>84</v>
      </c>
      <c r="C129" t="s">
        <v>48</v>
      </c>
      <c r="D129" t="s">
        <v>120</v>
      </c>
      <c r="E129">
        <f>1/101</f>
        <v>9.9009900990099011E-3</v>
      </c>
      <c r="F129">
        <v>8</v>
      </c>
      <c r="G129">
        <f>LOG(382/(8+1))</f>
        <v>1.6278208534723839</v>
      </c>
      <c r="H129">
        <f>0.0099009900990099*3.74819603127035</f>
        <v>3.7110851794755935E-2</v>
      </c>
      <c r="I129">
        <v>3.7110851794755997E-2</v>
      </c>
    </row>
    <row r="130" spans="1:9" x14ac:dyDescent="0.25">
      <c r="A130">
        <v>207</v>
      </c>
      <c r="B130" t="s">
        <v>84</v>
      </c>
      <c r="C130" t="s">
        <v>48</v>
      </c>
      <c r="D130" t="s">
        <v>121</v>
      </c>
      <c r="E130">
        <f>1/101</f>
        <v>9.9009900990099011E-3</v>
      </c>
      <c r="F130">
        <v>22</v>
      </c>
      <c r="G130">
        <f>LOG(382/(22+1))</f>
        <v>1.2203355268941158</v>
      </c>
      <c r="H130">
        <f>0.0099009900990099*2.80992639267742</f>
        <v>2.7821053392845737E-2</v>
      </c>
      <c r="I130">
        <v>2.7821053392845799E-2</v>
      </c>
    </row>
    <row r="131" spans="1:9" x14ac:dyDescent="0.25">
      <c r="A131">
        <v>207</v>
      </c>
      <c r="B131" t="s">
        <v>84</v>
      </c>
      <c r="C131" t="s">
        <v>48</v>
      </c>
      <c r="D131" t="s">
        <v>122</v>
      </c>
      <c r="E131">
        <f>2/101</f>
        <v>1.9801980198019802E-2</v>
      </c>
      <c r="F131">
        <v>1</v>
      </c>
      <c r="G131">
        <f>LOG(382/(1+1))</f>
        <v>2.2810333672477277</v>
      </c>
      <c r="H131">
        <f>0.0198019801980198*5.25227342804663</f>
        <v>0.10400541441676493</v>
      </c>
      <c r="I131">
        <v>0.1040054144167649</v>
      </c>
    </row>
    <row r="132" spans="1:9" x14ac:dyDescent="0.25">
      <c r="A132">
        <v>207</v>
      </c>
      <c r="B132" t="s">
        <v>84</v>
      </c>
      <c r="C132" t="s">
        <v>48</v>
      </c>
      <c r="D132" t="s">
        <v>123</v>
      </c>
      <c r="E132">
        <f t="shared" ref="E132:E146" si="6">1/101</f>
        <v>9.9009900990099011E-3</v>
      </c>
      <c r="F132">
        <v>74</v>
      </c>
      <c r="G132">
        <f>LOG(382/(74+1))</f>
        <v>0.7070020995200087</v>
      </c>
      <c r="H132">
        <f>0.0099009900990099*1.62793249507026</f>
        <v>1.6118143515547127E-2</v>
      </c>
      <c r="I132">
        <v>1.6118143515547179E-2</v>
      </c>
    </row>
    <row r="133" spans="1:9" x14ac:dyDescent="0.25">
      <c r="A133">
        <v>207</v>
      </c>
      <c r="B133" t="s">
        <v>84</v>
      </c>
      <c r="C133" t="s">
        <v>48</v>
      </c>
      <c r="D133" t="s">
        <v>124</v>
      </c>
      <c r="E133">
        <f t="shared" si="6"/>
        <v>9.9009900990099011E-3</v>
      </c>
      <c r="F133">
        <v>9</v>
      </c>
      <c r="G133">
        <f>LOG(382/(9+1))</f>
        <v>1.5820633629117087</v>
      </c>
      <c r="H133">
        <f>0.0099009900990099*3.64283551561252</f>
        <v>3.6067678372401185E-2</v>
      </c>
      <c r="I133">
        <v>3.6067678372401282E-2</v>
      </c>
    </row>
    <row r="134" spans="1:9" x14ac:dyDescent="0.25">
      <c r="A134">
        <v>207</v>
      </c>
      <c r="B134" t="s">
        <v>84</v>
      </c>
      <c r="C134" t="s">
        <v>48</v>
      </c>
      <c r="D134" t="s">
        <v>125</v>
      </c>
      <c r="E134">
        <f t="shared" si="6"/>
        <v>9.9009900990099011E-3</v>
      </c>
      <c r="F134">
        <v>9</v>
      </c>
      <c r="G134">
        <f>LOG(382/(9+1))</f>
        <v>1.5820633629117087</v>
      </c>
      <c r="H134">
        <f>0.0099009900990099*3.64283551561252</f>
        <v>3.6067678372401185E-2</v>
      </c>
      <c r="I134">
        <v>3.6067678372401282E-2</v>
      </c>
    </row>
    <row r="135" spans="1:9" x14ac:dyDescent="0.25">
      <c r="A135">
        <v>207</v>
      </c>
      <c r="B135" t="s">
        <v>84</v>
      </c>
      <c r="C135" t="s">
        <v>48</v>
      </c>
      <c r="D135" t="s">
        <v>126</v>
      </c>
      <c r="E135">
        <f t="shared" si="6"/>
        <v>9.9009900990099011E-3</v>
      </c>
      <c r="F135">
        <v>79</v>
      </c>
      <c r="G135">
        <f>LOG(382/(79+1))</f>
        <v>0.67897337591976514</v>
      </c>
      <c r="H135">
        <f>0.0099009900990099*1.56339397393269</f>
        <v>1.5479148256759305E-2</v>
      </c>
      <c r="I135">
        <v>1.5479148256759339E-2</v>
      </c>
    </row>
    <row r="136" spans="1:9" x14ac:dyDescent="0.25">
      <c r="A136">
        <v>207</v>
      </c>
      <c r="B136" t="s">
        <v>84</v>
      </c>
      <c r="C136" t="s">
        <v>48</v>
      </c>
      <c r="D136" t="s">
        <v>127</v>
      </c>
      <c r="E136">
        <f t="shared" si="6"/>
        <v>9.9009900990099011E-3</v>
      </c>
      <c r="F136">
        <v>4</v>
      </c>
      <c r="G136">
        <f>LOG(382/(4+1))</f>
        <v>1.8830933585756899</v>
      </c>
      <c r="H136">
        <f>0.0099009900990099*4.33598269617247</f>
        <v>4.2930521744281878E-2</v>
      </c>
      <c r="I136">
        <v>4.2930521744281927E-2</v>
      </c>
    </row>
    <row r="137" spans="1:9" x14ac:dyDescent="0.25">
      <c r="A137">
        <v>207</v>
      </c>
      <c r="B137" t="s">
        <v>84</v>
      </c>
      <c r="C137" t="s">
        <v>48</v>
      </c>
      <c r="D137" t="s">
        <v>128</v>
      </c>
      <c r="E137">
        <f t="shared" si="6"/>
        <v>9.9009900990099011E-3</v>
      </c>
      <c r="F137">
        <v>2</v>
      </c>
      <c r="G137">
        <f>LOG(382/(2+1))</f>
        <v>2.1049421081920463</v>
      </c>
      <c r="H137">
        <f>0.0099009900990099*4.84680831993846</f>
        <v>4.7988201187509495E-2</v>
      </c>
      <c r="I137">
        <v>4.7988201187509558E-2</v>
      </c>
    </row>
    <row r="138" spans="1:9" x14ac:dyDescent="0.25">
      <c r="A138">
        <v>207</v>
      </c>
      <c r="B138" t="s">
        <v>84</v>
      </c>
      <c r="C138" t="s">
        <v>48</v>
      </c>
      <c r="D138" t="s">
        <v>129</v>
      </c>
      <c r="E138">
        <f t="shared" si="6"/>
        <v>9.9009900990099011E-3</v>
      </c>
      <c r="F138">
        <v>7</v>
      </c>
      <c r="G138">
        <f>LOG(382/(7+1))</f>
        <v>1.6789733759197651</v>
      </c>
      <c r="H138">
        <f>0.0099009900990099*3.86597906692673</f>
        <v>3.8277020464621087E-2</v>
      </c>
      <c r="I138">
        <v>3.8277020464621177E-2</v>
      </c>
    </row>
    <row r="139" spans="1:9" x14ac:dyDescent="0.25">
      <c r="A139">
        <v>207</v>
      </c>
      <c r="B139" t="s">
        <v>84</v>
      </c>
      <c r="C139" t="s">
        <v>48</v>
      </c>
      <c r="D139" t="s">
        <v>130</v>
      </c>
      <c r="E139">
        <f t="shared" si="6"/>
        <v>9.9009900990099011E-3</v>
      </c>
      <c r="F139">
        <v>4</v>
      </c>
      <c r="G139">
        <f>LOG(382/(4+1))</f>
        <v>1.8830933585756899</v>
      </c>
      <c r="H139">
        <f>0.0099009900990099*4.33598269617247</f>
        <v>4.2930521744281878E-2</v>
      </c>
      <c r="I139">
        <v>4.2930521744281927E-2</v>
      </c>
    </row>
    <row r="140" spans="1:9" x14ac:dyDescent="0.25">
      <c r="A140">
        <v>207</v>
      </c>
      <c r="B140" t="s">
        <v>84</v>
      </c>
      <c r="C140" t="s">
        <v>48</v>
      </c>
      <c r="D140" t="s">
        <v>131</v>
      </c>
      <c r="E140">
        <f t="shared" si="6"/>
        <v>9.9009900990099011E-3</v>
      </c>
      <c r="F140">
        <v>38</v>
      </c>
      <c r="G140">
        <f>LOG(382/(38+1))</f>
        <v>0.99099875588520958</v>
      </c>
      <c r="H140">
        <f>0.0099009900990099*2.28185896247692</f>
        <v>2.2592662994820989E-2</v>
      </c>
      <c r="I140">
        <v>2.2592662994821079E-2</v>
      </c>
    </row>
    <row r="141" spans="1:9" x14ac:dyDescent="0.25">
      <c r="A141">
        <v>207</v>
      </c>
      <c r="B141" t="s">
        <v>84</v>
      </c>
      <c r="C141" t="s">
        <v>48</v>
      </c>
      <c r="D141" t="s">
        <v>132</v>
      </c>
      <c r="E141">
        <f t="shared" si="6"/>
        <v>9.9009900990099011E-3</v>
      </c>
      <c r="F141">
        <v>8</v>
      </c>
      <c r="G141">
        <f>LOG(382/(8+1))</f>
        <v>1.6278208534723839</v>
      </c>
      <c r="H141">
        <f>0.0099009900990099*3.74819603127035</f>
        <v>3.7110851794755935E-2</v>
      </c>
      <c r="I141">
        <v>3.7110851794755997E-2</v>
      </c>
    </row>
    <row r="142" spans="1:9" x14ac:dyDescent="0.25">
      <c r="A142">
        <v>207</v>
      </c>
      <c r="B142" t="s">
        <v>84</v>
      </c>
      <c r="C142" t="s">
        <v>48</v>
      </c>
      <c r="D142" t="s">
        <v>133</v>
      </c>
      <c r="E142">
        <f t="shared" si="6"/>
        <v>9.9009900990099011E-3</v>
      </c>
      <c r="F142">
        <v>142</v>
      </c>
      <c r="G142">
        <f>LOG(382/(142+1))</f>
        <v>0.42672732544664693</v>
      </c>
      <c r="H142">
        <f>0.0099009900990099*0.982575978346667</f>
        <v>9.728475033135316E-3</v>
      </c>
      <c r="I142">
        <v>9.7284750331353264E-3</v>
      </c>
    </row>
    <row r="143" spans="1:9" x14ac:dyDescent="0.25">
      <c r="A143">
        <v>207</v>
      </c>
      <c r="B143" t="s">
        <v>84</v>
      </c>
      <c r="C143" t="s">
        <v>48</v>
      </c>
      <c r="D143" t="s">
        <v>76</v>
      </c>
      <c r="E143">
        <f t="shared" si="6"/>
        <v>9.9009900990099011E-3</v>
      </c>
      <c r="F143">
        <v>140</v>
      </c>
      <c r="G143">
        <f>LOG(382/(140+1))</f>
        <v>0.43284425025632883</v>
      </c>
      <c r="H143">
        <f>0.0099009900990099*0.996660718228407</f>
        <v>9.867927903251552E-3</v>
      </c>
      <c r="I143">
        <v>9.8679279032515537E-3</v>
      </c>
    </row>
    <row r="144" spans="1:9" x14ac:dyDescent="0.25">
      <c r="A144">
        <v>207</v>
      </c>
      <c r="B144" t="s">
        <v>84</v>
      </c>
      <c r="C144" t="s">
        <v>48</v>
      </c>
      <c r="D144" t="s">
        <v>134</v>
      </c>
      <c r="E144">
        <f t="shared" si="6"/>
        <v>9.9009900990099011E-3</v>
      </c>
      <c r="F144">
        <v>21</v>
      </c>
      <c r="G144">
        <f>LOG(382/(21+1))</f>
        <v>1.2396406820895025</v>
      </c>
      <c r="H144">
        <f>0.0099009900990099*2.85437815524825</f>
        <v>2.8261169853943065E-2</v>
      </c>
      <c r="I144">
        <v>2.8261169853943158E-2</v>
      </c>
    </row>
    <row r="145" spans="1:9" x14ac:dyDescent="0.25">
      <c r="A145">
        <v>207</v>
      </c>
      <c r="B145" t="s">
        <v>84</v>
      </c>
      <c r="C145" t="s">
        <v>48</v>
      </c>
      <c r="D145" t="s">
        <v>135</v>
      </c>
      <c r="E145">
        <f t="shared" si="6"/>
        <v>9.9009900990099011E-3</v>
      </c>
      <c r="F145">
        <v>6</v>
      </c>
      <c r="G145">
        <f>LOG(382/(6+1))</f>
        <v>1.736965322897452</v>
      </c>
      <c r="H145">
        <f>0.0099009900990099*3.99951045955126</f>
        <v>3.9599113460903557E-2</v>
      </c>
      <c r="I145">
        <v>3.9599113460903577E-2</v>
      </c>
    </row>
    <row r="146" spans="1:9" x14ac:dyDescent="0.25">
      <c r="A146">
        <v>207</v>
      </c>
      <c r="B146" t="s">
        <v>84</v>
      </c>
      <c r="C146" t="s">
        <v>48</v>
      </c>
      <c r="D146" t="s">
        <v>136</v>
      </c>
      <c r="E146">
        <f t="shared" si="6"/>
        <v>9.9009900990099011E-3</v>
      </c>
      <c r="F146">
        <v>17</v>
      </c>
      <c r="G146">
        <f>LOG(382/(17+1))</f>
        <v>1.3267908578084027</v>
      </c>
      <c r="H146">
        <f>0.0099009900990099*3.05504885071041</f>
        <v>3.0248008422875339E-2</v>
      </c>
      <c r="I146">
        <v>3.0248008422875349E-2</v>
      </c>
    </row>
    <row r="147" spans="1:9" x14ac:dyDescent="0.25">
      <c r="A147">
        <v>208</v>
      </c>
      <c r="B147" t="s">
        <v>137</v>
      </c>
      <c r="C147" t="s">
        <v>138</v>
      </c>
      <c r="D147" t="s">
        <v>139</v>
      </c>
      <c r="E147">
        <f>1/143</f>
        <v>6.993006993006993E-3</v>
      </c>
      <c r="F147">
        <v>2</v>
      </c>
      <c r="G147">
        <f>LOG(382/(2+1))</f>
        <v>2.1049421081920463</v>
      </c>
      <c r="H147">
        <f>0.00699300699300699*4.84680831993846</f>
        <v>3.389376447509411E-2</v>
      </c>
      <c r="I147">
        <v>3.3893764475094172E-2</v>
      </c>
    </row>
    <row r="148" spans="1:9" x14ac:dyDescent="0.25">
      <c r="A148">
        <v>208</v>
      </c>
      <c r="B148" t="s">
        <v>137</v>
      </c>
      <c r="C148" t="s">
        <v>138</v>
      </c>
      <c r="D148" t="s">
        <v>140</v>
      </c>
      <c r="E148">
        <f>1/143</f>
        <v>6.993006993006993E-3</v>
      </c>
      <c r="F148">
        <v>7</v>
      </c>
      <c r="G148">
        <f>LOG(382/(7+1))</f>
        <v>1.6789733759197651</v>
      </c>
      <c r="H148">
        <f>0.00699300699300699*3.86597906692673</f>
        <v>2.7034818649837263E-2</v>
      </c>
      <c r="I148">
        <v>2.7034818649837339E-2</v>
      </c>
    </row>
    <row r="149" spans="1:9" x14ac:dyDescent="0.25">
      <c r="A149">
        <v>208</v>
      </c>
      <c r="B149" t="s">
        <v>137</v>
      </c>
      <c r="C149" t="s">
        <v>138</v>
      </c>
      <c r="D149" t="s">
        <v>141</v>
      </c>
      <c r="E149">
        <f>1/143</f>
        <v>6.993006993006993E-3</v>
      </c>
      <c r="F149">
        <v>1</v>
      </c>
      <c r="G149">
        <f>LOG(382/(1+1))</f>
        <v>2.2810333672477277</v>
      </c>
      <c r="H149">
        <f>0.00699300699300699*5.25227342804663</f>
        <v>3.6729184811514881E-2</v>
      </c>
      <c r="I149">
        <v>3.6729184811514902E-2</v>
      </c>
    </row>
    <row r="150" spans="1:9" x14ac:dyDescent="0.25">
      <c r="A150">
        <v>208</v>
      </c>
      <c r="B150" t="s">
        <v>137</v>
      </c>
      <c r="C150" t="s">
        <v>138</v>
      </c>
      <c r="D150" t="s">
        <v>142</v>
      </c>
      <c r="E150">
        <f>1/143</f>
        <v>6.993006993006993E-3</v>
      </c>
      <c r="F150">
        <v>4</v>
      </c>
      <c r="G150">
        <f>LOG(382/(4+1))</f>
        <v>1.8830933585756899</v>
      </c>
      <c r="H150">
        <f>0.00699300699300699*4.33598269617247</f>
        <v>3.0321557315891388E-2</v>
      </c>
      <c r="I150">
        <v>3.032155731589143E-2</v>
      </c>
    </row>
    <row r="151" spans="1:9" x14ac:dyDescent="0.25">
      <c r="A151">
        <v>208</v>
      </c>
      <c r="B151" t="s">
        <v>137</v>
      </c>
      <c r="C151" t="s">
        <v>138</v>
      </c>
      <c r="D151" t="s">
        <v>143</v>
      </c>
      <c r="E151">
        <f>2/143</f>
        <v>1.3986013986013986E-2</v>
      </c>
      <c r="F151">
        <v>1</v>
      </c>
      <c r="G151">
        <f>LOG(382/(1+1))</f>
        <v>2.2810333672477277</v>
      </c>
      <c r="H151">
        <f>0.0139860139860139*5.25227342804663</f>
        <v>7.3458369623029332E-2</v>
      </c>
      <c r="I151">
        <v>7.345836962302979E-2</v>
      </c>
    </row>
    <row r="152" spans="1:9" x14ac:dyDescent="0.25">
      <c r="A152">
        <v>208</v>
      </c>
      <c r="B152" t="s">
        <v>137</v>
      </c>
      <c r="C152" t="s">
        <v>138</v>
      </c>
      <c r="D152" t="s">
        <v>144</v>
      </c>
      <c r="E152">
        <f>1/143</f>
        <v>6.993006993006993E-3</v>
      </c>
      <c r="F152">
        <v>105</v>
      </c>
      <c r="G152">
        <f>LOG(382/(105+1))</f>
        <v>0.55675749764693849</v>
      </c>
      <c r="H152">
        <f>0.00699300699300699*1.2819815144945</f>
        <v>8.9649056957657302E-3</v>
      </c>
      <c r="I152">
        <v>8.9649056957657892E-3</v>
      </c>
    </row>
    <row r="153" spans="1:9" x14ac:dyDescent="0.25">
      <c r="A153">
        <v>208</v>
      </c>
      <c r="B153" t="s">
        <v>137</v>
      </c>
      <c r="C153" t="s">
        <v>138</v>
      </c>
      <c r="D153" t="s">
        <v>145</v>
      </c>
      <c r="E153">
        <f>16/143</f>
        <v>0.11188811188811189</v>
      </c>
      <c r="F153">
        <v>1</v>
      </c>
      <c r="G153">
        <f>LOG(382/(1+1))</f>
        <v>2.2810333672477277</v>
      </c>
      <c r="H153">
        <f>0.111888111888111*5.25227342804663</f>
        <v>0.58766695698423366</v>
      </c>
      <c r="I153">
        <v>0.58766695698423832</v>
      </c>
    </row>
    <row r="154" spans="1:9" x14ac:dyDescent="0.25">
      <c r="A154">
        <v>208</v>
      </c>
      <c r="B154" t="s">
        <v>137</v>
      </c>
      <c r="C154" t="s">
        <v>138</v>
      </c>
      <c r="D154" t="s">
        <v>146</v>
      </c>
      <c r="E154">
        <f>3/143</f>
        <v>2.097902097902098E-2</v>
      </c>
      <c r="F154">
        <v>1</v>
      </c>
      <c r="G154">
        <f>LOG(382/(1+1))</f>
        <v>2.2810333672477277</v>
      </c>
      <c r="H154">
        <f>0.0209790209790209*5.25227342804663</f>
        <v>0.11018755443454427</v>
      </c>
      <c r="I154">
        <v>0.1101875544345447</v>
      </c>
    </row>
    <row r="155" spans="1:9" x14ac:dyDescent="0.25">
      <c r="A155">
        <v>208</v>
      </c>
      <c r="B155" t="s">
        <v>137</v>
      </c>
      <c r="C155" t="s">
        <v>138</v>
      </c>
      <c r="D155" t="s">
        <v>147</v>
      </c>
      <c r="E155">
        <f>1/143</f>
        <v>6.993006993006993E-3</v>
      </c>
      <c r="F155">
        <v>48</v>
      </c>
      <c r="G155">
        <f>LOG(382/(48+1))</f>
        <v>0.89186728288319506</v>
      </c>
      <c r="H155">
        <f>0.00699300699300699*2.05360031049594</f>
        <v>1.4360841332139435E-2</v>
      </c>
      <c r="I155">
        <v>1.4360841332139501E-2</v>
      </c>
    </row>
    <row r="156" spans="1:9" x14ac:dyDescent="0.25">
      <c r="A156">
        <v>208</v>
      </c>
      <c r="B156" t="s">
        <v>137</v>
      </c>
      <c r="C156" t="s">
        <v>138</v>
      </c>
      <c r="D156" t="s">
        <v>148</v>
      </c>
      <c r="E156">
        <f>15/143</f>
        <v>0.1048951048951049</v>
      </c>
      <c r="F156">
        <v>1</v>
      </c>
      <c r="G156">
        <f>LOG(382/(1+1))</f>
        <v>2.2810333672477277</v>
      </c>
      <c r="H156">
        <f>0.104895104895104*5.25227342804663</f>
        <v>0.55093777217271866</v>
      </c>
      <c r="I156">
        <v>0.55093777217272344</v>
      </c>
    </row>
    <row r="157" spans="1:9" x14ac:dyDescent="0.25">
      <c r="A157">
        <v>208</v>
      </c>
      <c r="B157" t="s">
        <v>137</v>
      </c>
      <c r="C157" t="s">
        <v>138</v>
      </c>
      <c r="D157" t="s">
        <v>149</v>
      </c>
      <c r="E157">
        <f>18/143</f>
        <v>0.12587412587412589</v>
      </c>
      <c r="F157">
        <v>35</v>
      </c>
      <c r="G157">
        <f>LOG(382/(35+1))</f>
        <v>1.0257608621444214</v>
      </c>
      <c r="H157">
        <f>0.125874125874125*2.36190167015046</f>
        <v>0.29730230813082509</v>
      </c>
      <c r="I157">
        <v>0.29730230813082781</v>
      </c>
    </row>
    <row r="158" spans="1:9" x14ac:dyDescent="0.25">
      <c r="A158">
        <v>208</v>
      </c>
      <c r="B158" t="s">
        <v>137</v>
      </c>
      <c r="C158" t="s">
        <v>138</v>
      </c>
      <c r="D158" t="s">
        <v>150</v>
      </c>
      <c r="E158">
        <f>5/143</f>
        <v>3.4965034965034968E-2</v>
      </c>
      <c r="F158">
        <v>1</v>
      </c>
      <c r="G158">
        <f>LOG(382/(1+1))</f>
        <v>2.2810333672477277</v>
      </c>
      <c r="H158">
        <f>0.0349650349650349*5.25227342804663</f>
        <v>0.18364592405757413</v>
      </c>
      <c r="I158">
        <v>0.18364592405757449</v>
      </c>
    </row>
    <row r="159" spans="1:9" x14ac:dyDescent="0.25">
      <c r="A159">
        <v>208</v>
      </c>
      <c r="B159" t="s">
        <v>137</v>
      </c>
      <c r="C159" t="s">
        <v>138</v>
      </c>
      <c r="D159" t="s">
        <v>151</v>
      </c>
      <c r="E159">
        <f>16/143</f>
        <v>0.11188811188811189</v>
      </c>
      <c r="F159">
        <v>14</v>
      </c>
      <c r="G159">
        <f>LOG(382/(14+1))</f>
        <v>1.4059721038560276</v>
      </c>
      <c r="H159">
        <f>0.111888111888111*3.23737040750436</f>
        <v>0.36222326237810731</v>
      </c>
      <c r="I159">
        <v>0.36222326237811081</v>
      </c>
    </row>
    <row r="160" spans="1:9" x14ac:dyDescent="0.25">
      <c r="A160">
        <v>208</v>
      </c>
      <c r="B160" t="s">
        <v>137</v>
      </c>
      <c r="C160" t="s">
        <v>138</v>
      </c>
      <c r="D160" t="s">
        <v>152</v>
      </c>
      <c r="E160">
        <f>11/143</f>
        <v>7.6923076923076927E-2</v>
      </c>
      <c r="F160">
        <v>31</v>
      </c>
      <c r="G160">
        <f>LOG(382/(31+1))</f>
        <v>1.0769133845918029</v>
      </c>
      <c r="H160">
        <f>0.0769230769230769*2.47968470580684</f>
        <v>0.19074497736975685</v>
      </c>
      <c r="I160">
        <v>0.1907449773697576</v>
      </c>
    </row>
    <row r="161" spans="1:9" x14ac:dyDescent="0.25">
      <c r="A161">
        <v>208</v>
      </c>
      <c r="B161" t="s">
        <v>137</v>
      </c>
      <c r="C161" t="s">
        <v>138</v>
      </c>
      <c r="D161" t="s">
        <v>153</v>
      </c>
      <c r="E161">
        <f>1/143</f>
        <v>6.993006993006993E-3</v>
      </c>
      <c r="F161">
        <v>10</v>
      </c>
      <c r="G161">
        <f>LOG(382/(10+1))</f>
        <v>1.5406706777534838</v>
      </c>
      <c r="H161">
        <f>0.00699300699300699*3.5475253358082</f>
        <v>2.4807869481176217E-2</v>
      </c>
      <c r="I161">
        <v>2.4807869481176251E-2</v>
      </c>
    </row>
    <row r="162" spans="1:9" x14ac:dyDescent="0.25">
      <c r="A162">
        <v>208</v>
      </c>
      <c r="B162" t="s">
        <v>137</v>
      </c>
      <c r="C162" t="s">
        <v>138</v>
      </c>
      <c r="D162" t="s">
        <v>154</v>
      </c>
      <c r="E162">
        <f>1/143</f>
        <v>6.993006993006993E-3</v>
      </c>
      <c r="F162">
        <v>5</v>
      </c>
      <c r="G162">
        <f>LOG(382/(5+1))</f>
        <v>1.803912112528065</v>
      </c>
      <c r="H162">
        <f>0.00699300699300699*4.15366113937852</f>
        <v>2.9046581394255373E-2</v>
      </c>
      <c r="I162">
        <v>2.904658139425538E-2</v>
      </c>
    </row>
    <row r="163" spans="1:9" x14ac:dyDescent="0.25">
      <c r="A163">
        <v>208</v>
      </c>
      <c r="B163" t="s">
        <v>137</v>
      </c>
      <c r="C163" t="s">
        <v>138</v>
      </c>
      <c r="D163" t="s">
        <v>155</v>
      </c>
      <c r="E163">
        <f>7/143</f>
        <v>4.8951048951048952E-2</v>
      </c>
      <c r="F163">
        <v>1</v>
      </c>
      <c r="G163">
        <f>LOG(382/(1+1))</f>
        <v>2.2810333672477277</v>
      </c>
      <c r="H163">
        <f>0.0489510489510489*5.25227342804663</f>
        <v>0.257104293680604</v>
      </c>
      <c r="I163">
        <v>0.25710429368060428</v>
      </c>
    </row>
    <row r="164" spans="1:9" x14ac:dyDescent="0.25">
      <c r="A164">
        <v>208</v>
      </c>
      <c r="B164" t="s">
        <v>137</v>
      </c>
      <c r="C164" t="s">
        <v>138</v>
      </c>
      <c r="D164" t="s">
        <v>156</v>
      </c>
      <c r="E164">
        <f>1/143</f>
        <v>6.993006993006993E-3</v>
      </c>
      <c r="F164">
        <v>2</v>
      </c>
      <c r="G164">
        <f>LOG(382/(2+1))</f>
        <v>2.1049421081920463</v>
      </c>
      <c r="H164">
        <f>0.00699300699300699*4.84680831993846</f>
        <v>3.389376447509411E-2</v>
      </c>
      <c r="I164">
        <v>3.3893764475094172E-2</v>
      </c>
    </row>
    <row r="165" spans="1:9" x14ac:dyDescent="0.25">
      <c r="A165">
        <v>208</v>
      </c>
      <c r="B165" t="s">
        <v>137</v>
      </c>
      <c r="C165" t="s">
        <v>138</v>
      </c>
      <c r="D165" t="s">
        <v>157</v>
      </c>
      <c r="E165">
        <f>10/143</f>
        <v>6.9930069930069935E-2</v>
      </c>
      <c r="F165">
        <v>16</v>
      </c>
      <c r="G165">
        <f>LOG(382/(16+1))</f>
        <v>1.3516144415334348</v>
      </c>
      <c r="H165">
        <f>0.0699300699300699*3.11220726455035</f>
        <v>0.21763687164687751</v>
      </c>
      <c r="I165">
        <v>0.21763687164687831</v>
      </c>
    </row>
    <row r="166" spans="1:9" x14ac:dyDescent="0.25">
      <c r="A166">
        <v>208</v>
      </c>
      <c r="B166" t="s">
        <v>137</v>
      </c>
      <c r="C166" t="s">
        <v>138</v>
      </c>
      <c r="D166" t="s">
        <v>158</v>
      </c>
      <c r="E166">
        <f>2/143</f>
        <v>1.3986013986013986E-2</v>
      </c>
      <c r="F166">
        <v>5</v>
      </c>
      <c r="G166">
        <f>LOG(382/(5+1))</f>
        <v>1.803912112528065</v>
      </c>
      <c r="H166">
        <f>0.0139860139860139*4.15366113937852</f>
        <v>5.8093162788510407E-2</v>
      </c>
      <c r="I166">
        <v>5.8093162788510767E-2</v>
      </c>
    </row>
    <row r="167" spans="1:9" x14ac:dyDescent="0.25">
      <c r="A167">
        <v>208</v>
      </c>
      <c r="B167" t="s">
        <v>137</v>
      </c>
      <c r="C167" t="s">
        <v>138</v>
      </c>
      <c r="D167" t="s">
        <v>159</v>
      </c>
      <c r="E167">
        <f>1/143</f>
        <v>6.993006993006993E-3</v>
      </c>
      <c r="F167">
        <v>1</v>
      </c>
      <c r="G167">
        <f>LOG(382/(1+1))</f>
        <v>2.2810333672477277</v>
      </c>
      <c r="H167">
        <f>0.00699300699300699*5.25227342804663</f>
        <v>3.6729184811514881E-2</v>
      </c>
      <c r="I167">
        <v>3.6729184811514902E-2</v>
      </c>
    </row>
    <row r="168" spans="1:9" x14ac:dyDescent="0.25">
      <c r="A168">
        <v>208</v>
      </c>
      <c r="B168" t="s">
        <v>137</v>
      </c>
      <c r="C168" t="s">
        <v>138</v>
      </c>
      <c r="D168" t="s">
        <v>160</v>
      </c>
      <c r="E168">
        <f>1/143</f>
        <v>6.993006993006993E-3</v>
      </c>
      <c r="F168">
        <v>1</v>
      </c>
      <c r="G168">
        <f>LOG(382/(1+1))</f>
        <v>2.2810333672477277</v>
      </c>
      <c r="H168">
        <f>0.00699300699300699*5.25227342804663</f>
        <v>3.6729184811514881E-2</v>
      </c>
      <c r="I168">
        <v>3.6729184811514902E-2</v>
      </c>
    </row>
    <row r="169" spans="1:9" x14ac:dyDescent="0.25">
      <c r="A169">
        <v>208</v>
      </c>
      <c r="B169" t="s">
        <v>137</v>
      </c>
      <c r="C169" t="s">
        <v>138</v>
      </c>
      <c r="D169" t="s">
        <v>161</v>
      </c>
      <c r="E169">
        <f>4/143</f>
        <v>2.7972027972027972E-2</v>
      </c>
      <c r="F169">
        <v>33</v>
      </c>
      <c r="G169">
        <f>LOG(382/(33+1))</f>
        <v>1.0505844458694535</v>
      </c>
      <c r="H169">
        <f>0.0279720279720279*2.41906008399041</f>
        <v>6.7666016335395915E-2</v>
      </c>
      <c r="I169">
        <v>6.7666016335396192E-2</v>
      </c>
    </row>
    <row r="170" spans="1:9" x14ac:dyDescent="0.25">
      <c r="A170">
        <v>208</v>
      </c>
      <c r="B170" t="s">
        <v>137</v>
      </c>
      <c r="C170" t="s">
        <v>138</v>
      </c>
      <c r="D170" t="s">
        <v>70</v>
      </c>
      <c r="E170">
        <f>1/143</f>
        <v>6.993006993006993E-3</v>
      </c>
      <c r="F170">
        <v>44</v>
      </c>
      <c r="G170">
        <f>LOG(382/(44+1))</f>
        <v>0.92885084913636506</v>
      </c>
      <c r="H170">
        <f>0.00699300699300699*2.13875811883625</f>
        <v>1.4956350481372371E-2</v>
      </c>
      <c r="I170">
        <v>1.4956350481372409E-2</v>
      </c>
    </row>
    <row r="171" spans="1:9" x14ac:dyDescent="0.25">
      <c r="A171">
        <v>208</v>
      </c>
      <c r="B171" t="s">
        <v>137</v>
      </c>
      <c r="C171" t="s">
        <v>138</v>
      </c>
      <c r="D171" t="s">
        <v>162</v>
      </c>
      <c r="E171">
        <f>2/143</f>
        <v>1.3986013986013986E-2</v>
      </c>
      <c r="F171">
        <v>1</v>
      </c>
      <c r="G171">
        <f>LOG(382/(1+1))</f>
        <v>2.2810333672477277</v>
      </c>
      <c r="H171">
        <f>0.0139860139860139*5.25227342804663</f>
        <v>7.3458369623029332E-2</v>
      </c>
      <c r="I171">
        <v>7.345836962302979E-2</v>
      </c>
    </row>
    <row r="172" spans="1:9" x14ac:dyDescent="0.25">
      <c r="A172">
        <v>208</v>
      </c>
      <c r="B172" t="s">
        <v>137</v>
      </c>
      <c r="C172" t="s">
        <v>138</v>
      </c>
      <c r="D172" t="s">
        <v>163</v>
      </c>
      <c r="E172">
        <f>2/143</f>
        <v>1.3986013986013986E-2</v>
      </c>
      <c r="F172">
        <v>1</v>
      </c>
      <c r="G172">
        <f>LOG(382/(1+1))</f>
        <v>2.2810333672477277</v>
      </c>
      <c r="H172">
        <f>0.0139860139860139*5.25227342804663</f>
        <v>7.3458369623029332E-2</v>
      </c>
      <c r="I172">
        <v>7.345836962302979E-2</v>
      </c>
    </row>
    <row r="173" spans="1:9" x14ac:dyDescent="0.25">
      <c r="A173">
        <v>208</v>
      </c>
      <c r="B173" t="s">
        <v>137</v>
      </c>
      <c r="C173" t="s">
        <v>138</v>
      </c>
      <c r="D173" t="s">
        <v>164</v>
      </c>
      <c r="E173">
        <f>2/143</f>
        <v>1.3986013986013986E-2</v>
      </c>
      <c r="F173">
        <v>1</v>
      </c>
      <c r="G173">
        <f>LOG(382/(1+1))</f>
        <v>2.2810333672477277</v>
      </c>
      <c r="H173">
        <f>0.0139860139860139*5.25227342804663</f>
        <v>7.3458369623029332E-2</v>
      </c>
      <c r="I173">
        <v>7.345836962302979E-2</v>
      </c>
    </row>
    <row r="174" spans="1:9" x14ac:dyDescent="0.25">
      <c r="A174">
        <v>208</v>
      </c>
      <c r="B174" t="s">
        <v>137</v>
      </c>
      <c r="C174" t="s">
        <v>138</v>
      </c>
      <c r="D174" t="s">
        <v>165</v>
      </c>
      <c r="E174">
        <f>2/143</f>
        <v>1.3986013986013986E-2</v>
      </c>
      <c r="F174">
        <v>2</v>
      </c>
      <c r="G174">
        <f>LOG(382/(2+1))</f>
        <v>2.1049421081920463</v>
      </c>
      <c r="H174">
        <f>0.0139860139860139*4.84680831993846</f>
        <v>6.7787528950187831E-2</v>
      </c>
      <c r="I174">
        <v>6.778752895018833E-2</v>
      </c>
    </row>
    <row r="175" spans="1:9" x14ac:dyDescent="0.25">
      <c r="A175">
        <v>208</v>
      </c>
      <c r="B175" t="s">
        <v>137</v>
      </c>
      <c r="C175" t="s">
        <v>138</v>
      </c>
      <c r="D175" t="s">
        <v>166</v>
      </c>
      <c r="E175">
        <f t="shared" ref="E175:E188" si="7">1/143</f>
        <v>6.993006993006993E-3</v>
      </c>
      <c r="F175">
        <v>2</v>
      </c>
      <c r="G175">
        <f>LOG(382/(2+1))</f>
        <v>2.1049421081920463</v>
      </c>
      <c r="H175">
        <f>0.00699300699300699*4.84680831993846</f>
        <v>3.389376447509411E-2</v>
      </c>
      <c r="I175">
        <v>3.3893764475094172E-2</v>
      </c>
    </row>
    <row r="176" spans="1:9" x14ac:dyDescent="0.25">
      <c r="A176">
        <v>208</v>
      </c>
      <c r="B176" t="s">
        <v>137</v>
      </c>
      <c r="C176" t="s">
        <v>138</v>
      </c>
      <c r="D176" t="s">
        <v>167</v>
      </c>
      <c r="E176">
        <f t="shared" si="7"/>
        <v>6.993006993006993E-3</v>
      </c>
      <c r="F176">
        <v>1</v>
      </c>
      <c r="G176">
        <f>LOG(382/(1+1))</f>
        <v>2.2810333672477277</v>
      </c>
      <c r="H176">
        <f>0.00699300699300699*5.25227342804663</f>
        <v>3.6729184811514881E-2</v>
      </c>
      <c r="I176">
        <v>3.6729184811514902E-2</v>
      </c>
    </row>
    <row r="177" spans="1:9" x14ac:dyDescent="0.25">
      <c r="A177">
        <v>208</v>
      </c>
      <c r="B177" t="s">
        <v>137</v>
      </c>
      <c r="C177" t="s">
        <v>138</v>
      </c>
      <c r="D177" t="s">
        <v>168</v>
      </c>
      <c r="E177">
        <f t="shared" si="7"/>
        <v>6.993006993006993E-3</v>
      </c>
      <c r="F177">
        <v>34</v>
      </c>
      <c r="G177">
        <f>LOG(382/(34+1))</f>
        <v>1.037995318561433</v>
      </c>
      <c r="H177">
        <f>0.00699300699300699*2.39007254711716</f>
        <v>1.6713794035784331E-2</v>
      </c>
      <c r="I177">
        <v>1.6713794035784341E-2</v>
      </c>
    </row>
    <row r="178" spans="1:9" x14ac:dyDescent="0.25">
      <c r="A178">
        <v>208</v>
      </c>
      <c r="B178" t="s">
        <v>137</v>
      </c>
      <c r="C178" t="s">
        <v>138</v>
      </c>
      <c r="D178" t="s">
        <v>101</v>
      </c>
      <c r="E178">
        <f t="shared" si="7"/>
        <v>6.993006993006993E-3</v>
      </c>
      <c r="F178">
        <v>7</v>
      </c>
      <c r="G178">
        <f>LOG(382/(7+1))</f>
        <v>1.6789733759197651</v>
      </c>
      <c r="H178">
        <f>0.00699300699300699*3.86597906692673</f>
        <v>2.7034818649837263E-2</v>
      </c>
      <c r="I178">
        <v>2.7034818649837339E-2</v>
      </c>
    </row>
    <row r="179" spans="1:9" x14ac:dyDescent="0.25">
      <c r="A179">
        <v>208</v>
      </c>
      <c r="B179" t="s">
        <v>137</v>
      </c>
      <c r="C179" t="s">
        <v>138</v>
      </c>
      <c r="D179" t="s">
        <v>169</v>
      </c>
      <c r="E179">
        <f t="shared" si="7"/>
        <v>6.993006993006993E-3</v>
      </c>
      <c r="F179">
        <v>8</v>
      </c>
      <c r="G179">
        <f>LOG(382/(8+1))</f>
        <v>1.6278208534723839</v>
      </c>
      <c r="H179">
        <f>0.00699300699300699*3.74819603127035</f>
        <v>2.6211161057834605E-2</v>
      </c>
      <c r="I179">
        <v>2.621116105783465E-2</v>
      </c>
    </row>
    <row r="180" spans="1:9" x14ac:dyDescent="0.25">
      <c r="A180">
        <v>208</v>
      </c>
      <c r="B180" t="s">
        <v>137</v>
      </c>
      <c r="C180" t="s">
        <v>138</v>
      </c>
      <c r="D180" t="s">
        <v>64</v>
      </c>
      <c r="E180">
        <f t="shared" si="7"/>
        <v>6.993006993006993E-3</v>
      </c>
      <c r="F180">
        <v>16</v>
      </c>
      <c r="G180">
        <f>LOG(382/(16+1))</f>
        <v>1.3516144415334348</v>
      </c>
      <c r="H180">
        <f>0.00699300699300699*3.11220726455035</f>
        <v>2.1763687164687753E-2</v>
      </c>
      <c r="I180">
        <v>2.176368716468783E-2</v>
      </c>
    </row>
    <row r="181" spans="1:9" x14ac:dyDescent="0.25">
      <c r="A181">
        <v>208</v>
      </c>
      <c r="B181" t="s">
        <v>137</v>
      </c>
      <c r="C181" t="s">
        <v>138</v>
      </c>
      <c r="D181" t="s">
        <v>170</v>
      </c>
      <c r="E181">
        <f t="shared" si="7"/>
        <v>6.993006993006993E-3</v>
      </c>
      <c r="F181">
        <v>2</v>
      </c>
      <c r="G181">
        <f>LOG(382/(2+1))</f>
        <v>2.1049421081920463</v>
      </c>
      <c r="H181">
        <f>0.00699300699300699*4.84680831993846</f>
        <v>3.389376447509411E-2</v>
      </c>
      <c r="I181">
        <v>3.3893764475094172E-2</v>
      </c>
    </row>
    <row r="182" spans="1:9" x14ac:dyDescent="0.25">
      <c r="A182">
        <v>208</v>
      </c>
      <c r="B182" t="s">
        <v>137</v>
      </c>
      <c r="C182" t="s">
        <v>138</v>
      </c>
      <c r="D182" t="s">
        <v>171</v>
      </c>
      <c r="E182">
        <f t="shared" si="7"/>
        <v>6.993006993006993E-3</v>
      </c>
      <c r="F182">
        <v>6</v>
      </c>
      <c r="G182">
        <f>LOG(382/(6+1))</f>
        <v>1.736965322897452</v>
      </c>
      <c r="H182">
        <f>0.00699300699300699*3.99951045955126</f>
        <v>2.7968604612246564E-2</v>
      </c>
      <c r="I182">
        <v>2.7968604612246591E-2</v>
      </c>
    </row>
    <row r="183" spans="1:9" x14ac:dyDescent="0.25">
      <c r="A183">
        <v>208</v>
      </c>
      <c r="B183" t="s">
        <v>137</v>
      </c>
      <c r="C183" t="s">
        <v>138</v>
      </c>
      <c r="D183" t="s">
        <v>172</v>
      </c>
      <c r="E183">
        <f t="shared" si="7"/>
        <v>6.993006993006993E-3</v>
      </c>
      <c r="F183">
        <v>2</v>
      </c>
      <c r="G183">
        <f>LOG(382/(2+1))</f>
        <v>2.1049421081920463</v>
      </c>
      <c r="H183">
        <f>0.00699300699300699*4.84680831993846</f>
        <v>3.389376447509411E-2</v>
      </c>
      <c r="I183">
        <v>3.3893764475094172E-2</v>
      </c>
    </row>
    <row r="184" spans="1:9" x14ac:dyDescent="0.25">
      <c r="A184">
        <v>208</v>
      </c>
      <c r="B184" t="s">
        <v>137</v>
      </c>
      <c r="C184" t="s">
        <v>138</v>
      </c>
      <c r="D184" t="s">
        <v>173</v>
      </c>
      <c r="E184">
        <f t="shared" si="7"/>
        <v>6.993006993006993E-3</v>
      </c>
      <c r="F184">
        <v>4</v>
      </c>
      <c r="G184">
        <f>LOG(382/(4+1))</f>
        <v>1.8830933585756899</v>
      </c>
      <c r="H184">
        <f>0.00699300699300699*4.33598269617247</f>
        <v>3.0321557315891388E-2</v>
      </c>
      <c r="I184">
        <v>3.032155731589143E-2</v>
      </c>
    </row>
    <row r="185" spans="1:9" x14ac:dyDescent="0.25">
      <c r="A185">
        <v>208</v>
      </c>
      <c r="B185" t="s">
        <v>137</v>
      </c>
      <c r="C185" t="s">
        <v>138</v>
      </c>
      <c r="D185" t="s">
        <v>174</v>
      </c>
      <c r="E185">
        <f t="shared" si="7"/>
        <v>6.993006993006993E-3</v>
      </c>
      <c r="F185">
        <v>5</v>
      </c>
      <c r="G185">
        <f>LOG(382/(5+1))</f>
        <v>1.803912112528065</v>
      </c>
      <c r="H185">
        <f>0.00699300699300699*4.15366113937852</f>
        <v>2.9046581394255373E-2</v>
      </c>
      <c r="I185">
        <v>2.904658139425538E-2</v>
      </c>
    </row>
    <row r="186" spans="1:9" x14ac:dyDescent="0.25">
      <c r="A186">
        <v>208</v>
      </c>
      <c r="B186" t="s">
        <v>137</v>
      </c>
      <c r="C186" t="s">
        <v>138</v>
      </c>
      <c r="D186" t="s">
        <v>175</v>
      </c>
      <c r="E186">
        <f t="shared" si="7"/>
        <v>6.993006993006993E-3</v>
      </c>
      <c r="F186">
        <v>1</v>
      </c>
      <c r="G186">
        <f>LOG(382/(1+1))</f>
        <v>2.2810333672477277</v>
      </c>
      <c r="H186">
        <f>0.00699300699300699*5.25227342804663</f>
        <v>3.6729184811514881E-2</v>
      </c>
      <c r="I186">
        <v>3.6729184811514902E-2</v>
      </c>
    </row>
    <row r="187" spans="1:9" x14ac:dyDescent="0.25">
      <c r="A187">
        <v>208</v>
      </c>
      <c r="B187" t="s">
        <v>137</v>
      </c>
      <c r="C187" t="s">
        <v>138</v>
      </c>
      <c r="D187" t="s">
        <v>176</v>
      </c>
      <c r="E187">
        <f t="shared" si="7"/>
        <v>6.993006993006993E-3</v>
      </c>
      <c r="F187">
        <v>3</v>
      </c>
      <c r="G187">
        <f>LOG(382/(3+1))</f>
        <v>1.9800033715837464</v>
      </c>
      <c r="H187">
        <f>0.00699300699300699*4.55912624748668</f>
        <v>3.1882001730676075E-2</v>
      </c>
      <c r="I187">
        <v>3.1882001730676117E-2</v>
      </c>
    </row>
    <row r="188" spans="1:9" x14ac:dyDescent="0.25">
      <c r="A188">
        <v>208</v>
      </c>
      <c r="B188" t="s">
        <v>137</v>
      </c>
      <c r="C188" t="s">
        <v>138</v>
      </c>
      <c r="D188" t="s">
        <v>177</v>
      </c>
      <c r="E188">
        <f t="shared" si="7"/>
        <v>6.993006993006993E-3</v>
      </c>
      <c r="F188">
        <v>1</v>
      </c>
      <c r="G188">
        <f>LOG(382/(1+1))</f>
        <v>2.2810333672477277</v>
      </c>
      <c r="H188">
        <f>0.00699300699300699*5.25227342804663</f>
        <v>3.6729184811514881E-2</v>
      </c>
      <c r="I188">
        <v>3.6729184811514902E-2</v>
      </c>
    </row>
    <row r="189" spans="1:9" x14ac:dyDescent="0.25">
      <c r="A189">
        <v>211</v>
      </c>
      <c r="B189" t="s">
        <v>178</v>
      </c>
      <c r="C189" t="s">
        <v>48</v>
      </c>
      <c r="D189" t="s">
        <v>179</v>
      </c>
      <c r="E189">
        <f>3/47</f>
        <v>6.3829787234042548E-2</v>
      </c>
      <c r="F189">
        <v>15</v>
      </c>
      <c r="G189">
        <f>LOG(382/(15+1))</f>
        <v>1.3779433802557839</v>
      </c>
      <c r="H189">
        <f>0.0638297872340425*3.17283188636679</f>
        <v>0.20252118423617796</v>
      </c>
      <c r="I189">
        <v>0.20252118423617829</v>
      </c>
    </row>
    <row r="190" spans="1:9" x14ac:dyDescent="0.25">
      <c r="A190">
        <v>211</v>
      </c>
      <c r="B190" t="s">
        <v>178</v>
      </c>
      <c r="C190" t="s">
        <v>48</v>
      </c>
      <c r="D190" t="s">
        <v>180</v>
      </c>
      <c r="E190">
        <f>5/47</f>
        <v>0.10638297872340426</v>
      </c>
      <c r="F190">
        <v>1</v>
      </c>
      <c r="G190">
        <f>LOG(382/(1+1))</f>
        <v>2.2810333672477277</v>
      </c>
      <c r="H190">
        <f>0.106382978723404*5.25227342804663</f>
        <v>0.55875249234538482</v>
      </c>
      <c r="I190">
        <v>0.55875249234538615</v>
      </c>
    </row>
    <row r="191" spans="1:9" x14ac:dyDescent="0.25">
      <c r="A191">
        <v>211</v>
      </c>
      <c r="B191" t="s">
        <v>178</v>
      </c>
      <c r="C191" t="s">
        <v>48</v>
      </c>
      <c r="D191" t="s">
        <v>181</v>
      </c>
      <c r="E191">
        <f>5/47</f>
        <v>0.10638297872340426</v>
      </c>
      <c r="F191">
        <v>3</v>
      </c>
      <c r="G191">
        <f>LOG(382/(3+1))</f>
        <v>1.9800033715837464</v>
      </c>
      <c r="H191">
        <f>0.106382978723404*4.55912624748668</f>
        <v>0.48501343058368823</v>
      </c>
      <c r="I191">
        <v>0.48501343058368979</v>
      </c>
    </row>
    <row r="192" spans="1:9" x14ac:dyDescent="0.25">
      <c r="A192">
        <v>211</v>
      </c>
      <c r="B192" t="s">
        <v>178</v>
      </c>
      <c r="C192" t="s">
        <v>48</v>
      </c>
      <c r="D192" t="s">
        <v>182</v>
      </c>
      <c r="E192">
        <f>6/47</f>
        <v>0.1276595744680851</v>
      </c>
      <c r="F192">
        <v>1</v>
      </c>
      <c r="G192">
        <f>LOG(382/(1+1))</f>
        <v>2.2810333672477277</v>
      </c>
      <c r="H192">
        <f>0.127659574468085*5.25227342804663</f>
        <v>0.67050299081446285</v>
      </c>
      <c r="I192">
        <v>0.6705029908144633</v>
      </c>
    </row>
    <row r="193" spans="1:9" x14ac:dyDescent="0.25">
      <c r="A193">
        <v>211</v>
      </c>
      <c r="B193" t="s">
        <v>178</v>
      </c>
      <c r="C193" t="s">
        <v>48</v>
      </c>
      <c r="D193" t="s">
        <v>183</v>
      </c>
      <c r="E193">
        <f>4/47</f>
        <v>8.5106382978723402E-2</v>
      </c>
      <c r="F193">
        <v>46</v>
      </c>
      <c r="G193">
        <f>LOG(382/(46+1))</f>
        <v>0.90996550497599127</v>
      </c>
      <c r="H193">
        <f>0.0851063829787234*2.09527300689651</f>
        <v>0.17832110696991577</v>
      </c>
      <c r="I193">
        <v>0.17832110696991629</v>
      </c>
    </row>
    <row r="194" spans="1:9" x14ac:dyDescent="0.25">
      <c r="A194">
        <v>211</v>
      </c>
      <c r="B194" t="s">
        <v>178</v>
      </c>
      <c r="C194" t="s">
        <v>48</v>
      </c>
      <c r="D194" t="s">
        <v>108</v>
      </c>
      <c r="E194">
        <f>2/47</f>
        <v>4.2553191489361701E-2</v>
      </c>
      <c r="F194">
        <v>9</v>
      </c>
      <c r="G194">
        <f>LOG(382/(9+1))</f>
        <v>1.5820633629117087</v>
      </c>
      <c r="H194">
        <f>0.0425531914893617*3.64283551561252</f>
        <v>0.15501427726010722</v>
      </c>
      <c r="I194">
        <v>0.15501427726010761</v>
      </c>
    </row>
    <row r="195" spans="1:9" x14ac:dyDescent="0.25">
      <c r="A195">
        <v>211</v>
      </c>
      <c r="B195" t="s">
        <v>178</v>
      </c>
      <c r="C195" t="s">
        <v>48</v>
      </c>
      <c r="D195" t="s">
        <v>184</v>
      </c>
      <c r="E195">
        <f>3/47</f>
        <v>6.3829787234042548E-2</v>
      </c>
      <c r="F195">
        <v>7</v>
      </c>
      <c r="G195">
        <f>LOG(382/(7+1))</f>
        <v>1.6789733759197651</v>
      </c>
      <c r="H195">
        <f>0.0638297872340425*3.86597906692673</f>
        <v>0.24676462129319537</v>
      </c>
      <c r="I195">
        <v>0.2467646212931961</v>
      </c>
    </row>
    <row r="196" spans="1:9" x14ac:dyDescent="0.25">
      <c r="A196">
        <v>211</v>
      </c>
      <c r="B196" t="s">
        <v>178</v>
      </c>
      <c r="C196" t="s">
        <v>48</v>
      </c>
      <c r="D196" t="s">
        <v>42</v>
      </c>
      <c r="E196">
        <f>1/47</f>
        <v>2.1276595744680851E-2</v>
      </c>
      <c r="F196">
        <v>251</v>
      </c>
      <c r="G196">
        <f>LOG(382/(251+1))</f>
        <v>0.18066282213016463</v>
      </c>
      <c r="H196">
        <f>0.0212765957446808*0.415991521095151</f>
        <v>8.8508834275563813E-3</v>
      </c>
      <c r="I196">
        <v>8.8508834275564229E-3</v>
      </c>
    </row>
    <row r="197" spans="1:9" x14ac:dyDescent="0.25">
      <c r="A197">
        <v>211</v>
      </c>
      <c r="B197" t="s">
        <v>178</v>
      </c>
      <c r="C197" t="s">
        <v>48</v>
      </c>
      <c r="D197" t="s">
        <v>168</v>
      </c>
      <c r="E197">
        <f>2/47</f>
        <v>4.2553191489361701E-2</v>
      </c>
      <c r="F197">
        <v>34</v>
      </c>
      <c r="G197">
        <f>LOG(382/(34+1))</f>
        <v>1.037995318561433</v>
      </c>
      <c r="H197">
        <f>0.0425531914893617*2.39007254711716</f>
        <v>0.10170521477094298</v>
      </c>
      <c r="I197">
        <v>0.10170521477094301</v>
      </c>
    </row>
    <row r="198" spans="1:9" x14ac:dyDescent="0.25">
      <c r="A198">
        <v>211</v>
      </c>
      <c r="B198" t="s">
        <v>178</v>
      </c>
      <c r="C198" t="s">
        <v>48</v>
      </c>
      <c r="D198" t="s">
        <v>19</v>
      </c>
      <c r="E198">
        <f t="shared" ref="E198:E207" si="8">1/47</f>
        <v>2.1276595744680851E-2</v>
      </c>
      <c r="F198">
        <v>220</v>
      </c>
      <c r="G198">
        <f>LOG(382/(220+1))</f>
        <v>0.23767108922659805</v>
      </c>
      <c r="H198">
        <f>0.0212765957446808*0.547257907088822</f>
        <v>1.1643785257208951E-2</v>
      </c>
      <c r="I198">
        <v>1.164378525720899E-2</v>
      </c>
    </row>
    <row r="199" spans="1:9" x14ac:dyDescent="0.25">
      <c r="A199">
        <v>211</v>
      </c>
      <c r="B199" t="s">
        <v>178</v>
      </c>
      <c r="C199" t="s">
        <v>48</v>
      </c>
      <c r="D199" t="s">
        <v>41</v>
      </c>
      <c r="E199">
        <f t="shared" si="8"/>
        <v>2.1276595744680851E-2</v>
      </c>
      <c r="F199">
        <v>195</v>
      </c>
      <c r="G199">
        <f>LOG(382/(195+1))</f>
        <v>0.28980729155523272</v>
      </c>
      <c r="H199">
        <f>0.0212765957446808*0.667305949376058</f>
        <v>1.4197998922894816E-2</v>
      </c>
      <c r="I199">
        <v>1.4197998922894851E-2</v>
      </c>
    </row>
    <row r="200" spans="1:9" x14ac:dyDescent="0.25">
      <c r="A200">
        <v>211</v>
      </c>
      <c r="B200" t="s">
        <v>178</v>
      </c>
      <c r="C200" t="s">
        <v>48</v>
      </c>
      <c r="D200" t="s">
        <v>44</v>
      </c>
      <c r="E200">
        <f t="shared" si="8"/>
        <v>2.1276595744680851E-2</v>
      </c>
      <c r="F200">
        <v>151</v>
      </c>
      <c r="G200">
        <f>LOG(382/(151+1))</f>
        <v>0.40021977496693617</v>
      </c>
      <c r="H200">
        <f>0.0212765957446808*0.921540087760298</f>
        <v>1.9607235909793526E-2</v>
      </c>
      <c r="I200">
        <v>1.9607235909793588E-2</v>
      </c>
    </row>
    <row r="201" spans="1:9" x14ac:dyDescent="0.25">
      <c r="A201">
        <v>211</v>
      </c>
      <c r="B201" t="s">
        <v>178</v>
      </c>
      <c r="C201" t="s">
        <v>48</v>
      </c>
      <c r="D201" t="s">
        <v>21</v>
      </c>
      <c r="E201">
        <f t="shared" si="8"/>
        <v>2.1276595744680851E-2</v>
      </c>
      <c r="F201">
        <v>14</v>
      </c>
      <c r="G201">
        <f>LOG(382/(14+1))</f>
        <v>1.4059721038560276</v>
      </c>
      <c r="H201">
        <f>0.0212765957446808*3.23737040750436</f>
        <v>6.8880221436262809E-2</v>
      </c>
      <c r="I201">
        <v>6.8880221436263087E-2</v>
      </c>
    </row>
    <row r="202" spans="1:9" x14ac:dyDescent="0.25">
      <c r="A202">
        <v>211</v>
      </c>
      <c r="B202" t="s">
        <v>178</v>
      </c>
      <c r="C202" t="s">
        <v>48</v>
      </c>
      <c r="D202" t="s">
        <v>22</v>
      </c>
      <c r="E202">
        <f t="shared" si="8"/>
        <v>2.1276595744680851E-2</v>
      </c>
      <c r="F202">
        <v>259</v>
      </c>
      <c r="G202">
        <f>LOG(382/(259+1))</f>
        <v>0.16709001494089079</v>
      </c>
      <c r="H202">
        <f>0.0212765957446808*0.384738977591047</f>
        <v>8.1859356934265125E-3</v>
      </c>
      <c r="I202">
        <v>8.1859356934265437E-3</v>
      </c>
    </row>
    <row r="203" spans="1:9" x14ac:dyDescent="0.25">
      <c r="A203">
        <v>211</v>
      </c>
      <c r="B203" t="s">
        <v>178</v>
      </c>
      <c r="C203" t="s">
        <v>48</v>
      </c>
      <c r="D203" t="s">
        <v>23</v>
      </c>
      <c r="E203">
        <f t="shared" si="8"/>
        <v>2.1276595744680851E-2</v>
      </c>
      <c r="F203">
        <v>275</v>
      </c>
      <c r="G203">
        <f>LOG(382/(275+1))</f>
        <v>0.14115428084649101</v>
      </c>
      <c r="H203">
        <f>0.0212765957446808*0.325019742889425</f>
        <v>6.915313678498387E-3</v>
      </c>
      <c r="I203">
        <v>6.915313678498407E-3</v>
      </c>
    </row>
    <row r="204" spans="1:9" x14ac:dyDescent="0.25">
      <c r="A204">
        <v>211</v>
      </c>
      <c r="B204" t="s">
        <v>178</v>
      </c>
      <c r="C204" t="s">
        <v>48</v>
      </c>
      <c r="D204" t="s">
        <v>185</v>
      </c>
      <c r="E204">
        <f t="shared" si="8"/>
        <v>2.1276595744680851E-2</v>
      </c>
      <c r="F204">
        <v>1</v>
      </c>
      <c r="G204">
        <f>LOG(382/(1+1))</f>
        <v>2.2810333672477277</v>
      </c>
      <c r="H204">
        <f>0.0212765957446808*5.25227342804663</f>
        <v>0.11175049846907696</v>
      </c>
      <c r="I204">
        <v>0.1117504984690772</v>
      </c>
    </row>
    <row r="205" spans="1:9" x14ac:dyDescent="0.25">
      <c r="A205">
        <v>211</v>
      </c>
      <c r="B205" t="s">
        <v>178</v>
      </c>
      <c r="C205" t="s">
        <v>48</v>
      </c>
      <c r="D205" t="s">
        <v>186</v>
      </c>
      <c r="E205">
        <f t="shared" si="8"/>
        <v>2.1276595744680851E-2</v>
      </c>
      <c r="F205">
        <v>5</v>
      </c>
      <c r="G205">
        <f>LOG(382/(5+1))</f>
        <v>1.803912112528065</v>
      </c>
      <c r="H205">
        <f>0.0212765957446808*4.15366113937852</f>
        <v>8.8375768922947018E-2</v>
      </c>
      <c r="I205">
        <v>8.8375768922947226E-2</v>
      </c>
    </row>
    <row r="206" spans="1:9" x14ac:dyDescent="0.25">
      <c r="A206">
        <v>211</v>
      </c>
      <c r="B206" t="s">
        <v>178</v>
      </c>
      <c r="C206" t="s">
        <v>48</v>
      </c>
      <c r="D206" t="s">
        <v>187</v>
      </c>
      <c r="E206">
        <f t="shared" si="8"/>
        <v>2.1276595744680851E-2</v>
      </c>
      <c r="F206">
        <v>21</v>
      </c>
      <c r="G206">
        <f>LOG(382/(21+1))</f>
        <v>1.2396406820895025</v>
      </c>
      <c r="H206">
        <f>0.0212765957446808*2.85437815524825</f>
        <v>6.0731450111664739E-2</v>
      </c>
      <c r="I206">
        <v>6.0731450111665093E-2</v>
      </c>
    </row>
    <row r="207" spans="1:9" x14ac:dyDescent="0.25">
      <c r="A207">
        <v>211</v>
      </c>
      <c r="B207" t="s">
        <v>178</v>
      </c>
      <c r="C207" t="s">
        <v>48</v>
      </c>
      <c r="D207" t="s">
        <v>188</v>
      </c>
      <c r="E207">
        <f t="shared" si="8"/>
        <v>2.1276595744680851E-2</v>
      </c>
      <c r="F207">
        <v>19</v>
      </c>
      <c r="G207">
        <f>LOG(382/(19+1))</f>
        <v>1.2810333672477277</v>
      </c>
      <c r="H207">
        <f>0.0212765957446808*2.94968833505258</f>
        <v>6.2759326277714314E-2</v>
      </c>
      <c r="I207">
        <v>6.2759326277714564E-2</v>
      </c>
    </row>
    <row r="208" spans="1:9" x14ac:dyDescent="0.25">
      <c r="A208">
        <v>211</v>
      </c>
      <c r="B208" t="s">
        <v>178</v>
      </c>
      <c r="C208" t="s">
        <v>48</v>
      </c>
      <c r="D208" t="s">
        <v>189</v>
      </c>
      <c r="E208">
        <f>3/47</f>
        <v>6.3829787234042548E-2</v>
      </c>
      <c r="F208">
        <v>27</v>
      </c>
      <c r="G208">
        <f>LOG(382/(27+1))</f>
        <v>1.1349053315694895</v>
      </c>
      <c r="H208">
        <f>0.0638297872340425*2.61321609843137</f>
        <v>0.16680102755944903</v>
      </c>
      <c r="I208">
        <v>0.1668010275594492</v>
      </c>
    </row>
    <row r="209" spans="1:9" x14ac:dyDescent="0.25">
      <c r="A209">
        <v>211</v>
      </c>
      <c r="B209" t="s">
        <v>178</v>
      </c>
      <c r="C209" t="s">
        <v>48</v>
      </c>
      <c r="D209" t="s">
        <v>38</v>
      </c>
      <c r="E209">
        <f>1/47</f>
        <v>2.1276595744680851E-2</v>
      </c>
      <c r="F209">
        <v>86</v>
      </c>
      <c r="G209">
        <f>LOG(382/(86+1))</f>
        <v>0.64254411029309022</v>
      </c>
      <c r="H209">
        <f>0.0212765957446808*1.47951248995199</f>
        <v>3.1478989147914603E-2</v>
      </c>
      <c r="I209">
        <v>3.1478989147914707E-2</v>
      </c>
    </row>
    <row r="210" spans="1:9" x14ac:dyDescent="0.25">
      <c r="A210">
        <v>211</v>
      </c>
      <c r="B210" t="s">
        <v>178</v>
      </c>
      <c r="C210" t="s">
        <v>48</v>
      </c>
      <c r="D210" t="s">
        <v>50</v>
      </c>
      <c r="E210">
        <f>1/47</f>
        <v>2.1276595744680851E-2</v>
      </c>
      <c r="F210">
        <v>109</v>
      </c>
      <c r="G210">
        <f>LOG(382/(109+1))</f>
        <v>0.54067067775348365</v>
      </c>
      <c r="H210">
        <f>0.0212765957446808*1.24494024281415</f>
        <v>2.6488090272641426E-2</v>
      </c>
      <c r="I210">
        <v>2.6488090272641679E-2</v>
      </c>
    </row>
    <row r="211" spans="1:9" x14ac:dyDescent="0.25">
      <c r="A211">
        <v>211</v>
      </c>
      <c r="B211" t="s">
        <v>178</v>
      </c>
      <c r="C211" t="s">
        <v>48</v>
      </c>
      <c r="D211" t="s">
        <v>190</v>
      </c>
      <c r="E211">
        <f>1/47</f>
        <v>2.1276595744680851E-2</v>
      </c>
      <c r="F211">
        <v>23</v>
      </c>
      <c r="G211">
        <f>LOG(382/(23+1))</f>
        <v>1.2018521212001028</v>
      </c>
      <c r="H211">
        <f>0.0212765957446808*2.76736677825862</f>
        <v>5.8880144218268371E-2</v>
      </c>
      <c r="I211">
        <v>5.8880144218268711E-2</v>
      </c>
    </row>
    <row r="212" spans="1:9" x14ac:dyDescent="0.25">
      <c r="A212">
        <v>212</v>
      </c>
      <c r="B212" t="s">
        <v>191</v>
      </c>
      <c r="C212" t="s">
        <v>48</v>
      </c>
      <c r="D212" t="s">
        <v>192</v>
      </c>
      <c r="E212">
        <f>5/104</f>
        <v>4.807692307692308E-2</v>
      </c>
      <c r="F212">
        <v>5</v>
      </c>
      <c r="G212">
        <f>LOG(382/(5+1))</f>
        <v>1.803912112528065</v>
      </c>
      <c r="H212">
        <f>0.048076923076923*4.15366113937852</f>
        <v>0.19969524708550546</v>
      </c>
      <c r="I212">
        <v>0.19969524708550579</v>
      </c>
    </row>
    <row r="213" spans="1:9" x14ac:dyDescent="0.25">
      <c r="A213">
        <v>212</v>
      </c>
      <c r="B213" t="s">
        <v>191</v>
      </c>
      <c r="C213" t="s">
        <v>48</v>
      </c>
      <c r="D213" t="s">
        <v>193</v>
      </c>
      <c r="E213">
        <f>7/104</f>
        <v>6.7307692307692304E-2</v>
      </c>
      <c r="F213">
        <v>10</v>
      </c>
      <c r="G213">
        <f>LOG(382/(10+1))</f>
        <v>1.5406706777534838</v>
      </c>
      <c r="H213">
        <f>0.0673076923076923*3.5475253358082</f>
        <v>0.23877574375632116</v>
      </c>
      <c r="I213">
        <v>0.23877574375632149</v>
      </c>
    </row>
    <row r="214" spans="1:9" x14ac:dyDescent="0.25">
      <c r="A214">
        <v>212</v>
      </c>
      <c r="B214" t="s">
        <v>191</v>
      </c>
      <c r="C214" t="s">
        <v>48</v>
      </c>
      <c r="D214" t="s">
        <v>111</v>
      </c>
      <c r="E214">
        <f>3/104</f>
        <v>2.8846153846153848E-2</v>
      </c>
      <c r="F214">
        <v>33</v>
      </c>
      <c r="G214">
        <f>LOG(382/(33+1))</f>
        <v>1.0505844458694535</v>
      </c>
      <c r="H214">
        <f>0.0288461538461538*2.41906008399041</f>
        <v>6.97805793458771E-2</v>
      </c>
      <c r="I214">
        <v>6.9780579345877322E-2</v>
      </c>
    </row>
    <row r="215" spans="1:9" x14ac:dyDescent="0.25">
      <c r="A215">
        <v>212</v>
      </c>
      <c r="B215" t="s">
        <v>191</v>
      </c>
      <c r="C215" t="s">
        <v>48</v>
      </c>
      <c r="D215" t="s">
        <v>194</v>
      </c>
      <c r="E215">
        <f>3/104</f>
        <v>2.8846153846153848E-2</v>
      </c>
      <c r="F215">
        <v>1</v>
      </c>
      <c r="G215">
        <f>LOG(382/(1+1))</f>
        <v>2.2810333672477277</v>
      </c>
      <c r="H215">
        <f>0.0288461538461538*5.25227342804663</f>
        <v>0.1515078873474987</v>
      </c>
      <c r="I215">
        <v>0.15150788734749901</v>
      </c>
    </row>
    <row r="216" spans="1:9" x14ac:dyDescent="0.25">
      <c r="A216">
        <v>212</v>
      </c>
      <c r="B216" t="s">
        <v>191</v>
      </c>
      <c r="C216" t="s">
        <v>48</v>
      </c>
      <c r="D216" t="s">
        <v>42</v>
      </c>
      <c r="E216">
        <f>1/104</f>
        <v>9.6153846153846159E-3</v>
      </c>
      <c r="F216">
        <v>251</v>
      </c>
      <c r="G216">
        <f>LOG(382/(251+1))</f>
        <v>0.18066282213016463</v>
      </c>
      <c r="H216">
        <f>0.00961538461538461*0.415991521095151</f>
        <v>3.9999184720687572E-3</v>
      </c>
      <c r="I216">
        <v>3.9999184720687694E-3</v>
      </c>
    </row>
    <row r="217" spans="1:9" x14ac:dyDescent="0.25">
      <c r="A217">
        <v>212</v>
      </c>
      <c r="B217" t="s">
        <v>191</v>
      </c>
      <c r="C217" t="s">
        <v>48</v>
      </c>
      <c r="D217" t="s">
        <v>147</v>
      </c>
      <c r="E217">
        <f>2/104</f>
        <v>1.9230769230769232E-2</v>
      </c>
      <c r="F217">
        <v>48</v>
      </c>
      <c r="G217">
        <f>LOG(382/(48+1))</f>
        <v>0.89186728288319506</v>
      </c>
      <c r="H217">
        <f>0.0192307692307692*2.05360031049594</f>
        <v>3.9492313663383398E-2</v>
      </c>
      <c r="I217">
        <v>3.9492313663383627E-2</v>
      </c>
    </row>
    <row r="218" spans="1:9" x14ac:dyDescent="0.25">
      <c r="A218">
        <v>212</v>
      </c>
      <c r="B218" t="s">
        <v>191</v>
      </c>
      <c r="C218" t="s">
        <v>48</v>
      </c>
      <c r="D218" t="s">
        <v>19</v>
      </c>
      <c r="E218">
        <f>1/104</f>
        <v>9.6153846153846159E-3</v>
      </c>
      <c r="F218">
        <v>220</v>
      </c>
      <c r="G218">
        <f>LOG(382/(220+1))</f>
        <v>0.23767108922659805</v>
      </c>
      <c r="H218">
        <f>0.00961538461538461*0.547257907088822</f>
        <v>5.2620952604694399E-3</v>
      </c>
      <c r="I218">
        <v>5.262095260469446E-3</v>
      </c>
    </row>
    <row r="219" spans="1:9" x14ac:dyDescent="0.25">
      <c r="A219">
        <v>212</v>
      </c>
      <c r="B219" t="s">
        <v>191</v>
      </c>
      <c r="C219" t="s">
        <v>48</v>
      </c>
      <c r="D219" t="s">
        <v>195</v>
      </c>
      <c r="E219">
        <f>1/104</f>
        <v>9.6153846153846159E-3</v>
      </c>
      <c r="F219">
        <v>55</v>
      </c>
      <c r="G219">
        <f>LOG(382/(55+1))</f>
        <v>0.83387533590550833</v>
      </c>
      <c r="H219">
        <f>0.00961538461538461*1.92006891787142</f>
        <v>1.8462201133379031E-2</v>
      </c>
      <c r="I219">
        <v>1.84622011333791E-2</v>
      </c>
    </row>
    <row r="220" spans="1:9" x14ac:dyDescent="0.25">
      <c r="A220">
        <v>212</v>
      </c>
      <c r="B220" t="s">
        <v>191</v>
      </c>
      <c r="C220" t="s">
        <v>48</v>
      </c>
      <c r="D220" t="s">
        <v>22</v>
      </c>
      <c r="E220">
        <f>1/104</f>
        <v>9.6153846153846159E-3</v>
      </c>
      <c r="F220">
        <v>259</v>
      </c>
      <c r="G220">
        <f>LOG(382/(259+1))</f>
        <v>0.16709001494089079</v>
      </c>
      <c r="H220">
        <f>0.00961538461538461*0.384738977591047</f>
        <v>3.6994132460677581E-3</v>
      </c>
      <c r="I220">
        <v>3.699413246067765E-3</v>
      </c>
    </row>
    <row r="221" spans="1:9" x14ac:dyDescent="0.25">
      <c r="A221">
        <v>212</v>
      </c>
      <c r="B221" t="s">
        <v>191</v>
      </c>
      <c r="C221" t="s">
        <v>48</v>
      </c>
      <c r="D221" t="s">
        <v>23</v>
      </c>
      <c r="E221">
        <f>1/104</f>
        <v>9.6153846153846159E-3</v>
      </c>
      <c r="F221">
        <v>275</v>
      </c>
      <c r="G221">
        <f>LOG(382/(275+1))</f>
        <v>0.14115428084649101</v>
      </c>
      <c r="H221">
        <f>0.00961538461538461*0.325019742889425</f>
        <v>3.1251898354752385E-3</v>
      </c>
      <c r="I221">
        <v>3.1251898354752419E-3</v>
      </c>
    </row>
    <row r="222" spans="1:9" x14ac:dyDescent="0.25">
      <c r="A222">
        <v>212</v>
      </c>
      <c r="B222" t="s">
        <v>191</v>
      </c>
      <c r="C222" t="s">
        <v>48</v>
      </c>
      <c r="D222" t="s">
        <v>196</v>
      </c>
      <c r="E222">
        <f>1/104</f>
        <v>9.6153846153846159E-3</v>
      </c>
      <c r="F222">
        <v>33</v>
      </c>
      <c r="G222">
        <f>LOG(382/(33+1))</f>
        <v>1.0505844458694535</v>
      </c>
      <c r="H222">
        <f>0.00961538461538461*2.41906008399041</f>
        <v>2.3260193115292396E-2</v>
      </c>
      <c r="I222">
        <v>2.3260193115292441E-2</v>
      </c>
    </row>
    <row r="223" spans="1:9" x14ac:dyDescent="0.25">
      <c r="A223">
        <v>212</v>
      </c>
      <c r="B223" t="s">
        <v>191</v>
      </c>
      <c r="C223" t="s">
        <v>48</v>
      </c>
      <c r="D223" t="s">
        <v>197</v>
      </c>
      <c r="E223">
        <f>2/104</f>
        <v>1.9230769230769232E-2</v>
      </c>
      <c r="F223">
        <v>18</v>
      </c>
      <c r="G223">
        <f>LOG(382/(18+1))</f>
        <v>1.3033097619588798</v>
      </c>
      <c r="H223">
        <f>0.0192307692307692*3.00098162944013</f>
        <v>5.7711185181540871E-2</v>
      </c>
      <c r="I223">
        <v>5.7711185181541051E-2</v>
      </c>
    </row>
    <row r="224" spans="1:9" x14ac:dyDescent="0.25">
      <c r="A224">
        <v>212</v>
      </c>
      <c r="B224" t="s">
        <v>191</v>
      </c>
      <c r="C224" t="s">
        <v>48</v>
      </c>
      <c r="D224" t="s">
        <v>198</v>
      </c>
      <c r="E224">
        <f>1/104</f>
        <v>9.6153846153846159E-3</v>
      </c>
      <c r="F224">
        <v>11</v>
      </c>
      <c r="G224">
        <f>LOG(382/(11+1))</f>
        <v>1.5028821168640838</v>
      </c>
      <c r="H224">
        <f>0.00961538461538461*3.46051395881857</f>
        <v>3.3274172680947775E-2</v>
      </c>
      <c r="I224">
        <v>3.3274172680947837E-2</v>
      </c>
    </row>
    <row r="225" spans="1:9" x14ac:dyDescent="0.25">
      <c r="A225">
        <v>212</v>
      </c>
      <c r="B225" t="s">
        <v>191</v>
      </c>
      <c r="C225" t="s">
        <v>48</v>
      </c>
      <c r="D225" t="s">
        <v>53</v>
      </c>
      <c r="E225">
        <f>5/104</f>
        <v>4.807692307692308E-2</v>
      </c>
      <c r="F225">
        <v>57</v>
      </c>
      <c r="G225">
        <f>LOG(382/(57+1))</f>
        <v>0.81863536934877146</v>
      </c>
      <c r="H225">
        <f>0.048076923076923*1.88497759806015</f>
        <v>9.0623922983660912E-2</v>
      </c>
      <c r="I225">
        <v>9.0623922983661342E-2</v>
      </c>
    </row>
    <row r="226" spans="1:9" x14ac:dyDescent="0.25">
      <c r="A226">
        <v>212</v>
      </c>
      <c r="B226" t="s">
        <v>191</v>
      </c>
      <c r="C226" t="s">
        <v>48</v>
      </c>
      <c r="D226" t="s">
        <v>50</v>
      </c>
      <c r="E226">
        <f>6/104</f>
        <v>5.7692307692307696E-2</v>
      </c>
      <c r="F226">
        <v>109</v>
      </c>
      <c r="G226">
        <f>LOG(382/(109+1))</f>
        <v>0.54067067775348365</v>
      </c>
      <c r="H226">
        <f>0.0576923076923076*1.24494024281415</f>
        <v>7.1823475546970078E-2</v>
      </c>
      <c r="I226">
        <v>7.1823475546970716E-2</v>
      </c>
    </row>
    <row r="227" spans="1:9" x14ac:dyDescent="0.25">
      <c r="A227">
        <v>212</v>
      </c>
      <c r="B227" t="s">
        <v>191</v>
      </c>
      <c r="C227" t="s">
        <v>48</v>
      </c>
      <c r="D227" t="s">
        <v>58</v>
      </c>
      <c r="E227">
        <f t="shared" ref="E227:E234" si="9">1/104</f>
        <v>9.6153846153846159E-3</v>
      </c>
      <c r="F227">
        <v>18</v>
      </c>
      <c r="G227">
        <f>LOG(382/(18+1))</f>
        <v>1.3033097619588798</v>
      </c>
      <c r="H227">
        <f>0.00961538461538461*3.00098162944013</f>
        <v>2.8855592590770467E-2</v>
      </c>
      <c r="I227">
        <v>2.8855592590770529E-2</v>
      </c>
    </row>
    <row r="228" spans="1:9" x14ac:dyDescent="0.25">
      <c r="A228">
        <v>212</v>
      </c>
      <c r="B228" t="s">
        <v>191</v>
      </c>
      <c r="C228" t="s">
        <v>48</v>
      </c>
      <c r="D228" t="s">
        <v>59</v>
      </c>
      <c r="E228">
        <f t="shared" si="9"/>
        <v>9.6153846153846159E-3</v>
      </c>
      <c r="F228">
        <v>13</v>
      </c>
      <c r="G228">
        <f>LOG(382/(13+1))</f>
        <v>1.4359353272334707</v>
      </c>
      <c r="H228">
        <f>0.00961538461538461*3.30636327899131</f>
        <v>3.1791954605685659E-2</v>
      </c>
      <c r="I228">
        <v>3.1791954605685728E-2</v>
      </c>
    </row>
    <row r="229" spans="1:9" x14ac:dyDescent="0.25">
      <c r="A229">
        <v>212</v>
      </c>
      <c r="B229" t="s">
        <v>191</v>
      </c>
      <c r="C229" t="s">
        <v>48</v>
      </c>
      <c r="D229" t="s">
        <v>199</v>
      </c>
      <c r="E229">
        <f t="shared" si="9"/>
        <v>9.6153846153846159E-3</v>
      </c>
      <c r="F229">
        <v>2</v>
      </c>
      <c r="G229">
        <f>LOG(382/(2+1))</f>
        <v>2.1049421081920463</v>
      </c>
      <c r="H229">
        <f>0.00961538461538461*4.84680831993846</f>
        <v>4.6603926153254399E-2</v>
      </c>
      <c r="I229">
        <v>4.6603926153254482E-2</v>
      </c>
    </row>
    <row r="230" spans="1:9" x14ac:dyDescent="0.25">
      <c r="A230">
        <v>212</v>
      </c>
      <c r="B230" t="s">
        <v>191</v>
      </c>
      <c r="C230" t="s">
        <v>48</v>
      </c>
      <c r="D230" t="s">
        <v>200</v>
      </c>
      <c r="E230">
        <f t="shared" si="9"/>
        <v>9.6153846153846159E-3</v>
      </c>
      <c r="F230">
        <v>2</v>
      </c>
      <c r="G230">
        <f>LOG(382/(2+1))</f>
        <v>2.1049421081920463</v>
      </c>
      <c r="H230">
        <f>0.00961538461538461*4.84680831993846</f>
        <v>4.6603926153254399E-2</v>
      </c>
      <c r="I230">
        <v>4.6603926153254482E-2</v>
      </c>
    </row>
    <row r="231" spans="1:9" x14ac:dyDescent="0.25">
      <c r="A231">
        <v>212</v>
      </c>
      <c r="B231" t="s">
        <v>191</v>
      </c>
      <c r="C231" t="s">
        <v>48</v>
      </c>
      <c r="D231" t="s">
        <v>201</v>
      </c>
      <c r="E231">
        <f t="shared" si="9"/>
        <v>9.6153846153846159E-3</v>
      </c>
      <c r="F231">
        <v>72</v>
      </c>
      <c r="G231">
        <f>LOG(382/(72+1))</f>
        <v>0.71874050279125279</v>
      </c>
      <c r="H231">
        <f>0.00961538461538461*1.65496116745818</f>
        <v>1.5913088148636338E-2</v>
      </c>
      <c r="I231">
        <v>1.591308814863638E-2</v>
      </c>
    </row>
    <row r="232" spans="1:9" x14ac:dyDescent="0.25">
      <c r="A232">
        <v>212</v>
      </c>
      <c r="B232" t="s">
        <v>191</v>
      </c>
      <c r="C232" t="s">
        <v>48</v>
      </c>
      <c r="D232" t="s">
        <v>202</v>
      </c>
      <c r="E232">
        <f t="shared" si="9"/>
        <v>9.6153846153846159E-3</v>
      </c>
      <c r="F232">
        <v>1</v>
      </c>
      <c r="G232">
        <f>LOG(382/(1+1))</f>
        <v>2.2810333672477277</v>
      </c>
      <c r="H232">
        <f>0.00961538461538461*5.25227342804663</f>
        <v>5.0502629115832955E-2</v>
      </c>
      <c r="I232">
        <v>5.0502629115832982E-2</v>
      </c>
    </row>
    <row r="233" spans="1:9" x14ac:dyDescent="0.25">
      <c r="A233">
        <v>212</v>
      </c>
      <c r="B233" t="s">
        <v>191</v>
      </c>
      <c r="C233" t="s">
        <v>48</v>
      </c>
      <c r="D233" t="s">
        <v>203</v>
      </c>
      <c r="E233">
        <f t="shared" si="9"/>
        <v>9.6153846153846159E-3</v>
      </c>
      <c r="F233">
        <v>1</v>
      </c>
      <c r="G233">
        <f>LOG(382/(1+1))</f>
        <v>2.2810333672477277</v>
      </c>
      <c r="H233">
        <f>0.00961538461538461*5.25227342804663</f>
        <v>5.0502629115832955E-2</v>
      </c>
      <c r="I233">
        <v>5.0502629115832982E-2</v>
      </c>
    </row>
    <row r="234" spans="1:9" x14ac:dyDescent="0.25">
      <c r="A234">
        <v>212</v>
      </c>
      <c r="B234" t="s">
        <v>191</v>
      </c>
      <c r="C234" t="s">
        <v>48</v>
      </c>
      <c r="D234" t="s">
        <v>204</v>
      </c>
      <c r="E234">
        <f t="shared" si="9"/>
        <v>9.6153846153846159E-3</v>
      </c>
      <c r="F234">
        <v>166</v>
      </c>
      <c r="G234">
        <f>LOG(382/(166+1))</f>
        <v>0.35934689176412549</v>
      </c>
      <c r="H234">
        <f>0.00961538461538461*0.82742679618982</f>
        <v>7.9560268864405734E-3</v>
      </c>
      <c r="I234">
        <v>7.9560268864405786E-3</v>
      </c>
    </row>
    <row r="235" spans="1:9" x14ac:dyDescent="0.25">
      <c r="A235">
        <v>212</v>
      </c>
      <c r="B235" t="s">
        <v>191</v>
      </c>
      <c r="C235" t="s">
        <v>48</v>
      </c>
      <c r="D235" t="s">
        <v>121</v>
      </c>
      <c r="E235">
        <f>6/104</f>
        <v>5.7692307692307696E-2</v>
      </c>
      <c r="F235">
        <v>22</v>
      </c>
      <c r="G235">
        <f>LOG(382/(22+1))</f>
        <v>1.2203355268941158</v>
      </c>
      <c r="H235">
        <f>0.0576923076923076*2.80992639267742</f>
        <v>0.16211113803908164</v>
      </c>
      <c r="I235">
        <v>0.16211113803908231</v>
      </c>
    </row>
    <row r="236" spans="1:9" x14ac:dyDescent="0.25">
      <c r="A236">
        <v>212</v>
      </c>
      <c r="B236" t="s">
        <v>191</v>
      </c>
      <c r="C236" t="s">
        <v>48</v>
      </c>
      <c r="D236" t="s">
        <v>98</v>
      </c>
      <c r="E236">
        <f>4/104</f>
        <v>3.8461538461538464E-2</v>
      </c>
      <c r="F236">
        <v>56</v>
      </c>
      <c r="G236">
        <f>LOG(382/(56+1))</f>
        <v>0.82618850723921733</v>
      </c>
      <c r="H236">
        <f>0.0384615384615384*1.90236934077202</f>
        <v>7.3168051568154494E-2</v>
      </c>
      <c r="I236">
        <v>7.3168051568154813E-2</v>
      </c>
    </row>
    <row r="237" spans="1:9" x14ac:dyDescent="0.25">
      <c r="A237">
        <v>212</v>
      </c>
      <c r="B237" t="s">
        <v>191</v>
      </c>
      <c r="C237" t="s">
        <v>48</v>
      </c>
      <c r="D237" t="s">
        <v>87</v>
      </c>
      <c r="E237">
        <f>2/104</f>
        <v>1.9230769230769232E-2</v>
      </c>
      <c r="F237">
        <v>12</v>
      </c>
      <c r="G237">
        <f>LOG(382/(12+1))</f>
        <v>1.468120010604872</v>
      </c>
      <c r="H237">
        <f>0.0192307692307692*3.38047125114503</f>
        <v>6.5009062522019712E-2</v>
      </c>
      <c r="I237">
        <v>6.5009062522019975E-2</v>
      </c>
    </row>
    <row r="238" spans="1:9" x14ac:dyDescent="0.25">
      <c r="A238">
        <v>212</v>
      </c>
      <c r="B238" t="s">
        <v>191</v>
      </c>
      <c r="C238" t="s">
        <v>48</v>
      </c>
      <c r="D238" t="s">
        <v>205</v>
      </c>
      <c r="E238">
        <f>2/104</f>
        <v>1.9230769230769232E-2</v>
      </c>
      <c r="F238">
        <v>1</v>
      </c>
      <c r="G238">
        <f>LOG(382/(1+1))</f>
        <v>2.2810333672477277</v>
      </c>
      <c r="H238">
        <f>0.0192307692307692*5.25227342804663</f>
        <v>0.1010052582316658</v>
      </c>
      <c r="I238">
        <v>0.10100525823166601</v>
      </c>
    </row>
    <row r="239" spans="1:9" x14ac:dyDescent="0.25">
      <c r="A239">
        <v>212</v>
      </c>
      <c r="B239" t="s">
        <v>191</v>
      </c>
      <c r="C239" t="s">
        <v>48</v>
      </c>
      <c r="D239" t="s">
        <v>88</v>
      </c>
      <c r="E239">
        <f t="shared" ref="E239:E250" si="10">1/104</f>
        <v>9.6153846153846159E-3</v>
      </c>
      <c r="F239">
        <v>13</v>
      </c>
      <c r="G239">
        <f>LOG(382/(13+1))</f>
        <v>1.4359353272334707</v>
      </c>
      <c r="H239">
        <f>0.00961538461538461*3.30636327899131</f>
        <v>3.1791954605685659E-2</v>
      </c>
      <c r="I239">
        <v>3.1791954605685728E-2</v>
      </c>
    </row>
    <row r="240" spans="1:9" x14ac:dyDescent="0.25">
      <c r="A240">
        <v>212</v>
      </c>
      <c r="B240" t="s">
        <v>191</v>
      </c>
      <c r="C240" t="s">
        <v>48</v>
      </c>
      <c r="D240" t="s">
        <v>206</v>
      </c>
      <c r="E240">
        <f t="shared" si="10"/>
        <v>9.6153846153846159E-3</v>
      </c>
      <c r="F240">
        <v>3</v>
      </c>
      <c r="G240">
        <f>LOG(382/(3+1))</f>
        <v>1.9800033715837464</v>
      </c>
      <c r="H240">
        <f>0.00961538461538461*4.55912624748668</f>
        <v>4.3837752379679594E-2</v>
      </c>
      <c r="I240">
        <v>4.3837752379679663E-2</v>
      </c>
    </row>
    <row r="241" spans="1:9" x14ac:dyDescent="0.25">
      <c r="A241">
        <v>212</v>
      </c>
      <c r="B241" t="s">
        <v>191</v>
      </c>
      <c r="C241" t="s">
        <v>48</v>
      </c>
      <c r="D241" t="s">
        <v>207</v>
      </c>
      <c r="E241">
        <f t="shared" si="10"/>
        <v>9.6153846153846159E-3</v>
      </c>
      <c r="F241">
        <v>21</v>
      </c>
      <c r="G241">
        <f>LOG(382/(21+1))</f>
        <v>1.2396406820895025</v>
      </c>
      <c r="H241">
        <f>0.00961538461538461*2.85437815524825</f>
        <v>2.7445943800463928E-2</v>
      </c>
      <c r="I241">
        <v>2.7445943800464029E-2</v>
      </c>
    </row>
    <row r="242" spans="1:9" x14ac:dyDescent="0.25">
      <c r="A242">
        <v>212</v>
      </c>
      <c r="B242" t="s">
        <v>191</v>
      </c>
      <c r="C242" t="s">
        <v>48</v>
      </c>
      <c r="D242" t="s">
        <v>208</v>
      </c>
      <c r="E242">
        <f t="shared" si="10"/>
        <v>9.6153846153846159E-3</v>
      </c>
      <c r="F242">
        <v>2</v>
      </c>
      <c r="G242">
        <f>LOG(382/(2+1))</f>
        <v>2.1049421081920463</v>
      </c>
      <c r="H242">
        <f>0.00961538461538461*4.84680831993846</f>
        <v>4.6603926153254399E-2</v>
      </c>
      <c r="I242">
        <v>4.6603926153254482E-2</v>
      </c>
    </row>
    <row r="243" spans="1:9" x14ac:dyDescent="0.25">
      <c r="A243">
        <v>212</v>
      </c>
      <c r="B243" t="s">
        <v>191</v>
      </c>
      <c r="C243" t="s">
        <v>48</v>
      </c>
      <c r="D243" t="s">
        <v>209</v>
      </c>
      <c r="E243">
        <f t="shared" si="10"/>
        <v>9.6153846153846159E-3</v>
      </c>
      <c r="F243">
        <v>7</v>
      </c>
      <c r="G243">
        <f>LOG(382/(7+1))</f>
        <v>1.6789733759197651</v>
      </c>
      <c r="H243">
        <f>0.00961538461538461*3.86597906692673</f>
        <v>3.7172875643526233E-2</v>
      </c>
      <c r="I243">
        <v>3.7172875643526337E-2</v>
      </c>
    </row>
    <row r="244" spans="1:9" x14ac:dyDescent="0.25">
      <c r="A244">
        <v>212</v>
      </c>
      <c r="B244" t="s">
        <v>191</v>
      </c>
      <c r="C244" t="s">
        <v>48</v>
      </c>
      <c r="D244" t="s">
        <v>210</v>
      </c>
      <c r="E244">
        <f t="shared" si="10"/>
        <v>9.6153846153846159E-3</v>
      </c>
      <c r="F244">
        <v>9</v>
      </c>
      <c r="G244">
        <f>LOG(382/(9+1))</f>
        <v>1.5820633629117087</v>
      </c>
      <c r="H244">
        <f>0.00961538461538461*3.64283551561252</f>
        <v>3.5027264573197291E-2</v>
      </c>
      <c r="I244">
        <v>3.5027264573197402E-2</v>
      </c>
    </row>
    <row r="245" spans="1:9" x14ac:dyDescent="0.25">
      <c r="A245">
        <v>212</v>
      </c>
      <c r="B245" t="s">
        <v>191</v>
      </c>
      <c r="C245" t="s">
        <v>48</v>
      </c>
      <c r="D245" t="s">
        <v>211</v>
      </c>
      <c r="E245">
        <f t="shared" si="10"/>
        <v>9.6153846153846159E-3</v>
      </c>
      <c r="F245">
        <v>10</v>
      </c>
      <c r="G245">
        <f>LOG(382/(10+1))</f>
        <v>1.5406706777534838</v>
      </c>
      <c r="H245">
        <f>0.00961538461538461*3.5475253358082</f>
        <v>3.4110820536617292E-2</v>
      </c>
      <c r="I245">
        <v>3.4110820536617348E-2</v>
      </c>
    </row>
    <row r="246" spans="1:9" x14ac:dyDescent="0.25">
      <c r="A246">
        <v>212</v>
      </c>
      <c r="B246" t="s">
        <v>191</v>
      </c>
      <c r="C246" t="s">
        <v>48</v>
      </c>
      <c r="D246" t="s">
        <v>212</v>
      </c>
      <c r="E246">
        <f t="shared" si="10"/>
        <v>9.6153846153846159E-3</v>
      </c>
      <c r="F246">
        <v>1</v>
      </c>
      <c r="G246">
        <f>LOG(382/(1+1))</f>
        <v>2.2810333672477277</v>
      </c>
      <c r="H246">
        <f>0.00961538461538461*5.25227342804663</f>
        <v>5.0502629115832955E-2</v>
      </c>
      <c r="I246">
        <v>5.0502629115832982E-2</v>
      </c>
    </row>
    <row r="247" spans="1:9" x14ac:dyDescent="0.25">
      <c r="A247">
        <v>212</v>
      </c>
      <c r="B247" t="s">
        <v>191</v>
      </c>
      <c r="C247" t="s">
        <v>48</v>
      </c>
      <c r="D247" t="s">
        <v>213</v>
      </c>
      <c r="E247">
        <f t="shared" si="10"/>
        <v>9.6153846153846159E-3</v>
      </c>
      <c r="F247">
        <v>2</v>
      </c>
      <c r="G247">
        <f>LOG(382/(2+1))</f>
        <v>2.1049421081920463</v>
      </c>
      <c r="H247">
        <f>0.00961538461538461*4.84680831993846</f>
        <v>4.6603926153254399E-2</v>
      </c>
      <c r="I247">
        <v>4.6603926153254482E-2</v>
      </c>
    </row>
    <row r="248" spans="1:9" x14ac:dyDescent="0.25">
      <c r="A248">
        <v>212</v>
      </c>
      <c r="B248" t="s">
        <v>191</v>
      </c>
      <c r="C248" t="s">
        <v>48</v>
      </c>
      <c r="D248" t="s">
        <v>214</v>
      </c>
      <c r="E248">
        <f t="shared" si="10"/>
        <v>9.6153846153846159E-3</v>
      </c>
      <c r="F248">
        <v>68</v>
      </c>
      <c r="G248">
        <f>LOG(382/(68+1))</f>
        <v>0.74321427217445335</v>
      </c>
      <c r="H248">
        <f>0.00961538461538461*1.71131410400931</f>
        <v>1.6454943307781821E-2</v>
      </c>
      <c r="I248">
        <v>1.6454943307781879E-2</v>
      </c>
    </row>
    <row r="249" spans="1:9" x14ac:dyDescent="0.25">
      <c r="A249">
        <v>212</v>
      </c>
      <c r="B249" t="s">
        <v>191</v>
      </c>
      <c r="C249" t="s">
        <v>48</v>
      </c>
      <c r="D249" t="s">
        <v>215</v>
      </c>
      <c r="E249">
        <f t="shared" si="10"/>
        <v>9.6153846153846159E-3</v>
      </c>
      <c r="F249">
        <v>25</v>
      </c>
      <c r="G249">
        <f>LOG(382/(25+1))</f>
        <v>1.1670900149408907</v>
      </c>
      <c r="H249">
        <f>0.00961538461538461*2.68732407058509</f>
        <v>2.5839654524856624E-2</v>
      </c>
      <c r="I249">
        <v>2.5839654524856669E-2</v>
      </c>
    </row>
    <row r="250" spans="1:9" x14ac:dyDescent="0.25">
      <c r="A250">
        <v>212</v>
      </c>
      <c r="B250" t="s">
        <v>191</v>
      </c>
      <c r="C250" t="s">
        <v>48</v>
      </c>
      <c r="D250" t="s">
        <v>216</v>
      </c>
      <c r="E250">
        <f t="shared" si="10"/>
        <v>9.6153846153846159E-3</v>
      </c>
      <c r="F250">
        <v>63</v>
      </c>
      <c r="G250">
        <f>LOG(382/(63+1))</f>
        <v>0.7758833889278216</v>
      </c>
      <c r="H250">
        <f>0.00961538461538461*1.7865375252469</f>
        <v>1.7178245435066339E-2</v>
      </c>
      <c r="I250">
        <v>1.717824543506638E-2</v>
      </c>
    </row>
    <row r="251" spans="1:9" x14ac:dyDescent="0.25">
      <c r="A251">
        <v>212</v>
      </c>
      <c r="B251" t="s">
        <v>191</v>
      </c>
      <c r="C251" t="s">
        <v>48</v>
      </c>
      <c r="D251" t="s">
        <v>119</v>
      </c>
      <c r="E251">
        <f>2/104</f>
        <v>1.9230769230769232E-2</v>
      </c>
      <c r="F251">
        <v>79</v>
      </c>
      <c r="G251">
        <f>LOG(382/(79+1))</f>
        <v>0.67897337591976514</v>
      </c>
      <c r="H251">
        <f>0.0192307692307692*1.56339397393269</f>
        <v>3.0065268729474761E-2</v>
      </c>
      <c r="I251">
        <v>3.0065268729474879E-2</v>
      </c>
    </row>
    <row r="252" spans="1:9" x14ac:dyDescent="0.25">
      <c r="A252">
        <v>212</v>
      </c>
      <c r="B252" t="s">
        <v>191</v>
      </c>
      <c r="C252" t="s">
        <v>48</v>
      </c>
      <c r="D252" t="s">
        <v>217</v>
      </c>
      <c r="E252">
        <f>1/104</f>
        <v>9.6153846153846159E-3</v>
      </c>
      <c r="F252">
        <v>12</v>
      </c>
      <c r="G252">
        <f>LOG(382/(12+1))</f>
        <v>1.468120010604872</v>
      </c>
      <c r="H252">
        <f>0.00961538461538461*3.38047125114503</f>
        <v>3.250453126100989E-2</v>
      </c>
      <c r="I252">
        <v>3.2504531261009988E-2</v>
      </c>
    </row>
    <row r="253" spans="1:9" x14ac:dyDescent="0.25">
      <c r="A253">
        <v>212</v>
      </c>
      <c r="B253" t="s">
        <v>191</v>
      </c>
      <c r="C253" t="s">
        <v>48</v>
      </c>
      <c r="D253" t="s">
        <v>218</v>
      </c>
      <c r="E253">
        <f>2/104</f>
        <v>1.9230769230769232E-2</v>
      </c>
      <c r="F253">
        <v>35</v>
      </c>
      <c r="G253">
        <f>LOG(382/(35+1))</f>
        <v>1.0257608621444214</v>
      </c>
      <c r="H253">
        <f>0.0192307692307692*2.36190167015046</f>
        <v>4.542118596443185E-2</v>
      </c>
      <c r="I253">
        <v>4.5421185964432023E-2</v>
      </c>
    </row>
    <row r="254" spans="1:9" x14ac:dyDescent="0.25">
      <c r="A254">
        <v>212</v>
      </c>
      <c r="B254" t="s">
        <v>191</v>
      </c>
      <c r="C254" t="s">
        <v>48</v>
      </c>
      <c r="D254" t="s">
        <v>77</v>
      </c>
      <c r="E254">
        <f t="shared" ref="E254:E278" si="11">1/104</f>
        <v>9.6153846153846159E-3</v>
      </c>
      <c r="F254">
        <v>148</v>
      </c>
      <c r="G254">
        <f>LOG(382/(148+1))</f>
        <v>0.40887709449943471</v>
      </c>
      <c r="H254">
        <f>0.00961538461538461*0.941474302661116</f>
        <v>9.0526375255876486E-3</v>
      </c>
      <c r="I254">
        <v>9.0526375255876555E-3</v>
      </c>
    </row>
    <row r="255" spans="1:9" x14ac:dyDescent="0.25">
      <c r="A255">
        <v>212</v>
      </c>
      <c r="B255" t="s">
        <v>191</v>
      </c>
      <c r="C255" t="s">
        <v>48</v>
      </c>
      <c r="D255" t="s">
        <v>219</v>
      </c>
      <c r="E255">
        <f t="shared" si="11"/>
        <v>9.6153846153846159E-3</v>
      </c>
      <c r="F255">
        <v>19</v>
      </c>
      <c r="G255">
        <f>LOG(382/(19+1))</f>
        <v>1.2810333672477277</v>
      </c>
      <c r="H255">
        <f>0.00961538461538461*2.94968833505258</f>
        <v>2.8362387837044024E-2</v>
      </c>
      <c r="I255">
        <v>2.8362387837044079E-2</v>
      </c>
    </row>
    <row r="256" spans="1:9" x14ac:dyDescent="0.25">
      <c r="A256">
        <v>212</v>
      </c>
      <c r="B256" t="s">
        <v>191</v>
      </c>
      <c r="C256" t="s">
        <v>48</v>
      </c>
      <c r="D256" t="s">
        <v>220</v>
      </c>
      <c r="E256">
        <f t="shared" si="11"/>
        <v>9.6153846153846159E-3</v>
      </c>
      <c r="F256">
        <v>5</v>
      </c>
      <c r="G256">
        <f>LOG(382/(5+1))</f>
        <v>1.803912112528065</v>
      </c>
      <c r="H256">
        <f>0.00961538461538461*4.15366113937852</f>
        <v>3.9939049417101136E-2</v>
      </c>
      <c r="I256">
        <v>3.9939049417101163E-2</v>
      </c>
    </row>
    <row r="257" spans="1:9" x14ac:dyDescent="0.25">
      <c r="A257">
        <v>212</v>
      </c>
      <c r="B257" t="s">
        <v>191</v>
      </c>
      <c r="C257" t="s">
        <v>48</v>
      </c>
      <c r="D257" t="s">
        <v>221</v>
      </c>
      <c r="E257">
        <f t="shared" si="11"/>
        <v>9.6153846153846159E-3</v>
      </c>
      <c r="F257">
        <v>2</v>
      </c>
      <c r="G257">
        <f>LOG(382/(2+1))</f>
        <v>2.1049421081920463</v>
      </c>
      <c r="H257">
        <f>0.00961538461538461*4.84680831993846</f>
        <v>4.6603926153254399E-2</v>
      </c>
      <c r="I257">
        <v>4.6603926153254482E-2</v>
      </c>
    </row>
    <row r="258" spans="1:9" x14ac:dyDescent="0.25">
      <c r="A258">
        <v>212</v>
      </c>
      <c r="B258" t="s">
        <v>191</v>
      </c>
      <c r="C258" t="s">
        <v>48</v>
      </c>
      <c r="D258" t="s">
        <v>222</v>
      </c>
      <c r="E258">
        <f t="shared" si="11"/>
        <v>9.6153846153846159E-3</v>
      </c>
      <c r="F258">
        <v>22</v>
      </c>
      <c r="G258">
        <f>LOG(382/(22+1))</f>
        <v>1.2203355268941158</v>
      </c>
      <c r="H258">
        <f>0.00961538461538461*2.80992639267742</f>
        <v>2.7018523006513639E-2</v>
      </c>
      <c r="I258">
        <v>2.7018523006513709E-2</v>
      </c>
    </row>
    <row r="259" spans="1:9" x14ac:dyDescent="0.25">
      <c r="A259">
        <v>212</v>
      </c>
      <c r="B259" t="s">
        <v>191</v>
      </c>
      <c r="C259" t="s">
        <v>48</v>
      </c>
      <c r="D259" t="s">
        <v>223</v>
      </c>
      <c r="E259">
        <f t="shared" si="11"/>
        <v>9.6153846153846159E-3</v>
      </c>
      <c r="F259">
        <v>2</v>
      </c>
      <c r="G259">
        <f>LOG(382/(2+1))</f>
        <v>2.1049421081920463</v>
      </c>
      <c r="H259">
        <f>0.00961538461538461*4.84680831993846</f>
        <v>4.6603926153254399E-2</v>
      </c>
      <c r="I259">
        <v>4.6603926153254482E-2</v>
      </c>
    </row>
    <row r="260" spans="1:9" x14ac:dyDescent="0.25">
      <c r="A260">
        <v>212</v>
      </c>
      <c r="B260" t="s">
        <v>191</v>
      </c>
      <c r="C260" t="s">
        <v>48</v>
      </c>
      <c r="D260" t="s">
        <v>224</v>
      </c>
      <c r="E260">
        <f t="shared" si="11"/>
        <v>9.6153846153846159E-3</v>
      </c>
      <c r="F260">
        <v>16</v>
      </c>
      <c r="G260">
        <f>LOG(382/(16+1))</f>
        <v>1.3516144415334348</v>
      </c>
      <c r="H260">
        <f>0.00961538461538461*3.11220726455035</f>
        <v>2.9925069851445656E-2</v>
      </c>
      <c r="I260">
        <v>2.992506985144576E-2</v>
      </c>
    </row>
    <row r="261" spans="1:9" x14ac:dyDescent="0.25">
      <c r="A261">
        <v>212</v>
      </c>
      <c r="B261" t="s">
        <v>191</v>
      </c>
      <c r="C261" t="s">
        <v>48</v>
      </c>
      <c r="D261" t="s">
        <v>225</v>
      </c>
      <c r="E261">
        <f t="shared" si="11"/>
        <v>9.6153846153846159E-3</v>
      </c>
      <c r="F261">
        <v>30</v>
      </c>
      <c r="G261">
        <f>LOG(382/(30+1))</f>
        <v>1.090701669077436</v>
      </c>
      <c r="H261">
        <f>0.00961538461538461*2.51143340412142</f>
        <v>2.4148398116552106E-2</v>
      </c>
      <c r="I261">
        <v>2.41483981165522E-2</v>
      </c>
    </row>
    <row r="262" spans="1:9" x14ac:dyDescent="0.25">
      <c r="A262">
        <v>212</v>
      </c>
      <c r="B262" t="s">
        <v>191</v>
      </c>
      <c r="C262" t="s">
        <v>48</v>
      </c>
      <c r="D262" t="s">
        <v>226</v>
      </c>
      <c r="E262">
        <f t="shared" si="11"/>
        <v>9.6153846153846159E-3</v>
      </c>
      <c r="F262">
        <v>1</v>
      </c>
      <c r="G262">
        <f>LOG(382/(1+1))</f>
        <v>2.2810333672477277</v>
      </c>
      <c r="H262">
        <f>0.00961538461538461*5.25227342804663</f>
        <v>5.0502629115832955E-2</v>
      </c>
      <c r="I262">
        <v>5.0502629115832982E-2</v>
      </c>
    </row>
    <row r="263" spans="1:9" x14ac:dyDescent="0.25">
      <c r="A263">
        <v>212</v>
      </c>
      <c r="B263" t="s">
        <v>191</v>
      </c>
      <c r="C263" t="s">
        <v>48</v>
      </c>
      <c r="D263" t="s">
        <v>227</v>
      </c>
      <c r="E263">
        <f t="shared" si="11"/>
        <v>9.6153846153846159E-3</v>
      </c>
      <c r="F263">
        <v>1</v>
      </c>
      <c r="G263">
        <f>LOG(382/(1+1))</f>
        <v>2.2810333672477277</v>
      </c>
      <c r="H263">
        <f>0.00961538461538461*5.25227342804663</f>
        <v>5.0502629115832955E-2</v>
      </c>
      <c r="I263">
        <v>5.0502629115832982E-2</v>
      </c>
    </row>
    <row r="264" spans="1:9" x14ac:dyDescent="0.25">
      <c r="A264">
        <v>212</v>
      </c>
      <c r="B264" t="s">
        <v>191</v>
      </c>
      <c r="C264" t="s">
        <v>48</v>
      </c>
      <c r="D264" t="s">
        <v>228</v>
      </c>
      <c r="E264">
        <f t="shared" si="11"/>
        <v>9.6153846153846159E-3</v>
      </c>
      <c r="F264">
        <v>3</v>
      </c>
      <c r="G264">
        <f>LOG(382/(3+1))</f>
        <v>1.9800033715837464</v>
      </c>
      <c r="H264">
        <f>0.00961538461538461*4.55912624748668</f>
        <v>4.3837752379679594E-2</v>
      </c>
      <c r="I264">
        <v>4.3837752379679663E-2</v>
      </c>
    </row>
    <row r="265" spans="1:9" x14ac:dyDescent="0.25">
      <c r="A265">
        <v>212</v>
      </c>
      <c r="B265" t="s">
        <v>191</v>
      </c>
      <c r="C265" t="s">
        <v>48</v>
      </c>
      <c r="D265" t="s">
        <v>229</v>
      </c>
      <c r="E265">
        <f t="shared" si="11"/>
        <v>9.6153846153846159E-3</v>
      </c>
      <c r="F265">
        <v>1</v>
      </c>
      <c r="G265">
        <f>LOG(382/(1+1))</f>
        <v>2.2810333672477277</v>
      </c>
      <c r="H265">
        <f>0.00961538461538461*5.25227342804663</f>
        <v>5.0502629115832955E-2</v>
      </c>
      <c r="I265">
        <v>5.0502629115832982E-2</v>
      </c>
    </row>
    <row r="266" spans="1:9" x14ac:dyDescent="0.25">
      <c r="A266">
        <v>212</v>
      </c>
      <c r="B266" t="s">
        <v>191</v>
      </c>
      <c r="C266" t="s">
        <v>48</v>
      </c>
      <c r="D266" t="s">
        <v>230</v>
      </c>
      <c r="E266">
        <f t="shared" si="11"/>
        <v>9.6153846153846159E-3</v>
      </c>
      <c r="F266">
        <v>9</v>
      </c>
      <c r="G266">
        <f>LOG(382/(9+1))</f>
        <v>1.5820633629117087</v>
      </c>
      <c r="H266">
        <f>0.00961538461538461*3.64283551561252</f>
        <v>3.5027264573197291E-2</v>
      </c>
      <c r="I266">
        <v>3.5027264573197402E-2</v>
      </c>
    </row>
    <row r="267" spans="1:9" x14ac:dyDescent="0.25">
      <c r="A267">
        <v>212</v>
      </c>
      <c r="B267" t="s">
        <v>191</v>
      </c>
      <c r="C267" t="s">
        <v>48</v>
      </c>
      <c r="D267" t="s">
        <v>231</v>
      </c>
      <c r="E267">
        <f t="shared" si="11"/>
        <v>9.6153846153846159E-3</v>
      </c>
      <c r="F267">
        <v>1</v>
      </c>
      <c r="G267">
        <f>LOG(382/(1+1))</f>
        <v>2.2810333672477277</v>
      </c>
      <c r="H267">
        <f>0.00961538461538461*5.25227342804663</f>
        <v>5.0502629115832955E-2</v>
      </c>
      <c r="I267">
        <v>5.0502629115832982E-2</v>
      </c>
    </row>
    <row r="268" spans="1:9" x14ac:dyDescent="0.25">
      <c r="A268">
        <v>212</v>
      </c>
      <c r="B268" t="s">
        <v>191</v>
      </c>
      <c r="C268" t="s">
        <v>48</v>
      </c>
      <c r="D268" t="s">
        <v>232</v>
      </c>
      <c r="E268">
        <f t="shared" si="11"/>
        <v>9.6153846153846159E-3</v>
      </c>
      <c r="F268">
        <v>5</v>
      </c>
      <c r="G268">
        <f>LOG(382/(5+1))</f>
        <v>1.803912112528065</v>
      </c>
      <c r="H268">
        <f>0.00961538461538461*4.15366113937852</f>
        <v>3.9939049417101136E-2</v>
      </c>
      <c r="I268">
        <v>3.9939049417101163E-2</v>
      </c>
    </row>
    <row r="269" spans="1:9" x14ac:dyDescent="0.25">
      <c r="A269">
        <v>212</v>
      </c>
      <c r="B269" t="s">
        <v>191</v>
      </c>
      <c r="C269" t="s">
        <v>48</v>
      </c>
      <c r="D269" t="s">
        <v>233</v>
      </c>
      <c r="E269">
        <f t="shared" si="11"/>
        <v>9.6153846153846159E-3</v>
      </c>
      <c r="F269">
        <v>14</v>
      </c>
      <c r="G269">
        <f>LOG(382/(14+1))</f>
        <v>1.4059721038560276</v>
      </c>
      <c r="H269">
        <f>0.00961538461538461*3.23737040750436</f>
        <v>3.1128561610618829E-2</v>
      </c>
      <c r="I269">
        <v>3.1128561610618902E-2</v>
      </c>
    </row>
    <row r="270" spans="1:9" x14ac:dyDescent="0.25">
      <c r="A270">
        <v>212</v>
      </c>
      <c r="B270" t="s">
        <v>191</v>
      </c>
      <c r="C270" t="s">
        <v>48</v>
      </c>
      <c r="D270" t="s">
        <v>234</v>
      </c>
      <c r="E270">
        <f t="shared" si="11"/>
        <v>9.6153846153846159E-3</v>
      </c>
      <c r="F270">
        <v>6</v>
      </c>
      <c r="G270">
        <f>LOG(382/(6+1))</f>
        <v>1.736965322897452</v>
      </c>
      <c r="H270">
        <f>0.00961538461538461*3.99951045955126</f>
        <v>3.8456831341839019E-2</v>
      </c>
      <c r="I270">
        <v>3.8456831341839061E-2</v>
      </c>
    </row>
    <row r="271" spans="1:9" x14ac:dyDescent="0.25">
      <c r="A271">
        <v>212</v>
      </c>
      <c r="B271" t="s">
        <v>191</v>
      </c>
      <c r="C271" t="s">
        <v>48</v>
      </c>
      <c r="D271" t="s">
        <v>235</v>
      </c>
      <c r="E271">
        <f t="shared" si="11"/>
        <v>9.6153846153846159E-3</v>
      </c>
      <c r="F271">
        <v>2</v>
      </c>
      <c r="G271">
        <f>LOG(382/(2+1))</f>
        <v>2.1049421081920463</v>
      </c>
      <c r="H271">
        <f>0.00961538461538461*4.84680831993846</f>
        <v>4.6603926153254399E-2</v>
      </c>
      <c r="I271">
        <v>4.6603926153254482E-2</v>
      </c>
    </row>
    <row r="272" spans="1:9" x14ac:dyDescent="0.25">
      <c r="A272">
        <v>212</v>
      </c>
      <c r="B272" t="s">
        <v>191</v>
      </c>
      <c r="C272" t="s">
        <v>48</v>
      </c>
      <c r="D272" t="s">
        <v>236</v>
      </c>
      <c r="E272">
        <f t="shared" si="11"/>
        <v>9.6153846153846159E-3</v>
      </c>
      <c r="F272">
        <v>87</v>
      </c>
      <c r="G272">
        <f>LOG(382/(87+1))</f>
        <v>0.63758069076154011</v>
      </c>
      <c r="H272">
        <f>0.00961538461538461*1.46808379412836</f>
        <v>1.4116190328157301E-2</v>
      </c>
      <c r="I272">
        <v>1.4116190328157391E-2</v>
      </c>
    </row>
    <row r="273" spans="1:9" x14ac:dyDescent="0.25">
      <c r="A273">
        <v>212</v>
      </c>
      <c r="B273" t="s">
        <v>191</v>
      </c>
      <c r="C273" t="s">
        <v>48</v>
      </c>
      <c r="D273" t="s">
        <v>237</v>
      </c>
      <c r="E273">
        <f t="shared" si="11"/>
        <v>9.6153846153846159E-3</v>
      </c>
      <c r="F273">
        <v>138</v>
      </c>
      <c r="G273">
        <f>LOG(382/(138+1))</f>
        <v>0.43904856265761361</v>
      </c>
      <c r="H273">
        <f>0.00961538461538461*1.01094667547588</f>
        <v>9.7206411103449956E-3</v>
      </c>
      <c r="I273">
        <v>9.7206411103450321E-3</v>
      </c>
    </row>
    <row r="274" spans="1:9" x14ac:dyDescent="0.25">
      <c r="A274">
        <v>212</v>
      </c>
      <c r="B274" t="s">
        <v>191</v>
      </c>
      <c r="C274" t="s">
        <v>48</v>
      </c>
      <c r="D274" t="s">
        <v>238</v>
      </c>
      <c r="E274">
        <f t="shared" si="11"/>
        <v>9.6153846153846159E-3</v>
      </c>
      <c r="F274">
        <v>10</v>
      </c>
      <c r="G274">
        <f>LOG(382/(10+1))</f>
        <v>1.5406706777534838</v>
      </c>
      <c r="H274">
        <f>0.00961538461538461*3.5475253358082</f>
        <v>3.4110820536617292E-2</v>
      </c>
      <c r="I274">
        <v>3.4110820536617348E-2</v>
      </c>
    </row>
    <row r="275" spans="1:9" x14ac:dyDescent="0.25">
      <c r="A275">
        <v>212</v>
      </c>
      <c r="B275" t="s">
        <v>191</v>
      </c>
      <c r="C275" t="s">
        <v>48</v>
      </c>
      <c r="D275" t="s">
        <v>239</v>
      </c>
      <c r="E275">
        <f t="shared" si="11"/>
        <v>9.6153846153846159E-3</v>
      </c>
      <c r="F275">
        <v>40</v>
      </c>
      <c r="G275">
        <f>LOG(382/(40+1))</f>
        <v>0.96927950619197323</v>
      </c>
      <c r="H275">
        <f>0.00961538461538461*2.23184854190226</f>
        <v>2.1460082133675566E-2</v>
      </c>
      <c r="I275">
        <v>2.1460082133675649E-2</v>
      </c>
    </row>
    <row r="276" spans="1:9" x14ac:dyDescent="0.25">
      <c r="A276">
        <v>212</v>
      </c>
      <c r="B276" t="s">
        <v>191</v>
      </c>
      <c r="C276" t="s">
        <v>48</v>
      </c>
      <c r="D276" t="s">
        <v>120</v>
      </c>
      <c r="E276">
        <f t="shared" si="11"/>
        <v>9.6153846153846159E-3</v>
      </c>
      <c r="F276">
        <v>8</v>
      </c>
      <c r="G276">
        <f>LOG(382/(8+1))</f>
        <v>1.6278208534723839</v>
      </c>
      <c r="H276">
        <f>0.00961538461538461*3.74819603127035</f>
        <v>3.604034645452258E-2</v>
      </c>
      <c r="I276">
        <v>3.6040346454522663E-2</v>
      </c>
    </row>
    <row r="277" spans="1:9" x14ac:dyDescent="0.25">
      <c r="A277">
        <v>212</v>
      </c>
      <c r="B277" t="s">
        <v>191</v>
      </c>
      <c r="C277" t="s">
        <v>48</v>
      </c>
      <c r="D277" t="s">
        <v>240</v>
      </c>
      <c r="E277">
        <f t="shared" si="11"/>
        <v>9.6153846153846159E-3</v>
      </c>
      <c r="F277">
        <v>15</v>
      </c>
      <c r="G277">
        <f>LOG(382/(15+1))</f>
        <v>1.3779433802557839</v>
      </c>
      <c r="H277">
        <f>0.00961538461538461*3.17283188636679</f>
        <v>3.0507998907372966E-2</v>
      </c>
      <c r="I277">
        <v>3.0507998907373018E-2</v>
      </c>
    </row>
    <row r="278" spans="1:9" x14ac:dyDescent="0.25">
      <c r="A278">
        <v>212</v>
      </c>
      <c r="B278" t="s">
        <v>191</v>
      </c>
      <c r="C278" t="s">
        <v>48</v>
      </c>
      <c r="D278" t="s">
        <v>241</v>
      </c>
      <c r="E278">
        <f t="shared" si="11"/>
        <v>9.6153846153846159E-3</v>
      </c>
      <c r="F278">
        <v>19</v>
      </c>
      <c r="G278">
        <f>LOG(382/(19+1))</f>
        <v>1.2810333672477277</v>
      </c>
      <c r="H278">
        <f>0.00961538461538461*2.94968833505258</f>
        <v>2.8362387837044024E-2</v>
      </c>
      <c r="I278">
        <v>2.8362387837044079E-2</v>
      </c>
    </row>
    <row r="279" spans="1:9" x14ac:dyDescent="0.25">
      <c r="A279">
        <v>213</v>
      </c>
      <c r="B279" t="s">
        <v>242</v>
      </c>
      <c r="C279" t="s">
        <v>48</v>
      </c>
      <c r="D279" t="s">
        <v>196</v>
      </c>
      <c r="E279">
        <f>1/28</f>
        <v>3.5714285714285712E-2</v>
      </c>
      <c r="F279">
        <v>33</v>
      </c>
      <c r="G279">
        <f>LOG(382/(33+1))</f>
        <v>1.0505844458694535</v>
      </c>
      <c r="H279">
        <f>0.0357142857142857*2.41906008399041</f>
        <v>8.6395002999657466E-2</v>
      </c>
      <c r="I279">
        <v>8.6395002999657633E-2</v>
      </c>
    </row>
    <row r="280" spans="1:9" x14ac:dyDescent="0.25">
      <c r="A280">
        <v>213</v>
      </c>
      <c r="B280" t="s">
        <v>242</v>
      </c>
      <c r="C280" t="s">
        <v>48</v>
      </c>
      <c r="D280" t="s">
        <v>243</v>
      </c>
      <c r="E280">
        <f>1/28</f>
        <v>3.5714285714285712E-2</v>
      </c>
      <c r="F280">
        <v>131</v>
      </c>
      <c r="G280">
        <f>LOG(382/(131+1))</f>
        <v>0.46148943170585888</v>
      </c>
      <c r="H280">
        <f>0.0357142857142857*1.0626186860202</f>
        <v>3.7950667357864273E-2</v>
      </c>
      <c r="I280">
        <v>3.7950667357864433E-2</v>
      </c>
    </row>
    <row r="281" spans="1:9" x14ac:dyDescent="0.25">
      <c r="A281">
        <v>213</v>
      </c>
      <c r="B281" t="s">
        <v>242</v>
      </c>
      <c r="C281" t="s">
        <v>48</v>
      </c>
      <c r="D281" t="s">
        <v>244</v>
      </c>
      <c r="E281">
        <f>1/28</f>
        <v>3.5714285714285712E-2</v>
      </c>
      <c r="F281">
        <v>8</v>
      </c>
      <c r="G281">
        <f>LOG(382/(8+1))</f>
        <v>1.6278208534723839</v>
      </c>
      <c r="H281">
        <f>0.0357142857142857*3.74819603127035</f>
        <v>0.133864143973941</v>
      </c>
      <c r="I281">
        <v>0.13386414397394131</v>
      </c>
    </row>
    <row r="282" spans="1:9" x14ac:dyDescent="0.25">
      <c r="A282">
        <v>213</v>
      </c>
      <c r="B282" t="s">
        <v>242</v>
      </c>
      <c r="C282" t="s">
        <v>48</v>
      </c>
      <c r="D282" t="s">
        <v>245</v>
      </c>
      <c r="E282">
        <f>1/28</f>
        <v>3.5714285714285712E-2</v>
      </c>
      <c r="F282">
        <v>11</v>
      </c>
      <c r="G282">
        <f>LOG(382/(11+1))</f>
        <v>1.5028821168640838</v>
      </c>
      <c r="H282">
        <f>0.0357142857142857*3.46051395881857</f>
        <v>0.12358978424352031</v>
      </c>
      <c r="I282">
        <v>0.1235897842435205</v>
      </c>
    </row>
    <row r="283" spans="1:9" x14ac:dyDescent="0.25">
      <c r="A283">
        <v>213</v>
      </c>
      <c r="B283" t="s">
        <v>242</v>
      </c>
      <c r="C283" t="s">
        <v>48</v>
      </c>
      <c r="D283" t="s">
        <v>41</v>
      </c>
      <c r="E283">
        <f>2/28</f>
        <v>7.1428571428571425E-2</v>
      </c>
      <c r="F283">
        <v>195</v>
      </c>
      <c r="G283">
        <f>LOG(382/(195+1))</f>
        <v>0.28980729155523272</v>
      </c>
      <c r="H283">
        <f>0.0714285714285714*0.667305949376058</f>
        <v>4.7664710669718412E-2</v>
      </c>
      <c r="I283">
        <v>4.7664710669718433E-2</v>
      </c>
    </row>
    <row r="284" spans="1:9" x14ac:dyDescent="0.25">
      <c r="A284">
        <v>213</v>
      </c>
      <c r="B284" t="s">
        <v>242</v>
      </c>
      <c r="C284" t="s">
        <v>48</v>
      </c>
      <c r="D284" t="s">
        <v>246</v>
      </c>
      <c r="E284">
        <f>2/28</f>
        <v>7.1428571428571425E-2</v>
      </c>
      <c r="F284">
        <v>2</v>
      </c>
      <c r="G284">
        <f>LOG(382/(2+1))</f>
        <v>2.1049421081920463</v>
      </c>
      <c r="H284">
        <f>0.0714285714285714*4.84680831993846</f>
        <v>0.34620059428131844</v>
      </c>
      <c r="I284">
        <v>0.34620059428131889</v>
      </c>
    </row>
    <row r="285" spans="1:9" x14ac:dyDescent="0.25">
      <c r="A285">
        <v>213</v>
      </c>
      <c r="B285" t="s">
        <v>242</v>
      </c>
      <c r="C285" t="s">
        <v>48</v>
      </c>
      <c r="D285" t="s">
        <v>38</v>
      </c>
      <c r="E285">
        <f>1/28</f>
        <v>3.5714285714285712E-2</v>
      </c>
      <c r="F285">
        <v>86</v>
      </c>
      <c r="G285">
        <f>LOG(382/(86+1))</f>
        <v>0.64254411029309022</v>
      </c>
      <c r="H285">
        <f>0.0357142857142857*1.47951248995199</f>
        <v>5.2839731783999623E-2</v>
      </c>
      <c r="I285">
        <v>5.2839731783999692E-2</v>
      </c>
    </row>
    <row r="286" spans="1:9" x14ac:dyDescent="0.25">
      <c r="A286">
        <v>213</v>
      </c>
      <c r="B286" t="s">
        <v>242</v>
      </c>
      <c r="C286" t="s">
        <v>48</v>
      </c>
      <c r="D286" t="s">
        <v>247</v>
      </c>
      <c r="E286">
        <f>1/28</f>
        <v>3.5714285714285712E-2</v>
      </c>
      <c r="F286">
        <v>121</v>
      </c>
      <c r="G286">
        <f>LOG(382/(121+1))</f>
        <v>0.49570353223696051</v>
      </c>
      <c r="H286">
        <f>0.0357142857142857*1.14139956387331</f>
        <v>4.0764270138332483E-2</v>
      </c>
      <c r="I286">
        <v>4.0764270138332809E-2</v>
      </c>
    </row>
    <row r="287" spans="1:9" x14ac:dyDescent="0.25">
      <c r="A287">
        <v>213</v>
      </c>
      <c r="B287" t="s">
        <v>242</v>
      </c>
      <c r="C287" t="s">
        <v>48</v>
      </c>
      <c r="D287" t="s">
        <v>39</v>
      </c>
      <c r="E287">
        <f>2/28</f>
        <v>7.1428571428571425E-2</v>
      </c>
      <c r="F287">
        <v>145</v>
      </c>
      <c r="G287">
        <f>LOG(382/(145+1))</f>
        <v>0.41771050712727159</v>
      </c>
      <c r="H287">
        <f>0.0714285714285714*0.961813986898238</f>
        <v>6.8700999064159829E-2</v>
      </c>
      <c r="I287">
        <v>6.8700999064159898E-2</v>
      </c>
    </row>
    <row r="288" spans="1:9" x14ac:dyDescent="0.25">
      <c r="A288">
        <v>213</v>
      </c>
      <c r="B288" t="s">
        <v>242</v>
      </c>
      <c r="C288" t="s">
        <v>48</v>
      </c>
      <c r="D288" t="s">
        <v>248</v>
      </c>
      <c r="E288">
        <f>2/28</f>
        <v>7.1428571428571425E-2</v>
      </c>
      <c r="F288">
        <v>7</v>
      </c>
      <c r="G288">
        <f>LOG(382/(7+1))</f>
        <v>1.6789733759197651</v>
      </c>
      <c r="H288">
        <f>0.0714285714285714*3.86597906692673</f>
        <v>0.27614136192333777</v>
      </c>
      <c r="I288">
        <v>0.27614136192333849</v>
      </c>
    </row>
    <row r="289" spans="1:9" x14ac:dyDescent="0.25">
      <c r="A289">
        <v>213</v>
      </c>
      <c r="B289" t="s">
        <v>242</v>
      </c>
      <c r="C289" t="s">
        <v>48</v>
      </c>
      <c r="D289" t="s">
        <v>249</v>
      </c>
      <c r="E289">
        <f t="shared" ref="E289:E302" si="12">1/28</f>
        <v>3.5714285714285712E-2</v>
      </c>
      <c r="F289">
        <v>2</v>
      </c>
      <c r="G289">
        <f>LOG(382/(2+1))</f>
        <v>2.1049421081920463</v>
      </c>
      <c r="H289">
        <f>0.0357142857142857*4.84680831993846</f>
        <v>0.17310029714065922</v>
      </c>
      <c r="I289">
        <v>0.1731002971406595</v>
      </c>
    </row>
    <row r="290" spans="1:9" x14ac:dyDescent="0.25">
      <c r="A290">
        <v>213</v>
      </c>
      <c r="B290" t="s">
        <v>242</v>
      </c>
      <c r="C290" t="s">
        <v>48</v>
      </c>
      <c r="D290" t="s">
        <v>17</v>
      </c>
      <c r="E290">
        <f t="shared" si="12"/>
        <v>3.5714285714285712E-2</v>
      </c>
      <c r="F290">
        <v>169</v>
      </c>
      <c r="G290">
        <f>LOG(382/(169+1))</f>
        <v>0.3516144415334348</v>
      </c>
      <c r="H290">
        <f>0.0357142857142857*0.809622171556313</f>
        <v>2.8915077555582595E-2</v>
      </c>
      <c r="I290">
        <v>2.8915077555582619E-2</v>
      </c>
    </row>
    <row r="291" spans="1:9" x14ac:dyDescent="0.25">
      <c r="A291">
        <v>213</v>
      </c>
      <c r="B291" t="s">
        <v>242</v>
      </c>
      <c r="C291" t="s">
        <v>48</v>
      </c>
      <c r="D291" t="s">
        <v>250</v>
      </c>
      <c r="E291">
        <f t="shared" si="12"/>
        <v>3.5714285714285712E-2</v>
      </c>
      <c r="F291">
        <v>14</v>
      </c>
      <c r="G291">
        <f>LOG(382/(14+1))</f>
        <v>1.4059721038560276</v>
      </c>
      <c r="H291">
        <f>0.0357142857142857*3.23737040750436</f>
        <v>0.11562037169658423</v>
      </c>
      <c r="I291">
        <v>0.1156203716965845</v>
      </c>
    </row>
    <row r="292" spans="1:9" x14ac:dyDescent="0.25">
      <c r="A292">
        <v>213</v>
      </c>
      <c r="B292" t="s">
        <v>242</v>
      </c>
      <c r="C292" t="s">
        <v>48</v>
      </c>
      <c r="D292" t="s">
        <v>251</v>
      </c>
      <c r="E292">
        <f t="shared" si="12"/>
        <v>3.5714285714285712E-2</v>
      </c>
      <c r="F292">
        <v>6</v>
      </c>
      <c r="G292">
        <f>LOG(382/(6+1))</f>
        <v>1.736965322897452</v>
      </c>
      <c r="H292">
        <f>0.0357142857142857*3.99951045955126</f>
        <v>0.14283965926968781</v>
      </c>
      <c r="I292">
        <v>0.14283965926968789</v>
      </c>
    </row>
    <row r="293" spans="1:9" x14ac:dyDescent="0.25">
      <c r="A293">
        <v>213</v>
      </c>
      <c r="B293" t="s">
        <v>242</v>
      </c>
      <c r="C293" t="s">
        <v>48</v>
      </c>
      <c r="D293" t="s">
        <v>94</v>
      </c>
      <c r="E293">
        <f t="shared" si="12"/>
        <v>3.5714285714285712E-2</v>
      </c>
      <c r="F293">
        <v>12</v>
      </c>
      <c r="G293">
        <f>LOG(382/(12+1))</f>
        <v>1.468120010604872</v>
      </c>
      <c r="H293">
        <f>0.0357142857142857*3.38047125114503</f>
        <v>0.12073111611232246</v>
      </c>
      <c r="I293">
        <v>0.1207311161123228</v>
      </c>
    </row>
    <row r="294" spans="1:9" x14ac:dyDescent="0.25">
      <c r="A294">
        <v>213</v>
      </c>
      <c r="B294" t="s">
        <v>242</v>
      </c>
      <c r="C294" t="s">
        <v>48</v>
      </c>
      <c r="D294" t="s">
        <v>50</v>
      </c>
      <c r="E294">
        <f t="shared" si="12"/>
        <v>3.5714285714285712E-2</v>
      </c>
      <c r="F294">
        <v>109</v>
      </c>
      <c r="G294">
        <f>LOG(382/(109+1))</f>
        <v>0.54067067775348365</v>
      </c>
      <c r="H294">
        <f>0.0357142857142857*1.24494024281415</f>
        <v>4.4462151529076767E-2</v>
      </c>
      <c r="I294">
        <v>4.44621515290771E-2</v>
      </c>
    </row>
    <row r="295" spans="1:9" x14ac:dyDescent="0.25">
      <c r="A295">
        <v>213</v>
      </c>
      <c r="B295" t="s">
        <v>242</v>
      </c>
      <c r="C295" t="s">
        <v>48</v>
      </c>
      <c r="D295" t="s">
        <v>204</v>
      </c>
      <c r="E295">
        <f t="shared" si="12"/>
        <v>3.5714285714285712E-2</v>
      </c>
      <c r="F295">
        <v>166</v>
      </c>
      <c r="G295">
        <f>LOG(382/(166+1))</f>
        <v>0.35934689176412549</v>
      </c>
      <c r="H295">
        <f>0.0357142857142857*0.82742679618982</f>
        <v>2.9550957006779271E-2</v>
      </c>
      <c r="I295">
        <v>2.9550957006779292E-2</v>
      </c>
    </row>
    <row r="296" spans="1:9" x14ac:dyDescent="0.25">
      <c r="A296">
        <v>213</v>
      </c>
      <c r="B296" t="s">
        <v>242</v>
      </c>
      <c r="C296" t="s">
        <v>48</v>
      </c>
      <c r="D296" t="s">
        <v>252</v>
      </c>
      <c r="E296">
        <f t="shared" si="12"/>
        <v>3.5714285714285712E-2</v>
      </c>
      <c r="F296">
        <v>1</v>
      </c>
      <c r="G296">
        <f>LOG(382/(1+1))</f>
        <v>2.2810333672477277</v>
      </c>
      <c r="H296">
        <f>0.0357142857142857*5.25227342804663</f>
        <v>0.18758119385880812</v>
      </c>
      <c r="I296">
        <v>0.1875811938588082</v>
      </c>
    </row>
    <row r="297" spans="1:9" x14ac:dyDescent="0.25">
      <c r="A297">
        <v>213</v>
      </c>
      <c r="B297" t="s">
        <v>242</v>
      </c>
      <c r="C297" t="s">
        <v>48</v>
      </c>
      <c r="D297" t="s">
        <v>253</v>
      </c>
      <c r="E297">
        <f t="shared" si="12"/>
        <v>3.5714285714285712E-2</v>
      </c>
      <c r="F297">
        <v>1</v>
      </c>
      <c r="G297">
        <f>LOG(382/(1+1))</f>
        <v>2.2810333672477277</v>
      </c>
      <c r="H297">
        <f>0.0357142857142857*5.25227342804663</f>
        <v>0.18758119385880812</v>
      </c>
      <c r="I297">
        <v>0.1875811938588082</v>
      </c>
    </row>
    <row r="298" spans="1:9" x14ac:dyDescent="0.25">
      <c r="A298">
        <v>213</v>
      </c>
      <c r="B298" t="s">
        <v>242</v>
      </c>
      <c r="C298" t="s">
        <v>48</v>
      </c>
      <c r="D298" t="s">
        <v>40</v>
      </c>
      <c r="E298">
        <f t="shared" si="12"/>
        <v>3.5714285714285712E-2</v>
      </c>
      <c r="F298">
        <v>159</v>
      </c>
      <c r="G298">
        <f>LOG(382/(159+1))</f>
        <v>0.377943380255784</v>
      </c>
      <c r="H298">
        <f>0.0357142857142857*0.870246793372748</f>
        <v>3.1080242620455271E-2</v>
      </c>
      <c r="I298">
        <v>3.1080242620455299E-2</v>
      </c>
    </row>
    <row r="299" spans="1:9" x14ac:dyDescent="0.25">
      <c r="A299">
        <v>213</v>
      </c>
      <c r="B299" t="s">
        <v>242</v>
      </c>
      <c r="C299" t="s">
        <v>48</v>
      </c>
      <c r="D299" t="s">
        <v>236</v>
      </c>
      <c r="E299">
        <f t="shared" si="12"/>
        <v>3.5714285714285712E-2</v>
      </c>
      <c r="F299">
        <v>87</v>
      </c>
      <c r="G299">
        <f>LOG(382/(87+1))</f>
        <v>0.63758069076154011</v>
      </c>
      <c r="H299">
        <f>0.0357142857142857*1.46808379412836</f>
        <v>5.2431564076012835E-2</v>
      </c>
      <c r="I299">
        <v>5.2431564076013161E-2</v>
      </c>
    </row>
    <row r="300" spans="1:9" x14ac:dyDescent="0.25">
      <c r="A300">
        <v>213</v>
      </c>
      <c r="B300" t="s">
        <v>242</v>
      </c>
      <c r="C300" t="s">
        <v>48</v>
      </c>
      <c r="D300" t="s">
        <v>254</v>
      </c>
      <c r="E300">
        <f t="shared" si="12"/>
        <v>3.5714285714285712E-2</v>
      </c>
      <c r="F300">
        <v>3</v>
      </c>
      <c r="G300">
        <f>LOG(382/(3+1))</f>
        <v>1.9800033715837464</v>
      </c>
      <c r="H300">
        <f>0.0357142857142857*4.55912624748668</f>
        <v>0.16282593741023851</v>
      </c>
      <c r="I300">
        <v>0.16282593741023871</v>
      </c>
    </row>
    <row r="301" spans="1:9" x14ac:dyDescent="0.25">
      <c r="A301">
        <v>213</v>
      </c>
      <c r="B301" t="s">
        <v>242</v>
      </c>
      <c r="C301" t="s">
        <v>48</v>
      </c>
      <c r="D301" t="s">
        <v>255</v>
      </c>
      <c r="E301">
        <f t="shared" si="12"/>
        <v>3.5714285714285712E-2</v>
      </c>
      <c r="F301">
        <v>1</v>
      </c>
      <c r="G301">
        <f>LOG(382/(1+1))</f>
        <v>2.2810333672477277</v>
      </c>
      <c r="H301">
        <f>0.0357142857142857*5.25227342804663</f>
        <v>0.18758119385880812</v>
      </c>
      <c r="I301">
        <v>0.1875811938588082</v>
      </c>
    </row>
    <row r="302" spans="1:9" x14ac:dyDescent="0.25">
      <c r="A302">
        <v>213</v>
      </c>
      <c r="B302" t="s">
        <v>242</v>
      </c>
      <c r="C302" t="s">
        <v>48</v>
      </c>
      <c r="D302" t="s">
        <v>256</v>
      </c>
      <c r="E302">
        <f t="shared" si="12"/>
        <v>3.5714285714285712E-2</v>
      </c>
      <c r="F302">
        <v>28</v>
      </c>
      <c r="G302">
        <f>LOG(382/(28+1))</f>
        <v>1.1196653650127526</v>
      </c>
      <c r="H302">
        <f>0.0357142857142857*2.5781247786201</f>
        <v>9.2075884950717807E-2</v>
      </c>
      <c r="I302">
        <v>9.207588495071789E-2</v>
      </c>
    </row>
    <row r="303" spans="1:9" x14ac:dyDescent="0.25">
      <c r="A303">
        <v>215</v>
      </c>
      <c r="B303" t="s">
        <v>257</v>
      </c>
      <c r="C303" t="s">
        <v>48</v>
      </c>
      <c r="D303" t="s">
        <v>258</v>
      </c>
      <c r="E303">
        <f>6/105</f>
        <v>5.7142857142857141E-2</v>
      </c>
      <c r="F303">
        <v>2</v>
      </c>
      <c r="G303">
        <f>LOG(382/(2+1))</f>
        <v>2.1049421081920463</v>
      </c>
      <c r="H303">
        <f>0.0571428571428571*4.84680831993846</f>
        <v>0.27696047542505464</v>
      </c>
      <c r="I303">
        <v>0.27696047542505509</v>
      </c>
    </row>
    <row r="304" spans="1:9" x14ac:dyDescent="0.25">
      <c r="A304">
        <v>215</v>
      </c>
      <c r="B304" t="s">
        <v>257</v>
      </c>
      <c r="C304" t="s">
        <v>48</v>
      </c>
      <c r="D304" t="s">
        <v>259</v>
      </c>
      <c r="E304">
        <f>1/105</f>
        <v>9.5238095238095247E-3</v>
      </c>
      <c r="F304">
        <v>11</v>
      </c>
      <c r="G304">
        <f>LOG(382/(11+1))</f>
        <v>1.5028821168640838</v>
      </c>
      <c r="H304">
        <f>0.00952380952380952*3.46051395881857</f>
        <v>3.2957275798272082E-2</v>
      </c>
      <c r="I304">
        <v>3.2957275798272137E-2</v>
      </c>
    </row>
    <row r="305" spans="1:9" x14ac:dyDescent="0.25">
      <c r="A305">
        <v>215</v>
      </c>
      <c r="B305" t="s">
        <v>257</v>
      </c>
      <c r="C305" t="s">
        <v>48</v>
      </c>
      <c r="D305" t="s">
        <v>50</v>
      </c>
      <c r="E305">
        <f>5/105</f>
        <v>4.7619047619047616E-2</v>
      </c>
      <c r="F305">
        <v>109</v>
      </c>
      <c r="G305">
        <f>LOG(382/(109+1))</f>
        <v>0.54067067775348365</v>
      </c>
      <c r="H305">
        <f>0.0476190476190476*1.24494024281415</f>
        <v>5.9282868705435698E-2</v>
      </c>
      <c r="I305">
        <v>5.9282868705436143E-2</v>
      </c>
    </row>
    <row r="306" spans="1:9" x14ac:dyDescent="0.25">
      <c r="A306">
        <v>215</v>
      </c>
      <c r="B306" t="s">
        <v>257</v>
      </c>
      <c r="C306" t="s">
        <v>48</v>
      </c>
      <c r="E306">
        <f>1/105</f>
        <v>9.5238095238095247E-3</v>
      </c>
      <c r="F306">
        <v>20</v>
      </c>
      <c r="G306">
        <f>LOG(382/(20+1))</f>
        <v>1.2598440681777894</v>
      </c>
      <c r="H306">
        <f>0.00952380952380952*2.90089817088315</f>
        <v>2.7627601627458559E-2</v>
      </c>
      <c r="I306">
        <v>2.7627601627458601E-2</v>
      </c>
    </row>
    <row r="307" spans="1:9" x14ac:dyDescent="0.25">
      <c r="A307">
        <v>215</v>
      </c>
      <c r="B307" t="s">
        <v>257</v>
      </c>
      <c r="C307" t="s">
        <v>48</v>
      </c>
      <c r="D307" t="s">
        <v>38</v>
      </c>
      <c r="E307">
        <f>1/105</f>
        <v>9.5238095238095247E-3</v>
      </c>
      <c r="F307">
        <v>86</v>
      </c>
      <c r="G307">
        <f>LOG(382/(86+1))</f>
        <v>0.64254411029309022</v>
      </c>
      <c r="H307">
        <f>0.00952380952380952*1.47951248995199</f>
        <v>1.4090595142399898E-2</v>
      </c>
      <c r="I307">
        <v>1.4090595142399919E-2</v>
      </c>
    </row>
    <row r="308" spans="1:9" x14ac:dyDescent="0.25">
      <c r="A308">
        <v>215</v>
      </c>
      <c r="B308" t="s">
        <v>257</v>
      </c>
      <c r="C308" t="s">
        <v>48</v>
      </c>
      <c r="D308" t="s">
        <v>189</v>
      </c>
      <c r="E308">
        <f>2/105</f>
        <v>1.9047619047619049E-2</v>
      </c>
      <c r="F308">
        <v>27</v>
      </c>
      <c r="G308">
        <f>LOG(382/(27+1))</f>
        <v>1.1349053315694895</v>
      </c>
      <c r="H308">
        <f>0.019047619047619*2.61321609843137</f>
        <v>4.9775544732025973E-2</v>
      </c>
      <c r="I308">
        <v>4.9775544732026118E-2</v>
      </c>
    </row>
    <row r="309" spans="1:9" x14ac:dyDescent="0.25">
      <c r="A309">
        <v>215</v>
      </c>
      <c r="B309" t="s">
        <v>257</v>
      </c>
      <c r="C309" t="s">
        <v>48</v>
      </c>
      <c r="D309" t="s">
        <v>41</v>
      </c>
      <c r="E309">
        <f>5/105</f>
        <v>4.7619047619047616E-2</v>
      </c>
      <c r="F309">
        <v>195</v>
      </c>
      <c r="G309">
        <f>LOG(382/(195+1))</f>
        <v>0.28980729155523272</v>
      </c>
      <c r="H309">
        <f>0.0476190476190476*0.667305949376058</f>
        <v>3.1776473779812277E-2</v>
      </c>
      <c r="I309">
        <v>3.1776473779812277E-2</v>
      </c>
    </row>
    <row r="310" spans="1:9" x14ac:dyDescent="0.25">
      <c r="A310">
        <v>215</v>
      </c>
      <c r="B310" t="s">
        <v>257</v>
      </c>
      <c r="C310" t="s">
        <v>48</v>
      </c>
      <c r="D310" t="s">
        <v>190</v>
      </c>
      <c r="E310">
        <f>1/105</f>
        <v>9.5238095238095247E-3</v>
      </c>
      <c r="F310">
        <v>23</v>
      </c>
      <c r="G310">
        <f>LOG(382/(23+1))</f>
        <v>1.2018521212001028</v>
      </c>
      <c r="H310">
        <f>0.00952380952380952*2.76736677825862</f>
        <v>2.6355874078653512E-2</v>
      </c>
      <c r="I310">
        <v>2.635587407865362E-2</v>
      </c>
    </row>
    <row r="311" spans="1:9" x14ac:dyDescent="0.25">
      <c r="A311">
        <v>215</v>
      </c>
      <c r="B311" t="s">
        <v>257</v>
      </c>
      <c r="C311" t="s">
        <v>48</v>
      </c>
      <c r="D311" t="s">
        <v>260</v>
      </c>
      <c r="E311">
        <f>1/105</f>
        <v>9.5238095238095247E-3</v>
      </c>
      <c r="F311">
        <v>31</v>
      </c>
      <c r="G311">
        <f>LOG(382/(31+1))</f>
        <v>1.0769133845918029</v>
      </c>
      <c r="H311">
        <f>0.00952380952380952*2.47968470580684</f>
        <v>2.3616044817207988E-2</v>
      </c>
      <c r="I311">
        <v>2.3616044817208089E-2</v>
      </c>
    </row>
    <row r="312" spans="1:9" x14ac:dyDescent="0.25">
      <c r="A312">
        <v>215</v>
      </c>
      <c r="B312" t="s">
        <v>257</v>
      </c>
      <c r="C312" t="s">
        <v>48</v>
      </c>
      <c r="D312" t="s">
        <v>168</v>
      </c>
      <c r="E312">
        <f>2/105</f>
        <v>1.9047619047619049E-2</v>
      </c>
      <c r="F312">
        <v>34</v>
      </c>
      <c r="G312">
        <f>LOG(382/(34+1))</f>
        <v>1.037995318561433</v>
      </c>
      <c r="H312">
        <f>0.019047619047619*2.39007254711716</f>
        <v>4.5525191373660082E-2</v>
      </c>
      <c r="I312">
        <v>4.552519137366022E-2</v>
      </c>
    </row>
    <row r="313" spans="1:9" x14ac:dyDescent="0.25">
      <c r="A313">
        <v>215</v>
      </c>
      <c r="B313" t="s">
        <v>257</v>
      </c>
      <c r="C313" t="s">
        <v>48</v>
      </c>
      <c r="D313" t="s">
        <v>261</v>
      </c>
      <c r="E313">
        <f t="shared" ref="E313:E328" si="13">1/105</f>
        <v>9.5238095238095247E-3</v>
      </c>
      <c r="F313">
        <v>3</v>
      </c>
      <c r="G313">
        <f>LOG(382/(3+1))</f>
        <v>1.9800033715837464</v>
      </c>
      <c r="H313">
        <f>0.00952380952380952*4.55912624748668</f>
        <v>4.3420249976063599E-2</v>
      </c>
      <c r="I313">
        <v>4.3420249976063668E-2</v>
      </c>
    </row>
    <row r="314" spans="1:9" x14ac:dyDescent="0.25">
      <c r="A314">
        <v>215</v>
      </c>
      <c r="B314" t="s">
        <v>257</v>
      </c>
      <c r="C314" t="s">
        <v>48</v>
      </c>
      <c r="D314" t="s">
        <v>179</v>
      </c>
      <c r="E314">
        <f t="shared" si="13"/>
        <v>9.5238095238095247E-3</v>
      </c>
      <c r="F314">
        <v>15</v>
      </c>
      <c r="G314">
        <f>LOG(382/(15+1))</f>
        <v>1.3779433802557839</v>
      </c>
      <c r="H314">
        <f>0.00952380952380952*3.17283188636679</f>
        <v>3.0217446536826557E-2</v>
      </c>
      <c r="I314">
        <v>3.0217446536826609E-2</v>
      </c>
    </row>
    <row r="315" spans="1:9" x14ac:dyDescent="0.25">
      <c r="A315">
        <v>215</v>
      </c>
      <c r="B315" t="s">
        <v>257</v>
      </c>
      <c r="C315" t="s">
        <v>48</v>
      </c>
      <c r="D315" t="s">
        <v>262</v>
      </c>
      <c r="E315">
        <f t="shared" si="13"/>
        <v>9.5238095238095247E-3</v>
      </c>
      <c r="F315">
        <v>13</v>
      </c>
      <c r="G315">
        <f>LOG(382/(13+1))</f>
        <v>1.4359353272334707</v>
      </c>
      <c r="H315">
        <f>0.00952380952380952*3.30636327899131</f>
        <v>3.1489174085631511E-2</v>
      </c>
      <c r="I315">
        <v>3.1489174085631587E-2</v>
      </c>
    </row>
    <row r="316" spans="1:9" x14ac:dyDescent="0.25">
      <c r="A316">
        <v>215</v>
      </c>
      <c r="B316" t="s">
        <v>257</v>
      </c>
      <c r="C316" t="s">
        <v>48</v>
      </c>
      <c r="D316" t="s">
        <v>263</v>
      </c>
      <c r="E316">
        <f t="shared" si="13"/>
        <v>9.5238095238095247E-3</v>
      </c>
      <c r="F316">
        <v>41</v>
      </c>
      <c r="G316">
        <f>LOG(382/(41+1))</f>
        <v>0.95881407251380824</v>
      </c>
      <c r="H316">
        <f>0.00952380952380952*2.2077509903232</f>
        <v>2.1026199907839993E-2</v>
      </c>
      <c r="I316">
        <v>2.1026199907840069E-2</v>
      </c>
    </row>
    <row r="317" spans="1:9" x14ac:dyDescent="0.25">
      <c r="A317">
        <v>215</v>
      </c>
      <c r="B317" t="s">
        <v>257</v>
      </c>
      <c r="C317" t="s">
        <v>48</v>
      </c>
      <c r="D317" t="s">
        <v>264</v>
      </c>
      <c r="E317">
        <f t="shared" si="13"/>
        <v>9.5238095238095247E-3</v>
      </c>
      <c r="F317">
        <v>1</v>
      </c>
      <c r="G317">
        <f>LOG(382/(1+1))</f>
        <v>2.2810333672477277</v>
      </c>
      <c r="H317">
        <f>0.00952380952380952*5.25227342804663</f>
        <v>5.0021651695682165E-2</v>
      </c>
      <c r="I317">
        <v>5.0021651695682193E-2</v>
      </c>
    </row>
    <row r="318" spans="1:9" x14ac:dyDescent="0.25">
      <c r="A318">
        <v>215</v>
      </c>
      <c r="B318" t="s">
        <v>257</v>
      </c>
      <c r="C318" t="s">
        <v>48</v>
      </c>
      <c r="D318" t="s">
        <v>22</v>
      </c>
      <c r="E318">
        <f t="shared" si="13"/>
        <v>9.5238095238095247E-3</v>
      </c>
      <c r="F318">
        <v>259</v>
      </c>
      <c r="G318">
        <f>LOG(382/(259+1))</f>
        <v>0.16709001494089079</v>
      </c>
      <c r="H318">
        <f>0.00952380952380952*0.384738977591047</f>
        <v>3.6641807389623509E-3</v>
      </c>
      <c r="I318">
        <v>3.6641807389623578E-3</v>
      </c>
    </row>
    <row r="319" spans="1:9" x14ac:dyDescent="0.25">
      <c r="A319">
        <v>215</v>
      </c>
      <c r="B319" t="s">
        <v>257</v>
      </c>
      <c r="C319" t="s">
        <v>48</v>
      </c>
      <c r="D319" t="s">
        <v>23</v>
      </c>
      <c r="E319">
        <f t="shared" si="13"/>
        <v>9.5238095238095247E-3</v>
      </c>
      <c r="F319">
        <v>275</v>
      </c>
      <c r="G319">
        <f>LOG(382/(275+1))</f>
        <v>0.14115428084649101</v>
      </c>
      <c r="H319">
        <f>0.00952380952380952*0.325019742889425</f>
        <v>3.0954261227564271E-3</v>
      </c>
      <c r="I319">
        <v>3.0954261227564301E-3</v>
      </c>
    </row>
    <row r="320" spans="1:9" x14ac:dyDescent="0.25">
      <c r="A320">
        <v>215</v>
      </c>
      <c r="B320" t="s">
        <v>257</v>
      </c>
      <c r="C320" t="s">
        <v>48</v>
      </c>
      <c r="D320" t="s">
        <v>265</v>
      </c>
      <c r="E320">
        <f t="shared" si="13"/>
        <v>9.5238095238095247E-3</v>
      </c>
      <c r="F320">
        <v>1</v>
      </c>
      <c r="G320">
        <f>LOG(382/(1+1))</f>
        <v>2.2810333672477277</v>
      </c>
      <c r="H320">
        <f>0.00952380952380952*5.25227342804663</f>
        <v>5.0021651695682165E-2</v>
      </c>
      <c r="I320">
        <v>5.0021651695682193E-2</v>
      </c>
    </row>
    <row r="321" spans="1:9" x14ac:dyDescent="0.25">
      <c r="A321">
        <v>215</v>
      </c>
      <c r="B321" t="s">
        <v>257</v>
      </c>
      <c r="C321" t="s">
        <v>48</v>
      </c>
      <c r="D321" t="s">
        <v>266</v>
      </c>
      <c r="E321">
        <f t="shared" si="13"/>
        <v>9.5238095238095247E-3</v>
      </c>
      <c r="F321">
        <v>1</v>
      </c>
      <c r="G321">
        <f>LOG(382/(1+1))</f>
        <v>2.2810333672477277</v>
      </c>
      <c r="H321">
        <f>0.00952380952380952*5.25227342804663</f>
        <v>5.0021651695682165E-2</v>
      </c>
      <c r="I321">
        <v>5.0021651695682193E-2</v>
      </c>
    </row>
    <row r="322" spans="1:9" x14ac:dyDescent="0.25">
      <c r="A322">
        <v>215</v>
      </c>
      <c r="B322" t="s">
        <v>257</v>
      </c>
      <c r="C322" t="s">
        <v>48</v>
      </c>
      <c r="D322" t="s">
        <v>267</v>
      </c>
      <c r="E322">
        <f t="shared" si="13"/>
        <v>9.5238095238095247E-3</v>
      </c>
      <c r="F322">
        <v>1</v>
      </c>
      <c r="G322">
        <f>LOG(382/(1+1))</f>
        <v>2.2810333672477277</v>
      </c>
      <c r="H322">
        <f>0.00952380952380952*5.25227342804663</f>
        <v>5.0021651695682165E-2</v>
      </c>
      <c r="I322">
        <v>5.0021651695682193E-2</v>
      </c>
    </row>
    <row r="323" spans="1:9" x14ac:dyDescent="0.25">
      <c r="A323">
        <v>215</v>
      </c>
      <c r="B323" t="s">
        <v>257</v>
      </c>
      <c r="C323" t="s">
        <v>48</v>
      </c>
      <c r="D323" t="s">
        <v>15</v>
      </c>
      <c r="E323">
        <f t="shared" si="13"/>
        <v>9.5238095238095247E-3</v>
      </c>
      <c r="F323">
        <v>112</v>
      </c>
      <c r="G323">
        <f>LOG(382/(112+1))</f>
        <v>0.52898491942828896</v>
      </c>
      <c r="H323">
        <f>0.00952380952380952*1.21803278989423</f>
        <v>1.1600312284706947E-2</v>
      </c>
      <c r="I323">
        <v>1.1600312284707001E-2</v>
      </c>
    </row>
    <row r="324" spans="1:9" x14ac:dyDescent="0.25">
      <c r="A324">
        <v>215</v>
      </c>
      <c r="B324" t="s">
        <v>257</v>
      </c>
      <c r="C324" t="s">
        <v>48</v>
      </c>
      <c r="D324" t="s">
        <v>268</v>
      </c>
      <c r="E324">
        <f t="shared" si="13"/>
        <v>9.5238095238095247E-3</v>
      </c>
      <c r="F324">
        <v>1</v>
      </c>
      <c r="G324">
        <f>LOG(382/(1+1))</f>
        <v>2.2810333672477277</v>
      </c>
      <c r="H324">
        <f>0.00952380952380952*5.25227342804663</f>
        <v>5.0021651695682165E-2</v>
      </c>
      <c r="I324">
        <v>5.0021651695682193E-2</v>
      </c>
    </row>
    <row r="325" spans="1:9" x14ac:dyDescent="0.25">
      <c r="A325">
        <v>215</v>
      </c>
      <c r="B325" t="s">
        <v>257</v>
      </c>
      <c r="C325" t="s">
        <v>48</v>
      </c>
      <c r="D325" t="s">
        <v>269</v>
      </c>
      <c r="E325">
        <f t="shared" si="13"/>
        <v>9.5238095238095247E-3</v>
      </c>
      <c r="F325">
        <v>4</v>
      </c>
      <c r="G325">
        <f>LOG(382/(4+1))</f>
        <v>1.8830933585756899</v>
      </c>
      <c r="H325">
        <f>0.00952380952380952*4.33598269617247</f>
        <v>4.1295073296880654E-2</v>
      </c>
      <c r="I325">
        <v>4.1295073296880723E-2</v>
      </c>
    </row>
    <row r="326" spans="1:9" x14ac:dyDescent="0.25">
      <c r="A326">
        <v>215</v>
      </c>
      <c r="B326" t="s">
        <v>257</v>
      </c>
      <c r="C326" t="s">
        <v>48</v>
      </c>
      <c r="D326" t="s">
        <v>111</v>
      </c>
      <c r="E326">
        <f t="shared" si="13"/>
        <v>9.5238095238095247E-3</v>
      </c>
      <c r="F326">
        <v>33</v>
      </c>
      <c r="G326">
        <f>LOG(382/(33+1))</f>
        <v>1.0505844458694535</v>
      </c>
      <c r="H326">
        <f>0.00952380952380952*2.41906008399041</f>
        <v>2.3038667466575326E-2</v>
      </c>
      <c r="I326">
        <v>2.3038667466575371E-2</v>
      </c>
    </row>
    <row r="327" spans="1:9" x14ac:dyDescent="0.25">
      <c r="A327">
        <v>215</v>
      </c>
      <c r="B327" t="s">
        <v>257</v>
      </c>
      <c r="C327" t="s">
        <v>48</v>
      </c>
      <c r="D327" t="s">
        <v>270</v>
      </c>
      <c r="E327">
        <f t="shared" si="13"/>
        <v>9.5238095238095247E-3</v>
      </c>
      <c r="F327">
        <v>6</v>
      </c>
      <c r="G327">
        <f>LOG(382/(6+1))</f>
        <v>1.736965322897452</v>
      </c>
      <c r="H327">
        <f>0.00952380952380952*3.99951045955126</f>
        <v>3.8090575805250076E-2</v>
      </c>
      <c r="I327">
        <v>3.8090575805250118E-2</v>
      </c>
    </row>
    <row r="328" spans="1:9" x14ac:dyDescent="0.25">
      <c r="A328">
        <v>215</v>
      </c>
      <c r="B328" t="s">
        <v>257</v>
      </c>
      <c r="C328" t="s">
        <v>48</v>
      </c>
      <c r="D328" t="s">
        <v>271</v>
      </c>
      <c r="E328">
        <f t="shared" si="13"/>
        <v>9.5238095238095247E-3</v>
      </c>
      <c r="F328">
        <v>2</v>
      </c>
      <c r="G328">
        <f>LOG(382/(2+1))</f>
        <v>2.1049421081920463</v>
      </c>
      <c r="H328">
        <f>0.00952380952380952*4.84680831993846</f>
        <v>4.6160079237509123E-2</v>
      </c>
      <c r="I328">
        <v>4.61600792375092E-2</v>
      </c>
    </row>
    <row r="329" spans="1:9" x14ac:dyDescent="0.25">
      <c r="A329">
        <v>215</v>
      </c>
      <c r="B329" t="s">
        <v>257</v>
      </c>
      <c r="C329" t="s">
        <v>48</v>
      </c>
      <c r="D329" t="s">
        <v>272</v>
      </c>
      <c r="E329">
        <f>3/105</f>
        <v>2.8571428571428571E-2</v>
      </c>
      <c r="F329">
        <v>17</v>
      </c>
      <c r="G329">
        <f>LOG(382/(17+1))</f>
        <v>1.3267908578084027</v>
      </c>
      <c r="H329">
        <f>0.0285714285714285*3.05504885071041</f>
        <v>8.7287110020297209E-2</v>
      </c>
      <c r="I329">
        <v>8.7287110020297431E-2</v>
      </c>
    </row>
    <row r="330" spans="1:9" x14ac:dyDescent="0.25">
      <c r="A330">
        <v>215</v>
      </c>
      <c r="B330" t="s">
        <v>257</v>
      </c>
      <c r="C330" t="s">
        <v>48</v>
      </c>
      <c r="D330" t="s">
        <v>273</v>
      </c>
      <c r="E330">
        <f>3/105</f>
        <v>2.8571428571428571E-2</v>
      </c>
      <c r="F330">
        <v>6</v>
      </c>
      <c r="G330">
        <f>LOG(382/(6+1))</f>
        <v>1.736965322897452</v>
      </c>
      <c r="H330">
        <f>0.0285714285714285*3.99951045955126</f>
        <v>0.11427172741575001</v>
      </c>
      <c r="I330">
        <v>0.1142717274157503</v>
      </c>
    </row>
    <row r="331" spans="1:9" x14ac:dyDescent="0.25">
      <c r="A331">
        <v>215</v>
      </c>
      <c r="B331" t="s">
        <v>257</v>
      </c>
      <c r="C331" t="s">
        <v>48</v>
      </c>
      <c r="D331" t="s">
        <v>274</v>
      </c>
      <c r="E331">
        <f>1/105</f>
        <v>9.5238095238095247E-3</v>
      </c>
      <c r="F331">
        <v>3</v>
      </c>
      <c r="G331">
        <f>LOG(382/(3+1))</f>
        <v>1.9800033715837464</v>
      </c>
      <c r="H331">
        <f>0.00952380952380952*4.55912624748668</f>
        <v>4.3420249976063599E-2</v>
      </c>
      <c r="I331">
        <v>4.3420249976063668E-2</v>
      </c>
    </row>
    <row r="332" spans="1:9" x14ac:dyDescent="0.25">
      <c r="A332">
        <v>215</v>
      </c>
      <c r="B332" t="s">
        <v>257</v>
      </c>
      <c r="C332" t="s">
        <v>48</v>
      </c>
      <c r="D332" t="s">
        <v>275</v>
      </c>
      <c r="E332">
        <f>1/105</f>
        <v>9.5238095238095247E-3</v>
      </c>
      <c r="F332">
        <v>6</v>
      </c>
      <c r="G332">
        <f>LOG(382/(6+1))</f>
        <v>1.736965322897452</v>
      </c>
      <c r="H332">
        <f>0.00952380952380952*3.99951045955126</f>
        <v>3.8090575805250076E-2</v>
      </c>
      <c r="I332">
        <v>3.8090575805250118E-2</v>
      </c>
    </row>
    <row r="333" spans="1:9" x14ac:dyDescent="0.25">
      <c r="A333">
        <v>215</v>
      </c>
      <c r="B333" t="s">
        <v>257</v>
      </c>
      <c r="C333" t="s">
        <v>48</v>
      </c>
      <c r="D333" t="s">
        <v>276</v>
      </c>
      <c r="E333">
        <f>2/105</f>
        <v>1.9047619047619049E-2</v>
      </c>
      <c r="F333">
        <v>10</v>
      </c>
      <c r="G333">
        <f>LOG(382/(10+1))</f>
        <v>1.5406706777534838</v>
      </c>
      <c r="H333">
        <f>0.019047619047619*3.5475253358082</f>
        <v>6.7571911158251272E-2</v>
      </c>
      <c r="I333">
        <v>6.7571911158251521E-2</v>
      </c>
    </row>
    <row r="334" spans="1:9" x14ac:dyDescent="0.25">
      <c r="A334">
        <v>215</v>
      </c>
      <c r="B334" t="s">
        <v>257</v>
      </c>
      <c r="C334" t="s">
        <v>48</v>
      </c>
      <c r="D334" t="s">
        <v>277</v>
      </c>
      <c r="E334">
        <f>2/105</f>
        <v>1.9047619047619049E-2</v>
      </c>
      <c r="F334">
        <v>1</v>
      </c>
      <c r="G334">
        <f>LOG(382/(1+1))</f>
        <v>2.2810333672477277</v>
      </c>
      <c r="H334">
        <f>0.019047619047619*5.25227342804663</f>
        <v>0.10004330339136414</v>
      </c>
      <c r="I334">
        <v>0.1000433033913644</v>
      </c>
    </row>
    <row r="335" spans="1:9" x14ac:dyDescent="0.25">
      <c r="A335">
        <v>215</v>
      </c>
      <c r="B335" t="s">
        <v>257</v>
      </c>
      <c r="C335" t="s">
        <v>48</v>
      </c>
      <c r="D335" t="s">
        <v>25</v>
      </c>
      <c r="E335">
        <f>2/105</f>
        <v>1.9047619047619049E-2</v>
      </c>
      <c r="F335">
        <v>106</v>
      </c>
      <c r="G335">
        <f>LOG(382/(106+1))</f>
        <v>0.55267958522649907</v>
      </c>
      <c r="H335">
        <f>0.019047619047619*1.27259177414466</f>
        <v>2.4239843317041081E-2</v>
      </c>
      <c r="I335">
        <v>2.4239843317041321E-2</v>
      </c>
    </row>
    <row r="336" spans="1:9" x14ac:dyDescent="0.25">
      <c r="A336">
        <v>215</v>
      </c>
      <c r="B336" t="s">
        <v>257</v>
      </c>
      <c r="C336" t="s">
        <v>48</v>
      </c>
      <c r="D336" t="s">
        <v>278</v>
      </c>
      <c r="E336">
        <f>2/105</f>
        <v>1.9047619047619049E-2</v>
      </c>
      <c r="F336">
        <v>3</v>
      </c>
      <c r="G336">
        <f>LOG(382/(3+1))</f>
        <v>1.9800033715837464</v>
      </c>
      <c r="H336">
        <f>0.019047619047619*4.55912624748668</f>
        <v>8.6840499952127032E-2</v>
      </c>
      <c r="I336">
        <v>8.6840499952127337E-2</v>
      </c>
    </row>
    <row r="337" spans="1:9" x14ac:dyDescent="0.25">
      <c r="A337">
        <v>215</v>
      </c>
      <c r="B337" t="s">
        <v>257</v>
      </c>
      <c r="C337" t="s">
        <v>48</v>
      </c>
      <c r="D337" t="s">
        <v>279</v>
      </c>
      <c r="E337">
        <f>5/105</f>
        <v>4.7619047619047616E-2</v>
      </c>
      <c r="F337">
        <v>22</v>
      </c>
      <c r="G337">
        <f>LOG(382/(22+1))</f>
        <v>1.2203355268941158</v>
      </c>
      <c r="H337">
        <f>0.0476190476190476*2.80992639267742</f>
        <v>0.13380601869892469</v>
      </c>
      <c r="I337">
        <v>0.133806018698925</v>
      </c>
    </row>
    <row r="338" spans="1:9" x14ac:dyDescent="0.25">
      <c r="A338">
        <v>215</v>
      </c>
      <c r="B338" t="s">
        <v>257</v>
      </c>
      <c r="C338" t="s">
        <v>48</v>
      </c>
      <c r="D338" t="s">
        <v>280</v>
      </c>
      <c r="E338">
        <f>4/105</f>
        <v>3.8095238095238099E-2</v>
      </c>
      <c r="F338">
        <v>2</v>
      </c>
      <c r="G338">
        <f>LOG(382/(2+1))</f>
        <v>2.1049421081920463</v>
      </c>
      <c r="H338">
        <f>0.0380952380952381*4.84680831993846</f>
        <v>0.18464031695003658</v>
      </c>
      <c r="I338">
        <v>0.1846403169500368</v>
      </c>
    </row>
    <row r="339" spans="1:9" x14ac:dyDescent="0.25">
      <c r="A339">
        <v>215</v>
      </c>
      <c r="B339" t="s">
        <v>257</v>
      </c>
      <c r="C339" t="s">
        <v>48</v>
      </c>
      <c r="D339" t="s">
        <v>281</v>
      </c>
      <c r="E339">
        <f t="shared" ref="E339:E345" si="14">1/105</f>
        <v>9.5238095238095247E-3</v>
      </c>
      <c r="F339">
        <v>2</v>
      </c>
      <c r="G339">
        <f>LOG(382/(2+1))</f>
        <v>2.1049421081920463</v>
      </c>
      <c r="H339">
        <f>0.00952380952380952*4.84680831993846</f>
        <v>4.6160079237509123E-2</v>
      </c>
      <c r="I339">
        <v>4.61600792375092E-2</v>
      </c>
    </row>
    <row r="340" spans="1:9" x14ac:dyDescent="0.25">
      <c r="A340">
        <v>215</v>
      </c>
      <c r="B340" t="s">
        <v>257</v>
      </c>
      <c r="C340" t="s">
        <v>48</v>
      </c>
      <c r="D340" t="s">
        <v>282</v>
      </c>
      <c r="E340">
        <f t="shared" si="14"/>
        <v>9.5238095238095247E-3</v>
      </c>
      <c r="F340">
        <v>1</v>
      </c>
      <c r="G340">
        <f>LOG(382/(1+1))</f>
        <v>2.2810333672477277</v>
      </c>
      <c r="H340">
        <f>0.00952380952380952*5.25227342804663</f>
        <v>5.0021651695682165E-2</v>
      </c>
      <c r="I340">
        <v>5.0021651695682193E-2</v>
      </c>
    </row>
    <row r="341" spans="1:9" x14ac:dyDescent="0.25">
      <c r="A341">
        <v>215</v>
      </c>
      <c r="B341" t="s">
        <v>257</v>
      </c>
      <c r="C341" t="s">
        <v>48</v>
      </c>
      <c r="D341" t="s">
        <v>283</v>
      </c>
      <c r="E341">
        <f t="shared" si="14"/>
        <v>9.5238095238095247E-3</v>
      </c>
      <c r="F341">
        <v>16</v>
      </c>
      <c r="G341">
        <f>LOG(382/(16+1))</f>
        <v>1.3516144415334348</v>
      </c>
      <c r="H341">
        <f>0.00952380952380952*3.11220726455035</f>
        <v>2.9640069186193795E-2</v>
      </c>
      <c r="I341">
        <v>2.9640069186193899E-2</v>
      </c>
    </row>
    <row r="342" spans="1:9" x14ac:dyDescent="0.25">
      <c r="A342">
        <v>215</v>
      </c>
      <c r="B342" t="s">
        <v>257</v>
      </c>
      <c r="C342" t="s">
        <v>48</v>
      </c>
      <c r="D342" t="s">
        <v>121</v>
      </c>
      <c r="E342">
        <f t="shared" si="14"/>
        <v>9.5238095238095247E-3</v>
      </c>
      <c r="F342">
        <v>22</v>
      </c>
      <c r="G342">
        <f>LOG(382/(22+1))</f>
        <v>1.2203355268941158</v>
      </c>
      <c r="H342">
        <f>0.00952380952380952*2.80992639267742</f>
        <v>2.6761203739784939E-2</v>
      </c>
      <c r="I342">
        <v>2.6761203739785008E-2</v>
      </c>
    </row>
    <row r="343" spans="1:9" x14ac:dyDescent="0.25">
      <c r="A343">
        <v>215</v>
      </c>
      <c r="B343" t="s">
        <v>257</v>
      </c>
      <c r="C343" t="s">
        <v>48</v>
      </c>
      <c r="D343" t="s">
        <v>62</v>
      </c>
      <c r="E343">
        <f t="shared" si="14"/>
        <v>9.5238095238095247E-3</v>
      </c>
      <c r="F343">
        <v>6</v>
      </c>
      <c r="G343">
        <f>LOG(382/(6+1))</f>
        <v>1.736965322897452</v>
      </c>
      <c r="H343">
        <f>0.00952380952380952*3.99951045955126</f>
        <v>3.8090575805250076E-2</v>
      </c>
      <c r="I343">
        <v>3.8090575805250118E-2</v>
      </c>
    </row>
    <row r="344" spans="1:9" x14ac:dyDescent="0.25">
      <c r="A344">
        <v>215</v>
      </c>
      <c r="B344" t="s">
        <v>257</v>
      </c>
      <c r="C344" t="s">
        <v>48</v>
      </c>
      <c r="D344" t="s">
        <v>284</v>
      </c>
      <c r="E344">
        <f t="shared" si="14"/>
        <v>9.5238095238095247E-3</v>
      </c>
      <c r="F344">
        <v>3</v>
      </c>
      <c r="G344">
        <f>LOG(382/(3+1))</f>
        <v>1.9800033715837464</v>
      </c>
      <c r="H344">
        <f>0.00952380952380952*4.55912624748668</f>
        <v>4.3420249976063599E-2</v>
      </c>
      <c r="I344">
        <v>4.3420249976063668E-2</v>
      </c>
    </row>
    <row r="345" spans="1:9" x14ac:dyDescent="0.25">
      <c r="A345">
        <v>215</v>
      </c>
      <c r="B345" t="s">
        <v>257</v>
      </c>
      <c r="C345" t="s">
        <v>48</v>
      </c>
      <c r="D345" t="s">
        <v>285</v>
      </c>
      <c r="E345">
        <f t="shared" si="14"/>
        <v>9.5238095238095247E-3</v>
      </c>
      <c r="F345">
        <v>1</v>
      </c>
      <c r="G345">
        <f>LOG(382/(1+1))</f>
        <v>2.2810333672477277</v>
      </c>
      <c r="H345">
        <f>0.00952380952380952*5.25227342804663</f>
        <v>5.0021651695682165E-2</v>
      </c>
      <c r="I345">
        <v>5.0021651695682193E-2</v>
      </c>
    </row>
    <row r="346" spans="1:9" x14ac:dyDescent="0.25">
      <c r="A346">
        <v>215</v>
      </c>
      <c r="B346" t="s">
        <v>257</v>
      </c>
      <c r="C346" t="s">
        <v>48</v>
      </c>
      <c r="D346" t="s">
        <v>104</v>
      </c>
      <c r="E346">
        <f>6/105</f>
        <v>5.7142857142857141E-2</v>
      </c>
      <c r="F346">
        <v>49</v>
      </c>
      <c r="G346">
        <f>LOG(382/(49+1))</f>
        <v>0.88309335857568994</v>
      </c>
      <c r="H346">
        <f>0.0571428571428571*2.03339760317842</f>
        <v>0.11619414875305248</v>
      </c>
      <c r="I346">
        <v>0.1161941487530531</v>
      </c>
    </row>
    <row r="347" spans="1:9" x14ac:dyDescent="0.25">
      <c r="A347">
        <v>215</v>
      </c>
      <c r="B347" t="s">
        <v>257</v>
      </c>
      <c r="C347" t="s">
        <v>48</v>
      </c>
      <c r="D347" t="s">
        <v>286</v>
      </c>
      <c r="E347">
        <f>4/105</f>
        <v>3.8095238095238099E-2</v>
      </c>
      <c r="F347">
        <v>3</v>
      </c>
      <c r="G347">
        <f>LOG(382/(3+1))</f>
        <v>1.9800033715837464</v>
      </c>
      <c r="H347">
        <f>0.0380952380952381*4.55912624748668</f>
        <v>0.17368099990425451</v>
      </c>
      <c r="I347">
        <v>0.1736809999042547</v>
      </c>
    </row>
    <row r="348" spans="1:9" x14ac:dyDescent="0.25">
      <c r="A348">
        <v>215</v>
      </c>
      <c r="B348" t="s">
        <v>257</v>
      </c>
      <c r="C348" t="s">
        <v>48</v>
      </c>
      <c r="D348" t="s">
        <v>287</v>
      </c>
      <c r="E348">
        <f>4/105</f>
        <v>3.8095238095238099E-2</v>
      </c>
      <c r="F348">
        <v>1</v>
      </c>
      <c r="G348">
        <f>LOG(382/(1+1))</f>
        <v>2.2810333672477277</v>
      </c>
      <c r="H348">
        <f>0.0380952380952381*5.25227342804663</f>
        <v>0.20008660678272877</v>
      </c>
      <c r="I348">
        <v>0.2000866067827288</v>
      </c>
    </row>
    <row r="349" spans="1:9" x14ac:dyDescent="0.25">
      <c r="A349">
        <v>215</v>
      </c>
      <c r="B349" t="s">
        <v>257</v>
      </c>
      <c r="C349" t="s">
        <v>48</v>
      </c>
      <c r="D349" t="s">
        <v>288</v>
      </c>
      <c r="E349">
        <f>1/105</f>
        <v>9.5238095238095247E-3</v>
      </c>
      <c r="F349">
        <v>2</v>
      </c>
      <c r="G349">
        <f>LOG(382/(2+1))</f>
        <v>2.1049421081920463</v>
      </c>
      <c r="H349">
        <f>0.00952380952380952*4.84680831993846</f>
        <v>4.6160079237509123E-2</v>
      </c>
      <c r="I349">
        <v>4.61600792375092E-2</v>
      </c>
    </row>
    <row r="350" spans="1:9" x14ac:dyDescent="0.25">
      <c r="A350">
        <v>215</v>
      </c>
      <c r="B350" t="s">
        <v>257</v>
      </c>
      <c r="C350" t="s">
        <v>48</v>
      </c>
      <c r="D350" t="s">
        <v>289</v>
      </c>
      <c r="E350">
        <f>1/105</f>
        <v>9.5238095238095247E-3</v>
      </c>
      <c r="F350">
        <v>8</v>
      </c>
      <c r="G350">
        <f>LOG(382/(8+1))</f>
        <v>1.6278208534723839</v>
      </c>
      <c r="H350">
        <f>0.00952380952380952*3.74819603127035</f>
        <v>3.5697105059717606E-2</v>
      </c>
      <c r="I350">
        <v>3.5697105059717682E-2</v>
      </c>
    </row>
    <row r="351" spans="1:9" x14ac:dyDescent="0.25">
      <c r="A351">
        <v>215</v>
      </c>
      <c r="B351" t="s">
        <v>257</v>
      </c>
      <c r="C351" t="s">
        <v>48</v>
      </c>
      <c r="D351" t="s">
        <v>187</v>
      </c>
      <c r="E351">
        <f>2/105</f>
        <v>1.9047619047619049E-2</v>
      </c>
      <c r="F351">
        <v>21</v>
      </c>
      <c r="G351">
        <f>LOG(382/(21+1))</f>
        <v>1.2396406820895025</v>
      </c>
      <c r="H351">
        <f>0.019047619047619*2.85437815524825</f>
        <v>5.4369107719014147E-2</v>
      </c>
      <c r="I351">
        <v>5.4369107719014473E-2</v>
      </c>
    </row>
    <row r="352" spans="1:9" x14ac:dyDescent="0.25">
      <c r="A352">
        <v>215</v>
      </c>
      <c r="B352" t="s">
        <v>257</v>
      </c>
      <c r="C352" t="s">
        <v>48</v>
      </c>
      <c r="D352" t="s">
        <v>290</v>
      </c>
      <c r="E352">
        <f>1/105</f>
        <v>9.5238095238095247E-3</v>
      </c>
      <c r="F352">
        <v>4</v>
      </c>
      <c r="G352">
        <f>LOG(382/(4+1))</f>
        <v>1.8830933585756899</v>
      </c>
      <c r="H352">
        <f>0.00952380952380952*4.33598269617247</f>
        <v>4.1295073296880654E-2</v>
      </c>
      <c r="I352">
        <v>4.1295073296880723E-2</v>
      </c>
    </row>
    <row r="353" spans="1:9" x14ac:dyDescent="0.25">
      <c r="A353">
        <v>215</v>
      </c>
      <c r="B353" t="s">
        <v>257</v>
      </c>
      <c r="C353" t="s">
        <v>48</v>
      </c>
      <c r="D353" t="s">
        <v>291</v>
      </c>
      <c r="E353">
        <f>1/105</f>
        <v>9.5238095238095247E-3</v>
      </c>
      <c r="F353">
        <v>2</v>
      </c>
      <c r="G353">
        <f>LOG(382/(2+1))</f>
        <v>2.1049421081920463</v>
      </c>
      <c r="H353">
        <f>0.00952380952380952*4.84680831993846</f>
        <v>4.6160079237509123E-2</v>
      </c>
      <c r="I353">
        <v>4.61600792375092E-2</v>
      </c>
    </row>
    <row r="354" spans="1:9" x14ac:dyDescent="0.25">
      <c r="A354">
        <v>215</v>
      </c>
      <c r="B354" t="s">
        <v>257</v>
      </c>
      <c r="C354" t="s">
        <v>48</v>
      </c>
      <c r="D354" t="s">
        <v>292</v>
      </c>
      <c r="E354">
        <f>1/105</f>
        <v>9.5238095238095247E-3</v>
      </c>
      <c r="F354">
        <v>3</v>
      </c>
      <c r="G354">
        <f>LOG(382/(3+1))</f>
        <v>1.9800033715837464</v>
      </c>
      <c r="H354">
        <f>0.00952380952380952*4.55912624748668</f>
        <v>4.3420249976063599E-2</v>
      </c>
      <c r="I354">
        <v>4.3420249976063668E-2</v>
      </c>
    </row>
    <row r="355" spans="1:9" x14ac:dyDescent="0.25">
      <c r="A355">
        <v>215</v>
      </c>
      <c r="B355" t="s">
        <v>257</v>
      </c>
      <c r="C355" t="s">
        <v>48</v>
      </c>
      <c r="D355" t="s">
        <v>293</v>
      </c>
      <c r="E355">
        <f>1/105</f>
        <v>9.5238095238095247E-3</v>
      </c>
      <c r="F355">
        <v>8</v>
      </c>
      <c r="G355">
        <f>LOG(382/(8+1))</f>
        <v>1.6278208534723839</v>
      </c>
      <c r="H355">
        <f>0.00952380952380952*3.74819603127035</f>
        <v>3.5697105059717606E-2</v>
      </c>
      <c r="I355">
        <v>3.5697105059717682E-2</v>
      </c>
    </row>
    <row r="356" spans="1:9" x14ac:dyDescent="0.25">
      <c r="A356">
        <v>215</v>
      </c>
      <c r="B356" t="s">
        <v>257</v>
      </c>
      <c r="C356" t="s">
        <v>48</v>
      </c>
      <c r="D356" t="s">
        <v>294</v>
      </c>
      <c r="E356">
        <f>1/105</f>
        <v>9.5238095238095247E-3</v>
      </c>
      <c r="F356">
        <v>3</v>
      </c>
      <c r="G356">
        <f>LOG(382/(3+1))</f>
        <v>1.9800033715837464</v>
      </c>
      <c r="H356">
        <f>0.00952380952380952*4.55912624748668</f>
        <v>4.3420249976063599E-2</v>
      </c>
      <c r="I356">
        <v>4.3420249976063668E-2</v>
      </c>
    </row>
    <row r="357" spans="1:9" x14ac:dyDescent="0.25">
      <c r="A357">
        <v>215</v>
      </c>
      <c r="B357" t="s">
        <v>257</v>
      </c>
      <c r="C357" t="s">
        <v>48</v>
      </c>
      <c r="D357" t="s">
        <v>295</v>
      </c>
      <c r="E357">
        <f>2/105</f>
        <v>1.9047619047619049E-2</v>
      </c>
      <c r="F357">
        <v>5</v>
      </c>
      <c r="G357">
        <f>LOG(382/(5+1))</f>
        <v>1.803912112528065</v>
      </c>
      <c r="H357">
        <f>0.019047619047619*4.15366113937852</f>
        <v>7.9117355035781142E-2</v>
      </c>
      <c r="I357">
        <v>7.9117355035781337E-2</v>
      </c>
    </row>
    <row r="358" spans="1:9" x14ac:dyDescent="0.25">
      <c r="A358">
        <v>215</v>
      </c>
      <c r="B358" t="s">
        <v>257</v>
      </c>
      <c r="C358" t="s">
        <v>48</v>
      </c>
      <c r="D358" t="s">
        <v>296</v>
      </c>
      <c r="E358">
        <f>2/105</f>
        <v>1.9047619047619049E-2</v>
      </c>
      <c r="F358">
        <v>1</v>
      </c>
      <c r="G358">
        <f>LOG(382/(1+1))</f>
        <v>2.2810333672477277</v>
      </c>
      <c r="H358">
        <f>0.019047619047619*5.25227342804663</f>
        <v>0.10004330339136414</v>
      </c>
      <c r="I358">
        <v>0.1000433033913644</v>
      </c>
    </row>
    <row r="359" spans="1:9" x14ac:dyDescent="0.25">
      <c r="A359">
        <v>215</v>
      </c>
      <c r="B359" t="s">
        <v>257</v>
      </c>
      <c r="C359" t="s">
        <v>48</v>
      </c>
      <c r="D359" t="s">
        <v>297</v>
      </c>
      <c r="E359">
        <f>1/105</f>
        <v>9.5238095238095247E-3</v>
      </c>
      <c r="F359">
        <v>2</v>
      </c>
      <c r="G359">
        <f>LOG(382/(2+1))</f>
        <v>2.1049421081920463</v>
      </c>
      <c r="H359">
        <f>0.00952380952380952*4.84680831993846</f>
        <v>4.6160079237509123E-2</v>
      </c>
      <c r="I359">
        <v>4.61600792375092E-2</v>
      </c>
    </row>
    <row r="360" spans="1:9" x14ac:dyDescent="0.25">
      <c r="A360">
        <v>215</v>
      </c>
      <c r="B360" t="s">
        <v>257</v>
      </c>
      <c r="C360" t="s">
        <v>48</v>
      </c>
      <c r="D360" t="s">
        <v>298</v>
      </c>
      <c r="E360">
        <f>1/105</f>
        <v>9.5238095238095247E-3</v>
      </c>
      <c r="F360">
        <v>1</v>
      </c>
      <c r="G360">
        <f>LOG(382/(1+1))</f>
        <v>2.2810333672477277</v>
      </c>
      <c r="H360">
        <f>0.00952380952380952*5.25227342804663</f>
        <v>5.0021651695682165E-2</v>
      </c>
      <c r="I360">
        <v>5.0021651695682193E-2</v>
      </c>
    </row>
    <row r="361" spans="1:9" x14ac:dyDescent="0.25">
      <c r="A361">
        <v>215</v>
      </c>
      <c r="B361" t="s">
        <v>257</v>
      </c>
      <c r="C361" t="s">
        <v>48</v>
      </c>
      <c r="D361" t="s">
        <v>299</v>
      </c>
      <c r="E361">
        <f>1/105</f>
        <v>9.5238095238095247E-3</v>
      </c>
      <c r="F361">
        <v>2</v>
      </c>
      <c r="G361">
        <f>LOG(382/(2+1))</f>
        <v>2.1049421081920463</v>
      </c>
      <c r="H361">
        <f>0.00952380952380952*4.84680831993846</f>
        <v>4.6160079237509123E-2</v>
      </c>
      <c r="I361">
        <v>4.61600792375092E-2</v>
      </c>
    </row>
    <row r="362" spans="1:9" x14ac:dyDescent="0.25">
      <c r="A362">
        <v>215</v>
      </c>
      <c r="B362" t="s">
        <v>257</v>
      </c>
      <c r="C362" t="s">
        <v>48</v>
      </c>
      <c r="D362" t="s">
        <v>300</v>
      </c>
      <c r="E362">
        <f>1/105</f>
        <v>9.5238095238095247E-3</v>
      </c>
      <c r="F362">
        <v>1</v>
      </c>
      <c r="G362">
        <f>LOG(382/(1+1))</f>
        <v>2.2810333672477277</v>
      </c>
      <c r="H362">
        <f>0.00952380952380952*5.25227342804663</f>
        <v>5.0021651695682165E-2</v>
      </c>
      <c r="I362">
        <v>5.0021651695682193E-2</v>
      </c>
    </row>
    <row r="363" spans="1:9" x14ac:dyDescent="0.25">
      <c r="A363">
        <v>215</v>
      </c>
      <c r="B363" t="s">
        <v>257</v>
      </c>
      <c r="C363" t="s">
        <v>48</v>
      </c>
      <c r="D363" t="s">
        <v>301</v>
      </c>
      <c r="E363">
        <f>1/105</f>
        <v>9.5238095238095247E-3</v>
      </c>
      <c r="F363">
        <v>5</v>
      </c>
      <c r="G363">
        <f>LOG(382/(5+1))</f>
        <v>1.803912112528065</v>
      </c>
      <c r="H363">
        <f>0.00952380952380952*4.15366113937852</f>
        <v>3.9558677517890647E-2</v>
      </c>
      <c r="I363">
        <v>3.9558677517890668E-2</v>
      </c>
    </row>
    <row r="364" spans="1:9" x14ac:dyDescent="0.25">
      <c r="A364">
        <v>216</v>
      </c>
      <c r="B364" t="s">
        <v>302</v>
      </c>
      <c r="C364" t="s">
        <v>48</v>
      </c>
      <c r="D364" t="s">
        <v>303</v>
      </c>
      <c r="E364">
        <f>2/42</f>
        <v>4.7619047619047616E-2</v>
      </c>
      <c r="F364">
        <v>3</v>
      </c>
      <c r="G364">
        <f>LOG(382/(3+1))</f>
        <v>1.9800033715837464</v>
      </c>
      <c r="H364">
        <f>0.0476190476190476*4.55912624748668</f>
        <v>0.21710124988031801</v>
      </c>
      <c r="I364">
        <v>0.21710124988031829</v>
      </c>
    </row>
    <row r="365" spans="1:9" x14ac:dyDescent="0.25">
      <c r="A365">
        <v>216</v>
      </c>
      <c r="B365" t="s">
        <v>302</v>
      </c>
      <c r="C365" t="s">
        <v>48</v>
      </c>
      <c r="D365" t="s">
        <v>259</v>
      </c>
      <c r="E365">
        <f>1/42</f>
        <v>2.3809523809523808E-2</v>
      </c>
      <c r="F365">
        <v>11</v>
      </c>
      <c r="G365">
        <f>LOG(382/(11+1))</f>
        <v>1.5028821168640838</v>
      </c>
      <c r="H365">
        <f>0.0238095238095238*3.46051395881857</f>
        <v>8.2393189495680211E-2</v>
      </c>
      <c r="I365">
        <v>8.239318949568035E-2</v>
      </c>
    </row>
    <row r="366" spans="1:9" x14ac:dyDescent="0.25">
      <c r="A366">
        <v>216</v>
      </c>
      <c r="B366" t="s">
        <v>302</v>
      </c>
      <c r="C366" t="s">
        <v>48</v>
      </c>
      <c r="D366" t="s">
        <v>50</v>
      </c>
      <c r="E366">
        <f>5/42</f>
        <v>0.11904761904761904</v>
      </c>
      <c r="F366">
        <v>109</v>
      </c>
      <c r="G366">
        <f>LOG(382/(109+1))</f>
        <v>0.54067067775348365</v>
      </c>
      <c r="H366">
        <f>0.119047619047619*1.24494024281415</f>
        <v>0.14820717176358925</v>
      </c>
      <c r="I366">
        <v>0.1482071717635903</v>
      </c>
    </row>
    <row r="367" spans="1:9" x14ac:dyDescent="0.25">
      <c r="A367">
        <v>216</v>
      </c>
      <c r="B367" t="s">
        <v>302</v>
      </c>
      <c r="C367" t="s">
        <v>48</v>
      </c>
      <c r="E367">
        <f>1/42</f>
        <v>2.3809523809523808E-2</v>
      </c>
      <c r="F367">
        <v>20</v>
      </c>
      <c r="G367">
        <f>LOG(382/(20+1))</f>
        <v>1.2598440681777894</v>
      </c>
      <c r="H367">
        <f>0.0238095238095238*2.90089817088315</f>
        <v>6.9069004068646411E-2</v>
      </c>
      <c r="I367">
        <v>6.9069004068646481E-2</v>
      </c>
    </row>
    <row r="368" spans="1:9" x14ac:dyDescent="0.25">
      <c r="A368">
        <v>216</v>
      </c>
      <c r="B368" t="s">
        <v>302</v>
      </c>
      <c r="C368" t="s">
        <v>48</v>
      </c>
      <c r="D368" t="s">
        <v>38</v>
      </c>
      <c r="E368">
        <f>1/42</f>
        <v>2.3809523809523808E-2</v>
      </c>
      <c r="F368">
        <v>86</v>
      </c>
      <c r="G368">
        <f>LOG(382/(86+1))</f>
        <v>0.64254411029309022</v>
      </c>
      <c r="H368">
        <f>0.0238095238095238*1.47951248995199</f>
        <v>3.5226487855999751E-2</v>
      </c>
      <c r="I368">
        <v>3.5226487855999793E-2</v>
      </c>
    </row>
    <row r="369" spans="1:9" x14ac:dyDescent="0.25">
      <c r="A369">
        <v>216</v>
      </c>
      <c r="B369" t="s">
        <v>302</v>
      </c>
      <c r="C369" t="s">
        <v>48</v>
      </c>
      <c r="D369" t="s">
        <v>189</v>
      </c>
      <c r="E369">
        <f>1/42</f>
        <v>2.3809523809523808E-2</v>
      </c>
      <c r="F369">
        <v>27</v>
      </c>
      <c r="G369">
        <f>LOG(382/(27+1))</f>
        <v>1.1349053315694895</v>
      </c>
      <c r="H369">
        <f>0.0238095238095238*2.61321609843137</f>
        <v>6.2219430915032604E-2</v>
      </c>
      <c r="I369">
        <v>6.2219430915032639E-2</v>
      </c>
    </row>
    <row r="370" spans="1:9" x14ac:dyDescent="0.25">
      <c r="A370">
        <v>216</v>
      </c>
      <c r="B370" t="s">
        <v>302</v>
      </c>
      <c r="C370" t="s">
        <v>48</v>
      </c>
      <c r="D370" t="s">
        <v>41</v>
      </c>
      <c r="E370">
        <f>5/42</f>
        <v>0.11904761904761904</v>
      </c>
      <c r="F370">
        <v>195</v>
      </c>
      <c r="G370">
        <f>LOG(382/(195+1))</f>
        <v>0.28980729155523272</v>
      </c>
      <c r="H370">
        <f>0.119047619047619*0.667305949376058</f>
        <v>7.9441184449530688E-2</v>
      </c>
      <c r="I370">
        <v>7.9441184449530716E-2</v>
      </c>
    </row>
    <row r="371" spans="1:9" x14ac:dyDescent="0.25">
      <c r="A371">
        <v>216</v>
      </c>
      <c r="B371" t="s">
        <v>302</v>
      </c>
      <c r="C371" t="s">
        <v>48</v>
      </c>
      <c r="D371" t="s">
        <v>190</v>
      </c>
      <c r="E371">
        <f>1/42</f>
        <v>2.3809523809523808E-2</v>
      </c>
      <c r="F371">
        <v>23</v>
      </c>
      <c r="G371">
        <f>LOG(382/(23+1))</f>
        <v>1.2018521212001028</v>
      </c>
      <c r="H371">
        <f>0.0238095238095238*2.76736677825862</f>
        <v>6.5889685196633796E-2</v>
      </c>
      <c r="I371">
        <v>6.5889685196634032E-2</v>
      </c>
    </row>
    <row r="372" spans="1:9" x14ac:dyDescent="0.25">
      <c r="A372">
        <v>216</v>
      </c>
      <c r="B372" t="s">
        <v>302</v>
      </c>
      <c r="C372" t="s">
        <v>48</v>
      </c>
      <c r="D372" t="s">
        <v>260</v>
      </c>
      <c r="E372">
        <f>1/42</f>
        <v>2.3809523809523808E-2</v>
      </c>
      <c r="F372">
        <v>31</v>
      </c>
      <c r="G372">
        <f>LOG(382/(31+1))</f>
        <v>1.0769133845918029</v>
      </c>
      <c r="H372">
        <f>0.0238095238095238*2.47968470580684</f>
        <v>5.9040112043019975E-2</v>
      </c>
      <c r="I372">
        <v>5.9040112043020197E-2</v>
      </c>
    </row>
    <row r="373" spans="1:9" x14ac:dyDescent="0.25">
      <c r="A373">
        <v>216</v>
      </c>
      <c r="B373" t="s">
        <v>302</v>
      </c>
      <c r="C373" t="s">
        <v>48</v>
      </c>
      <c r="D373" t="s">
        <v>168</v>
      </c>
      <c r="E373">
        <f>1/42</f>
        <v>2.3809523809523808E-2</v>
      </c>
      <c r="F373">
        <v>34</v>
      </c>
      <c r="G373">
        <f>LOG(382/(34+1))</f>
        <v>1.037995318561433</v>
      </c>
      <c r="H373">
        <f>0.0238095238095238*2.39007254711716</f>
        <v>5.6906489217075217E-2</v>
      </c>
      <c r="I373">
        <v>5.6906489217075272E-2</v>
      </c>
    </row>
    <row r="374" spans="1:9" x14ac:dyDescent="0.25">
      <c r="A374">
        <v>216</v>
      </c>
      <c r="B374" t="s">
        <v>302</v>
      </c>
      <c r="C374" t="s">
        <v>48</v>
      </c>
      <c r="D374" t="s">
        <v>271</v>
      </c>
      <c r="E374">
        <f>1/42</f>
        <v>2.3809523809523808E-2</v>
      </c>
      <c r="F374">
        <v>2</v>
      </c>
      <c r="G374">
        <f>LOG(382/(2+1))</f>
        <v>2.1049421081920463</v>
      </c>
      <c r="H374">
        <f>0.0238095238095238*4.84680831993846</f>
        <v>0.11540019809377282</v>
      </c>
      <c r="I374">
        <v>0.115400198093773</v>
      </c>
    </row>
    <row r="375" spans="1:9" x14ac:dyDescent="0.25">
      <c r="A375">
        <v>216</v>
      </c>
      <c r="B375" t="s">
        <v>302</v>
      </c>
      <c r="C375" t="s">
        <v>48</v>
      </c>
      <c r="D375" t="s">
        <v>272</v>
      </c>
      <c r="E375">
        <f>1/42</f>
        <v>2.3809523809523808E-2</v>
      </c>
      <c r="F375">
        <v>17</v>
      </c>
      <c r="G375">
        <f>LOG(382/(17+1))</f>
        <v>1.3267908578084027</v>
      </c>
      <c r="H375">
        <f>0.0238095238095238*3.05504885071041</f>
        <v>7.2739258350247832E-2</v>
      </c>
      <c r="I375">
        <v>7.273925835024786E-2</v>
      </c>
    </row>
    <row r="376" spans="1:9" x14ac:dyDescent="0.25">
      <c r="A376">
        <v>216</v>
      </c>
      <c r="B376" t="s">
        <v>302</v>
      </c>
      <c r="C376" t="s">
        <v>48</v>
      </c>
      <c r="D376" t="s">
        <v>273</v>
      </c>
      <c r="E376">
        <f>3/42</f>
        <v>7.1428571428571425E-2</v>
      </c>
      <c r="F376">
        <v>6</v>
      </c>
      <c r="G376">
        <f>LOG(382/(6+1))</f>
        <v>1.736965322897452</v>
      </c>
      <c r="H376">
        <f>0.0714285714285714*3.99951045955126</f>
        <v>0.28567931853937562</v>
      </c>
      <c r="I376">
        <v>0.28567931853937578</v>
      </c>
    </row>
    <row r="377" spans="1:9" x14ac:dyDescent="0.25">
      <c r="A377">
        <v>216</v>
      </c>
      <c r="B377" t="s">
        <v>302</v>
      </c>
      <c r="C377" t="s">
        <v>48</v>
      </c>
      <c r="D377" t="s">
        <v>274</v>
      </c>
      <c r="E377">
        <f>1/42</f>
        <v>2.3809523809523808E-2</v>
      </c>
      <c r="F377">
        <v>3</v>
      </c>
      <c r="G377">
        <f>LOG(382/(3+1))</f>
        <v>1.9800033715837464</v>
      </c>
      <c r="H377">
        <f>0.0238095238095238*4.55912624748668</f>
        <v>0.108550624940159</v>
      </c>
      <c r="I377">
        <v>0.1085506249401591</v>
      </c>
    </row>
    <row r="378" spans="1:9" x14ac:dyDescent="0.25">
      <c r="A378">
        <v>216</v>
      </c>
      <c r="B378" t="s">
        <v>302</v>
      </c>
      <c r="C378" t="s">
        <v>48</v>
      </c>
      <c r="D378" t="s">
        <v>275</v>
      </c>
      <c r="E378">
        <f>1/42</f>
        <v>2.3809523809523808E-2</v>
      </c>
      <c r="F378">
        <v>6</v>
      </c>
      <c r="G378">
        <f>LOG(382/(6+1))</f>
        <v>1.736965322897452</v>
      </c>
      <c r="H378">
        <f>0.0238095238095238*3.99951045955126</f>
        <v>9.5226439513125205E-2</v>
      </c>
      <c r="I378">
        <v>9.5226439513125274E-2</v>
      </c>
    </row>
    <row r="379" spans="1:9" x14ac:dyDescent="0.25">
      <c r="A379">
        <v>216</v>
      </c>
      <c r="B379" t="s">
        <v>302</v>
      </c>
      <c r="C379" t="s">
        <v>48</v>
      </c>
      <c r="D379" t="s">
        <v>304</v>
      </c>
      <c r="E379">
        <f>2/42</f>
        <v>4.7619047619047616E-2</v>
      </c>
      <c r="F379">
        <v>3</v>
      </c>
      <c r="G379">
        <f>LOG(382/(3+1))</f>
        <v>1.9800033715837464</v>
      </c>
      <c r="H379">
        <f>0.0476190476190476*4.55912624748668</f>
        <v>0.21710124988031801</v>
      </c>
      <c r="I379">
        <v>0.21710124988031829</v>
      </c>
    </row>
    <row r="380" spans="1:9" x14ac:dyDescent="0.25">
      <c r="A380">
        <v>216</v>
      </c>
      <c r="B380" t="s">
        <v>302</v>
      </c>
      <c r="C380" t="s">
        <v>48</v>
      </c>
      <c r="D380" t="s">
        <v>305</v>
      </c>
      <c r="E380">
        <f>2/42</f>
        <v>4.7619047619047616E-2</v>
      </c>
      <c r="F380">
        <v>1</v>
      </c>
      <c r="G380">
        <f>LOG(382/(1+1))</f>
        <v>2.2810333672477277</v>
      </c>
      <c r="H380">
        <f>0.0476190476190476*5.25227342804663</f>
        <v>0.25010825847841084</v>
      </c>
      <c r="I380">
        <v>0.25010825847841089</v>
      </c>
    </row>
    <row r="381" spans="1:9" x14ac:dyDescent="0.25">
      <c r="A381">
        <v>216</v>
      </c>
      <c r="B381" t="s">
        <v>302</v>
      </c>
      <c r="C381" t="s">
        <v>48</v>
      </c>
      <c r="D381" t="s">
        <v>25</v>
      </c>
      <c r="E381">
        <f>3/42</f>
        <v>7.1428571428571425E-2</v>
      </c>
      <c r="F381">
        <v>106</v>
      </c>
      <c r="G381">
        <f>LOG(382/(106+1))</f>
        <v>0.55267958522649907</v>
      </c>
      <c r="H381">
        <f>0.0714285714285714*1.27259177414466</f>
        <v>9.0899412438904245E-2</v>
      </c>
      <c r="I381">
        <v>9.0899412438904925E-2</v>
      </c>
    </row>
    <row r="382" spans="1:9" x14ac:dyDescent="0.25">
      <c r="A382">
        <v>216</v>
      </c>
      <c r="B382" t="s">
        <v>302</v>
      </c>
      <c r="C382" t="s">
        <v>48</v>
      </c>
      <c r="D382" t="s">
        <v>278</v>
      </c>
      <c r="E382">
        <f>3/42</f>
        <v>7.1428571428571425E-2</v>
      </c>
      <c r="F382">
        <v>3</v>
      </c>
      <c r="G382">
        <f>LOG(382/(3+1))</f>
        <v>1.9800033715837464</v>
      </c>
      <c r="H382">
        <f>0.0714285714285714*4.55912624748668</f>
        <v>0.32565187482047703</v>
      </c>
      <c r="I382">
        <v>0.32565187482047753</v>
      </c>
    </row>
    <row r="383" spans="1:9" x14ac:dyDescent="0.25">
      <c r="A383">
        <v>216</v>
      </c>
      <c r="B383" t="s">
        <v>302</v>
      </c>
      <c r="C383" t="s">
        <v>48</v>
      </c>
      <c r="D383" t="s">
        <v>186</v>
      </c>
      <c r="E383">
        <f>2/42</f>
        <v>4.7619047619047616E-2</v>
      </c>
      <c r="F383">
        <v>5</v>
      </c>
      <c r="G383">
        <f>LOG(382/(5+1))</f>
        <v>1.803912112528065</v>
      </c>
      <c r="H383">
        <f>0.0476190476190476*4.15366113937852</f>
        <v>0.19779338758945325</v>
      </c>
      <c r="I383">
        <v>0.19779338758945331</v>
      </c>
    </row>
    <row r="384" spans="1:9" x14ac:dyDescent="0.25">
      <c r="A384">
        <v>216</v>
      </c>
      <c r="B384" t="s">
        <v>302</v>
      </c>
      <c r="C384" t="s">
        <v>48</v>
      </c>
      <c r="D384" t="s">
        <v>306</v>
      </c>
      <c r="E384">
        <f>2/42</f>
        <v>4.7619047619047616E-2</v>
      </c>
      <c r="F384">
        <v>5</v>
      </c>
      <c r="G384">
        <f>LOG(382/(5+1))</f>
        <v>1.803912112528065</v>
      </c>
      <c r="H384">
        <f>0.0476190476190476*4.15366113937852</f>
        <v>0.19779338758945325</v>
      </c>
      <c r="I384">
        <v>0.19779338758945331</v>
      </c>
    </row>
    <row r="385" spans="1:9" x14ac:dyDescent="0.25">
      <c r="A385">
        <v>216</v>
      </c>
      <c r="B385" t="s">
        <v>302</v>
      </c>
      <c r="C385" t="s">
        <v>48</v>
      </c>
      <c r="D385" t="s">
        <v>281</v>
      </c>
      <c r="E385">
        <f>1/42</f>
        <v>2.3809523809523808E-2</v>
      </c>
      <c r="F385">
        <v>2</v>
      </c>
      <c r="G385">
        <f>LOG(382/(2+1))</f>
        <v>2.1049421081920463</v>
      </c>
      <c r="H385">
        <f>0.0238095238095238*4.84680831993846</f>
        <v>0.11540019809377282</v>
      </c>
      <c r="I385">
        <v>0.115400198093773</v>
      </c>
    </row>
    <row r="386" spans="1:9" x14ac:dyDescent="0.25">
      <c r="A386">
        <v>216</v>
      </c>
      <c r="B386" t="s">
        <v>302</v>
      </c>
      <c r="C386" t="s">
        <v>48</v>
      </c>
      <c r="D386" t="s">
        <v>307</v>
      </c>
      <c r="E386">
        <f>1/42</f>
        <v>2.3809523809523808E-2</v>
      </c>
      <c r="F386">
        <v>67</v>
      </c>
      <c r="G386">
        <f>LOG(382/(67+1))</f>
        <v>0.7495544502054724</v>
      </c>
      <c r="H386">
        <f>0.0238095238095238*1.72591290343046</f>
        <v>4.1093164367391896E-2</v>
      </c>
      <c r="I386">
        <v>4.1093164367392097E-2</v>
      </c>
    </row>
    <row r="387" spans="1:9" x14ac:dyDescent="0.25">
      <c r="A387">
        <v>217</v>
      </c>
      <c r="B387" t="s">
        <v>308</v>
      </c>
      <c r="C387" t="s">
        <v>48</v>
      </c>
      <c r="D387" t="s">
        <v>309</v>
      </c>
      <c r="E387">
        <f>6/104</f>
        <v>5.7692307692307696E-2</v>
      </c>
      <c r="F387">
        <v>25</v>
      </c>
      <c r="G387">
        <f>LOG(382/(25+1))</f>
        <v>1.1670900149408907</v>
      </c>
      <c r="H387">
        <f>0.0576923076923076*2.68732407058509</f>
        <v>0.15503792714913955</v>
      </c>
      <c r="I387">
        <v>0.15503792714914</v>
      </c>
    </row>
    <row r="388" spans="1:9" x14ac:dyDescent="0.25">
      <c r="A388">
        <v>217</v>
      </c>
      <c r="B388" t="s">
        <v>308</v>
      </c>
      <c r="C388" t="s">
        <v>48</v>
      </c>
      <c r="D388" t="s">
        <v>310</v>
      </c>
      <c r="E388">
        <f>5/104</f>
        <v>4.807692307692308E-2</v>
      </c>
      <c r="F388">
        <v>50</v>
      </c>
      <c r="G388">
        <f>LOG(382/(50+1))</f>
        <v>0.87449318681377242</v>
      </c>
      <c r="H388">
        <f>0.048076923076923*2.01359497588224</f>
        <v>9.6807450763569072E-2</v>
      </c>
      <c r="I388">
        <v>9.6807450763569697E-2</v>
      </c>
    </row>
    <row r="389" spans="1:9" x14ac:dyDescent="0.25">
      <c r="A389">
        <v>217</v>
      </c>
      <c r="B389" t="s">
        <v>308</v>
      </c>
      <c r="C389" t="s">
        <v>48</v>
      </c>
      <c r="D389" t="s">
        <v>311</v>
      </c>
      <c r="E389">
        <f>4/104</f>
        <v>3.8461538461538464E-2</v>
      </c>
      <c r="F389">
        <v>7</v>
      </c>
      <c r="G389">
        <f>LOG(382/(7+1))</f>
        <v>1.6789733759197651</v>
      </c>
      <c r="H389">
        <f>0.0384615384615384*3.86597906692673</f>
        <v>0.14869150257410477</v>
      </c>
      <c r="I389">
        <v>0.14869150257410529</v>
      </c>
    </row>
    <row r="390" spans="1:9" x14ac:dyDescent="0.25">
      <c r="A390">
        <v>217</v>
      </c>
      <c r="B390" t="s">
        <v>308</v>
      </c>
      <c r="C390" t="s">
        <v>48</v>
      </c>
      <c r="D390" t="s">
        <v>312</v>
      </c>
      <c r="E390">
        <f>5/104</f>
        <v>4.807692307692308E-2</v>
      </c>
      <c r="F390">
        <v>1</v>
      </c>
      <c r="G390">
        <f>LOG(382/(1+1))</f>
        <v>2.2810333672477277</v>
      </c>
      <c r="H390">
        <f>0.048076923076923*5.25227342804663</f>
        <v>0.25251314557916449</v>
      </c>
      <c r="I390">
        <v>0.25251314557916488</v>
      </c>
    </row>
    <row r="391" spans="1:9" x14ac:dyDescent="0.25">
      <c r="A391">
        <v>217</v>
      </c>
      <c r="B391" t="s">
        <v>308</v>
      </c>
      <c r="C391" t="s">
        <v>48</v>
      </c>
      <c r="D391" t="s">
        <v>313</v>
      </c>
      <c r="E391">
        <f>4/104</f>
        <v>3.8461538461538464E-2</v>
      </c>
      <c r="F391">
        <v>13</v>
      </c>
      <c r="G391">
        <f>LOG(382/(13+1))</f>
        <v>1.4359353272334707</v>
      </c>
      <c r="H391">
        <f>0.0384615384615384*3.30636327899131</f>
        <v>0.1271678184227425</v>
      </c>
      <c r="I391">
        <v>0.12716781842274291</v>
      </c>
    </row>
    <row r="392" spans="1:9" x14ac:dyDescent="0.25">
      <c r="A392">
        <v>217</v>
      </c>
      <c r="B392" t="s">
        <v>308</v>
      </c>
      <c r="C392" t="s">
        <v>48</v>
      </c>
      <c r="D392" t="s">
        <v>147</v>
      </c>
      <c r="E392">
        <f>8/104</f>
        <v>7.6923076923076927E-2</v>
      </c>
      <c r="F392">
        <v>48</v>
      </c>
      <c r="G392">
        <f>LOG(382/(48+1))</f>
        <v>0.89186728288319506</v>
      </c>
      <c r="H392">
        <f>0.0769230769230769*2.05360031049594</f>
        <v>0.15796925465353379</v>
      </c>
      <c r="I392">
        <v>0.15796925465353451</v>
      </c>
    </row>
    <row r="393" spans="1:9" x14ac:dyDescent="0.25">
      <c r="A393">
        <v>217</v>
      </c>
      <c r="B393" t="s">
        <v>308</v>
      </c>
      <c r="C393" t="s">
        <v>48</v>
      </c>
      <c r="D393" t="s">
        <v>314</v>
      </c>
      <c r="E393">
        <f>1/104</f>
        <v>9.6153846153846159E-3</v>
      </c>
      <c r="F393">
        <v>1</v>
      </c>
      <c r="G393">
        <f>LOG(382/(1+1))</f>
        <v>2.2810333672477277</v>
      </c>
      <c r="H393">
        <f>0.00961538461538461*5.25227342804663</f>
        <v>5.0502629115832955E-2</v>
      </c>
      <c r="I393">
        <v>5.0502629115832982E-2</v>
      </c>
    </row>
    <row r="394" spans="1:9" x14ac:dyDescent="0.25">
      <c r="A394">
        <v>217</v>
      </c>
      <c r="B394" t="s">
        <v>308</v>
      </c>
      <c r="C394" t="s">
        <v>48</v>
      </c>
      <c r="D394" t="s">
        <v>105</v>
      </c>
      <c r="E394">
        <f>1/104</f>
        <v>9.6153846153846159E-3</v>
      </c>
      <c r="F394">
        <v>122</v>
      </c>
      <c r="G394">
        <f>LOG(382/(122+1))</f>
        <v>0.49215825147231079</v>
      </c>
      <c r="H394">
        <f>0.00961538461538461*1.13323625323415</f>
        <v>1.0896502434943745E-2</v>
      </c>
      <c r="I394">
        <v>1.0896502434943819E-2</v>
      </c>
    </row>
    <row r="395" spans="1:9" x14ac:dyDescent="0.25">
      <c r="A395">
        <v>217</v>
      </c>
      <c r="B395" t="s">
        <v>308</v>
      </c>
      <c r="C395" t="s">
        <v>48</v>
      </c>
      <c r="D395" t="s">
        <v>315</v>
      </c>
      <c r="E395">
        <f>2/104</f>
        <v>1.9230769230769232E-2</v>
      </c>
      <c r="F395">
        <v>55</v>
      </c>
      <c r="G395">
        <f>LOG(382/(55+1))</f>
        <v>0.83387533590550833</v>
      </c>
      <c r="H395">
        <f>0.0192307692307692*1.92006891787142</f>
        <v>3.692440226675802E-2</v>
      </c>
      <c r="I395">
        <v>3.6924402266758187E-2</v>
      </c>
    </row>
    <row r="396" spans="1:9" x14ac:dyDescent="0.25">
      <c r="A396">
        <v>217</v>
      </c>
      <c r="B396" t="s">
        <v>308</v>
      </c>
      <c r="C396" t="s">
        <v>48</v>
      </c>
      <c r="D396" t="s">
        <v>316</v>
      </c>
      <c r="E396">
        <f>2/104</f>
        <v>1.9230769230769232E-2</v>
      </c>
      <c r="F396">
        <v>6</v>
      </c>
      <c r="G396">
        <f>LOG(382/(6+1))</f>
        <v>1.736965322897452</v>
      </c>
      <c r="H396">
        <f>0.0192307692307692*3.99951045955126</f>
        <v>7.6913662683677955E-2</v>
      </c>
      <c r="I396">
        <v>7.6913662683678122E-2</v>
      </c>
    </row>
    <row r="397" spans="1:9" x14ac:dyDescent="0.25">
      <c r="A397">
        <v>217</v>
      </c>
      <c r="B397" t="s">
        <v>308</v>
      </c>
      <c r="C397" t="s">
        <v>48</v>
      </c>
      <c r="D397" t="s">
        <v>247</v>
      </c>
      <c r="E397">
        <f>3/104</f>
        <v>2.8846153846153848E-2</v>
      </c>
      <c r="F397">
        <v>121</v>
      </c>
      <c r="G397">
        <f>LOG(382/(121+1))</f>
        <v>0.49570353223696051</v>
      </c>
      <c r="H397">
        <f>0.0288461538461538*1.14139956387331</f>
        <v>3.2924987419422354E-2</v>
      </c>
      <c r="I397">
        <v>3.2924987419422659E-2</v>
      </c>
    </row>
    <row r="398" spans="1:9" x14ac:dyDescent="0.25">
      <c r="A398">
        <v>217</v>
      </c>
      <c r="B398" t="s">
        <v>308</v>
      </c>
      <c r="C398" t="s">
        <v>48</v>
      </c>
      <c r="D398" t="s">
        <v>39</v>
      </c>
      <c r="E398">
        <f>4/104</f>
        <v>3.8461538461538464E-2</v>
      </c>
      <c r="F398">
        <v>145</v>
      </c>
      <c r="G398">
        <f>LOG(382/(145+1))</f>
        <v>0.41771050712727159</v>
      </c>
      <c r="H398">
        <f>0.0384615384615384*0.961813986898238</f>
        <v>3.6992845649932174E-2</v>
      </c>
      <c r="I398">
        <v>3.6992845649932257E-2</v>
      </c>
    </row>
    <row r="399" spans="1:9" x14ac:dyDescent="0.25">
      <c r="A399">
        <v>217</v>
      </c>
      <c r="B399" t="s">
        <v>308</v>
      </c>
      <c r="C399" t="s">
        <v>48</v>
      </c>
      <c r="D399" t="s">
        <v>42</v>
      </c>
      <c r="E399">
        <f>1/104</f>
        <v>9.6153846153846159E-3</v>
      </c>
      <c r="F399">
        <v>251</v>
      </c>
      <c r="G399">
        <f>LOG(382/(251+1))</f>
        <v>0.18066282213016463</v>
      </c>
      <c r="H399">
        <f>0.00961538461538461*0.415991521095151</f>
        <v>3.9999184720687572E-3</v>
      </c>
      <c r="I399">
        <v>3.9999184720687694E-3</v>
      </c>
    </row>
    <row r="400" spans="1:9" x14ac:dyDescent="0.25">
      <c r="A400">
        <v>217</v>
      </c>
      <c r="B400" t="s">
        <v>308</v>
      </c>
      <c r="C400" t="s">
        <v>48</v>
      </c>
      <c r="D400" t="s">
        <v>65</v>
      </c>
      <c r="E400">
        <f>1/104</f>
        <v>9.6153846153846159E-3</v>
      </c>
      <c r="F400">
        <v>32</v>
      </c>
      <c r="G400">
        <f>LOG(382/(32+1))</f>
        <v>1.0635494230338212</v>
      </c>
      <c r="H400">
        <f>0.00961538461538461*2.44891304714009</f>
        <v>2.354724083788547E-2</v>
      </c>
      <c r="I400">
        <v>2.3547240837885529E-2</v>
      </c>
    </row>
    <row r="401" spans="1:9" x14ac:dyDescent="0.25">
      <c r="A401">
        <v>217</v>
      </c>
      <c r="B401" t="s">
        <v>308</v>
      </c>
      <c r="C401" t="s">
        <v>48</v>
      </c>
      <c r="D401" t="s">
        <v>40</v>
      </c>
      <c r="E401">
        <f>4/104</f>
        <v>3.8461538461538464E-2</v>
      </c>
      <c r="F401">
        <v>159</v>
      </c>
      <c r="G401">
        <f>LOG(382/(159+1))</f>
        <v>0.377943380255784</v>
      </c>
      <c r="H401">
        <f>0.0384615384615384*0.870246793372748</f>
        <v>3.3471030514336413E-2</v>
      </c>
      <c r="I401">
        <v>3.3471030514336482E-2</v>
      </c>
    </row>
    <row r="402" spans="1:9" x14ac:dyDescent="0.25">
      <c r="A402">
        <v>217</v>
      </c>
      <c r="B402" t="s">
        <v>308</v>
      </c>
      <c r="C402" t="s">
        <v>48</v>
      </c>
      <c r="D402" t="s">
        <v>41</v>
      </c>
      <c r="E402">
        <f>4/104</f>
        <v>3.8461538461538464E-2</v>
      </c>
      <c r="F402">
        <v>195</v>
      </c>
      <c r="G402">
        <f>LOG(382/(195+1))</f>
        <v>0.28980729155523272</v>
      </c>
      <c r="H402">
        <f>0.0384615384615384*0.667305949376058</f>
        <v>2.5665613437540653E-2</v>
      </c>
      <c r="I402">
        <v>2.5665613437540691E-2</v>
      </c>
    </row>
    <row r="403" spans="1:9" x14ac:dyDescent="0.25">
      <c r="A403">
        <v>217</v>
      </c>
      <c r="B403" t="s">
        <v>308</v>
      </c>
      <c r="C403" t="s">
        <v>48</v>
      </c>
      <c r="D403" t="s">
        <v>22</v>
      </c>
      <c r="E403">
        <f t="shared" ref="E403:E411" si="15">1/104</f>
        <v>9.6153846153846159E-3</v>
      </c>
      <c r="F403">
        <v>259</v>
      </c>
      <c r="G403">
        <f>LOG(382/(259+1))</f>
        <v>0.16709001494089079</v>
      </c>
      <c r="H403">
        <f>0.00961538461538461*0.384738977591047</f>
        <v>3.6994132460677581E-3</v>
      </c>
      <c r="I403">
        <v>3.699413246067765E-3</v>
      </c>
    </row>
    <row r="404" spans="1:9" x14ac:dyDescent="0.25">
      <c r="A404">
        <v>217</v>
      </c>
      <c r="B404" t="s">
        <v>308</v>
      </c>
      <c r="C404" t="s">
        <v>48</v>
      </c>
      <c r="D404" t="s">
        <v>23</v>
      </c>
      <c r="E404">
        <f t="shared" si="15"/>
        <v>9.6153846153846159E-3</v>
      </c>
      <c r="F404">
        <v>275</v>
      </c>
      <c r="G404">
        <f>LOG(382/(275+1))</f>
        <v>0.14115428084649101</v>
      </c>
      <c r="H404">
        <f>0.00961538461538461*0.325019742889425</f>
        <v>3.1251898354752385E-3</v>
      </c>
      <c r="I404">
        <v>3.1251898354752419E-3</v>
      </c>
    </row>
    <row r="405" spans="1:9" x14ac:dyDescent="0.25">
      <c r="A405">
        <v>217</v>
      </c>
      <c r="B405" t="s">
        <v>308</v>
      </c>
      <c r="C405" t="s">
        <v>48</v>
      </c>
      <c r="D405" t="s">
        <v>263</v>
      </c>
      <c r="E405">
        <f t="shared" si="15"/>
        <v>9.6153846153846159E-3</v>
      </c>
      <c r="F405">
        <v>41</v>
      </c>
      <c r="G405">
        <f>LOG(382/(41+1))</f>
        <v>0.95881407251380824</v>
      </c>
      <c r="H405">
        <f>0.00961538461538461*2.2077509903232</f>
        <v>2.1228374906953836E-2</v>
      </c>
      <c r="I405">
        <v>2.1228374906953909E-2</v>
      </c>
    </row>
    <row r="406" spans="1:9" x14ac:dyDescent="0.25">
      <c r="A406">
        <v>217</v>
      </c>
      <c r="B406" t="s">
        <v>308</v>
      </c>
      <c r="C406" t="s">
        <v>48</v>
      </c>
      <c r="D406" t="s">
        <v>317</v>
      </c>
      <c r="E406">
        <f t="shared" si="15"/>
        <v>9.6153846153846159E-3</v>
      </c>
      <c r="F406">
        <v>3</v>
      </c>
      <c r="G406">
        <f>LOG(382/(3+1))</f>
        <v>1.9800033715837464</v>
      </c>
      <c r="H406">
        <f>0.00961538461538461*4.55912624748668</f>
        <v>4.3837752379679594E-2</v>
      </c>
      <c r="I406">
        <v>4.3837752379679663E-2</v>
      </c>
    </row>
    <row r="407" spans="1:9" x14ac:dyDescent="0.25">
      <c r="A407">
        <v>217</v>
      </c>
      <c r="B407" t="s">
        <v>308</v>
      </c>
      <c r="C407" t="s">
        <v>48</v>
      </c>
      <c r="D407" t="s">
        <v>318</v>
      </c>
      <c r="E407">
        <f t="shared" si="15"/>
        <v>9.6153846153846159E-3</v>
      </c>
      <c r="F407">
        <v>1</v>
      </c>
      <c r="G407">
        <f>LOG(382/(1+1))</f>
        <v>2.2810333672477277</v>
      </c>
      <c r="H407">
        <f>0.00961538461538461*5.25227342804663</f>
        <v>5.0502629115832955E-2</v>
      </c>
      <c r="I407">
        <v>5.0502629115832982E-2</v>
      </c>
    </row>
    <row r="408" spans="1:9" x14ac:dyDescent="0.25">
      <c r="A408">
        <v>217</v>
      </c>
      <c r="B408" t="s">
        <v>308</v>
      </c>
      <c r="C408" t="s">
        <v>48</v>
      </c>
      <c r="D408" t="s">
        <v>319</v>
      </c>
      <c r="E408">
        <f t="shared" si="15"/>
        <v>9.6153846153846159E-3</v>
      </c>
      <c r="F408">
        <v>2</v>
      </c>
      <c r="G408">
        <f>LOG(382/(2+1))</f>
        <v>2.1049421081920463</v>
      </c>
      <c r="H408">
        <f>0.00961538461538461*4.84680831993846</f>
        <v>4.6603926153254399E-2</v>
      </c>
      <c r="I408">
        <v>4.6603926153254482E-2</v>
      </c>
    </row>
    <row r="409" spans="1:9" x14ac:dyDescent="0.25">
      <c r="A409">
        <v>217</v>
      </c>
      <c r="B409" t="s">
        <v>308</v>
      </c>
      <c r="C409" t="s">
        <v>48</v>
      </c>
      <c r="D409" t="s">
        <v>320</v>
      </c>
      <c r="E409">
        <f t="shared" si="15"/>
        <v>9.6153846153846159E-3</v>
      </c>
      <c r="F409">
        <v>2</v>
      </c>
      <c r="G409">
        <f>LOG(382/(2+1))</f>
        <v>2.1049421081920463</v>
      </c>
      <c r="H409">
        <f>0.00961538461538461*4.84680831993846</f>
        <v>4.6603926153254399E-2</v>
      </c>
      <c r="I409">
        <v>4.6603926153254482E-2</v>
      </c>
    </row>
    <row r="410" spans="1:9" x14ac:dyDescent="0.25">
      <c r="A410">
        <v>217</v>
      </c>
      <c r="B410" t="s">
        <v>308</v>
      </c>
      <c r="C410" t="s">
        <v>48</v>
      </c>
      <c r="D410" t="s">
        <v>321</v>
      </c>
      <c r="E410">
        <f t="shared" si="15"/>
        <v>9.6153846153846159E-3</v>
      </c>
      <c r="F410">
        <v>5</v>
      </c>
      <c r="G410">
        <f>LOG(382/(5+1))</f>
        <v>1.803912112528065</v>
      </c>
      <c r="H410">
        <f>0.00961538461538461*4.15366113937852</f>
        <v>3.9939049417101136E-2</v>
      </c>
      <c r="I410">
        <v>3.9939049417101163E-2</v>
      </c>
    </row>
    <row r="411" spans="1:9" x14ac:dyDescent="0.25">
      <c r="A411">
        <v>217</v>
      </c>
      <c r="B411" t="s">
        <v>308</v>
      </c>
      <c r="C411" t="s">
        <v>48</v>
      </c>
      <c r="D411" t="s">
        <v>204</v>
      </c>
      <c r="E411">
        <f t="shared" si="15"/>
        <v>9.6153846153846159E-3</v>
      </c>
      <c r="F411">
        <v>166</v>
      </c>
      <c r="G411">
        <f>LOG(382/(166+1))</f>
        <v>0.35934689176412549</v>
      </c>
      <c r="H411">
        <f>0.00961538461538461*0.82742679618982</f>
        <v>7.9560268864405734E-3</v>
      </c>
      <c r="I411">
        <v>7.9560268864405786E-3</v>
      </c>
    </row>
    <row r="412" spans="1:9" x14ac:dyDescent="0.25">
      <c r="A412">
        <v>217</v>
      </c>
      <c r="B412" t="s">
        <v>308</v>
      </c>
      <c r="C412" t="s">
        <v>48</v>
      </c>
      <c r="D412" t="s">
        <v>322</v>
      </c>
      <c r="E412">
        <f>2/104</f>
        <v>1.9230769230769232E-2</v>
      </c>
      <c r="F412">
        <v>128</v>
      </c>
      <c r="G412">
        <f>LOG(382/(128+1))</f>
        <v>0.47147365261245977</v>
      </c>
      <c r="H412">
        <f>0.0192307692307692*1.0856082042449</f>
        <v>2.0877080850863428E-2</v>
      </c>
      <c r="I412">
        <v>2.0877080850863521E-2</v>
      </c>
    </row>
    <row r="413" spans="1:9" x14ac:dyDescent="0.25">
      <c r="A413">
        <v>217</v>
      </c>
      <c r="B413" t="s">
        <v>308</v>
      </c>
      <c r="C413" t="s">
        <v>48</v>
      </c>
      <c r="D413" t="s">
        <v>237</v>
      </c>
      <c r="E413">
        <f>2/104</f>
        <v>1.9230769230769232E-2</v>
      </c>
      <c r="F413">
        <v>138</v>
      </c>
      <c r="G413">
        <f>LOG(382/(138+1))</f>
        <v>0.43904856265761361</v>
      </c>
      <c r="H413">
        <f>0.0192307692307692*1.01094667547588</f>
        <v>1.944128222068997E-2</v>
      </c>
      <c r="I413">
        <v>1.9441282220690061E-2</v>
      </c>
    </row>
    <row r="414" spans="1:9" x14ac:dyDescent="0.25">
      <c r="A414">
        <v>217</v>
      </c>
      <c r="B414" t="s">
        <v>308</v>
      </c>
      <c r="C414" t="s">
        <v>48</v>
      </c>
      <c r="D414" t="s">
        <v>323</v>
      </c>
      <c r="E414">
        <f t="shared" ref="E414:E419" si="16">1/104</f>
        <v>9.6153846153846159E-3</v>
      </c>
      <c r="F414">
        <v>2</v>
      </c>
      <c r="G414">
        <f>LOG(382/(2+1))</f>
        <v>2.1049421081920463</v>
      </c>
      <c r="H414">
        <f>0.00961538461538461*4.84680831993846</f>
        <v>4.6603926153254399E-2</v>
      </c>
      <c r="I414">
        <v>4.6603926153254482E-2</v>
      </c>
    </row>
    <row r="415" spans="1:9" x14ac:dyDescent="0.25">
      <c r="A415">
        <v>217</v>
      </c>
      <c r="B415" t="s">
        <v>308</v>
      </c>
      <c r="C415" t="s">
        <v>48</v>
      </c>
      <c r="D415" t="s">
        <v>324</v>
      </c>
      <c r="E415">
        <f t="shared" si="16"/>
        <v>9.6153846153846159E-3</v>
      </c>
      <c r="F415">
        <v>82</v>
      </c>
      <c r="G415">
        <f>LOG(382/(82+1))</f>
        <v>0.66298527053563483</v>
      </c>
      <c r="H415">
        <f>0.00961538461538461*1.52658000080997</f>
        <v>1.4678653853942011E-2</v>
      </c>
      <c r="I415">
        <v>1.467865385394209E-2</v>
      </c>
    </row>
    <row r="416" spans="1:9" x14ac:dyDescent="0.25">
      <c r="A416">
        <v>217</v>
      </c>
      <c r="B416" t="s">
        <v>308</v>
      </c>
      <c r="C416" t="s">
        <v>48</v>
      </c>
      <c r="D416" t="s">
        <v>97</v>
      </c>
      <c r="E416">
        <f t="shared" si="16"/>
        <v>9.6153846153846159E-3</v>
      </c>
      <c r="F416">
        <v>19</v>
      </c>
      <c r="G416">
        <f>LOG(382/(19+1))</f>
        <v>1.2810333672477277</v>
      </c>
      <c r="H416">
        <f>0.00961538461538461*2.94968833505258</f>
        <v>2.8362387837044024E-2</v>
      </c>
      <c r="I416">
        <v>2.8362387837044079E-2</v>
      </c>
    </row>
    <row r="417" spans="1:9" x14ac:dyDescent="0.25">
      <c r="A417">
        <v>217</v>
      </c>
      <c r="B417" t="s">
        <v>308</v>
      </c>
      <c r="C417" t="s">
        <v>48</v>
      </c>
      <c r="D417" t="s">
        <v>325</v>
      </c>
      <c r="E417">
        <f t="shared" si="16"/>
        <v>9.6153846153846159E-3</v>
      </c>
      <c r="F417">
        <v>1</v>
      </c>
      <c r="G417">
        <f>LOG(382/(1+1))</f>
        <v>2.2810333672477277</v>
      </c>
      <c r="H417">
        <f>0.00961538461538461*5.25227342804663</f>
        <v>5.0502629115832955E-2</v>
      </c>
      <c r="I417">
        <v>5.0502629115832982E-2</v>
      </c>
    </row>
    <row r="418" spans="1:9" x14ac:dyDescent="0.25">
      <c r="A418">
        <v>217</v>
      </c>
      <c r="B418" t="s">
        <v>308</v>
      </c>
      <c r="C418" t="s">
        <v>48</v>
      </c>
      <c r="D418" t="s">
        <v>326</v>
      </c>
      <c r="E418">
        <f t="shared" si="16"/>
        <v>9.6153846153846159E-3</v>
      </c>
      <c r="F418">
        <v>1</v>
      </c>
      <c r="G418">
        <f>LOG(382/(1+1))</f>
        <v>2.2810333672477277</v>
      </c>
      <c r="H418">
        <f>0.00961538461538461*5.25227342804663</f>
        <v>5.0502629115832955E-2</v>
      </c>
      <c r="I418">
        <v>5.0502629115832982E-2</v>
      </c>
    </row>
    <row r="419" spans="1:9" x14ac:dyDescent="0.25">
      <c r="A419">
        <v>217</v>
      </c>
      <c r="B419" t="s">
        <v>308</v>
      </c>
      <c r="C419" t="s">
        <v>48</v>
      </c>
      <c r="D419" t="s">
        <v>327</v>
      </c>
      <c r="E419">
        <f t="shared" si="16"/>
        <v>9.6153846153846159E-3</v>
      </c>
      <c r="F419">
        <v>46</v>
      </c>
      <c r="G419">
        <f>LOG(382/(46+1))</f>
        <v>0.90996550497599127</v>
      </c>
      <c r="H419">
        <f>0.00961538461538461*2.09527300689651</f>
        <v>2.0146855835543358E-2</v>
      </c>
      <c r="I419">
        <v>2.0146855835543431E-2</v>
      </c>
    </row>
    <row r="420" spans="1:9" x14ac:dyDescent="0.25">
      <c r="A420">
        <v>217</v>
      </c>
      <c r="B420" t="s">
        <v>308</v>
      </c>
      <c r="C420" t="s">
        <v>48</v>
      </c>
      <c r="D420" t="s">
        <v>133</v>
      </c>
      <c r="E420">
        <f>2/104</f>
        <v>1.9230769230769232E-2</v>
      </c>
      <c r="F420">
        <v>142</v>
      </c>
      <c r="G420">
        <f>LOG(382/(142+1))</f>
        <v>0.42672732544664693</v>
      </c>
      <c r="H420">
        <f>0.0192307692307692*0.982575978346667</f>
        <v>1.8895691891282027E-2</v>
      </c>
      <c r="I420">
        <v>1.8895691891282079E-2</v>
      </c>
    </row>
    <row r="421" spans="1:9" x14ac:dyDescent="0.25">
      <c r="A421">
        <v>217</v>
      </c>
      <c r="B421" t="s">
        <v>308</v>
      </c>
      <c r="C421" t="s">
        <v>48</v>
      </c>
      <c r="D421" t="s">
        <v>76</v>
      </c>
      <c r="E421">
        <f t="shared" ref="E421:E448" si="17">1/104</f>
        <v>9.6153846153846159E-3</v>
      </c>
      <c r="F421">
        <v>140</v>
      </c>
      <c r="G421">
        <f>LOG(382/(140+1))</f>
        <v>0.43284425025632883</v>
      </c>
      <c r="H421">
        <f>0.00961538461538461*0.996660718228407</f>
        <v>9.5832761368116002E-3</v>
      </c>
      <c r="I421">
        <v>9.5832761368116054E-3</v>
      </c>
    </row>
    <row r="422" spans="1:9" x14ac:dyDescent="0.25">
      <c r="A422">
        <v>217</v>
      </c>
      <c r="B422" t="s">
        <v>308</v>
      </c>
      <c r="C422" t="s">
        <v>48</v>
      </c>
      <c r="D422" t="s">
        <v>134</v>
      </c>
      <c r="E422">
        <f t="shared" si="17"/>
        <v>9.6153846153846159E-3</v>
      </c>
      <c r="F422">
        <v>21</v>
      </c>
      <c r="G422">
        <f>LOG(382/(21+1))</f>
        <v>1.2396406820895025</v>
      </c>
      <c r="H422">
        <f>0.00961538461538461*2.85437815524825</f>
        <v>2.7445943800463928E-2</v>
      </c>
      <c r="I422">
        <v>2.7445943800464029E-2</v>
      </c>
    </row>
    <row r="423" spans="1:9" x14ac:dyDescent="0.25">
      <c r="A423">
        <v>217</v>
      </c>
      <c r="B423" t="s">
        <v>308</v>
      </c>
      <c r="C423" t="s">
        <v>48</v>
      </c>
      <c r="D423" t="s">
        <v>136</v>
      </c>
      <c r="E423">
        <f t="shared" si="17"/>
        <v>9.6153846153846159E-3</v>
      </c>
      <c r="F423">
        <v>17</v>
      </c>
      <c r="G423">
        <f>LOG(382/(17+1))</f>
        <v>1.3267908578084027</v>
      </c>
      <c r="H423">
        <f>0.00961538461538461*3.05504885071041</f>
        <v>2.9375469718369313E-2</v>
      </c>
      <c r="I423">
        <v>2.9375469718369331E-2</v>
      </c>
    </row>
    <row r="424" spans="1:9" x14ac:dyDescent="0.25">
      <c r="A424">
        <v>217</v>
      </c>
      <c r="B424" t="s">
        <v>308</v>
      </c>
      <c r="C424" t="s">
        <v>48</v>
      </c>
      <c r="D424" t="s">
        <v>328</v>
      </c>
      <c r="E424">
        <f t="shared" si="17"/>
        <v>9.6153846153846159E-3</v>
      </c>
      <c r="F424">
        <v>2</v>
      </c>
      <c r="G424">
        <f>LOG(382/(2+1))</f>
        <v>2.1049421081920463</v>
      </c>
      <c r="H424">
        <f>0.00961538461538461*4.84680831993846</f>
        <v>4.6603926153254399E-2</v>
      </c>
      <c r="I424">
        <v>4.6603926153254482E-2</v>
      </c>
    </row>
    <row r="425" spans="1:9" x14ac:dyDescent="0.25">
      <c r="A425">
        <v>217</v>
      </c>
      <c r="B425" t="s">
        <v>308</v>
      </c>
      <c r="C425" t="s">
        <v>48</v>
      </c>
      <c r="D425" t="s">
        <v>329</v>
      </c>
      <c r="E425">
        <f t="shared" si="17"/>
        <v>9.6153846153846159E-3</v>
      </c>
      <c r="F425">
        <v>9</v>
      </c>
      <c r="G425">
        <f>LOG(382/(9+1))</f>
        <v>1.5820633629117087</v>
      </c>
      <c r="H425">
        <f>0.00961538461538461*3.64283551561252</f>
        <v>3.5027264573197291E-2</v>
      </c>
      <c r="I425">
        <v>3.5027264573197402E-2</v>
      </c>
    </row>
    <row r="426" spans="1:9" x14ac:dyDescent="0.25">
      <c r="A426">
        <v>217</v>
      </c>
      <c r="B426" t="s">
        <v>308</v>
      </c>
      <c r="C426" t="s">
        <v>48</v>
      </c>
      <c r="D426" t="s">
        <v>330</v>
      </c>
      <c r="E426">
        <f t="shared" si="17"/>
        <v>9.6153846153846159E-3</v>
      </c>
      <c r="F426">
        <v>3</v>
      </c>
      <c r="G426">
        <f>LOG(382/(3+1))</f>
        <v>1.9800033715837464</v>
      </c>
      <c r="H426">
        <f>0.00961538461538461*4.55912624748668</f>
        <v>4.3837752379679594E-2</v>
      </c>
      <c r="I426">
        <v>4.3837752379679663E-2</v>
      </c>
    </row>
    <row r="427" spans="1:9" x14ac:dyDescent="0.25">
      <c r="A427">
        <v>217</v>
      </c>
      <c r="B427" t="s">
        <v>308</v>
      </c>
      <c r="C427" t="s">
        <v>48</v>
      </c>
      <c r="D427" t="s">
        <v>77</v>
      </c>
      <c r="E427">
        <f t="shared" si="17"/>
        <v>9.6153846153846159E-3</v>
      </c>
      <c r="F427">
        <v>148</v>
      </c>
      <c r="G427">
        <f>LOG(382/(148+1))</f>
        <v>0.40887709449943471</v>
      </c>
      <c r="H427">
        <f>0.00961538461538461*0.941474302661116</f>
        <v>9.0526375255876486E-3</v>
      </c>
      <c r="I427">
        <v>9.0526375255876555E-3</v>
      </c>
    </row>
    <row r="428" spans="1:9" x14ac:dyDescent="0.25">
      <c r="A428">
        <v>217</v>
      </c>
      <c r="B428" t="s">
        <v>308</v>
      </c>
      <c r="C428" t="s">
        <v>48</v>
      </c>
      <c r="D428" t="s">
        <v>331</v>
      </c>
      <c r="E428">
        <f t="shared" si="17"/>
        <v>9.6153846153846159E-3</v>
      </c>
      <c r="F428">
        <v>130</v>
      </c>
      <c r="G428">
        <f>LOG(382/(130+1))</f>
        <v>0.46479206725594452</v>
      </c>
      <c r="H428">
        <f>0.00961538461538461*1.07022328540542</f>
        <v>1.029060851351365E-2</v>
      </c>
      <c r="I428">
        <v>1.029060851351369E-2</v>
      </c>
    </row>
    <row r="429" spans="1:9" x14ac:dyDescent="0.25">
      <c r="A429">
        <v>217</v>
      </c>
      <c r="B429" t="s">
        <v>308</v>
      </c>
      <c r="C429" t="s">
        <v>48</v>
      </c>
      <c r="D429" t="s">
        <v>332</v>
      </c>
      <c r="E429">
        <f t="shared" si="17"/>
        <v>9.6153846153846159E-3</v>
      </c>
      <c r="F429">
        <v>3</v>
      </c>
      <c r="G429">
        <f>LOG(382/(3+1))</f>
        <v>1.9800033715837464</v>
      </c>
      <c r="H429">
        <f>0.00961538461538461*4.55912624748668</f>
        <v>4.3837752379679594E-2</v>
      </c>
      <c r="I429">
        <v>4.3837752379679663E-2</v>
      </c>
    </row>
    <row r="430" spans="1:9" x14ac:dyDescent="0.25">
      <c r="A430">
        <v>217</v>
      </c>
      <c r="B430" t="s">
        <v>308</v>
      </c>
      <c r="C430" t="s">
        <v>48</v>
      </c>
      <c r="D430" t="s">
        <v>333</v>
      </c>
      <c r="E430">
        <f t="shared" si="17"/>
        <v>9.6153846153846159E-3</v>
      </c>
      <c r="F430">
        <v>9</v>
      </c>
      <c r="G430">
        <f>LOG(382/(9+1))</f>
        <v>1.5820633629117087</v>
      </c>
      <c r="H430">
        <f>0.00961538461538461*3.64283551561252</f>
        <v>3.5027264573197291E-2</v>
      </c>
      <c r="I430">
        <v>3.5027264573197402E-2</v>
      </c>
    </row>
    <row r="431" spans="1:9" x14ac:dyDescent="0.25">
      <c r="A431">
        <v>217</v>
      </c>
      <c r="B431" t="s">
        <v>308</v>
      </c>
      <c r="C431" t="s">
        <v>48</v>
      </c>
      <c r="D431" t="s">
        <v>334</v>
      </c>
      <c r="E431">
        <f t="shared" si="17"/>
        <v>9.6153846153846159E-3</v>
      </c>
      <c r="F431">
        <v>1</v>
      </c>
      <c r="G431">
        <f>LOG(382/(1+1))</f>
        <v>2.2810333672477277</v>
      </c>
      <c r="H431">
        <f>0.00961538461538461*5.25227342804663</f>
        <v>5.0502629115832955E-2</v>
      </c>
      <c r="I431">
        <v>5.0502629115832982E-2</v>
      </c>
    </row>
    <row r="432" spans="1:9" x14ac:dyDescent="0.25">
      <c r="A432">
        <v>217</v>
      </c>
      <c r="B432" t="s">
        <v>308</v>
      </c>
      <c r="C432" t="s">
        <v>48</v>
      </c>
      <c r="D432" t="s">
        <v>335</v>
      </c>
      <c r="E432">
        <f t="shared" si="17"/>
        <v>9.6153846153846159E-3</v>
      </c>
      <c r="F432">
        <v>7</v>
      </c>
      <c r="G432">
        <f>LOG(382/(7+1))</f>
        <v>1.6789733759197651</v>
      </c>
      <c r="H432">
        <f>0.00961538461538461*3.86597906692673</f>
        <v>3.7172875643526233E-2</v>
      </c>
      <c r="I432">
        <v>3.7172875643526337E-2</v>
      </c>
    </row>
    <row r="433" spans="1:9" x14ac:dyDescent="0.25">
      <c r="A433">
        <v>217</v>
      </c>
      <c r="B433" t="s">
        <v>308</v>
      </c>
      <c r="C433" t="s">
        <v>48</v>
      </c>
      <c r="D433" t="s">
        <v>98</v>
      </c>
      <c r="E433">
        <f t="shared" si="17"/>
        <v>9.6153846153846159E-3</v>
      </c>
      <c r="F433">
        <v>56</v>
      </c>
      <c r="G433">
        <f>LOG(382/(56+1))</f>
        <v>0.82618850723921733</v>
      </c>
      <c r="H433">
        <f>0.00961538461538461*1.90236934077202</f>
        <v>1.8292012892038644E-2</v>
      </c>
      <c r="I433">
        <v>1.82920128920387E-2</v>
      </c>
    </row>
    <row r="434" spans="1:9" x14ac:dyDescent="0.25">
      <c r="A434">
        <v>217</v>
      </c>
      <c r="B434" t="s">
        <v>308</v>
      </c>
      <c r="C434" t="s">
        <v>48</v>
      </c>
      <c r="D434" t="s">
        <v>307</v>
      </c>
      <c r="E434">
        <f t="shared" si="17"/>
        <v>9.6153846153846159E-3</v>
      </c>
      <c r="F434">
        <v>67</v>
      </c>
      <c r="G434">
        <f>LOG(382/(67+1))</f>
        <v>0.7495544502054724</v>
      </c>
      <c r="H434">
        <f>0.00961538461538461*1.72591290343046</f>
        <v>1.6595316379139032E-2</v>
      </c>
      <c r="I434">
        <v>1.6595316379139122E-2</v>
      </c>
    </row>
    <row r="435" spans="1:9" x14ac:dyDescent="0.25">
      <c r="A435">
        <v>217</v>
      </c>
      <c r="B435" t="s">
        <v>308</v>
      </c>
      <c r="C435" t="s">
        <v>48</v>
      </c>
      <c r="D435" t="s">
        <v>103</v>
      </c>
      <c r="E435">
        <f t="shared" si="17"/>
        <v>9.6153846153846159E-3</v>
      </c>
      <c r="F435">
        <v>38</v>
      </c>
      <c r="G435">
        <f>LOG(382/(38+1))</f>
        <v>0.99099875588520958</v>
      </c>
      <c r="H435">
        <f>0.00961538461538461*2.28185896247692</f>
        <v>2.1940951562278068E-2</v>
      </c>
      <c r="I435">
        <v>2.1940951562278169E-2</v>
      </c>
    </row>
    <row r="436" spans="1:9" x14ac:dyDescent="0.25">
      <c r="A436">
        <v>217</v>
      </c>
      <c r="B436" t="s">
        <v>308</v>
      </c>
      <c r="C436" t="s">
        <v>48</v>
      </c>
      <c r="D436" t="s">
        <v>336</v>
      </c>
      <c r="E436">
        <f t="shared" si="17"/>
        <v>9.6153846153846159E-3</v>
      </c>
      <c r="F436">
        <v>10</v>
      </c>
      <c r="G436">
        <f>LOG(382/(10+1))</f>
        <v>1.5406706777534838</v>
      </c>
      <c r="H436">
        <f>0.00961538461538461*3.5475253358082</f>
        <v>3.4110820536617292E-2</v>
      </c>
      <c r="I436">
        <v>3.4110820536617348E-2</v>
      </c>
    </row>
    <row r="437" spans="1:9" x14ac:dyDescent="0.25">
      <c r="A437">
        <v>217</v>
      </c>
      <c r="B437" t="s">
        <v>308</v>
      </c>
      <c r="C437" t="s">
        <v>48</v>
      </c>
      <c r="D437" t="s">
        <v>68</v>
      </c>
      <c r="E437">
        <f t="shared" si="17"/>
        <v>9.6153846153846159E-3</v>
      </c>
      <c r="F437">
        <v>43</v>
      </c>
      <c r="G437">
        <f>LOG(382/(43+1))</f>
        <v>0.93861068642552126</v>
      </c>
      <c r="H437">
        <f>0.00961538461538461*2.16123097468831</f>
        <v>2.0781067064310661E-2</v>
      </c>
      <c r="I437">
        <v>2.078106706431071E-2</v>
      </c>
    </row>
    <row r="438" spans="1:9" x14ac:dyDescent="0.25">
      <c r="A438">
        <v>217</v>
      </c>
      <c r="B438" t="s">
        <v>308</v>
      </c>
      <c r="C438" t="s">
        <v>48</v>
      </c>
      <c r="D438" t="s">
        <v>44</v>
      </c>
      <c r="E438">
        <f t="shared" si="17"/>
        <v>9.6153846153846159E-3</v>
      </c>
      <c r="F438">
        <v>151</v>
      </c>
      <c r="G438">
        <f>LOG(382/(151+1))</f>
        <v>0.40021977496693617</v>
      </c>
      <c r="H438">
        <f>0.00961538461538461*0.921540087760298</f>
        <v>8.8609623823105547E-3</v>
      </c>
      <c r="I438">
        <v>8.8609623823105652E-3</v>
      </c>
    </row>
    <row r="439" spans="1:9" x14ac:dyDescent="0.25">
      <c r="A439">
        <v>217</v>
      </c>
      <c r="B439" t="s">
        <v>308</v>
      </c>
      <c r="C439" t="s">
        <v>48</v>
      </c>
      <c r="D439" t="s">
        <v>337</v>
      </c>
      <c r="E439">
        <f t="shared" si="17"/>
        <v>9.6153846153846159E-3</v>
      </c>
      <c r="F439">
        <v>2</v>
      </c>
      <c r="G439">
        <f>LOG(382/(2+1))</f>
        <v>2.1049421081920463</v>
      </c>
      <c r="H439">
        <f>0.00961538461538461*4.84680831993846</f>
        <v>4.6603926153254399E-2</v>
      </c>
      <c r="I439">
        <v>4.6603926153254482E-2</v>
      </c>
    </row>
    <row r="440" spans="1:9" x14ac:dyDescent="0.25">
      <c r="A440">
        <v>217</v>
      </c>
      <c r="B440" t="s">
        <v>308</v>
      </c>
      <c r="C440" t="s">
        <v>48</v>
      </c>
      <c r="D440" t="s">
        <v>338</v>
      </c>
      <c r="E440">
        <f t="shared" si="17"/>
        <v>9.6153846153846159E-3</v>
      </c>
      <c r="F440">
        <v>54</v>
      </c>
      <c r="G440">
        <f>LOG(382/(54+1))</f>
        <v>0.84170067341746491</v>
      </c>
      <c r="H440">
        <f>0.00961538461538461*1.9380874233741</f>
        <v>1.8635455993981722E-2</v>
      </c>
      <c r="I440">
        <v>1.8635455993981771E-2</v>
      </c>
    </row>
    <row r="441" spans="1:9" x14ac:dyDescent="0.25">
      <c r="A441">
        <v>217</v>
      </c>
      <c r="B441" t="s">
        <v>308</v>
      </c>
      <c r="C441" t="s">
        <v>48</v>
      </c>
      <c r="D441" t="s">
        <v>339</v>
      </c>
      <c r="E441">
        <f t="shared" si="17"/>
        <v>9.6153846153846159E-3</v>
      </c>
      <c r="F441">
        <v>66</v>
      </c>
      <c r="G441">
        <f>LOG(382/(66+1))</f>
        <v>0.75598856021088234</v>
      </c>
      <c r="H441">
        <f>0.00961538461538461*1.7407279892156</f>
        <v>1.673776912707307E-2</v>
      </c>
      <c r="I441">
        <v>1.6737769127073161E-2</v>
      </c>
    </row>
    <row r="442" spans="1:9" x14ac:dyDescent="0.25">
      <c r="A442">
        <v>217</v>
      </c>
      <c r="B442" t="s">
        <v>308</v>
      </c>
      <c r="C442" t="s">
        <v>48</v>
      </c>
      <c r="D442" t="s">
        <v>340</v>
      </c>
      <c r="E442">
        <f t="shared" si="17"/>
        <v>9.6153846153846159E-3</v>
      </c>
      <c r="F442">
        <v>28</v>
      </c>
      <c r="G442">
        <f>LOG(382/(28+1))</f>
        <v>1.1196653650127526</v>
      </c>
      <c r="H442">
        <f>0.00961538461538461*2.5781247786201</f>
        <v>2.4789661332885564E-2</v>
      </c>
      <c r="I442">
        <v>2.4789661332885592E-2</v>
      </c>
    </row>
    <row r="443" spans="1:9" x14ac:dyDescent="0.25">
      <c r="A443">
        <v>217</v>
      </c>
      <c r="B443" t="s">
        <v>308</v>
      </c>
      <c r="C443" t="s">
        <v>48</v>
      </c>
      <c r="D443" t="s">
        <v>38</v>
      </c>
      <c r="E443">
        <f t="shared" si="17"/>
        <v>9.6153846153846159E-3</v>
      </c>
      <c r="F443">
        <v>86</v>
      </c>
      <c r="G443">
        <f>LOG(382/(86+1))</f>
        <v>0.64254411029309022</v>
      </c>
      <c r="H443">
        <f>0.00961538461538461*1.47951248995199</f>
        <v>1.4226081634153743E-2</v>
      </c>
      <c r="I443">
        <v>1.4226081634153761E-2</v>
      </c>
    </row>
    <row r="444" spans="1:9" x14ac:dyDescent="0.25">
      <c r="A444">
        <v>217</v>
      </c>
      <c r="B444" t="s">
        <v>308</v>
      </c>
      <c r="C444" t="s">
        <v>48</v>
      </c>
      <c r="D444" t="s">
        <v>341</v>
      </c>
      <c r="E444">
        <f t="shared" si="17"/>
        <v>9.6153846153846159E-3</v>
      </c>
      <c r="F444">
        <v>1</v>
      </c>
      <c r="G444">
        <f>LOG(382/(1+1))</f>
        <v>2.2810333672477277</v>
      </c>
      <c r="H444">
        <f>0.00961538461538461*5.25227342804663</f>
        <v>5.0502629115832955E-2</v>
      </c>
      <c r="I444">
        <v>5.0502629115832982E-2</v>
      </c>
    </row>
    <row r="445" spans="1:9" x14ac:dyDescent="0.25">
      <c r="A445">
        <v>217</v>
      </c>
      <c r="B445" t="s">
        <v>308</v>
      </c>
      <c r="C445" t="s">
        <v>48</v>
      </c>
      <c r="D445" t="s">
        <v>119</v>
      </c>
      <c r="E445">
        <f t="shared" si="17"/>
        <v>9.6153846153846159E-3</v>
      </c>
      <c r="F445">
        <v>79</v>
      </c>
      <c r="G445">
        <f>LOG(382/(79+1))</f>
        <v>0.67897337591976514</v>
      </c>
      <c r="H445">
        <f>0.00961538461538461*1.56339397393269</f>
        <v>1.5032634364737398E-2</v>
      </c>
      <c r="I445">
        <v>1.5032634364737439E-2</v>
      </c>
    </row>
    <row r="446" spans="1:9" x14ac:dyDescent="0.25">
      <c r="A446">
        <v>217</v>
      </c>
      <c r="B446" t="s">
        <v>308</v>
      </c>
      <c r="C446" t="s">
        <v>48</v>
      </c>
      <c r="D446" t="s">
        <v>236</v>
      </c>
      <c r="E446">
        <f t="shared" si="17"/>
        <v>9.6153846153846159E-3</v>
      </c>
      <c r="F446">
        <v>87</v>
      </c>
      <c r="G446">
        <f>LOG(382/(87+1))</f>
        <v>0.63758069076154011</v>
      </c>
      <c r="H446">
        <f>0.00961538461538461*1.46808379412836</f>
        <v>1.4116190328157301E-2</v>
      </c>
      <c r="I446">
        <v>1.4116190328157391E-2</v>
      </c>
    </row>
    <row r="447" spans="1:9" x14ac:dyDescent="0.25">
      <c r="A447">
        <v>217</v>
      </c>
      <c r="B447" t="s">
        <v>308</v>
      </c>
      <c r="C447" t="s">
        <v>48</v>
      </c>
      <c r="D447" t="s">
        <v>124</v>
      </c>
      <c r="E447">
        <f t="shared" si="17"/>
        <v>9.6153846153846159E-3</v>
      </c>
      <c r="F447">
        <v>9</v>
      </c>
      <c r="G447">
        <f>LOG(382/(9+1))</f>
        <v>1.5820633629117087</v>
      </c>
      <c r="H447">
        <f>0.00961538461538461*3.64283551561252</f>
        <v>3.5027264573197291E-2</v>
      </c>
      <c r="I447">
        <v>3.5027264573197402E-2</v>
      </c>
    </row>
    <row r="448" spans="1:9" x14ac:dyDescent="0.25">
      <c r="A448">
        <v>217</v>
      </c>
      <c r="B448" t="s">
        <v>308</v>
      </c>
      <c r="C448" t="s">
        <v>48</v>
      </c>
      <c r="D448" t="s">
        <v>342</v>
      </c>
      <c r="E448">
        <f t="shared" si="17"/>
        <v>9.6153846153846159E-3</v>
      </c>
      <c r="F448">
        <v>35</v>
      </c>
      <c r="G448">
        <f>LOG(382/(35+1))</f>
        <v>1.0257608621444214</v>
      </c>
      <c r="H448">
        <f>0.00961538461538461*2.36190167015046</f>
        <v>2.2710592982215953E-2</v>
      </c>
      <c r="I448">
        <v>2.2710592982216012E-2</v>
      </c>
    </row>
    <row r="449" spans="1:9" x14ac:dyDescent="0.25">
      <c r="A449">
        <v>218</v>
      </c>
      <c r="B449" t="s">
        <v>343</v>
      </c>
      <c r="C449" t="s">
        <v>48</v>
      </c>
      <c r="D449" t="s">
        <v>87</v>
      </c>
      <c r="E449">
        <f>10/80</f>
        <v>0.125</v>
      </c>
      <c r="F449">
        <v>12</v>
      </c>
      <c r="G449">
        <f>LOG(382/(12+1))</f>
        <v>1.468120010604872</v>
      </c>
      <c r="H449">
        <f>0.125*3.38047125114503</f>
        <v>0.42255890639312876</v>
      </c>
      <c r="I449">
        <v>0.42255890639312982</v>
      </c>
    </row>
    <row r="450" spans="1:9" x14ac:dyDescent="0.25">
      <c r="A450">
        <v>218</v>
      </c>
      <c r="B450" t="s">
        <v>343</v>
      </c>
      <c r="C450" t="s">
        <v>48</v>
      </c>
      <c r="D450" t="s">
        <v>107</v>
      </c>
      <c r="E450">
        <f>8/80</f>
        <v>0.1</v>
      </c>
      <c r="F450">
        <v>6</v>
      </c>
      <c r="G450">
        <f>LOG(382/(6+1))</f>
        <v>1.736965322897452</v>
      </c>
      <c r="H450">
        <f>0.1*3.99951045955126</f>
        <v>0.39995104595512604</v>
      </c>
      <c r="I450">
        <v>0.39995104595512621</v>
      </c>
    </row>
    <row r="451" spans="1:9" x14ac:dyDescent="0.25">
      <c r="A451">
        <v>218</v>
      </c>
      <c r="B451" t="s">
        <v>343</v>
      </c>
      <c r="C451" t="s">
        <v>48</v>
      </c>
      <c r="D451" t="s">
        <v>38</v>
      </c>
      <c r="E451">
        <f>2/80</f>
        <v>2.5000000000000001E-2</v>
      </c>
      <c r="F451">
        <v>86</v>
      </c>
      <c r="G451">
        <f>LOG(382/(86+1))</f>
        <v>0.64254411029309022</v>
      </c>
      <c r="H451">
        <f>0.025*1.47951248995199</f>
        <v>3.6987812248799753E-2</v>
      </c>
      <c r="I451">
        <v>3.6987812248799788E-2</v>
      </c>
    </row>
    <row r="452" spans="1:9" x14ac:dyDescent="0.25">
      <c r="A452">
        <v>218</v>
      </c>
      <c r="B452" t="s">
        <v>343</v>
      </c>
      <c r="C452" t="s">
        <v>48</v>
      </c>
      <c r="D452" t="s">
        <v>193</v>
      </c>
      <c r="E452">
        <f>1/80</f>
        <v>1.2500000000000001E-2</v>
      </c>
      <c r="F452">
        <v>10</v>
      </c>
      <c r="G452">
        <f>LOG(382/(10+1))</f>
        <v>1.5406706777534838</v>
      </c>
      <c r="H452">
        <f>0.0125*3.5475253358082</f>
        <v>4.4344066697602505E-2</v>
      </c>
      <c r="I452">
        <v>4.434406669760256E-2</v>
      </c>
    </row>
    <row r="453" spans="1:9" x14ac:dyDescent="0.25">
      <c r="A453">
        <v>218</v>
      </c>
      <c r="B453" t="s">
        <v>343</v>
      </c>
      <c r="C453" t="s">
        <v>48</v>
      </c>
      <c r="D453" t="s">
        <v>98</v>
      </c>
      <c r="E453">
        <f>3/80</f>
        <v>3.7499999999999999E-2</v>
      </c>
      <c r="F453">
        <v>56</v>
      </c>
      <c r="G453">
        <f>LOG(382/(56+1))</f>
        <v>0.82618850723921733</v>
      </c>
      <c r="H453">
        <f>0.0375*1.90236934077202</f>
        <v>7.1338850278950747E-2</v>
      </c>
      <c r="I453">
        <v>7.1338850278950941E-2</v>
      </c>
    </row>
    <row r="454" spans="1:9" x14ac:dyDescent="0.25">
      <c r="A454">
        <v>218</v>
      </c>
      <c r="B454" t="s">
        <v>343</v>
      </c>
      <c r="C454" t="s">
        <v>48</v>
      </c>
      <c r="D454" t="s">
        <v>105</v>
      </c>
      <c r="E454">
        <f>2/80</f>
        <v>2.5000000000000001E-2</v>
      </c>
      <c r="F454">
        <v>122</v>
      </c>
      <c r="G454">
        <f>LOG(382/(122+1))</f>
        <v>0.49215825147231079</v>
      </c>
      <c r="H454">
        <f>0.025*1.13323625323415</f>
        <v>2.833090633085375E-2</v>
      </c>
      <c r="I454">
        <v>2.8330906330853941E-2</v>
      </c>
    </row>
    <row r="455" spans="1:9" x14ac:dyDescent="0.25">
      <c r="A455">
        <v>218</v>
      </c>
      <c r="B455" t="s">
        <v>343</v>
      </c>
      <c r="C455" t="s">
        <v>48</v>
      </c>
      <c r="D455" t="s">
        <v>22</v>
      </c>
      <c r="E455">
        <f>2/80</f>
        <v>2.5000000000000001E-2</v>
      </c>
      <c r="F455">
        <v>259</v>
      </c>
      <c r="G455">
        <f>LOG(382/(259+1))</f>
        <v>0.16709001494089079</v>
      </c>
      <c r="H455">
        <f>0.025*0.384738977591047</f>
        <v>9.6184744397761757E-3</v>
      </c>
      <c r="I455">
        <v>9.6184744397761895E-3</v>
      </c>
    </row>
    <row r="456" spans="1:9" x14ac:dyDescent="0.25">
      <c r="A456">
        <v>218</v>
      </c>
      <c r="B456" t="s">
        <v>343</v>
      </c>
      <c r="C456" t="s">
        <v>48</v>
      </c>
      <c r="D456" t="s">
        <v>23</v>
      </c>
      <c r="E456">
        <f>2/80</f>
        <v>2.5000000000000001E-2</v>
      </c>
      <c r="F456">
        <v>275</v>
      </c>
      <c r="G456">
        <f>LOG(382/(275+1))</f>
        <v>0.14115428084649101</v>
      </c>
      <c r="H456">
        <f>0.025*0.325019742889425</f>
        <v>8.1254935722356245E-3</v>
      </c>
      <c r="I456">
        <v>8.1254935722356297E-3</v>
      </c>
    </row>
    <row r="457" spans="1:9" x14ac:dyDescent="0.25">
      <c r="A457">
        <v>218</v>
      </c>
      <c r="B457" t="s">
        <v>343</v>
      </c>
      <c r="C457" t="s">
        <v>48</v>
      </c>
      <c r="D457" t="s">
        <v>260</v>
      </c>
      <c r="E457">
        <f>1/80</f>
        <v>1.2500000000000001E-2</v>
      </c>
      <c r="F457">
        <v>31</v>
      </c>
      <c r="G457">
        <f>LOG(382/(31+1))</f>
        <v>1.0769133845918029</v>
      </c>
      <c r="H457">
        <f>0.0125*2.47968470580684</f>
        <v>3.09960588225855E-2</v>
      </c>
      <c r="I457">
        <v>3.0996058822585611E-2</v>
      </c>
    </row>
    <row r="458" spans="1:9" x14ac:dyDescent="0.25">
      <c r="A458">
        <v>218</v>
      </c>
      <c r="B458" t="s">
        <v>343</v>
      </c>
      <c r="C458" t="s">
        <v>48</v>
      </c>
      <c r="D458" t="s">
        <v>44</v>
      </c>
      <c r="E458">
        <f>2/80</f>
        <v>2.5000000000000001E-2</v>
      </c>
      <c r="F458">
        <v>151</v>
      </c>
      <c r="G458">
        <f>LOG(382/(151+1))</f>
        <v>0.40021977496693617</v>
      </c>
      <c r="H458">
        <f>0.025*0.921540087760298</f>
        <v>2.3038502194007451E-2</v>
      </c>
      <c r="I458">
        <v>2.3038502194007469E-2</v>
      </c>
    </row>
    <row r="459" spans="1:9" x14ac:dyDescent="0.25">
      <c r="A459">
        <v>218</v>
      </c>
      <c r="B459" t="s">
        <v>343</v>
      </c>
      <c r="C459" t="s">
        <v>48</v>
      </c>
      <c r="D459" t="s">
        <v>344</v>
      </c>
      <c r="E459">
        <f>1/80</f>
        <v>1.2500000000000001E-2</v>
      </c>
      <c r="F459">
        <v>6</v>
      </c>
      <c r="G459">
        <f>LOG(382/(6+1))</f>
        <v>1.736965322897452</v>
      </c>
      <c r="H459">
        <f>0.0125*3.99951045955126</f>
        <v>4.9993880744390755E-2</v>
      </c>
      <c r="I459">
        <v>4.9993880744390783E-2</v>
      </c>
    </row>
    <row r="460" spans="1:9" x14ac:dyDescent="0.25">
      <c r="A460">
        <v>218</v>
      </c>
      <c r="B460" t="s">
        <v>343</v>
      </c>
      <c r="C460" t="s">
        <v>48</v>
      </c>
      <c r="D460" t="s">
        <v>313</v>
      </c>
      <c r="E460">
        <f>1/80</f>
        <v>1.2500000000000001E-2</v>
      </c>
      <c r="F460">
        <v>13</v>
      </c>
      <c r="G460">
        <f>LOG(382/(13+1))</f>
        <v>1.4359353272334707</v>
      </c>
      <c r="H460">
        <f>0.0125*3.30636327899131</f>
        <v>4.1329540987391382E-2</v>
      </c>
      <c r="I460">
        <v>4.1329540987391458E-2</v>
      </c>
    </row>
    <row r="461" spans="1:9" x14ac:dyDescent="0.25">
      <c r="A461">
        <v>218</v>
      </c>
      <c r="B461" t="s">
        <v>343</v>
      </c>
      <c r="C461" t="s">
        <v>48</v>
      </c>
      <c r="D461" t="s">
        <v>21</v>
      </c>
      <c r="E461">
        <f>1/80</f>
        <v>1.2500000000000001E-2</v>
      </c>
      <c r="F461">
        <v>14</v>
      </c>
      <c r="G461">
        <f>LOG(382/(14+1))</f>
        <v>1.4059721038560276</v>
      </c>
      <c r="H461">
        <f>0.0125*3.23737040750436</f>
        <v>4.0467130093804503E-2</v>
      </c>
      <c r="I461">
        <v>4.0467130093804572E-2</v>
      </c>
    </row>
    <row r="462" spans="1:9" x14ac:dyDescent="0.25">
      <c r="A462">
        <v>218</v>
      </c>
      <c r="B462" t="s">
        <v>343</v>
      </c>
      <c r="C462" t="s">
        <v>48</v>
      </c>
      <c r="D462" t="s">
        <v>345</v>
      </c>
      <c r="E462">
        <f>1/80</f>
        <v>1.2500000000000001E-2</v>
      </c>
      <c r="F462">
        <v>8</v>
      </c>
      <c r="G462">
        <f>LOG(382/(8+1))</f>
        <v>1.6278208534723839</v>
      </c>
      <c r="H462">
        <f>0.0125*3.74819603127035</f>
        <v>4.6852450390879374E-2</v>
      </c>
      <c r="I462">
        <v>4.6852450390879451E-2</v>
      </c>
    </row>
    <row r="463" spans="1:9" x14ac:dyDescent="0.25">
      <c r="A463">
        <v>218</v>
      </c>
      <c r="B463" t="s">
        <v>343</v>
      </c>
      <c r="C463" t="s">
        <v>48</v>
      </c>
      <c r="D463" t="s">
        <v>346</v>
      </c>
      <c r="E463">
        <f>5/80</f>
        <v>6.25E-2</v>
      </c>
      <c r="F463">
        <v>1</v>
      </c>
      <c r="G463">
        <f>LOG(382/(1+1))</f>
        <v>2.2810333672477277</v>
      </c>
      <c r="H463">
        <f>0.0625*5.25227342804663</f>
        <v>0.32826708925291437</v>
      </c>
      <c r="I463">
        <v>0.32826708925291442</v>
      </c>
    </row>
    <row r="464" spans="1:9" x14ac:dyDescent="0.25">
      <c r="A464">
        <v>218</v>
      </c>
      <c r="B464" t="s">
        <v>343</v>
      </c>
      <c r="C464" t="s">
        <v>48</v>
      </c>
      <c r="D464" t="s">
        <v>31</v>
      </c>
      <c r="E464">
        <f>1/80</f>
        <v>1.2500000000000001E-2</v>
      </c>
      <c r="F464">
        <v>31</v>
      </c>
      <c r="G464">
        <f>LOG(382/(31+1))</f>
        <v>1.0769133845918029</v>
      </c>
      <c r="H464">
        <f>0.0125*2.47968470580684</f>
        <v>3.09960588225855E-2</v>
      </c>
      <c r="I464">
        <v>3.0996058822585611E-2</v>
      </c>
    </row>
    <row r="465" spans="1:9" x14ac:dyDescent="0.25">
      <c r="A465">
        <v>218</v>
      </c>
      <c r="B465" t="s">
        <v>343</v>
      </c>
      <c r="C465" t="s">
        <v>48</v>
      </c>
      <c r="D465" t="s">
        <v>347</v>
      </c>
      <c r="E465">
        <f>4/80</f>
        <v>0.05</v>
      </c>
      <c r="F465">
        <v>3</v>
      </c>
      <c r="G465">
        <f>LOG(382/(3+1))</f>
        <v>1.9800033715837464</v>
      </c>
      <c r="H465">
        <f>0.05*4.55912624748668</f>
        <v>0.227956312374334</v>
      </c>
      <c r="I465">
        <v>0.2279563123743342</v>
      </c>
    </row>
    <row r="466" spans="1:9" x14ac:dyDescent="0.25">
      <c r="A466">
        <v>218</v>
      </c>
      <c r="B466" t="s">
        <v>343</v>
      </c>
      <c r="C466" t="s">
        <v>48</v>
      </c>
      <c r="D466" t="s">
        <v>348</v>
      </c>
      <c r="E466">
        <f>2/80</f>
        <v>2.5000000000000001E-2</v>
      </c>
      <c r="F466">
        <v>5</v>
      </c>
      <c r="G466">
        <f>LOG(382/(5+1))</f>
        <v>1.803912112528065</v>
      </c>
      <c r="H466">
        <f>0.025*4.15366113937852</f>
        <v>0.103841528484463</v>
      </c>
      <c r="I466">
        <v>0.103841528484463</v>
      </c>
    </row>
    <row r="467" spans="1:9" x14ac:dyDescent="0.25">
      <c r="A467">
        <v>218</v>
      </c>
      <c r="B467" t="s">
        <v>343</v>
      </c>
      <c r="C467" t="s">
        <v>48</v>
      </c>
      <c r="D467" t="s">
        <v>349</v>
      </c>
      <c r="E467">
        <f>1/80</f>
        <v>1.2500000000000001E-2</v>
      </c>
      <c r="F467">
        <v>4</v>
      </c>
      <c r="G467">
        <f>LOG(382/(4+1))</f>
        <v>1.8830933585756899</v>
      </c>
      <c r="H467">
        <f>0.0125*4.33598269617247</f>
        <v>5.4199783702155883E-2</v>
      </c>
      <c r="I467">
        <v>5.4199783702155939E-2</v>
      </c>
    </row>
    <row r="468" spans="1:9" x14ac:dyDescent="0.25">
      <c r="A468">
        <v>218</v>
      </c>
      <c r="B468" t="s">
        <v>343</v>
      </c>
      <c r="C468" t="s">
        <v>48</v>
      </c>
      <c r="D468" t="s">
        <v>88</v>
      </c>
      <c r="E468">
        <f>1/80</f>
        <v>1.2500000000000001E-2</v>
      </c>
      <c r="F468">
        <v>13</v>
      </c>
      <c r="G468">
        <f>LOG(382/(13+1))</f>
        <v>1.4359353272334707</v>
      </c>
      <c r="H468">
        <f>0.0125*3.30636327899131</f>
        <v>4.1329540987391382E-2</v>
      </c>
      <c r="I468">
        <v>4.1329540987391458E-2</v>
      </c>
    </row>
    <row r="469" spans="1:9" x14ac:dyDescent="0.25">
      <c r="A469">
        <v>218</v>
      </c>
      <c r="B469" t="s">
        <v>343</v>
      </c>
      <c r="C469" t="s">
        <v>48</v>
      </c>
      <c r="D469" t="s">
        <v>51</v>
      </c>
      <c r="E469">
        <f>2/80</f>
        <v>2.5000000000000001E-2</v>
      </c>
      <c r="F469">
        <v>8</v>
      </c>
      <c r="G469">
        <f>LOG(382/(8+1))</f>
        <v>1.6278208534723839</v>
      </c>
      <c r="H469">
        <f>0.025*3.74819603127035</f>
        <v>9.3704900781758749E-2</v>
      </c>
      <c r="I469">
        <v>9.3704900781758901E-2</v>
      </c>
    </row>
    <row r="470" spans="1:9" x14ac:dyDescent="0.25">
      <c r="A470">
        <v>218</v>
      </c>
      <c r="B470" t="s">
        <v>343</v>
      </c>
      <c r="C470" t="s">
        <v>48</v>
      </c>
      <c r="D470" t="s">
        <v>224</v>
      </c>
      <c r="E470">
        <f t="shared" ref="E470:E475" si="18">1/80</f>
        <v>1.2500000000000001E-2</v>
      </c>
      <c r="F470">
        <v>16</v>
      </c>
      <c r="G470">
        <f>LOG(382/(16+1))</f>
        <v>1.3516144415334348</v>
      </c>
      <c r="H470">
        <f>0.0125*3.11220726455035</f>
        <v>3.8902590806879377E-2</v>
      </c>
      <c r="I470">
        <v>3.8902590806879488E-2</v>
      </c>
    </row>
    <row r="471" spans="1:9" x14ac:dyDescent="0.25">
      <c r="A471">
        <v>218</v>
      </c>
      <c r="B471" t="s">
        <v>343</v>
      </c>
      <c r="C471" t="s">
        <v>48</v>
      </c>
      <c r="D471" t="s">
        <v>54</v>
      </c>
      <c r="E471">
        <f t="shared" si="18"/>
        <v>1.2500000000000001E-2</v>
      </c>
      <c r="F471">
        <v>25</v>
      </c>
      <c r="G471">
        <f>LOG(382/(25+1))</f>
        <v>1.1670900149408907</v>
      </c>
      <c r="H471">
        <f>0.0125*2.68732407058509</f>
        <v>3.359155088231363E-2</v>
      </c>
      <c r="I471">
        <v>3.3591550882313657E-2</v>
      </c>
    </row>
    <row r="472" spans="1:9" x14ac:dyDescent="0.25">
      <c r="A472">
        <v>218</v>
      </c>
      <c r="B472" t="s">
        <v>343</v>
      </c>
      <c r="C472" t="s">
        <v>48</v>
      </c>
      <c r="D472" t="s">
        <v>350</v>
      </c>
      <c r="E472">
        <f t="shared" si="18"/>
        <v>1.2500000000000001E-2</v>
      </c>
      <c r="F472">
        <v>5</v>
      </c>
      <c r="G472">
        <f>LOG(382/(5+1))</f>
        <v>1.803912112528065</v>
      </c>
      <c r="H472">
        <f>0.0125*4.15366113937852</f>
        <v>5.19207642422315E-2</v>
      </c>
      <c r="I472">
        <v>5.19207642422315E-2</v>
      </c>
    </row>
    <row r="473" spans="1:9" x14ac:dyDescent="0.25">
      <c r="A473">
        <v>218</v>
      </c>
      <c r="B473" t="s">
        <v>343</v>
      </c>
      <c r="C473" t="s">
        <v>48</v>
      </c>
      <c r="D473" t="s">
        <v>216</v>
      </c>
      <c r="E473">
        <f t="shared" si="18"/>
        <v>1.2500000000000001E-2</v>
      </c>
      <c r="F473">
        <v>63</v>
      </c>
      <c r="G473">
        <f>LOG(382/(63+1))</f>
        <v>0.7758833889278216</v>
      </c>
      <c r="H473">
        <f>0.0125*1.7865375252469</f>
        <v>2.2331719065586252E-2</v>
      </c>
      <c r="I473">
        <v>2.233171906558629E-2</v>
      </c>
    </row>
    <row r="474" spans="1:9" x14ac:dyDescent="0.25">
      <c r="A474">
        <v>218</v>
      </c>
      <c r="B474" t="s">
        <v>343</v>
      </c>
      <c r="C474" t="s">
        <v>48</v>
      </c>
      <c r="D474" t="s">
        <v>219</v>
      </c>
      <c r="E474">
        <f t="shared" si="18"/>
        <v>1.2500000000000001E-2</v>
      </c>
      <c r="F474">
        <v>19</v>
      </c>
      <c r="G474">
        <f>LOG(382/(19+1))</f>
        <v>1.2810333672477277</v>
      </c>
      <c r="H474">
        <f>0.0125*2.94968833505258</f>
        <v>3.6871104188157248E-2</v>
      </c>
      <c r="I474">
        <v>3.6871104188157297E-2</v>
      </c>
    </row>
    <row r="475" spans="1:9" x14ac:dyDescent="0.25">
      <c r="A475">
        <v>218</v>
      </c>
      <c r="B475" t="s">
        <v>343</v>
      </c>
      <c r="C475" t="s">
        <v>48</v>
      </c>
      <c r="D475" t="s">
        <v>97</v>
      </c>
      <c r="E475">
        <f t="shared" si="18"/>
        <v>1.2500000000000001E-2</v>
      </c>
      <c r="F475">
        <v>19</v>
      </c>
      <c r="G475">
        <f>LOG(382/(19+1))</f>
        <v>1.2810333672477277</v>
      </c>
      <c r="H475">
        <f>0.0125*2.94968833505258</f>
        <v>3.6871104188157248E-2</v>
      </c>
      <c r="I475">
        <v>3.6871104188157297E-2</v>
      </c>
    </row>
    <row r="476" spans="1:9" x14ac:dyDescent="0.25">
      <c r="A476">
        <v>218</v>
      </c>
      <c r="B476" t="s">
        <v>343</v>
      </c>
      <c r="C476" t="s">
        <v>48</v>
      </c>
      <c r="D476" t="s">
        <v>351</v>
      </c>
      <c r="E476">
        <f>6/80</f>
        <v>7.4999999999999997E-2</v>
      </c>
      <c r="F476">
        <v>2</v>
      </c>
      <c r="G476">
        <f>LOG(382/(2+1))</f>
        <v>2.1049421081920463</v>
      </c>
      <c r="H476">
        <f>0.075*4.84680831993846</f>
        <v>0.36351062399538447</v>
      </c>
      <c r="I476">
        <v>0.36351062399538492</v>
      </c>
    </row>
    <row r="477" spans="1:9" x14ac:dyDescent="0.25">
      <c r="A477">
        <v>218</v>
      </c>
      <c r="B477" t="s">
        <v>343</v>
      </c>
      <c r="C477" t="s">
        <v>48</v>
      </c>
      <c r="D477" t="s">
        <v>352</v>
      </c>
      <c r="E477">
        <f t="shared" ref="E477:E491" si="19">1/80</f>
        <v>1.2500000000000001E-2</v>
      </c>
      <c r="F477">
        <v>5</v>
      </c>
      <c r="G477">
        <f>LOG(382/(5+1))</f>
        <v>1.803912112528065</v>
      </c>
      <c r="H477">
        <f>0.0125*4.15366113937852</f>
        <v>5.19207642422315E-2</v>
      </c>
      <c r="I477">
        <v>5.19207642422315E-2</v>
      </c>
    </row>
    <row r="478" spans="1:9" x14ac:dyDescent="0.25">
      <c r="A478">
        <v>218</v>
      </c>
      <c r="B478" t="s">
        <v>343</v>
      </c>
      <c r="C478" t="s">
        <v>48</v>
      </c>
      <c r="D478" t="s">
        <v>353</v>
      </c>
      <c r="E478">
        <f t="shared" si="19"/>
        <v>1.2500000000000001E-2</v>
      </c>
      <c r="F478">
        <v>2</v>
      </c>
      <c r="G478">
        <f>LOG(382/(2+1))</f>
        <v>2.1049421081920463</v>
      </c>
      <c r="H478">
        <f>0.0125*4.84680831993846</f>
        <v>6.0585103999230755E-2</v>
      </c>
      <c r="I478">
        <v>6.0585103999230817E-2</v>
      </c>
    </row>
    <row r="479" spans="1:9" x14ac:dyDescent="0.25">
      <c r="A479">
        <v>218</v>
      </c>
      <c r="B479" t="s">
        <v>343</v>
      </c>
      <c r="C479" t="s">
        <v>48</v>
      </c>
      <c r="D479" t="s">
        <v>354</v>
      </c>
      <c r="E479">
        <f t="shared" si="19"/>
        <v>1.2500000000000001E-2</v>
      </c>
      <c r="F479">
        <v>1</v>
      </c>
      <c r="G479">
        <f>LOG(382/(1+1))</f>
        <v>2.2810333672477277</v>
      </c>
      <c r="H479">
        <f>0.0125*5.25227342804663</f>
        <v>6.5653417850582874E-2</v>
      </c>
      <c r="I479">
        <v>6.5653417850582874E-2</v>
      </c>
    </row>
    <row r="480" spans="1:9" x14ac:dyDescent="0.25">
      <c r="A480">
        <v>218</v>
      </c>
      <c r="B480" t="s">
        <v>343</v>
      </c>
      <c r="C480" t="s">
        <v>48</v>
      </c>
      <c r="D480" t="s">
        <v>355</v>
      </c>
      <c r="E480">
        <f t="shared" si="19"/>
        <v>1.2500000000000001E-2</v>
      </c>
      <c r="F480">
        <v>1</v>
      </c>
      <c r="G480">
        <f>LOG(382/(1+1))</f>
        <v>2.2810333672477277</v>
      </c>
      <c r="H480">
        <f>0.0125*5.25227342804663</f>
        <v>6.5653417850582874E-2</v>
      </c>
      <c r="I480">
        <v>6.5653417850582874E-2</v>
      </c>
    </row>
    <row r="481" spans="1:9" x14ac:dyDescent="0.25">
      <c r="A481">
        <v>218</v>
      </c>
      <c r="B481" t="s">
        <v>343</v>
      </c>
      <c r="C481" t="s">
        <v>48</v>
      </c>
      <c r="D481" t="s">
        <v>356</v>
      </c>
      <c r="E481">
        <f t="shared" si="19"/>
        <v>1.2500000000000001E-2</v>
      </c>
      <c r="F481">
        <v>1</v>
      </c>
      <c r="G481">
        <f>LOG(382/(1+1))</f>
        <v>2.2810333672477277</v>
      </c>
      <c r="H481">
        <f>0.0125*5.25227342804663</f>
        <v>6.5653417850582874E-2</v>
      </c>
      <c r="I481">
        <v>6.5653417850582874E-2</v>
      </c>
    </row>
    <row r="482" spans="1:9" x14ac:dyDescent="0.25">
      <c r="A482">
        <v>218</v>
      </c>
      <c r="B482" t="s">
        <v>343</v>
      </c>
      <c r="C482" t="s">
        <v>48</v>
      </c>
      <c r="D482" t="s">
        <v>357</v>
      </c>
      <c r="E482">
        <f t="shared" si="19"/>
        <v>1.2500000000000001E-2</v>
      </c>
      <c r="F482">
        <v>7</v>
      </c>
      <c r="G482">
        <f>LOG(382/(7+1))</f>
        <v>1.6789733759197651</v>
      </c>
      <c r="H482">
        <f>0.0125*3.86597906692673</f>
        <v>4.8324738336584128E-2</v>
      </c>
      <c r="I482">
        <v>4.8324738336584239E-2</v>
      </c>
    </row>
    <row r="483" spans="1:9" x14ac:dyDescent="0.25">
      <c r="A483">
        <v>218</v>
      </c>
      <c r="B483" t="s">
        <v>343</v>
      </c>
      <c r="C483" t="s">
        <v>48</v>
      </c>
      <c r="D483" t="s">
        <v>358</v>
      </c>
      <c r="E483">
        <f t="shared" si="19"/>
        <v>1.2500000000000001E-2</v>
      </c>
      <c r="F483">
        <v>3</v>
      </c>
      <c r="G483">
        <f>LOG(382/(3+1))</f>
        <v>1.9800033715837464</v>
      </c>
      <c r="H483">
        <f>0.0125*4.55912624748668</f>
        <v>5.6989078093583501E-2</v>
      </c>
      <c r="I483">
        <v>5.6989078093583563E-2</v>
      </c>
    </row>
    <row r="484" spans="1:9" x14ac:dyDescent="0.25">
      <c r="A484">
        <v>218</v>
      </c>
      <c r="B484" t="s">
        <v>343</v>
      </c>
      <c r="C484" t="s">
        <v>48</v>
      </c>
      <c r="D484" t="s">
        <v>50</v>
      </c>
      <c r="E484">
        <f t="shared" si="19"/>
        <v>1.2500000000000001E-2</v>
      </c>
      <c r="F484">
        <v>109</v>
      </c>
      <c r="G484">
        <f>LOG(382/(109+1))</f>
        <v>0.54067067775348365</v>
      </c>
      <c r="H484">
        <f>0.0125*1.24494024281415</f>
        <v>1.5561753035176876E-2</v>
      </c>
      <c r="I484">
        <v>1.5561753035176989E-2</v>
      </c>
    </row>
    <row r="485" spans="1:9" x14ac:dyDescent="0.25">
      <c r="A485">
        <v>218</v>
      </c>
      <c r="B485" t="s">
        <v>343</v>
      </c>
      <c r="C485" t="s">
        <v>48</v>
      </c>
      <c r="D485" t="s">
        <v>121</v>
      </c>
      <c r="E485">
        <f t="shared" si="19"/>
        <v>1.2500000000000001E-2</v>
      </c>
      <c r="F485">
        <v>22</v>
      </c>
      <c r="G485">
        <f>LOG(382/(22+1))</f>
        <v>1.2203355268941158</v>
      </c>
      <c r="H485">
        <f>0.0125*2.80992639267742</f>
        <v>3.5124079908467748E-2</v>
      </c>
      <c r="I485">
        <v>3.5124079908467817E-2</v>
      </c>
    </row>
    <row r="486" spans="1:9" x14ac:dyDescent="0.25">
      <c r="A486">
        <v>218</v>
      </c>
      <c r="B486" t="s">
        <v>343</v>
      </c>
      <c r="C486" t="s">
        <v>48</v>
      </c>
      <c r="D486" t="s">
        <v>359</v>
      </c>
      <c r="E486">
        <f t="shared" si="19"/>
        <v>1.2500000000000001E-2</v>
      </c>
      <c r="F486">
        <v>2</v>
      </c>
      <c r="G486">
        <f>LOG(382/(2+1))</f>
        <v>2.1049421081920463</v>
      </c>
      <c r="H486">
        <f>0.0125*4.84680831993846</f>
        <v>6.0585103999230755E-2</v>
      </c>
      <c r="I486">
        <v>6.0585103999230817E-2</v>
      </c>
    </row>
    <row r="487" spans="1:9" x14ac:dyDescent="0.25">
      <c r="A487">
        <v>218</v>
      </c>
      <c r="B487" t="s">
        <v>343</v>
      </c>
      <c r="C487" t="s">
        <v>48</v>
      </c>
      <c r="D487" t="s">
        <v>360</v>
      </c>
      <c r="E487">
        <f t="shared" si="19"/>
        <v>1.2500000000000001E-2</v>
      </c>
      <c r="F487">
        <v>15</v>
      </c>
      <c r="G487">
        <f>LOG(382/(15+1))</f>
        <v>1.3779433802557839</v>
      </c>
      <c r="H487">
        <f>0.0125*3.17283188636679</f>
        <v>3.966039857958488E-2</v>
      </c>
      <c r="I487">
        <v>3.9660398579584928E-2</v>
      </c>
    </row>
    <row r="488" spans="1:9" x14ac:dyDescent="0.25">
      <c r="A488">
        <v>218</v>
      </c>
      <c r="B488" t="s">
        <v>343</v>
      </c>
      <c r="C488" t="s">
        <v>48</v>
      </c>
      <c r="D488" t="s">
        <v>361</v>
      </c>
      <c r="E488">
        <f t="shared" si="19"/>
        <v>1.2500000000000001E-2</v>
      </c>
      <c r="F488">
        <v>118</v>
      </c>
      <c r="G488">
        <f>LOG(382/(118+1))</f>
        <v>0.50651640151917798</v>
      </c>
      <c r="H488">
        <f>0.0125*1.16629711549504</f>
        <v>1.4578713943687999E-2</v>
      </c>
      <c r="I488">
        <v>1.457871394368807E-2</v>
      </c>
    </row>
    <row r="489" spans="1:9" x14ac:dyDescent="0.25">
      <c r="A489">
        <v>218</v>
      </c>
      <c r="B489" t="s">
        <v>343</v>
      </c>
      <c r="C489" t="s">
        <v>48</v>
      </c>
      <c r="D489" t="s">
        <v>362</v>
      </c>
      <c r="E489">
        <f t="shared" si="19"/>
        <v>1.2500000000000001E-2</v>
      </c>
      <c r="F489">
        <v>81</v>
      </c>
      <c r="G489">
        <f>LOG(382/(81+1))</f>
        <v>0.66824951052799197</v>
      </c>
      <c r="H489">
        <f>0.0125*1.53870136134232</f>
        <v>1.9233767016779001E-2</v>
      </c>
      <c r="I489">
        <v>1.9233767016779021E-2</v>
      </c>
    </row>
    <row r="490" spans="1:9" x14ac:dyDescent="0.25">
      <c r="A490">
        <v>218</v>
      </c>
      <c r="B490" t="s">
        <v>343</v>
      </c>
      <c r="C490" t="s">
        <v>48</v>
      </c>
      <c r="D490" t="s">
        <v>363</v>
      </c>
      <c r="E490">
        <f t="shared" si="19"/>
        <v>1.2500000000000001E-2</v>
      </c>
      <c r="F490">
        <v>36</v>
      </c>
      <c r="G490">
        <f>LOG(382/(36+1))</f>
        <v>1.0138616388447137</v>
      </c>
      <c r="H490">
        <f>0.0125*2.33450269596235</f>
        <v>2.9181283699529378E-2</v>
      </c>
      <c r="I490">
        <v>2.9181283699529392E-2</v>
      </c>
    </row>
    <row r="491" spans="1:9" x14ac:dyDescent="0.25">
      <c r="A491">
        <v>218</v>
      </c>
      <c r="B491" t="s">
        <v>343</v>
      </c>
      <c r="C491" t="s">
        <v>48</v>
      </c>
      <c r="D491" t="s">
        <v>126</v>
      </c>
      <c r="E491">
        <f t="shared" si="19"/>
        <v>1.2500000000000001E-2</v>
      </c>
      <c r="F491">
        <v>79</v>
      </c>
      <c r="G491">
        <f>LOG(382/(79+1))</f>
        <v>0.67897337591976514</v>
      </c>
      <c r="H491">
        <f>0.0125*1.56339397393269</f>
        <v>1.9542424674158627E-2</v>
      </c>
      <c r="I491">
        <v>1.9542424674158669E-2</v>
      </c>
    </row>
    <row r="492" spans="1:9" x14ac:dyDescent="0.25">
      <c r="A492">
        <v>219</v>
      </c>
      <c r="B492" t="s">
        <v>364</v>
      </c>
      <c r="C492" t="s">
        <v>48</v>
      </c>
      <c r="D492" t="s">
        <v>103</v>
      </c>
      <c r="E492">
        <f>16/94</f>
        <v>0.1702127659574468</v>
      </c>
      <c r="F492">
        <v>38</v>
      </c>
      <c r="G492">
        <f>LOG(382/(38+1))</f>
        <v>0.99099875588520958</v>
      </c>
      <c r="H492">
        <f>0.170212765957446*2.28185896247692</f>
        <v>0.38840152552798457</v>
      </c>
      <c r="I492">
        <v>0.3884015255279879</v>
      </c>
    </row>
    <row r="493" spans="1:9" x14ac:dyDescent="0.25">
      <c r="A493">
        <v>219</v>
      </c>
      <c r="B493" t="s">
        <v>364</v>
      </c>
      <c r="C493" t="s">
        <v>48</v>
      </c>
      <c r="D493" t="s">
        <v>365</v>
      </c>
      <c r="E493">
        <f>4/94</f>
        <v>4.2553191489361701E-2</v>
      </c>
      <c r="F493">
        <v>1</v>
      </c>
      <c r="G493">
        <f>LOG(382/(1+1))</f>
        <v>2.2810333672477277</v>
      </c>
      <c r="H493">
        <f>0.0425531914893617*5.25227342804663</f>
        <v>0.22350099693815445</v>
      </c>
      <c r="I493">
        <v>0.22350099693815451</v>
      </c>
    </row>
    <row r="494" spans="1:9" x14ac:dyDescent="0.25">
      <c r="A494">
        <v>219</v>
      </c>
      <c r="B494" t="s">
        <v>364</v>
      </c>
      <c r="C494" t="s">
        <v>48</v>
      </c>
      <c r="D494" t="s">
        <v>366</v>
      </c>
      <c r="E494">
        <f>4/94</f>
        <v>4.2553191489361701E-2</v>
      </c>
      <c r="F494">
        <v>1</v>
      </c>
      <c r="G494">
        <f>LOG(382/(1+1))</f>
        <v>2.2810333672477277</v>
      </c>
      <c r="H494">
        <f>0.0425531914893617*5.25227342804663</f>
        <v>0.22350099693815445</v>
      </c>
      <c r="I494">
        <v>0.22350099693815451</v>
      </c>
    </row>
    <row r="495" spans="1:9" x14ac:dyDescent="0.25">
      <c r="A495">
        <v>219</v>
      </c>
      <c r="B495" t="s">
        <v>364</v>
      </c>
      <c r="C495" t="s">
        <v>48</v>
      </c>
      <c r="D495" t="s">
        <v>367</v>
      </c>
      <c r="E495">
        <f>1/94</f>
        <v>1.0638297872340425E-2</v>
      </c>
      <c r="F495">
        <v>4</v>
      </c>
      <c r="G495">
        <f>LOG(382/(4+1))</f>
        <v>1.8830933585756899</v>
      </c>
      <c r="H495">
        <f>0.0106382978723404*4.33598269617247</f>
        <v>4.6127475491196376E-2</v>
      </c>
      <c r="I495">
        <v>4.6127475491196543E-2</v>
      </c>
    </row>
    <row r="496" spans="1:9" x14ac:dyDescent="0.25">
      <c r="A496">
        <v>219</v>
      </c>
      <c r="B496" t="s">
        <v>364</v>
      </c>
      <c r="C496" t="s">
        <v>48</v>
      </c>
      <c r="D496" t="s">
        <v>42</v>
      </c>
      <c r="E496">
        <f>2/94</f>
        <v>2.1276595744680851E-2</v>
      </c>
      <c r="F496">
        <v>251</v>
      </c>
      <c r="G496">
        <f>LOG(382/(251+1))</f>
        <v>0.18066282213016463</v>
      </c>
      <c r="H496">
        <f>0.0212765957446808*0.415991521095151</f>
        <v>8.8508834275563813E-3</v>
      </c>
      <c r="I496">
        <v>8.8508834275564229E-3</v>
      </c>
    </row>
    <row r="497" spans="1:9" x14ac:dyDescent="0.25">
      <c r="A497">
        <v>219</v>
      </c>
      <c r="B497" t="s">
        <v>364</v>
      </c>
      <c r="C497" t="s">
        <v>48</v>
      </c>
      <c r="D497" t="s">
        <v>15</v>
      </c>
      <c r="E497">
        <f>1/94</f>
        <v>1.0638297872340425E-2</v>
      </c>
      <c r="F497">
        <v>112</v>
      </c>
      <c r="G497">
        <f>LOG(382/(112+1))</f>
        <v>0.52898491942828896</v>
      </c>
      <c r="H497">
        <f>0.0106382978723404*1.21803278989423</f>
        <v>1.2957795637172628E-2</v>
      </c>
      <c r="I497">
        <v>1.295779563717271E-2</v>
      </c>
    </row>
    <row r="498" spans="1:9" x14ac:dyDescent="0.25">
      <c r="A498">
        <v>219</v>
      </c>
      <c r="B498" t="s">
        <v>364</v>
      </c>
      <c r="C498" t="s">
        <v>48</v>
      </c>
      <c r="D498" t="s">
        <v>368</v>
      </c>
      <c r="E498">
        <f>2/94</f>
        <v>2.1276595744680851E-2</v>
      </c>
      <c r="F498">
        <v>17</v>
      </c>
      <c r="G498">
        <f>LOG(382/(17+1))</f>
        <v>1.3267908578084027</v>
      </c>
      <c r="H498">
        <f>0.0212765957446808*3.05504885071041</f>
        <v>6.5001039376817074E-2</v>
      </c>
      <c r="I498">
        <v>6.5001039376817241E-2</v>
      </c>
    </row>
    <row r="499" spans="1:9" x14ac:dyDescent="0.25">
      <c r="A499">
        <v>219</v>
      </c>
      <c r="B499" t="s">
        <v>364</v>
      </c>
      <c r="C499" t="s">
        <v>48</v>
      </c>
      <c r="D499" t="s">
        <v>17</v>
      </c>
      <c r="E499">
        <f>1/94</f>
        <v>1.0638297872340425E-2</v>
      </c>
      <c r="F499">
        <v>169</v>
      </c>
      <c r="G499">
        <f>LOG(382/(169+1))</f>
        <v>0.3516144415334348</v>
      </c>
      <c r="H499">
        <f>0.0106382978723404*0.809622171556313</f>
        <v>8.6130018250671382E-3</v>
      </c>
      <c r="I499">
        <v>8.6130018250671642E-3</v>
      </c>
    </row>
    <row r="500" spans="1:9" x14ac:dyDescent="0.25">
      <c r="A500">
        <v>219</v>
      </c>
      <c r="B500" t="s">
        <v>364</v>
      </c>
      <c r="C500" t="s">
        <v>48</v>
      </c>
      <c r="D500" t="s">
        <v>369</v>
      </c>
      <c r="E500">
        <f>1/94</f>
        <v>1.0638297872340425E-2</v>
      </c>
      <c r="F500">
        <v>1</v>
      </c>
      <c r="G500">
        <f>LOG(382/(1+1))</f>
        <v>2.2810333672477277</v>
      </c>
      <c r="H500">
        <f>0.0106382978723404*5.25227342804663</f>
        <v>5.5875249234538481E-2</v>
      </c>
      <c r="I500">
        <v>5.5875249234538613E-2</v>
      </c>
    </row>
    <row r="501" spans="1:9" x14ac:dyDescent="0.25">
      <c r="A501">
        <v>219</v>
      </c>
      <c r="B501" t="s">
        <v>364</v>
      </c>
      <c r="C501" t="s">
        <v>48</v>
      </c>
      <c r="D501" t="s">
        <v>370</v>
      </c>
      <c r="E501">
        <f>1/94</f>
        <v>1.0638297872340425E-2</v>
      </c>
      <c r="F501">
        <v>14</v>
      </c>
      <c r="G501">
        <f>LOG(382/(14+1))</f>
        <v>1.4059721038560276</v>
      </c>
      <c r="H501">
        <f>0.0106382978723404*3.23737040750436</f>
        <v>3.4440110718131405E-2</v>
      </c>
      <c r="I501">
        <v>3.4440110718131543E-2</v>
      </c>
    </row>
    <row r="502" spans="1:9" x14ac:dyDescent="0.25">
      <c r="A502">
        <v>219</v>
      </c>
      <c r="B502" t="s">
        <v>364</v>
      </c>
      <c r="C502" t="s">
        <v>48</v>
      </c>
      <c r="D502" t="s">
        <v>371</v>
      </c>
      <c r="E502">
        <f>1/94</f>
        <v>1.0638297872340425E-2</v>
      </c>
      <c r="F502">
        <v>3</v>
      </c>
      <c r="G502">
        <f>LOG(382/(3+1))</f>
        <v>1.9800033715837464</v>
      </c>
      <c r="H502">
        <f>0.0106382978723404*4.55912624748668</f>
        <v>4.8501343058368819E-2</v>
      </c>
      <c r="I502">
        <v>4.8501343058368993E-2</v>
      </c>
    </row>
    <row r="503" spans="1:9" x14ac:dyDescent="0.25">
      <c r="A503">
        <v>219</v>
      </c>
      <c r="B503" t="s">
        <v>364</v>
      </c>
      <c r="C503" t="s">
        <v>48</v>
      </c>
      <c r="D503" t="s">
        <v>23</v>
      </c>
      <c r="E503">
        <f>1/94</f>
        <v>1.0638297872340425E-2</v>
      </c>
      <c r="F503">
        <v>275</v>
      </c>
      <c r="G503">
        <f>LOG(382/(275+1))</f>
        <v>0.14115428084649101</v>
      </c>
      <c r="H503">
        <f>0.0106382978723404*0.325019742889425</f>
        <v>3.4576568392491935E-3</v>
      </c>
      <c r="I503">
        <v>3.457656839249203E-3</v>
      </c>
    </row>
    <row r="504" spans="1:9" x14ac:dyDescent="0.25">
      <c r="A504">
        <v>219</v>
      </c>
      <c r="B504" t="s">
        <v>364</v>
      </c>
      <c r="C504" t="s">
        <v>48</v>
      </c>
      <c r="D504" t="s">
        <v>372</v>
      </c>
      <c r="E504">
        <f>3/94</f>
        <v>3.1914893617021274E-2</v>
      </c>
      <c r="F504">
        <v>8</v>
      </c>
      <c r="G504">
        <f>LOG(382/(8+1))</f>
        <v>1.6278208534723839</v>
      </c>
      <c r="H504">
        <f>0.0319148936170212*3.74819603127035</f>
        <v>0.11962327759373428</v>
      </c>
      <c r="I504">
        <v>0.1196232775937347</v>
      </c>
    </row>
    <row r="505" spans="1:9" x14ac:dyDescent="0.25">
      <c r="A505">
        <v>219</v>
      </c>
      <c r="B505" t="s">
        <v>364</v>
      </c>
      <c r="C505" t="s">
        <v>48</v>
      </c>
      <c r="D505" t="s">
        <v>25</v>
      </c>
      <c r="E505">
        <f>3/94</f>
        <v>3.1914893617021274E-2</v>
      </c>
      <c r="F505">
        <v>106</v>
      </c>
      <c r="G505">
        <f>LOG(382/(106+1))</f>
        <v>0.55267958522649907</v>
      </c>
      <c r="H505">
        <f>0.0319148936170212*1.27259177414466</f>
        <v>4.0614631089723088E-2</v>
      </c>
      <c r="I505">
        <v>4.0614631089723477E-2</v>
      </c>
    </row>
    <row r="506" spans="1:9" x14ac:dyDescent="0.25">
      <c r="A506">
        <v>219</v>
      </c>
      <c r="B506" t="s">
        <v>364</v>
      </c>
      <c r="C506" t="s">
        <v>48</v>
      </c>
      <c r="D506" t="s">
        <v>373</v>
      </c>
      <c r="E506">
        <f>2/94</f>
        <v>2.1276595744680851E-2</v>
      </c>
      <c r="F506">
        <v>4</v>
      </c>
      <c r="G506">
        <f>LOG(382/(4+1))</f>
        <v>1.8830933585756899</v>
      </c>
      <c r="H506">
        <f>0.0212765957446808*4.33598269617247</f>
        <v>9.2254950982392753E-2</v>
      </c>
      <c r="I506">
        <v>9.2254950982393072E-2</v>
      </c>
    </row>
    <row r="507" spans="1:9" x14ac:dyDescent="0.25">
      <c r="A507">
        <v>219</v>
      </c>
      <c r="B507" t="s">
        <v>364</v>
      </c>
      <c r="C507" t="s">
        <v>48</v>
      </c>
      <c r="D507" t="s">
        <v>374</v>
      </c>
      <c r="E507">
        <f>2/94</f>
        <v>2.1276595744680851E-2</v>
      </c>
      <c r="F507">
        <v>2</v>
      </c>
      <c r="G507">
        <f>LOG(382/(2+1))</f>
        <v>2.1049421081920463</v>
      </c>
      <c r="H507">
        <f>0.0212765957446808*4.84680831993846</f>
        <v>0.10312358127528613</v>
      </c>
      <c r="I507">
        <v>0.10312358127528649</v>
      </c>
    </row>
    <row r="508" spans="1:9" x14ac:dyDescent="0.25">
      <c r="A508">
        <v>219</v>
      </c>
      <c r="B508" t="s">
        <v>364</v>
      </c>
      <c r="C508" t="s">
        <v>48</v>
      </c>
      <c r="D508" t="s">
        <v>375</v>
      </c>
      <c r="E508">
        <f>1/94</f>
        <v>1.0638297872340425E-2</v>
      </c>
      <c r="F508">
        <v>1</v>
      </c>
      <c r="G508">
        <f>LOG(382/(1+1))</f>
        <v>2.2810333672477277</v>
      </c>
      <c r="H508">
        <f>0.0106382978723404*5.25227342804663</f>
        <v>5.5875249234538481E-2</v>
      </c>
      <c r="I508">
        <v>5.5875249234538613E-2</v>
      </c>
    </row>
    <row r="509" spans="1:9" x14ac:dyDescent="0.25">
      <c r="A509">
        <v>219</v>
      </c>
      <c r="B509" t="s">
        <v>364</v>
      </c>
      <c r="C509" t="s">
        <v>48</v>
      </c>
      <c r="D509" t="s">
        <v>131</v>
      </c>
      <c r="E509">
        <f>3/94</f>
        <v>3.1914893617021274E-2</v>
      </c>
      <c r="F509">
        <v>38</v>
      </c>
      <c r="G509">
        <f>LOG(382/(38+1))</f>
        <v>0.99099875588520958</v>
      </c>
      <c r="H509">
        <f>0.0319148936170212*2.28185896247692</f>
        <v>7.2825286036497267E-2</v>
      </c>
      <c r="I509">
        <v>7.2825286036497724E-2</v>
      </c>
    </row>
    <row r="510" spans="1:9" x14ac:dyDescent="0.25">
      <c r="A510">
        <v>219</v>
      </c>
      <c r="B510" t="s">
        <v>364</v>
      </c>
      <c r="C510" t="s">
        <v>48</v>
      </c>
      <c r="D510" t="s">
        <v>376</v>
      </c>
      <c r="E510">
        <f>1/94</f>
        <v>1.0638297872340425E-2</v>
      </c>
      <c r="F510">
        <v>1</v>
      </c>
      <c r="G510">
        <f>LOG(382/(1+1))</f>
        <v>2.2810333672477277</v>
      </c>
      <c r="H510">
        <f>0.0106382978723404*5.25227342804663</f>
        <v>5.5875249234538481E-2</v>
      </c>
      <c r="I510">
        <v>5.5875249234538613E-2</v>
      </c>
    </row>
    <row r="511" spans="1:9" x14ac:dyDescent="0.25">
      <c r="A511">
        <v>219</v>
      </c>
      <c r="B511" t="s">
        <v>364</v>
      </c>
      <c r="C511" t="s">
        <v>48</v>
      </c>
      <c r="D511" t="s">
        <v>377</v>
      </c>
      <c r="E511">
        <f>1/94</f>
        <v>1.0638297872340425E-2</v>
      </c>
      <c r="F511">
        <v>1</v>
      </c>
      <c r="G511">
        <f>LOG(382/(1+1))</f>
        <v>2.2810333672477277</v>
      </c>
      <c r="H511">
        <f>0.0106382978723404*5.25227342804663</f>
        <v>5.5875249234538481E-2</v>
      </c>
      <c r="I511">
        <v>5.5875249234538613E-2</v>
      </c>
    </row>
    <row r="512" spans="1:9" x14ac:dyDescent="0.25">
      <c r="A512">
        <v>219</v>
      </c>
      <c r="B512" t="s">
        <v>364</v>
      </c>
      <c r="C512" t="s">
        <v>48</v>
      </c>
      <c r="D512" t="s">
        <v>31</v>
      </c>
      <c r="E512">
        <f>1/94</f>
        <v>1.0638297872340425E-2</v>
      </c>
      <c r="F512">
        <v>31</v>
      </c>
      <c r="G512">
        <f>LOG(382/(31+1))</f>
        <v>1.0769133845918029</v>
      </c>
      <c r="H512">
        <f>0.0106382978723404*2.47968470580684</f>
        <v>2.6379624529859935E-2</v>
      </c>
      <c r="I512">
        <v>2.6379624529860091E-2</v>
      </c>
    </row>
    <row r="513" spans="1:9" x14ac:dyDescent="0.25">
      <c r="A513">
        <v>219</v>
      </c>
      <c r="B513" t="s">
        <v>364</v>
      </c>
      <c r="C513" t="s">
        <v>48</v>
      </c>
      <c r="D513" t="s">
        <v>378</v>
      </c>
      <c r="E513">
        <f>1/94</f>
        <v>1.0638297872340425E-2</v>
      </c>
      <c r="F513">
        <v>4</v>
      </c>
      <c r="G513">
        <f>LOG(382/(4+1))</f>
        <v>1.8830933585756899</v>
      </c>
      <c r="H513">
        <f>0.0106382978723404*4.33598269617247</f>
        <v>4.6127475491196376E-2</v>
      </c>
      <c r="I513">
        <v>4.6127475491196543E-2</v>
      </c>
    </row>
    <row r="514" spans="1:9" x14ac:dyDescent="0.25">
      <c r="A514">
        <v>219</v>
      </c>
      <c r="B514" t="s">
        <v>364</v>
      </c>
      <c r="C514" t="s">
        <v>48</v>
      </c>
      <c r="D514" t="s">
        <v>379</v>
      </c>
      <c r="E514">
        <f>1/94</f>
        <v>1.0638297872340425E-2</v>
      </c>
      <c r="F514">
        <v>17</v>
      </c>
      <c r="G514">
        <f>LOG(382/(17+1))</f>
        <v>1.3267908578084027</v>
      </c>
      <c r="H514">
        <f>0.0106382978723404*3.05504885071041</f>
        <v>3.2500519688408537E-2</v>
      </c>
      <c r="I514">
        <v>3.250051968840862E-2</v>
      </c>
    </row>
    <row r="515" spans="1:9" x14ac:dyDescent="0.25">
      <c r="A515">
        <v>219</v>
      </c>
      <c r="B515" t="s">
        <v>364</v>
      </c>
      <c r="C515" t="s">
        <v>48</v>
      </c>
      <c r="D515" t="s">
        <v>380</v>
      </c>
      <c r="E515">
        <f>2/94</f>
        <v>2.1276595744680851E-2</v>
      </c>
      <c r="F515">
        <v>1</v>
      </c>
      <c r="G515">
        <f>LOG(382/(1+1))</f>
        <v>2.2810333672477277</v>
      </c>
      <c r="H515">
        <f>0.0212765957446808*5.25227342804663</f>
        <v>0.11175049846907696</v>
      </c>
      <c r="I515">
        <v>0.1117504984690772</v>
      </c>
    </row>
    <row r="516" spans="1:9" x14ac:dyDescent="0.25">
      <c r="A516">
        <v>219</v>
      </c>
      <c r="B516" t="s">
        <v>364</v>
      </c>
      <c r="C516" t="s">
        <v>48</v>
      </c>
      <c r="D516" t="s">
        <v>58</v>
      </c>
      <c r="E516">
        <f>2/94</f>
        <v>2.1276595744680851E-2</v>
      </c>
      <c r="F516">
        <v>18</v>
      </c>
      <c r="G516">
        <f>LOG(382/(18+1))</f>
        <v>1.3033097619588798</v>
      </c>
      <c r="H516">
        <f>0.0212765957446808*3.00098162944013</f>
        <v>6.3850672966811128E-2</v>
      </c>
      <c r="I516">
        <v>6.3850672966811378E-2</v>
      </c>
    </row>
    <row r="517" spans="1:9" x14ac:dyDescent="0.25">
      <c r="A517">
        <v>219</v>
      </c>
      <c r="B517" t="s">
        <v>364</v>
      </c>
      <c r="C517" t="s">
        <v>48</v>
      </c>
      <c r="D517" t="s">
        <v>381</v>
      </c>
      <c r="E517">
        <f>2/94</f>
        <v>2.1276595744680851E-2</v>
      </c>
      <c r="F517">
        <v>1</v>
      </c>
      <c r="G517">
        <f>LOG(382/(1+1))</f>
        <v>2.2810333672477277</v>
      </c>
      <c r="H517">
        <f>0.0212765957446808*5.25227342804663</f>
        <v>0.11175049846907696</v>
      </c>
      <c r="I517">
        <v>0.1117504984690772</v>
      </c>
    </row>
    <row r="518" spans="1:9" x14ac:dyDescent="0.25">
      <c r="A518">
        <v>219</v>
      </c>
      <c r="B518" t="s">
        <v>364</v>
      </c>
      <c r="C518" t="s">
        <v>48</v>
      </c>
      <c r="D518" t="s">
        <v>382</v>
      </c>
      <c r="E518">
        <f t="shared" ref="E518:E551" si="20">1/94</f>
        <v>1.0638297872340425E-2</v>
      </c>
      <c r="F518">
        <v>1</v>
      </c>
      <c r="G518">
        <f>LOG(382/(1+1))</f>
        <v>2.2810333672477277</v>
      </c>
      <c r="H518">
        <f>0.0106382978723404*5.25227342804663</f>
        <v>5.5875249234538481E-2</v>
      </c>
      <c r="I518">
        <v>5.5875249234538613E-2</v>
      </c>
    </row>
    <row r="519" spans="1:9" x14ac:dyDescent="0.25">
      <c r="A519">
        <v>219</v>
      </c>
      <c r="B519" t="s">
        <v>364</v>
      </c>
      <c r="C519" t="s">
        <v>48</v>
      </c>
      <c r="D519" t="s">
        <v>105</v>
      </c>
      <c r="E519">
        <f t="shared" si="20"/>
        <v>1.0638297872340425E-2</v>
      </c>
      <c r="F519">
        <v>122</v>
      </c>
      <c r="G519">
        <f>LOG(382/(122+1))</f>
        <v>0.49215825147231079</v>
      </c>
      <c r="H519">
        <f>0.0106382978723404*1.13323625323415</f>
        <v>1.2055704821639864E-2</v>
      </c>
      <c r="I519">
        <v>1.205570482163997E-2</v>
      </c>
    </row>
    <row r="520" spans="1:9" x14ac:dyDescent="0.25">
      <c r="A520">
        <v>219</v>
      </c>
      <c r="B520" t="s">
        <v>364</v>
      </c>
      <c r="C520" t="s">
        <v>48</v>
      </c>
      <c r="D520" t="s">
        <v>383</v>
      </c>
      <c r="E520">
        <f t="shared" si="20"/>
        <v>1.0638297872340425E-2</v>
      </c>
      <c r="F520">
        <v>1</v>
      </c>
      <c r="G520">
        <f>LOG(382/(1+1))</f>
        <v>2.2810333672477277</v>
      </c>
      <c r="H520">
        <f>0.0106382978723404*5.25227342804663</f>
        <v>5.5875249234538481E-2</v>
      </c>
      <c r="I520">
        <v>5.5875249234538613E-2</v>
      </c>
    </row>
    <row r="521" spans="1:9" x14ac:dyDescent="0.25">
      <c r="A521">
        <v>219</v>
      </c>
      <c r="B521" t="s">
        <v>364</v>
      </c>
      <c r="C521" t="s">
        <v>48</v>
      </c>
      <c r="D521" t="s">
        <v>384</v>
      </c>
      <c r="E521">
        <f t="shared" si="20"/>
        <v>1.0638297872340425E-2</v>
      </c>
      <c r="F521">
        <v>5</v>
      </c>
      <c r="G521">
        <f>LOG(382/(5+1))</f>
        <v>1.803912112528065</v>
      </c>
      <c r="H521">
        <f>0.0106382978723404*4.15366113937852</f>
        <v>4.4187884461473509E-2</v>
      </c>
      <c r="I521">
        <v>4.4187884461473613E-2</v>
      </c>
    </row>
    <row r="522" spans="1:9" x14ac:dyDescent="0.25">
      <c r="A522">
        <v>219</v>
      </c>
      <c r="B522" t="s">
        <v>364</v>
      </c>
      <c r="C522" t="s">
        <v>48</v>
      </c>
      <c r="D522" t="s">
        <v>385</v>
      </c>
      <c r="E522">
        <f t="shared" si="20"/>
        <v>1.0638297872340425E-2</v>
      </c>
      <c r="F522">
        <v>1</v>
      </c>
      <c r="G522">
        <f>LOG(382/(1+1))</f>
        <v>2.2810333672477277</v>
      </c>
      <c r="H522">
        <f>0.0106382978723404*5.25227342804663</f>
        <v>5.5875249234538481E-2</v>
      </c>
      <c r="I522">
        <v>5.5875249234538613E-2</v>
      </c>
    </row>
    <row r="523" spans="1:9" x14ac:dyDescent="0.25">
      <c r="A523">
        <v>219</v>
      </c>
      <c r="B523" t="s">
        <v>364</v>
      </c>
      <c r="C523" t="s">
        <v>48</v>
      </c>
      <c r="D523" t="s">
        <v>386</v>
      </c>
      <c r="E523">
        <f t="shared" si="20"/>
        <v>1.0638297872340425E-2</v>
      </c>
      <c r="F523">
        <v>1</v>
      </c>
      <c r="G523">
        <f>LOG(382/(1+1))</f>
        <v>2.2810333672477277</v>
      </c>
      <c r="H523">
        <f>0.0106382978723404*5.25227342804663</f>
        <v>5.5875249234538481E-2</v>
      </c>
      <c r="I523">
        <v>5.5875249234538613E-2</v>
      </c>
    </row>
    <row r="524" spans="1:9" x14ac:dyDescent="0.25">
      <c r="A524">
        <v>219</v>
      </c>
      <c r="B524" t="s">
        <v>364</v>
      </c>
      <c r="C524" t="s">
        <v>48</v>
      </c>
      <c r="D524" t="s">
        <v>387</v>
      </c>
      <c r="E524">
        <f t="shared" si="20"/>
        <v>1.0638297872340425E-2</v>
      </c>
      <c r="F524">
        <v>2</v>
      </c>
      <c r="G524">
        <f>LOG(382/(2+1))</f>
        <v>2.1049421081920463</v>
      </c>
      <c r="H524">
        <f>0.0106382978723404*4.84680831993846</f>
        <v>5.1561790637643067E-2</v>
      </c>
      <c r="I524">
        <v>5.1561790637643247E-2</v>
      </c>
    </row>
    <row r="525" spans="1:9" x14ac:dyDescent="0.25">
      <c r="A525">
        <v>219</v>
      </c>
      <c r="B525" t="s">
        <v>364</v>
      </c>
      <c r="C525" t="s">
        <v>48</v>
      </c>
      <c r="D525" t="s">
        <v>388</v>
      </c>
      <c r="E525">
        <f t="shared" si="20"/>
        <v>1.0638297872340425E-2</v>
      </c>
      <c r="F525">
        <v>44</v>
      </c>
      <c r="G525">
        <f>LOG(382/(44+1))</f>
        <v>0.92885084913636506</v>
      </c>
      <c r="H525">
        <f>0.0106382978723404*2.13875811883625</f>
        <v>2.2752745945066433E-2</v>
      </c>
      <c r="I525">
        <v>2.275274594506654E-2</v>
      </c>
    </row>
    <row r="526" spans="1:9" x14ac:dyDescent="0.25">
      <c r="A526">
        <v>219</v>
      </c>
      <c r="B526" t="s">
        <v>364</v>
      </c>
      <c r="C526" t="s">
        <v>48</v>
      </c>
      <c r="D526" t="s">
        <v>389</v>
      </c>
      <c r="E526">
        <f t="shared" si="20"/>
        <v>1.0638297872340425E-2</v>
      </c>
      <c r="F526">
        <v>1</v>
      </c>
      <c r="G526">
        <f>LOG(382/(1+1))</f>
        <v>2.2810333672477277</v>
      </c>
      <c r="H526">
        <f>0.0106382978723404*5.25227342804663</f>
        <v>5.5875249234538481E-2</v>
      </c>
      <c r="I526">
        <v>5.5875249234538613E-2</v>
      </c>
    </row>
    <row r="527" spans="1:9" x14ac:dyDescent="0.25">
      <c r="A527">
        <v>219</v>
      </c>
      <c r="B527" t="s">
        <v>364</v>
      </c>
      <c r="C527" t="s">
        <v>48</v>
      </c>
      <c r="D527" t="s">
        <v>390</v>
      </c>
      <c r="E527">
        <f t="shared" si="20"/>
        <v>1.0638297872340425E-2</v>
      </c>
      <c r="F527">
        <v>1</v>
      </c>
      <c r="G527">
        <f>LOG(382/(1+1))</f>
        <v>2.2810333672477277</v>
      </c>
      <c r="H527">
        <f>0.0106382978723404*5.25227342804663</f>
        <v>5.5875249234538481E-2</v>
      </c>
      <c r="I527">
        <v>5.5875249234538613E-2</v>
      </c>
    </row>
    <row r="528" spans="1:9" x14ac:dyDescent="0.25">
      <c r="A528">
        <v>219</v>
      </c>
      <c r="B528" t="s">
        <v>364</v>
      </c>
      <c r="C528" t="s">
        <v>48</v>
      </c>
      <c r="D528" t="s">
        <v>391</v>
      </c>
      <c r="E528">
        <f t="shared" si="20"/>
        <v>1.0638297872340425E-2</v>
      </c>
      <c r="F528">
        <v>1</v>
      </c>
      <c r="G528">
        <f>LOG(382/(1+1))</f>
        <v>2.2810333672477277</v>
      </c>
      <c r="H528">
        <f>0.0106382978723404*5.25227342804663</f>
        <v>5.5875249234538481E-2</v>
      </c>
      <c r="I528">
        <v>5.5875249234538613E-2</v>
      </c>
    </row>
    <row r="529" spans="1:9" x14ac:dyDescent="0.25">
      <c r="A529">
        <v>219</v>
      </c>
      <c r="B529" t="s">
        <v>364</v>
      </c>
      <c r="C529" t="s">
        <v>48</v>
      </c>
      <c r="D529" t="s">
        <v>392</v>
      </c>
      <c r="E529">
        <f t="shared" si="20"/>
        <v>1.0638297872340425E-2</v>
      </c>
      <c r="F529">
        <v>2</v>
      </c>
      <c r="G529">
        <f>LOG(382/(2+1))</f>
        <v>2.1049421081920463</v>
      </c>
      <c r="H529">
        <f>0.0106382978723404*4.84680831993846</f>
        <v>5.1561790637643067E-2</v>
      </c>
      <c r="I529">
        <v>5.1561790637643247E-2</v>
      </c>
    </row>
    <row r="530" spans="1:9" x14ac:dyDescent="0.25">
      <c r="A530">
        <v>219</v>
      </c>
      <c r="B530" t="s">
        <v>364</v>
      </c>
      <c r="C530" t="s">
        <v>48</v>
      </c>
      <c r="D530" t="s">
        <v>393</v>
      </c>
      <c r="E530">
        <f t="shared" si="20"/>
        <v>1.0638297872340425E-2</v>
      </c>
      <c r="F530">
        <v>6</v>
      </c>
      <c r="G530">
        <f>LOG(382/(6+1))</f>
        <v>1.736965322897452</v>
      </c>
      <c r="H530">
        <f>0.0106382978723404*3.99951045955126</f>
        <v>4.2547983612247341E-2</v>
      </c>
      <c r="I530">
        <v>4.2547983612247472E-2</v>
      </c>
    </row>
    <row r="531" spans="1:9" x14ac:dyDescent="0.25">
      <c r="A531">
        <v>219</v>
      </c>
      <c r="B531" t="s">
        <v>364</v>
      </c>
      <c r="C531" t="s">
        <v>48</v>
      </c>
      <c r="D531" t="s">
        <v>394</v>
      </c>
      <c r="E531">
        <f t="shared" si="20"/>
        <v>1.0638297872340425E-2</v>
      </c>
      <c r="F531">
        <v>1</v>
      </c>
      <c r="G531">
        <f>LOG(382/(1+1))</f>
        <v>2.2810333672477277</v>
      </c>
      <c r="H531">
        <f>0.0106382978723404*5.25227342804663</f>
        <v>5.5875249234538481E-2</v>
      </c>
      <c r="I531">
        <v>5.5875249234538613E-2</v>
      </c>
    </row>
    <row r="532" spans="1:9" x14ac:dyDescent="0.25">
      <c r="A532">
        <v>219</v>
      </c>
      <c r="B532" t="s">
        <v>364</v>
      </c>
      <c r="C532" t="s">
        <v>48</v>
      </c>
      <c r="D532" t="s">
        <v>395</v>
      </c>
      <c r="E532">
        <f t="shared" si="20"/>
        <v>1.0638297872340425E-2</v>
      </c>
      <c r="F532">
        <v>2</v>
      </c>
      <c r="G532">
        <f>LOG(382/(2+1))</f>
        <v>2.1049421081920463</v>
      </c>
      <c r="H532">
        <f>0.0106382978723404*4.84680831993846</f>
        <v>5.1561790637643067E-2</v>
      </c>
      <c r="I532">
        <v>5.1561790637643247E-2</v>
      </c>
    </row>
    <row r="533" spans="1:9" x14ac:dyDescent="0.25">
      <c r="A533">
        <v>219</v>
      </c>
      <c r="B533" t="s">
        <v>364</v>
      </c>
      <c r="C533" t="s">
        <v>48</v>
      </c>
      <c r="D533" t="s">
        <v>396</v>
      </c>
      <c r="E533">
        <f t="shared" si="20"/>
        <v>1.0638297872340425E-2</v>
      </c>
      <c r="F533">
        <v>2</v>
      </c>
      <c r="G533">
        <f>LOG(382/(2+1))</f>
        <v>2.1049421081920463</v>
      </c>
      <c r="H533">
        <f>0.0106382978723404*4.84680831993846</f>
        <v>5.1561790637643067E-2</v>
      </c>
      <c r="I533">
        <v>5.1561790637643247E-2</v>
      </c>
    </row>
    <row r="534" spans="1:9" x14ac:dyDescent="0.25">
      <c r="A534">
        <v>219</v>
      </c>
      <c r="B534" t="s">
        <v>364</v>
      </c>
      <c r="C534" t="s">
        <v>48</v>
      </c>
      <c r="D534" t="s">
        <v>397</v>
      </c>
      <c r="E534">
        <f t="shared" si="20"/>
        <v>1.0638297872340425E-2</v>
      </c>
      <c r="F534">
        <v>2</v>
      </c>
      <c r="G534">
        <f>LOG(382/(2+1))</f>
        <v>2.1049421081920463</v>
      </c>
      <c r="H534">
        <f>0.0106382978723404*4.84680831993846</f>
        <v>5.1561790637643067E-2</v>
      </c>
      <c r="I534">
        <v>5.1561790637643247E-2</v>
      </c>
    </row>
    <row r="535" spans="1:9" x14ac:dyDescent="0.25">
      <c r="A535">
        <v>219</v>
      </c>
      <c r="B535" t="s">
        <v>364</v>
      </c>
      <c r="C535" t="s">
        <v>48</v>
      </c>
      <c r="D535" t="s">
        <v>81</v>
      </c>
      <c r="E535">
        <f t="shared" si="20"/>
        <v>1.0638297872340425E-2</v>
      </c>
      <c r="F535">
        <v>114</v>
      </c>
      <c r="G535">
        <f>LOG(382/(114+1))</f>
        <v>0.52136552255809698</v>
      </c>
      <c r="H535">
        <f>0.0106382978723404*1.20048848024332</f>
        <v>1.277115404514167E-2</v>
      </c>
      <c r="I535">
        <v>1.277115404514176E-2</v>
      </c>
    </row>
    <row r="536" spans="1:9" x14ac:dyDescent="0.25">
      <c r="A536">
        <v>219</v>
      </c>
      <c r="B536" t="s">
        <v>364</v>
      </c>
      <c r="C536" t="s">
        <v>48</v>
      </c>
      <c r="D536" t="s">
        <v>398</v>
      </c>
      <c r="E536">
        <f t="shared" si="20"/>
        <v>1.0638297872340425E-2</v>
      </c>
      <c r="F536">
        <v>14</v>
      </c>
      <c r="G536">
        <f>LOG(382/(14+1))</f>
        <v>1.4059721038560276</v>
      </c>
      <c r="H536">
        <f>0.0106382978723404*3.23737040750436</f>
        <v>3.4440110718131405E-2</v>
      </c>
      <c r="I536">
        <v>3.4440110718131543E-2</v>
      </c>
    </row>
    <row r="537" spans="1:9" x14ac:dyDescent="0.25">
      <c r="A537">
        <v>219</v>
      </c>
      <c r="B537" t="s">
        <v>364</v>
      </c>
      <c r="C537" t="s">
        <v>48</v>
      </c>
      <c r="D537" t="s">
        <v>399</v>
      </c>
      <c r="E537">
        <f t="shared" si="20"/>
        <v>1.0638297872340425E-2</v>
      </c>
      <c r="F537">
        <v>27</v>
      </c>
      <c r="G537">
        <f>LOG(382/(27+1))</f>
        <v>1.1349053315694895</v>
      </c>
      <c r="H537">
        <f>0.0106382978723404*2.61321609843137</f>
        <v>2.7800171259908125E-2</v>
      </c>
      <c r="I537">
        <v>2.7800171259908201E-2</v>
      </c>
    </row>
    <row r="538" spans="1:9" x14ac:dyDescent="0.25">
      <c r="A538">
        <v>219</v>
      </c>
      <c r="B538" t="s">
        <v>364</v>
      </c>
      <c r="C538" t="s">
        <v>48</v>
      </c>
      <c r="D538" t="s">
        <v>400</v>
      </c>
      <c r="E538">
        <f t="shared" si="20"/>
        <v>1.0638297872340425E-2</v>
      </c>
      <c r="F538">
        <v>2</v>
      </c>
      <c r="G538">
        <f>LOG(382/(2+1))</f>
        <v>2.1049421081920463</v>
      </c>
      <c r="H538">
        <f>0.0106382978723404*4.84680831993846</f>
        <v>5.1561790637643067E-2</v>
      </c>
      <c r="I538">
        <v>5.1561790637643247E-2</v>
      </c>
    </row>
    <row r="539" spans="1:9" x14ac:dyDescent="0.25">
      <c r="A539">
        <v>219</v>
      </c>
      <c r="B539" t="s">
        <v>364</v>
      </c>
      <c r="C539" t="s">
        <v>48</v>
      </c>
      <c r="D539" t="s">
        <v>275</v>
      </c>
      <c r="E539">
        <f t="shared" si="20"/>
        <v>1.0638297872340425E-2</v>
      </c>
      <c r="F539">
        <v>6</v>
      </c>
      <c r="G539">
        <f>LOG(382/(6+1))</f>
        <v>1.736965322897452</v>
      </c>
      <c r="H539">
        <f>0.0106382978723404*3.99951045955126</f>
        <v>4.2547983612247341E-2</v>
      </c>
      <c r="I539">
        <v>4.2547983612247472E-2</v>
      </c>
    </row>
    <row r="540" spans="1:9" x14ac:dyDescent="0.25">
      <c r="A540">
        <v>219</v>
      </c>
      <c r="B540" t="s">
        <v>364</v>
      </c>
      <c r="C540" t="s">
        <v>48</v>
      </c>
      <c r="D540" t="s">
        <v>401</v>
      </c>
      <c r="E540">
        <f t="shared" si="20"/>
        <v>1.0638297872340425E-2</v>
      </c>
      <c r="F540">
        <v>5</v>
      </c>
      <c r="G540">
        <f>LOG(382/(5+1))</f>
        <v>1.803912112528065</v>
      </c>
      <c r="H540">
        <f>0.0106382978723404*4.15366113937852</f>
        <v>4.4187884461473509E-2</v>
      </c>
      <c r="I540">
        <v>4.4187884461473613E-2</v>
      </c>
    </row>
    <row r="541" spans="1:9" x14ac:dyDescent="0.25">
      <c r="A541">
        <v>219</v>
      </c>
      <c r="B541" t="s">
        <v>364</v>
      </c>
      <c r="C541" t="s">
        <v>48</v>
      </c>
      <c r="D541" t="s">
        <v>402</v>
      </c>
      <c r="E541">
        <f t="shared" si="20"/>
        <v>1.0638297872340425E-2</v>
      </c>
      <c r="F541">
        <v>1</v>
      </c>
      <c r="G541">
        <f>LOG(382/(1+1))</f>
        <v>2.2810333672477277</v>
      </c>
      <c r="H541">
        <f>0.0106382978723404*5.25227342804663</f>
        <v>5.5875249234538481E-2</v>
      </c>
      <c r="I541">
        <v>5.5875249234538613E-2</v>
      </c>
    </row>
    <row r="542" spans="1:9" x14ac:dyDescent="0.25">
      <c r="A542">
        <v>219</v>
      </c>
      <c r="B542" t="s">
        <v>364</v>
      </c>
      <c r="C542" t="s">
        <v>48</v>
      </c>
      <c r="D542" t="s">
        <v>403</v>
      </c>
      <c r="E542">
        <f t="shared" si="20"/>
        <v>1.0638297872340425E-2</v>
      </c>
      <c r="F542">
        <v>11</v>
      </c>
      <c r="G542">
        <f>LOG(382/(11+1))</f>
        <v>1.5028821168640838</v>
      </c>
      <c r="H542">
        <f>0.0106382978723404*3.46051395881857</f>
        <v>3.6813978285303847E-2</v>
      </c>
      <c r="I542">
        <v>3.6813978285303993E-2</v>
      </c>
    </row>
    <row r="543" spans="1:9" x14ac:dyDescent="0.25">
      <c r="A543">
        <v>219</v>
      </c>
      <c r="B543" t="s">
        <v>364</v>
      </c>
      <c r="C543" t="s">
        <v>48</v>
      </c>
      <c r="D543" t="s">
        <v>53</v>
      </c>
      <c r="E543">
        <f t="shared" si="20"/>
        <v>1.0638297872340425E-2</v>
      </c>
      <c r="F543">
        <v>57</v>
      </c>
      <c r="G543">
        <f>LOG(382/(57+1))</f>
        <v>0.81863536934877146</v>
      </c>
      <c r="H543">
        <f>0.0106382978723404*1.88497759806015</f>
        <v>2.0052953170852608E-2</v>
      </c>
      <c r="I543">
        <v>2.0052953170852719E-2</v>
      </c>
    </row>
    <row r="544" spans="1:9" x14ac:dyDescent="0.25">
      <c r="A544">
        <v>219</v>
      </c>
      <c r="B544" t="s">
        <v>364</v>
      </c>
      <c r="C544" t="s">
        <v>48</v>
      </c>
      <c r="D544" t="s">
        <v>404</v>
      </c>
      <c r="E544">
        <f t="shared" si="20"/>
        <v>1.0638297872340425E-2</v>
      </c>
      <c r="F544">
        <v>22</v>
      </c>
      <c r="G544">
        <f>LOG(382/(22+1))</f>
        <v>1.2203355268941158</v>
      </c>
      <c r="H544">
        <f>0.0106382978723404*2.80992639267742</f>
        <v>2.989283396465333E-2</v>
      </c>
      <c r="I544">
        <v>2.9892833964653458E-2</v>
      </c>
    </row>
    <row r="545" spans="1:9" x14ac:dyDescent="0.25">
      <c r="A545">
        <v>219</v>
      </c>
      <c r="B545" t="s">
        <v>364</v>
      </c>
      <c r="C545" t="s">
        <v>48</v>
      </c>
      <c r="D545" t="s">
        <v>39</v>
      </c>
      <c r="E545">
        <f t="shared" si="20"/>
        <v>1.0638297872340425E-2</v>
      </c>
      <c r="F545">
        <v>145</v>
      </c>
      <c r="G545">
        <f>LOG(382/(145+1))</f>
        <v>0.41771050712727159</v>
      </c>
      <c r="H545">
        <f>0.0106382978723404*0.961813986898238</f>
        <v>1.0232063690406763E-2</v>
      </c>
      <c r="I545">
        <v>1.023206369040679E-2</v>
      </c>
    </row>
    <row r="546" spans="1:9" x14ac:dyDescent="0.25">
      <c r="A546">
        <v>219</v>
      </c>
      <c r="B546" t="s">
        <v>364</v>
      </c>
      <c r="C546" t="s">
        <v>48</v>
      </c>
      <c r="D546" t="s">
        <v>216</v>
      </c>
      <c r="E546">
        <f t="shared" si="20"/>
        <v>1.0638297872340425E-2</v>
      </c>
      <c r="F546">
        <v>63</v>
      </c>
      <c r="G546">
        <f>LOG(382/(63+1))</f>
        <v>0.7758833889278216</v>
      </c>
      <c r="H546">
        <f>0.0106382978723404*1.7865375252469</f>
        <v>1.900571835369038E-2</v>
      </c>
      <c r="I546">
        <v>1.900571835369046E-2</v>
      </c>
    </row>
    <row r="547" spans="1:9" x14ac:dyDescent="0.25">
      <c r="A547">
        <v>219</v>
      </c>
      <c r="B547" t="s">
        <v>364</v>
      </c>
      <c r="C547" t="s">
        <v>48</v>
      </c>
      <c r="D547" t="s">
        <v>237</v>
      </c>
      <c r="E547">
        <f t="shared" si="20"/>
        <v>1.0638297872340425E-2</v>
      </c>
      <c r="F547">
        <v>138</v>
      </c>
      <c r="G547">
        <f>LOG(382/(138+1))</f>
        <v>0.43904856265761361</v>
      </c>
      <c r="H547">
        <f>0.0106382978723404*1.01094667547588</f>
        <v>1.0754751866764655E-2</v>
      </c>
      <c r="I547">
        <v>1.0754751866764721E-2</v>
      </c>
    </row>
    <row r="548" spans="1:9" x14ac:dyDescent="0.25">
      <c r="A548">
        <v>219</v>
      </c>
      <c r="B548" t="s">
        <v>364</v>
      </c>
      <c r="C548" t="s">
        <v>48</v>
      </c>
      <c r="D548" t="s">
        <v>405</v>
      </c>
      <c r="E548">
        <f t="shared" si="20"/>
        <v>1.0638297872340425E-2</v>
      </c>
      <c r="F548">
        <v>10</v>
      </c>
      <c r="G548">
        <f>LOG(382/(10+1))</f>
        <v>1.5406706777534838</v>
      </c>
      <c r="H548">
        <f>0.0106382978723404*3.5475253358082</f>
        <v>3.7739631232002038E-2</v>
      </c>
      <c r="I548">
        <v>3.7739631232002177E-2</v>
      </c>
    </row>
    <row r="549" spans="1:9" x14ac:dyDescent="0.25">
      <c r="A549">
        <v>219</v>
      </c>
      <c r="B549" t="s">
        <v>364</v>
      </c>
      <c r="C549" t="s">
        <v>48</v>
      </c>
      <c r="D549" t="s">
        <v>406</v>
      </c>
      <c r="E549">
        <f t="shared" si="20"/>
        <v>1.0638297872340425E-2</v>
      </c>
      <c r="F549">
        <v>10</v>
      </c>
      <c r="G549">
        <f>LOG(382/(10+1))</f>
        <v>1.5406706777534838</v>
      </c>
      <c r="H549">
        <f>0.0106382978723404*3.5475253358082</f>
        <v>3.7739631232002038E-2</v>
      </c>
      <c r="I549">
        <v>3.7739631232002177E-2</v>
      </c>
    </row>
    <row r="550" spans="1:9" x14ac:dyDescent="0.25">
      <c r="A550">
        <v>219</v>
      </c>
      <c r="B550" t="s">
        <v>364</v>
      </c>
      <c r="C550" t="s">
        <v>48</v>
      </c>
      <c r="D550" t="s">
        <v>52</v>
      </c>
      <c r="E550">
        <f t="shared" si="20"/>
        <v>1.0638297872340425E-2</v>
      </c>
      <c r="F550">
        <v>35</v>
      </c>
      <c r="G550">
        <f>LOG(382/(35+1))</f>
        <v>1.0257608621444214</v>
      </c>
      <c r="H550">
        <f>0.0106382978723404*2.36190167015046</f>
        <v>2.5126613512238875E-2</v>
      </c>
      <c r="I550">
        <v>2.512661351223899E-2</v>
      </c>
    </row>
    <row r="551" spans="1:9" x14ac:dyDescent="0.25">
      <c r="A551">
        <v>219</v>
      </c>
      <c r="B551" t="s">
        <v>364</v>
      </c>
      <c r="C551" t="s">
        <v>48</v>
      </c>
      <c r="D551" t="s">
        <v>201</v>
      </c>
      <c r="E551">
        <f t="shared" si="20"/>
        <v>1.0638297872340425E-2</v>
      </c>
      <c r="F551">
        <v>72</v>
      </c>
      <c r="G551">
        <f>LOG(382/(72+1))</f>
        <v>0.71874050279125279</v>
      </c>
      <c r="H551">
        <f>0.0106382978723404*1.65496116745818</f>
        <v>1.7605969866576338E-2</v>
      </c>
      <c r="I551">
        <v>1.7605969866576421E-2</v>
      </c>
    </row>
    <row r="552" spans="1:9" x14ac:dyDescent="0.25">
      <c r="A552">
        <v>221</v>
      </c>
      <c r="B552" t="s">
        <v>407</v>
      </c>
      <c r="C552" t="s">
        <v>48</v>
      </c>
      <c r="D552" t="s">
        <v>112</v>
      </c>
      <c r="E552">
        <f>4/171</f>
        <v>2.3391812865497075E-2</v>
      </c>
      <c r="F552">
        <v>52</v>
      </c>
      <c r="G552">
        <f>LOG(382/(52+1))</f>
        <v>0.85778749331091964</v>
      </c>
      <c r="H552">
        <f>0.023391812865497*1.97512869505445</f>
        <v>4.6201840819986982E-2</v>
      </c>
      <c r="I552">
        <v>4.6201840819987211E-2</v>
      </c>
    </row>
    <row r="553" spans="1:9" x14ac:dyDescent="0.25">
      <c r="A553">
        <v>221</v>
      </c>
      <c r="B553" t="s">
        <v>407</v>
      </c>
      <c r="C553" t="s">
        <v>48</v>
      </c>
      <c r="D553" t="s">
        <v>193</v>
      </c>
      <c r="E553">
        <f>7/171</f>
        <v>4.0935672514619881E-2</v>
      </c>
      <c r="F553">
        <v>10</v>
      </c>
      <c r="G553">
        <f>LOG(382/(10+1))</f>
        <v>1.5406706777534838</v>
      </c>
      <c r="H553">
        <f>0.0409356725146198*3.5475253358082</f>
        <v>0.14522033538396112</v>
      </c>
      <c r="I553">
        <v>0.14522033538396159</v>
      </c>
    </row>
    <row r="554" spans="1:9" x14ac:dyDescent="0.25">
      <c r="A554">
        <v>221</v>
      </c>
      <c r="B554" t="s">
        <v>407</v>
      </c>
      <c r="C554" t="s">
        <v>48</v>
      </c>
      <c r="D554" t="s">
        <v>408</v>
      </c>
      <c r="E554">
        <f>3/171</f>
        <v>1.7543859649122806E-2</v>
      </c>
      <c r="F554">
        <v>27</v>
      </c>
      <c r="G554">
        <f>LOG(382/(27+1))</f>
        <v>1.1349053315694895</v>
      </c>
      <c r="H554">
        <f>0.0175438596491228*2.61321609843137</f>
        <v>4.5845896463708229E-2</v>
      </c>
      <c r="I554">
        <v>4.5845896463708263E-2</v>
      </c>
    </row>
    <row r="555" spans="1:9" x14ac:dyDescent="0.25">
      <c r="A555">
        <v>221</v>
      </c>
      <c r="B555" t="s">
        <v>407</v>
      </c>
      <c r="C555" t="s">
        <v>48</v>
      </c>
      <c r="D555" t="s">
        <v>53</v>
      </c>
      <c r="E555">
        <f>7/171</f>
        <v>4.0935672514619881E-2</v>
      </c>
      <c r="F555">
        <v>57</v>
      </c>
      <c r="G555">
        <f>LOG(382/(57+1))</f>
        <v>0.81863536934877146</v>
      </c>
      <c r="H555">
        <f>0.0409356725146198*1.88497759806015</f>
        <v>7.7162825651584929E-2</v>
      </c>
      <c r="I555">
        <v>7.7162825651585318E-2</v>
      </c>
    </row>
    <row r="556" spans="1:9" x14ac:dyDescent="0.25">
      <c r="A556">
        <v>221</v>
      </c>
      <c r="B556" t="s">
        <v>407</v>
      </c>
      <c r="C556" t="s">
        <v>48</v>
      </c>
      <c r="D556" t="s">
        <v>50</v>
      </c>
      <c r="E556">
        <f>8/171</f>
        <v>4.6783625730994149E-2</v>
      </c>
      <c r="F556">
        <v>109</v>
      </c>
      <c r="G556">
        <f>LOG(382/(109+1))</f>
        <v>0.54067067775348365</v>
      </c>
      <c r="H556">
        <f>0.0467836257309941*1.24494024281415</f>
        <v>5.8242818377270113E-2</v>
      </c>
      <c r="I556">
        <v>5.8242818377270592E-2</v>
      </c>
    </row>
    <row r="557" spans="1:9" x14ac:dyDescent="0.25">
      <c r="A557">
        <v>221</v>
      </c>
      <c r="B557" t="s">
        <v>407</v>
      </c>
      <c r="C557" t="s">
        <v>48</v>
      </c>
      <c r="D557" t="s">
        <v>41</v>
      </c>
      <c r="E557">
        <f>8/171</f>
        <v>4.6783625730994149E-2</v>
      </c>
      <c r="F557">
        <v>195</v>
      </c>
      <c r="G557">
        <f>LOG(382/(195+1))</f>
        <v>0.28980729155523272</v>
      </c>
      <c r="H557">
        <f>0.0467836257309941*0.667305949376058</f>
        <v>3.1218991783675196E-2</v>
      </c>
      <c r="I557">
        <v>3.121899178367523E-2</v>
      </c>
    </row>
    <row r="558" spans="1:9" x14ac:dyDescent="0.25">
      <c r="A558">
        <v>221</v>
      </c>
      <c r="B558" t="s">
        <v>407</v>
      </c>
      <c r="C558" t="s">
        <v>48</v>
      </c>
      <c r="D558" t="s">
        <v>196</v>
      </c>
      <c r="E558">
        <f>1/171</f>
        <v>5.8479532163742687E-3</v>
      </c>
      <c r="F558">
        <v>33</v>
      </c>
      <c r="G558">
        <f>LOG(382/(33+1))</f>
        <v>1.0505844458694535</v>
      </c>
      <c r="H558">
        <f>0.00584795321637426*2.41906008399041</f>
        <v>1.4146550198774307E-2</v>
      </c>
      <c r="I558">
        <v>1.414655019877435E-2</v>
      </c>
    </row>
    <row r="559" spans="1:9" x14ac:dyDescent="0.25">
      <c r="A559">
        <v>221</v>
      </c>
      <c r="B559" t="s">
        <v>407</v>
      </c>
      <c r="C559" t="s">
        <v>48</v>
      </c>
      <c r="D559" t="s">
        <v>409</v>
      </c>
      <c r="E559">
        <f>1/171</f>
        <v>5.8479532163742687E-3</v>
      </c>
      <c r="F559">
        <v>3</v>
      </c>
      <c r="G559">
        <f>LOG(382/(3+1))</f>
        <v>1.9800033715837464</v>
      </c>
      <c r="H559">
        <f>0.00584795321637426*4.55912624748668</f>
        <v>2.6661557002846042E-2</v>
      </c>
      <c r="I559">
        <v>2.6661557002846111E-2</v>
      </c>
    </row>
    <row r="560" spans="1:9" x14ac:dyDescent="0.25">
      <c r="A560">
        <v>221</v>
      </c>
      <c r="B560" t="s">
        <v>407</v>
      </c>
      <c r="C560" t="s">
        <v>48</v>
      </c>
      <c r="D560" t="s">
        <v>410</v>
      </c>
      <c r="E560">
        <f>1/171</f>
        <v>5.8479532163742687E-3</v>
      </c>
      <c r="F560">
        <v>1</v>
      </c>
      <c r="G560">
        <f>LOG(382/(1+1))</f>
        <v>2.2810333672477277</v>
      </c>
      <c r="H560">
        <f>0.00584795321637426*5.25227342804663</f>
        <v>3.0715049286822348E-2</v>
      </c>
      <c r="I560">
        <v>3.07150492868224E-2</v>
      </c>
    </row>
    <row r="561" spans="1:9" x14ac:dyDescent="0.25">
      <c r="A561">
        <v>221</v>
      </c>
      <c r="B561" t="s">
        <v>407</v>
      </c>
      <c r="C561" t="s">
        <v>48</v>
      </c>
      <c r="D561" t="s">
        <v>232</v>
      </c>
      <c r="E561">
        <f>1/171</f>
        <v>5.8479532163742687E-3</v>
      </c>
      <c r="F561">
        <v>5</v>
      </c>
      <c r="G561">
        <f>LOG(382/(5+1))</f>
        <v>1.803912112528065</v>
      </c>
      <c r="H561">
        <f>0.00584795321637426*4.15366113937852</f>
        <v>2.4290416019757389E-2</v>
      </c>
      <c r="I561">
        <v>2.429041601975742E-2</v>
      </c>
    </row>
    <row r="562" spans="1:9" x14ac:dyDescent="0.25">
      <c r="A562">
        <v>221</v>
      </c>
      <c r="B562" t="s">
        <v>407</v>
      </c>
      <c r="C562" t="s">
        <v>48</v>
      </c>
      <c r="D562" t="s">
        <v>403</v>
      </c>
      <c r="E562">
        <f>1/171</f>
        <v>5.8479532163742687E-3</v>
      </c>
      <c r="F562">
        <v>11</v>
      </c>
      <c r="G562">
        <f>LOG(382/(11+1))</f>
        <v>1.5028821168640838</v>
      </c>
      <c r="H562">
        <f>0.00584795321637426*3.46051395881857</f>
        <v>2.0236923735781079E-2</v>
      </c>
      <c r="I562">
        <v>2.0236923735781141E-2</v>
      </c>
    </row>
    <row r="563" spans="1:9" x14ac:dyDescent="0.25">
      <c r="A563">
        <v>221</v>
      </c>
      <c r="B563" t="s">
        <v>407</v>
      </c>
      <c r="C563" t="s">
        <v>48</v>
      </c>
      <c r="D563" t="s">
        <v>94</v>
      </c>
      <c r="E563">
        <f>2/171</f>
        <v>1.1695906432748537E-2</v>
      </c>
      <c r="F563">
        <v>12</v>
      </c>
      <c r="G563">
        <f>LOG(382/(12+1))</f>
        <v>1.468120010604872</v>
      </c>
      <c r="H563">
        <f>0.0116959064327485*3.38047125114503</f>
        <v>3.9537675451988524E-2</v>
      </c>
      <c r="I563">
        <v>3.9537675451988753E-2</v>
      </c>
    </row>
    <row r="564" spans="1:9" x14ac:dyDescent="0.25">
      <c r="A564">
        <v>221</v>
      </c>
      <c r="B564" t="s">
        <v>407</v>
      </c>
      <c r="C564" t="s">
        <v>48</v>
      </c>
      <c r="D564" t="s">
        <v>204</v>
      </c>
      <c r="E564">
        <f>2/171</f>
        <v>1.1695906432748537E-2</v>
      </c>
      <c r="F564">
        <v>166</v>
      </c>
      <c r="G564">
        <f>LOG(382/(166+1))</f>
        <v>0.35934689176412549</v>
      </c>
      <c r="H564">
        <f>0.0116959064327485*0.82742679618982</f>
        <v>9.6775063881849969E-3</v>
      </c>
      <c r="I564">
        <v>9.6775063881850299E-3</v>
      </c>
    </row>
    <row r="565" spans="1:9" x14ac:dyDescent="0.25">
      <c r="A565">
        <v>221</v>
      </c>
      <c r="B565" t="s">
        <v>407</v>
      </c>
      <c r="C565" t="s">
        <v>48</v>
      </c>
      <c r="D565" t="s">
        <v>222</v>
      </c>
      <c r="E565">
        <f>3/171</f>
        <v>1.7543859649122806E-2</v>
      </c>
      <c r="F565">
        <v>22</v>
      </c>
      <c r="G565">
        <f>LOG(382/(22+1))</f>
        <v>1.2203355268941158</v>
      </c>
      <c r="H565">
        <f>0.0175438596491228*2.80992639267742</f>
        <v>4.9296954257498568E-2</v>
      </c>
      <c r="I565">
        <v>4.9296954257498693E-2</v>
      </c>
    </row>
    <row r="566" spans="1:9" x14ac:dyDescent="0.25">
      <c r="A566">
        <v>221</v>
      </c>
      <c r="B566" t="s">
        <v>407</v>
      </c>
      <c r="C566" t="s">
        <v>48</v>
      </c>
      <c r="D566" t="s">
        <v>411</v>
      </c>
      <c r="E566">
        <f>4/171</f>
        <v>2.3391812865497075E-2</v>
      </c>
      <c r="F566">
        <v>2</v>
      </c>
      <c r="G566">
        <f>LOG(382/(2+1))</f>
        <v>2.1049421081920463</v>
      </c>
      <c r="H566">
        <f>0.023391812865497*4.84680831993846</f>
        <v>0.11337563321493437</v>
      </c>
      <c r="I566">
        <v>0.11337563321493491</v>
      </c>
    </row>
    <row r="567" spans="1:9" x14ac:dyDescent="0.25">
      <c r="A567">
        <v>221</v>
      </c>
      <c r="B567" t="s">
        <v>407</v>
      </c>
      <c r="C567" t="s">
        <v>48</v>
      </c>
      <c r="D567" t="s">
        <v>237</v>
      </c>
      <c r="E567">
        <f>2/171</f>
        <v>1.1695906432748537E-2</v>
      </c>
      <c r="F567">
        <v>138</v>
      </c>
      <c r="G567">
        <f>LOG(382/(138+1))</f>
        <v>0.43904856265761361</v>
      </c>
      <c r="H567">
        <f>0.0116959064327485*1.01094667547588</f>
        <v>1.1823937724864054E-2</v>
      </c>
      <c r="I567">
        <v>1.182393772486413E-2</v>
      </c>
    </row>
    <row r="568" spans="1:9" x14ac:dyDescent="0.25">
      <c r="A568">
        <v>221</v>
      </c>
      <c r="B568" t="s">
        <v>407</v>
      </c>
      <c r="C568" t="s">
        <v>48</v>
      </c>
      <c r="D568" t="s">
        <v>412</v>
      </c>
      <c r="E568">
        <f>1/171</f>
        <v>5.8479532163742687E-3</v>
      </c>
      <c r="F568">
        <v>1</v>
      </c>
      <c r="G568">
        <f>LOG(382/(1+1))</f>
        <v>2.2810333672477277</v>
      </c>
      <c r="H568">
        <f>0.00584795321637426*5.25227342804663</f>
        <v>3.0715049286822348E-2</v>
      </c>
      <c r="I568">
        <v>3.07150492868224E-2</v>
      </c>
    </row>
    <row r="569" spans="1:9" x14ac:dyDescent="0.25">
      <c r="A569">
        <v>221</v>
      </c>
      <c r="B569" t="s">
        <v>407</v>
      </c>
      <c r="C569" t="s">
        <v>48</v>
      </c>
      <c r="D569" t="s">
        <v>406</v>
      </c>
      <c r="E569">
        <f>2/171</f>
        <v>1.1695906432748537E-2</v>
      </c>
      <c r="F569">
        <v>10</v>
      </c>
      <c r="G569">
        <f>LOG(382/(10+1))</f>
        <v>1.5406706777534838</v>
      </c>
      <c r="H569">
        <f>0.0116959064327485*3.5475253358082</f>
        <v>4.1491524395417409E-2</v>
      </c>
      <c r="I569">
        <v>4.1491524395417603E-2</v>
      </c>
    </row>
    <row r="570" spans="1:9" x14ac:dyDescent="0.25">
      <c r="A570">
        <v>221</v>
      </c>
      <c r="B570" t="s">
        <v>407</v>
      </c>
      <c r="C570" t="s">
        <v>48</v>
      </c>
      <c r="D570" t="s">
        <v>52</v>
      </c>
      <c r="E570">
        <f>3/171</f>
        <v>1.7543859649122806E-2</v>
      </c>
      <c r="F570">
        <v>35</v>
      </c>
      <c r="G570">
        <f>LOG(382/(35+1))</f>
        <v>1.0257608621444214</v>
      </c>
      <c r="H570">
        <f>0.0175438596491228*2.36190167015046</f>
        <v>4.14368714061484E-2</v>
      </c>
      <c r="I570">
        <v>4.1436871406148497E-2</v>
      </c>
    </row>
    <row r="571" spans="1:9" x14ac:dyDescent="0.25">
      <c r="A571">
        <v>221</v>
      </c>
      <c r="B571" t="s">
        <v>407</v>
      </c>
      <c r="C571" t="s">
        <v>48</v>
      </c>
      <c r="D571" t="s">
        <v>131</v>
      </c>
      <c r="E571">
        <f>1/171</f>
        <v>5.8479532163742687E-3</v>
      </c>
      <c r="F571">
        <v>38</v>
      </c>
      <c r="G571">
        <f>LOG(382/(38+1))</f>
        <v>0.99099875588520958</v>
      </c>
      <c r="H571">
        <f>0.00584795321637426*2.28185896247692</f>
        <v>1.3344204458929337E-2</v>
      </c>
      <c r="I571">
        <v>1.334420445892941E-2</v>
      </c>
    </row>
    <row r="572" spans="1:9" x14ac:dyDescent="0.25">
      <c r="A572">
        <v>221</v>
      </c>
      <c r="B572" t="s">
        <v>407</v>
      </c>
      <c r="C572" t="s">
        <v>48</v>
      </c>
      <c r="D572" t="s">
        <v>413</v>
      </c>
      <c r="E572">
        <f>1/171</f>
        <v>5.8479532163742687E-3</v>
      </c>
      <c r="F572">
        <v>2</v>
      </c>
      <c r="G572">
        <f>LOG(382/(2+1))</f>
        <v>2.1049421081920463</v>
      </c>
      <c r="H572">
        <f>0.00584795321637426*4.84680831993846</f>
        <v>2.834390830373364E-2</v>
      </c>
      <c r="I572">
        <v>2.8343908303733709E-2</v>
      </c>
    </row>
    <row r="573" spans="1:9" x14ac:dyDescent="0.25">
      <c r="A573">
        <v>221</v>
      </c>
      <c r="B573" t="s">
        <v>407</v>
      </c>
      <c r="C573" t="s">
        <v>48</v>
      </c>
      <c r="D573" t="s">
        <v>123</v>
      </c>
      <c r="E573">
        <f>1/171</f>
        <v>5.8479532163742687E-3</v>
      </c>
      <c r="F573">
        <v>74</v>
      </c>
      <c r="G573">
        <f>LOG(382/(74+1))</f>
        <v>0.7070020995200087</v>
      </c>
      <c r="H573">
        <f>0.00584795321637426*1.62793249507026</f>
        <v>9.5200730705863011E-3</v>
      </c>
      <c r="I573">
        <v>9.5200730705863428E-3</v>
      </c>
    </row>
    <row r="574" spans="1:9" x14ac:dyDescent="0.25">
      <c r="A574">
        <v>221</v>
      </c>
      <c r="B574" t="s">
        <v>407</v>
      </c>
      <c r="C574" t="s">
        <v>48</v>
      </c>
      <c r="D574" t="s">
        <v>129</v>
      </c>
      <c r="E574">
        <f>2/171</f>
        <v>1.1695906432748537E-2</v>
      </c>
      <c r="F574">
        <v>7</v>
      </c>
      <c r="G574">
        <f>LOG(382/(7+1))</f>
        <v>1.6789733759197651</v>
      </c>
      <c r="H574">
        <f>0.0116959064327485*3.86597906692673</f>
        <v>4.5216129437739387E-2</v>
      </c>
      <c r="I574">
        <v>4.5216129437739637E-2</v>
      </c>
    </row>
    <row r="575" spans="1:9" x14ac:dyDescent="0.25">
      <c r="A575">
        <v>221</v>
      </c>
      <c r="B575" t="s">
        <v>407</v>
      </c>
      <c r="C575" t="s">
        <v>48</v>
      </c>
      <c r="D575" t="s">
        <v>51</v>
      </c>
      <c r="E575">
        <f>1/171</f>
        <v>5.8479532163742687E-3</v>
      </c>
      <c r="F575">
        <v>8</v>
      </c>
      <c r="G575">
        <f>LOG(382/(8+1))</f>
        <v>1.6278208534723839</v>
      </c>
      <c r="H575">
        <f>0.00584795321637426*3.74819603127035</f>
        <v>2.191927503666868E-2</v>
      </c>
      <c r="I575">
        <v>2.191927503666875E-2</v>
      </c>
    </row>
    <row r="576" spans="1:9" x14ac:dyDescent="0.25">
      <c r="A576">
        <v>221</v>
      </c>
      <c r="B576" t="s">
        <v>407</v>
      </c>
      <c r="C576" t="s">
        <v>48</v>
      </c>
      <c r="D576" t="s">
        <v>414</v>
      </c>
      <c r="E576">
        <f>1/171</f>
        <v>5.8479532163742687E-3</v>
      </c>
      <c r="F576">
        <v>2</v>
      </c>
      <c r="G576">
        <f>LOG(382/(2+1))</f>
        <v>2.1049421081920463</v>
      </c>
      <c r="H576">
        <f>0.00584795321637426*4.84680831993846</f>
        <v>2.834390830373364E-2</v>
      </c>
      <c r="I576">
        <v>2.8343908303733709E-2</v>
      </c>
    </row>
    <row r="577" spans="1:9" x14ac:dyDescent="0.25">
      <c r="A577">
        <v>221</v>
      </c>
      <c r="B577" t="s">
        <v>407</v>
      </c>
      <c r="C577" t="s">
        <v>48</v>
      </c>
      <c r="D577" t="s">
        <v>98</v>
      </c>
      <c r="E577">
        <f>2/171</f>
        <v>1.1695906432748537E-2</v>
      </c>
      <c r="F577">
        <v>56</v>
      </c>
      <c r="G577">
        <f>LOG(382/(56+1))</f>
        <v>0.82618850723921733</v>
      </c>
      <c r="H577">
        <f>0.0116959064327485*1.90236934077202</f>
        <v>2.2249933810198991E-2</v>
      </c>
      <c r="I577">
        <v>2.2249933810199119E-2</v>
      </c>
    </row>
    <row r="578" spans="1:9" x14ac:dyDescent="0.25">
      <c r="A578">
        <v>221</v>
      </c>
      <c r="B578" t="s">
        <v>407</v>
      </c>
      <c r="C578" t="s">
        <v>48</v>
      </c>
      <c r="D578" t="s">
        <v>415</v>
      </c>
      <c r="E578">
        <f>1/171</f>
        <v>5.8479532163742687E-3</v>
      </c>
      <c r="F578">
        <v>6</v>
      </c>
      <c r="G578">
        <f>LOG(382/(6+1))</f>
        <v>1.736965322897452</v>
      </c>
      <c r="H578">
        <f>0.00584795321637426*3.99951045955126</f>
        <v>2.3388950055855284E-2</v>
      </c>
      <c r="I578">
        <v>2.3388950055855329E-2</v>
      </c>
    </row>
    <row r="579" spans="1:9" x14ac:dyDescent="0.25">
      <c r="A579">
        <v>221</v>
      </c>
      <c r="B579" t="s">
        <v>407</v>
      </c>
      <c r="C579" t="s">
        <v>48</v>
      </c>
      <c r="D579" t="s">
        <v>416</v>
      </c>
      <c r="E579">
        <f>2/171</f>
        <v>1.1695906432748537E-2</v>
      </c>
      <c r="F579">
        <v>5</v>
      </c>
      <c r="G579">
        <f>LOG(382/(5+1))</f>
        <v>1.803912112528065</v>
      </c>
      <c r="H579">
        <f>0.0116959064327485*4.15366113937852</f>
        <v>4.8580832039514694E-2</v>
      </c>
      <c r="I579">
        <v>4.8580832039514847E-2</v>
      </c>
    </row>
    <row r="580" spans="1:9" x14ac:dyDescent="0.25">
      <c r="A580">
        <v>221</v>
      </c>
      <c r="B580" t="s">
        <v>407</v>
      </c>
      <c r="C580" t="s">
        <v>48</v>
      </c>
      <c r="D580" t="s">
        <v>417</v>
      </c>
      <c r="E580">
        <f>2/171</f>
        <v>1.1695906432748537E-2</v>
      </c>
      <c r="F580">
        <v>7</v>
      </c>
      <c r="G580">
        <f>LOG(382/(7+1))</f>
        <v>1.6789733759197651</v>
      </c>
      <c r="H580">
        <f>0.0116959064327485*3.86597906692673</f>
        <v>4.5216129437739387E-2</v>
      </c>
      <c r="I580">
        <v>4.5216129437739637E-2</v>
      </c>
    </row>
    <row r="581" spans="1:9" x14ac:dyDescent="0.25">
      <c r="A581">
        <v>221</v>
      </c>
      <c r="B581" t="s">
        <v>407</v>
      </c>
      <c r="C581" t="s">
        <v>48</v>
      </c>
      <c r="D581" t="s">
        <v>118</v>
      </c>
      <c r="E581">
        <f>1/171</f>
        <v>5.8479532163742687E-3</v>
      </c>
      <c r="F581">
        <v>8</v>
      </c>
      <c r="G581">
        <f>LOG(382/(8+1))</f>
        <v>1.6278208534723839</v>
      </c>
      <c r="H581">
        <f>0.00584795321637426*3.74819603127035</f>
        <v>2.191927503666868E-2</v>
      </c>
      <c r="I581">
        <v>2.191927503666875E-2</v>
      </c>
    </row>
    <row r="582" spans="1:9" x14ac:dyDescent="0.25">
      <c r="A582">
        <v>221</v>
      </c>
      <c r="B582" t="s">
        <v>407</v>
      </c>
      <c r="C582" t="s">
        <v>48</v>
      </c>
      <c r="D582" t="s">
        <v>100</v>
      </c>
      <c r="E582">
        <f>2/171</f>
        <v>1.1695906432748537E-2</v>
      </c>
      <c r="F582">
        <v>9</v>
      </c>
      <c r="G582">
        <f>LOG(382/(9+1))</f>
        <v>1.5820633629117087</v>
      </c>
      <c r="H582">
        <f>0.0116959064327485*3.64283551561252</f>
        <v>4.2606263340497171E-2</v>
      </c>
      <c r="I582">
        <v>4.260626334049742E-2</v>
      </c>
    </row>
    <row r="583" spans="1:9" x14ac:dyDescent="0.25">
      <c r="A583">
        <v>221</v>
      </c>
      <c r="B583" t="s">
        <v>407</v>
      </c>
      <c r="C583" t="s">
        <v>48</v>
      </c>
      <c r="D583" t="s">
        <v>418</v>
      </c>
      <c r="E583">
        <f>1/171</f>
        <v>5.8479532163742687E-3</v>
      </c>
      <c r="F583">
        <v>11</v>
      </c>
      <c r="G583">
        <f>LOG(382/(11+1))</f>
        <v>1.5028821168640838</v>
      </c>
      <c r="H583">
        <f>0.00584795321637426*3.46051395881857</f>
        <v>2.0236923735781079E-2</v>
      </c>
      <c r="I583">
        <v>2.0236923735781141E-2</v>
      </c>
    </row>
    <row r="584" spans="1:9" x14ac:dyDescent="0.25">
      <c r="A584">
        <v>221</v>
      </c>
      <c r="B584" t="s">
        <v>407</v>
      </c>
      <c r="C584" t="s">
        <v>48</v>
      </c>
      <c r="D584" t="s">
        <v>419</v>
      </c>
      <c r="E584">
        <f>1/171</f>
        <v>5.8479532163742687E-3</v>
      </c>
      <c r="F584">
        <v>4</v>
      </c>
      <c r="G584">
        <f>LOG(382/(4+1))</f>
        <v>1.8830933585756899</v>
      </c>
      <c r="H584">
        <f>0.00584795321637426*4.33598269617247</f>
        <v>2.5356623954224933E-2</v>
      </c>
      <c r="I584">
        <v>2.5356623954224999E-2</v>
      </c>
    </row>
    <row r="585" spans="1:9" x14ac:dyDescent="0.25">
      <c r="A585">
        <v>221</v>
      </c>
      <c r="B585" t="s">
        <v>407</v>
      </c>
      <c r="C585" t="s">
        <v>48</v>
      </c>
      <c r="D585" t="s">
        <v>126</v>
      </c>
      <c r="E585">
        <f>1/171</f>
        <v>5.8479532163742687E-3</v>
      </c>
      <c r="F585">
        <v>79</v>
      </c>
      <c r="G585">
        <f>LOG(382/(79+1))</f>
        <v>0.67897337591976514</v>
      </c>
      <c r="H585">
        <f>0.00584795321637426*1.56339397393269</f>
        <v>9.1426548183198113E-3</v>
      </c>
      <c r="I585">
        <v>9.142654818319846E-3</v>
      </c>
    </row>
    <row r="586" spans="1:9" x14ac:dyDescent="0.25">
      <c r="A586">
        <v>221</v>
      </c>
      <c r="B586" t="s">
        <v>407</v>
      </c>
      <c r="C586" t="s">
        <v>48</v>
      </c>
      <c r="D586" t="s">
        <v>121</v>
      </c>
      <c r="E586">
        <f>2/171</f>
        <v>1.1695906432748537E-2</v>
      </c>
      <c r="F586">
        <v>22</v>
      </c>
      <c r="G586">
        <f>LOG(382/(22+1))</f>
        <v>1.2203355268941158</v>
      </c>
      <c r="H586">
        <f>0.0116959064327485*2.80992639267742</f>
        <v>3.2864636171665622E-2</v>
      </c>
      <c r="I586">
        <v>3.2864636171665802E-2</v>
      </c>
    </row>
    <row r="587" spans="1:9" x14ac:dyDescent="0.25">
      <c r="A587">
        <v>221</v>
      </c>
      <c r="B587" t="s">
        <v>407</v>
      </c>
      <c r="C587" t="s">
        <v>48</v>
      </c>
      <c r="D587" t="s">
        <v>88</v>
      </c>
      <c r="E587">
        <f>3/171</f>
        <v>1.7543859649122806E-2</v>
      </c>
      <c r="F587">
        <v>13</v>
      </c>
      <c r="G587">
        <f>LOG(382/(13+1))</f>
        <v>1.4359353272334707</v>
      </c>
      <c r="H587">
        <f>0.0175438596491228*3.30636327899131</f>
        <v>5.8006373315636996E-2</v>
      </c>
      <c r="I587">
        <v>5.8006373315637128E-2</v>
      </c>
    </row>
    <row r="588" spans="1:9" x14ac:dyDescent="0.25">
      <c r="A588">
        <v>221</v>
      </c>
      <c r="B588" t="s">
        <v>407</v>
      </c>
      <c r="C588" t="s">
        <v>48</v>
      </c>
      <c r="D588" t="s">
        <v>87</v>
      </c>
      <c r="E588">
        <f>3/171</f>
        <v>1.7543859649122806E-2</v>
      </c>
      <c r="F588">
        <v>12</v>
      </c>
      <c r="G588">
        <f>LOG(382/(12+1))</f>
        <v>1.468120010604872</v>
      </c>
      <c r="H588">
        <f>0.0175438596491228*3.38047125114503</f>
        <v>5.930651317798296E-2</v>
      </c>
      <c r="I588">
        <v>5.9306513177983133E-2</v>
      </c>
    </row>
    <row r="589" spans="1:9" x14ac:dyDescent="0.25">
      <c r="A589">
        <v>221</v>
      </c>
      <c r="B589" t="s">
        <v>407</v>
      </c>
      <c r="C589" t="s">
        <v>48</v>
      </c>
      <c r="D589" t="s">
        <v>420</v>
      </c>
      <c r="E589">
        <f>1/171</f>
        <v>5.8479532163742687E-3</v>
      </c>
      <c r="F589">
        <v>3</v>
      </c>
      <c r="G589">
        <f>LOG(382/(3+1))</f>
        <v>1.9800033715837464</v>
      </c>
      <c r="H589">
        <f>0.00584795321637426*4.55912624748668</f>
        <v>2.6661557002846042E-2</v>
      </c>
      <c r="I589">
        <v>2.6661557002846111E-2</v>
      </c>
    </row>
    <row r="590" spans="1:9" x14ac:dyDescent="0.25">
      <c r="A590">
        <v>221</v>
      </c>
      <c r="B590" t="s">
        <v>407</v>
      </c>
      <c r="C590" t="s">
        <v>48</v>
      </c>
      <c r="D590" t="s">
        <v>421</v>
      </c>
      <c r="E590">
        <f>1/171</f>
        <v>5.8479532163742687E-3</v>
      </c>
      <c r="F590">
        <v>2</v>
      </c>
      <c r="G590">
        <f>LOG(382/(2+1))</f>
        <v>2.1049421081920463</v>
      </c>
      <c r="H590">
        <f>0.00584795321637426*4.84680831993846</f>
        <v>2.834390830373364E-2</v>
      </c>
      <c r="I590">
        <v>2.8343908303733709E-2</v>
      </c>
    </row>
    <row r="591" spans="1:9" x14ac:dyDescent="0.25">
      <c r="A591">
        <v>221</v>
      </c>
      <c r="B591" t="s">
        <v>407</v>
      </c>
      <c r="C591" t="s">
        <v>48</v>
      </c>
      <c r="D591" t="s">
        <v>422</v>
      </c>
      <c r="E591">
        <f>1/171</f>
        <v>5.8479532163742687E-3</v>
      </c>
      <c r="F591">
        <v>1</v>
      </c>
      <c r="G591">
        <f>LOG(382/(1+1))</f>
        <v>2.2810333672477277</v>
      </c>
      <c r="H591">
        <f>0.00584795321637426*5.25227342804663</f>
        <v>3.0715049286822348E-2</v>
      </c>
      <c r="I591">
        <v>3.07150492868224E-2</v>
      </c>
    </row>
    <row r="592" spans="1:9" x14ac:dyDescent="0.25">
      <c r="A592">
        <v>221</v>
      </c>
      <c r="B592" t="s">
        <v>407</v>
      </c>
      <c r="C592" t="s">
        <v>48</v>
      </c>
      <c r="D592" t="s">
        <v>423</v>
      </c>
      <c r="E592">
        <f>1/171</f>
        <v>5.8479532163742687E-3</v>
      </c>
      <c r="F592">
        <v>1</v>
      </c>
      <c r="G592">
        <f>LOG(382/(1+1))</f>
        <v>2.2810333672477277</v>
      </c>
      <c r="H592">
        <f>0.00584795321637426*5.25227342804663</f>
        <v>3.0715049286822348E-2</v>
      </c>
      <c r="I592">
        <v>3.07150492868224E-2</v>
      </c>
    </row>
    <row r="593" spans="1:9" x14ac:dyDescent="0.25">
      <c r="A593">
        <v>221</v>
      </c>
      <c r="B593" t="s">
        <v>407</v>
      </c>
      <c r="C593" t="s">
        <v>48</v>
      </c>
      <c r="D593" t="s">
        <v>107</v>
      </c>
      <c r="E593">
        <f>1/171</f>
        <v>5.8479532163742687E-3</v>
      </c>
      <c r="F593">
        <v>6</v>
      </c>
      <c r="G593">
        <f>LOG(382/(6+1))</f>
        <v>1.736965322897452</v>
      </c>
      <c r="H593">
        <f>0.00584795321637426*3.99951045955126</f>
        <v>2.3388950055855284E-2</v>
      </c>
      <c r="I593">
        <v>2.3388950055855329E-2</v>
      </c>
    </row>
    <row r="594" spans="1:9" x14ac:dyDescent="0.25">
      <c r="A594">
        <v>221</v>
      </c>
      <c r="B594" t="s">
        <v>407</v>
      </c>
      <c r="C594" t="s">
        <v>48</v>
      </c>
      <c r="D594" t="s">
        <v>424</v>
      </c>
      <c r="E594">
        <f>3/171</f>
        <v>1.7543859649122806E-2</v>
      </c>
      <c r="F594">
        <v>3</v>
      </c>
      <c r="G594">
        <f>LOG(382/(3+1))</f>
        <v>1.9800033715837464</v>
      </c>
      <c r="H594">
        <f>0.0175438596491228*4.55912624748668</f>
        <v>7.9984671008538205E-2</v>
      </c>
      <c r="I594">
        <v>7.9984671008538316E-2</v>
      </c>
    </row>
    <row r="595" spans="1:9" x14ac:dyDescent="0.25">
      <c r="A595">
        <v>221</v>
      </c>
      <c r="B595" t="s">
        <v>407</v>
      </c>
      <c r="C595" t="s">
        <v>48</v>
      </c>
      <c r="D595" t="s">
        <v>425</v>
      </c>
      <c r="E595">
        <f>2/171</f>
        <v>1.1695906432748537E-2</v>
      </c>
      <c r="F595">
        <v>3</v>
      </c>
      <c r="G595">
        <f>LOG(382/(3+1))</f>
        <v>1.9800033715837464</v>
      </c>
      <c r="H595">
        <f>0.0116959064327485*4.55912624748668</f>
        <v>5.3323114005691986E-2</v>
      </c>
      <c r="I595">
        <v>5.3323114005692222E-2</v>
      </c>
    </row>
    <row r="596" spans="1:9" x14ac:dyDescent="0.25">
      <c r="A596">
        <v>221</v>
      </c>
      <c r="B596" t="s">
        <v>407</v>
      </c>
      <c r="C596" t="s">
        <v>48</v>
      </c>
      <c r="D596" t="s">
        <v>81</v>
      </c>
      <c r="E596">
        <f>3/171</f>
        <v>1.7543859649122806E-2</v>
      </c>
      <c r="F596">
        <v>114</v>
      </c>
      <c r="G596">
        <f>LOG(382/(114+1))</f>
        <v>0.52136552255809698</v>
      </c>
      <c r="H596">
        <f>0.0175438596491228*1.20048848024332</f>
        <v>2.1061201407777536E-2</v>
      </c>
      <c r="I596">
        <v>2.1061201407777629E-2</v>
      </c>
    </row>
    <row r="597" spans="1:9" x14ac:dyDescent="0.25">
      <c r="A597">
        <v>221</v>
      </c>
      <c r="B597" t="s">
        <v>407</v>
      </c>
      <c r="C597" t="s">
        <v>48</v>
      </c>
      <c r="D597" t="s">
        <v>238</v>
      </c>
      <c r="E597">
        <f>1/171</f>
        <v>5.8479532163742687E-3</v>
      </c>
      <c r="F597">
        <v>10</v>
      </c>
      <c r="G597">
        <f>LOG(382/(10+1))</f>
        <v>1.5406706777534838</v>
      </c>
      <c r="H597">
        <f>0.00584795321637426*3.5475253358082</f>
        <v>2.0745762197708743E-2</v>
      </c>
      <c r="I597">
        <v>2.0745762197708802E-2</v>
      </c>
    </row>
    <row r="598" spans="1:9" x14ac:dyDescent="0.25">
      <c r="A598">
        <v>221</v>
      </c>
      <c r="B598" t="s">
        <v>407</v>
      </c>
      <c r="C598" t="s">
        <v>48</v>
      </c>
      <c r="D598" t="s">
        <v>426</v>
      </c>
      <c r="E598">
        <f>1/171</f>
        <v>5.8479532163742687E-3</v>
      </c>
      <c r="F598">
        <v>10</v>
      </c>
      <c r="G598">
        <f>LOG(382/(10+1))</f>
        <v>1.5406706777534838</v>
      </c>
      <c r="H598">
        <f>0.00584795321637426*3.5475253358082</f>
        <v>2.0745762197708743E-2</v>
      </c>
      <c r="I598">
        <v>2.0745762197708802E-2</v>
      </c>
    </row>
    <row r="599" spans="1:9" x14ac:dyDescent="0.25">
      <c r="A599">
        <v>221</v>
      </c>
      <c r="B599" t="s">
        <v>407</v>
      </c>
      <c r="C599" t="s">
        <v>48</v>
      </c>
      <c r="D599" t="s">
        <v>218</v>
      </c>
      <c r="E599">
        <f>2/171</f>
        <v>1.1695906432748537E-2</v>
      </c>
      <c r="F599">
        <v>35</v>
      </c>
      <c r="G599">
        <f>LOG(382/(35+1))</f>
        <v>1.0257608621444214</v>
      </c>
      <c r="H599">
        <f>0.0116959064327485*2.36190167015046</f>
        <v>2.762458093743219E-2</v>
      </c>
      <c r="I599">
        <v>2.7624580937432339E-2</v>
      </c>
    </row>
    <row r="600" spans="1:9" x14ac:dyDescent="0.25">
      <c r="A600">
        <v>221</v>
      </c>
      <c r="B600" t="s">
        <v>407</v>
      </c>
      <c r="C600" t="s">
        <v>48</v>
      </c>
      <c r="D600" t="s">
        <v>200</v>
      </c>
      <c r="E600">
        <f>1/171</f>
        <v>5.8479532163742687E-3</v>
      </c>
      <c r="F600">
        <v>2</v>
      </c>
      <c r="G600">
        <f>LOG(382/(2+1))</f>
        <v>2.1049421081920463</v>
      </c>
      <c r="H600">
        <f>0.00584795321637426*4.84680831993846</f>
        <v>2.834390830373364E-2</v>
      </c>
      <c r="I600">
        <v>2.8343908303733709E-2</v>
      </c>
    </row>
    <row r="601" spans="1:9" x14ac:dyDescent="0.25">
      <c r="A601">
        <v>221</v>
      </c>
      <c r="B601" t="s">
        <v>407</v>
      </c>
      <c r="C601" t="s">
        <v>48</v>
      </c>
      <c r="D601" t="s">
        <v>201</v>
      </c>
      <c r="E601">
        <f>1/171</f>
        <v>5.8479532163742687E-3</v>
      </c>
      <c r="F601">
        <v>72</v>
      </c>
      <c r="G601">
        <f>LOG(382/(72+1))</f>
        <v>0.71874050279125279</v>
      </c>
      <c r="H601">
        <f>0.00584795321637426*1.65496116745818</f>
        <v>9.6781354822115633E-3</v>
      </c>
      <c r="I601">
        <v>9.6781354822116014E-3</v>
      </c>
    </row>
    <row r="602" spans="1:9" x14ac:dyDescent="0.25">
      <c r="A602">
        <v>221</v>
      </c>
      <c r="B602" t="s">
        <v>407</v>
      </c>
      <c r="C602" t="s">
        <v>48</v>
      </c>
      <c r="D602" t="s">
        <v>427</v>
      </c>
      <c r="E602">
        <f>1/171</f>
        <v>5.8479532163742687E-3</v>
      </c>
      <c r="F602">
        <v>1</v>
      </c>
      <c r="G602">
        <f>LOG(382/(1+1))</f>
        <v>2.2810333672477277</v>
      </c>
      <c r="H602">
        <f>0.00584795321637426*5.25227342804663</f>
        <v>3.0715049286822348E-2</v>
      </c>
      <c r="I602">
        <v>3.07150492868224E-2</v>
      </c>
    </row>
    <row r="603" spans="1:9" x14ac:dyDescent="0.25">
      <c r="A603">
        <v>221</v>
      </c>
      <c r="B603" t="s">
        <v>407</v>
      </c>
      <c r="C603" t="s">
        <v>48</v>
      </c>
      <c r="D603" t="s">
        <v>428</v>
      </c>
      <c r="E603">
        <f>1/171</f>
        <v>5.8479532163742687E-3</v>
      </c>
      <c r="F603">
        <v>1</v>
      </c>
      <c r="G603">
        <f>LOG(382/(1+1))</f>
        <v>2.2810333672477277</v>
      </c>
      <c r="H603">
        <f>0.00584795321637426*5.25227342804663</f>
        <v>3.0715049286822348E-2</v>
      </c>
      <c r="I603">
        <v>3.07150492868224E-2</v>
      </c>
    </row>
    <row r="604" spans="1:9" x14ac:dyDescent="0.25">
      <c r="A604">
        <v>221</v>
      </c>
      <c r="B604" t="s">
        <v>407</v>
      </c>
      <c r="C604" t="s">
        <v>48</v>
      </c>
      <c r="D604" t="s">
        <v>362</v>
      </c>
      <c r="E604">
        <f>1/171</f>
        <v>5.8479532163742687E-3</v>
      </c>
      <c r="F604">
        <v>81</v>
      </c>
      <c r="G604">
        <f>LOG(382/(81+1))</f>
        <v>0.66824951052799197</v>
      </c>
      <c r="H604">
        <f>0.00584795321637426*1.53870136134232</f>
        <v>8.9982535751012716E-3</v>
      </c>
      <c r="I604">
        <v>8.9982535751012976E-3</v>
      </c>
    </row>
    <row r="605" spans="1:9" x14ac:dyDescent="0.25">
      <c r="A605">
        <v>221</v>
      </c>
      <c r="B605" t="s">
        <v>407</v>
      </c>
      <c r="C605" t="s">
        <v>48</v>
      </c>
      <c r="D605" t="s">
        <v>243</v>
      </c>
      <c r="E605">
        <f>3/171</f>
        <v>1.7543859649122806E-2</v>
      </c>
      <c r="F605">
        <v>131</v>
      </c>
      <c r="G605">
        <f>LOG(382/(131+1))</f>
        <v>0.46148943170585888</v>
      </c>
      <c r="H605">
        <f>0.0175438596491228*1.0626186860202</f>
        <v>1.8642433088073677E-2</v>
      </c>
      <c r="I605">
        <v>1.864243308807376E-2</v>
      </c>
    </row>
    <row r="606" spans="1:9" x14ac:dyDescent="0.25">
      <c r="A606">
        <v>221</v>
      </c>
      <c r="B606" t="s">
        <v>407</v>
      </c>
      <c r="C606" t="s">
        <v>48</v>
      </c>
      <c r="D606" t="s">
        <v>429</v>
      </c>
      <c r="E606">
        <f t="shared" ref="E606:E619" si="21">1/171</f>
        <v>5.8479532163742687E-3</v>
      </c>
      <c r="F606">
        <v>11</v>
      </c>
      <c r="G606">
        <f>LOG(382/(11+1))</f>
        <v>1.5028821168640838</v>
      </c>
      <c r="H606">
        <f>0.00584795321637426*3.46051395881857</f>
        <v>2.0236923735781079E-2</v>
      </c>
      <c r="I606">
        <v>2.0236923735781141E-2</v>
      </c>
    </row>
    <row r="607" spans="1:9" x14ac:dyDescent="0.25">
      <c r="A607">
        <v>221</v>
      </c>
      <c r="B607" t="s">
        <v>407</v>
      </c>
      <c r="C607" t="s">
        <v>48</v>
      </c>
      <c r="D607" t="s">
        <v>91</v>
      </c>
      <c r="E607">
        <f t="shared" si="21"/>
        <v>5.8479532163742687E-3</v>
      </c>
      <c r="F607">
        <v>33</v>
      </c>
      <c r="G607">
        <f>LOG(382/(33+1))</f>
        <v>1.0505844458694535</v>
      </c>
      <c r="H607">
        <f>0.00584795321637426*2.41906008399041</f>
        <v>1.4146550198774307E-2</v>
      </c>
      <c r="I607">
        <v>1.414655019877435E-2</v>
      </c>
    </row>
    <row r="608" spans="1:9" x14ac:dyDescent="0.25">
      <c r="A608">
        <v>221</v>
      </c>
      <c r="B608" t="s">
        <v>407</v>
      </c>
      <c r="C608" t="s">
        <v>48</v>
      </c>
      <c r="D608" t="s">
        <v>430</v>
      </c>
      <c r="E608">
        <f t="shared" si="21"/>
        <v>5.8479532163742687E-3</v>
      </c>
      <c r="F608">
        <v>1</v>
      </c>
      <c r="G608">
        <f>LOG(382/(1+1))</f>
        <v>2.2810333672477277</v>
      </c>
      <c r="H608">
        <f>0.00584795321637426*5.25227342804663</f>
        <v>3.0715049286822348E-2</v>
      </c>
      <c r="I608">
        <v>3.07150492868224E-2</v>
      </c>
    </row>
    <row r="609" spans="1:9" x14ac:dyDescent="0.25">
      <c r="A609">
        <v>221</v>
      </c>
      <c r="B609" t="s">
        <v>407</v>
      </c>
      <c r="C609" t="s">
        <v>48</v>
      </c>
      <c r="D609" t="s">
        <v>86</v>
      </c>
      <c r="E609">
        <f t="shared" si="21"/>
        <v>5.8479532163742687E-3</v>
      </c>
      <c r="F609">
        <v>8</v>
      </c>
      <c r="G609">
        <f>LOG(382/(8+1))</f>
        <v>1.6278208534723839</v>
      </c>
      <c r="H609">
        <f>0.00584795321637426*3.74819603127035</f>
        <v>2.191927503666868E-2</v>
      </c>
      <c r="I609">
        <v>2.191927503666875E-2</v>
      </c>
    </row>
    <row r="610" spans="1:9" x14ac:dyDescent="0.25">
      <c r="A610">
        <v>221</v>
      </c>
      <c r="B610" t="s">
        <v>407</v>
      </c>
      <c r="C610" t="s">
        <v>48</v>
      </c>
      <c r="D610" t="s">
        <v>54</v>
      </c>
      <c r="E610">
        <f t="shared" si="21"/>
        <v>5.8479532163742687E-3</v>
      </c>
      <c r="F610">
        <v>25</v>
      </c>
      <c r="G610">
        <f>LOG(382/(25+1))</f>
        <v>1.1670900149408907</v>
      </c>
      <c r="H610">
        <f>0.00584795321637426*2.68732407058509</f>
        <v>1.5715345442018046E-2</v>
      </c>
      <c r="I610">
        <v>1.5715345442018091E-2</v>
      </c>
    </row>
    <row r="611" spans="1:9" x14ac:dyDescent="0.25">
      <c r="A611">
        <v>221</v>
      </c>
      <c r="B611" t="s">
        <v>407</v>
      </c>
      <c r="C611" t="s">
        <v>48</v>
      </c>
      <c r="D611" t="s">
        <v>144</v>
      </c>
      <c r="E611">
        <f t="shared" si="21"/>
        <v>5.8479532163742687E-3</v>
      </c>
      <c r="F611">
        <v>105</v>
      </c>
      <c r="G611">
        <f>LOG(382/(105+1))</f>
        <v>0.55675749764693849</v>
      </c>
      <c r="H611">
        <f>0.00584795321637426*1.2819815144945</f>
        <v>7.4969679210204563E-3</v>
      </c>
      <c r="I611">
        <v>7.4969679210205144E-3</v>
      </c>
    </row>
    <row r="612" spans="1:9" x14ac:dyDescent="0.25">
      <c r="A612">
        <v>221</v>
      </c>
      <c r="B612" t="s">
        <v>407</v>
      </c>
      <c r="C612" t="s">
        <v>48</v>
      </c>
      <c r="D612" t="s">
        <v>42</v>
      </c>
      <c r="E612">
        <f t="shared" si="21"/>
        <v>5.8479532163742687E-3</v>
      </c>
      <c r="F612">
        <v>251</v>
      </c>
      <c r="G612">
        <f>LOG(382/(251+1))</f>
        <v>0.18066282213016463</v>
      </c>
      <c r="H612">
        <f>0.00584795321637426*0.415991521095151</f>
        <v>2.4326989537728091E-3</v>
      </c>
      <c r="I612">
        <v>2.4326989537728182E-3</v>
      </c>
    </row>
    <row r="613" spans="1:9" x14ac:dyDescent="0.25">
      <c r="A613">
        <v>221</v>
      </c>
      <c r="B613" t="s">
        <v>407</v>
      </c>
      <c r="C613" t="s">
        <v>48</v>
      </c>
      <c r="D613" t="s">
        <v>260</v>
      </c>
      <c r="E613">
        <f t="shared" si="21"/>
        <v>5.8479532163742687E-3</v>
      </c>
      <c r="F613">
        <v>31</v>
      </c>
      <c r="G613">
        <f>LOG(382/(31+1))</f>
        <v>1.0769133845918029</v>
      </c>
      <c r="H613">
        <f>0.00584795321637426*2.47968470580684</f>
        <v>1.4501080150917171E-2</v>
      </c>
      <c r="I613">
        <v>1.450108015091724E-2</v>
      </c>
    </row>
    <row r="614" spans="1:9" x14ac:dyDescent="0.25">
      <c r="A614">
        <v>221</v>
      </c>
      <c r="B614" t="s">
        <v>407</v>
      </c>
      <c r="C614" t="s">
        <v>48</v>
      </c>
      <c r="D614" t="s">
        <v>207</v>
      </c>
      <c r="E614">
        <f t="shared" si="21"/>
        <v>5.8479532163742687E-3</v>
      </c>
      <c r="F614">
        <v>21</v>
      </c>
      <c r="G614">
        <f>LOG(382/(21+1))</f>
        <v>1.2396406820895025</v>
      </c>
      <c r="H614">
        <f>0.00584795321637426*2.85437815524825</f>
        <v>1.6692269913732429E-2</v>
      </c>
      <c r="I614">
        <v>1.6692269913732509E-2</v>
      </c>
    </row>
    <row r="615" spans="1:9" x14ac:dyDescent="0.25">
      <c r="A615">
        <v>221</v>
      </c>
      <c r="B615" t="s">
        <v>407</v>
      </c>
      <c r="C615" t="s">
        <v>48</v>
      </c>
      <c r="D615" t="s">
        <v>40</v>
      </c>
      <c r="E615">
        <f t="shared" si="21"/>
        <v>5.8479532163742687E-3</v>
      </c>
      <c r="F615">
        <v>159</v>
      </c>
      <c r="G615">
        <f>LOG(382/(159+1))</f>
        <v>0.377943380255784</v>
      </c>
      <c r="H615">
        <f>0.00584795321637426*0.870246793372748</f>
        <v>5.0891625343435481E-3</v>
      </c>
      <c r="I615">
        <v>5.0891625343435576E-3</v>
      </c>
    </row>
    <row r="616" spans="1:9" x14ac:dyDescent="0.25">
      <c r="A616">
        <v>221</v>
      </c>
      <c r="B616" t="s">
        <v>407</v>
      </c>
      <c r="C616" t="s">
        <v>48</v>
      </c>
      <c r="D616" t="s">
        <v>431</v>
      </c>
      <c r="E616">
        <f t="shared" si="21"/>
        <v>5.8479532163742687E-3</v>
      </c>
      <c r="F616">
        <v>1</v>
      </c>
      <c r="G616">
        <f>LOG(382/(1+1))</f>
        <v>2.2810333672477277</v>
      </c>
      <c r="H616">
        <f>0.00584795321637426*5.25227342804663</f>
        <v>3.0715049286822348E-2</v>
      </c>
      <c r="I616">
        <v>3.07150492868224E-2</v>
      </c>
    </row>
    <row r="617" spans="1:9" x14ac:dyDescent="0.25">
      <c r="A617">
        <v>221</v>
      </c>
      <c r="B617" t="s">
        <v>407</v>
      </c>
      <c r="C617" t="s">
        <v>48</v>
      </c>
      <c r="D617" t="s">
        <v>432</v>
      </c>
      <c r="E617">
        <f t="shared" si="21"/>
        <v>5.8479532163742687E-3</v>
      </c>
      <c r="F617">
        <v>67</v>
      </c>
      <c r="G617">
        <f>LOG(382/(67+1))</f>
        <v>0.7495544502054724</v>
      </c>
      <c r="H617">
        <f>0.00584795321637426*1.72591290343046</f>
        <v>1.0093057914797997E-2</v>
      </c>
      <c r="I617">
        <v>1.0093057914798059E-2</v>
      </c>
    </row>
    <row r="618" spans="1:9" x14ac:dyDescent="0.25">
      <c r="A618">
        <v>221</v>
      </c>
      <c r="B618" t="s">
        <v>407</v>
      </c>
      <c r="C618" t="s">
        <v>48</v>
      </c>
      <c r="D618" t="s">
        <v>433</v>
      </c>
      <c r="E618">
        <f t="shared" si="21"/>
        <v>5.8479532163742687E-3</v>
      </c>
      <c r="F618">
        <v>1</v>
      </c>
      <c r="G618">
        <f>LOG(382/(1+1))</f>
        <v>2.2810333672477277</v>
      </c>
      <c r="H618">
        <f>0.00584795321637426*5.25227342804663</f>
        <v>3.0715049286822348E-2</v>
      </c>
      <c r="I618">
        <v>3.07150492868224E-2</v>
      </c>
    </row>
    <row r="619" spans="1:9" x14ac:dyDescent="0.25">
      <c r="A619">
        <v>221</v>
      </c>
      <c r="B619" t="s">
        <v>407</v>
      </c>
      <c r="C619" t="s">
        <v>48</v>
      </c>
      <c r="D619" t="s">
        <v>168</v>
      </c>
      <c r="E619">
        <f t="shared" si="21"/>
        <v>5.8479532163742687E-3</v>
      </c>
      <c r="F619">
        <v>34</v>
      </c>
      <c r="G619">
        <f>LOG(382/(34+1))</f>
        <v>1.037995318561433</v>
      </c>
      <c r="H619">
        <f>0.00584795321637426*2.39007254711716</f>
        <v>1.3977032439281617E-2</v>
      </c>
      <c r="I619">
        <v>1.3977032439281639E-2</v>
      </c>
    </row>
    <row r="620" spans="1:9" x14ac:dyDescent="0.25">
      <c r="A620">
        <v>221</v>
      </c>
      <c r="B620" t="s">
        <v>407</v>
      </c>
      <c r="C620" t="s">
        <v>48</v>
      </c>
      <c r="D620" t="s">
        <v>361</v>
      </c>
      <c r="E620">
        <f>2/171</f>
        <v>1.1695906432748537E-2</v>
      </c>
      <c r="F620">
        <v>118</v>
      </c>
      <c r="G620">
        <f>LOG(382/(118+1))</f>
        <v>0.50651640151917798</v>
      </c>
      <c r="H620">
        <f>0.0116959064327485*1.16629711549504</f>
        <v>1.3640901935614456E-2</v>
      </c>
      <c r="I620">
        <v>1.3640901935614571E-2</v>
      </c>
    </row>
    <row r="621" spans="1:9" x14ac:dyDescent="0.25">
      <c r="A621">
        <v>221</v>
      </c>
      <c r="B621" t="s">
        <v>407</v>
      </c>
      <c r="C621" t="s">
        <v>48</v>
      </c>
      <c r="D621" t="s">
        <v>434</v>
      </c>
      <c r="E621">
        <f>2/171</f>
        <v>1.1695906432748537E-2</v>
      </c>
      <c r="F621">
        <v>97</v>
      </c>
      <c r="G621">
        <f>LOG(382/(97+1))</f>
        <v>0.59083728721921391</v>
      </c>
      <c r="H621">
        <f>0.0116959064327485*1.360453129936</f>
        <v>1.5911732513871294E-2</v>
      </c>
      <c r="I621">
        <v>1.5911732513871381E-2</v>
      </c>
    </row>
    <row r="622" spans="1:9" x14ac:dyDescent="0.25">
      <c r="A622">
        <v>221</v>
      </c>
      <c r="B622" t="s">
        <v>407</v>
      </c>
      <c r="C622" t="s">
        <v>48</v>
      </c>
      <c r="D622" t="s">
        <v>357</v>
      </c>
      <c r="E622">
        <f>1/171</f>
        <v>5.8479532163742687E-3</v>
      </c>
      <c r="F622">
        <v>7</v>
      </c>
      <c r="G622">
        <f>LOG(382/(7+1))</f>
        <v>1.6789733759197651</v>
      </c>
      <c r="H622">
        <f>0.00584795321637426*3.86597906692673</f>
        <v>2.2608064718869732E-2</v>
      </c>
      <c r="I622">
        <v>2.2608064718869818E-2</v>
      </c>
    </row>
    <row r="623" spans="1:9" x14ac:dyDescent="0.25">
      <c r="A623">
        <v>221</v>
      </c>
      <c r="B623" t="s">
        <v>407</v>
      </c>
      <c r="C623" t="s">
        <v>48</v>
      </c>
      <c r="D623" t="s">
        <v>435</v>
      </c>
      <c r="E623">
        <f>1/171</f>
        <v>5.8479532163742687E-3</v>
      </c>
      <c r="F623">
        <v>1</v>
      </c>
      <c r="G623">
        <f>LOG(382/(1+1))</f>
        <v>2.2810333672477277</v>
      </c>
      <c r="H623">
        <f>0.00584795321637426*5.25227342804663</f>
        <v>3.0715049286822348E-2</v>
      </c>
      <c r="I623">
        <v>3.07150492868224E-2</v>
      </c>
    </row>
    <row r="624" spans="1:9" x14ac:dyDescent="0.25">
      <c r="A624">
        <v>221</v>
      </c>
      <c r="B624" t="s">
        <v>407</v>
      </c>
      <c r="C624" t="s">
        <v>48</v>
      </c>
      <c r="D624" t="s">
        <v>436</v>
      </c>
      <c r="E624">
        <f>1/171</f>
        <v>5.8479532163742687E-3</v>
      </c>
      <c r="F624">
        <v>20</v>
      </c>
      <c r="G624">
        <f>LOG(382/(20+1))</f>
        <v>1.2598440681777894</v>
      </c>
      <c r="H624">
        <f>0.00584795321637426*2.90089817088315</f>
        <v>1.6964316788790325E-2</v>
      </c>
      <c r="I624">
        <v>1.696431678879036E-2</v>
      </c>
    </row>
    <row r="625" spans="1:9" x14ac:dyDescent="0.25">
      <c r="A625">
        <v>221</v>
      </c>
      <c r="B625" t="s">
        <v>407</v>
      </c>
      <c r="C625" t="s">
        <v>48</v>
      </c>
      <c r="D625" t="s">
        <v>437</v>
      </c>
      <c r="E625">
        <f>1/171</f>
        <v>5.8479532163742687E-3</v>
      </c>
      <c r="F625">
        <v>18</v>
      </c>
      <c r="G625">
        <f>LOG(382/(18+1))</f>
        <v>1.3033097619588798</v>
      </c>
      <c r="H625">
        <f>0.00584795321637426*3.00098162944013</f>
        <v>1.7549600172164476E-2</v>
      </c>
      <c r="I625">
        <v>1.7549600172164531E-2</v>
      </c>
    </row>
    <row r="626" spans="1:9" x14ac:dyDescent="0.25">
      <c r="A626">
        <v>221</v>
      </c>
      <c r="B626" t="s">
        <v>407</v>
      </c>
      <c r="C626" t="s">
        <v>48</v>
      </c>
      <c r="D626" t="s">
        <v>438</v>
      </c>
      <c r="E626">
        <f>2/171</f>
        <v>1.1695906432748537E-2</v>
      </c>
      <c r="F626">
        <v>37</v>
      </c>
      <c r="G626">
        <f>LOG(382/(37+1))</f>
        <v>1.0022797662948986</v>
      </c>
      <c r="H626">
        <f>0.0116959064327485*2.30783444888018</f>
        <v>2.6992215776376283E-2</v>
      </c>
      <c r="I626">
        <v>2.699221577637648E-2</v>
      </c>
    </row>
    <row r="627" spans="1:9" x14ac:dyDescent="0.25">
      <c r="A627">
        <v>221</v>
      </c>
      <c r="B627" t="s">
        <v>407</v>
      </c>
      <c r="C627" t="s">
        <v>48</v>
      </c>
      <c r="D627" t="s">
        <v>439</v>
      </c>
      <c r="E627">
        <f>1/171</f>
        <v>5.8479532163742687E-3</v>
      </c>
      <c r="F627">
        <v>28</v>
      </c>
      <c r="G627">
        <f>LOG(382/(28+1))</f>
        <v>1.1196653650127526</v>
      </c>
      <c r="H627">
        <f>0.00584795321637426*2.5781247786201</f>
        <v>1.5076753091345589E-2</v>
      </c>
      <c r="I627">
        <v>1.507675309134562E-2</v>
      </c>
    </row>
    <row r="628" spans="1:9" x14ac:dyDescent="0.25">
      <c r="A628">
        <v>221</v>
      </c>
      <c r="B628" t="s">
        <v>407</v>
      </c>
      <c r="C628" t="s">
        <v>48</v>
      </c>
      <c r="D628" t="s">
        <v>440</v>
      </c>
      <c r="E628">
        <f>2/171</f>
        <v>1.1695906432748537E-2</v>
      </c>
      <c r="F628">
        <v>6</v>
      </c>
      <c r="G628">
        <f>LOG(382/(6+1))</f>
        <v>1.736965322897452</v>
      </c>
      <c r="H628">
        <f>0.0116959064327485*3.99951045955126</f>
        <v>4.6777900111710485E-2</v>
      </c>
      <c r="I628">
        <v>4.6777900111710659E-2</v>
      </c>
    </row>
    <row r="629" spans="1:9" x14ac:dyDescent="0.25">
      <c r="A629">
        <v>221</v>
      </c>
      <c r="B629" t="s">
        <v>407</v>
      </c>
      <c r="C629" t="s">
        <v>48</v>
      </c>
      <c r="D629" t="s">
        <v>441</v>
      </c>
      <c r="E629">
        <f>1/171</f>
        <v>5.8479532163742687E-3</v>
      </c>
      <c r="F629">
        <v>1</v>
      </c>
      <c r="G629">
        <f>LOG(382/(1+1))</f>
        <v>2.2810333672477277</v>
      </c>
      <c r="H629">
        <f>0.00584795321637426*5.25227342804663</f>
        <v>3.0715049286822348E-2</v>
      </c>
      <c r="I629">
        <v>3.07150492868224E-2</v>
      </c>
    </row>
    <row r="630" spans="1:9" x14ac:dyDescent="0.25">
      <c r="A630">
        <v>221</v>
      </c>
      <c r="B630" t="s">
        <v>407</v>
      </c>
      <c r="C630" t="s">
        <v>48</v>
      </c>
      <c r="D630" t="s">
        <v>442</v>
      </c>
      <c r="E630">
        <f>1/171</f>
        <v>5.8479532163742687E-3</v>
      </c>
      <c r="F630">
        <v>9</v>
      </c>
      <c r="G630">
        <f>LOG(382/(9+1))</f>
        <v>1.5820633629117087</v>
      </c>
      <c r="H630">
        <f>0.00584795321637426*3.64283551561252</f>
        <v>2.1303131670248623E-2</v>
      </c>
      <c r="I630">
        <v>2.130313167024871E-2</v>
      </c>
    </row>
    <row r="631" spans="1:9" x14ac:dyDescent="0.25">
      <c r="A631">
        <v>221</v>
      </c>
      <c r="B631" t="s">
        <v>407</v>
      </c>
      <c r="C631" t="s">
        <v>48</v>
      </c>
      <c r="D631" t="s">
        <v>443</v>
      </c>
      <c r="E631">
        <f>1/171</f>
        <v>5.8479532163742687E-3</v>
      </c>
      <c r="F631">
        <v>3</v>
      </c>
      <c r="G631">
        <f>LOG(382/(3+1))</f>
        <v>1.9800033715837464</v>
      </c>
      <c r="H631">
        <f>0.00584795321637426*4.55912624748668</f>
        <v>2.6661557002846042E-2</v>
      </c>
      <c r="I631">
        <v>2.6661557002846111E-2</v>
      </c>
    </row>
    <row r="632" spans="1:9" x14ac:dyDescent="0.25">
      <c r="A632">
        <v>221</v>
      </c>
      <c r="B632" t="s">
        <v>407</v>
      </c>
      <c r="C632" t="s">
        <v>48</v>
      </c>
      <c r="D632" t="s">
        <v>236</v>
      </c>
      <c r="E632">
        <f>2/171</f>
        <v>1.1695906432748537E-2</v>
      </c>
      <c r="F632">
        <v>87</v>
      </c>
      <c r="G632">
        <f>LOG(382/(87+1))</f>
        <v>0.63758069076154011</v>
      </c>
      <c r="H632">
        <f>0.0116959064327485*1.46808379412836</f>
        <v>1.7170570691559708E-2</v>
      </c>
      <c r="I632">
        <v>1.7170570691559871E-2</v>
      </c>
    </row>
    <row r="633" spans="1:9" x14ac:dyDescent="0.25">
      <c r="A633">
        <v>221</v>
      </c>
      <c r="B633" t="s">
        <v>407</v>
      </c>
      <c r="C633" t="s">
        <v>48</v>
      </c>
      <c r="D633" t="s">
        <v>444</v>
      </c>
      <c r="E633">
        <f>3/171</f>
        <v>1.7543859649122806E-2</v>
      </c>
      <c r="F633">
        <v>28</v>
      </c>
      <c r="G633">
        <f>LOG(382/(28+1))</f>
        <v>1.1196653650127526</v>
      </c>
      <c r="H633">
        <f>0.0175438596491228*2.5781247786201</f>
        <v>4.5230259274036816E-2</v>
      </c>
      <c r="I633">
        <v>4.5230259274036858E-2</v>
      </c>
    </row>
    <row r="634" spans="1:9" x14ac:dyDescent="0.25">
      <c r="A634">
        <v>221</v>
      </c>
      <c r="B634" t="s">
        <v>407</v>
      </c>
      <c r="C634" t="s">
        <v>48</v>
      </c>
      <c r="D634" t="s">
        <v>445</v>
      </c>
      <c r="E634">
        <f>2/171</f>
        <v>1.1695906432748537E-2</v>
      </c>
      <c r="F634">
        <v>35</v>
      </c>
      <c r="G634">
        <f>LOG(382/(35+1))</f>
        <v>1.0257608621444214</v>
      </c>
      <c r="H634">
        <f>0.0116959064327485*2.36190167015046</f>
        <v>2.762458093743219E-2</v>
      </c>
      <c r="I634">
        <v>2.7624580937432339E-2</v>
      </c>
    </row>
    <row r="635" spans="1:9" x14ac:dyDescent="0.25">
      <c r="A635">
        <v>221</v>
      </c>
      <c r="B635" t="s">
        <v>407</v>
      </c>
      <c r="C635" t="s">
        <v>48</v>
      </c>
      <c r="D635" t="s">
        <v>446</v>
      </c>
      <c r="E635">
        <f t="shared" ref="E635:E654" si="22">1/171</f>
        <v>5.8479532163742687E-3</v>
      </c>
      <c r="F635">
        <v>1</v>
      </c>
      <c r="G635">
        <f>LOG(382/(1+1))</f>
        <v>2.2810333672477277</v>
      </c>
      <c r="H635">
        <f>0.00584795321637426*5.25227342804663</f>
        <v>3.0715049286822348E-2</v>
      </c>
      <c r="I635">
        <v>3.07150492868224E-2</v>
      </c>
    </row>
    <row r="636" spans="1:9" x14ac:dyDescent="0.25">
      <c r="A636">
        <v>221</v>
      </c>
      <c r="B636" t="s">
        <v>407</v>
      </c>
      <c r="C636" t="s">
        <v>48</v>
      </c>
      <c r="D636" t="s">
        <v>339</v>
      </c>
      <c r="E636">
        <f t="shared" si="22"/>
        <v>5.8479532163742687E-3</v>
      </c>
      <c r="F636">
        <v>66</v>
      </c>
      <c r="G636">
        <f>LOG(382/(66+1))</f>
        <v>0.75598856021088234</v>
      </c>
      <c r="H636">
        <f>0.00584795321637426*1.7407279892156</f>
        <v>1.0179695843366067E-2</v>
      </c>
      <c r="I636">
        <v>1.0179695843366129E-2</v>
      </c>
    </row>
    <row r="637" spans="1:9" x14ac:dyDescent="0.25">
      <c r="A637">
        <v>221</v>
      </c>
      <c r="B637" t="s">
        <v>407</v>
      </c>
      <c r="C637" t="s">
        <v>48</v>
      </c>
      <c r="D637" t="s">
        <v>447</v>
      </c>
      <c r="E637">
        <f t="shared" si="22"/>
        <v>5.8479532163742687E-3</v>
      </c>
      <c r="F637">
        <v>37</v>
      </c>
      <c r="G637">
        <f>LOG(382/(37+1))</f>
        <v>1.0022797662948986</v>
      </c>
      <c r="H637">
        <f>0.00584795321637426*2.30783444888018</f>
        <v>1.3496107888188166E-2</v>
      </c>
      <c r="I637">
        <v>1.349610788818824E-2</v>
      </c>
    </row>
    <row r="638" spans="1:9" x14ac:dyDescent="0.25">
      <c r="A638">
        <v>221</v>
      </c>
      <c r="B638" t="s">
        <v>407</v>
      </c>
      <c r="C638" t="s">
        <v>48</v>
      </c>
      <c r="D638" t="s">
        <v>239</v>
      </c>
      <c r="E638">
        <f t="shared" si="22"/>
        <v>5.8479532163742687E-3</v>
      </c>
      <c r="F638">
        <v>40</v>
      </c>
      <c r="G638">
        <f>LOG(382/(40+1))</f>
        <v>0.96927950619197323</v>
      </c>
      <c r="H638">
        <f>0.00584795321637426*2.23184854190226</f>
        <v>1.3051745859077523E-2</v>
      </c>
      <c r="I638">
        <v>1.305174585907759E-2</v>
      </c>
    </row>
    <row r="639" spans="1:9" x14ac:dyDescent="0.25">
      <c r="A639">
        <v>221</v>
      </c>
      <c r="B639" t="s">
        <v>407</v>
      </c>
      <c r="C639" t="s">
        <v>48</v>
      </c>
      <c r="D639" t="s">
        <v>448</v>
      </c>
      <c r="E639">
        <f t="shared" si="22"/>
        <v>5.8479532163742687E-3</v>
      </c>
      <c r="F639">
        <v>19</v>
      </c>
      <c r="G639">
        <f>LOG(382/(19+1))</f>
        <v>1.2810333672477277</v>
      </c>
      <c r="H639">
        <f>0.00584795321637426*2.94968833505258</f>
        <v>1.7249639386272372E-2</v>
      </c>
      <c r="I639">
        <v>1.7249639386272421E-2</v>
      </c>
    </row>
    <row r="640" spans="1:9" x14ac:dyDescent="0.25">
      <c r="A640">
        <v>221</v>
      </c>
      <c r="B640" t="s">
        <v>407</v>
      </c>
      <c r="C640" t="s">
        <v>48</v>
      </c>
      <c r="D640" t="s">
        <v>449</v>
      </c>
      <c r="E640">
        <f t="shared" si="22"/>
        <v>5.8479532163742687E-3</v>
      </c>
      <c r="F640">
        <v>9</v>
      </c>
      <c r="G640">
        <f>LOG(382/(9+1))</f>
        <v>1.5820633629117087</v>
      </c>
      <c r="H640">
        <f>0.00584795321637426*3.64283551561252</f>
        <v>2.1303131670248623E-2</v>
      </c>
      <c r="I640">
        <v>2.130313167024871E-2</v>
      </c>
    </row>
    <row r="641" spans="1:9" x14ac:dyDescent="0.25">
      <c r="A641">
        <v>221</v>
      </c>
      <c r="B641" t="s">
        <v>407</v>
      </c>
      <c r="C641" t="s">
        <v>48</v>
      </c>
      <c r="D641" t="s">
        <v>450</v>
      </c>
      <c r="E641">
        <f t="shared" si="22"/>
        <v>5.8479532163742687E-3</v>
      </c>
      <c r="F641">
        <v>17</v>
      </c>
      <c r="G641">
        <f>LOG(382/(17+1))</f>
        <v>1.3267908578084027</v>
      </c>
      <c r="H641">
        <f>0.00584795321637426*3.05504885071041</f>
        <v>1.7865782752692429E-2</v>
      </c>
      <c r="I641">
        <v>1.7865782752692461E-2</v>
      </c>
    </row>
    <row r="642" spans="1:9" x14ac:dyDescent="0.25">
      <c r="A642">
        <v>221</v>
      </c>
      <c r="B642" t="s">
        <v>407</v>
      </c>
      <c r="C642" t="s">
        <v>48</v>
      </c>
      <c r="D642" t="s">
        <v>451</v>
      </c>
      <c r="E642">
        <f t="shared" si="22"/>
        <v>5.8479532163742687E-3</v>
      </c>
      <c r="F642">
        <v>15</v>
      </c>
      <c r="G642">
        <f>LOG(382/(15+1))</f>
        <v>1.3779433802557839</v>
      </c>
      <c r="H642">
        <f>0.00584795321637426*3.17283188636679</f>
        <v>1.8554572434893481E-2</v>
      </c>
      <c r="I642">
        <v>1.8554572434893529E-2</v>
      </c>
    </row>
    <row r="643" spans="1:9" x14ac:dyDescent="0.25">
      <c r="A643">
        <v>221</v>
      </c>
      <c r="B643" t="s">
        <v>407</v>
      </c>
      <c r="C643" t="s">
        <v>48</v>
      </c>
      <c r="D643" t="s">
        <v>452</v>
      </c>
      <c r="E643">
        <f t="shared" si="22"/>
        <v>5.8479532163742687E-3</v>
      </c>
      <c r="F643">
        <v>2</v>
      </c>
      <c r="G643">
        <f>LOG(382/(2+1))</f>
        <v>2.1049421081920463</v>
      </c>
      <c r="H643">
        <f>0.00584795321637426*4.84680831993846</f>
        <v>2.834390830373364E-2</v>
      </c>
      <c r="I643">
        <v>2.8343908303733709E-2</v>
      </c>
    </row>
    <row r="644" spans="1:9" x14ac:dyDescent="0.25">
      <c r="A644">
        <v>221</v>
      </c>
      <c r="B644" t="s">
        <v>407</v>
      </c>
      <c r="C644" t="s">
        <v>48</v>
      </c>
      <c r="D644" t="s">
        <v>322</v>
      </c>
      <c r="E644">
        <f t="shared" si="22"/>
        <v>5.8479532163742687E-3</v>
      </c>
      <c r="F644">
        <v>128</v>
      </c>
      <c r="G644">
        <f>LOG(382/(128+1))</f>
        <v>0.47147365261245977</v>
      </c>
      <c r="H644">
        <f>0.00584795321637426*1.0856082042449</f>
        <v>6.3485859897362473E-3</v>
      </c>
      <c r="I644">
        <v>6.348585989736275E-3</v>
      </c>
    </row>
    <row r="645" spans="1:9" x14ac:dyDescent="0.25">
      <c r="A645">
        <v>221</v>
      </c>
      <c r="B645" t="s">
        <v>407</v>
      </c>
      <c r="C645" t="s">
        <v>48</v>
      </c>
      <c r="D645" t="s">
        <v>453</v>
      </c>
      <c r="E645">
        <f t="shared" si="22"/>
        <v>5.8479532163742687E-3</v>
      </c>
      <c r="F645">
        <v>68</v>
      </c>
      <c r="G645">
        <f>LOG(382/(68+1))</f>
        <v>0.74321427217445335</v>
      </c>
      <c r="H645">
        <f>0.00584795321637426*1.71131410400931</f>
        <v>1.0007684818767879E-2</v>
      </c>
      <c r="I645">
        <v>1.000768481876793E-2</v>
      </c>
    </row>
    <row r="646" spans="1:9" x14ac:dyDescent="0.25">
      <c r="A646">
        <v>221</v>
      </c>
      <c r="B646" t="s">
        <v>407</v>
      </c>
      <c r="C646" t="s">
        <v>48</v>
      </c>
      <c r="D646" t="s">
        <v>224</v>
      </c>
      <c r="E646">
        <f t="shared" si="22"/>
        <v>5.8479532163742687E-3</v>
      </c>
      <c r="F646">
        <v>16</v>
      </c>
      <c r="G646">
        <f>LOG(382/(16+1))</f>
        <v>1.3516144415334348</v>
      </c>
      <c r="H646">
        <f>0.00584795321637426*3.11220726455035</f>
        <v>1.8200042482750554E-2</v>
      </c>
      <c r="I646">
        <v>1.8200042482750641E-2</v>
      </c>
    </row>
    <row r="647" spans="1:9" x14ac:dyDescent="0.25">
      <c r="A647">
        <v>221</v>
      </c>
      <c r="B647" t="s">
        <v>407</v>
      </c>
      <c r="C647" t="s">
        <v>48</v>
      </c>
      <c r="D647" t="s">
        <v>454</v>
      </c>
      <c r="E647">
        <f t="shared" si="22"/>
        <v>5.8479532163742687E-3</v>
      </c>
      <c r="F647">
        <v>1</v>
      </c>
      <c r="G647">
        <f>LOG(382/(1+1))</f>
        <v>2.2810333672477277</v>
      </c>
      <c r="H647">
        <f>0.00584795321637426*5.25227342804663</f>
        <v>3.0715049286822348E-2</v>
      </c>
      <c r="I647">
        <v>3.07150492868224E-2</v>
      </c>
    </row>
    <row r="648" spans="1:9" x14ac:dyDescent="0.25">
      <c r="A648">
        <v>221</v>
      </c>
      <c r="B648" t="s">
        <v>407</v>
      </c>
      <c r="C648" t="s">
        <v>48</v>
      </c>
      <c r="D648" t="s">
        <v>307</v>
      </c>
      <c r="E648">
        <f t="shared" si="22"/>
        <v>5.8479532163742687E-3</v>
      </c>
      <c r="F648">
        <v>67</v>
      </c>
      <c r="G648">
        <f>LOG(382/(67+1))</f>
        <v>0.7495544502054724</v>
      </c>
      <c r="H648">
        <f>0.00584795321637426*1.72591290343046</f>
        <v>1.0093057914797997E-2</v>
      </c>
      <c r="I648">
        <v>1.0093057914798059E-2</v>
      </c>
    </row>
    <row r="649" spans="1:9" x14ac:dyDescent="0.25">
      <c r="A649">
        <v>221</v>
      </c>
      <c r="B649" t="s">
        <v>407</v>
      </c>
      <c r="C649" t="s">
        <v>48</v>
      </c>
      <c r="D649" t="s">
        <v>455</v>
      </c>
      <c r="E649">
        <f t="shared" si="22"/>
        <v>5.8479532163742687E-3</v>
      </c>
      <c r="F649">
        <v>78</v>
      </c>
      <c r="G649">
        <f>LOG(382/(78+1))</f>
        <v>0.6844362716212673</v>
      </c>
      <c r="H649">
        <f>0.00584795321637426*1.57597275613955</f>
        <v>9.2162149481844896E-3</v>
      </c>
      <c r="I649">
        <v>9.2162149481845243E-3</v>
      </c>
    </row>
    <row r="650" spans="1:9" x14ac:dyDescent="0.25">
      <c r="A650">
        <v>221</v>
      </c>
      <c r="B650" t="s">
        <v>407</v>
      </c>
      <c r="C650" t="s">
        <v>48</v>
      </c>
      <c r="D650" t="s">
        <v>456</v>
      </c>
      <c r="E650">
        <f t="shared" si="22"/>
        <v>5.8479532163742687E-3</v>
      </c>
      <c r="F650">
        <v>71</v>
      </c>
      <c r="G650">
        <f>LOG(382/(71+1))</f>
        <v>0.72473086648044027</v>
      </c>
      <c r="H650">
        <f>0.00584795321637426*1.66875448959051</f>
        <v>9.7587981847398093E-3</v>
      </c>
      <c r="I650">
        <v>9.7587981847398805E-3</v>
      </c>
    </row>
    <row r="651" spans="1:9" x14ac:dyDescent="0.25">
      <c r="A651">
        <v>221</v>
      </c>
      <c r="B651" t="s">
        <v>407</v>
      </c>
      <c r="C651" t="s">
        <v>48</v>
      </c>
      <c r="D651" t="s">
        <v>457</v>
      </c>
      <c r="E651">
        <f t="shared" si="22"/>
        <v>5.8479532163742687E-3</v>
      </c>
      <c r="F651">
        <v>6</v>
      </c>
      <c r="G651">
        <f>LOG(382/(6+1))</f>
        <v>1.736965322897452</v>
      </c>
      <c r="H651">
        <f>0.00584795321637426*3.99951045955126</f>
        <v>2.3388950055855284E-2</v>
      </c>
      <c r="I651">
        <v>2.3388950055855329E-2</v>
      </c>
    </row>
    <row r="652" spans="1:9" x14ac:dyDescent="0.25">
      <c r="A652">
        <v>221</v>
      </c>
      <c r="B652" t="s">
        <v>407</v>
      </c>
      <c r="C652" t="s">
        <v>48</v>
      </c>
      <c r="D652" t="s">
        <v>458</v>
      </c>
      <c r="E652">
        <f t="shared" si="22"/>
        <v>5.8479532163742687E-3</v>
      </c>
      <c r="F652">
        <v>34</v>
      </c>
      <c r="G652">
        <f>LOG(382/(34+1))</f>
        <v>1.037995318561433</v>
      </c>
      <c r="H652">
        <f>0.00584795321637426*2.39007254711716</f>
        <v>1.3977032439281617E-2</v>
      </c>
      <c r="I652">
        <v>1.3977032439281639E-2</v>
      </c>
    </row>
    <row r="653" spans="1:9" x14ac:dyDescent="0.25">
      <c r="A653">
        <v>221</v>
      </c>
      <c r="B653" t="s">
        <v>407</v>
      </c>
      <c r="C653" t="s">
        <v>48</v>
      </c>
      <c r="D653" t="s">
        <v>459</v>
      </c>
      <c r="E653">
        <f t="shared" si="22"/>
        <v>5.8479532163742687E-3</v>
      </c>
      <c r="F653">
        <v>14</v>
      </c>
      <c r="G653">
        <f>LOG(382/(14+1))</f>
        <v>1.4059721038560276</v>
      </c>
      <c r="H653">
        <f>0.00584795321637426*3.23737040750436</f>
        <v>1.8931990687159971E-2</v>
      </c>
      <c r="I653">
        <v>1.893199068716003E-2</v>
      </c>
    </row>
    <row r="654" spans="1:9" x14ac:dyDescent="0.25">
      <c r="A654">
        <v>221</v>
      </c>
      <c r="B654" t="s">
        <v>407</v>
      </c>
      <c r="C654" t="s">
        <v>48</v>
      </c>
      <c r="D654" t="s">
        <v>263</v>
      </c>
      <c r="E654">
        <f t="shared" si="22"/>
        <v>5.8479532163742687E-3</v>
      </c>
      <c r="F654">
        <v>41</v>
      </c>
      <c r="G654">
        <f>LOG(382/(41+1))</f>
        <v>0.95881407251380824</v>
      </c>
      <c r="H654">
        <f>0.00584795321637426*2.2077509903232</f>
        <v>1.2910824504814017E-2</v>
      </c>
      <c r="I654">
        <v>1.291082450481407E-2</v>
      </c>
    </row>
    <row r="655" spans="1:9" x14ac:dyDescent="0.25">
      <c r="A655">
        <v>222</v>
      </c>
      <c r="B655" t="s">
        <v>460</v>
      </c>
      <c r="C655" t="s">
        <v>48</v>
      </c>
      <c r="D655" t="s">
        <v>299</v>
      </c>
      <c r="E655">
        <f>1/16</f>
        <v>6.25E-2</v>
      </c>
      <c r="F655">
        <v>2</v>
      </c>
      <c r="G655">
        <f>LOG(382/(2+1))</f>
        <v>2.1049421081920463</v>
      </c>
      <c r="H655">
        <f>0.0625*4.84680831993846</f>
        <v>0.30292551999615375</v>
      </c>
      <c r="I655">
        <v>0.30292551999615408</v>
      </c>
    </row>
    <row r="656" spans="1:9" x14ac:dyDescent="0.25">
      <c r="A656">
        <v>222</v>
      </c>
      <c r="B656" t="s">
        <v>460</v>
      </c>
      <c r="C656" t="s">
        <v>48</v>
      </c>
      <c r="D656" t="s">
        <v>259</v>
      </c>
      <c r="E656">
        <f>1/16</f>
        <v>6.25E-2</v>
      </c>
      <c r="F656">
        <v>11</v>
      </c>
      <c r="G656">
        <f>LOG(382/(11+1))</f>
        <v>1.5028821168640838</v>
      </c>
      <c r="H656">
        <f>0.0625*3.46051395881857</f>
        <v>0.21628212242616063</v>
      </c>
      <c r="I656">
        <v>0.21628212242616091</v>
      </c>
    </row>
    <row r="657" spans="1:9" x14ac:dyDescent="0.25">
      <c r="A657">
        <v>222</v>
      </c>
      <c r="B657" t="s">
        <v>460</v>
      </c>
      <c r="C657" t="s">
        <v>48</v>
      </c>
      <c r="D657" t="s">
        <v>50</v>
      </c>
      <c r="E657">
        <f>3/16</f>
        <v>0.1875</v>
      </c>
      <c r="F657">
        <v>109</v>
      </c>
      <c r="G657">
        <f>LOG(382/(109+1))</f>
        <v>0.54067067775348365</v>
      </c>
      <c r="H657">
        <f>0.1875*1.24494024281415</f>
        <v>0.23342629552765315</v>
      </c>
      <c r="I657">
        <v>0.23342629552765479</v>
      </c>
    </row>
    <row r="658" spans="1:9" x14ac:dyDescent="0.25">
      <c r="A658">
        <v>222</v>
      </c>
      <c r="B658" t="s">
        <v>460</v>
      </c>
      <c r="C658" t="s">
        <v>48</v>
      </c>
      <c r="E658">
        <f>1/16</f>
        <v>6.25E-2</v>
      </c>
      <c r="F658">
        <v>20</v>
      </c>
      <c r="G658">
        <f>LOG(382/(20+1))</f>
        <v>1.2598440681777894</v>
      </c>
      <c r="H658">
        <f>0.0625*2.90089817088315</f>
        <v>0.18130613568019688</v>
      </c>
      <c r="I658">
        <v>0.18130613568019699</v>
      </c>
    </row>
    <row r="659" spans="1:9" x14ac:dyDescent="0.25">
      <c r="A659">
        <v>222</v>
      </c>
      <c r="B659" t="s">
        <v>460</v>
      </c>
      <c r="C659" t="s">
        <v>48</v>
      </c>
      <c r="D659" t="s">
        <v>38</v>
      </c>
      <c r="E659">
        <f>1/16</f>
        <v>6.25E-2</v>
      </c>
      <c r="F659">
        <v>86</v>
      </c>
      <c r="G659">
        <f>LOG(382/(86+1))</f>
        <v>0.64254411029309022</v>
      </c>
      <c r="H659">
        <f>0.0625*1.47951248995199</f>
        <v>9.2469530621999377E-2</v>
      </c>
      <c r="I659">
        <v>9.246953062199946E-2</v>
      </c>
    </row>
    <row r="660" spans="1:9" x14ac:dyDescent="0.25">
      <c r="A660">
        <v>222</v>
      </c>
      <c r="B660" t="s">
        <v>460</v>
      </c>
      <c r="C660" t="s">
        <v>48</v>
      </c>
      <c r="D660" t="s">
        <v>189</v>
      </c>
      <c r="E660">
        <f>1/16</f>
        <v>6.25E-2</v>
      </c>
      <c r="F660">
        <v>27</v>
      </c>
      <c r="G660">
        <f>LOG(382/(27+1))</f>
        <v>1.1349053315694895</v>
      </c>
      <c r="H660">
        <f>0.0625*2.61321609843137</f>
        <v>0.16332600615196063</v>
      </c>
      <c r="I660">
        <v>0.16332600615196069</v>
      </c>
    </row>
    <row r="661" spans="1:9" x14ac:dyDescent="0.25">
      <c r="A661">
        <v>222</v>
      </c>
      <c r="B661" t="s">
        <v>460</v>
      </c>
      <c r="C661" t="s">
        <v>48</v>
      </c>
      <c r="D661" t="s">
        <v>41</v>
      </c>
      <c r="E661">
        <f>2/16</f>
        <v>0.125</v>
      </c>
      <c r="F661">
        <v>195</v>
      </c>
      <c r="G661">
        <f>LOG(382/(195+1))</f>
        <v>0.28980729155523272</v>
      </c>
      <c r="H661">
        <f>0.125*0.667305949376058</f>
        <v>8.3413243672007253E-2</v>
      </c>
      <c r="I661">
        <v>8.3413243672007253E-2</v>
      </c>
    </row>
    <row r="662" spans="1:9" x14ac:dyDescent="0.25">
      <c r="A662">
        <v>222</v>
      </c>
      <c r="B662" t="s">
        <v>460</v>
      </c>
      <c r="C662" t="s">
        <v>48</v>
      </c>
      <c r="D662" t="s">
        <v>190</v>
      </c>
      <c r="E662">
        <f t="shared" ref="E662:E667" si="23">1/16</f>
        <v>6.25E-2</v>
      </c>
      <c r="F662">
        <v>23</v>
      </c>
      <c r="G662">
        <f>LOG(382/(23+1))</f>
        <v>1.2018521212001028</v>
      </c>
      <c r="H662">
        <f>0.0625*2.76736677825862</f>
        <v>0.17296042364116376</v>
      </c>
      <c r="I662">
        <v>0.17296042364116429</v>
      </c>
    </row>
    <row r="663" spans="1:9" x14ac:dyDescent="0.25">
      <c r="A663">
        <v>222</v>
      </c>
      <c r="B663" t="s">
        <v>460</v>
      </c>
      <c r="C663" t="s">
        <v>48</v>
      </c>
      <c r="D663" t="s">
        <v>260</v>
      </c>
      <c r="E663">
        <f t="shared" si="23"/>
        <v>6.25E-2</v>
      </c>
      <c r="F663">
        <v>31</v>
      </c>
      <c r="G663">
        <f>LOG(382/(31+1))</f>
        <v>1.0769133845918029</v>
      </c>
      <c r="H663">
        <f>0.0625*2.47968470580684</f>
        <v>0.15498029411292749</v>
      </c>
      <c r="I663">
        <v>0.15498029411292799</v>
      </c>
    </row>
    <row r="664" spans="1:9" x14ac:dyDescent="0.25">
      <c r="A664">
        <v>222</v>
      </c>
      <c r="B664" t="s">
        <v>460</v>
      </c>
      <c r="C664" t="s">
        <v>48</v>
      </c>
      <c r="D664" t="s">
        <v>168</v>
      </c>
      <c r="E664">
        <f t="shared" si="23"/>
        <v>6.25E-2</v>
      </c>
      <c r="F664">
        <v>34</v>
      </c>
      <c r="G664">
        <f>LOG(382/(34+1))</f>
        <v>1.037995318561433</v>
      </c>
      <c r="H664">
        <f>0.0625*2.39007254711716</f>
        <v>0.1493795341948225</v>
      </c>
      <c r="I664">
        <v>0.14937953419482261</v>
      </c>
    </row>
    <row r="665" spans="1:9" x14ac:dyDescent="0.25">
      <c r="A665">
        <v>222</v>
      </c>
      <c r="B665" t="s">
        <v>460</v>
      </c>
      <c r="C665" t="s">
        <v>48</v>
      </c>
      <c r="D665" t="s">
        <v>338</v>
      </c>
      <c r="E665">
        <f t="shared" si="23"/>
        <v>6.25E-2</v>
      </c>
      <c r="F665">
        <v>54</v>
      </c>
      <c r="G665">
        <f>LOG(382/(54+1))</f>
        <v>0.84170067341746491</v>
      </c>
      <c r="H665">
        <f>0.0625*1.9380874233741</f>
        <v>0.12113046396088124</v>
      </c>
      <c r="I665">
        <v>0.12113046396088149</v>
      </c>
    </row>
    <row r="666" spans="1:9" x14ac:dyDescent="0.25">
      <c r="A666">
        <v>222</v>
      </c>
      <c r="B666" t="s">
        <v>460</v>
      </c>
      <c r="C666" t="s">
        <v>48</v>
      </c>
      <c r="D666" t="s">
        <v>461</v>
      </c>
      <c r="E666">
        <f t="shared" si="23"/>
        <v>6.25E-2</v>
      </c>
      <c r="F666">
        <v>1</v>
      </c>
      <c r="G666">
        <f>LOG(382/(1+1))</f>
        <v>2.2810333672477277</v>
      </c>
      <c r="H666">
        <f>0.0625*5.25227342804663</f>
        <v>0.32826708925291437</v>
      </c>
      <c r="I666">
        <v>0.32826708925291442</v>
      </c>
    </row>
    <row r="667" spans="1:9" x14ac:dyDescent="0.25">
      <c r="A667">
        <v>222</v>
      </c>
      <c r="B667" t="s">
        <v>460</v>
      </c>
      <c r="C667" t="s">
        <v>48</v>
      </c>
      <c r="D667" t="s">
        <v>462</v>
      </c>
      <c r="E667">
        <f t="shared" si="23"/>
        <v>6.25E-2</v>
      </c>
      <c r="F667">
        <v>1</v>
      </c>
      <c r="G667">
        <f>LOG(382/(1+1))</f>
        <v>2.2810333672477277</v>
      </c>
      <c r="H667">
        <f>0.0625*5.25227342804663</f>
        <v>0.32826708925291437</v>
      </c>
      <c r="I667">
        <v>0.32826708925291442</v>
      </c>
    </row>
    <row r="668" spans="1:9" x14ac:dyDescent="0.25">
      <c r="A668">
        <v>223</v>
      </c>
      <c r="B668" t="s">
        <v>463</v>
      </c>
      <c r="C668" t="s">
        <v>48</v>
      </c>
      <c r="D668" t="s">
        <v>36</v>
      </c>
      <c r="E668">
        <f>6/88</f>
        <v>6.8181818181818177E-2</v>
      </c>
      <c r="F668">
        <v>58</v>
      </c>
      <c r="G668">
        <f>LOG(382/(58+1))</f>
        <v>0.81121135126956456</v>
      </c>
      <c r="H668">
        <f>0.0681818181818181*1.86788316470085</f>
        <v>0.12735567032051234</v>
      </c>
      <c r="I668">
        <v>0.1273556703205129</v>
      </c>
    </row>
    <row r="669" spans="1:9" x14ac:dyDescent="0.25">
      <c r="A669">
        <v>223</v>
      </c>
      <c r="B669" t="s">
        <v>463</v>
      </c>
      <c r="C669" t="s">
        <v>48</v>
      </c>
      <c r="D669" t="s">
        <v>464</v>
      </c>
      <c r="E669">
        <f>4/88</f>
        <v>4.5454545454545456E-2</v>
      </c>
      <c r="F669">
        <v>1</v>
      </c>
      <c r="G669">
        <f>LOG(382/(1+1))</f>
        <v>2.2810333672477277</v>
      </c>
      <c r="H669">
        <f>0.0454545454545454*5.25227342804663</f>
        <v>0.23873970127484653</v>
      </c>
      <c r="I669">
        <v>0.23873970127484681</v>
      </c>
    </row>
    <row r="670" spans="1:9" x14ac:dyDescent="0.25">
      <c r="A670">
        <v>223</v>
      </c>
      <c r="B670" t="s">
        <v>463</v>
      </c>
      <c r="C670" t="s">
        <v>48</v>
      </c>
      <c r="D670" t="s">
        <v>465</v>
      </c>
      <c r="E670">
        <f>1/88</f>
        <v>1.1363636363636364E-2</v>
      </c>
      <c r="F670">
        <v>36</v>
      </c>
      <c r="G670">
        <f>LOG(382/(36+1))</f>
        <v>1.0138616388447137</v>
      </c>
      <c r="H670">
        <f>0.0113636363636363*2.33450269596235</f>
        <v>2.6528439726844738E-2</v>
      </c>
      <c r="I670">
        <v>2.6528439726844901E-2</v>
      </c>
    </row>
    <row r="671" spans="1:9" x14ac:dyDescent="0.25">
      <c r="A671">
        <v>223</v>
      </c>
      <c r="B671" t="s">
        <v>463</v>
      </c>
      <c r="C671" t="s">
        <v>48</v>
      </c>
      <c r="D671" t="s">
        <v>39</v>
      </c>
      <c r="E671">
        <f>2/88</f>
        <v>2.2727272727272728E-2</v>
      </c>
      <c r="F671">
        <v>145</v>
      </c>
      <c r="G671">
        <f>LOG(382/(145+1))</f>
        <v>0.41771050712727159</v>
      </c>
      <c r="H671">
        <f>0.0227272727272727*0.961813986898238</f>
        <v>2.1859408793141747E-2</v>
      </c>
      <c r="I671">
        <v>2.1859408793141789E-2</v>
      </c>
    </row>
    <row r="672" spans="1:9" x14ac:dyDescent="0.25">
      <c r="A672">
        <v>223</v>
      </c>
      <c r="B672" t="s">
        <v>463</v>
      </c>
      <c r="C672" t="s">
        <v>48</v>
      </c>
      <c r="D672" t="s">
        <v>42</v>
      </c>
      <c r="E672">
        <f>1/88</f>
        <v>1.1363636363636364E-2</v>
      </c>
      <c r="F672">
        <v>251</v>
      </c>
      <c r="G672">
        <f>LOG(382/(251+1))</f>
        <v>0.18066282213016463</v>
      </c>
      <c r="H672">
        <f>0.0113636363636363*0.415991521095151</f>
        <v>4.7271763760812343E-3</v>
      </c>
      <c r="I672">
        <v>4.7271763760812716E-3</v>
      </c>
    </row>
    <row r="673" spans="1:9" x14ac:dyDescent="0.25">
      <c r="A673">
        <v>223</v>
      </c>
      <c r="B673" t="s">
        <v>463</v>
      </c>
      <c r="C673" t="s">
        <v>48</v>
      </c>
      <c r="D673" t="s">
        <v>15</v>
      </c>
      <c r="E673">
        <f>1/88</f>
        <v>1.1363636363636364E-2</v>
      </c>
      <c r="F673">
        <v>112</v>
      </c>
      <c r="G673">
        <f>LOG(382/(112+1))</f>
        <v>0.52898491942828896</v>
      </c>
      <c r="H673">
        <f>0.0113636363636363*1.21803278989423</f>
        <v>1.3841281703343445E-2</v>
      </c>
      <c r="I673">
        <v>1.384128170334358E-2</v>
      </c>
    </row>
    <row r="674" spans="1:9" x14ac:dyDescent="0.25">
      <c r="A674">
        <v>223</v>
      </c>
      <c r="B674" t="s">
        <v>463</v>
      </c>
      <c r="C674" t="s">
        <v>48</v>
      </c>
      <c r="D674" t="s">
        <v>466</v>
      </c>
      <c r="E674">
        <f>1/88</f>
        <v>1.1363636363636364E-2</v>
      </c>
      <c r="F674">
        <v>2</v>
      </c>
      <c r="G674">
        <f>LOG(382/(2+1))</f>
        <v>2.1049421081920463</v>
      </c>
      <c r="H674">
        <f>0.0113636363636363*4.84680831993846</f>
        <v>5.5077367272027646E-2</v>
      </c>
      <c r="I674">
        <v>5.5077367272028013E-2</v>
      </c>
    </row>
    <row r="675" spans="1:9" x14ac:dyDescent="0.25">
      <c r="A675">
        <v>223</v>
      </c>
      <c r="B675" t="s">
        <v>463</v>
      </c>
      <c r="C675" t="s">
        <v>48</v>
      </c>
      <c r="D675" t="s">
        <v>467</v>
      </c>
      <c r="E675">
        <f>1/88</f>
        <v>1.1363636363636364E-2</v>
      </c>
      <c r="F675">
        <v>3</v>
      </c>
      <c r="G675">
        <f>LOG(382/(3+1))</f>
        <v>1.9800033715837464</v>
      </c>
      <c r="H675">
        <f>0.0113636363636363*4.55912624748668</f>
        <v>5.1808252812348347E-2</v>
      </c>
      <c r="I675">
        <v>5.1808252812348687E-2</v>
      </c>
    </row>
    <row r="676" spans="1:9" x14ac:dyDescent="0.25">
      <c r="A676">
        <v>223</v>
      </c>
      <c r="B676" t="s">
        <v>463</v>
      </c>
      <c r="C676" t="s">
        <v>48</v>
      </c>
      <c r="D676" t="s">
        <v>19</v>
      </c>
      <c r="E676">
        <f>3/88</f>
        <v>3.4090909090909088E-2</v>
      </c>
      <c r="F676">
        <v>220</v>
      </c>
      <c r="G676">
        <f>LOG(382/(220+1))</f>
        <v>0.23767108922659805</v>
      </c>
      <c r="H676">
        <f>0.034090909090909*0.547257907088822</f>
        <v>1.8656519559846155E-2</v>
      </c>
      <c r="I676">
        <v>1.8656519559846221E-2</v>
      </c>
    </row>
    <row r="677" spans="1:9" x14ac:dyDescent="0.25">
      <c r="A677">
        <v>223</v>
      </c>
      <c r="B677" t="s">
        <v>463</v>
      </c>
      <c r="C677" t="s">
        <v>48</v>
      </c>
      <c r="D677" t="s">
        <v>41</v>
      </c>
      <c r="E677">
        <f>7/88</f>
        <v>7.9545454545454544E-2</v>
      </c>
      <c r="F677">
        <v>195</v>
      </c>
      <c r="G677">
        <f>LOG(382/(195+1))</f>
        <v>0.28980729155523272</v>
      </c>
      <c r="H677">
        <f>0.0795454545454545*0.667305949376058</f>
        <v>5.3081155064004584E-2</v>
      </c>
      <c r="I677">
        <v>5.3081155064004612E-2</v>
      </c>
    </row>
    <row r="678" spans="1:9" x14ac:dyDescent="0.25">
      <c r="A678">
        <v>223</v>
      </c>
      <c r="B678" t="s">
        <v>463</v>
      </c>
      <c r="C678" t="s">
        <v>48</v>
      </c>
      <c r="D678" t="s">
        <v>22</v>
      </c>
      <c r="E678">
        <f>1/88</f>
        <v>1.1363636363636364E-2</v>
      </c>
      <c r="F678">
        <v>259</v>
      </c>
      <c r="G678">
        <f>LOG(382/(259+1))</f>
        <v>0.16709001494089079</v>
      </c>
      <c r="H678">
        <f>0.0113636363636363*0.384738977591047</f>
        <v>4.3720338362618731E-3</v>
      </c>
      <c r="I678">
        <v>4.3720338362619026E-3</v>
      </c>
    </row>
    <row r="679" spans="1:9" x14ac:dyDescent="0.25">
      <c r="A679">
        <v>223</v>
      </c>
      <c r="B679" t="s">
        <v>463</v>
      </c>
      <c r="C679" t="s">
        <v>48</v>
      </c>
      <c r="D679" t="s">
        <v>23</v>
      </c>
      <c r="E679">
        <f>1/88</f>
        <v>1.1363636363636364E-2</v>
      </c>
      <c r="F679">
        <v>275</v>
      </c>
      <c r="G679">
        <f>LOG(382/(275+1))</f>
        <v>0.14115428084649101</v>
      </c>
      <c r="H679">
        <f>0.0113636363636363*0.325019742889425</f>
        <v>3.6934061691979905E-3</v>
      </c>
      <c r="I679">
        <v>3.693406169198013E-3</v>
      </c>
    </row>
    <row r="680" spans="1:9" x14ac:dyDescent="0.25">
      <c r="A680">
        <v>223</v>
      </c>
      <c r="B680" t="s">
        <v>463</v>
      </c>
      <c r="C680" t="s">
        <v>48</v>
      </c>
      <c r="D680" t="s">
        <v>38</v>
      </c>
      <c r="E680">
        <f>2/88</f>
        <v>2.2727272727272728E-2</v>
      </c>
      <c r="F680">
        <v>86</v>
      </c>
      <c r="G680">
        <f>LOG(382/(86+1))</f>
        <v>0.64254411029309022</v>
      </c>
      <c r="H680">
        <f>0.0227272727272727*1.47951248995199</f>
        <v>3.3625283862545187E-2</v>
      </c>
      <c r="I680">
        <v>3.3625283862545263E-2</v>
      </c>
    </row>
    <row r="681" spans="1:9" x14ac:dyDescent="0.25">
      <c r="A681">
        <v>223</v>
      </c>
      <c r="B681" t="s">
        <v>463</v>
      </c>
      <c r="C681" t="s">
        <v>48</v>
      </c>
      <c r="D681" t="s">
        <v>247</v>
      </c>
      <c r="E681">
        <f>2/88</f>
        <v>2.2727272727272728E-2</v>
      </c>
      <c r="F681">
        <v>121</v>
      </c>
      <c r="G681">
        <f>LOG(382/(121+1))</f>
        <v>0.49570353223696051</v>
      </c>
      <c r="H681">
        <f>0.0227272727272727*1.14139956387331</f>
        <v>2.5940899178938836E-2</v>
      </c>
      <c r="I681">
        <v>2.5940899178939061E-2</v>
      </c>
    </row>
    <row r="682" spans="1:9" x14ac:dyDescent="0.25">
      <c r="A682">
        <v>223</v>
      </c>
      <c r="B682" t="s">
        <v>463</v>
      </c>
      <c r="C682" t="s">
        <v>48</v>
      </c>
      <c r="D682" t="s">
        <v>236</v>
      </c>
      <c r="E682">
        <f>1/88</f>
        <v>1.1363636363636364E-2</v>
      </c>
      <c r="F682">
        <v>87</v>
      </c>
      <c r="G682">
        <f>LOG(382/(87+1))</f>
        <v>0.63758069076154011</v>
      </c>
      <c r="H682">
        <f>0.0113636363636363*1.46808379412836</f>
        <v>1.668277038782218E-2</v>
      </c>
      <c r="I682">
        <v>1.6682770387822371E-2</v>
      </c>
    </row>
    <row r="683" spans="1:9" x14ac:dyDescent="0.25">
      <c r="A683">
        <v>223</v>
      </c>
      <c r="B683" t="s">
        <v>463</v>
      </c>
      <c r="C683" t="s">
        <v>48</v>
      </c>
      <c r="D683" t="s">
        <v>119</v>
      </c>
      <c r="E683">
        <f>2/88</f>
        <v>2.2727272727272728E-2</v>
      </c>
      <c r="F683">
        <v>79</v>
      </c>
      <c r="G683">
        <f>LOG(382/(79+1))</f>
        <v>0.67897337591976514</v>
      </c>
      <c r="H683">
        <f>0.0227272727272727*1.56339397393269</f>
        <v>3.5531681225742913E-2</v>
      </c>
      <c r="I683">
        <v>3.5531681225743038E-2</v>
      </c>
    </row>
    <row r="684" spans="1:9" x14ac:dyDescent="0.25">
      <c r="A684">
        <v>223</v>
      </c>
      <c r="B684" t="s">
        <v>463</v>
      </c>
      <c r="C684" t="s">
        <v>48</v>
      </c>
      <c r="D684" t="s">
        <v>76</v>
      </c>
      <c r="E684">
        <f>4/88</f>
        <v>4.5454545454545456E-2</v>
      </c>
      <c r="F684">
        <v>140</v>
      </c>
      <c r="G684">
        <f>LOG(382/(140+1))</f>
        <v>0.43284425025632883</v>
      </c>
      <c r="H684">
        <f>0.0454545454545454*0.996660718228407</f>
        <v>4.5302759919472989E-2</v>
      </c>
      <c r="I684">
        <v>4.5302759919473037E-2</v>
      </c>
    </row>
    <row r="685" spans="1:9" x14ac:dyDescent="0.25">
      <c r="A685">
        <v>223</v>
      </c>
      <c r="B685" t="s">
        <v>463</v>
      </c>
      <c r="C685" t="s">
        <v>48</v>
      </c>
      <c r="D685" t="s">
        <v>468</v>
      </c>
      <c r="E685">
        <f>1/88</f>
        <v>1.1363636363636364E-2</v>
      </c>
      <c r="F685">
        <v>4</v>
      </c>
      <c r="G685">
        <f>LOG(382/(4+1))</f>
        <v>1.8830933585756899</v>
      </c>
      <c r="H685">
        <f>0.0113636363636363*4.33598269617247</f>
        <v>4.927253063832325E-2</v>
      </c>
      <c r="I685">
        <v>4.9272530638323583E-2</v>
      </c>
    </row>
    <row r="686" spans="1:9" x14ac:dyDescent="0.25">
      <c r="A686">
        <v>223</v>
      </c>
      <c r="B686" t="s">
        <v>463</v>
      </c>
      <c r="C686" t="s">
        <v>48</v>
      </c>
      <c r="D686" t="s">
        <v>469</v>
      </c>
      <c r="E686">
        <f>1/88</f>
        <v>1.1363636363636364E-2</v>
      </c>
      <c r="F686">
        <v>13</v>
      </c>
      <c r="G686">
        <f>LOG(382/(13+1))</f>
        <v>1.4359353272334707</v>
      </c>
      <c r="H686">
        <f>0.0113636363636363*3.30636327899131</f>
        <v>3.7572309988537403E-2</v>
      </c>
      <c r="I686">
        <v>3.7572309988537687E-2</v>
      </c>
    </row>
    <row r="687" spans="1:9" x14ac:dyDescent="0.25">
      <c r="A687">
        <v>223</v>
      </c>
      <c r="B687" t="s">
        <v>463</v>
      </c>
      <c r="C687" t="s">
        <v>48</v>
      </c>
      <c r="D687" t="s">
        <v>40</v>
      </c>
      <c r="E687">
        <f>4/88</f>
        <v>4.5454545454545456E-2</v>
      </c>
      <c r="F687">
        <v>159</v>
      </c>
      <c r="G687">
        <f>LOG(382/(159+1))</f>
        <v>0.377943380255784</v>
      </c>
      <c r="H687">
        <f>0.0454545454545454*0.870246793372748</f>
        <v>3.9556672426033952E-2</v>
      </c>
      <c r="I687">
        <v>3.9556672426034008E-2</v>
      </c>
    </row>
    <row r="688" spans="1:9" x14ac:dyDescent="0.25">
      <c r="A688">
        <v>223</v>
      </c>
      <c r="B688" t="s">
        <v>463</v>
      </c>
      <c r="C688" t="s">
        <v>48</v>
      </c>
      <c r="D688" t="s">
        <v>77</v>
      </c>
      <c r="E688">
        <f>3/88</f>
        <v>3.4090909090909088E-2</v>
      </c>
      <c r="F688">
        <v>148</v>
      </c>
      <c r="G688">
        <f>LOG(382/(148+1))</f>
        <v>0.40887709449943471</v>
      </c>
      <c r="H688">
        <f>0.034090909090909*0.941474302661116</f>
        <v>3.2095714863447047E-2</v>
      </c>
      <c r="I688">
        <v>3.2095714863447138E-2</v>
      </c>
    </row>
    <row r="689" spans="1:9" x14ac:dyDescent="0.25">
      <c r="A689">
        <v>223</v>
      </c>
      <c r="B689" t="s">
        <v>463</v>
      </c>
      <c r="C689" t="s">
        <v>48</v>
      </c>
      <c r="D689" t="s">
        <v>470</v>
      </c>
      <c r="E689">
        <f t="shared" ref="E689:E697" si="24">1/88</f>
        <v>1.1363636363636364E-2</v>
      </c>
      <c r="F689">
        <v>4</v>
      </c>
      <c r="G689">
        <f>LOG(382/(4+1))</f>
        <v>1.8830933585756899</v>
      </c>
      <c r="H689">
        <f>0.0113636363636363*4.33598269617247</f>
        <v>4.927253063832325E-2</v>
      </c>
      <c r="I689">
        <v>4.9272530638323583E-2</v>
      </c>
    </row>
    <row r="690" spans="1:9" x14ac:dyDescent="0.25">
      <c r="A690">
        <v>223</v>
      </c>
      <c r="B690" t="s">
        <v>463</v>
      </c>
      <c r="C690" t="s">
        <v>48</v>
      </c>
      <c r="D690" t="s">
        <v>471</v>
      </c>
      <c r="E690">
        <f t="shared" si="24"/>
        <v>1.1363636363636364E-2</v>
      </c>
      <c r="F690">
        <v>7</v>
      </c>
      <c r="G690">
        <f>LOG(382/(7+1))</f>
        <v>1.6789733759197651</v>
      </c>
      <c r="H690">
        <f>0.0113636363636363*3.86597906692673</f>
        <v>4.3931580305985325E-2</v>
      </c>
      <c r="I690">
        <v>4.3931580305985672E-2</v>
      </c>
    </row>
    <row r="691" spans="1:9" x14ac:dyDescent="0.25">
      <c r="A691">
        <v>223</v>
      </c>
      <c r="B691" t="s">
        <v>463</v>
      </c>
      <c r="C691" t="s">
        <v>48</v>
      </c>
      <c r="D691" t="s">
        <v>313</v>
      </c>
      <c r="E691">
        <f t="shared" si="24"/>
        <v>1.1363636363636364E-2</v>
      </c>
      <c r="F691">
        <v>13</v>
      </c>
      <c r="G691">
        <f>LOG(382/(13+1))</f>
        <v>1.4359353272334707</v>
      </c>
      <c r="H691">
        <f>0.0113636363636363*3.30636327899131</f>
        <v>3.7572309988537403E-2</v>
      </c>
      <c r="I691">
        <v>3.7572309988537687E-2</v>
      </c>
    </row>
    <row r="692" spans="1:9" x14ac:dyDescent="0.25">
      <c r="A692">
        <v>223</v>
      </c>
      <c r="B692" t="s">
        <v>463</v>
      </c>
      <c r="C692" t="s">
        <v>48</v>
      </c>
      <c r="D692" t="s">
        <v>53</v>
      </c>
      <c r="E692">
        <f t="shared" si="24"/>
        <v>1.1363636363636364E-2</v>
      </c>
      <c r="F692">
        <v>57</v>
      </c>
      <c r="G692">
        <f>LOG(382/(57+1))</f>
        <v>0.81863536934877146</v>
      </c>
      <c r="H692">
        <f>0.0113636363636363*1.88497759806015</f>
        <v>2.142019997795613E-2</v>
      </c>
      <c r="I692">
        <v>2.1420199977956321E-2</v>
      </c>
    </row>
    <row r="693" spans="1:9" x14ac:dyDescent="0.25">
      <c r="A693">
        <v>223</v>
      </c>
      <c r="B693" t="s">
        <v>463</v>
      </c>
      <c r="C693" t="s">
        <v>48</v>
      </c>
      <c r="D693" t="s">
        <v>472</v>
      </c>
      <c r="E693">
        <f t="shared" si="24"/>
        <v>1.1363636363636364E-2</v>
      </c>
      <c r="F693">
        <v>1</v>
      </c>
      <c r="G693">
        <f>LOG(382/(1+1))</f>
        <v>2.2810333672477277</v>
      </c>
      <c r="H693">
        <f>0.0113636363636363*5.25227342804663</f>
        <v>5.968492531871137E-2</v>
      </c>
      <c r="I693">
        <v>5.9684925318711703E-2</v>
      </c>
    </row>
    <row r="694" spans="1:9" x14ac:dyDescent="0.25">
      <c r="A694">
        <v>223</v>
      </c>
      <c r="B694" t="s">
        <v>463</v>
      </c>
      <c r="C694" t="s">
        <v>48</v>
      </c>
      <c r="D694" t="s">
        <v>473</v>
      </c>
      <c r="E694">
        <f t="shared" si="24"/>
        <v>1.1363636363636364E-2</v>
      </c>
      <c r="F694">
        <v>2</v>
      </c>
      <c r="G694">
        <f>LOG(382/(2+1))</f>
        <v>2.1049421081920463</v>
      </c>
      <c r="H694">
        <f>0.0113636363636363*4.84680831993846</f>
        <v>5.5077367272027646E-2</v>
      </c>
      <c r="I694">
        <v>5.5077367272028013E-2</v>
      </c>
    </row>
    <row r="695" spans="1:9" x14ac:dyDescent="0.25">
      <c r="A695">
        <v>223</v>
      </c>
      <c r="B695" t="s">
        <v>463</v>
      </c>
      <c r="C695" t="s">
        <v>48</v>
      </c>
      <c r="D695" t="s">
        <v>368</v>
      </c>
      <c r="E695">
        <f t="shared" si="24"/>
        <v>1.1363636363636364E-2</v>
      </c>
      <c r="F695">
        <v>17</v>
      </c>
      <c r="G695">
        <f>LOG(382/(17+1))</f>
        <v>1.3267908578084027</v>
      </c>
      <c r="H695">
        <f>0.0113636363636363*3.05504885071041</f>
        <v>3.4716464212618099E-2</v>
      </c>
      <c r="I695">
        <v>3.47164642126183E-2</v>
      </c>
    </row>
    <row r="696" spans="1:9" x14ac:dyDescent="0.25">
      <c r="A696">
        <v>223</v>
      </c>
      <c r="B696" t="s">
        <v>463</v>
      </c>
      <c r="C696" t="s">
        <v>48</v>
      </c>
      <c r="D696" t="s">
        <v>474</v>
      </c>
      <c r="E696">
        <f t="shared" si="24"/>
        <v>1.1363636363636364E-2</v>
      </c>
      <c r="F696">
        <v>25</v>
      </c>
      <c r="G696">
        <f>LOG(382/(25+1))</f>
        <v>1.1670900149408907</v>
      </c>
      <c r="H696">
        <f>0.0113636363636363*2.68732407058509</f>
        <v>3.0537773529375853E-2</v>
      </c>
      <c r="I696">
        <v>3.0537773529376061E-2</v>
      </c>
    </row>
    <row r="697" spans="1:9" x14ac:dyDescent="0.25">
      <c r="A697">
        <v>223</v>
      </c>
      <c r="B697" t="s">
        <v>463</v>
      </c>
      <c r="C697" t="s">
        <v>48</v>
      </c>
      <c r="D697" t="s">
        <v>237</v>
      </c>
      <c r="E697">
        <f t="shared" si="24"/>
        <v>1.1363636363636364E-2</v>
      </c>
      <c r="F697">
        <v>138</v>
      </c>
      <c r="G697">
        <f>LOG(382/(138+1))</f>
        <v>0.43904856265761361</v>
      </c>
      <c r="H697">
        <f>0.0113636363636363*1.01094667547588</f>
        <v>1.1488030403134935E-2</v>
      </c>
      <c r="I697">
        <v>1.1488030403135041E-2</v>
      </c>
    </row>
    <row r="698" spans="1:9" x14ac:dyDescent="0.25">
      <c r="A698">
        <v>223</v>
      </c>
      <c r="B698" t="s">
        <v>463</v>
      </c>
      <c r="C698" t="s">
        <v>48</v>
      </c>
      <c r="D698" t="s">
        <v>133</v>
      </c>
      <c r="E698">
        <f>3/88</f>
        <v>3.4090909090909088E-2</v>
      </c>
      <c r="F698">
        <v>142</v>
      </c>
      <c r="G698">
        <f>LOG(382/(142+1))</f>
        <v>0.42672732544664693</v>
      </c>
      <c r="H698">
        <f>0.034090909090909*0.982575978346667</f>
        <v>3.3496908352727194E-2</v>
      </c>
      <c r="I698">
        <v>3.3496908352727311E-2</v>
      </c>
    </row>
    <row r="699" spans="1:9" x14ac:dyDescent="0.25">
      <c r="A699">
        <v>223</v>
      </c>
      <c r="B699" t="s">
        <v>463</v>
      </c>
      <c r="C699" t="s">
        <v>48</v>
      </c>
      <c r="D699" t="s">
        <v>26</v>
      </c>
      <c r="E699">
        <f t="shared" ref="E699:E711" si="25">1/88</f>
        <v>1.1363636363636364E-2</v>
      </c>
      <c r="F699">
        <v>40</v>
      </c>
      <c r="G699">
        <f>LOG(382/(40+1))</f>
        <v>0.96927950619197323</v>
      </c>
      <c r="H699">
        <f>0.0113636363636363*2.23184854190226</f>
        <v>2.5361915248889172E-2</v>
      </c>
      <c r="I699">
        <v>2.5361915248889401E-2</v>
      </c>
    </row>
    <row r="700" spans="1:9" x14ac:dyDescent="0.25">
      <c r="A700">
        <v>223</v>
      </c>
      <c r="B700" t="s">
        <v>463</v>
      </c>
      <c r="C700" t="s">
        <v>48</v>
      </c>
      <c r="D700" t="s">
        <v>475</v>
      </c>
      <c r="E700">
        <f t="shared" si="25"/>
        <v>1.1363636363636364E-2</v>
      </c>
      <c r="F700">
        <v>16</v>
      </c>
      <c r="G700">
        <f>LOG(382/(16+1))</f>
        <v>1.3516144415334348</v>
      </c>
      <c r="H700">
        <f>0.0113636363636363*3.11220726455035</f>
        <v>3.536599164261741E-2</v>
      </c>
      <c r="I700">
        <v>3.5365991642617722E-2</v>
      </c>
    </row>
    <row r="701" spans="1:9" x14ac:dyDescent="0.25">
      <c r="A701">
        <v>223</v>
      </c>
      <c r="B701" t="s">
        <v>463</v>
      </c>
      <c r="C701" t="s">
        <v>48</v>
      </c>
      <c r="D701" t="s">
        <v>476</v>
      </c>
      <c r="E701">
        <f t="shared" si="25"/>
        <v>1.1363636363636364E-2</v>
      </c>
      <c r="F701">
        <v>18</v>
      </c>
      <c r="G701">
        <f>LOG(382/(18+1))</f>
        <v>1.3033097619588798</v>
      </c>
      <c r="H701">
        <f>0.0113636363636363*3.00098162944013</f>
        <v>3.4102063970910375E-2</v>
      </c>
      <c r="I701">
        <v>3.4102063970910618E-2</v>
      </c>
    </row>
    <row r="702" spans="1:9" x14ac:dyDescent="0.25">
      <c r="A702">
        <v>223</v>
      </c>
      <c r="B702" t="s">
        <v>463</v>
      </c>
      <c r="C702" t="s">
        <v>48</v>
      </c>
      <c r="D702" t="s">
        <v>11</v>
      </c>
      <c r="E702">
        <f t="shared" si="25"/>
        <v>1.1363636363636364E-2</v>
      </c>
      <c r="F702">
        <v>83</v>
      </c>
      <c r="G702">
        <f>LOG(382/(83+1))</f>
        <v>0.65778407684982709</v>
      </c>
      <c r="H702">
        <f>0.0113636363636363*1.51460380976326</f>
        <v>1.7211406929127857E-2</v>
      </c>
      <c r="I702">
        <v>1.7211406929127971E-2</v>
      </c>
    </row>
    <row r="703" spans="1:9" x14ac:dyDescent="0.25">
      <c r="A703">
        <v>223</v>
      </c>
      <c r="B703" t="s">
        <v>463</v>
      </c>
      <c r="C703" t="s">
        <v>48</v>
      </c>
      <c r="D703" t="s">
        <v>68</v>
      </c>
      <c r="E703">
        <f t="shared" si="25"/>
        <v>1.1363636363636364E-2</v>
      </c>
      <c r="F703">
        <v>43</v>
      </c>
      <c r="G703">
        <f>LOG(382/(43+1))</f>
        <v>0.93861068642552126</v>
      </c>
      <c r="H703">
        <f>0.0113636363636363*2.16123097468831</f>
        <v>2.4559442894185202E-2</v>
      </c>
      <c r="I703">
        <v>2.455944289418539E-2</v>
      </c>
    </row>
    <row r="704" spans="1:9" x14ac:dyDescent="0.25">
      <c r="A704">
        <v>223</v>
      </c>
      <c r="B704" t="s">
        <v>463</v>
      </c>
      <c r="C704" t="s">
        <v>48</v>
      </c>
      <c r="D704" t="s">
        <v>44</v>
      </c>
      <c r="E704">
        <f t="shared" si="25"/>
        <v>1.1363636363636364E-2</v>
      </c>
      <c r="F704">
        <v>151</v>
      </c>
      <c r="G704">
        <f>LOG(382/(151+1))</f>
        <v>0.40021977496693617</v>
      </c>
      <c r="H704">
        <f>0.0113636363636363*0.921540087760298</f>
        <v>1.047204645182151E-2</v>
      </c>
      <c r="I704">
        <v>1.0472046451821581E-2</v>
      </c>
    </row>
    <row r="705" spans="1:9" x14ac:dyDescent="0.25">
      <c r="A705">
        <v>223</v>
      </c>
      <c r="B705" t="s">
        <v>463</v>
      </c>
      <c r="C705" t="s">
        <v>48</v>
      </c>
      <c r="D705" t="s">
        <v>477</v>
      </c>
      <c r="E705">
        <f t="shared" si="25"/>
        <v>1.1363636363636364E-2</v>
      </c>
      <c r="F705">
        <v>17</v>
      </c>
      <c r="G705">
        <f>LOG(382/(17+1))</f>
        <v>1.3267908578084027</v>
      </c>
      <c r="H705">
        <f>0.0113636363636363*3.05504885071041</f>
        <v>3.4716464212618099E-2</v>
      </c>
      <c r="I705">
        <v>3.47164642126183E-2</v>
      </c>
    </row>
    <row r="706" spans="1:9" x14ac:dyDescent="0.25">
      <c r="A706">
        <v>223</v>
      </c>
      <c r="B706" t="s">
        <v>463</v>
      </c>
      <c r="C706" t="s">
        <v>48</v>
      </c>
      <c r="D706" t="s">
        <v>201</v>
      </c>
      <c r="E706">
        <f t="shared" si="25"/>
        <v>1.1363636363636364E-2</v>
      </c>
      <c r="F706">
        <v>72</v>
      </c>
      <c r="G706">
        <f>LOG(382/(72+1))</f>
        <v>0.71874050279125279</v>
      </c>
      <c r="H706">
        <f>0.0113636363636363*1.65496116745818</f>
        <v>1.8806376902933755E-2</v>
      </c>
      <c r="I706">
        <v>1.8806376902933911E-2</v>
      </c>
    </row>
    <row r="707" spans="1:9" x14ac:dyDescent="0.25">
      <c r="A707">
        <v>223</v>
      </c>
      <c r="B707" t="s">
        <v>463</v>
      </c>
      <c r="C707" t="s">
        <v>48</v>
      </c>
      <c r="D707" t="s">
        <v>478</v>
      </c>
      <c r="E707">
        <f t="shared" si="25"/>
        <v>1.1363636363636364E-2</v>
      </c>
      <c r="F707">
        <v>2</v>
      </c>
      <c r="G707">
        <f>LOG(382/(2+1))</f>
        <v>2.1049421081920463</v>
      </c>
      <c r="H707">
        <f>0.0113636363636363*4.84680831993846</f>
        <v>5.5077367272027646E-2</v>
      </c>
      <c r="I707">
        <v>5.5077367272028013E-2</v>
      </c>
    </row>
    <row r="708" spans="1:9" x14ac:dyDescent="0.25">
      <c r="A708">
        <v>223</v>
      </c>
      <c r="B708" t="s">
        <v>463</v>
      </c>
      <c r="C708" t="s">
        <v>48</v>
      </c>
      <c r="D708" t="s">
        <v>479</v>
      </c>
      <c r="E708">
        <f t="shared" si="25"/>
        <v>1.1363636363636364E-2</v>
      </c>
      <c r="F708">
        <v>1</v>
      </c>
      <c r="G708">
        <f>LOG(382/(1+1))</f>
        <v>2.2810333672477277</v>
      </c>
      <c r="H708">
        <f>0.0113636363636363*5.25227342804663</f>
        <v>5.968492531871137E-2</v>
      </c>
      <c r="I708">
        <v>5.9684925318711703E-2</v>
      </c>
    </row>
    <row r="709" spans="1:9" x14ac:dyDescent="0.25">
      <c r="A709">
        <v>223</v>
      </c>
      <c r="B709" t="s">
        <v>463</v>
      </c>
      <c r="C709" t="s">
        <v>48</v>
      </c>
      <c r="D709" t="s">
        <v>480</v>
      </c>
      <c r="E709">
        <f t="shared" si="25"/>
        <v>1.1363636363636364E-2</v>
      </c>
      <c r="F709">
        <v>1</v>
      </c>
      <c r="G709">
        <f>LOG(382/(1+1))</f>
        <v>2.2810333672477277</v>
      </c>
      <c r="H709">
        <f>0.0113636363636363*5.25227342804663</f>
        <v>5.968492531871137E-2</v>
      </c>
      <c r="I709">
        <v>5.9684925318711703E-2</v>
      </c>
    </row>
    <row r="710" spans="1:9" x14ac:dyDescent="0.25">
      <c r="A710">
        <v>223</v>
      </c>
      <c r="B710" t="s">
        <v>463</v>
      </c>
      <c r="C710" t="s">
        <v>48</v>
      </c>
      <c r="D710" t="s">
        <v>481</v>
      </c>
      <c r="E710">
        <f t="shared" si="25"/>
        <v>1.1363636363636364E-2</v>
      </c>
      <c r="F710">
        <v>1</v>
      </c>
      <c r="G710">
        <f>LOG(382/(1+1))</f>
        <v>2.2810333672477277</v>
      </c>
      <c r="H710">
        <f>0.0113636363636363*5.25227342804663</f>
        <v>5.968492531871137E-2</v>
      </c>
      <c r="I710">
        <v>5.9684925318711703E-2</v>
      </c>
    </row>
    <row r="711" spans="1:9" x14ac:dyDescent="0.25">
      <c r="A711">
        <v>223</v>
      </c>
      <c r="B711" t="s">
        <v>463</v>
      </c>
      <c r="C711" t="s">
        <v>48</v>
      </c>
      <c r="D711" t="s">
        <v>362</v>
      </c>
      <c r="E711">
        <f t="shared" si="25"/>
        <v>1.1363636363636364E-2</v>
      </c>
      <c r="F711">
        <v>81</v>
      </c>
      <c r="G711">
        <f>LOG(382/(81+1))</f>
        <v>0.66824951052799197</v>
      </c>
      <c r="H711">
        <f>0.0113636363636363*1.53870136134232</f>
        <v>1.7485242742526264E-2</v>
      </c>
      <c r="I711">
        <v>1.7485242742526389E-2</v>
      </c>
    </row>
    <row r="712" spans="1:9" x14ac:dyDescent="0.25">
      <c r="A712">
        <v>223</v>
      </c>
      <c r="B712" t="s">
        <v>463</v>
      </c>
      <c r="C712" t="s">
        <v>48</v>
      </c>
      <c r="D712" t="s">
        <v>482</v>
      </c>
      <c r="E712">
        <f>2/88</f>
        <v>2.2727272727272728E-2</v>
      </c>
      <c r="F712">
        <v>16</v>
      </c>
      <c r="G712">
        <f>LOG(382/(16+1))</f>
        <v>1.3516144415334348</v>
      </c>
      <c r="H712">
        <f>0.0227272727272727*3.11220726455035</f>
        <v>7.0731983285235139E-2</v>
      </c>
      <c r="I712">
        <v>7.0731983285235431E-2</v>
      </c>
    </row>
    <row r="713" spans="1:9" x14ac:dyDescent="0.25">
      <c r="A713">
        <v>223</v>
      </c>
      <c r="B713" t="s">
        <v>463</v>
      </c>
      <c r="C713" t="s">
        <v>48</v>
      </c>
      <c r="D713" t="s">
        <v>144</v>
      </c>
      <c r="E713">
        <f>1/88</f>
        <v>1.1363636363636364E-2</v>
      </c>
      <c r="F713">
        <v>105</v>
      </c>
      <c r="G713">
        <f>LOG(382/(105+1))</f>
        <v>0.55675749764693849</v>
      </c>
      <c r="H713">
        <f>0.0113636363636363*1.2819815144945</f>
        <v>1.4567971755619236E-2</v>
      </c>
      <c r="I713">
        <v>1.456797175561941E-2</v>
      </c>
    </row>
    <row r="714" spans="1:9" x14ac:dyDescent="0.25">
      <c r="A714">
        <v>223</v>
      </c>
      <c r="B714" t="s">
        <v>463</v>
      </c>
      <c r="C714" t="s">
        <v>48</v>
      </c>
      <c r="D714" t="s">
        <v>483</v>
      </c>
      <c r="E714">
        <f>3/88</f>
        <v>3.4090909090909088E-2</v>
      </c>
      <c r="F714">
        <v>61</v>
      </c>
      <c r="G714">
        <f>LOG(382/(61+1))</f>
        <v>0.7896716734134549</v>
      </c>
      <c r="H714">
        <f>0.034090909090909*1.81828622356148</f>
        <v>6.1987030348686654E-2</v>
      </c>
      <c r="I714">
        <v>6.1987030348686939E-2</v>
      </c>
    </row>
    <row r="715" spans="1:9" x14ac:dyDescent="0.25">
      <c r="A715">
        <v>223</v>
      </c>
      <c r="B715" t="s">
        <v>463</v>
      </c>
      <c r="C715" t="s">
        <v>48</v>
      </c>
      <c r="D715" t="s">
        <v>484</v>
      </c>
      <c r="E715">
        <f t="shared" ref="E715:E722" si="26">1/88</f>
        <v>1.1363636363636364E-2</v>
      </c>
      <c r="F715">
        <v>1</v>
      </c>
      <c r="G715">
        <f>LOG(382/(1+1))</f>
        <v>2.2810333672477277</v>
      </c>
      <c r="H715">
        <f>0.0113636363636363*5.25227342804663</f>
        <v>5.968492531871137E-2</v>
      </c>
      <c r="I715">
        <v>5.9684925318711703E-2</v>
      </c>
    </row>
    <row r="716" spans="1:9" x14ac:dyDescent="0.25">
      <c r="A716">
        <v>223</v>
      </c>
      <c r="B716" t="s">
        <v>463</v>
      </c>
      <c r="C716" t="s">
        <v>48</v>
      </c>
      <c r="D716" t="s">
        <v>485</v>
      </c>
      <c r="E716">
        <f t="shared" si="26"/>
        <v>1.1363636363636364E-2</v>
      </c>
      <c r="F716">
        <v>74</v>
      </c>
      <c r="G716">
        <f>LOG(382/(74+1))</f>
        <v>0.7070020995200087</v>
      </c>
      <c r="H716">
        <f>0.0113636363636363*1.62793249507026</f>
        <v>1.8499232898525578E-2</v>
      </c>
      <c r="I716">
        <v>1.8499232898525741E-2</v>
      </c>
    </row>
    <row r="717" spans="1:9" x14ac:dyDescent="0.25">
      <c r="A717">
        <v>223</v>
      </c>
      <c r="B717" t="s">
        <v>463</v>
      </c>
      <c r="C717" t="s">
        <v>48</v>
      </c>
      <c r="D717" t="s">
        <v>216</v>
      </c>
      <c r="E717">
        <f t="shared" si="26"/>
        <v>1.1363636363636364E-2</v>
      </c>
      <c r="F717">
        <v>63</v>
      </c>
      <c r="G717">
        <f>LOG(382/(63+1))</f>
        <v>0.7758833889278216</v>
      </c>
      <c r="H717">
        <f>0.0113636363636363*1.7865375252469</f>
        <v>2.0301562786896477E-2</v>
      </c>
      <c r="I717">
        <v>2.030156278689663E-2</v>
      </c>
    </row>
    <row r="718" spans="1:9" x14ac:dyDescent="0.25">
      <c r="A718">
        <v>223</v>
      </c>
      <c r="B718" t="s">
        <v>463</v>
      </c>
      <c r="C718" t="s">
        <v>48</v>
      </c>
      <c r="D718" t="s">
        <v>486</v>
      </c>
      <c r="E718">
        <f t="shared" si="26"/>
        <v>1.1363636363636364E-2</v>
      </c>
      <c r="F718">
        <v>5</v>
      </c>
      <c r="G718">
        <f>LOG(382/(5+1))</f>
        <v>1.803912112528065</v>
      </c>
      <c r="H718">
        <f>0.0113636363636363*4.15366113937852</f>
        <v>4.7200694765664734E-2</v>
      </c>
      <c r="I718">
        <v>4.7200694765664998E-2</v>
      </c>
    </row>
    <row r="719" spans="1:9" x14ac:dyDescent="0.25">
      <c r="A719">
        <v>223</v>
      </c>
      <c r="B719" t="s">
        <v>463</v>
      </c>
      <c r="C719" t="s">
        <v>48</v>
      </c>
      <c r="D719" t="s">
        <v>79</v>
      </c>
      <c r="E719">
        <f t="shared" si="26"/>
        <v>1.1363636363636364E-2</v>
      </c>
      <c r="F719">
        <v>26</v>
      </c>
      <c r="G719">
        <f>LOG(382/(26+1))</f>
        <v>1.1506995987527215</v>
      </c>
      <c r="H719">
        <f>0.0113636363636363*2.64958374260224</f>
        <v>3.0108906165934375E-2</v>
      </c>
      <c r="I719">
        <v>3.0108906165934621E-2</v>
      </c>
    </row>
    <row r="720" spans="1:9" x14ac:dyDescent="0.25">
      <c r="A720">
        <v>223</v>
      </c>
      <c r="B720" t="s">
        <v>463</v>
      </c>
      <c r="C720" t="s">
        <v>48</v>
      </c>
      <c r="D720" t="s">
        <v>327</v>
      </c>
      <c r="E720">
        <f t="shared" si="26"/>
        <v>1.1363636363636364E-2</v>
      </c>
      <c r="F720">
        <v>46</v>
      </c>
      <c r="G720">
        <f>LOG(382/(46+1))</f>
        <v>0.90996550497599127</v>
      </c>
      <c r="H720">
        <f>0.0113636363636363*2.09527300689651</f>
        <v>2.3809920532914756E-2</v>
      </c>
      <c r="I720">
        <v>2.380992053291496E-2</v>
      </c>
    </row>
    <row r="721" spans="1:9" x14ac:dyDescent="0.25">
      <c r="A721">
        <v>223</v>
      </c>
      <c r="B721" t="s">
        <v>463</v>
      </c>
      <c r="C721" t="s">
        <v>48</v>
      </c>
      <c r="D721" t="s">
        <v>331</v>
      </c>
      <c r="E721">
        <f t="shared" si="26"/>
        <v>1.1363636363636364E-2</v>
      </c>
      <c r="F721">
        <v>130</v>
      </c>
      <c r="G721">
        <f>LOG(382/(130+1))</f>
        <v>0.46479206725594452</v>
      </c>
      <c r="H721">
        <f>0.0113636363636363*1.07022328540542</f>
        <v>1.2161628243243343E-2</v>
      </c>
      <c r="I721">
        <v>1.216162824324345E-2</v>
      </c>
    </row>
    <row r="722" spans="1:9" x14ac:dyDescent="0.25">
      <c r="A722">
        <v>223</v>
      </c>
      <c r="B722" t="s">
        <v>463</v>
      </c>
      <c r="C722" t="s">
        <v>48</v>
      </c>
      <c r="D722" t="s">
        <v>487</v>
      </c>
      <c r="E722">
        <f t="shared" si="26"/>
        <v>1.1363636363636364E-2</v>
      </c>
      <c r="F722">
        <v>32</v>
      </c>
      <c r="G722">
        <f>LOG(382/(32+1))</f>
        <v>1.0635494230338212</v>
      </c>
      <c r="H722">
        <f>0.0113636363636363*2.44891304714009</f>
        <v>2.7828557353864504E-2</v>
      </c>
      <c r="I722">
        <v>2.7828557353864719E-2</v>
      </c>
    </row>
    <row r="723" spans="1:9" x14ac:dyDescent="0.25">
      <c r="A723">
        <v>224</v>
      </c>
      <c r="B723" t="s">
        <v>488</v>
      </c>
      <c r="C723" t="s">
        <v>48</v>
      </c>
      <c r="D723" t="s">
        <v>489</v>
      </c>
      <c r="E723">
        <f>2/21</f>
        <v>9.5238095238095233E-2</v>
      </c>
      <c r="F723">
        <v>6</v>
      </c>
      <c r="G723">
        <f>LOG(382/(6+1))</f>
        <v>1.736965322897452</v>
      </c>
      <c r="H723">
        <f>0.0952380952380952*3.99951045955126</f>
        <v>0.38090575805250082</v>
      </c>
      <c r="I723">
        <v>0.3809057580525011</v>
      </c>
    </row>
    <row r="724" spans="1:9" x14ac:dyDescent="0.25">
      <c r="A724">
        <v>224</v>
      </c>
      <c r="B724" t="s">
        <v>488</v>
      </c>
      <c r="C724" t="s">
        <v>48</v>
      </c>
      <c r="D724" t="s">
        <v>49</v>
      </c>
      <c r="E724">
        <f t="shared" ref="E724:E742" si="27">1/21</f>
        <v>4.7619047619047616E-2</v>
      </c>
      <c r="F724">
        <v>13</v>
      </c>
      <c r="G724">
        <f>LOG(382/(13+1))</f>
        <v>1.4359353272334707</v>
      </c>
      <c r="H724">
        <f>0.0476190476190476*3.30636327899131</f>
        <v>0.15744587042815758</v>
      </c>
      <c r="I724">
        <v>0.15744587042815791</v>
      </c>
    </row>
    <row r="725" spans="1:9" x14ac:dyDescent="0.25">
      <c r="A725">
        <v>224</v>
      </c>
      <c r="B725" t="s">
        <v>488</v>
      </c>
      <c r="C725" t="s">
        <v>48</v>
      </c>
      <c r="D725" t="s">
        <v>112</v>
      </c>
      <c r="E725">
        <f t="shared" si="27"/>
        <v>4.7619047619047616E-2</v>
      </c>
      <c r="F725">
        <v>52</v>
      </c>
      <c r="G725">
        <f>LOG(382/(52+1))</f>
        <v>0.85778749331091964</v>
      </c>
      <c r="H725">
        <f>0.0476190476190476*1.97512869505445</f>
        <v>9.4053747383545203E-2</v>
      </c>
      <c r="I725">
        <v>9.4053747383545397E-2</v>
      </c>
    </row>
    <row r="726" spans="1:9" x14ac:dyDescent="0.25">
      <c r="A726">
        <v>224</v>
      </c>
      <c r="B726" t="s">
        <v>488</v>
      </c>
      <c r="C726" t="s">
        <v>48</v>
      </c>
      <c r="D726" t="s">
        <v>54</v>
      </c>
      <c r="E726">
        <f t="shared" si="27"/>
        <v>4.7619047619047616E-2</v>
      </c>
      <c r="F726">
        <v>25</v>
      </c>
      <c r="G726">
        <f>LOG(382/(25+1))</f>
        <v>1.1670900149408907</v>
      </c>
      <c r="H726">
        <f>0.0476190476190476*2.68732407058509</f>
        <v>0.12796781288500425</v>
      </c>
      <c r="I726">
        <v>0.12796781288500439</v>
      </c>
    </row>
    <row r="727" spans="1:9" x14ac:dyDescent="0.25">
      <c r="A727">
        <v>224</v>
      </c>
      <c r="B727" t="s">
        <v>488</v>
      </c>
      <c r="C727" t="s">
        <v>48</v>
      </c>
      <c r="D727" t="s">
        <v>90</v>
      </c>
      <c r="E727">
        <f t="shared" si="27"/>
        <v>4.7619047619047616E-2</v>
      </c>
      <c r="F727">
        <v>13</v>
      </c>
      <c r="G727">
        <f>LOG(382/(13+1))</f>
        <v>1.4359353272334707</v>
      </c>
      <c r="H727">
        <f>0.0476190476190476*3.30636327899131</f>
        <v>0.15744587042815758</v>
      </c>
      <c r="I727">
        <v>0.15744587042815791</v>
      </c>
    </row>
    <row r="728" spans="1:9" x14ac:dyDescent="0.25">
      <c r="A728">
        <v>224</v>
      </c>
      <c r="B728" t="s">
        <v>488</v>
      </c>
      <c r="C728" t="s">
        <v>48</v>
      </c>
      <c r="D728" t="s">
        <v>91</v>
      </c>
      <c r="E728">
        <f t="shared" si="27"/>
        <v>4.7619047619047616E-2</v>
      </c>
      <c r="F728">
        <v>33</v>
      </c>
      <c r="G728">
        <f>LOG(382/(33+1))</f>
        <v>1.0505844458694535</v>
      </c>
      <c r="H728">
        <f>0.0476190476190476*2.41906008399041</f>
        <v>0.11519333733287664</v>
      </c>
      <c r="I728">
        <v>0.1151933373328768</v>
      </c>
    </row>
    <row r="729" spans="1:9" x14ac:dyDescent="0.25">
      <c r="A729">
        <v>224</v>
      </c>
      <c r="B729" t="s">
        <v>488</v>
      </c>
      <c r="C729" t="s">
        <v>48</v>
      </c>
      <c r="D729" t="s">
        <v>70</v>
      </c>
      <c r="E729">
        <f t="shared" si="27"/>
        <v>4.7619047619047616E-2</v>
      </c>
      <c r="F729">
        <v>44</v>
      </c>
      <c r="G729">
        <f>LOG(382/(44+1))</f>
        <v>0.92885084913636506</v>
      </c>
      <c r="H729">
        <f>0.0476190476190476*2.13875811883625</f>
        <v>0.10184562470648806</v>
      </c>
      <c r="I729">
        <v>0.10184562470648829</v>
      </c>
    </row>
    <row r="730" spans="1:9" x14ac:dyDescent="0.25">
      <c r="A730">
        <v>224</v>
      </c>
      <c r="B730" t="s">
        <v>488</v>
      </c>
      <c r="C730" t="s">
        <v>48</v>
      </c>
      <c r="D730" t="s">
        <v>25</v>
      </c>
      <c r="E730">
        <f t="shared" si="27"/>
        <v>4.7619047619047616E-2</v>
      </c>
      <c r="F730">
        <v>106</v>
      </c>
      <c r="G730">
        <f>LOG(382/(106+1))</f>
        <v>0.55267958522649907</v>
      </c>
      <c r="H730">
        <f>0.0476190476190476*1.27259177414466</f>
        <v>6.0599608292602837E-2</v>
      </c>
      <c r="I730">
        <v>6.0599608292603288E-2</v>
      </c>
    </row>
    <row r="731" spans="1:9" x14ac:dyDescent="0.25">
      <c r="A731">
        <v>224</v>
      </c>
      <c r="B731" t="s">
        <v>488</v>
      </c>
      <c r="C731" t="s">
        <v>48</v>
      </c>
      <c r="D731" t="s">
        <v>93</v>
      </c>
      <c r="E731">
        <f t="shared" si="27"/>
        <v>4.7619047619047616E-2</v>
      </c>
      <c r="F731">
        <v>11</v>
      </c>
      <c r="G731">
        <f>LOG(382/(11+1))</f>
        <v>1.5028821168640838</v>
      </c>
      <c r="H731">
        <f>0.0476190476190476*3.46051395881857</f>
        <v>0.16478637899136042</v>
      </c>
      <c r="I731">
        <v>0.1647863789913607</v>
      </c>
    </row>
    <row r="732" spans="1:9" x14ac:dyDescent="0.25">
      <c r="A732">
        <v>224</v>
      </c>
      <c r="B732" t="s">
        <v>488</v>
      </c>
      <c r="C732" t="s">
        <v>48</v>
      </c>
      <c r="D732" t="s">
        <v>188</v>
      </c>
      <c r="E732">
        <f t="shared" si="27"/>
        <v>4.7619047619047616E-2</v>
      </c>
      <c r="F732">
        <v>19</v>
      </c>
      <c r="G732">
        <f>LOG(382/(19+1))</f>
        <v>1.2810333672477277</v>
      </c>
      <c r="H732">
        <f>0.0476190476190476*2.94968833505258</f>
        <v>0.14046134928821805</v>
      </c>
      <c r="I732">
        <v>0.1404613492882183</v>
      </c>
    </row>
    <row r="733" spans="1:9" x14ac:dyDescent="0.25">
      <c r="A733">
        <v>224</v>
      </c>
      <c r="B733" t="s">
        <v>488</v>
      </c>
      <c r="C733" t="s">
        <v>48</v>
      </c>
      <c r="D733" t="s">
        <v>490</v>
      </c>
      <c r="E733">
        <f t="shared" si="27"/>
        <v>4.7619047619047616E-2</v>
      </c>
      <c r="F733">
        <v>31</v>
      </c>
      <c r="G733">
        <f>LOG(382/(31+1))</f>
        <v>1.0769133845918029</v>
      </c>
      <c r="H733">
        <f>0.0476190476190476*2.47968470580684</f>
        <v>0.11808022408603995</v>
      </c>
      <c r="I733">
        <v>0.11808022408604039</v>
      </c>
    </row>
    <row r="734" spans="1:9" x14ac:dyDescent="0.25">
      <c r="A734">
        <v>224</v>
      </c>
      <c r="B734" t="s">
        <v>488</v>
      </c>
      <c r="C734" t="s">
        <v>48</v>
      </c>
      <c r="D734" t="s">
        <v>50</v>
      </c>
      <c r="E734">
        <f t="shared" si="27"/>
        <v>4.7619047619047616E-2</v>
      </c>
      <c r="F734">
        <v>109</v>
      </c>
      <c r="G734">
        <f>LOG(382/(109+1))</f>
        <v>0.54067067775348365</v>
      </c>
      <c r="H734">
        <f>0.0476190476190476*1.24494024281415</f>
        <v>5.9282868705435698E-2</v>
      </c>
      <c r="I734">
        <v>5.9282868705436143E-2</v>
      </c>
    </row>
    <row r="735" spans="1:9" x14ac:dyDescent="0.25">
      <c r="A735">
        <v>224</v>
      </c>
      <c r="B735" t="s">
        <v>488</v>
      </c>
      <c r="C735" t="s">
        <v>48</v>
      </c>
      <c r="D735" t="s">
        <v>44</v>
      </c>
      <c r="E735">
        <f t="shared" si="27"/>
        <v>4.7619047619047616E-2</v>
      </c>
      <c r="F735">
        <v>151</v>
      </c>
      <c r="G735">
        <f>LOG(382/(151+1))</f>
        <v>0.40021977496693617</v>
      </c>
      <c r="H735">
        <f>0.0476190476190476*0.921540087760298</f>
        <v>4.3882861321918938E-2</v>
      </c>
      <c r="I735">
        <v>4.3882861321918987E-2</v>
      </c>
    </row>
    <row r="736" spans="1:9" x14ac:dyDescent="0.25">
      <c r="A736">
        <v>224</v>
      </c>
      <c r="B736" t="s">
        <v>488</v>
      </c>
      <c r="C736" t="s">
        <v>48</v>
      </c>
      <c r="D736" t="s">
        <v>491</v>
      </c>
      <c r="E736">
        <f t="shared" si="27"/>
        <v>4.7619047619047616E-2</v>
      </c>
      <c r="F736">
        <v>1</v>
      </c>
      <c r="G736">
        <f>LOG(382/(1+1))</f>
        <v>2.2810333672477277</v>
      </c>
      <c r="H736">
        <f>0.0476190476190476*5.25227342804663</f>
        <v>0.25010825847841084</v>
      </c>
      <c r="I736">
        <v>0.25010825847841089</v>
      </c>
    </row>
    <row r="737" spans="1:9" x14ac:dyDescent="0.25">
      <c r="A737">
        <v>224</v>
      </c>
      <c r="B737" t="s">
        <v>488</v>
      </c>
      <c r="C737" t="s">
        <v>48</v>
      </c>
      <c r="D737" t="s">
        <v>492</v>
      </c>
      <c r="E737">
        <f t="shared" si="27"/>
        <v>4.7619047619047616E-2</v>
      </c>
      <c r="F737">
        <v>2</v>
      </c>
      <c r="G737">
        <f>LOG(382/(2+1))</f>
        <v>2.1049421081920463</v>
      </c>
      <c r="H737">
        <f>0.0476190476190476*4.84680831993846</f>
        <v>0.23080039618754564</v>
      </c>
      <c r="I737">
        <v>0.23080039618754589</v>
      </c>
    </row>
    <row r="738" spans="1:9" x14ac:dyDescent="0.25">
      <c r="A738">
        <v>224</v>
      </c>
      <c r="B738" t="s">
        <v>488</v>
      </c>
      <c r="C738" t="s">
        <v>48</v>
      </c>
      <c r="D738" t="s">
        <v>493</v>
      </c>
      <c r="E738">
        <f t="shared" si="27"/>
        <v>4.7619047619047616E-2</v>
      </c>
      <c r="F738">
        <v>2</v>
      </c>
      <c r="G738">
        <f>LOG(382/(2+1))</f>
        <v>2.1049421081920463</v>
      </c>
      <c r="H738">
        <f>0.0476190476190476*4.84680831993846</f>
        <v>0.23080039618754564</v>
      </c>
      <c r="I738">
        <v>0.23080039618754589</v>
      </c>
    </row>
    <row r="739" spans="1:9" x14ac:dyDescent="0.25">
      <c r="A739">
        <v>224</v>
      </c>
      <c r="B739" t="s">
        <v>488</v>
      </c>
      <c r="C739" t="s">
        <v>48</v>
      </c>
      <c r="D739" t="s">
        <v>494</v>
      </c>
      <c r="E739">
        <f t="shared" si="27"/>
        <v>4.7619047619047616E-2</v>
      </c>
      <c r="F739">
        <v>2</v>
      </c>
      <c r="G739">
        <f>LOG(382/(2+1))</f>
        <v>2.1049421081920463</v>
      </c>
      <c r="H739">
        <f>0.0476190476190476*4.84680831993846</f>
        <v>0.23080039618754564</v>
      </c>
      <c r="I739">
        <v>0.23080039618754589</v>
      </c>
    </row>
    <row r="740" spans="1:9" x14ac:dyDescent="0.25">
      <c r="A740">
        <v>224</v>
      </c>
      <c r="B740" t="s">
        <v>488</v>
      </c>
      <c r="C740" t="s">
        <v>48</v>
      </c>
      <c r="D740" t="s">
        <v>495</v>
      </c>
      <c r="E740">
        <f t="shared" si="27"/>
        <v>4.7619047619047616E-2</v>
      </c>
      <c r="F740">
        <v>2</v>
      </c>
      <c r="G740">
        <f>LOG(382/(2+1))</f>
        <v>2.1049421081920463</v>
      </c>
      <c r="H740">
        <f>0.0476190476190476*4.84680831993846</f>
        <v>0.23080039618754564</v>
      </c>
      <c r="I740">
        <v>0.23080039618754589</v>
      </c>
    </row>
    <row r="741" spans="1:9" x14ac:dyDescent="0.25">
      <c r="A741">
        <v>224</v>
      </c>
      <c r="B741" t="s">
        <v>488</v>
      </c>
      <c r="C741" t="s">
        <v>48</v>
      </c>
      <c r="D741" t="s">
        <v>496</v>
      </c>
      <c r="E741">
        <f t="shared" si="27"/>
        <v>4.7619047619047616E-2</v>
      </c>
      <c r="F741">
        <v>1</v>
      </c>
      <c r="G741">
        <f>LOG(382/(1+1))</f>
        <v>2.2810333672477277</v>
      </c>
      <c r="H741">
        <f>0.0476190476190476*5.25227342804663</f>
        <v>0.25010825847841084</v>
      </c>
      <c r="I741">
        <v>0.25010825847841089</v>
      </c>
    </row>
    <row r="742" spans="1:9" x14ac:dyDescent="0.25">
      <c r="A742">
        <v>224</v>
      </c>
      <c r="B742" t="s">
        <v>488</v>
      </c>
      <c r="C742" t="s">
        <v>48</v>
      </c>
      <c r="D742" t="s">
        <v>497</v>
      </c>
      <c r="E742">
        <f t="shared" si="27"/>
        <v>4.7619047619047616E-2</v>
      </c>
      <c r="F742">
        <v>1</v>
      </c>
      <c r="G742">
        <f>LOG(382/(1+1))</f>
        <v>2.2810333672477277</v>
      </c>
      <c r="H742">
        <f>0.0476190476190476*5.25227342804663</f>
        <v>0.25010825847841084</v>
      </c>
      <c r="I742">
        <v>0.25010825847841089</v>
      </c>
    </row>
    <row r="743" spans="1:9" x14ac:dyDescent="0.25">
      <c r="A743">
        <v>225</v>
      </c>
      <c r="B743" t="s">
        <v>498</v>
      </c>
      <c r="C743" t="s">
        <v>10</v>
      </c>
      <c r="D743" t="s">
        <v>499</v>
      </c>
      <c r="E743">
        <f>2/89</f>
        <v>2.247191011235955E-2</v>
      </c>
      <c r="F743">
        <v>1</v>
      </c>
      <c r="G743">
        <f>LOG(382/(1+1))</f>
        <v>2.2810333672477277</v>
      </c>
      <c r="H743">
        <f>0.0224719101123595*5.25227342804663</f>
        <v>0.11802861636059817</v>
      </c>
      <c r="I743">
        <v>0.1180286163605984</v>
      </c>
    </row>
    <row r="744" spans="1:9" x14ac:dyDescent="0.25">
      <c r="A744">
        <v>225</v>
      </c>
      <c r="B744" t="s">
        <v>498</v>
      </c>
      <c r="C744" t="s">
        <v>10</v>
      </c>
      <c r="D744" t="s">
        <v>500</v>
      </c>
      <c r="E744">
        <f>3/89</f>
        <v>3.3707865168539325E-2</v>
      </c>
      <c r="F744">
        <v>4</v>
      </c>
      <c r="G744">
        <f>LOG(382/(4+1))</f>
        <v>1.8830933585756899</v>
      </c>
      <c r="H744">
        <f>0.0337078651685393*4.33598269617247</f>
        <v>0.14615672009570113</v>
      </c>
      <c r="I744">
        <v>0.14615672009570141</v>
      </c>
    </row>
    <row r="745" spans="1:9" x14ac:dyDescent="0.25">
      <c r="A745">
        <v>225</v>
      </c>
      <c r="B745" t="s">
        <v>498</v>
      </c>
      <c r="C745" t="s">
        <v>10</v>
      </c>
      <c r="D745" t="s">
        <v>501</v>
      </c>
      <c r="E745">
        <f>4/89</f>
        <v>4.49438202247191E-2</v>
      </c>
      <c r="F745">
        <v>1</v>
      </c>
      <c r="G745">
        <f>LOG(382/(1+1))</f>
        <v>2.2810333672477277</v>
      </c>
      <c r="H745">
        <f>0.0449438202247191*5.25227342804663</f>
        <v>0.23605723272119683</v>
      </c>
      <c r="I745">
        <v>0.2360572327211968</v>
      </c>
    </row>
    <row r="746" spans="1:9" x14ac:dyDescent="0.25">
      <c r="A746">
        <v>225</v>
      </c>
      <c r="B746" t="s">
        <v>498</v>
      </c>
      <c r="C746" t="s">
        <v>10</v>
      </c>
      <c r="D746" t="s">
        <v>331</v>
      </c>
      <c r="E746">
        <f>5/89</f>
        <v>5.6179775280898875E-2</v>
      </c>
      <c r="F746">
        <v>130</v>
      </c>
      <c r="G746">
        <f>LOG(382/(130+1))</f>
        <v>0.46479206725594452</v>
      </c>
      <c r="H746">
        <f>0.0561797752808988*1.07022328540542</f>
        <v>6.0124903674461723E-2</v>
      </c>
      <c r="I746">
        <v>6.0124903674462001E-2</v>
      </c>
    </row>
    <row r="747" spans="1:9" x14ac:dyDescent="0.25">
      <c r="A747">
        <v>225</v>
      </c>
      <c r="B747" t="s">
        <v>498</v>
      </c>
      <c r="C747" t="s">
        <v>10</v>
      </c>
      <c r="D747" t="s">
        <v>502</v>
      </c>
      <c r="E747">
        <f>4/89</f>
        <v>4.49438202247191E-2</v>
      </c>
      <c r="F747">
        <v>2</v>
      </c>
      <c r="G747">
        <f>LOG(382/(2+1))</f>
        <v>2.1049421081920463</v>
      </c>
      <c r="H747">
        <f>0.0449438202247191*4.84680831993846</f>
        <v>0.21783408179498695</v>
      </c>
      <c r="I747">
        <v>0.2178340817949872</v>
      </c>
    </row>
    <row r="748" spans="1:9" x14ac:dyDescent="0.25">
      <c r="A748">
        <v>225</v>
      </c>
      <c r="B748" t="s">
        <v>498</v>
      </c>
      <c r="C748" t="s">
        <v>10</v>
      </c>
      <c r="D748" t="s">
        <v>503</v>
      </c>
      <c r="E748">
        <f>4/89</f>
        <v>4.49438202247191E-2</v>
      </c>
      <c r="F748">
        <v>2</v>
      </c>
      <c r="G748">
        <f>LOG(382/(2+1))</f>
        <v>2.1049421081920463</v>
      </c>
      <c r="H748">
        <f>0.0449438202247191*4.84680831993846</f>
        <v>0.21783408179498695</v>
      </c>
      <c r="I748">
        <v>0.2178340817949872</v>
      </c>
    </row>
    <row r="749" spans="1:9" x14ac:dyDescent="0.25">
      <c r="A749">
        <v>225</v>
      </c>
      <c r="B749" t="s">
        <v>498</v>
      </c>
      <c r="C749" t="s">
        <v>10</v>
      </c>
      <c r="D749" t="s">
        <v>38</v>
      </c>
      <c r="E749">
        <f>1/89</f>
        <v>1.1235955056179775E-2</v>
      </c>
      <c r="F749">
        <v>86</v>
      </c>
      <c r="G749">
        <f>LOG(382/(86+1))</f>
        <v>0.64254411029309022</v>
      </c>
      <c r="H749">
        <f>0.0112359550561797*1.47951248995199</f>
        <v>1.6623735842157081E-2</v>
      </c>
      <c r="I749">
        <v>1.6623735842157209E-2</v>
      </c>
    </row>
    <row r="750" spans="1:9" x14ac:dyDescent="0.25">
      <c r="A750">
        <v>225</v>
      </c>
      <c r="B750" t="s">
        <v>498</v>
      </c>
      <c r="C750" t="s">
        <v>10</v>
      </c>
      <c r="D750" t="s">
        <v>247</v>
      </c>
      <c r="E750">
        <f>2/89</f>
        <v>2.247191011235955E-2</v>
      </c>
      <c r="F750">
        <v>121</v>
      </c>
      <c r="G750">
        <f>LOG(382/(121+1))</f>
        <v>0.49570353223696051</v>
      </c>
      <c r="H750">
        <f>0.0224719101123595*1.14139956387331</f>
        <v>2.5649428401647363E-2</v>
      </c>
      <c r="I750">
        <v>2.5649428401647609E-2</v>
      </c>
    </row>
    <row r="751" spans="1:9" x14ac:dyDescent="0.25">
      <c r="A751">
        <v>225</v>
      </c>
      <c r="B751" t="s">
        <v>498</v>
      </c>
      <c r="C751" t="s">
        <v>10</v>
      </c>
      <c r="D751" t="s">
        <v>39</v>
      </c>
      <c r="E751">
        <f>3/89</f>
        <v>3.3707865168539325E-2</v>
      </c>
      <c r="F751">
        <v>145</v>
      </c>
      <c r="G751">
        <f>LOG(382/(145+1))</f>
        <v>0.41771050712727159</v>
      </c>
      <c r="H751">
        <f>0.0337078651685393*0.961813986898238</f>
        <v>3.2420696187581033E-2</v>
      </c>
      <c r="I751">
        <v>3.2420696187581081E-2</v>
      </c>
    </row>
    <row r="752" spans="1:9" x14ac:dyDescent="0.25">
      <c r="A752">
        <v>225</v>
      </c>
      <c r="B752" t="s">
        <v>498</v>
      </c>
      <c r="C752" t="s">
        <v>10</v>
      </c>
      <c r="D752" t="s">
        <v>42</v>
      </c>
      <c r="E752">
        <f>1/89</f>
        <v>1.1235955056179775E-2</v>
      </c>
      <c r="F752">
        <v>251</v>
      </c>
      <c r="G752">
        <f>LOG(382/(251+1))</f>
        <v>0.18066282213016463</v>
      </c>
      <c r="H752">
        <f>0.0112359550561797*0.415991521095151</f>
        <v>4.6740620347769457E-3</v>
      </c>
      <c r="I752">
        <v>4.6740620347769874E-3</v>
      </c>
    </row>
    <row r="753" spans="1:9" x14ac:dyDescent="0.25">
      <c r="A753">
        <v>225</v>
      </c>
      <c r="B753" t="s">
        <v>498</v>
      </c>
      <c r="C753" t="s">
        <v>10</v>
      </c>
      <c r="D753" t="s">
        <v>504</v>
      </c>
      <c r="E753">
        <f>1/89</f>
        <v>1.1235955056179775E-2</v>
      </c>
      <c r="F753">
        <v>1</v>
      </c>
      <c r="G753">
        <f>LOG(382/(1+1))</f>
        <v>2.2810333672477277</v>
      </c>
      <c r="H753">
        <f>0.0112359550561797*5.25227342804663</f>
        <v>5.9014308180298819E-2</v>
      </c>
      <c r="I753">
        <v>5.9014308180299208E-2</v>
      </c>
    </row>
    <row r="754" spans="1:9" x14ac:dyDescent="0.25">
      <c r="A754">
        <v>225</v>
      </c>
      <c r="B754" t="s">
        <v>498</v>
      </c>
      <c r="C754" t="s">
        <v>10</v>
      </c>
      <c r="D754" t="s">
        <v>195</v>
      </c>
      <c r="E754">
        <f>2/89</f>
        <v>2.247191011235955E-2</v>
      </c>
      <c r="F754">
        <v>55</v>
      </c>
      <c r="G754">
        <f>LOG(382/(55+1))</f>
        <v>0.83387533590550833</v>
      </c>
      <c r="H754">
        <f>0.0224719101123595*1.92006891787142</f>
        <v>4.3147616131941929E-2</v>
      </c>
      <c r="I754">
        <v>4.3147616131942151E-2</v>
      </c>
    </row>
    <row r="755" spans="1:9" x14ac:dyDescent="0.25">
      <c r="A755">
        <v>225</v>
      </c>
      <c r="B755" t="s">
        <v>498</v>
      </c>
      <c r="C755" t="s">
        <v>10</v>
      </c>
      <c r="D755" t="s">
        <v>22</v>
      </c>
      <c r="E755">
        <f>1/89</f>
        <v>1.1235955056179775E-2</v>
      </c>
      <c r="F755">
        <v>259</v>
      </c>
      <c r="G755">
        <f>LOG(382/(259+1))</f>
        <v>0.16709001494089079</v>
      </c>
      <c r="H755">
        <f>0.0112359550561797*0.384738977591047</f>
        <v>4.3229098605735332E-3</v>
      </c>
      <c r="I755">
        <v>4.3229098605735679E-3</v>
      </c>
    </row>
    <row r="756" spans="1:9" x14ac:dyDescent="0.25">
      <c r="A756">
        <v>225</v>
      </c>
      <c r="B756" t="s">
        <v>498</v>
      </c>
      <c r="C756" t="s">
        <v>10</v>
      </c>
      <c r="D756" t="s">
        <v>23</v>
      </c>
      <c r="E756">
        <f>1/89</f>
        <v>1.1235955056179775E-2</v>
      </c>
      <c r="F756">
        <v>275</v>
      </c>
      <c r="G756">
        <f>LOG(382/(275+1))</f>
        <v>0.14115428084649101</v>
      </c>
      <c r="H756">
        <f>0.0112359550561797*0.325019742889425</f>
        <v>3.6519072234766606E-3</v>
      </c>
      <c r="I756">
        <v>3.6519072234766871E-3</v>
      </c>
    </row>
    <row r="757" spans="1:9" x14ac:dyDescent="0.25">
      <c r="A757">
        <v>225</v>
      </c>
      <c r="B757" t="s">
        <v>498</v>
      </c>
      <c r="C757" t="s">
        <v>10</v>
      </c>
      <c r="D757" t="s">
        <v>105</v>
      </c>
      <c r="E757">
        <f>1/89</f>
        <v>1.1235955056179775E-2</v>
      </c>
      <c r="F757">
        <v>122</v>
      </c>
      <c r="G757">
        <f>LOG(382/(122+1))</f>
        <v>0.49215825147231079</v>
      </c>
      <c r="H757">
        <f>0.0112359550561797*1.13323625323415</f>
        <v>1.2732991609372387E-2</v>
      </c>
      <c r="I757">
        <v>1.273299160937256E-2</v>
      </c>
    </row>
    <row r="758" spans="1:9" x14ac:dyDescent="0.25">
      <c r="A758">
        <v>225</v>
      </c>
      <c r="B758" t="s">
        <v>498</v>
      </c>
      <c r="C758" t="s">
        <v>10</v>
      </c>
      <c r="D758" t="s">
        <v>144</v>
      </c>
      <c r="E758">
        <f>1/89</f>
        <v>1.1235955056179775E-2</v>
      </c>
      <c r="F758">
        <v>105</v>
      </c>
      <c r="G758">
        <f>LOG(382/(105+1))</f>
        <v>0.55675749764693849</v>
      </c>
      <c r="H758">
        <f>0.0112359550561797*1.2819815144945</f>
        <v>1.4404286679713387E-2</v>
      </c>
      <c r="I758">
        <v>1.4404286679713571E-2</v>
      </c>
    </row>
    <row r="759" spans="1:9" x14ac:dyDescent="0.25">
      <c r="A759">
        <v>225</v>
      </c>
      <c r="B759" t="s">
        <v>498</v>
      </c>
      <c r="C759" t="s">
        <v>10</v>
      </c>
      <c r="D759" t="s">
        <v>121</v>
      </c>
      <c r="E759">
        <f>2/89</f>
        <v>2.247191011235955E-2</v>
      </c>
      <c r="F759">
        <v>22</v>
      </c>
      <c r="G759">
        <f>LOG(382/(22+1))</f>
        <v>1.2203355268941158</v>
      </c>
      <c r="H759">
        <f>0.0224719101123595*2.80992639267742</f>
        <v>6.3144413318593565E-2</v>
      </c>
      <c r="I759">
        <v>6.3144413318593828E-2</v>
      </c>
    </row>
    <row r="760" spans="1:9" x14ac:dyDescent="0.25">
      <c r="A760">
        <v>225</v>
      </c>
      <c r="B760" t="s">
        <v>498</v>
      </c>
      <c r="C760" t="s">
        <v>10</v>
      </c>
      <c r="D760" t="s">
        <v>51</v>
      </c>
      <c r="E760">
        <f>1/89</f>
        <v>1.1235955056179775E-2</v>
      </c>
      <c r="F760">
        <v>8</v>
      </c>
      <c r="G760">
        <f>LOG(382/(8+1))</f>
        <v>1.6278208534723839</v>
      </c>
      <c r="H760">
        <f>0.0112359550561797*3.74819603127035</f>
        <v>4.2114562149104771E-2</v>
      </c>
      <c r="I760">
        <v>4.2114562149105118E-2</v>
      </c>
    </row>
    <row r="761" spans="1:9" x14ac:dyDescent="0.25">
      <c r="A761">
        <v>225</v>
      </c>
      <c r="B761" t="s">
        <v>498</v>
      </c>
      <c r="C761" t="s">
        <v>10</v>
      </c>
      <c r="D761" t="s">
        <v>505</v>
      </c>
      <c r="E761">
        <f>1/89</f>
        <v>1.1235955056179775E-2</v>
      </c>
      <c r="F761">
        <v>1</v>
      </c>
      <c r="G761">
        <f>LOG(382/(1+1))</f>
        <v>2.2810333672477277</v>
      </c>
      <c r="H761">
        <f>0.0112359550561797*5.25227342804663</f>
        <v>5.9014308180298819E-2</v>
      </c>
      <c r="I761">
        <v>5.9014308180299208E-2</v>
      </c>
    </row>
    <row r="762" spans="1:9" x14ac:dyDescent="0.25">
      <c r="A762">
        <v>225</v>
      </c>
      <c r="B762" t="s">
        <v>498</v>
      </c>
      <c r="C762" t="s">
        <v>10</v>
      </c>
      <c r="D762" t="s">
        <v>53</v>
      </c>
      <c r="E762">
        <f>2/89</f>
        <v>2.247191011235955E-2</v>
      </c>
      <c r="F762">
        <v>57</v>
      </c>
      <c r="G762">
        <f>LOG(382/(57+1))</f>
        <v>0.81863536934877146</v>
      </c>
      <c r="H762">
        <f>0.0224719101123595*1.88497759806015</f>
        <v>4.2359047147419004E-2</v>
      </c>
      <c r="I762">
        <v>4.2359047147419233E-2</v>
      </c>
    </row>
    <row r="763" spans="1:9" x14ac:dyDescent="0.25">
      <c r="A763">
        <v>225</v>
      </c>
      <c r="B763" t="s">
        <v>498</v>
      </c>
      <c r="C763" t="s">
        <v>10</v>
      </c>
      <c r="D763" t="s">
        <v>201</v>
      </c>
      <c r="E763">
        <f>1/89</f>
        <v>1.1235955056179775E-2</v>
      </c>
      <c r="F763">
        <v>72</v>
      </c>
      <c r="G763">
        <f>LOG(382/(72+1))</f>
        <v>0.71874050279125279</v>
      </c>
      <c r="H763">
        <f>0.0112359550561797*1.65496116745818</f>
        <v>1.8595069297282798E-2</v>
      </c>
      <c r="I763">
        <v>1.8595069297282961E-2</v>
      </c>
    </row>
    <row r="764" spans="1:9" x14ac:dyDescent="0.25">
      <c r="A764">
        <v>225</v>
      </c>
      <c r="B764" t="s">
        <v>498</v>
      </c>
      <c r="C764" t="s">
        <v>10</v>
      </c>
      <c r="D764" t="s">
        <v>399</v>
      </c>
      <c r="E764">
        <f>1/89</f>
        <v>1.1235955056179775E-2</v>
      </c>
      <c r="F764">
        <v>27</v>
      </c>
      <c r="G764">
        <f>LOG(382/(27+1))</f>
        <v>1.1349053315694895</v>
      </c>
      <c r="H764">
        <f>0.0112359550561797*2.61321609843137</f>
        <v>2.9361978634060142E-2</v>
      </c>
      <c r="I764">
        <v>2.936197863406035E-2</v>
      </c>
    </row>
    <row r="765" spans="1:9" x14ac:dyDescent="0.25">
      <c r="A765">
        <v>225</v>
      </c>
      <c r="B765" t="s">
        <v>498</v>
      </c>
      <c r="C765" t="s">
        <v>10</v>
      </c>
      <c r="D765" t="s">
        <v>243</v>
      </c>
      <c r="E765">
        <f>3/89</f>
        <v>3.3707865168539325E-2</v>
      </c>
      <c r="F765">
        <v>131</v>
      </c>
      <c r="G765">
        <f>LOG(382/(131+1))</f>
        <v>0.46148943170585888</v>
      </c>
      <c r="H765">
        <f>0.0337078651685393*1.0626186860202</f>
        <v>3.58186073939393E-2</v>
      </c>
      <c r="I765">
        <v>3.5818607393939467E-2</v>
      </c>
    </row>
    <row r="766" spans="1:9" x14ac:dyDescent="0.25">
      <c r="A766">
        <v>225</v>
      </c>
      <c r="B766" t="s">
        <v>498</v>
      </c>
      <c r="C766" t="s">
        <v>10</v>
      </c>
      <c r="D766" t="s">
        <v>506</v>
      </c>
      <c r="E766">
        <f>1/89</f>
        <v>1.1235955056179775E-2</v>
      </c>
      <c r="F766">
        <v>6</v>
      </c>
      <c r="G766">
        <f>LOG(382/(6+1))</f>
        <v>1.736965322897452</v>
      </c>
      <c r="H766">
        <f>0.0112359550561797*3.99951045955126</f>
        <v>4.4938319770238579E-2</v>
      </c>
      <c r="I766">
        <v>4.4938319770238898E-2</v>
      </c>
    </row>
    <row r="767" spans="1:9" x14ac:dyDescent="0.25">
      <c r="A767">
        <v>225</v>
      </c>
      <c r="B767" t="s">
        <v>498</v>
      </c>
      <c r="C767" t="s">
        <v>10</v>
      </c>
      <c r="D767" t="s">
        <v>507</v>
      </c>
      <c r="E767">
        <f>1/89</f>
        <v>1.1235955056179775E-2</v>
      </c>
      <c r="F767">
        <v>2</v>
      </c>
      <c r="G767">
        <f>LOG(382/(2+1))</f>
        <v>2.1049421081920463</v>
      </c>
      <c r="H767">
        <f>0.0112359550561797*4.84680831993846</f>
        <v>5.4458520448746377E-2</v>
      </c>
      <c r="I767">
        <v>5.44585204487468E-2</v>
      </c>
    </row>
    <row r="768" spans="1:9" x14ac:dyDescent="0.25">
      <c r="A768">
        <v>225</v>
      </c>
      <c r="B768" t="s">
        <v>498</v>
      </c>
      <c r="C768" t="s">
        <v>10</v>
      </c>
      <c r="D768" t="s">
        <v>19</v>
      </c>
      <c r="E768">
        <f>2/89</f>
        <v>2.247191011235955E-2</v>
      </c>
      <c r="F768">
        <v>220</v>
      </c>
      <c r="G768">
        <f>LOG(382/(220+1))</f>
        <v>0.23767108922659805</v>
      </c>
      <c r="H768">
        <f>0.0224719101123595*0.547257907088822</f>
        <v>1.2297930496377996E-2</v>
      </c>
      <c r="I768">
        <v>1.2297930496378029E-2</v>
      </c>
    </row>
    <row r="769" spans="1:9" x14ac:dyDescent="0.25">
      <c r="A769">
        <v>225</v>
      </c>
      <c r="B769" t="s">
        <v>498</v>
      </c>
      <c r="C769" t="s">
        <v>10</v>
      </c>
      <c r="D769" t="s">
        <v>508</v>
      </c>
      <c r="E769">
        <f>1/89</f>
        <v>1.1235955056179775E-2</v>
      </c>
      <c r="F769">
        <v>1</v>
      </c>
      <c r="G769">
        <f>LOG(382/(1+1))</f>
        <v>2.2810333672477277</v>
      </c>
      <c r="H769">
        <f>0.0112359550561797*5.25227342804663</f>
        <v>5.9014308180298819E-2</v>
      </c>
      <c r="I769">
        <v>5.9014308180299208E-2</v>
      </c>
    </row>
    <row r="770" spans="1:9" x14ac:dyDescent="0.25">
      <c r="A770">
        <v>225</v>
      </c>
      <c r="B770" t="s">
        <v>498</v>
      </c>
      <c r="C770" t="s">
        <v>10</v>
      </c>
      <c r="D770" t="s">
        <v>509</v>
      </c>
      <c r="E770">
        <f>1/89</f>
        <v>1.1235955056179775E-2</v>
      </c>
      <c r="F770">
        <v>5</v>
      </c>
      <c r="G770">
        <f>LOG(382/(5+1))</f>
        <v>1.803912112528065</v>
      </c>
      <c r="H770">
        <f>0.0112359550561797*4.15366113937852</f>
        <v>4.6670349880657214E-2</v>
      </c>
      <c r="I770">
        <v>4.6670349880657533E-2</v>
      </c>
    </row>
    <row r="771" spans="1:9" x14ac:dyDescent="0.25">
      <c r="A771">
        <v>225</v>
      </c>
      <c r="B771" t="s">
        <v>498</v>
      </c>
      <c r="C771" t="s">
        <v>10</v>
      </c>
      <c r="D771" t="s">
        <v>510</v>
      </c>
      <c r="E771">
        <f>1/89</f>
        <v>1.1235955056179775E-2</v>
      </c>
      <c r="F771">
        <v>1</v>
      </c>
      <c r="G771">
        <f>LOG(382/(1+1))</f>
        <v>2.2810333672477277</v>
      </c>
      <c r="H771">
        <f>0.0112359550561797*5.25227342804663</f>
        <v>5.9014308180298819E-2</v>
      </c>
      <c r="I771">
        <v>5.9014308180299208E-2</v>
      </c>
    </row>
    <row r="772" spans="1:9" x14ac:dyDescent="0.25">
      <c r="A772">
        <v>225</v>
      </c>
      <c r="B772" t="s">
        <v>498</v>
      </c>
      <c r="C772" t="s">
        <v>10</v>
      </c>
      <c r="D772" t="s">
        <v>511</v>
      </c>
      <c r="E772">
        <f>2/89</f>
        <v>2.247191011235955E-2</v>
      </c>
      <c r="F772">
        <v>2</v>
      </c>
      <c r="G772">
        <f>LOG(382/(2+1))</f>
        <v>2.1049421081920463</v>
      </c>
      <c r="H772">
        <f>0.0224719101123595*4.84680831993846</f>
        <v>0.10891704089749324</v>
      </c>
      <c r="I772">
        <v>0.1089170408974936</v>
      </c>
    </row>
    <row r="773" spans="1:9" x14ac:dyDescent="0.25">
      <c r="A773">
        <v>225</v>
      </c>
      <c r="B773" t="s">
        <v>498</v>
      </c>
      <c r="C773" t="s">
        <v>10</v>
      </c>
      <c r="D773" t="s">
        <v>512</v>
      </c>
      <c r="E773">
        <f t="shared" ref="E773:E798" si="28">1/89</f>
        <v>1.1235955056179775E-2</v>
      </c>
      <c r="F773">
        <v>1</v>
      </c>
      <c r="G773">
        <f>LOG(382/(1+1))</f>
        <v>2.2810333672477277</v>
      </c>
      <c r="H773">
        <f>0.0112359550561797*5.25227342804663</f>
        <v>5.9014308180298819E-2</v>
      </c>
      <c r="I773">
        <v>5.9014308180299208E-2</v>
      </c>
    </row>
    <row r="774" spans="1:9" x14ac:dyDescent="0.25">
      <c r="A774">
        <v>225</v>
      </c>
      <c r="B774" t="s">
        <v>498</v>
      </c>
      <c r="C774" t="s">
        <v>10</v>
      </c>
      <c r="D774" t="s">
        <v>513</v>
      </c>
      <c r="E774">
        <f t="shared" si="28"/>
        <v>1.1235955056179775E-2</v>
      </c>
      <c r="F774">
        <v>3</v>
      </c>
      <c r="G774">
        <f>LOG(382/(3+1))</f>
        <v>1.9800033715837464</v>
      </c>
      <c r="H774">
        <f>0.0112359550561797*4.55912624748668</f>
        <v>5.1226137612209545E-2</v>
      </c>
      <c r="I774">
        <v>5.1226137612209927E-2</v>
      </c>
    </row>
    <row r="775" spans="1:9" x14ac:dyDescent="0.25">
      <c r="A775">
        <v>225</v>
      </c>
      <c r="B775" t="s">
        <v>498</v>
      </c>
      <c r="C775" t="s">
        <v>10</v>
      </c>
      <c r="D775" t="s">
        <v>112</v>
      </c>
      <c r="E775">
        <f t="shared" si="28"/>
        <v>1.1235955056179775E-2</v>
      </c>
      <c r="F775">
        <v>52</v>
      </c>
      <c r="G775">
        <f>LOG(382/(52+1))</f>
        <v>0.85778749331091964</v>
      </c>
      <c r="H775">
        <f>0.0112359550561797*1.97512869505445</f>
        <v>2.2192457247802663E-2</v>
      </c>
      <c r="I775">
        <v>2.219245724780285E-2</v>
      </c>
    </row>
    <row r="776" spans="1:9" x14ac:dyDescent="0.25">
      <c r="A776">
        <v>225</v>
      </c>
      <c r="B776" t="s">
        <v>498</v>
      </c>
      <c r="C776" t="s">
        <v>10</v>
      </c>
      <c r="D776" t="s">
        <v>91</v>
      </c>
      <c r="E776">
        <f t="shared" si="28"/>
        <v>1.1235955056179775E-2</v>
      </c>
      <c r="F776">
        <v>33</v>
      </c>
      <c r="G776">
        <f>LOG(382/(33+1))</f>
        <v>1.0505844458694535</v>
      </c>
      <c r="H776">
        <f>0.0112359550561797*2.41906008399041</f>
        <v>2.718045038191454E-2</v>
      </c>
      <c r="I776">
        <v>2.7180450381914759E-2</v>
      </c>
    </row>
    <row r="777" spans="1:9" x14ac:dyDescent="0.25">
      <c r="A777">
        <v>225</v>
      </c>
      <c r="B777" t="s">
        <v>498</v>
      </c>
      <c r="C777" t="s">
        <v>10</v>
      </c>
      <c r="D777" t="s">
        <v>514</v>
      </c>
      <c r="E777">
        <f t="shared" si="28"/>
        <v>1.1235955056179775E-2</v>
      </c>
      <c r="F777">
        <v>6</v>
      </c>
      <c r="G777">
        <f>LOG(382/(6+1))</f>
        <v>1.736965322897452</v>
      </c>
      <c r="H777">
        <f>0.0112359550561797*3.99951045955126</f>
        <v>4.4938319770238579E-2</v>
      </c>
      <c r="I777">
        <v>4.4938319770238898E-2</v>
      </c>
    </row>
    <row r="778" spans="1:9" x14ac:dyDescent="0.25">
      <c r="A778">
        <v>225</v>
      </c>
      <c r="B778" t="s">
        <v>498</v>
      </c>
      <c r="C778" t="s">
        <v>10</v>
      </c>
      <c r="D778" t="s">
        <v>36</v>
      </c>
      <c r="E778">
        <f t="shared" si="28"/>
        <v>1.1235955056179775E-2</v>
      </c>
      <c r="F778">
        <v>58</v>
      </c>
      <c r="G778">
        <f>LOG(382/(58+1))</f>
        <v>0.81121135126956456</v>
      </c>
      <c r="H778">
        <f>0.0112359550561797*1.86788316470085</f>
        <v>2.0987451288773457E-2</v>
      </c>
      <c r="I778">
        <v>2.0987451288773658E-2</v>
      </c>
    </row>
    <row r="779" spans="1:9" x14ac:dyDescent="0.25">
      <c r="A779">
        <v>225</v>
      </c>
      <c r="B779" t="s">
        <v>498</v>
      </c>
      <c r="C779" t="s">
        <v>10</v>
      </c>
      <c r="D779" t="s">
        <v>515</v>
      </c>
      <c r="E779">
        <f t="shared" si="28"/>
        <v>1.1235955056179775E-2</v>
      </c>
      <c r="F779">
        <v>1</v>
      </c>
      <c r="G779">
        <f>LOG(382/(1+1))</f>
        <v>2.2810333672477277</v>
      </c>
      <c r="H779">
        <f>0.0112359550561797*5.25227342804663</f>
        <v>5.9014308180298819E-2</v>
      </c>
      <c r="I779">
        <v>5.9014308180299208E-2</v>
      </c>
    </row>
    <row r="780" spans="1:9" x14ac:dyDescent="0.25">
      <c r="A780">
        <v>225</v>
      </c>
      <c r="B780" t="s">
        <v>498</v>
      </c>
      <c r="C780" t="s">
        <v>10</v>
      </c>
      <c r="D780" t="s">
        <v>11</v>
      </c>
      <c r="E780">
        <f t="shared" si="28"/>
        <v>1.1235955056179775E-2</v>
      </c>
      <c r="F780">
        <v>83</v>
      </c>
      <c r="G780">
        <f>LOG(382/(83+1))</f>
        <v>0.65778407684982709</v>
      </c>
      <c r="H780">
        <f>0.0112359550561797*1.51460380976326</f>
        <v>1.7018020334418536E-2</v>
      </c>
      <c r="I780">
        <v>1.7018020334418672E-2</v>
      </c>
    </row>
    <row r="781" spans="1:9" x14ac:dyDescent="0.25">
      <c r="A781">
        <v>225</v>
      </c>
      <c r="B781" t="s">
        <v>498</v>
      </c>
      <c r="C781" t="s">
        <v>10</v>
      </c>
      <c r="D781" t="s">
        <v>12</v>
      </c>
      <c r="E781">
        <f t="shared" si="28"/>
        <v>1.1235955056179775E-2</v>
      </c>
      <c r="F781">
        <v>28</v>
      </c>
      <c r="G781">
        <f>LOG(382/(28+1))</f>
        <v>1.1196653650127526</v>
      </c>
      <c r="H781">
        <f>0.0112359550561797*2.5781247786201</f>
        <v>2.8967694141798683E-2</v>
      </c>
      <c r="I781">
        <v>2.8967694141798891E-2</v>
      </c>
    </row>
    <row r="782" spans="1:9" x14ac:dyDescent="0.25">
      <c r="A782">
        <v>225</v>
      </c>
      <c r="B782" t="s">
        <v>498</v>
      </c>
      <c r="C782" t="s">
        <v>10</v>
      </c>
      <c r="D782" t="s">
        <v>516</v>
      </c>
      <c r="E782">
        <f t="shared" si="28"/>
        <v>1.1235955056179775E-2</v>
      </c>
      <c r="F782">
        <v>1</v>
      </c>
      <c r="G782">
        <f>LOG(382/(1+1))</f>
        <v>2.2810333672477277</v>
      </c>
      <c r="H782">
        <f>0.0112359550561797*5.25227342804663</f>
        <v>5.9014308180298819E-2</v>
      </c>
      <c r="I782">
        <v>5.9014308180299208E-2</v>
      </c>
    </row>
    <row r="783" spans="1:9" x14ac:dyDescent="0.25">
      <c r="A783">
        <v>225</v>
      </c>
      <c r="B783" t="s">
        <v>498</v>
      </c>
      <c r="C783" t="s">
        <v>10</v>
      </c>
      <c r="D783" t="s">
        <v>517</v>
      </c>
      <c r="E783">
        <f t="shared" si="28"/>
        <v>1.1235955056179775E-2</v>
      </c>
      <c r="F783">
        <v>1</v>
      </c>
      <c r="G783">
        <f>LOG(382/(1+1))</f>
        <v>2.2810333672477277</v>
      </c>
      <c r="H783">
        <f>0.0112359550561797*5.25227342804663</f>
        <v>5.9014308180298819E-2</v>
      </c>
      <c r="I783">
        <v>5.9014308180299208E-2</v>
      </c>
    </row>
    <row r="784" spans="1:9" x14ac:dyDescent="0.25">
      <c r="A784">
        <v>225</v>
      </c>
      <c r="B784" t="s">
        <v>498</v>
      </c>
      <c r="C784" t="s">
        <v>10</v>
      </c>
      <c r="D784" t="s">
        <v>465</v>
      </c>
      <c r="E784">
        <f t="shared" si="28"/>
        <v>1.1235955056179775E-2</v>
      </c>
      <c r="F784">
        <v>36</v>
      </c>
      <c r="G784">
        <f>LOG(382/(36+1))</f>
        <v>1.0138616388447137</v>
      </c>
      <c r="H784">
        <f>0.0112359550561797*2.33450269596235</f>
        <v>2.623036737036331E-2</v>
      </c>
      <c r="I784">
        <v>2.6230367370363491E-2</v>
      </c>
    </row>
    <row r="785" spans="1:9" x14ac:dyDescent="0.25">
      <c r="A785">
        <v>225</v>
      </c>
      <c r="B785" t="s">
        <v>498</v>
      </c>
      <c r="C785" t="s">
        <v>10</v>
      </c>
      <c r="D785" t="s">
        <v>518</v>
      </c>
      <c r="E785">
        <f t="shared" si="28"/>
        <v>1.1235955056179775E-2</v>
      </c>
      <c r="F785">
        <v>1</v>
      </c>
      <c r="G785">
        <f>LOG(382/(1+1))</f>
        <v>2.2810333672477277</v>
      </c>
      <c r="H785">
        <f>0.0112359550561797*5.25227342804663</f>
        <v>5.9014308180298819E-2</v>
      </c>
      <c r="I785">
        <v>5.9014308180299208E-2</v>
      </c>
    </row>
    <row r="786" spans="1:9" x14ac:dyDescent="0.25">
      <c r="A786">
        <v>225</v>
      </c>
      <c r="B786" t="s">
        <v>498</v>
      </c>
      <c r="C786" t="s">
        <v>10</v>
      </c>
      <c r="D786" t="s">
        <v>59</v>
      </c>
      <c r="E786">
        <f t="shared" si="28"/>
        <v>1.1235955056179775E-2</v>
      </c>
      <c r="F786">
        <v>13</v>
      </c>
      <c r="G786">
        <f>LOG(382/(13+1))</f>
        <v>1.4359353272334707</v>
      </c>
      <c r="H786">
        <f>0.0112359550561797*3.30636327899131</f>
        <v>3.7150149202149305E-2</v>
      </c>
      <c r="I786">
        <v>3.7150149202149617E-2</v>
      </c>
    </row>
    <row r="787" spans="1:9" x14ac:dyDescent="0.25">
      <c r="A787">
        <v>225</v>
      </c>
      <c r="B787" t="s">
        <v>498</v>
      </c>
      <c r="C787" t="s">
        <v>10</v>
      </c>
      <c r="D787" t="s">
        <v>474</v>
      </c>
      <c r="E787">
        <f t="shared" si="28"/>
        <v>1.1235955056179775E-2</v>
      </c>
      <c r="F787">
        <v>25</v>
      </c>
      <c r="G787">
        <f>LOG(382/(25+1))</f>
        <v>1.1670900149408907</v>
      </c>
      <c r="H787">
        <f>0.0112359550561797*2.68732407058509</f>
        <v>3.0194652478483956E-2</v>
      </c>
      <c r="I787">
        <v>3.0194652478484189E-2</v>
      </c>
    </row>
    <row r="788" spans="1:9" x14ac:dyDescent="0.25">
      <c r="A788">
        <v>225</v>
      </c>
      <c r="B788" t="s">
        <v>498</v>
      </c>
      <c r="C788" t="s">
        <v>10</v>
      </c>
      <c r="D788" t="s">
        <v>119</v>
      </c>
      <c r="E788">
        <f t="shared" si="28"/>
        <v>1.1235955056179775E-2</v>
      </c>
      <c r="F788">
        <v>79</v>
      </c>
      <c r="G788">
        <f>LOG(382/(79+1))</f>
        <v>0.67897337591976514</v>
      </c>
      <c r="H788">
        <f>0.0112359550561797*1.56339397393269</f>
        <v>1.7566224426209885E-2</v>
      </c>
      <c r="I788">
        <v>1.7566224426210041E-2</v>
      </c>
    </row>
    <row r="789" spans="1:9" x14ac:dyDescent="0.25">
      <c r="A789">
        <v>225</v>
      </c>
      <c r="B789" t="s">
        <v>498</v>
      </c>
      <c r="C789" t="s">
        <v>10</v>
      </c>
      <c r="D789" t="s">
        <v>133</v>
      </c>
      <c r="E789">
        <f t="shared" si="28"/>
        <v>1.1235955056179775E-2</v>
      </c>
      <c r="F789">
        <v>142</v>
      </c>
      <c r="G789">
        <f>LOG(382/(142+1))</f>
        <v>0.42672732544664693</v>
      </c>
      <c r="H789">
        <f>0.0112359550561797*0.982575978346667</f>
        <v>1.1040179531984948E-2</v>
      </c>
      <c r="I789">
        <v>1.104017953198503E-2</v>
      </c>
    </row>
    <row r="790" spans="1:9" x14ac:dyDescent="0.25">
      <c r="A790">
        <v>225</v>
      </c>
      <c r="B790" t="s">
        <v>498</v>
      </c>
      <c r="C790" t="s">
        <v>10</v>
      </c>
      <c r="D790" t="s">
        <v>77</v>
      </c>
      <c r="E790">
        <f t="shared" si="28"/>
        <v>1.1235955056179775E-2</v>
      </c>
      <c r="F790">
        <v>148</v>
      </c>
      <c r="G790">
        <f>LOG(382/(148+1))</f>
        <v>0.40887709449943471</v>
      </c>
      <c r="H790">
        <f>0.0112359550561797*0.941474302661116</f>
        <v>1.0578362951248423E-2</v>
      </c>
      <c r="I790">
        <v>1.0578362951248499E-2</v>
      </c>
    </row>
    <row r="791" spans="1:9" x14ac:dyDescent="0.25">
      <c r="A791">
        <v>225</v>
      </c>
      <c r="B791" t="s">
        <v>498</v>
      </c>
      <c r="C791" t="s">
        <v>10</v>
      </c>
      <c r="D791" t="s">
        <v>50</v>
      </c>
      <c r="E791">
        <f t="shared" si="28"/>
        <v>1.1235955056179775E-2</v>
      </c>
      <c r="F791">
        <v>109</v>
      </c>
      <c r="G791">
        <f>LOG(382/(109+1))</f>
        <v>0.54067067775348365</v>
      </c>
      <c r="H791">
        <f>0.0112359550561797*1.24494024281415</f>
        <v>1.3988092615889233E-2</v>
      </c>
      <c r="I791">
        <v>1.398809261588943E-2</v>
      </c>
    </row>
    <row r="792" spans="1:9" x14ac:dyDescent="0.25">
      <c r="A792">
        <v>225</v>
      </c>
      <c r="B792" t="s">
        <v>498</v>
      </c>
      <c r="C792" t="s">
        <v>10</v>
      </c>
      <c r="D792" t="s">
        <v>41</v>
      </c>
      <c r="E792">
        <f t="shared" si="28"/>
        <v>1.1235955056179775E-2</v>
      </c>
      <c r="F792">
        <v>195</v>
      </c>
      <c r="G792">
        <f>LOG(382/(195+1))</f>
        <v>0.28980729155523272</v>
      </c>
      <c r="H792">
        <f>0.0112359550561797*0.667305949376058</f>
        <v>7.4978196559107139E-3</v>
      </c>
      <c r="I792">
        <v>7.4978196559107643E-3</v>
      </c>
    </row>
    <row r="793" spans="1:9" x14ac:dyDescent="0.25">
      <c r="A793">
        <v>225</v>
      </c>
      <c r="B793" t="s">
        <v>498</v>
      </c>
      <c r="C793" t="s">
        <v>10</v>
      </c>
      <c r="D793" t="s">
        <v>440</v>
      </c>
      <c r="E793">
        <f t="shared" si="28"/>
        <v>1.1235955056179775E-2</v>
      </c>
      <c r="F793">
        <v>6</v>
      </c>
      <c r="G793">
        <f>LOG(382/(6+1))</f>
        <v>1.736965322897452</v>
      </c>
      <c r="H793">
        <f>0.0112359550561797*3.99951045955126</f>
        <v>4.4938319770238579E-2</v>
      </c>
      <c r="I793">
        <v>4.4938319770238898E-2</v>
      </c>
    </row>
    <row r="794" spans="1:9" x14ac:dyDescent="0.25">
      <c r="A794">
        <v>225</v>
      </c>
      <c r="B794" t="s">
        <v>498</v>
      </c>
      <c r="C794" t="s">
        <v>10</v>
      </c>
      <c r="D794" t="s">
        <v>519</v>
      </c>
      <c r="E794">
        <f t="shared" si="28"/>
        <v>1.1235955056179775E-2</v>
      </c>
      <c r="F794">
        <v>1</v>
      </c>
      <c r="G794">
        <f>LOG(382/(1+1))</f>
        <v>2.2810333672477277</v>
      </c>
      <c r="H794">
        <f>0.0112359550561797*5.25227342804663</f>
        <v>5.9014308180298819E-2</v>
      </c>
      <c r="I794">
        <v>5.9014308180299208E-2</v>
      </c>
    </row>
    <row r="795" spans="1:9" x14ac:dyDescent="0.25">
      <c r="A795">
        <v>225</v>
      </c>
      <c r="B795" t="s">
        <v>498</v>
      </c>
      <c r="C795" t="s">
        <v>10</v>
      </c>
      <c r="D795" t="s">
        <v>81</v>
      </c>
      <c r="E795">
        <f t="shared" si="28"/>
        <v>1.1235955056179775E-2</v>
      </c>
      <c r="F795">
        <v>114</v>
      </c>
      <c r="G795">
        <f>LOG(382/(114+1))</f>
        <v>0.52136552255809698</v>
      </c>
      <c r="H795">
        <f>0.0112359550561797*1.20048848024332</f>
        <v>1.3488634609475416E-2</v>
      </c>
      <c r="I795">
        <v>1.348863460947556E-2</v>
      </c>
    </row>
    <row r="796" spans="1:9" x14ac:dyDescent="0.25">
      <c r="A796">
        <v>225</v>
      </c>
      <c r="B796" t="s">
        <v>498</v>
      </c>
      <c r="C796" t="s">
        <v>10</v>
      </c>
      <c r="D796" t="s">
        <v>438</v>
      </c>
      <c r="E796">
        <f t="shared" si="28"/>
        <v>1.1235955056179775E-2</v>
      </c>
      <c r="F796">
        <v>37</v>
      </c>
      <c r="G796">
        <f>LOG(382/(37+1))</f>
        <v>1.0022797662948986</v>
      </c>
      <c r="H796">
        <f>0.0112359550561797*2.30783444888018</f>
        <v>2.5930724144720949E-2</v>
      </c>
      <c r="I796">
        <v>2.593072414472123E-2</v>
      </c>
    </row>
    <row r="797" spans="1:9" x14ac:dyDescent="0.25">
      <c r="A797">
        <v>225</v>
      </c>
      <c r="B797" t="s">
        <v>498</v>
      </c>
      <c r="C797" t="s">
        <v>10</v>
      </c>
      <c r="D797" t="s">
        <v>307</v>
      </c>
      <c r="E797">
        <f t="shared" si="28"/>
        <v>1.1235955056179775E-2</v>
      </c>
      <c r="F797">
        <v>67</v>
      </c>
      <c r="G797">
        <f>LOG(382/(67+1))</f>
        <v>0.7495544502054724</v>
      </c>
      <c r="H797">
        <f>0.0112359550561797*1.72591290343046</f>
        <v>1.9392279813825266E-2</v>
      </c>
      <c r="I797">
        <v>1.9392279813825481E-2</v>
      </c>
    </row>
    <row r="798" spans="1:9" x14ac:dyDescent="0.25">
      <c r="A798">
        <v>225</v>
      </c>
      <c r="B798" t="s">
        <v>498</v>
      </c>
      <c r="C798" t="s">
        <v>10</v>
      </c>
      <c r="D798" t="s">
        <v>471</v>
      </c>
      <c r="E798">
        <f t="shared" si="28"/>
        <v>1.1235955056179775E-2</v>
      </c>
      <c r="F798">
        <v>7</v>
      </c>
      <c r="G798">
        <f>LOG(382/(7+1))</f>
        <v>1.6789733759197651</v>
      </c>
      <c r="H798">
        <f>0.0112359550561797*3.86597906692673</f>
        <v>4.3437967044120278E-2</v>
      </c>
      <c r="I798">
        <v>4.3437967044120659E-2</v>
      </c>
    </row>
    <row r="799" spans="1:9" x14ac:dyDescent="0.25">
      <c r="A799">
        <v>225</v>
      </c>
      <c r="B799" t="s">
        <v>498</v>
      </c>
      <c r="C799" t="s">
        <v>10</v>
      </c>
      <c r="D799" t="s">
        <v>313</v>
      </c>
      <c r="E799">
        <f>2/89</f>
        <v>2.247191011235955E-2</v>
      </c>
      <c r="F799">
        <v>13</v>
      </c>
      <c r="G799">
        <f>LOG(382/(13+1))</f>
        <v>1.4359353272334707</v>
      </c>
      <c r="H799">
        <f>0.0224719101123595*3.30636327899131</f>
        <v>7.4300298404298942E-2</v>
      </c>
      <c r="I799">
        <v>7.4300298404299248E-2</v>
      </c>
    </row>
    <row r="800" spans="1:9" x14ac:dyDescent="0.25">
      <c r="A800">
        <v>225</v>
      </c>
      <c r="B800" t="s">
        <v>498</v>
      </c>
      <c r="C800" t="s">
        <v>10</v>
      </c>
      <c r="D800" t="s">
        <v>520</v>
      </c>
      <c r="E800">
        <f>1/89</f>
        <v>1.1235955056179775E-2</v>
      </c>
      <c r="F800">
        <v>25</v>
      </c>
      <c r="G800">
        <f>LOG(382/(25+1))</f>
        <v>1.1670900149408907</v>
      </c>
      <c r="H800">
        <f>0.0112359550561797*2.68732407058509</f>
        <v>3.0194652478483956E-2</v>
      </c>
      <c r="I800">
        <v>3.0194652478484189E-2</v>
      </c>
    </row>
    <row r="801" spans="1:9" x14ac:dyDescent="0.25">
      <c r="A801">
        <v>225</v>
      </c>
      <c r="B801" t="s">
        <v>498</v>
      </c>
      <c r="C801" t="s">
        <v>10</v>
      </c>
      <c r="D801" t="s">
        <v>521</v>
      </c>
      <c r="E801">
        <f>1/89</f>
        <v>1.1235955056179775E-2</v>
      </c>
      <c r="F801">
        <v>7</v>
      </c>
      <c r="G801">
        <f>LOG(382/(7+1))</f>
        <v>1.6789733759197651</v>
      </c>
      <c r="H801">
        <f>0.0112359550561797*3.86597906692673</f>
        <v>4.3437967044120278E-2</v>
      </c>
      <c r="I801">
        <v>4.3437967044120659E-2</v>
      </c>
    </row>
    <row r="802" spans="1:9" x14ac:dyDescent="0.25">
      <c r="A802">
        <v>225</v>
      </c>
      <c r="B802" t="s">
        <v>498</v>
      </c>
      <c r="C802" t="s">
        <v>10</v>
      </c>
      <c r="D802" t="s">
        <v>458</v>
      </c>
      <c r="E802">
        <f>1/89</f>
        <v>1.1235955056179775E-2</v>
      </c>
      <c r="F802">
        <v>34</v>
      </c>
      <c r="G802">
        <f>LOG(382/(34+1))</f>
        <v>1.037995318561433</v>
      </c>
      <c r="H802">
        <f>0.0112359550561797*2.39007254711716</f>
        <v>2.6854747720417349E-2</v>
      </c>
      <c r="I802">
        <v>2.685474772041754E-2</v>
      </c>
    </row>
    <row r="803" spans="1:9" x14ac:dyDescent="0.25">
      <c r="A803">
        <v>225</v>
      </c>
      <c r="B803" t="s">
        <v>498</v>
      </c>
      <c r="C803" t="s">
        <v>10</v>
      </c>
      <c r="D803" t="s">
        <v>459</v>
      </c>
      <c r="E803">
        <f>1/89</f>
        <v>1.1235955056179775E-2</v>
      </c>
      <c r="F803">
        <v>14</v>
      </c>
      <c r="G803">
        <f>LOG(382/(14+1))</f>
        <v>1.4059721038560276</v>
      </c>
      <c r="H803">
        <f>0.0112359550561797*3.23737040750436</f>
        <v>3.6374948398925147E-2</v>
      </c>
      <c r="I803">
        <v>3.6374948398925452E-2</v>
      </c>
    </row>
    <row r="804" spans="1:9" x14ac:dyDescent="0.25">
      <c r="A804">
        <v>225</v>
      </c>
      <c r="B804" t="s">
        <v>498</v>
      </c>
      <c r="C804" t="s">
        <v>10</v>
      </c>
      <c r="D804" t="s">
        <v>263</v>
      </c>
      <c r="E804">
        <f>1/89</f>
        <v>1.1235955056179775E-2</v>
      </c>
      <c r="F804">
        <v>41</v>
      </c>
      <c r="G804">
        <f>LOG(382/(41+1))</f>
        <v>0.95881407251380824</v>
      </c>
      <c r="H804">
        <f>0.0112359550561797*2.2077509903232</f>
        <v>2.4806190902507703E-2</v>
      </c>
      <c r="I804">
        <v>2.4806190902507939E-2</v>
      </c>
    </row>
    <row r="805" spans="1:9" x14ac:dyDescent="0.25">
      <c r="A805">
        <v>226</v>
      </c>
      <c r="B805" t="s">
        <v>522</v>
      </c>
      <c r="C805" t="s">
        <v>48</v>
      </c>
      <c r="D805" t="s">
        <v>523</v>
      </c>
      <c r="E805">
        <f>5/84</f>
        <v>5.9523809523809521E-2</v>
      </c>
      <c r="F805">
        <v>2</v>
      </c>
      <c r="G805">
        <f>LOG(382/(2+1))</f>
        <v>2.1049421081920463</v>
      </c>
      <c r="H805">
        <f>0.0595238095238095*4.84680831993846</f>
        <v>0.288500495234432</v>
      </c>
      <c r="I805">
        <v>0.28850049523443239</v>
      </c>
    </row>
    <row r="806" spans="1:9" x14ac:dyDescent="0.25">
      <c r="A806">
        <v>226</v>
      </c>
      <c r="B806" t="s">
        <v>522</v>
      </c>
      <c r="C806" t="s">
        <v>48</v>
      </c>
      <c r="D806" t="s">
        <v>524</v>
      </c>
      <c r="E806">
        <f>1/84</f>
        <v>1.1904761904761904E-2</v>
      </c>
      <c r="F806">
        <v>1</v>
      </c>
      <c r="G806">
        <f>LOG(382/(1+1))</f>
        <v>2.2810333672477277</v>
      </c>
      <c r="H806">
        <f>0.0119047619047619*5.25227342804663</f>
        <v>6.252706461960271E-2</v>
      </c>
      <c r="I806">
        <v>6.2527064619602737E-2</v>
      </c>
    </row>
    <row r="807" spans="1:9" x14ac:dyDescent="0.25">
      <c r="A807">
        <v>226</v>
      </c>
      <c r="B807" t="s">
        <v>522</v>
      </c>
      <c r="C807" t="s">
        <v>48</v>
      </c>
      <c r="D807" t="s">
        <v>284</v>
      </c>
      <c r="E807">
        <f>1/84</f>
        <v>1.1904761904761904E-2</v>
      </c>
      <c r="F807">
        <v>3</v>
      </c>
      <c r="G807">
        <f>LOG(382/(3+1))</f>
        <v>1.9800033715837464</v>
      </c>
      <c r="H807">
        <f>0.0119047619047619*4.55912624748668</f>
        <v>5.4275312470079502E-2</v>
      </c>
      <c r="I807">
        <v>5.4275312470079572E-2</v>
      </c>
    </row>
    <row r="808" spans="1:9" x14ac:dyDescent="0.25">
      <c r="A808">
        <v>226</v>
      </c>
      <c r="B808" t="s">
        <v>522</v>
      </c>
      <c r="C808" t="s">
        <v>48</v>
      </c>
      <c r="D808" t="s">
        <v>525</v>
      </c>
      <c r="E808">
        <f>1/84</f>
        <v>1.1904761904761904E-2</v>
      </c>
      <c r="F808">
        <v>1</v>
      </c>
      <c r="G808">
        <f>LOG(382/(1+1))</f>
        <v>2.2810333672477277</v>
      </c>
      <c r="H808">
        <f>0.0119047619047619*5.25227342804663</f>
        <v>6.252706461960271E-2</v>
      </c>
      <c r="I808">
        <v>6.2527064619602737E-2</v>
      </c>
    </row>
    <row r="809" spans="1:9" x14ac:dyDescent="0.25">
      <c r="A809">
        <v>226</v>
      </c>
      <c r="B809" t="s">
        <v>522</v>
      </c>
      <c r="C809" t="s">
        <v>48</v>
      </c>
      <c r="D809" t="s">
        <v>19</v>
      </c>
      <c r="E809">
        <f>5/84</f>
        <v>5.9523809523809521E-2</v>
      </c>
      <c r="F809">
        <v>220</v>
      </c>
      <c r="G809">
        <f>LOG(382/(220+1))</f>
        <v>0.23767108922659805</v>
      </c>
      <c r="H809">
        <f>0.0595238095238095*0.547257907088822</f>
        <v>3.2574875421953683E-2</v>
      </c>
      <c r="I809">
        <v>3.2574875421953711E-2</v>
      </c>
    </row>
    <row r="810" spans="1:9" x14ac:dyDescent="0.25">
      <c r="A810">
        <v>226</v>
      </c>
      <c r="B810" t="s">
        <v>522</v>
      </c>
      <c r="C810" t="s">
        <v>48</v>
      </c>
      <c r="D810" t="s">
        <v>44</v>
      </c>
      <c r="E810">
        <f>6/84</f>
        <v>7.1428571428571425E-2</v>
      </c>
      <c r="F810">
        <v>151</v>
      </c>
      <c r="G810">
        <f>LOG(382/(151+1))</f>
        <v>0.40021977496693617</v>
      </c>
      <c r="H810">
        <f>0.0714285714285714*0.921540087760298</f>
        <v>6.5824291982878397E-2</v>
      </c>
      <c r="I810">
        <v>6.582429198287848E-2</v>
      </c>
    </row>
    <row r="811" spans="1:9" x14ac:dyDescent="0.25">
      <c r="A811">
        <v>226</v>
      </c>
      <c r="B811" t="s">
        <v>522</v>
      </c>
      <c r="C811" t="s">
        <v>48</v>
      </c>
      <c r="D811" t="s">
        <v>526</v>
      </c>
      <c r="E811">
        <f>1/84</f>
        <v>1.1904761904761904E-2</v>
      </c>
      <c r="F811">
        <v>1</v>
      </c>
      <c r="G811">
        <f>LOG(382/(1+1))</f>
        <v>2.2810333672477277</v>
      </c>
      <c r="H811">
        <f>0.0119047619047619*5.25227342804663</f>
        <v>6.252706461960271E-2</v>
      </c>
      <c r="I811">
        <v>6.2527064619602737E-2</v>
      </c>
    </row>
    <row r="812" spans="1:9" x14ac:dyDescent="0.25">
      <c r="A812">
        <v>226</v>
      </c>
      <c r="B812" t="s">
        <v>522</v>
      </c>
      <c r="C812" t="s">
        <v>48</v>
      </c>
      <c r="D812" t="s">
        <v>59</v>
      </c>
      <c r="E812">
        <f>1/84</f>
        <v>1.1904761904761904E-2</v>
      </c>
      <c r="F812">
        <v>13</v>
      </c>
      <c r="G812">
        <f>LOG(382/(13+1))</f>
        <v>1.4359353272334707</v>
      </c>
      <c r="H812">
        <f>0.0119047619047619*3.30636327899131</f>
        <v>3.9361467607039395E-2</v>
      </c>
      <c r="I812">
        <v>3.9361467607039478E-2</v>
      </c>
    </row>
    <row r="813" spans="1:9" x14ac:dyDescent="0.25">
      <c r="A813">
        <v>226</v>
      </c>
      <c r="B813" t="s">
        <v>522</v>
      </c>
      <c r="C813" t="s">
        <v>48</v>
      </c>
      <c r="D813" t="s">
        <v>233</v>
      </c>
      <c r="E813">
        <f>2/84</f>
        <v>2.3809523809523808E-2</v>
      </c>
      <c r="F813">
        <v>14</v>
      </c>
      <c r="G813">
        <f>LOG(382/(14+1))</f>
        <v>1.4059721038560276</v>
      </c>
      <c r="H813">
        <f>0.0238095238095238*3.23737040750436</f>
        <v>7.7080247797722823E-2</v>
      </c>
      <c r="I813">
        <v>7.7080247797722976E-2</v>
      </c>
    </row>
    <row r="814" spans="1:9" x14ac:dyDescent="0.25">
      <c r="A814">
        <v>226</v>
      </c>
      <c r="B814" t="s">
        <v>522</v>
      </c>
      <c r="C814" t="s">
        <v>48</v>
      </c>
      <c r="D814" t="s">
        <v>527</v>
      </c>
      <c r="E814">
        <f>1/84</f>
        <v>1.1904761904761904E-2</v>
      </c>
      <c r="F814">
        <v>4</v>
      </c>
      <c r="G814">
        <f>LOG(382/(4+1))</f>
        <v>1.8830933585756899</v>
      </c>
      <c r="H814">
        <f>0.0119047619047619*4.33598269617247</f>
        <v>5.1618841621100822E-2</v>
      </c>
      <c r="I814">
        <v>5.1618841621100878E-2</v>
      </c>
    </row>
    <row r="815" spans="1:9" x14ac:dyDescent="0.25">
      <c r="A815">
        <v>226</v>
      </c>
      <c r="B815" t="s">
        <v>522</v>
      </c>
      <c r="C815" t="s">
        <v>48</v>
      </c>
      <c r="D815" t="s">
        <v>131</v>
      </c>
      <c r="E815">
        <f>2/84</f>
        <v>2.3809523809523808E-2</v>
      </c>
      <c r="F815">
        <v>38</v>
      </c>
      <c r="G815">
        <f>LOG(382/(38+1))</f>
        <v>0.99099875588520958</v>
      </c>
      <c r="H815">
        <f>0.0238095238095238*2.28185896247692</f>
        <v>5.432997529706951E-2</v>
      </c>
      <c r="I815">
        <v>5.4329975297069732E-2</v>
      </c>
    </row>
    <row r="816" spans="1:9" x14ac:dyDescent="0.25">
      <c r="A816">
        <v>226</v>
      </c>
      <c r="B816" t="s">
        <v>522</v>
      </c>
      <c r="C816" t="s">
        <v>48</v>
      </c>
      <c r="D816" t="s">
        <v>215</v>
      </c>
      <c r="E816">
        <f>2/84</f>
        <v>2.3809523809523808E-2</v>
      </c>
      <c r="F816">
        <v>25</v>
      </c>
      <c r="G816">
        <f>LOG(382/(25+1))</f>
        <v>1.1670900149408907</v>
      </c>
      <c r="H816">
        <f>0.0238095238095238*2.68732407058509</f>
        <v>6.3983906442502125E-2</v>
      </c>
      <c r="I816">
        <v>6.3983906442502209E-2</v>
      </c>
    </row>
    <row r="817" spans="1:9" x14ac:dyDescent="0.25">
      <c r="A817">
        <v>226</v>
      </c>
      <c r="B817" t="s">
        <v>522</v>
      </c>
      <c r="C817" t="s">
        <v>48</v>
      </c>
      <c r="D817" t="s">
        <v>528</v>
      </c>
      <c r="E817">
        <f>1/84</f>
        <v>1.1904761904761904E-2</v>
      </c>
      <c r="F817">
        <v>9</v>
      </c>
      <c r="G817">
        <f>LOG(382/(9+1))</f>
        <v>1.5820633629117087</v>
      </c>
      <c r="H817">
        <f>0.0119047619047619*3.64283551561252</f>
        <v>4.3367089471577608E-2</v>
      </c>
      <c r="I817">
        <v>4.3367089471577733E-2</v>
      </c>
    </row>
    <row r="818" spans="1:9" x14ac:dyDescent="0.25">
      <c r="A818">
        <v>226</v>
      </c>
      <c r="B818" t="s">
        <v>522</v>
      </c>
      <c r="C818" t="s">
        <v>48</v>
      </c>
      <c r="D818" t="s">
        <v>529</v>
      </c>
      <c r="E818">
        <f>1/84</f>
        <v>1.1904761904761904E-2</v>
      </c>
      <c r="F818">
        <v>2</v>
      </c>
      <c r="G818">
        <f>LOG(382/(2+1))</f>
        <v>2.1049421081920463</v>
      </c>
      <c r="H818">
        <f>0.0119047619047619*4.84680831993846</f>
        <v>5.7700099046886409E-2</v>
      </c>
      <c r="I818">
        <v>5.7700099046886492E-2</v>
      </c>
    </row>
    <row r="819" spans="1:9" x14ac:dyDescent="0.25">
      <c r="A819">
        <v>226</v>
      </c>
      <c r="B819" t="s">
        <v>522</v>
      </c>
      <c r="C819" t="s">
        <v>48</v>
      </c>
      <c r="D819" t="s">
        <v>530</v>
      </c>
      <c r="E819">
        <f>1/84</f>
        <v>1.1904761904761904E-2</v>
      </c>
      <c r="F819">
        <v>3</v>
      </c>
      <c r="G819">
        <f>LOG(382/(3+1))</f>
        <v>1.9800033715837464</v>
      </c>
      <c r="H819">
        <f>0.0119047619047619*4.55912624748668</f>
        <v>5.4275312470079502E-2</v>
      </c>
      <c r="I819">
        <v>5.4275312470079572E-2</v>
      </c>
    </row>
    <row r="820" spans="1:9" x14ac:dyDescent="0.25">
      <c r="A820">
        <v>226</v>
      </c>
      <c r="B820" t="s">
        <v>522</v>
      </c>
      <c r="C820" t="s">
        <v>48</v>
      </c>
      <c r="D820" t="s">
        <v>531</v>
      </c>
      <c r="E820">
        <f>1/84</f>
        <v>1.1904761904761904E-2</v>
      </c>
      <c r="F820">
        <v>1</v>
      </c>
      <c r="G820">
        <f>LOG(382/(1+1))</f>
        <v>2.2810333672477277</v>
      </c>
      <c r="H820">
        <f>0.0119047619047619*5.25227342804663</f>
        <v>6.252706461960271E-2</v>
      </c>
      <c r="I820">
        <v>6.2527064619602737E-2</v>
      </c>
    </row>
    <row r="821" spans="1:9" x14ac:dyDescent="0.25">
      <c r="A821">
        <v>226</v>
      </c>
      <c r="B821" t="s">
        <v>522</v>
      </c>
      <c r="C821" t="s">
        <v>48</v>
      </c>
      <c r="D821" t="s">
        <v>532</v>
      </c>
      <c r="E821">
        <f>1/84</f>
        <v>1.1904761904761904E-2</v>
      </c>
      <c r="F821">
        <v>8</v>
      </c>
      <c r="G821">
        <f>LOG(382/(8+1))</f>
        <v>1.6278208534723839</v>
      </c>
      <c r="H821">
        <f>0.0119047619047619*3.74819603127035</f>
        <v>4.4621381324647005E-2</v>
      </c>
      <c r="I821">
        <v>4.4621381324647089E-2</v>
      </c>
    </row>
    <row r="822" spans="1:9" x14ac:dyDescent="0.25">
      <c r="A822">
        <v>226</v>
      </c>
      <c r="B822" t="s">
        <v>522</v>
      </c>
      <c r="C822" t="s">
        <v>48</v>
      </c>
      <c r="D822" t="s">
        <v>533</v>
      </c>
      <c r="E822">
        <f>3/84</f>
        <v>3.5714285714285712E-2</v>
      </c>
      <c r="F822">
        <v>8</v>
      </c>
      <c r="G822">
        <f>LOG(382/(8+1))</f>
        <v>1.6278208534723839</v>
      </c>
      <c r="H822">
        <f>0.0357142857142857*3.74819603127035</f>
        <v>0.133864143973941</v>
      </c>
      <c r="I822">
        <v>0.13386414397394131</v>
      </c>
    </row>
    <row r="823" spans="1:9" x14ac:dyDescent="0.25">
      <c r="A823">
        <v>226</v>
      </c>
      <c r="B823" t="s">
        <v>522</v>
      </c>
      <c r="C823" t="s">
        <v>48</v>
      </c>
      <c r="D823" t="s">
        <v>534</v>
      </c>
      <c r="E823">
        <f>1/84</f>
        <v>1.1904761904761904E-2</v>
      </c>
      <c r="F823">
        <v>1</v>
      </c>
      <c r="G823">
        <f>LOG(382/(1+1))</f>
        <v>2.2810333672477277</v>
      </c>
      <c r="H823">
        <f>0.0119047619047619*5.25227342804663</f>
        <v>6.252706461960271E-2</v>
      </c>
      <c r="I823">
        <v>6.2527064619602737E-2</v>
      </c>
    </row>
    <row r="824" spans="1:9" x14ac:dyDescent="0.25">
      <c r="A824">
        <v>226</v>
      </c>
      <c r="B824" t="s">
        <v>522</v>
      </c>
      <c r="C824" t="s">
        <v>48</v>
      </c>
      <c r="D824" t="s">
        <v>535</v>
      </c>
      <c r="E824">
        <f>1/84</f>
        <v>1.1904761904761904E-2</v>
      </c>
      <c r="F824">
        <v>1</v>
      </c>
      <c r="G824">
        <f>LOG(382/(1+1))</f>
        <v>2.2810333672477277</v>
      </c>
      <c r="H824">
        <f>0.0119047619047619*5.25227342804663</f>
        <v>6.252706461960271E-2</v>
      </c>
      <c r="I824">
        <v>6.2527064619602737E-2</v>
      </c>
    </row>
    <row r="825" spans="1:9" x14ac:dyDescent="0.25">
      <c r="A825">
        <v>226</v>
      </c>
      <c r="B825" t="s">
        <v>522</v>
      </c>
      <c r="C825" t="s">
        <v>48</v>
      </c>
      <c r="D825" t="s">
        <v>536</v>
      </c>
      <c r="E825">
        <f>1/84</f>
        <v>1.1904761904761904E-2</v>
      </c>
      <c r="F825">
        <v>3</v>
      </c>
      <c r="G825">
        <f>LOG(382/(3+1))</f>
        <v>1.9800033715837464</v>
      </c>
      <c r="H825">
        <f>0.0119047619047619*4.55912624748668</f>
        <v>5.4275312470079502E-2</v>
      </c>
      <c r="I825">
        <v>5.4275312470079572E-2</v>
      </c>
    </row>
    <row r="826" spans="1:9" x14ac:dyDescent="0.25">
      <c r="A826">
        <v>226</v>
      </c>
      <c r="B826" t="s">
        <v>522</v>
      </c>
      <c r="C826" t="s">
        <v>48</v>
      </c>
      <c r="D826" t="s">
        <v>537</v>
      </c>
      <c r="E826">
        <f>1/84</f>
        <v>1.1904761904761904E-2</v>
      </c>
      <c r="F826">
        <v>1</v>
      </c>
      <c r="G826">
        <f>LOG(382/(1+1))</f>
        <v>2.2810333672477277</v>
      </c>
      <c r="H826">
        <f>0.0119047619047619*5.25227342804663</f>
        <v>6.252706461960271E-2</v>
      </c>
      <c r="I826">
        <v>6.2527064619602737E-2</v>
      </c>
    </row>
    <row r="827" spans="1:9" x14ac:dyDescent="0.25">
      <c r="A827">
        <v>226</v>
      </c>
      <c r="B827" t="s">
        <v>522</v>
      </c>
      <c r="C827" t="s">
        <v>48</v>
      </c>
      <c r="D827" t="s">
        <v>538</v>
      </c>
      <c r="E827">
        <f>1/84</f>
        <v>1.1904761904761904E-2</v>
      </c>
      <c r="F827">
        <v>3</v>
      </c>
      <c r="G827">
        <f>LOG(382/(3+1))</f>
        <v>1.9800033715837464</v>
      </c>
      <c r="H827">
        <f>0.0119047619047619*4.55912624748668</f>
        <v>5.4275312470079502E-2</v>
      </c>
      <c r="I827">
        <v>5.4275312470079572E-2</v>
      </c>
    </row>
    <row r="828" spans="1:9" x14ac:dyDescent="0.25">
      <c r="A828">
        <v>226</v>
      </c>
      <c r="B828" t="s">
        <v>522</v>
      </c>
      <c r="C828" t="s">
        <v>48</v>
      </c>
      <c r="D828" t="s">
        <v>260</v>
      </c>
      <c r="E828">
        <f>2/84</f>
        <v>2.3809523809523808E-2</v>
      </c>
      <c r="F828">
        <v>31</v>
      </c>
      <c r="G828">
        <f>LOG(382/(31+1))</f>
        <v>1.0769133845918029</v>
      </c>
      <c r="H828">
        <f>0.0238095238095238*2.47968470580684</f>
        <v>5.9040112043019975E-2</v>
      </c>
      <c r="I828">
        <v>5.9040112043020197E-2</v>
      </c>
    </row>
    <row r="829" spans="1:9" x14ac:dyDescent="0.25">
      <c r="A829">
        <v>226</v>
      </c>
      <c r="B829" t="s">
        <v>522</v>
      </c>
      <c r="C829" t="s">
        <v>48</v>
      </c>
      <c r="D829" t="s">
        <v>539</v>
      </c>
      <c r="E829">
        <f>1/84</f>
        <v>1.1904761904761904E-2</v>
      </c>
      <c r="F829">
        <v>1</v>
      </c>
      <c r="G829">
        <f>LOG(382/(1+1))</f>
        <v>2.2810333672477277</v>
      </c>
      <c r="H829">
        <f>0.0119047619047619*5.25227342804663</f>
        <v>6.252706461960271E-2</v>
      </c>
      <c r="I829">
        <v>6.2527064619602737E-2</v>
      </c>
    </row>
    <row r="830" spans="1:9" x14ac:dyDescent="0.25">
      <c r="A830">
        <v>226</v>
      </c>
      <c r="B830" t="s">
        <v>522</v>
      </c>
      <c r="C830" t="s">
        <v>48</v>
      </c>
      <c r="D830" t="s">
        <v>540</v>
      </c>
      <c r="E830">
        <f>1/84</f>
        <v>1.1904761904761904E-2</v>
      </c>
      <c r="F830">
        <v>5</v>
      </c>
      <c r="G830">
        <f>LOG(382/(5+1))</f>
        <v>1.803912112528065</v>
      </c>
      <c r="H830">
        <f>0.0119047619047619*4.15366113937852</f>
        <v>4.9448346897363313E-2</v>
      </c>
      <c r="I830">
        <v>4.9448346897363327E-2</v>
      </c>
    </row>
    <row r="831" spans="1:9" x14ac:dyDescent="0.25">
      <c r="A831">
        <v>226</v>
      </c>
      <c r="B831" t="s">
        <v>522</v>
      </c>
      <c r="C831" t="s">
        <v>48</v>
      </c>
      <c r="D831" t="s">
        <v>541</v>
      </c>
      <c r="E831">
        <f>1/84</f>
        <v>1.1904761904761904E-2</v>
      </c>
      <c r="F831">
        <v>2</v>
      </c>
      <c r="G831">
        <f>LOG(382/(2+1))</f>
        <v>2.1049421081920463</v>
      </c>
      <c r="H831">
        <f>0.0119047619047619*4.84680831993846</f>
        <v>5.7700099046886409E-2</v>
      </c>
      <c r="I831">
        <v>5.7700099046886492E-2</v>
      </c>
    </row>
    <row r="832" spans="1:9" x14ac:dyDescent="0.25">
      <c r="A832">
        <v>226</v>
      </c>
      <c r="B832" t="s">
        <v>522</v>
      </c>
      <c r="C832" t="s">
        <v>48</v>
      </c>
      <c r="D832" t="s">
        <v>38</v>
      </c>
      <c r="E832">
        <f>1/84</f>
        <v>1.1904761904761904E-2</v>
      </c>
      <c r="F832">
        <v>86</v>
      </c>
      <c r="G832">
        <f>LOG(382/(86+1))</f>
        <v>0.64254411029309022</v>
      </c>
      <c r="H832">
        <f>0.0119047619047619*1.47951248995199</f>
        <v>1.7613243927999876E-2</v>
      </c>
      <c r="I832">
        <v>1.76132439279999E-2</v>
      </c>
    </row>
    <row r="833" spans="1:9" x14ac:dyDescent="0.25">
      <c r="A833">
        <v>226</v>
      </c>
      <c r="B833" t="s">
        <v>522</v>
      </c>
      <c r="C833" t="s">
        <v>48</v>
      </c>
      <c r="D833" t="s">
        <v>542</v>
      </c>
      <c r="E833">
        <f>1/84</f>
        <v>1.1904761904761904E-2</v>
      </c>
      <c r="F833">
        <v>42</v>
      </c>
      <c r="G833">
        <f>LOG(382/(42+1))</f>
        <v>0.94859490733212215</v>
      </c>
      <c r="H833">
        <f>0.0119047619047619*2.18422049291301</f>
        <v>2.6002624915631059E-2</v>
      </c>
      <c r="I833">
        <v>2.6002624915631101E-2</v>
      </c>
    </row>
    <row r="834" spans="1:9" x14ac:dyDescent="0.25">
      <c r="A834">
        <v>226</v>
      </c>
      <c r="B834" t="s">
        <v>522</v>
      </c>
      <c r="C834" t="s">
        <v>48</v>
      </c>
      <c r="D834" t="s">
        <v>543</v>
      </c>
      <c r="E834">
        <f>2/84</f>
        <v>2.3809523809523808E-2</v>
      </c>
      <c r="F834">
        <v>6</v>
      </c>
      <c r="G834">
        <f>LOG(382/(6+1))</f>
        <v>1.736965322897452</v>
      </c>
      <c r="H834">
        <f>0.0238095238095238*3.99951045955126</f>
        <v>9.5226439513125205E-2</v>
      </c>
      <c r="I834">
        <v>9.5226439513125274E-2</v>
      </c>
    </row>
    <row r="835" spans="1:9" x14ac:dyDescent="0.25">
      <c r="A835">
        <v>226</v>
      </c>
      <c r="B835" t="s">
        <v>522</v>
      </c>
      <c r="C835" t="s">
        <v>48</v>
      </c>
      <c r="D835" t="s">
        <v>544</v>
      </c>
      <c r="E835">
        <f>1/84</f>
        <v>1.1904761904761904E-2</v>
      </c>
      <c r="F835">
        <v>3</v>
      </c>
      <c r="G835">
        <f>LOG(382/(3+1))</f>
        <v>1.9800033715837464</v>
      </c>
      <c r="H835">
        <f>0.0119047619047619*4.55912624748668</f>
        <v>5.4275312470079502E-2</v>
      </c>
      <c r="I835">
        <v>5.4275312470079572E-2</v>
      </c>
    </row>
    <row r="836" spans="1:9" x14ac:dyDescent="0.25">
      <c r="A836">
        <v>226</v>
      </c>
      <c r="B836" t="s">
        <v>522</v>
      </c>
      <c r="C836" t="s">
        <v>48</v>
      </c>
      <c r="D836" t="s">
        <v>545</v>
      </c>
      <c r="E836">
        <f>2/84</f>
        <v>2.3809523809523808E-2</v>
      </c>
      <c r="F836">
        <v>6</v>
      </c>
      <c r="G836">
        <f>LOG(382/(6+1))</f>
        <v>1.736965322897452</v>
      </c>
      <c r="H836">
        <f>0.0238095238095238*3.99951045955126</f>
        <v>9.5226439513125205E-2</v>
      </c>
      <c r="I836">
        <v>9.5226439513125274E-2</v>
      </c>
    </row>
    <row r="837" spans="1:9" x14ac:dyDescent="0.25">
      <c r="A837">
        <v>226</v>
      </c>
      <c r="B837" t="s">
        <v>522</v>
      </c>
      <c r="C837" t="s">
        <v>48</v>
      </c>
      <c r="D837" t="s">
        <v>117</v>
      </c>
      <c r="E837">
        <f t="shared" ref="E837:E853" si="29">1/84</f>
        <v>1.1904761904761904E-2</v>
      </c>
      <c r="F837">
        <v>8</v>
      </c>
      <c r="G837">
        <f>LOG(382/(8+1))</f>
        <v>1.6278208534723839</v>
      </c>
      <c r="H837">
        <f>0.0119047619047619*3.74819603127035</f>
        <v>4.4621381324647005E-2</v>
      </c>
      <c r="I837">
        <v>4.4621381324647089E-2</v>
      </c>
    </row>
    <row r="838" spans="1:9" x14ac:dyDescent="0.25">
      <c r="A838">
        <v>226</v>
      </c>
      <c r="B838" t="s">
        <v>522</v>
      </c>
      <c r="C838" t="s">
        <v>48</v>
      </c>
      <c r="D838" t="s">
        <v>546</v>
      </c>
      <c r="E838">
        <f t="shared" si="29"/>
        <v>1.1904761904761904E-2</v>
      </c>
      <c r="F838">
        <v>1</v>
      </c>
      <c r="G838">
        <f>LOG(382/(1+1))</f>
        <v>2.2810333672477277</v>
      </c>
      <c r="H838">
        <f>0.0119047619047619*5.25227342804663</f>
        <v>6.252706461960271E-2</v>
      </c>
      <c r="I838">
        <v>6.2527064619602737E-2</v>
      </c>
    </row>
    <row r="839" spans="1:9" x14ac:dyDescent="0.25">
      <c r="A839">
        <v>226</v>
      </c>
      <c r="B839" t="s">
        <v>522</v>
      </c>
      <c r="C839" t="s">
        <v>48</v>
      </c>
      <c r="D839" t="s">
        <v>547</v>
      </c>
      <c r="E839">
        <f t="shared" si="29"/>
        <v>1.1904761904761904E-2</v>
      </c>
      <c r="F839">
        <v>2</v>
      </c>
      <c r="G839">
        <f>LOG(382/(2+1))</f>
        <v>2.1049421081920463</v>
      </c>
      <c r="H839">
        <f>0.0119047619047619*4.84680831993846</f>
        <v>5.7700099046886409E-2</v>
      </c>
      <c r="I839">
        <v>5.7700099046886492E-2</v>
      </c>
    </row>
    <row r="840" spans="1:9" x14ac:dyDescent="0.25">
      <c r="A840">
        <v>226</v>
      </c>
      <c r="B840" t="s">
        <v>522</v>
      </c>
      <c r="C840" t="s">
        <v>48</v>
      </c>
      <c r="D840" t="s">
        <v>548</v>
      </c>
      <c r="E840">
        <f t="shared" si="29"/>
        <v>1.1904761904761904E-2</v>
      </c>
      <c r="F840">
        <v>3</v>
      </c>
      <c r="G840">
        <f>LOG(382/(3+1))</f>
        <v>1.9800033715837464</v>
      </c>
      <c r="H840">
        <f>0.0119047619047619*4.55912624748668</f>
        <v>5.4275312470079502E-2</v>
      </c>
      <c r="I840">
        <v>5.4275312470079572E-2</v>
      </c>
    </row>
    <row r="841" spans="1:9" x14ac:dyDescent="0.25">
      <c r="A841">
        <v>226</v>
      </c>
      <c r="B841" t="s">
        <v>522</v>
      </c>
      <c r="C841" t="s">
        <v>48</v>
      </c>
      <c r="D841" t="s">
        <v>549</v>
      </c>
      <c r="E841">
        <f t="shared" si="29"/>
        <v>1.1904761904761904E-2</v>
      </c>
      <c r="F841">
        <v>1</v>
      </c>
      <c r="G841">
        <f>LOG(382/(1+1))</f>
        <v>2.2810333672477277</v>
      </c>
      <c r="H841">
        <f>0.0119047619047619*5.25227342804663</f>
        <v>6.252706461960271E-2</v>
      </c>
      <c r="I841">
        <v>6.2527064619602737E-2</v>
      </c>
    </row>
    <row r="842" spans="1:9" x14ac:dyDescent="0.25">
      <c r="A842">
        <v>226</v>
      </c>
      <c r="B842" t="s">
        <v>522</v>
      </c>
      <c r="C842" t="s">
        <v>48</v>
      </c>
      <c r="D842" t="s">
        <v>550</v>
      </c>
      <c r="E842">
        <f t="shared" si="29"/>
        <v>1.1904761904761904E-2</v>
      </c>
      <c r="F842">
        <v>1</v>
      </c>
      <c r="G842">
        <f>LOG(382/(1+1))</f>
        <v>2.2810333672477277</v>
      </c>
      <c r="H842">
        <f>0.0119047619047619*5.25227342804663</f>
        <v>6.252706461960271E-2</v>
      </c>
      <c r="I842">
        <v>6.2527064619602737E-2</v>
      </c>
    </row>
    <row r="843" spans="1:9" x14ac:dyDescent="0.25">
      <c r="A843">
        <v>226</v>
      </c>
      <c r="B843" t="s">
        <v>522</v>
      </c>
      <c r="C843" t="s">
        <v>48</v>
      </c>
      <c r="D843" t="s">
        <v>551</v>
      </c>
      <c r="E843">
        <f t="shared" si="29"/>
        <v>1.1904761904761904E-2</v>
      </c>
      <c r="F843">
        <v>1</v>
      </c>
      <c r="G843">
        <f>LOG(382/(1+1))</f>
        <v>2.2810333672477277</v>
      </c>
      <c r="H843">
        <f>0.0119047619047619*5.25227342804663</f>
        <v>6.252706461960271E-2</v>
      </c>
      <c r="I843">
        <v>6.2527064619602737E-2</v>
      </c>
    </row>
    <row r="844" spans="1:9" x14ac:dyDescent="0.25">
      <c r="A844">
        <v>226</v>
      </c>
      <c r="B844" t="s">
        <v>522</v>
      </c>
      <c r="C844" t="s">
        <v>48</v>
      </c>
      <c r="D844" t="s">
        <v>201</v>
      </c>
      <c r="E844">
        <f t="shared" si="29"/>
        <v>1.1904761904761904E-2</v>
      </c>
      <c r="F844">
        <v>72</v>
      </c>
      <c r="G844">
        <f>LOG(382/(72+1))</f>
        <v>0.71874050279125279</v>
      </c>
      <c r="H844">
        <f>0.0119047619047619*1.65496116745818</f>
        <v>1.9701918660216422E-2</v>
      </c>
      <c r="I844">
        <v>1.9701918660216471E-2</v>
      </c>
    </row>
    <row r="845" spans="1:9" x14ac:dyDescent="0.25">
      <c r="A845">
        <v>226</v>
      </c>
      <c r="B845" t="s">
        <v>522</v>
      </c>
      <c r="C845" t="s">
        <v>48</v>
      </c>
      <c r="D845" t="s">
        <v>552</v>
      </c>
      <c r="E845">
        <f t="shared" si="29"/>
        <v>1.1904761904761904E-2</v>
      </c>
      <c r="F845">
        <v>14</v>
      </c>
      <c r="G845">
        <f>LOG(382/(14+1))</f>
        <v>1.4059721038560276</v>
      </c>
      <c r="H845">
        <f>0.0119047619047619*3.23737040750436</f>
        <v>3.8540123898861411E-2</v>
      </c>
      <c r="I845">
        <v>3.8540123898861488E-2</v>
      </c>
    </row>
    <row r="846" spans="1:9" x14ac:dyDescent="0.25">
      <c r="A846">
        <v>226</v>
      </c>
      <c r="B846" t="s">
        <v>522</v>
      </c>
      <c r="C846" t="s">
        <v>48</v>
      </c>
      <c r="D846" t="s">
        <v>485</v>
      </c>
      <c r="E846">
        <f t="shared" si="29"/>
        <v>1.1904761904761904E-2</v>
      </c>
      <c r="F846">
        <v>74</v>
      </c>
      <c r="G846">
        <f>LOG(382/(74+1))</f>
        <v>0.7070020995200087</v>
      </c>
      <c r="H846">
        <f>0.0119047619047619*1.62793249507026</f>
        <v>1.9380148750836424E-2</v>
      </c>
      <c r="I846">
        <v>1.938014875083648E-2</v>
      </c>
    </row>
    <row r="847" spans="1:9" x14ac:dyDescent="0.25">
      <c r="A847">
        <v>226</v>
      </c>
      <c r="B847" t="s">
        <v>522</v>
      </c>
      <c r="C847" t="s">
        <v>48</v>
      </c>
      <c r="D847" t="s">
        <v>553</v>
      </c>
      <c r="E847">
        <f t="shared" si="29"/>
        <v>1.1904761904761904E-2</v>
      </c>
      <c r="F847">
        <v>2</v>
      </c>
      <c r="G847">
        <f>LOG(382/(2+1))</f>
        <v>2.1049421081920463</v>
      </c>
      <c r="H847">
        <f>0.0119047619047619*4.84680831993846</f>
        <v>5.7700099046886409E-2</v>
      </c>
      <c r="I847">
        <v>5.7700099046886492E-2</v>
      </c>
    </row>
    <row r="848" spans="1:9" x14ac:dyDescent="0.25">
      <c r="A848">
        <v>226</v>
      </c>
      <c r="B848" t="s">
        <v>522</v>
      </c>
      <c r="C848" t="s">
        <v>48</v>
      </c>
      <c r="D848" t="s">
        <v>554</v>
      </c>
      <c r="E848">
        <f t="shared" si="29"/>
        <v>1.1904761904761904E-2</v>
      </c>
      <c r="F848">
        <v>2</v>
      </c>
      <c r="G848">
        <f>LOG(382/(2+1))</f>
        <v>2.1049421081920463</v>
      </c>
      <c r="H848">
        <f>0.0119047619047619*4.84680831993846</f>
        <v>5.7700099046886409E-2</v>
      </c>
      <c r="I848">
        <v>5.7700099046886492E-2</v>
      </c>
    </row>
    <row r="849" spans="1:9" x14ac:dyDescent="0.25">
      <c r="A849">
        <v>226</v>
      </c>
      <c r="B849" t="s">
        <v>522</v>
      </c>
      <c r="C849" t="s">
        <v>48</v>
      </c>
      <c r="D849" t="s">
        <v>555</v>
      </c>
      <c r="E849">
        <f t="shared" si="29"/>
        <v>1.1904761904761904E-2</v>
      </c>
      <c r="F849">
        <v>1</v>
      </c>
      <c r="G849">
        <f>LOG(382/(1+1))</f>
        <v>2.2810333672477277</v>
      </c>
      <c r="H849">
        <f>0.0119047619047619*5.25227342804663</f>
        <v>6.252706461960271E-2</v>
      </c>
      <c r="I849">
        <v>6.2527064619602737E-2</v>
      </c>
    </row>
    <row r="850" spans="1:9" x14ac:dyDescent="0.25">
      <c r="A850">
        <v>226</v>
      </c>
      <c r="B850" t="s">
        <v>522</v>
      </c>
      <c r="C850" t="s">
        <v>48</v>
      </c>
      <c r="D850" t="s">
        <v>556</v>
      </c>
      <c r="E850">
        <f t="shared" si="29"/>
        <v>1.1904761904761904E-2</v>
      </c>
      <c r="F850">
        <v>1</v>
      </c>
      <c r="G850">
        <f>LOG(382/(1+1))</f>
        <v>2.2810333672477277</v>
      </c>
      <c r="H850">
        <f>0.0119047619047619*5.25227342804663</f>
        <v>6.252706461960271E-2</v>
      </c>
      <c r="I850">
        <v>6.2527064619602737E-2</v>
      </c>
    </row>
    <row r="851" spans="1:9" x14ac:dyDescent="0.25">
      <c r="A851">
        <v>226</v>
      </c>
      <c r="B851" t="s">
        <v>522</v>
      </c>
      <c r="C851" t="s">
        <v>48</v>
      </c>
      <c r="D851" t="s">
        <v>24</v>
      </c>
      <c r="E851">
        <f t="shared" si="29"/>
        <v>1.1904761904761904E-2</v>
      </c>
      <c r="F851">
        <v>59</v>
      </c>
      <c r="G851">
        <f>LOG(382/(59+1))</f>
        <v>0.80391211252806505</v>
      </c>
      <c r="H851">
        <f>0.0119047619047619*1.85107604638447</f>
        <v>2.2036619599815111E-2</v>
      </c>
      <c r="I851">
        <v>2.203661959981517E-2</v>
      </c>
    </row>
    <row r="852" spans="1:9" x14ac:dyDescent="0.25">
      <c r="A852">
        <v>226</v>
      </c>
      <c r="B852" t="s">
        <v>522</v>
      </c>
      <c r="C852" t="s">
        <v>48</v>
      </c>
      <c r="D852" t="s">
        <v>557</v>
      </c>
      <c r="E852">
        <f t="shared" si="29"/>
        <v>1.1904761904761904E-2</v>
      </c>
      <c r="F852">
        <v>2</v>
      </c>
      <c r="G852">
        <f>LOG(382/(2+1))</f>
        <v>2.1049421081920463</v>
      </c>
      <c r="H852">
        <f>0.0119047619047619*4.84680831993846</f>
        <v>5.7700099046886409E-2</v>
      </c>
      <c r="I852">
        <v>5.7700099046886492E-2</v>
      </c>
    </row>
    <row r="853" spans="1:9" x14ac:dyDescent="0.25">
      <c r="A853">
        <v>226</v>
      </c>
      <c r="B853" t="s">
        <v>522</v>
      </c>
      <c r="C853" t="s">
        <v>48</v>
      </c>
      <c r="D853" t="s">
        <v>478</v>
      </c>
      <c r="E853">
        <f t="shared" si="29"/>
        <v>1.1904761904761904E-2</v>
      </c>
      <c r="F853">
        <v>2</v>
      </c>
      <c r="G853">
        <f>LOG(382/(2+1))</f>
        <v>2.1049421081920463</v>
      </c>
      <c r="H853">
        <f>0.0119047619047619*4.84680831993846</f>
        <v>5.7700099046886409E-2</v>
      </c>
      <c r="I853">
        <v>5.7700099046886492E-2</v>
      </c>
    </row>
    <row r="854" spans="1:9" x14ac:dyDescent="0.25">
      <c r="A854">
        <v>226</v>
      </c>
      <c r="B854" t="s">
        <v>522</v>
      </c>
      <c r="C854" t="s">
        <v>48</v>
      </c>
      <c r="D854" t="s">
        <v>198</v>
      </c>
      <c r="E854">
        <f>2/84</f>
        <v>2.3809523809523808E-2</v>
      </c>
      <c r="F854">
        <v>11</v>
      </c>
      <c r="G854">
        <f>LOG(382/(11+1))</f>
        <v>1.5028821168640838</v>
      </c>
      <c r="H854">
        <f>0.0238095238095238*3.46051395881857</f>
        <v>8.2393189495680211E-2</v>
      </c>
      <c r="I854">
        <v>8.239318949568035E-2</v>
      </c>
    </row>
    <row r="855" spans="1:9" x14ac:dyDescent="0.25">
      <c r="A855">
        <v>226</v>
      </c>
      <c r="B855" t="s">
        <v>522</v>
      </c>
      <c r="C855" t="s">
        <v>48</v>
      </c>
      <c r="D855" t="s">
        <v>558</v>
      </c>
      <c r="E855">
        <f t="shared" ref="E855:E866" si="30">1/84</f>
        <v>1.1904761904761904E-2</v>
      </c>
      <c r="F855">
        <v>2</v>
      </c>
      <c r="G855">
        <f>LOG(382/(2+1))</f>
        <v>2.1049421081920463</v>
      </c>
      <c r="H855">
        <f>0.0119047619047619*4.84680831993846</f>
        <v>5.7700099046886409E-2</v>
      </c>
      <c r="I855">
        <v>5.7700099046886492E-2</v>
      </c>
    </row>
    <row r="856" spans="1:9" x14ac:dyDescent="0.25">
      <c r="A856">
        <v>226</v>
      </c>
      <c r="B856" t="s">
        <v>522</v>
      </c>
      <c r="C856" t="s">
        <v>48</v>
      </c>
      <c r="D856" t="s">
        <v>313</v>
      </c>
      <c r="E856">
        <f t="shared" si="30"/>
        <v>1.1904761904761904E-2</v>
      </c>
      <c r="F856">
        <v>13</v>
      </c>
      <c r="G856">
        <f>LOG(382/(13+1))</f>
        <v>1.4359353272334707</v>
      </c>
      <c r="H856">
        <f>0.0119047619047619*3.30636327899131</f>
        <v>3.9361467607039395E-2</v>
      </c>
      <c r="I856">
        <v>3.9361467607039478E-2</v>
      </c>
    </row>
    <row r="857" spans="1:9" x14ac:dyDescent="0.25">
      <c r="A857">
        <v>226</v>
      </c>
      <c r="B857" t="s">
        <v>522</v>
      </c>
      <c r="C857" t="s">
        <v>48</v>
      </c>
      <c r="D857" t="s">
        <v>559</v>
      </c>
      <c r="E857">
        <f t="shared" si="30"/>
        <v>1.1904761904761904E-2</v>
      </c>
      <c r="F857">
        <v>1</v>
      </c>
      <c r="G857">
        <f>LOG(382/(1+1))</f>
        <v>2.2810333672477277</v>
      </c>
      <c r="H857">
        <f>0.0119047619047619*5.25227342804663</f>
        <v>6.252706461960271E-2</v>
      </c>
      <c r="I857">
        <v>6.2527064619602737E-2</v>
      </c>
    </row>
    <row r="858" spans="1:9" x14ac:dyDescent="0.25">
      <c r="A858">
        <v>226</v>
      </c>
      <c r="B858" t="s">
        <v>522</v>
      </c>
      <c r="C858" t="s">
        <v>48</v>
      </c>
      <c r="D858" t="s">
        <v>560</v>
      </c>
      <c r="E858">
        <f t="shared" si="30"/>
        <v>1.1904761904761904E-2</v>
      </c>
      <c r="F858">
        <v>1</v>
      </c>
      <c r="G858">
        <f>LOG(382/(1+1))</f>
        <v>2.2810333672477277</v>
      </c>
      <c r="H858">
        <f>0.0119047619047619*5.25227342804663</f>
        <v>6.252706461960271E-2</v>
      </c>
      <c r="I858">
        <v>6.2527064619602737E-2</v>
      </c>
    </row>
    <row r="859" spans="1:9" x14ac:dyDescent="0.25">
      <c r="A859">
        <v>226</v>
      </c>
      <c r="B859" t="s">
        <v>522</v>
      </c>
      <c r="C859" t="s">
        <v>48</v>
      </c>
      <c r="D859" t="s">
        <v>561</v>
      </c>
      <c r="E859">
        <f t="shared" si="30"/>
        <v>1.1904761904761904E-2</v>
      </c>
      <c r="F859">
        <v>1</v>
      </c>
      <c r="G859">
        <f>LOG(382/(1+1))</f>
        <v>2.2810333672477277</v>
      </c>
      <c r="H859">
        <f>0.0119047619047619*5.25227342804663</f>
        <v>6.252706461960271E-2</v>
      </c>
      <c r="I859">
        <v>6.2527064619602737E-2</v>
      </c>
    </row>
    <row r="860" spans="1:9" x14ac:dyDescent="0.25">
      <c r="A860">
        <v>226</v>
      </c>
      <c r="B860" t="s">
        <v>522</v>
      </c>
      <c r="C860" t="s">
        <v>48</v>
      </c>
      <c r="D860" t="s">
        <v>562</v>
      </c>
      <c r="E860">
        <f t="shared" si="30"/>
        <v>1.1904761904761904E-2</v>
      </c>
      <c r="F860">
        <v>1</v>
      </c>
      <c r="G860">
        <f>LOG(382/(1+1))</f>
        <v>2.2810333672477277</v>
      </c>
      <c r="H860">
        <f>0.0119047619047619*5.25227342804663</f>
        <v>6.252706461960271E-2</v>
      </c>
      <c r="I860">
        <v>6.2527064619602737E-2</v>
      </c>
    </row>
    <row r="861" spans="1:9" x14ac:dyDescent="0.25">
      <c r="A861">
        <v>226</v>
      </c>
      <c r="B861" t="s">
        <v>522</v>
      </c>
      <c r="C861" t="s">
        <v>48</v>
      </c>
      <c r="D861" t="s">
        <v>563</v>
      </c>
      <c r="E861">
        <f t="shared" si="30"/>
        <v>1.1904761904761904E-2</v>
      </c>
      <c r="F861">
        <v>1</v>
      </c>
      <c r="G861">
        <f>LOG(382/(1+1))</f>
        <v>2.2810333672477277</v>
      </c>
      <c r="H861">
        <f>0.0119047619047619*5.25227342804663</f>
        <v>6.252706461960271E-2</v>
      </c>
      <c r="I861">
        <v>6.2527064619602737E-2</v>
      </c>
    </row>
    <row r="862" spans="1:9" x14ac:dyDescent="0.25">
      <c r="A862">
        <v>226</v>
      </c>
      <c r="B862" t="s">
        <v>522</v>
      </c>
      <c r="C862" t="s">
        <v>48</v>
      </c>
      <c r="D862" t="s">
        <v>564</v>
      </c>
      <c r="E862">
        <f t="shared" si="30"/>
        <v>1.1904761904761904E-2</v>
      </c>
      <c r="F862">
        <v>7</v>
      </c>
      <c r="G862">
        <f>LOG(382/(7+1))</f>
        <v>1.6789733759197651</v>
      </c>
      <c r="H862">
        <f>0.0119047619047619*3.86597906692673</f>
        <v>4.6023560320556295E-2</v>
      </c>
      <c r="I862">
        <v>4.6023560320556413E-2</v>
      </c>
    </row>
    <row r="863" spans="1:9" x14ac:dyDescent="0.25">
      <c r="A863">
        <v>226</v>
      </c>
      <c r="B863" t="s">
        <v>522</v>
      </c>
      <c r="C863" t="s">
        <v>48</v>
      </c>
      <c r="D863" t="s">
        <v>565</v>
      </c>
      <c r="E863">
        <f t="shared" si="30"/>
        <v>1.1904761904761904E-2</v>
      </c>
      <c r="F863">
        <v>5</v>
      </c>
      <c r="G863">
        <f>LOG(382/(5+1))</f>
        <v>1.803912112528065</v>
      </c>
      <c r="H863">
        <f>0.0119047619047619*4.15366113937852</f>
        <v>4.9448346897363313E-2</v>
      </c>
      <c r="I863">
        <v>4.9448346897363327E-2</v>
      </c>
    </row>
    <row r="864" spans="1:9" x14ac:dyDescent="0.25">
      <c r="A864">
        <v>226</v>
      </c>
      <c r="B864" t="s">
        <v>522</v>
      </c>
      <c r="C864" t="s">
        <v>48</v>
      </c>
      <c r="D864" t="s">
        <v>566</v>
      </c>
      <c r="E864">
        <f t="shared" si="30"/>
        <v>1.1904761904761904E-2</v>
      </c>
      <c r="F864">
        <v>8</v>
      </c>
      <c r="G864">
        <f>LOG(382/(8+1))</f>
        <v>1.6278208534723839</v>
      </c>
      <c r="H864">
        <f>0.0119047619047619*3.74819603127035</f>
        <v>4.4621381324647005E-2</v>
      </c>
      <c r="I864">
        <v>4.4621381324647089E-2</v>
      </c>
    </row>
    <row r="865" spans="1:9" x14ac:dyDescent="0.25">
      <c r="A865">
        <v>226</v>
      </c>
      <c r="B865" t="s">
        <v>522</v>
      </c>
      <c r="C865" t="s">
        <v>48</v>
      </c>
      <c r="D865" t="s">
        <v>567</v>
      </c>
      <c r="E865">
        <f t="shared" si="30"/>
        <v>1.1904761904761904E-2</v>
      </c>
      <c r="F865">
        <v>4</v>
      </c>
      <c r="G865">
        <f>LOG(382/(4+1))</f>
        <v>1.8830933585756899</v>
      </c>
      <c r="H865">
        <f>0.0119047619047619*4.33598269617247</f>
        <v>5.1618841621100822E-2</v>
      </c>
      <c r="I865">
        <v>5.1618841621100878E-2</v>
      </c>
    </row>
    <row r="866" spans="1:9" x14ac:dyDescent="0.25">
      <c r="A866">
        <v>226</v>
      </c>
      <c r="B866" t="s">
        <v>522</v>
      </c>
      <c r="C866" t="s">
        <v>48</v>
      </c>
      <c r="D866" t="s">
        <v>568</v>
      </c>
      <c r="E866">
        <f t="shared" si="30"/>
        <v>1.1904761904761904E-2</v>
      </c>
      <c r="F866">
        <v>4</v>
      </c>
      <c r="G866">
        <f>LOG(382/(4+1))</f>
        <v>1.8830933585756899</v>
      </c>
      <c r="H866">
        <f>0.0119047619047619*4.33598269617247</f>
        <v>5.1618841621100822E-2</v>
      </c>
      <c r="I866">
        <v>5.1618841621100878E-2</v>
      </c>
    </row>
    <row r="867" spans="1:9" x14ac:dyDescent="0.25">
      <c r="A867">
        <v>228</v>
      </c>
      <c r="B867" t="s">
        <v>569</v>
      </c>
      <c r="C867" t="s">
        <v>48</v>
      </c>
      <c r="D867" t="s">
        <v>570</v>
      </c>
      <c r="E867">
        <f>3/85</f>
        <v>3.5294117647058823E-2</v>
      </c>
      <c r="F867">
        <v>27</v>
      </c>
      <c r="G867">
        <f>LOG(382/(27+1))</f>
        <v>1.1349053315694895</v>
      </c>
      <c r="H867">
        <f>0.0352941176470588*2.61321609843137</f>
        <v>9.223115641522478E-2</v>
      </c>
      <c r="I867">
        <v>9.2231156415224863E-2</v>
      </c>
    </row>
    <row r="868" spans="1:9" x14ac:dyDescent="0.25">
      <c r="A868">
        <v>228</v>
      </c>
      <c r="B868" t="s">
        <v>569</v>
      </c>
      <c r="C868" t="s">
        <v>48</v>
      </c>
      <c r="D868" t="s">
        <v>39</v>
      </c>
      <c r="E868">
        <f>3/85</f>
        <v>3.5294117647058823E-2</v>
      </c>
      <c r="F868">
        <v>145</v>
      </c>
      <c r="G868">
        <f>LOG(382/(145+1))</f>
        <v>0.41771050712727159</v>
      </c>
      <c r="H868">
        <f>0.0352941176470588*0.961813986898238</f>
        <v>3.3946376008173088E-2</v>
      </c>
      <c r="I868">
        <v>3.3946376008173129E-2</v>
      </c>
    </row>
    <row r="869" spans="1:9" x14ac:dyDescent="0.25">
      <c r="A869">
        <v>228</v>
      </c>
      <c r="B869" t="s">
        <v>569</v>
      </c>
      <c r="C869" t="s">
        <v>48</v>
      </c>
      <c r="D869" t="s">
        <v>571</v>
      </c>
      <c r="E869">
        <f>3/85</f>
        <v>3.5294117647058823E-2</v>
      </c>
      <c r="F869">
        <v>1</v>
      </c>
      <c r="G869">
        <f>LOG(382/(1+1))</f>
        <v>2.2810333672477277</v>
      </c>
      <c r="H869">
        <f>0.0352941176470588*5.25227342804663</f>
        <v>0.18537435628399859</v>
      </c>
      <c r="I869">
        <v>0.1853743562839987</v>
      </c>
    </row>
    <row r="870" spans="1:9" x14ac:dyDescent="0.25">
      <c r="A870">
        <v>228</v>
      </c>
      <c r="B870" t="s">
        <v>569</v>
      </c>
      <c r="C870" t="s">
        <v>48</v>
      </c>
      <c r="D870" t="s">
        <v>572</v>
      </c>
      <c r="E870">
        <f>3/85</f>
        <v>3.5294117647058823E-2</v>
      </c>
      <c r="F870">
        <v>1</v>
      </c>
      <c r="G870">
        <f>LOG(382/(1+1))</f>
        <v>2.2810333672477277</v>
      </c>
      <c r="H870">
        <f>0.0352941176470588*5.25227342804663</f>
        <v>0.18537435628399859</v>
      </c>
      <c r="I870">
        <v>0.1853743562839987</v>
      </c>
    </row>
    <row r="871" spans="1:9" x14ac:dyDescent="0.25">
      <c r="A871">
        <v>228</v>
      </c>
      <c r="B871" t="s">
        <v>569</v>
      </c>
      <c r="C871" t="s">
        <v>48</v>
      </c>
      <c r="D871" t="s">
        <v>42</v>
      </c>
      <c r="E871">
        <f>1/85</f>
        <v>1.1764705882352941E-2</v>
      </c>
      <c r="F871">
        <v>251</v>
      </c>
      <c r="G871">
        <f>LOG(382/(251+1))</f>
        <v>0.18066282213016463</v>
      </c>
      <c r="H871">
        <f>0.0117647058823529*0.415991521095151</f>
        <v>4.8940178952370525E-3</v>
      </c>
      <c r="I871">
        <v>4.8940178952370803E-3</v>
      </c>
    </row>
    <row r="872" spans="1:9" x14ac:dyDescent="0.25">
      <c r="A872">
        <v>228</v>
      </c>
      <c r="B872" t="s">
        <v>569</v>
      </c>
      <c r="C872" t="s">
        <v>48</v>
      </c>
      <c r="D872" t="s">
        <v>573</v>
      </c>
      <c r="E872">
        <f>2/85</f>
        <v>2.3529411764705882E-2</v>
      </c>
      <c r="F872">
        <v>14</v>
      </c>
      <c r="G872">
        <f>LOG(382/(14+1))</f>
        <v>1.4059721038560276</v>
      </c>
      <c r="H872">
        <f>0.0235294117647058*3.23737040750436</f>
        <v>7.6173421353043488E-2</v>
      </c>
      <c r="I872">
        <v>7.6173421353043891E-2</v>
      </c>
    </row>
    <row r="873" spans="1:9" x14ac:dyDescent="0.25">
      <c r="A873">
        <v>228</v>
      </c>
      <c r="B873" t="s">
        <v>569</v>
      </c>
      <c r="C873" t="s">
        <v>48</v>
      </c>
      <c r="D873" t="s">
        <v>574</v>
      </c>
      <c r="E873">
        <f>2/85</f>
        <v>2.3529411764705882E-2</v>
      </c>
      <c r="F873">
        <v>3</v>
      </c>
      <c r="G873">
        <f>LOG(382/(3+1))</f>
        <v>1.9800033715837464</v>
      </c>
      <c r="H873">
        <f>0.0235294117647058*4.55912624748668</f>
        <v>0.1072735587643921</v>
      </c>
      <c r="I873">
        <v>0.1072735587643926</v>
      </c>
    </row>
    <row r="874" spans="1:9" x14ac:dyDescent="0.25">
      <c r="A874">
        <v>228</v>
      </c>
      <c r="B874" t="s">
        <v>569</v>
      </c>
      <c r="C874" t="s">
        <v>48</v>
      </c>
      <c r="D874" t="s">
        <v>575</v>
      </c>
      <c r="E874">
        <f>1/85</f>
        <v>1.1764705882352941E-2</v>
      </c>
      <c r="F874">
        <v>3</v>
      </c>
      <c r="G874">
        <f>LOG(382/(3+1))</f>
        <v>1.9800033715837464</v>
      </c>
      <c r="H874">
        <f>0.0117647058823529*4.55912624748668</f>
        <v>5.3636779382196048E-2</v>
      </c>
      <c r="I874">
        <v>5.3636779382196277E-2</v>
      </c>
    </row>
    <row r="875" spans="1:9" x14ac:dyDescent="0.25">
      <c r="A875">
        <v>228</v>
      </c>
      <c r="B875" t="s">
        <v>569</v>
      </c>
      <c r="C875" t="s">
        <v>48</v>
      </c>
      <c r="D875" t="s">
        <v>44</v>
      </c>
      <c r="E875">
        <f>2/85</f>
        <v>2.3529411764705882E-2</v>
      </c>
      <c r="F875">
        <v>151</v>
      </c>
      <c r="G875">
        <f>LOG(382/(151+1))</f>
        <v>0.40021977496693617</v>
      </c>
      <c r="H875">
        <f>0.0235294117647058*0.921540087760298</f>
        <v>2.1683296182595173E-2</v>
      </c>
      <c r="I875">
        <v>2.168329618259526E-2</v>
      </c>
    </row>
    <row r="876" spans="1:9" x14ac:dyDescent="0.25">
      <c r="A876">
        <v>228</v>
      </c>
      <c r="B876" t="s">
        <v>569</v>
      </c>
      <c r="C876" t="s">
        <v>48</v>
      </c>
      <c r="D876" t="s">
        <v>22</v>
      </c>
      <c r="E876">
        <f>1/85</f>
        <v>1.1764705882352941E-2</v>
      </c>
      <c r="F876">
        <v>259</v>
      </c>
      <c r="G876">
        <f>LOG(382/(259+1))</f>
        <v>0.16709001494089079</v>
      </c>
      <c r="H876">
        <f>0.0117647058823529*0.384738977591047</f>
        <v>4.5263409128358315E-3</v>
      </c>
      <c r="I876">
        <v>4.5263409128358531E-3</v>
      </c>
    </row>
    <row r="877" spans="1:9" x14ac:dyDescent="0.25">
      <c r="A877">
        <v>228</v>
      </c>
      <c r="B877" t="s">
        <v>569</v>
      </c>
      <c r="C877" t="s">
        <v>48</v>
      </c>
      <c r="D877" t="s">
        <v>23</v>
      </c>
      <c r="E877">
        <f>1/85</f>
        <v>1.1764705882352941E-2</v>
      </c>
      <c r="F877">
        <v>275</v>
      </c>
      <c r="G877">
        <f>LOG(382/(275+1))</f>
        <v>0.14115428084649101</v>
      </c>
      <c r="H877">
        <f>0.0117647058823529*0.325019742889425</f>
        <v>3.8237616810520448E-3</v>
      </c>
      <c r="I877">
        <v>3.82376168105206E-3</v>
      </c>
    </row>
    <row r="878" spans="1:9" x14ac:dyDescent="0.25">
      <c r="A878">
        <v>228</v>
      </c>
      <c r="B878" t="s">
        <v>569</v>
      </c>
      <c r="C878" t="s">
        <v>48</v>
      </c>
      <c r="D878" t="s">
        <v>105</v>
      </c>
      <c r="E878">
        <f>1/85</f>
        <v>1.1764705882352941E-2</v>
      </c>
      <c r="F878">
        <v>122</v>
      </c>
      <c r="G878">
        <f>LOG(382/(122+1))</f>
        <v>0.49215825147231079</v>
      </c>
      <c r="H878">
        <f>0.0117647058823529*1.13323625323415</f>
        <v>1.3332191214519364E-2</v>
      </c>
      <c r="I878">
        <v>1.33321912145195E-2</v>
      </c>
    </row>
    <row r="879" spans="1:9" x14ac:dyDescent="0.25">
      <c r="A879">
        <v>228</v>
      </c>
      <c r="B879" t="s">
        <v>569</v>
      </c>
      <c r="C879" t="s">
        <v>48</v>
      </c>
      <c r="D879" t="s">
        <v>106</v>
      </c>
      <c r="E879">
        <f>4/85</f>
        <v>4.7058823529411764E-2</v>
      </c>
      <c r="F879">
        <v>17</v>
      </c>
      <c r="G879">
        <f>LOG(382/(17+1))</f>
        <v>1.3267908578084027</v>
      </c>
      <c r="H879">
        <f>0.0470588235294117*3.05504885071041</f>
        <v>0.14376700473931323</v>
      </c>
      <c r="I879">
        <v>0.14376700473931339</v>
      </c>
    </row>
    <row r="880" spans="1:9" x14ac:dyDescent="0.25">
      <c r="A880">
        <v>228</v>
      </c>
      <c r="B880" t="s">
        <v>569</v>
      </c>
      <c r="C880" t="s">
        <v>48</v>
      </c>
      <c r="D880" t="s">
        <v>576</v>
      </c>
      <c r="E880">
        <f>2/85</f>
        <v>2.3529411764705882E-2</v>
      </c>
      <c r="F880">
        <v>5</v>
      </c>
      <c r="G880">
        <f>LOG(382/(5+1))</f>
        <v>1.803912112528065</v>
      </c>
      <c r="H880">
        <f>0.0235294117647058*4.15366113937852</f>
        <v>9.7733203279494238E-2</v>
      </c>
      <c r="I880">
        <v>9.7733203279494585E-2</v>
      </c>
    </row>
    <row r="881" spans="1:9" x14ac:dyDescent="0.25">
      <c r="A881">
        <v>228</v>
      </c>
      <c r="B881" t="s">
        <v>569</v>
      </c>
      <c r="C881" t="s">
        <v>48</v>
      </c>
      <c r="D881" t="s">
        <v>577</v>
      </c>
      <c r="E881">
        <f>2/85</f>
        <v>2.3529411764705882E-2</v>
      </c>
      <c r="F881">
        <v>4</v>
      </c>
      <c r="G881">
        <f>LOG(382/(4+1))</f>
        <v>1.8830933585756899</v>
      </c>
      <c r="H881">
        <f>0.0235294117647058*4.33598269617247</f>
        <v>0.10202312226288129</v>
      </c>
      <c r="I881">
        <v>0.10202312226288179</v>
      </c>
    </row>
    <row r="882" spans="1:9" x14ac:dyDescent="0.25">
      <c r="A882">
        <v>228</v>
      </c>
      <c r="B882" t="s">
        <v>569</v>
      </c>
      <c r="C882" t="s">
        <v>48</v>
      </c>
      <c r="D882" t="s">
        <v>578</v>
      </c>
      <c r="E882">
        <f>1/85</f>
        <v>1.1764705882352941E-2</v>
      </c>
      <c r="F882">
        <v>4</v>
      </c>
      <c r="G882">
        <f>LOG(382/(4+1))</f>
        <v>1.8830933585756899</v>
      </c>
      <c r="H882">
        <f>0.0117647058823529*4.33598269617247</f>
        <v>5.1011561131440647E-2</v>
      </c>
      <c r="I882">
        <v>5.1011561131440883E-2</v>
      </c>
    </row>
    <row r="883" spans="1:9" x14ac:dyDescent="0.25">
      <c r="A883">
        <v>228</v>
      </c>
      <c r="B883" t="s">
        <v>569</v>
      </c>
      <c r="C883" t="s">
        <v>48</v>
      </c>
      <c r="D883" t="s">
        <v>579</v>
      </c>
      <c r="E883">
        <f>1/85</f>
        <v>1.1764705882352941E-2</v>
      </c>
      <c r="F883">
        <v>2</v>
      </c>
      <c r="G883">
        <f>LOG(382/(2+1))</f>
        <v>2.1049421081920463</v>
      </c>
      <c r="H883">
        <f>0.0117647058823529*4.84680831993846</f>
        <v>5.7021274352216975E-2</v>
      </c>
      <c r="I883">
        <v>5.7021274352217238E-2</v>
      </c>
    </row>
    <row r="884" spans="1:9" x14ac:dyDescent="0.25">
      <c r="A884">
        <v>228</v>
      </c>
      <c r="B884" t="s">
        <v>569</v>
      </c>
      <c r="C884" t="s">
        <v>48</v>
      </c>
      <c r="D884" t="s">
        <v>28</v>
      </c>
      <c r="E884">
        <f>2/85</f>
        <v>2.3529411764705882E-2</v>
      </c>
      <c r="F884">
        <v>35</v>
      </c>
      <c r="G884">
        <f>LOG(382/(35+1))</f>
        <v>1.0257608621444214</v>
      </c>
      <c r="H884">
        <f>0.0235294117647058*2.36190167015046</f>
        <v>5.5574156944716506E-2</v>
      </c>
      <c r="I884">
        <v>5.5574156944716818E-2</v>
      </c>
    </row>
    <row r="885" spans="1:9" x14ac:dyDescent="0.25">
      <c r="A885">
        <v>228</v>
      </c>
      <c r="B885" t="s">
        <v>569</v>
      </c>
      <c r="C885" t="s">
        <v>48</v>
      </c>
      <c r="D885" t="s">
        <v>580</v>
      </c>
      <c r="E885">
        <f>1/85</f>
        <v>1.1764705882352941E-2</v>
      </c>
      <c r="F885">
        <v>17</v>
      </c>
      <c r="G885">
        <f>LOG(382/(17+1))</f>
        <v>1.3267908578084027</v>
      </c>
      <c r="H885">
        <f>0.0117647058823529*3.05504885071041</f>
        <v>3.5941751184828223E-2</v>
      </c>
      <c r="I885">
        <v>3.5941751184828348E-2</v>
      </c>
    </row>
    <row r="886" spans="1:9" x14ac:dyDescent="0.25">
      <c r="A886">
        <v>228</v>
      </c>
      <c r="B886" t="s">
        <v>569</v>
      </c>
      <c r="C886" t="s">
        <v>48</v>
      </c>
      <c r="D886" t="s">
        <v>581</v>
      </c>
      <c r="E886">
        <f>1/85</f>
        <v>1.1764705882352941E-2</v>
      </c>
      <c r="F886">
        <v>1</v>
      </c>
      <c r="G886">
        <f>LOG(382/(1+1))</f>
        <v>2.2810333672477277</v>
      </c>
      <c r="H886">
        <f>0.0117647058823529*5.25227342804663</f>
        <v>6.1791452094666015E-2</v>
      </c>
      <c r="I886">
        <v>6.179145209466623E-2</v>
      </c>
    </row>
    <row r="887" spans="1:9" x14ac:dyDescent="0.25">
      <c r="A887">
        <v>228</v>
      </c>
      <c r="B887" t="s">
        <v>569</v>
      </c>
      <c r="C887" t="s">
        <v>48</v>
      </c>
      <c r="D887" t="s">
        <v>582</v>
      </c>
      <c r="E887">
        <f>2/85</f>
        <v>2.3529411764705882E-2</v>
      </c>
      <c r="F887">
        <v>14</v>
      </c>
      <c r="G887">
        <f>LOG(382/(14+1))</f>
        <v>1.4059721038560276</v>
      </c>
      <c r="H887">
        <f>0.0235294117647058*3.23737040750436</f>
        <v>7.6173421353043488E-2</v>
      </c>
      <c r="I887">
        <v>7.6173421353043891E-2</v>
      </c>
    </row>
    <row r="888" spans="1:9" x14ac:dyDescent="0.25">
      <c r="A888">
        <v>228</v>
      </c>
      <c r="B888" t="s">
        <v>569</v>
      </c>
      <c r="C888" t="s">
        <v>48</v>
      </c>
      <c r="D888" t="s">
        <v>583</v>
      </c>
      <c r="E888">
        <f t="shared" ref="E888:E899" si="31">1/85</f>
        <v>1.1764705882352941E-2</v>
      </c>
      <c r="F888">
        <v>1</v>
      </c>
      <c r="G888">
        <f>LOG(382/(1+1))</f>
        <v>2.2810333672477277</v>
      </c>
      <c r="H888">
        <f>0.0117647058823529*5.25227342804663</f>
        <v>6.1791452094666015E-2</v>
      </c>
      <c r="I888">
        <v>6.179145209466623E-2</v>
      </c>
    </row>
    <row r="889" spans="1:9" x14ac:dyDescent="0.25">
      <c r="A889">
        <v>228</v>
      </c>
      <c r="B889" t="s">
        <v>569</v>
      </c>
      <c r="C889" t="s">
        <v>48</v>
      </c>
      <c r="D889" t="s">
        <v>584</v>
      </c>
      <c r="E889">
        <f t="shared" si="31"/>
        <v>1.1764705882352941E-2</v>
      </c>
      <c r="F889">
        <v>1</v>
      </c>
      <c r="G889">
        <f>LOG(382/(1+1))</f>
        <v>2.2810333672477277</v>
      </c>
      <c r="H889">
        <f>0.0117647058823529*5.25227342804663</f>
        <v>6.1791452094666015E-2</v>
      </c>
      <c r="I889">
        <v>6.179145209466623E-2</v>
      </c>
    </row>
    <row r="890" spans="1:9" x14ac:dyDescent="0.25">
      <c r="A890">
        <v>228</v>
      </c>
      <c r="B890" t="s">
        <v>569</v>
      </c>
      <c r="C890" t="s">
        <v>48</v>
      </c>
      <c r="D890" t="s">
        <v>585</v>
      </c>
      <c r="E890">
        <f t="shared" si="31"/>
        <v>1.1764705882352941E-2</v>
      </c>
      <c r="F890">
        <v>2</v>
      </c>
      <c r="G890">
        <f>LOG(382/(2+1))</f>
        <v>2.1049421081920463</v>
      </c>
      <c r="H890">
        <f>0.0117647058823529*4.84680831993846</f>
        <v>5.7021274352216975E-2</v>
      </c>
      <c r="I890">
        <v>5.7021274352217238E-2</v>
      </c>
    </row>
    <row r="891" spans="1:9" x14ac:dyDescent="0.25">
      <c r="A891">
        <v>228</v>
      </c>
      <c r="B891" t="s">
        <v>569</v>
      </c>
      <c r="C891" t="s">
        <v>48</v>
      </c>
      <c r="D891" t="s">
        <v>586</v>
      </c>
      <c r="E891">
        <f t="shared" si="31"/>
        <v>1.1764705882352941E-2</v>
      </c>
      <c r="F891">
        <v>2</v>
      </c>
      <c r="G891">
        <f>LOG(382/(2+1))</f>
        <v>2.1049421081920463</v>
      </c>
      <c r="H891">
        <f>0.0117647058823529*4.84680831993846</f>
        <v>5.7021274352216975E-2</v>
      </c>
      <c r="I891">
        <v>5.7021274352217238E-2</v>
      </c>
    </row>
    <row r="892" spans="1:9" x14ac:dyDescent="0.25">
      <c r="A892">
        <v>228</v>
      </c>
      <c r="B892" t="s">
        <v>569</v>
      </c>
      <c r="C892" t="s">
        <v>48</v>
      </c>
      <c r="D892" t="s">
        <v>587</v>
      </c>
      <c r="E892">
        <f t="shared" si="31"/>
        <v>1.1764705882352941E-2</v>
      </c>
      <c r="F892">
        <v>2</v>
      </c>
      <c r="G892">
        <f>LOG(382/(2+1))</f>
        <v>2.1049421081920463</v>
      </c>
      <c r="H892">
        <f>0.0117647058823529*4.84680831993846</f>
        <v>5.7021274352216975E-2</v>
      </c>
      <c r="I892">
        <v>5.7021274352217238E-2</v>
      </c>
    </row>
    <row r="893" spans="1:9" x14ac:dyDescent="0.25">
      <c r="A893">
        <v>228</v>
      </c>
      <c r="B893" t="s">
        <v>569</v>
      </c>
      <c r="C893" t="s">
        <v>48</v>
      </c>
      <c r="D893" t="s">
        <v>588</v>
      </c>
      <c r="E893">
        <f t="shared" si="31"/>
        <v>1.1764705882352941E-2</v>
      </c>
      <c r="F893">
        <v>1</v>
      </c>
      <c r="G893">
        <f>LOG(382/(1+1))</f>
        <v>2.2810333672477277</v>
      </c>
      <c r="H893">
        <f>0.0117647058823529*5.25227342804663</f>
        <v>6.1791452094666015E-2</v>
      </c>
      <c r="I893">
        <v>6.179145209466623E-2</v>
      </c>
    </row>
    <row r="894" spans="1:9" x14ac:dyDescent="0.25">
      <c r="A894">
        <v>228</v>
      </c>
      <c r="B894" t="s">
        <v>569</v>
      </c>
      <c r="C894" t="s">
        <v>48</v>
      </c>
      <c r="D894" t="s">
        <v>25</v>
      </c>
      <c r="E894">
        <f t="shared" si="31"/>
        <v>1.1764705882352941E-2</v>
      </c>
      <c r="F894">
        <v>106</v>
      </c>
      <c r="G894">
        <f>LOG(382/(106+1))</f>
        <v>0.55267958522649907</v>
      </c>
      <c r="H894">
        <f>0.0117647058823529*1.27259177414466</f>
        <v>1.4971667931113593E-2</v>
      </c>
      <c r="I894">
        <v>1.497166793111375E-2</v>
      </c>
    </row>
    <row r="895" spans="1:9" x14ac:dyDescent="0.25">
      <c r="A895">
        <v>228</v>
      </c>
      <c r="B895" t="s">
        <v>569</v>
      </c>
      <c r="C895" t="s">
        <v>48</v>
      </c>
      <c r="D895" t="s">
        <v>589</v>
      </c>
      <c r="E895">
        <f t="shared" si="31"/>
        <v>1.1764705882352941E-2</v>
      </c>
      <c r="F895">
        <v>12</v>
      </c>
      <c r="G895">
        <f>LOG(382/(12+1))</f>
        <v>1.468120010604872</v>
      </c>
      <c r="H895">
        <f>0.0117647058823529*3.38047125114503</f>
        <v>3.9770250013470801E-2</v>
      </c>
      <c r="I895">
        <v>3.9770250013471037E-2</v>
      </c>
    </row>
    <row r="896" spans="1:9" x14ac:dyDescent="0.25">
      <c r="A896">
        <v>228</v>
      </c>
      <c r="B896" t="s">
        <v>569</v>
      </c>
      <c r="C896" t="s">
        <v>48</v>
      </c>
      <c r="D896" t="s">
        <v>590</v>
      </c>
      <c r="E896">
        <f t="shared" si="31"/>
        <v>1.1764705882352941E-2</v>
      </c>
      <c r="F896">
        <v>1</v>
      </c>
      <c r="G896">
        <f>LOG(382/(1+1))</f>
        <v>2.2810333672477277</v>
      </c>
      <c r="H896">
        <f>0.0117647058823529*5.25227342804663</f>
        <v>6.1791452094666015E-2</v>
      </c>
      <c r="I896">
        <v>6.179145209466623E-2</v>
      </c>
    </row>
    <row r="897" spans="1:9" x14ac:dyDescent="0.25">
      <c r="A897">
        <v>228</v>
      </c>
      <c r="B897" t="s">
        <v>569</v>
      </c>
      <c r="C897" t="s">
        <v>48</v>
      </c>
      <c r="D897" t="s">
        <v>465</v>
      </c>
      <c r="E897">
        <f t="shared" si="31"/>
        <v>1.1764705882352941E-2</v>
      </c>
      <c r="F897">
        <v>36</v>
      </c>
      <c r="G897">
        <f>LOG(382/(36+1))</f>
        <v>1.0138616388447137</v>
      </c>
      <c r="H897">
        <f>0.0117647058823529*2.33450269596235</f>
        <v>2.7464737599556963E-2</v>
      </c>
      <c r="I897">
        <v>2.746473759955707E-2</v>
      </c>
    </row>
    <row r="898" spans="1:9" x14ac:dyDescent="0.25">
      <c r="A898">
        <v>228</v>
      </c>
      <c r="B898" t="s">
        <v>569</v>
      </c>
      <c r="C898" t="s">
        <v>48</v>
      </c>
      <c r="D898" t="s">
        <v>204</v>
      </c>
      <c r="E898">
        <f t="shared" si="31"/>
        <v>1.1764705882352941E-2</v>
      </c>
      <c r="F898">
        <v>166</v>
      </c>
      <c r="G898">
        <f>LOG(382/(166+1))</f>
        <v>0.35934689176412549</v>
      </c>
      <c r="H898">
        <f>0.0117647058823529*0.82742679618982</f>
        <v>9.7344328963507882E-3</v>
      </c>
      <c r="I898">
        <v>9.7344328963508246E-3</v>
      </c>
    </row>
    <row r="899" spans="1:9" x14ac:dyDescent="0.25">
      <c r="A899">
        <v>228</v>
      </c>
      <c r="B899" t="s">
        <v>569</v>
      </c>
      <c r="C899" t="s">
        <v>48</v>
      </c>
      <c r="D899" t="s">
        <v>487</v>
      </c>
      <c r="E899">
        <f t="shared" si="31"/>
        <v>1.1764705882352941E-2</v>
      </c>
      <c r="F899">
        <v>32</v>
      </c>
      <c r="G899">
        <f>LOG(382/(32+1))</f>
        <v>1.0635494230338212</v>
      </c>
      <c r="H899">
        <f>0.0117647058823529*2.44891304714009</f>
        <v>2.8810741731059783E-2</v>
      </c>
      <c r="I899">
        <v>2.8810741731059939E-2</v>
      </c>
    </row>
    <row r="900" spans="1:9" x14ac:dyDescent="0.25">
      <c r="A900">
        <v>228</v>
      </c>
      <c r="B900" t="s">
        <v>569</v>
      </c>
      <c r="C900" t="s">
        <v>48</v>
      </c>
      <c r="D900" t="s">
        <v>77</v>
      </c>
      <c r="E900">
        <f>2/85</f>
        <v>2.3529411764705882E-2</v>
      </c>
      <c r="F900">
        <v>148</v>
      </c>
      <c r="G900">
        <f>LOG(382/(148+1))</f>
        <v>0.40887709449943471</v>
      </c>
      <c r="H900">
        <f>0.0235294117647058*0.941474302661116</f>
        <v>2.215233653320265E-2</v>
      </c>
      <c r="I900">
        <v>2.215233653320273E-2</v>
      </c>
    </row>
    <row r="901" spans="1:9" x14ac:dyDescent="0.25">
      <c r="A901">
        <v>228</v>
      </c>
      <c r="B901" t="s">
        <v>569</v>
      </c>
      <c r="C901" t="s">
        <v>48</v>
      </c>
      <c r="D901" t="s">
        <v>40</v>
      </c>
      <c r="E901">
        <f t="shared" ref="E901:E926" si="32">1/85</f>
        <v>1.1764705882352941E-2</v>
      </c>
      <c r="F901">
        <v>159</v>
      </c>
      <c r="G901">
        <f>LOG(382/(159+1))</f>
        <v>0.377943380255784</v>
      </c>
      <c r="H901">
        <f>0.0117647058823529*0.870246793372748</f>
        <v>1.0238197569091117E-2</v>
      </c>
      <c r="I901">
        <v>1.0238197569091161E-2</v>
      </c>
    </row>
    <row r="902" spans="1:9" x14ac:dyDescent="0.25">
      <c r="A902">
        <v>228</v>
      </c>
      <c r="B902" t="s">
        <v>569</v>
      </c>
      <c r="C902" t="s">
        <v>48</v>
      </c>
      <c r="D902" t="s">
        <v>41</v>
      </c>
      <c r="E902">
        <f t="shared" si="32"/>
        <v>1.1764705882352941E-2</v>
      </c>
      <c r="F902">
        <v>195</v>
      </c>
      <c r="G902">
        <f>LOG(382/(195+1))</f>
        <v>0.28980729155523272</v>
      </c>
      <c r="H902">
        <f>0.0117647058823529*0.667305949376058</f>
        <v>7.8506582279535952E-3</v>
      </c>
      <c r="I902">
        <v>7.8506582279536229E-3</v>
      </c>
    </row>
    <row r="903" spans="1:9" x14ac:dyDescent="0.25">
      <c r="A903">
        <v>228</v>
      </c>
      <c r="B903" t="s">
        <v>569</v>
      </c>
      <c r="C903" t="s">
        <v>48</v>
      </c>
      <c r="D903" t="s">
        <v>591</v>
      </c>
      <c r="E903">
        <f t="shared" si="32"/>
        <v>1.1764705882352941E-2</v>
      </c>
      <c r="F903">
        <v>21</v>
      </c>
      <c r="G903">
        <f>LOG(382/(21+1))</f>
        <v>1.2396406820895025</v>
      </c>
      <c r="H903">
        <f>0.0117647058823529*2.85437815524825</f>
        <v>3.3580919473508705E-2</v>
      </c>
      <c r="I903">
        <v>3.3580919473508927E-2</v>
      </c>
    </row>
    <row r="904" spans="1:9" x14ac:dyDescent="0.25">
      <c r="A904">
        <v>228</v>
      </c>
      <c r="B904" t="s">
        <v>569</v>
      </c>
      <c r="C904" t="s">
        <v>48</v>
      </c>
      <c r="D904" t="s">
        <v>592</v>
      </c>
      <c r="E904">
        <f t="shared" si="32"/>
        <v>1.1764705882352941E-2</v>
      </c>
      <c r="F904">
        <v>1</v>
      </c>
      <c r="G904">
        <f>LOG(382/(1+1))</f>
        <v>2.2810333672477277</v>
      </c>
      <c r="H904">
        <f>0.0117647058823529*5.25227342804663</f>
        <v>6.1791452094666015E-2</v>
      </c>
      <c r="I904">
        <v>6.179145209466623E-2</v>
      </c>
    </row>
    <row r="905" spans="1:9" x14ac:dyDescent="0.25">
      <c r="A905">
        <v>228</v>
      </c>
      <c r="B905" t="s">
        <v>569</v>
      </c>
      <c r="C905" t="s">
        <v>48</v>
      </c>
      <c r="D905" t="s">
        <v>593</v>
      </c>
      <c r="E905">
        <f t="shared" si="32"/>
        <v>1.1764705882352941E-2</v>
      </c>
      <c r="F905">
        <v>30</v>
      </c>
      <c r="G905">
        <f>LOG(382/(30+1))</f>
        <v>1.090701669077436</v>
      </c>
      <c r="H905">
        <f>0.0117647058823529*2.51143340412142</f>
        <v>2.9546275342604837E-2</v>
      </c>
      <c r="I905">
        <v>2.9546275342605049E-2</v>
      </c>
    </row>
    <row r="906" spans="1:9" x14ac:dyDescent="0.25">
      <c r="A906">
        <v>228</v>
      </c>
      <c r="B906" t="s">
        <v>569</v>
      </c>
      <c r="C906" t="s">
        <v>48</v>
      </c>
      <c r="D906" t="s">
        <v>594</v>
      </c>
      <c r="E906">
        <f t="shared" si="32"/>
        <v>1.1764705882352941E-2</v>
      </c>
      <c r="F906">
        <v>36</v>
      </c>
      <c r="G906">
        <f>LOG(382/(36+1))</f>
        <v>1.0138616388447137</v>
      </c>
      <c r="H906">
        <f>0.0117647058823529*2.33450269596235</f>
        <v>2.7464737599556963E-2</v>
      </c>
      <c r="I906">
        <v>2.746473759955707E-2</v>
      </c>
    </row>
    <row r="907" spans="1:9" x14ac:dyDescent="0.25">
      <c r="A907">
        <v>228</v>
      </c>
      <c r="B907" t="s">
        <v>569</v>
      </c>
      <c r="C907" t="s">
        <v>48</v>
      </c>
      <c r="D907" t="s">
        <v>474</v>
      </c>
      <c r="E907">
        <f t="shared" si="32"/>
        <v>1.1764705882352941E-2</v>
      </c>
      <c r="F907">
        <v>25</v>
      </c>
      <c r="G907">
        <f>LOG(382/(25+1))</f>
        <v>1.1670900149408907</v>
      </c>
      <c r="H907">
        <f>0.0117647058823529*2.68732407058509</f>
        <v>3.1615577301000945E-2</v>
      </c>
      <c r="I907">
        <v>3.1615577301001098E-2</v>
      </c>
    </row>
    <row r="908" spans="1:9" x14ac:dyDescent="0.25">
      <c r="A908">
        <v>228</v>
      </c>
      <c r="B908" t="s">
        <v>569</v>
      </c>
      <c r="C908" t="s">
        <v>48</v>
      </c>
      <c r="D908" t="s">
        <v>119</v>
      </c>
      <c r="E908">
        <f t="shared" si="32"/>
        <v>1.1764705882352941E-2</v>
      </c>
      <c r="F908">
        <v>79</v>
      </c>
      <c r="G908">
        <f>LOG(382/(79+1))</f>
        <v>0.67897337591976514</v>
      </c>
      <c r="H908">
        <f>0.0117647058823529*1.56339397393269</f>
        <v>1.8392870281560995E-2</v>
      </c>
      <c r="I908">
        <v>1.8392870281561099E-2</v>
      </c>
    </row>
    <row r="909" spans="1:9" x14ac:dyDescent="0.25">
      <c r="A909">
        <v>228</v>
      </c>
      <c r="B909" t="s">
        <v>569</v>
      </c>
      <c r="C909" t="s">
        <v>48</v>
      </c>
      <c r="D909" t="s">
        <v>595</v>
      </c>
      <c r="E909">
        <f t="shared" si="32"/>
        <v>1.1764705882352941E-2</v>
      </c>
      <c r="F909">
        <v>1</v>
      </c>
      <c r="G909">
        <f>LOG(382/(1+1))</f>
        <v>2.2810333672477277</v>
      </c>
      <c r="H909">
        <f>0.0117647058823529*5.25227342804663</f>
        <v>6.1791452094666015E-2</v>
      </c>
      <c r="I909">
        <v>6.179145209466623E-2</v>
      </c>
    </row>
    <row r="910" spans="1:9" x14ac:dyDescent="0.25">
      <c r="A910">
        <v>228</v>
      </c>
      <c r="B910" t="s">
        <v>569</v>
      </c>
      <c r="C910" t="s">
        <v>48</v>
      </c>
      <c r="D910" t="s">
        <v>542</v>
      </c>
      <c r="E910">
        <f t="shared" si="32"/>
        <v>1.1764705882352941E-2</v>
      </c>
      <c r="F910">
        <v>42</v>
      </c>
      <c r="G910">
        <f>LOG(382/(42+1))</f>
        <v>0.94859490733212215</v>
      </c>
      <c r="H910">
        <f>0.0117647058823529*2.18422049291301</f>
        <v>2.5696711681329434E-2</v>
      </c>
      <c r="I910">
        <v>2.5696711681329559E-2</v>
      </c>
    </row>
    <row r="911" spans="1:9" x14ac:dyDescent="0.25">
      <c r="A911">
        <v>228</v>
      </c>
      <c r="B911" t="s">
        <v>569</v>
      </c>
      <c r="C911" t="s">
        <v>48</v>
      </c>
      <c r="D911" t="s">
        <v>237</v>
      </c>
      <c r="E911">
        <f t="shared" si="32"/>
        <v>1.1764705882352941E-2</v>
      </c>
      <c r="F911">
        <v>138</v>
      </c>
      <c r="G911">
        <f>LOG(382/(138+1))</f>
        <v>0.43904856265761361</v>
      </c>
      <c r="H911">
        <f>0.0117647058823529*1.01094667547588</f>
        <v>1.1893490299716192E-2</v>
      </c>
      <c r="I911">
        <v>1.1893490299716271E-2</v>
      </c>
    </row>
    <row r="912" spans="1:9" x14ac:dyDescent="0.25">
      <c r="A912">
        <v>228</v>
      </c>
      <c r="B912" t="s">
        <v>569</v>
      </c>
      <c r="C912" t="s">
        <v>48</v>
      </c>
      <c r="D912" t="s">
        <v>596</v>
      </c>
      <c r="E912">
        <f t="shared" si="32"/>
        <v>1.1764705882352941E-2</v>
      </c>
      <c r="F912">
        <v>60</v>
      </c>
      <c r="G912">
        <f>LOG(382/(60+1))</f>
        <v>0.79673352790094176</v>
      </c>
      <c r="H912">
        <f>0.0117647058823529*1.83454674443326</f>
        <v>2.1582902875685334E-2</v>
      </c>
      <c r="I912">
        <v>2.1582902875685459E-2</v>
      </c>
    </row>
    <row r="913" spans="1:9" x14ac:dyDescent="0.25">
      <c r="A913">
        <v>228</v>
      </c>
      <c r="B913" t="s">
        <v>569</v>
      </c>
      <c r="C913" t="s">
        <v>48</v>
      </c>
      <c r="D913" t="s">
        <v>597</v>
      </c>
      <c r="E913">
        <f t="shared" si="32"/>
        <v>1.1764705882352941E-2</v>
      </c>
      <c r="F913">
        <v>51</v>
      </c>
      <c r="G913">
        <f>LOG(382/(51+1))</f>
        <v>0.86606001927690957</v>
      </c>
      <c r="H913">
        <f>0.0117647058823529*1.99417689002514</f>
        <v>2.3460904588530975E-2</v>
      </c>
      <c r="I913">
        <v>2.3460904588531149E-2</v>
      </c>
    </row>
    <row r="914" spans="1:9" x14ac:dyDescent="0.25">
      <c r="A914">
        <v>228</v>
      </c>
      <c r="B914" t="s">
        <v>569</v>
      </c>
      <c r="C914" t="s">
        <v>48</v>
      </c>
      <c r="D914" t="s">
        <v>598</v>
      </c>
      <c r="E914">
        <f t="shared" si="32"/>
        <v>1.1764705882352941E-2</v>
      </c>
      <c r="F914">
        <v>1</v>
      </c>
      <c r="G914">
        <f>LOG(382/(1+1))</f>
        <v>2.2810333672477277</v>
      </c>
      <c r="H914">
        <f>0.0117647058823529*5.25227342804663</f>
        <v>6.1791452094666015E-2</v>
      </c>
      <c r="I914">
        <v>6.179145209466623E-2</v>
      </c>
    </row>
    <row r="915" spans="1:9" x14ac:dyDescent="0.25">
      <c r="A915">
        <v>228</v>
      </c>
      <c r="B915" t="s">
        <v>569</v>
      </c>
      <c r="C915" t="s">
        <v>48</v>
      </c>
      <c r="D915" t="s">
        <v>19</v>
      </c>
      <c r="E915">
        <f t="shared" si="32"/>
        <v>1.1764705882352941E-2</v>
      </c>
      <c r="F915">
        <v>220</v>
      </c>
      <c r="G915">
        <f>LOG(382/(220+1))</f>
        <v>0.23767108922659805</v>
      </c>
      <c r="H915">
        <f>0.0117647058823529*0.547257907088822</f>
        <v>6.4383283186920008E-3</v>
      </c>
      <c r="I915">
        <v>6.4383283186920277E-3</v>
      </c>
    </row>
    <row r="916" spans="1:9" x14ac:dyDescent="0.25">
      <c r="A916">
        <v>228</v>
      </c>
      <c r="B916" t="s">
        <v>569</v>
      </c>
      <c r="C916" t="s">
        <v>48</v>
      </c>
      <c r="D916" t="s">
        <v>599</v>
      </c>
      <c r="E916">
        <f t="shared" si="32"/>
        <v>1.1764705882352941E-2</v>
      </c>
      <c r="F916">
        <v>28</v>
      </c>
      <c r="G916">
        <f>LOG(382/(28+1))</f>
        <v>1.1196653650127526</v>
      </c>
      <c r="H916">
        <f>0.0117647058823529*2.5781247786201</f>
        <v>3.0330879748471654E-2</v>
      </c>
      <c r="I916">
        <v>3.0330879748471779E-2</v>
      </c>
    </row>
    <row r="917" spans="1:9" x14ac:dyDescent="0.25">
      <c r="A917">
        <v>228</v>
      </c>
      <c r="B917" t="s">
        <v>569</v>
      </c>
      <c r="C917" t="s">
        <v>48</v>
      </c>
      <c r="D917" t="s">
        <v>600</v>
      </c>
      <c r="E917">
        <f t="shared" si="32"/>
        <v>1.1764705882352941E-2</v>
      </c>
      <c r="F917">
        <v>102</v>
      </c>
      <c r="G917">
        <f>LOG(382/(102+1))</f>
        <v>0.56922613820653656</v>
      </c>
      <c r="H917">
        <f>0.0117647058823529*1.31069162037693</f>
        <v>1.5419901416199124E-2</v>
      </c>
      <c r="I917">
        <v>1.541990141619929E-2</v>
      </c>
    </row>
    <row r="918" spans="1:9" x14ac:dyDescent="0.25">
      <c r="A918">
        <v>228</v>
      </c>
      <c r="B918" t="s">
        <v>569</v>
      </c>
      <c r="C918" t="s">
        <v>48</v>
      </c>
      <c r="D918" t="s">
        <v>601</v>
      </c>
      <c r="E918">
        <f t="shared" si="32"/>
        <v>1.1764705882352941E-2</v>
      </c>
      <c r="F918">
        <v>7</v>
      </c>
      <c r="G918">
        <f>LOG(382/(7+1))</f>
        <v>1.6789733759197651</v>
      </c>
      <c r="H918">
        <f>0.0117647058823529*3.86597906692673</f>
        <v>4.5482106669726075E-2</v>
      </c>
      <c r="I918">
        <v>4.5482106669726338E-2</v>
      </c>
    </row>
    <row r="919" spans="1:9" x14ac:dyDescent="0.25">
      <c r="A919">
        <v>228</v>
      </c>
      <c r="B919" t="s">
        <v>569</v>
      </c>
      <c r="C919" t="s">
        <v>48</v>
      </c>
      <c r="D919" t="s">
        <v>439</v>
      </c>
      <c r="E919">
        <f t="shared" si="32"/>
        <v>1.1764705882352941E-2</v>
      </c>
      <c r="F919">
        <v>28</v>
      </c>
      <c r="G919">
        <f>LOG(382/(28+1))</f>
        <v>1.1196653650127526</v>
      </c>
      <c r="H919">
        <f>0.0117647058823529*2.5781247786201</f>
        <v>3.0330879748471654E-2</v>
      </c>
      <c r="I919">
        <v>3.0330879748471779E-2</v>
      </c>
    </row>
    <row r="920" spans="1:9" x14ac:dyDescent="0.25">
      <c r="A920">
        <v>228</v>
      </c>
      <c r="B920" t="s">
        <v>569</v>
      </c>
      <c r="C920" t="s">
        <v>48</v>
      </c>
      <c r="D920" t="s">
        <v>361</v>
      </c>
      <c r="E920">
        <f t="shared" si="32"/>
        <v>1.1764705882352941E-2</v>
      </c>
      <c r="F920">
        <v>118</v>
      </c>
      <c r="G920">
        <f>LOG(382/(118+1))</f>
        <v>0.50651640151917798</v>
      </c>
      <c r="H920">
        <f>0.0117647058823529*1.16629711549504</f>
        <v>1.3721142535235716E-2</v>
      </c>
      <c r="I920">
        <v>1.372114253523583E-2</v>
      </c>
    </row>
    <row r="921" spans="1:9" x14ac:dyDescent="0.25">
      <c r="A921">
        <v>228</v>
      </c>
      <c r="B921" t="s">
        <v>569</v>
      </c>
      <c r="C921" t="s">
        <v>48</v>
      </c>
      <c r="D921" t="s">
        <v>434</v>
      </c>
      <c r="E921">
        <f t="shared" si="32"/>
        <v>1.1764705882352941E-2</v>
      </c>
      <c r="F921">
        <v>97</v>
      </c>
      <c r="G921">
        <f>LOG(382/(97+1))</f>
        <v>0.59083728721921391</v>
      </c>
      <c r="H921">
        <f>0.0117647058823529*1.360453129936</f>
        <v>1.6005330940423473E-2</v>
      </c>
      <c r="I921">
        <v>1.6005330940423571E-2</v>
      </c>
    </row>
    <row r="922" spans="1:9" x14ac:dyDescent="0.25">
      <c r="A922">
        <v>228</v>
      </c>
      <c r="B922" t="s">
        <v>569</v>
      </c>
      <c r="C922" t="s">
        <v>48</v>
      </c>
      <c r="D922" t="s">
        <v>239</v>
      </c>
      <c r="E922">
        <f t="shared" si="32"/>
        <v>1.1764705882352941E-2</v>
      </c>
      <c r="F922">
        <v>40</v>
      </c>
      <c r="G922">
        <f>LOG(382/(40+1))</f>
        <v>0.96927950619197323</v>
      </c>
      <c r="H922">
        <f>0.0117647058823529*2.23184854190226</f>
        <v>2.6257041669438257E-2</v>
      </c>
      <c r="I922">
        <v>2.6257041669438441E-2</v>
      </c>
    </row>
    <row r="923" spans="1:9" x14ac:dyDescent="0.25">
      <c r="A923">
        <v>228</v>
      </c>
      <c r="B923" t="s">
        <v>569</v>
      </c>
      <c r="C923" t="s">
        <v>48</v>
      </c>
      <c r="D923" t="s">
        <v>444</v>
      </c>
      <c r="E923">
        <f t="shared" si="32"/>
        <v>1.1764705882352941E-2</v>
      </c>
      <c r="F923">
        <v>28</v>
      </c>
      <c r="G923">
        <f>LOG(382/(28+1))</f>
        <v>1.1196653650127526</v>
      </c>
      <c r="H923">
        <f>0.0117647058823529*2.5781247786201</f>
        <v>3.0330879748471654E-2</v>
      </c>
      <c r="I923">
        <v>3.0330879748471779E-2</v>
      </c>
    </row>
    <row r="924" spans="1:9" x14ac:dyDescent="0.25">
      <c r="A924">
        <v>228</v>
      </c>
      <c r="B924" t="s">
        <v>569</v>
      </c>
      <c r="C924" t="s">
        <v>48</v>
      </c>
      <c r="D924" t="s">
        <v>445</v>
      </c>
      <c r="E924">
        <f t="shared" si="32"/>
        <v>1.1764705882352941E-2</v>
      </c>
      <c r="F924">
        <v>35</v>
      </c>
      <c r="G924">
        <f>LOG(382/(35+1))</f>
        <v>1.0257608621444214</v>
      </c>
      <c r="H924">
        <f>0.0117647058823529*2.36190167015046</f>
        <v>2.7787078472358253E-2</v>
      </c>
      <c r="I924">
        <v>2.7787078472358409E-2</v>
      </c>
    </row>
    <row r="925" spans="1:9" x14ac:dyDescent="0.25">
      <c r="A925">
        <v>228</v>
      </c>
      <c r="B925" t="s">
        <v>569</v>
      </c>
      <c r="C925" t="s">
        <v>48</v>
      </c>
      <c r="D925" t="s">
        <v>236</v>
      </c>
      <c r="E925">
        <f t="shared" si="32"/>
        <v>1.1764705882352941E-2</v>
      </c>
      <c r="F925">
        <v>87</v>
      </c>
      <c r="G925">
        <f>LOG(382/(87+1))</f>
        <v>0.63758069076154011</v>
      </c>
      <c r="H925">
        <f>0.0117647058823529*1.46808379412836</f>
        <v>1.7271574048568879E-2</v>
      </c>
      <c r="I925">
        <v>1.7271574048569039E-2</v>
      </c>
    </row>
    <row r="926" spans="1:9" x14ac:dyDescent="0.25">
      <c r="A926">
        <v>228</v>
      </c>
      <c r="B926" t="s">
        <v>569</v>
      </c>
      <c r="C926" t="s">
        <v>48</v>
      </c>
      <c r="D926" t="s">
        <v>342</v>
      </c>
      <c r="E926">
        <f t="shared" si="32"/>
        <v>1.1764705882352941E-2</v>
      </c>
      <c r="F926">
        <v>35</v>
      </c>
      <c r="G926">
        <f>LOG(382/(35+1))</f>
        <v>1.0257608621444214</v>
      </c>
      <c r="H926">
        <f>0.0117647058823529*2.36190167015046</f>
        <v>2.7787078472358253E-2</v>
      </c>
      <c r="I926">
        <v>2.7787078472358409E-2</v>
      </c>
    </row>
    <row r="927" spans="1:9" x14ac:dyDescent="0.25">
      <c r="A927">
        <v>228</v>
      </c>
      <c r="B927" t="s">
        <v>569</v>
      </c>
      <c r="C927" t="s">
        <v>48</v>
      </c>
      <c r="D927" t="s">
        <v>602</v>
      </c>
      <c r="E927">
        <f>2/85</f>
        <v>2.3529411764705882E-2</v>
      </c>
      <c r="F927">
        <v>13</v>
      </c>
      <c r="G927">
        <f>LOG(382/(13+1))</f>
        <v>1.4359353272334707</v>
      </c>
      <c r="H927">
        <f>0.0235294117647058*3.30636327899131</f>
        <v>7.779678303508937E-2</v>
      </c>
      <c r="I927">
        <v>7.77967830350898E-2</v>
      </c>
    </row>
    <row r="928" spans="1:9" x14ac:dyDescent="0.25">
      <c r="A928">
        <v>228</v>
      </c>
      <c r="B928" t="s">
        <v>569</v>
      </c>
      <c r="C928" t="s">
        <v>48</v>
      </c>
      <c r="D928" t="s">
        <v>36</v>
      </c>
      <c r="E928">
        <f>1/85</f>
        <v>1.1764705882352941E-2</v>
      </c>
      <c r="F928">
        <v>58</v>
      </c>
      <c r="G928">
        <f>LOG(382/(58+1))</f>
        <v>0.81121135126956456</v>
      </c>
      <c r="H928">
        <f>0.0117647058823529*1.86788316470085</f>
        <v>2.1975096055304039E-2</v>
      </c>
      <c r="I928">
        <v>2.1975096055304181E-2</v>
      </c>
    </row>
    <row r="929" spans="1:9" x14ac:dyDescent="0.25">
      <c r="A929">
        <v>228</v>
      </c>
      <c r="B929" t="s">
        <v>569</v>
      </c>
      <c r="C929" t="s">
        <v>48</v>
      </c>
      <c r="D929" t="s">
        <v>603</v>
      </c>
      <c r="E929">
        <f>1/85</f>
        <v>1.1764705882352941E-2</v>
      </c>
      <c r="F929">
        <v>4</v>
      </c>
      <c r="G929">
        <f>LOG(382/(4+1))</f>
        <v>1.8830933585756899</v>
      </c>
      <c r="H929">
        <f>0.0117647058823529*4.33598269617247</f>
        <v>5.1011561131440647E-2</v>
      </c>
      <c r="I929">
        <v>5.1011561131440883E-2</v>
      </c>
    </row>
    <row r="930" spans="1:9" x14ac:dyDescent="0.25">
      <c r="A930">
        <v>228</v>
      </c>
      <c r="B930" t="s">
        <v>569</v>
      </c>
      <c r="C930" t="s">
        <v>48</v>
      </c>
      <c r="D930" t="s">
        <v>408</v>
      </c>
      <c r="E930">
        <f>1/85</f>
        <v>1.1764705882352941E-2</v>
      </c>
      <c r="F930">
        <v>27</v>
      </c>
      <c r="G930">
        <f>LOG(382/(27+1))</f>
        <v>1.1349053315694895</v>
      </c>
      <c r="H930">
        <f>0.0117647058823529*2.61321609843137</f>
        <v>3.0743718805074833E-2</v>
      </c>
      <c r="I930">
        <v>3.0743718805074951E-2</v>
      </c>
    </row>
    <row r="931" spans="1:9" x14ac:dyDescent="0.25">
      <c r="A931">
        <v>228</v>
      </c>
      <c r="B931" t="s">
        <v>569</v>
      </c>
      <c r="C931" t="s">
        <v>48</v>
      </c>
      <c r="D931" t="s">
        <v>26</v>
      </c>
      <c r="E931">
        <f>1/85</f>
        <v>1.1764705882352941E-2</v>
      </c>
      <c r="F931">
        <v>40</v>
      </c>
      <c r="G931">
        <f>LOG(382/(40+1))</f>
        <v>0.96927950619197323</v>
      </c>
      <c r="H931">
        <f>0.0117647058823529*2.23184854190226</f>
        <v>2.6257041669438257E-2</v>
      </c>
      <c r="I931">
        <v>2.6257041669438441E-2</v>
      </c>
    </row>
    <row r="932" spans="1:9" x14ac:dyDescent="0.25">
      <c r="A932">
        <v>229</v>
      </c>
      <c r="B932" t="s">
        <v>604</v>
      </c>
      <c r="C932" t="s">
        <v>48</v>
      </c>
      <c r="D932" t="s">
        <v>276</v>
      </c>
      <c r="E932">
        <f>4/43</f>
        <v>9.3023255813953487E-2</v>
      </c>
      <c r="F932">
        <v>10</v>
      </c>
      <c r="G932">
        <f>LOG(382/(10+1))</f>
        <v>1.5406706777534838</v>
      </c>
      <c r="H932">
        <f>0.0930232558139534*3.5475253358082</f>
        <v>0.33000235681936718</v>
      </c>
      <c r="I932">
        <v>0.33000235681936779</v>
      </c>
    </row>
    <row r="933" spans="1:9" x14ac:dyDescent="0.25">
      <c r="A933">
        <v>229</v>
      </c>
      <c r="B933" t="s">
        <v>604</v>
      </c>
      <c r="C933" t="s">
        <v>48</v>
      </c>
      <c r="D933" t="s">
        <v>293</v>
      </c>
      <c r="E933">
        <f>4/43</f>
        <v>9.3023255813953487E-2</v>
      </c>
      <c r="F933">
        <v>8</v>
      </c>
      <c r="G933">
        <f>LOG(382/(8+1))</f>
        <v>1.6278208534723839</v>
      </c>
      <c r="H933">
        <f>0.0930232558139534*3.74819603127035</f>
        <v>0.34866939825770665</v>
      </c>
      <c r="I933">
        <v>0.34866939825770749</v>
      </c>
    </row>
    <row r="934" spans="1:9" x14ac:dyDescent="0.25">
      <c r="A934">
        <v>229</v>
      </c>
      <c r="B934" t="s">
        <v>604</v>
      </c>
      <c r="C934" t="s">
        <v>48</v>
      </c>
      <c r="D934" t="s">
        <v>605</v>
      </c>
      <c r="E934">
        <f>4/43</f>
        <v>9.3023255813953487E-2</v>
      </c>
      <c r="F934">
        <v>1</v>
      </c>
      <c r="G934">
        <f>LOG(382/(1+1))</f>
        <v>2.2810333672477277</v>
      </c>
      <c r="H934">
        <f>0.0930232558139534*5.25227342804663</f>
        <v>0.48858357470201164</v>
      </c>
      <c r="I934">
        <v>0.48858357470201208</v>
      </c>
    </row>
    <row r="935" spans="1:9" x14ac:dyDescent="0.25">
      <c r="A935">
        <v>229</v>
      </c>
      <c r="B935" t="s">
        <v>604</v>
      </c>
      <c r="C935" t="s">
        <v>48</v>
      </c>
      <c r="D935" t="s">
        <v>606</v>
      </c>
      <c r="E935">
        <f>2/43</f>
        <v>4.6511627906976744E-2</v>
      </c>
      <c r="F935">
        <v>3</v>
      </c>
      <c r="G935">
        <f>LOG(382/(3+1))</f>
        <v>1.9800033715837464</v>
      </c>
      <c r="H935">
        <f>0.0465116279069767*4.55912624748668</f>
        <v>0.21205238360403145</v>
      </c>
      <c r="I935">
        <v>0.21205238360403181</v>
      </c>
    </row>
    <row r="936" spans="1:9" x14ac:dyDescent="0.25">
      <c r="A936">
        <v>229</v>
      </c>
      <c r="B936" t="s">
        <v>604</v>
      </c>
      <c r="C936" t="s">
        <v>48</v>
      </c>
      <c r="D936" t="s">
        <v>183</v>
      </c>
      <c r="E936">
        <f>5/43</f>
        <v>0.11627906976744186</v>
      </c>
      <c r="F936">
        <v>46</v>
      </c>
      <c r="G936">
        <f>LOG(382/(46+1))</f>
        <v>0.90996550497599127</v>
      </c>
      <c r="H936">
        <f>0.116279069767441*2.09527300689651</f>
        <v>0.24363639615075519</v>
      </c>
      <c r="I936">
        <v>0.24363639615075769</v>
      </c>
    </row>
    <row r="937" spans="1:9" x14ac:dyDescent="0.25">
      <c r="A937">
        <v>229</v>
      </c>
      <c r="B937" t="s">
        <v>604</v>
      </c>
      <c r="C937" t="s">
        <v>48</v>
      </c>
      <c r="D937" t="s">
        <v>607</v>
      </c>
      <c r="E937">
        <f>1/43</f>
        <v>2.3255813953488372E-2</v>
      </c>
      <c r="F937">
        <v>6</v>
      </c>
      <c r="G937">
        <f>LOG(382/(6+1))</f>
        <v>1.736965322897452</v>
      </c>
      <c r="H937">
        <f>0.0232558139534883*3.99951045955126</f>
        <v>9.3011871152354597E-2</v>
      </c>
      <c r="I937">
        <v>9.301187115235493E-2</v>
      </c>
    </row>
    <row r="938" spans="1:9" x14ac:dyDescent="0.25">
      <c r="A938">
        <v>229</v>
      </c>
      <c r="B938" t="s">
        <v>604</v>
      </c>
      <c r="C938" t="s">
        <v>48</v>
      </c>
      <c r="D938" t="s">
        <v>289</v>
      </c>
      <c r="E938">
        <f>2/43</f>
        <v>4.6511627906976744E-2</v>
      </c>
      <c r="F938">
        <v>8</v>
      </c>
      <c r="G938">
        <f>LOG(382/(8+1))</f>
        <v>1.6278208534723839</v>
      </c>
      <c r="H938">
        <f>0.0465116279069767*3.74819603127035</f>
        <v>0.17433469912885333</v>
      </c>
      <c r="I938">
        <v>0.17433469912885369</v>
      </c>
    </row>
    <row r="939" spans="1:9" x14ac:dyDescent="0.25">
      <c r="A939">
        <v>229</v>
      </c>
      <c r="B939" t="s">
        <v>604</v>
      </c>
      <c r="C939" t="s">
        <v>48</v>
      </c>
      <c r="D939" t="s">
        <v>608</v>
      </c>
      <c r="E939">
        <f>2/43</f>
        <v>4.6511627906976744E-2</v>
      </c>
      <c r="F939">
        <v>4</v>
      </c>
      <c r="G939">
        <f>LOG(382/(4+1))</f>
        <v>1.8830933585756899</v>
      </c>
      <c r="H939">
        <f>0.0465116279069767*4.33598269617247</f>
        <v>0.20167361377546356</v>
      </c>
      <c r="I939">
        <v>0.20167361377546389</v>
      </c>
    </row>
    <row r="940" spans="1:9" x14ac:dyDescent="0.25">
      <c r="A940">
        <v>229</v>
      </c>
      <c r="B940" t="s">
        <v>604</v>
      </c>
      <c r="C940" t="s">
        <v>48</v>
      </c>
      <c r="D940" t="s">
        <v>609</v>
      </c>
      <c r="E940">
        <f>2/43</f>
        <v>4.6511627906976744E-2</v>
      </c>
      <c r="F940">
        <v>3</v>
      </c>
      <c r="G940">
        <f>LOG(382/(3+1))</f>
        <v>1.9800033715837464</v>
      </c>
      <c r="H940">
        <f>0.0465116279069767*4.55912624748668</f>
        <v>0.21205238360403145</v>
      </c>
      <c r="I940">
        <v>0.21205238360403181</v>
      </c>
    </row>
    <row r="941" spans="1:9" x14ac:dyDescent="0.25">
      <c r="A941">
        <v>229</v>
      </c>
      <c r="B941" t="s">
        <v>604</v>
      </c>
      <c r="C941" t="s">
        <v>48</v>
      </c>
      <c r="D941" t="s">
        <v>610</v>
      </c>
      <c r="E941">
        <f t="shared" ref="E941:E953" si="33">1/43</f>
        <v>2.3255813953488372E-2</v>
      </c>
      <c r="F941">
        <v>1</v>
      </c>
      <c r="G941">
        <f>LOG(382/(1+1))</f>
        <v>2.2810333672477277</v>
      </c>
      <c r="H941">
        <f>0.0232558139534883*5.25227342804663</f>
        <v>0.12214589367550263</v>
      </c>
      <c r="I941">
        <v>0.12214589367550301</v>
      </c>
    </row>
    <row r="942" spans="1:9" x14ac:dyDescent="0.25">
      <c r="A942">
        <v>229</v>
      </c>
      <c r="B942" t="s">
        <v>604</v>
      </c>
      <c r="C942" t="s">
        <v>48</v>
      </c>
      <c r="D942" t="s">
        <v>611</v>
      </c>
      <c r="E942">
        <f t="shared" si="33"/>
        <v>2.3255813953488372E-2</v>
      </c>
      <c r="F942">
        <v>2</v>
      </c>
      <c r="G942">
        <f>LOG(382/(2+1))</f>
        <v>2.1049421081920463</v>
      </c>
      <c r="H942">
        <f>0.0232558139534883*4.84680831993846</f>
        <v>0.11271647255670801</v>
      </c>
      <c r="I942">
        <v>0.1127164725567085</v>
      </c>
    </row>
    <row r="943" spans="1:9" x14ac:dyDescent="0.25">
      <c r="A943">
        <v>229</v>
      </c>
      <c r="B943" t="s">
        <v>604</v>
      </c>
      <c r="C943" t="s">
        <v>48</v>
      </c>
      <c r="D943" t="s">
        <v>612</v>
      </c>
      <c r="E943">
        <f t="shared" si="33"/>
        <v>2.3255813953488372E-2</v>
      </c>
      <c r="F943">
        <v>5</v>
      </c>
      <c r="G943">
        <f>LOG(382/(5+1))</f>
        <v>1.803912112528065</v>
      </c>
      <c r="H943">
        <f>0.0232558139534883*4.15366113937852</f>
        <v>9.6596770683221089E-2</v>
      </c>
      <c r="I943">
        <v>9.6596770683221395E-2</v>
      </c>
    </row>
    <row r="944" spans="1:9" x14ac:dyDescent="0.25">
      <c r="A944">
        <v>229</v>
      </c>
      <c r="B944" t="s">
        <v>604</v>
      </c>
      <c r="C944" t="s">
        <v>48</v>
      </c>
      <c r="D944" t="s">
        <v>613</v>
      </c>
      <c r="E944">
        <f t="shared" si="33"/>
        <v>2.3255813953488372E-2</v>
      </c>
      <c r="F944">
        <v>2</v>
      </c>
      <c r="G944">
        <f>LOG(382/(2+1))</f>
        <v>2.1049421081920463</v>
      </c>
      <c r="H944">
        <f>0.0232558139534883*4.84680831993846</f>
        <v>0.11271647255670801</v>
      </c>
      <c r="I944">
        <v>0.1127164725567085</v>
      </c>
    </row>
    <row r="945" spans="1:9" x14ac:dyDescent="0.25">
      <c r="A945">
        <v>229</v>
      </c>
      <c r="B945" t="s">
        <v>604</v>
      </c>
      <c r="C945" t="s">
        <v>48</v>
      </c>
      <c r="D945" t="s">
        <v>614</v>
      </c>
      <c r="E945">
        <f t="shared" si="33"/>
        <v>2.3255813953488372E-2</v>
      </c>
      <c r="F945">
        <v>3</v>
      </c>
      <c r="G945">
        <f>LOG(382/(3+1))</f>
        <v>1.9800033715837464</v>
      </c>
      <c r="H945">
        <f>0.0232558139534883*4.55912624748668</f>
        <v>0.10602619180201549</v>
      </c>
      <c r="I945">
        <v>0.1060261918020159</v>
      </c>
    </row>
    <row r="946" spans="1:9" x14ac:dyDescent="0.25">
      <c r="A946">
        <v>229</v>
      </c>
      <c r="B946" t="s">
        <v>604</v>
      </c>
      <c r="C946" t="s">
        <v>48</v>
      </c>
      <c r="D946" t="s">
        <v>615</v>
      </c>
      <c r="E946">
        <f t="shared" si="33"/>
        <v>2.3255813953488372E-2</v>
      </c>
      <c r="F946">
        <v>1</v>
      </c>
      <c r="G946">
        <f>LOG(382/(1+1))</f>
        <v>2.2810333672477277</v>
      </c>
      <c r="H946">
        <f>0.0232558139534883*5.25227342804663</f>
        <v>0.12214589367550263</v>
      </c>
      <c r="I946">
        <v>0.12214589367550301</v>
      </c>
    </row>
    <row r="947" spans="1:9" x14ac:dyDescent="0.25">
      <c r="A947">
        <v>229</v>
      </c>
      <c r="B947" t="s">
        <v>604</v>
      </c>
      <c r="C947" t="s">
        <v>48</v>
      </c>
      <c r="D947" t="s">
        <v>284</v>
      </c>
      <c r="E947">
        <f t="shared" si="33"/>
        <v>2.3255813953488372E-2</v>
      </c>
      <c r="F947">
        <v>3</v>
      </c>
      <c r="G947">
        <f>LOG(382/(3+1))</f>
        <v>1.9800033715837464</v>
      </c>
      <c r="H947">
        <f>0.0232558139534883*4.55912624748668</f>
        <v>0.10602619180201549</v>
      </c>
      <c r="I947">
        <v>0.1060261918020159</v>
      </c>
    </row>
    <row r="948" spans="1:9" x14ac:dyDescent="0.25">
      <c r="A948">
        <v>229</v>
      </c>
      <c r="B948" t="s">
        <v>604</v>
      </c>
      <c r="C948" t="s">
        <v>48</v>
      </c>
      <c r="D948" t="s">
        <v>616</v>
      </c>
      <c r="E948">
        <f t="shared" si="33"/>
        <v>2.3255813953488372E-2</v>
      </c>
      <c r="F948">
        <v>2</v>
      </c>
      <c r="G948">
        <f>LOG(382/(2+1))</f>
        <v>2.1049421081920463</v>
      </c>
      <c r="H948">
        <f>0.0232558139534883*4.84680831993846</f>
        <v>0.11271647255670801</v>
      </c>
      <c r="I948">
        <v>0.1127164725567085</v>
      </c>
    </row>
    <row r="949" spans="1:9" x14ac:dyDescent="0.25">
      <c r="A949">
        <v>229</v>
      </c>
      <c r="B949" t="s">
        <v>604</v>
      </c>
      <c r="C949" t="s">
        <v>48</v>
      </c>
      <c r="D949" t="s">
        <v>617</v>
      </c>
      <c r="E949">
        <f t="shared" si="33"/>
        <v>2.3255813953488372E-2</v>
      </c>
      <c r="F949">
        <v>4</v>
      </c>
      <c r="G949">
        <f>LOG(382/(4+1))</f>
        <v>1.8830933585756899</v>
      </c>
      <c r="H949">
        <f>0.0232558139534883*4.33598269617247</f>
        <v>0.10083680688773156</v>
      </c>
      <c r="I949">
        <v>0.100836806887732</v>
      </c>
    </row>
    <row r="950" spans="1:9" x14ac:dyDescent="0.25">
      <c r="A950">
        <v>229</v>
      </c>
      <c r="B950" t="s">
        <v>604</v>
      </c>
      <c r="C950" t="s">
        <v>48</v>
      </c>
      <c r="D950" t="s">
        <v>618</v>
      </c>
      <c r="E950">
        <f t="shared" si="33"/>
        <v>2.3255813953488372E-2</v>
      </c>
      <c r="F950">
        <v>4</v>
      </c>
      <c r="G950">
        <f>LOG(382/(4+1))</f>
        <v>1.8830933585756899</v>
      </c>
      <c r="H950">
        <f>0.0232558139534883*4.33598269617247</f>
        <v>0.10083680688773156</v>
      </c>
      <c r="I950">
        <v>0.100836806887732</v>
      </c>
    </row>
    <row r="951" spans="1:9" x14ac:dyDescent="0.25">
      <c r="A951">
        <v>229</v>
      </c>
      <c r="B951" t="s">
        <v>604</v>
      </c>
      <c r="C951" t="s">
        <v>48</v>
      </c>
      <c r="D951" t="s">
        <v>619</v>
      </c>
      <c r="E951">
        <f t="shared" si="33"/>
        <v>2.3255813953488372E-2</v>
      </c>
      <c r="F951">
        <v>1</v>
      </c>
      <c r="G951">
        <f>LOG(382/(1+1))</f>
        <v>2.2810333672477277</v>
      </c>
      <c r="H951">
        <f>0.0232558139534883*5.25227342804663</f>
        <v>0.12214589367550263</v>
      </c>
      <c r="I951">
        <v>0.12214589367550301</v>
      </c>
    </row>
    <row r="952" spans="1:9" x14ac:dyDescent="0.25">
      <c r="A952">
        <v>229</v>
      </c>
      <c r="B952" t="s">
        <v>604</v>
      </c>
      <c r="C952" t="s">
        <v>48</v>
      </c>
      <c r="D952" t="s">
        <v>600</v>
      </c>
      <c r="E952">
        <f t="shared" si="33"/>
        <v>2.3255813953488372E-2</v>
      </c>
      <c r="F952">
        <v>102</v>
      </c>
      <c r="G952">
        <f>LOG(382/(102+1))</f>
        <v>0.56922613820653656</v>
      </c>
      <c r="H952">
        <f>0.0232558139534883*1.31069162037693</f>
        <v>3.0481200473882E-2</v>
      </c>
      <c r="I952">
        <v>3.0481200473882308E-2</v>
      </c>
    </row>
    <row r="953" spans="1:9" x14ac:dyDescent="0.25">
      <c r="A953">
        <v>229</v>
      </c>
      <c r="B953" t="s">
        <v>604</v>
      </c>
      <c r="C953" t="s">
        <v>48</v>
      </c>
      <c r="D953" t="s">
        <v>40</v>
      </c>
      <c r="E953">
        <f t="shared" si="33"/>
        <v>2.3255813953488372E-2</v>
      </c>
      <c r="F953">
        <v>159</v>
      </c>
      <c r="G953">
        <f>LOG(382/(159+1))</f>
        <v>0.377943380255784</v>
      </c>
      <c r="H953">
        <f>0.0232558139534883*0.870246793372748</f>
        <v>2.0238297520296402E-2</v>
      </c>
      <c r="I953">
        <v>2.0238297520296471E-2</v>
      </c>
    </row>
    <row r="954" spans="1:9" x14ac:dyDescent="0.25">
      <c r="A954">
        <v>229</v>
      </c>
      <c r="B954" t="s">
        <v>604</v>
      </c>
      <c r="C954" t="s">
        <v>48</v>
      </c>
      <c r="D954" t="s">
        <v>620</v>
      </c>
      <c r="E954">
        <f>2/43</f>
        <v>4.6511627906976744E-2</v>
      </c>
      <c r="F954">
        <v>5</v>
      </c>
      <c r="G954">
        <f>LOG(382/(5+1))</f>
        <v>1.803912112528065</v>
      </c>
      <c r="H954">
        <f>0.0465116279069767*4.15366113937852</f>
        <v>0.19319354136644262</v>
      </c>
      <c r="I954">
        <v>0.19319354136644279</v>
      </c>
    </row>
    <row r="955" spans="1:9" x14ac:dyDescent="0.25">
      <c r="A955">
        <v>229</v>
      </c>
      <c r="B955" t="s">
        <v>604</v>
      </c>
      <c r="C955" t="s">
        <v>48</v>
      </c>
      <c r="D955" t="s">
        <v>621</v>
      </c>
      <c r="E955">
        <f>1/43</f>
        <v>2.3255813953488372E-2</v>
      </c>
      <c r="F955">
        <v>3</v>
      </c>
      <c r="G955">
        <f>LOG(382/(3+1))</f>
        <v>1.9800033715837464</v>
      </c>
      <c r="H955">
        <f>0.0232558139534883*4.55912624748668</f>
        <v>0.10602619180201549</v>
      </c>
      <c r="I955">
        <v>0.1060261918020159</v>
      </c>
    </row>
    <row r="956" spans="1:9" x14ac:dyDescent="0.25">
      <c r="A956">
        <v>229</v>
      </c>
      <c r="B956" t="s">
        <v>604</v>
      </c>
      <c r="C956" t="s">
        <v>48</v>
      </c>
      <c r="D956" t="s">
        <v>622</v>
      </c>
      <c r="E956">
        <f>1/43</f>
        <v>2.3255813953488372E-2</v>
      </c>
      <c r="F956">
        <v>2</v>
      </c>
      <c r="G956">
        <f>LOG(382/(2+1))</f>
        <v>2.1049421081920463</v>
      </c>
      <c r="H956">
        <f>0.0232558139534883*4.84680831993846</f>
        <v>0.11271647255670801</v>
      </c>
      <c r="I956">
        <v>0.1127164725567085</v>
      </c>
    </row>
    <row r="957" spans="1:9" x14ac:dyDescent="0.25">
      <c r="A957">
        <v>230</v>
      </c>
      <c r="B957" t="s">
        <v>623</v>
      </c>
      <c r="C957" t="s">
        <v>48</v>
      </c>
      <c r="D957" t="s">
        <v>68</v>
      </c>
      <c r="E957">
        <f>2/28</f>
        <v>7.1428571428571425E-2</v>
      </c>
      <c r="F957">
        <v>43</v>
      </c>
      <c r="G957">
        <f>LOG(382/(43+1))</f>
        <v>0.93861068642552126</v>
      </c>
      <c r="H957">
        <f>0.0714285714285714*2.16123097468831</f>
        <v>0.15437364104916493</v>
      </c>
      <c r="I957">
        <v>0.15437364104916529</v>
      </c>
    </row>
    <row r="958" spans="1:9" x14ac:dyDescent="0.25">
      <c r="A958">
        <v>230</v>
      </c>
      <c r="B958" t="s">
        <v>623</v>
      </c>
      <c r="C958" t="s">
        <v>48</v>
      </c>
      <c r="D958" t="s">
        <v>44</v>
      </c>
      <c r="E958">
        <f>3/28</f>
        <v>0.10714285714285714</v>
      </c>
      <c r="F958">
        <v>151</v>
      </c>
      <c r="G958">
        <f>LOG(382/(151+1))</f>
        <v>0.40021977496693617</v>
      </c>
      <c r="H958">
        <f>0.107142857142857*0.921540087760298</f>
        <v>9.8736437974317512E-2</v>
      </c>
      <c r="I958">
        <v>9.873643797431772E-2</v>
      </c>
    </row>
    <row r="959" spans="1:9" x14ac:dyDescent="0.25">
      <c r="A959">
        <v>230</v>
      </c>
      <c r="B959" t="s">
        <v>623</v>
      </c>
      <c r="C959" t="s">
        <v>48</v>
      </c>
      <c r="D959" t="s">
        <v>25</v>
      </c>
      <c r="E959">
        <f>2/28</f>
        <v>7.1428571428571425E-2</v>
      </c>
      <c r="F959">
        <v>106</v>
      </c>
      <c r="G959">
        <f>LOG(382/(106+1))</f>
        <v>0.55267958522649907</v>
      </c>
      <c r="H959">
        <f>0.0714285714285714*1.27259177414466</f>
        <v>9.0899412438904245E-2</v>
      </c>
      <c r="I959">
        <v>9.0899412438904925E-2</v>
      </c>
    </row>
    <row r="960" spans="1:9" x14ac:dyDescent="0.25">
      <c r="A960">
        <v>230</v>
      </c>
      <c r="B960" t="s">
        <v>623</v>
      </c>
      <c r="C960" t="s">
        <v>48</v>
      </c>
      <c r="D960" t="s">
        <v>624</v>
      </c>
      <c r="E960">
        <f>1/28</f>
        <v>3.5714285714285712E-2</v>
      </c>
      <c r="F960">
        <v>5</v>
      </c>
      <c r="G960">
        <f>LOG(382/(5+1))</f>
        <v>1.803912112528065</v>
      </c>
      <c r="H960">
        <f>0.0357142857142857*4.15366113937852</f>
        <v>0.14834504069208992</v>
      </c>
      <c r="I960">
        <v>0.14834504069209001</v>
      </c>
    </row>
    <row r="961" spans="1:9" x14ac:dyDescent="0.25">
      <c r="A961">
        <v>230</v>
      </c>
      <c r="B961" t="s">
        <v>623</v>
      </c>
      <c r="C961" t="s">
        <v>48</v>
      </c>
      <c r="D961" t="s">
        <v>53</v>
      </c>
      <c r="E961">
        <f>2/28</f>
        <v>7.1428571428571425E-2</v>
      </c>
      <c r="F961">
        <v>57</v>
      </c>
      <c r="G961">
        <f>LOG(382/(57+1))</f>
        <v>0.81863536934877146</v>
      </c>
      <c r="H961">
        <f>0.0714285714285714*1.88497759806015</f>
        <v>0.13464125700429636</v>
      </c>
      <c r="I961">
        <v>0.1346412570042968</v>
      </c>
    </row>
    <row r="962" spans="1:9" x14ac:dyDescent="0.25">
      <c r="A962">
        <v>230</v>
      </c>
      <c r="B962" t="s">
        <v>623</v>
      </c>
      <c r="C962" t="s">
        <v>48</v>
      </c>
      <c r="D962" t="s">
        <v>625</v>
      </c>
      <c r="E962">
        <f>1/28</f>
        <v>3.5714285714285712E-2</v>
      </c>
      <c r="F962">
        <v>5</v>
      </c>
      <c r="G962">
        <f>LOG(382/(5+1))</f>
        <v>1.803912112528065</v>
      </c>
      <c r="H962">
        <f>0.0357142857142857*4.15366113937852</f>
        <v>0.14834504069208992</v>
      </c>
      <c r="I962">
        <v>0.14834504069209001</v>
      </c>
    </row>
    <row r="963" spans="1:9" x14ac:dyDescent="0.25">
      <c r="A963">
        <v>230</v>
      </c>
      <c r="B963" t="s">
        <v>623</v>
      </c>
      <c r="C963" t="s">
        <v>48</v>
      </c>
      <c r="D963" t="s">
        <v>39</v>
      </c>
      <c r="E963">
        <f>2/28</f>
        <v>7.1428571428571425E-2</v>
      </c>
      <c r="F963">
        <v>145</v>
      </c>
      <c r="G963">
        <f>LOG(382/(145+1))</f>
        <v>0.41771050712727159</v>
      </c>
      <c r="H963">
        <f>0.0714285714285714*0.961813986898238</f>
        <v>6.8700999064159829E-2</v>
      </c>
      <c r="I963">
        <v>6.8700999064159898E-2</v>
      </c>
    </row>
    <row r="964" spans="1:9" x14ac:dyDescent="0.25">
      <c r="A964">
        <v>230</v>
      </c>
      <c r="B964" t="s">
        <v>623</v>
      </c>
      <c r="C964" t="s">
        <v>48</v>
      </c>
      <c r="D964" t="s">
        <v>626</v>
      </c>
      <c r="E964">
        <f t="shared" ref="E964:E978" si="34">1/28</f>
        <v>3.5714285714285712E-2</v>
      </c>
      <c r="F964">
        <v>12</v>
      </c>
      <c r="G964">
        <f>LOG(382/(12+1))</f>
        <v>1.468120010604872</v>
      </c>
      <c r="H964">
        <f>0.0357142857142857*3.38047125114503</f>
        <v>0.12073111611232246</v>
      </c>
      <c r="I964">
        <v>0.1207311161123228</v>
      </c>
    </row>
    <row r="965" spans="1:9" x14ac:dyDescent="0.25">
      <c r="A965">
        <v>230</v>
      </c>
      <c r="B965" t="s">
        <v>623</v>
      </c>
      <c r="C965" t="s">
        <v>48</v>
      </c>
      <c r="D965" t="s">
        <v>627</v>
      </c>
      <c r="E965">
        <f t="shared" si="34"/>
        <v>3.5714285714285712E-2</v>
      </c>
      <c r="F965">
        <v>2</v>
      </c>
      <c r="G965">
        <f>LOG(382/(2+1))</f>
        <v>2.1049421081920463</v>
      </c>
      <c r="H965">
        <f>0.0357142857142857*4.84680831993846</f>
        <v>0.17310029714065922</v>
      </c>
      <c r="I965">
        <v>0.1731002971406595</v>
      </c>
    </row>
    <row r="966" spans="1:9" x14ac:dyDescent="0.25">
      <c r="A966">
        <v>230</v>
      </c>
      <c r="B966" t="s">
        <v>623</v>
      </c>
      <c r="C966" t="s">
        <v>48</v>
      </c>
      <c r="D966" t="s">
        <v>404</v>
      </c>
      <c r="E966">
        <f t="shared" si="34"/>
        <v>3.5714285714285712E-2</v>
      </c>
      <c r="F966">
        <v>22</v>
      </c>
      <c r="G966">
        <f>LOG(382/(22+1))</f>
        <v>1.2203355268941158</v>
      </c>
      <c r="H966">
        <f>0.0357142857142857*2.80992639267742</f>
        <v>0.10035451402419353</v>
      </c>
      <c r="I966">
        <v>0.10035451402419381</v>
      </c>
    </row>
    <row r="967" spans="1:9" x14ac:dyDescent="0.25">
      <c r="A967">
        <v>230</v>
      </c>
      <c r="B967" t="s">
        <v>623</v>
      </c>
      <c r="C967" t="s">
        <v>48</v>
      </c>
      <c r="D967" t="s">
        <v>628</v>
      </c>
      <c r="E967">
        <f t="shared" si="34"/>
        <v>3.5714285714285712E-2</v>
      </c>
      <c r="F967">
        <v>2</v>
      </c>
      <c r="G967">
        <f>LOG(382/(2+1))</f>
        <v>2.1049421081920463</v>
      </c>
      <c r="H967">
        <f>0.0357142857142857*4.84680831993846</f>
        <v>0.17310029714065922</v>
      </c>
      <c r="I967">
        <v>0.1731002971406595</v>
      </c>
    </row>
    <row r="968" spans="1:9" x14ac:dyDescent="0.25">
      <c r="A968">
        <v>230</v>
      </c>
      <c r="B968" t="s">
        <v>623</v>
      </c>
      <c r="C968" t="s">
        <v>48</v>
      </c>
      <c r="D968" t="s">
        <v>119</v>
      </c>
      <c r="E968">
        <f t="shared" si="34"/>
        <v>3.5714285714285712E-2</v>
      </c>
      <c r="F968">
        <v>79</v>
      </c>
      <c r="G968">
        <f>LOG(382/(79+1))</f>
        <v>0.67897337591976514</v>
      </c>
      <c r="H968">
        <f>0.0357142857142857*1.56339397393269</f>
        <v>5.5835499069024623E-2</v>
      </c>
      <c r="I968">
        <v>5.5835499069024769E-2</v>
      </c>
    </row>
    <row r="969" spans="1:9" x14ac:dyDescent="0.25">
      <c r="A969">
        <v>230</v>
      </c>
      <c r="B969" t="s">
        <v>623</v>
      </c>
      <c r="C969" t="s">
        <v>48</v>
      </c>
      <c r="D969" t="s">
        <v>76</v>
      </c>
      <c r="E969">
        <f t="shared" si="34"/>
        <v>3.5714285714285712E-2</v>
      </c>
      <c r="F969">
        <v>140</v>
      </c>
      <c r="G969">
        <f>LOG(382/(140+1))</f>
        <v>0.43284425025632883</v>
      </c>
      <c r="H969">
        <f>0.0357142857142857*0.996660718228407</f>
        <v>3.5595025651014515E-2</v>
      </c>
      <c r="I969">
        <v>3.5595025651014529E-2</v>
      </c>
    </row>
    <row r="970" spans="1:9" x14ac:dyDescent="0.25">
      <c r="A970">
        <v>230</v>
      </c>
      <c r="B970" t="s">
        <v>623</v>
      </c>
      <c r="C970" t="s">
        <v>48</v>
      </c>
      <c r="D970" t="s">
        <v>77</v>
      </c>
      <c r="E970">
        <f t="shared" si="34"/>
        <v>3.5714285714285712E-2</v>
      </c>
      <c r="F970">
        <v>148</v>
      </c>
      <c r="G970">
        <f>LOG(382/(148+1))</f>
        <v>0.40887709449943471</v>
      </c>
      <c r="H970">
        <f>0.0357142857142857*0.941474302661116</f>
        <v>3.3624082237896986E-2</v>
      </c>
      <c r="I970">
        <v>3.3624082237897E-2</v>
      </c>
    </row>
    <row r="971" spans="1:9" x14ac:dyDescent="0.25">
      <c r="A971">
        <v>230</v>
      </c>
      <c r="B971" t="s">
        <v>623</v>
      </c>
      <c r="C971" t="s">
        <v>48</v>
      </c>
      <c r="D971" t="s">
        <v>92</v>
      </c>
      <c r="E971">
        <f t="shared" si="34"/>
        <v>3.5714285714285712E-2</v>
      </c>
      <c r="F971">
        <v>12</v>
      </c>
      <c r="G971">
        <f>LOG(382/(12+1))</f>
        <v>1.468120010604872</v>
      </c>
      <c r="H971">
        <f>0.0357142857142857*3.38047125114503</f>
        <v>0.12073111611232246</v>
      </c>
      <c r="I971">
        <v>0.1207311161123228</v>
      </c>
    </row>
    <row r="972" spans="1:9" x14ac:dyDescent="0.25">
      <c r="A972">
        <v>230</v>
      </c>
      <c r="B972" t="s">
        <v>623</v>
      </c>
      <c r="C972" t="s">
        <v>48</v>
      </c>
      <c r="D972" t="s">
        <v>289</v>
      </c>
      <c r="E972">
        <f t="shared" si="34"/>
        <v>3.5714285714285712E-2</v>
      </c>
      <c r="F972">
        <v>8</v>
      </c>
      <c r="G972">
        <f>LOG(382/(8+1))</f>
        <v>1.6278208534723839</v>
      </c>
      <c r="H972">
        <f>0.0357142857142857*3.74819603127035</f>
        <v>0.133864143973941</v>
      </c>
      <c r="I972">
        <v>0.13386414397394131</v>
      </c>
    </row>
    <row r="973" spans="1:9" x14ac:dyDescent="0.25">
      <c r="A973">
        <v>230</v>
      </c>
      <c r="B973" t="s">
        <v>623</v>
      </c>
      <c r="C973" t="s">
        <v>48</v>
      </c>
      <c r="D973" t="s">
        <v>629</v>
      </c>
      <c r="E973">
        <f t="shared" si="34"/>
        <v>3.5714285714285712E-2</v>
      </c>
      <c r="F973">
        <v>2</v>
      </c>
      <c r="G973">
        <f>LOG(382/(2+1))</f>
        <v>2.1049421081920463</v>
      </c>
      <c r="H973">
        <f>0.0357142857142857*4.84680831993846</f>
        <v>0.17310029714065922</v>
      </c>
      <c r="I973">
        <v>0.1731002971406595</v>
      </c>
    </row>
    <row r="974" spans="1:9" x14ac:dyDescent="0.25">
      <c r="A974">
        <v>230</v>
      </c>
      <c r="B974" t="s">
        <v>623</v>
      </c>
      <c r="C974" t="s">
        <v>48</v>
      </c>
      <c r="D974" t="s">
        <v>630</v>
      </c>
      <c r="E974">
        <f t="shared" si="34"/>
        <v>3.5714285714285712E-2</v>
      </c>
      <c r="F974">
        <v>6</v>
      </c>
      <c r="G974">
        <f>LOG(382/(6+1))</f>
        <v>1.736965322897452</v>
      </c>
      <c r="H974">
        <f>0.0357142857142857*3.99951045955126</f>
        <v>0.14283965926968781</v>
      </c>
      <c r="I974">
        <v>0.14283965926968789</v>
      </c>
    </row>
    <row r="975" spans="1:9" x14ac:dyDescent="0.25">
      <c r="A975">
        <v>230</v>
      </c>
      <c r="B975" t="s">
        <v>623</v>
      </c>
      <c r="C975" t="s">
        <v>48</v>
      </c>
      <c r="D975" t="s">
        <v>631</v>
      </c>
      <c r="E975">
        <f t="shared" si="34"/>
        <v>3.5714285714285712E-2</v>
      </c>
      <c r="F975">
        <v>2</v>
      </c>
      <c r="G975">
        <f>LOG(382/(2+1))</f>
        <v>2.1049421081920463</v>
      </c>
      <c r="H975">
        <f>0.0357142857142857*4.84680831993846</f>
        <v>0.17310029714065922</v>
      </c>
      <c r="I975">
        <v>0.1731002971406595</v>
      </c>
    </row>
    <row r="976" spans="1:9" x14ac:dyDescent="0.25">
      <c r="A976">
        <v>230</v>
      </c>
      <c r="B976" t="s">
        <v>623</v>
      </c>
      <c r="C976" t="s">
        <v>48</v>
      </c>
      <c r="D976" t="s">
        <v>632</v>
      </c>
      <c r="E976">
        <f t="shared" si="34"/>
        <v>3.5714285714285712E-2</v>
      </c>
      <c r="F976">
        <v>7</v>
      </c>
      <c r="G976">
        <f>LOG(382/(7+1))</f>
        <v>1.6789733759197651</v>
      </c>
      <c r="H976">
        <f>0.0357142857142857*3.86597906692673</f>
        <v>0.13807068096166888</v>
      </c>
      <c r="I976">
        <v>0.13807068096166919</v>
      </c>
    </row>
    <row r="977" spans="1:9" x14ac:dyDescent="0.25">
      <c r="A977">
        <v>230</v>
      </c>
      <c r="B977" t="s">
        <v>623</v>
      </c>
      <c r="C977" t="s">
        <v>48</v>
      </c>
      <c r="D977" t="s">
        <v>633</v>
      </c>
      <c r="E977">
        <f t="shared" si="34"/>
        <v>3.5714285714285712E-2</v>
      </c>
      <c r="F977">
        <v>3</v>
      </c>
      <c r="G977">
        <f>LOG(382/(3+1))</f>
        <v>1.9800033715837464</v>
      </c>
      <c r="H977">
        <f>0.0357142857142857*4.55912624748668</f>
        <v>0.16282593741023851</v>
      </c>
      <c r="I977">
        <v>0.16282593741023871</v>
      </c>
    </row>
    <row r="978" spans="1:9" x14ac:dyDescent="0.25">
      <c r="A978">
        <v>230</v>
      </c>
      <c r="B978" t="s">
        <v>623</v>
      </c>
      <c r="C978" t="s">
        <v>48</v>
      </c>
      <c r="D978" t="s">
        <v>50</v>
      </c>
      <c r="E978">
        <f t="shared" si="34"/>
        <v>3.5714285714285712E-2</v>
      </c>
      <c r="F978">
        <v>109</v>
      </c>
      <c r="G978">
        <f>LOG(382/(109+1))</f>
        <v>0.54067067775348365</v>
      </c>
      <c r="H978">
        <f>0.0357142857142857*1.24494024281415</f>
        <v>4.4462151529076767E-2</v>
      </c>
      <c r="I978">
        <v>4.44621515290771E-2</v>
      </c>
    </row>
    <row r="979" spans="1:9" x14ac:dyDescent="0.25">
      <c r="A979">
        <v>231</v>
      </c>
      <c r="B979" t="s">
        <v>634</v>
      </c>
      <c r="C979" t="s">
        <v>48</v>
      </c>
      <c r="D979" t="s">
        <v>635</v>
      </c>
      <c r="E979">
        <f>7/149</f>
        <v>4.6979865771812082E-2</v>
      </c>
      <c r="F979">
        <v>4</v>
      </c>
      <c r="G979">
        <f>LOG(382/(4+1))</f>
        <v>1.8830933585756899</v>
      </c>
      <c r="H979">
        <f>0.046979865771812*4.33598269617247</f>
        <v>0.20370388505508213</v>
      </c>
      <c r="I979">
        <v>0.20370388505508269</v>
      </c>
    </row>
    <row r="980" spans="1:9" x14ac:dyDescent="0.25">
      <c r="A980">
        <v>231</v>
      </c>
      <c r="B980" t="s">
        <v>634</v>
      </c>
      <c r="C980" t="s">
        <v>48</v>
      </c>
      <c r="D980" t="s">
        <v>193</v>
      </c>
      <c r="E980">
        <f>9/149</f>
        <v>6.0402684563758392E-2</v>
      </c>
      <c r="F980">
        <v>10</v>
      </c>
      <c r="G980">
        <f>LOG(382/(10+1))</f>
        <v>1.5406706777534838</v>
      </c>
      <c r="H980">
        <f>0.0604026845637583*3.5475253358082</f>
        <v>0.21428005384076346</v>
      </c>
      <c r="I980">
        <v>0.21428005384076401</v>
      </c>
    </row>
    <row r="981" spans="1:9" x14ac:dyDescent="0.25">
      <c r="A981">
        <v>231</v>
      </c>
      <c r="B981" t="s">
        <v>634</v>
      </c>
      <c r="C981" t="s">
        <v>48</v>
      </c>
      <c r="D981" t="s">
        <v>636</v>
      </c>
      <c r="E981">
        <f>7/149</f>
        <v>4.6979865771812082E-2</v>
      </c>
      <c r="F981">
        <v>31</v>
      </c>
      <c r="G981">
        <f>LOG(382/(31+1))</f>
        <v>1.0769133845918029</v>
      </c>
      <c r="H981">
        <f>0.046979865771812*2.47968470580684</f>
        <v>0.11649525463522047</v>
      </c>
      <c r="I981">
        <v>0.1164952546352211</v>
      </c>
    </row>
    <row r="982" spans="1:9" x14ac:dyDescent="0.25">
      <c r="A982">
        <v>231</v>
      </c>
      <c r="B982" t="s">
        <v>634</v>
      </c>
      <c r="C982" t="s">
        <v>48</v>
      </c>
      <c r="D982" t="s">
        <v>637</v>
      </c>
      <c r="E982">
        <f>6/149</f>
        <v>4.0268456375838924E-2</v>
      </c>
      <c r="F982">
        <v>29</v>
      </c>
      <c r="G982">
        <f>LOG(382/(29+1))</f>
        <v>1.1049421081920463</v>
      </c>
      <c r="H982">
        <f>0.0402684563758389*2.54422322694442</f>
        <v>0.10245194202460745</v>
      </c>
      <c r="I982">
        <v>0.1024519420246075</v>
      </c>
    </row>
    <row r="983" spans="1:9" x14ac:dyDescent="0.25">
      <c r="A983">
        <v>231</v>
      </c>
      <c r="B983" t="s">
        <v>634</v>
      </c>
      <c r="C983" t="s">
        <v>48</v>
      </c>
      <c r="D983" t="s">
        <v>42</v>
      </c>
      <c r="E983">
        <f>1/149</f>
        <v>6.7114093959731542E-3</v>
      </c>
      <c r="F983">
        <v>251</v>
      </c>
      <c r="G983">
        <f>LOG(382/(251+1))</f>
        <v>0.18066282213016463</v>
      </c>
      <c r="H983">
        <f>0.00671140939597315*0.415991521095151</f>
        <v>2.7918894033231588E-3</v>
      </c>
      <c r="I983">
        <v>2.7918894033231671E-3</v>
      </c>
    </row>
    <row r="984" spans="1:9" x14ac:dyDescent="0.25">
      <c r="A984">
        <v>231</v>
      </c>
      <c r="B984" t="s">
        <v>634</v>
      </c>
      <c r="C984" t="s">
        <v>48</v>
      </c>
      <c r="D984" t="s">
        <v>15</v>
      </c>
      <c r="E984">
        <f>1/149</f>
        <v>6.7114093959731542E-3</v>
      </c>
      <c r="F984">
        <v>112</v>
      </c>
      <c r="G984">
        <f>LOG(382/(112+1))</f>
        <v>0.52898491942828896</v>
      </c>
      <c r="H984">
        <f>0.00671140939597315*1.21803278989423</f>
        <v>8.1747167106995255E-3</v>
      </c>
      <c r="I984">
        <v>8.174716710699562E-3</v>
      </c>
    </row>
    <row r="985" spans="1:9" x14ac:dyDescent="0.25">
      <c r="A985">
        <v>231</v>
      </c>
      <c r="B985" t="s">
        <v>634</v>
      </c>
      <c r="C985" t="s">
        <v>48</v>
      </c>
      <c r="D985" t="s">
        <v>17</v>
      </c>
      <c r="E985">
        <f>1/149</f>
        <v>6.7114093959731542E-3</v>
      </c>
      <c r="F985">
        <v>169</v>
      </c>
      <c r="G985">
        <f>LOG(382/(169+1))</f>
        <v>0.3516144415334348</v>
      </c>
      <c r="H985">
        <f>0.00671140939597315*0.809622171556313</f>
        <v>5.4337058493712249E-3</v>
      </c>
      <c r="I985">
        <v>5.4337058493712309E-3</v>
      </c>
    </row>
    <row r="986" spans="1:9" x14ac:dyDescent="0.25">
      <c r="A986">
        <v>231</v>
      </c>
      <c r="B986" t="s">
        <v>634</v>
      </c>
      <c r="C986" t="s">
        <v>48</v>
      </c>
      <c r="D986" t="s">
        <v>70</v>
      </c>
      <c r="E986">
        <f>1/149</f>
        <v>6.7114093959731542E-3</v>
      </c>
      <c r="F986">
        <v>44</v>
      </c>
      <c r="G986">
        <f>LOG(382/(44+1))</f>
        <v>0.92885084913636506</v>
      </c>
      <c r="H986">
        <f>0.00671140939597315*2.13875811883625</f>
        <v>1.4354081334471466E-2</v>
      </c>
      <c r="I986">
        <v>1.4354081334471511E-2</v>
      </c>
    </row>
    <row r="987" spans="1:9" x14ac:dyDescent="0.25">
      <c r="A987">
        <v>231</v>
      </c>
      <c r="B987" t="s">
        <v>634</v>
      </c>
      <c r="C987" t="s">
        <v>48</v>
      </c>
      <c r="D987" t="s">
        <v>575</v>
      </c>
      <c r="E987">
        <f>1/149</f>
        <v>6.7114093959731542E-3</v>
      </c>
      <c r="F987">
        <v>3</v>
      </c>
      <c r="G987">
        <f>LOG(382/(3+1))</f>
        <v>1.9800033715837464</v>
      </c>
      <c r="H987">
        <f>0.00671140939597315*4.55912624748668</f>
        <v>3.0598162734809912E-2</v>
      </c>
      <c r="I987">
        <v>3.0598162734809961E-2</v>
      </c>
    </row>
    <row r="988" spans="1:9" x14ac:dyDescent="0.25">
      <c r="A988">
        <v>231</v>
      </c>
      <c r="B988" t="s">
        <v>634</v>
      </c>
      <c r="C988" t="s">
        <v>48</v>
      </c>
      <c r="D988" t="s">
        <v>44</v>
      </c>
      <c r="E988">
        <f>4/149</f>
        <v>2.6845637583892617E-2</v>
      </c>
      <c r="F988">
        <v>151</v>
      </c>
      <c r="G988">
        <f>LOG(382/(151+1))</f>
        <v>0.40021977496693617</v>
      </c>
      <c r="H988">
        <f>0.0268456375838926*0.921540087760298</f>
        <v>2.4739331215041543E-2</v>
      </c>
      <c r="I988">
        <v>2.4739331215041571E-2</v>
      </c>
    </row>
    <row r="989" spans="1:9" x14ac:dyDescent="0.25">
      <c r="A989">
        <v>231</v>
      </c>
      <c r="B989" t="s">
        <v>634</v>
      </c>
      <c r="C989" t="s">
        <v>48</v>
      </c>
      <c r="D989" t="s">
        <v>22</v>
      </c>
      <c r="E989">
        <f>1/149</f>
        <v>6.7114093959731542E-3</v>
      </c>
      <c r="F989">
        <v>259</v>
      </c>
      <c r="G989">
        <f>LOG(382/(259+1))</f>
        <v>0.16709001494089079</v>
      </c>
      <c r="H989">
        <f>0.00671140939597315*0.384738977591047</f>
        <v>2.582140789201656E-3</v>
      </c>
      <c r="I989">
        <v>2.5821407892016612E-3</v>
      </c>
    </row>
    <row r="990" spans="1:9" x14ac:dyDescent="0.25">
      <c r="A990">
        <v>231</v>
      </c>
      <c r="B990" t="s">
        <v>634</v>
      </c>
      <c r="C990" t="s">
        <v>48</v>
      </c>
      <c r="D990" t="s">
        <v>23</v>
      </c>
      <c r="E990">
        <f>1/149</f>
        <v>6.7114093959731542E-3</v>
      </c>
      <c r="F990">
        <v>275</v>
      </c>
      <c r="G990">
        <f>LOG(382/(275+1))</f>
        <v>0.14115428084649101</v>
      </c>
      <c r="H990">
        <f>0.00671140939597315*0.325019742889425</f>
        <v>2.1813405563048641E-3</v>
      </c>
      <c r="I990">
        <v>2.1813405563048671E-3</v>
      </c>
    </row>
    <row r="991" spans="1:9" x14ac:dyDescent="0.25">
      <c r="A991">
        <v>231</v>
      </c>
      <c r="B991" t="s">
        <v>634</v>
      </c>
      <c r="C991" t="s">
        <v>48</v>
      </c>
      <c r="D991" t="s">
        <v>196</v>
      </c>
      <c r="E991">
        <f>2/149</f>
        <v>1.3422818791946308E-2</v>
      </c>
      <c r="F991">
        <v>33</v>
      </c>
      <c r="G991">
        <f>LOG(382/(33+1))</f>
        <v>1.0505844458694535</v>
      </c>
      <c r="H991">
        <f>0.0134228187919463*2.41906008399041</f>
        <v>3.2470605154233674E-2</v>
      </c>
      <c r="I991">
        <v>3.2470605154233743E-2</v>
      </c>
    </row>
    <row r="992" spans="1:9" x14ac:dyDescent="0.25">
      <c r="A992">
        <v>231</v>
      </c>
      <c r="B992" t="s">
        <v>634</v>
      </c>
      <c r="C992" t="s">
        <v>48</v>
      </c>
      <c r="D992" t="s">
        <v>222</v>
      </c>
      <c r="E992">
        <f>3/149</f>
        <v>2.0134228187919462E-2</v>
      </c>
      <c r="F992">
        <v>22</v>
      </c>
      <c r="G992">
        <f>LOG(382/(22+1))</f>
        <v>1.2203355268941158</v>
      </c>
      <c r="H992">
        <f>0.0201342281879194*2.80992639267742</f>
        <v>5.6575699181424383E-2</v>
      </c>
      <c r="I992">
        <v>5.6575699181424667E-2</v>
      </c>
    </row>
    <row r="993" spans="1:9" x14ac:dyDescent="0.25">
      <c r="A993">
        <v>231</v>
      </c>
      <c r="B993" t="s">
        <v>634</v>
      </c>
      <c r="C993" t="s">
        <v>48</v>
      </c>
      <c r="D993" t="s">
        <v>53</v>
      </c>
      <c r="E993">
        <f>4/149</f>
        <v>2.6845637583892617E-2</v>
      </c>
      <c r="F993">
        <v>57</v>
      </c>
      <c r="G993">
        <f>LOG(382/(57+1))</f>
        <v>0.81863536934877146</v>
      </c>
      <c r="H993">
        <f>0.0268456375838926*1.88497759806015</f>
        <v>5.060342545127916E-2</v>
      </c>
      <c r="I993">
        <v>5.0603425451279348E-2</v>
      </c>
    </row>
    <row r="994" spans="1:9" x14ac:dyDescent="0.25">
      <c r="A994">
        <v>231</v>
      </c>
      <c r="B994" t="s">
        <v>634</v>
      </c>
      <c r="C994" t="s">
        <v>48</v>
      </c>
      <c r="D994" t="s">
        <v>465</v>
      </c>
      <c r="E994">
        <f>2/149</f>
        <v>1.3422818791946308E-2</v>
      </c>
      <c r="F994">
        <v>36</v>
      </c>
      <c r="G994">
        <f>LOG(382/(36+1))</f>
        <v>1.0138616388447137</v>
      </c>
      <c r="H994">
        <f>0.0134228187919463*2.33450269596235</f>
        <v>3.1335606657212731E-2</v>
      </c>
      <c r="I994">
        <v>3.1335606657212772E-2</v>
      </c>
    </row>
    <row r="995" spans="1:9" x14ac:dyDescent="0.25">
      <c r="A995">
        <v>231</v>
      </c>
      <c r="B995" t="s">
        <v>634</v>
      </c>
      <c r="C995" t="s">
        <v>48</v>
      </c>
      <c r="D995" t="s">
        <v>144</v>
      </c>
      <c r="E995">
        <f>1/149</f>
        <v>6.7114093959731542E-3</v>
      </c>
      <c r="F995">
        <v>105</v>
      </c>
      <c r="G995">
        <f>LOG(382/(105+1))</f>
        <v>0.55675749764693849</v>
      </c>
      <c r="H995">
        <f>0.00671140939597315*1.2819815144945</f>
        <v>8.603902781842275E-3</v>
      </c>
      <c r="I995">
        <v>8.603902781842334E-3</v>
      </c>
    </row>
    <row r="996" spans="1:9" x14ac:dyDescent="0.25">
      <c r="A996">
        <v>231</v>
      </c>
      <c r="B996" t="s">
        <v>634</v>
      </c>
      <c r="C996" t="s">
        <v>48</v>
      </c>
      <c r="D996" t="s">
        <v>224</v>
      </c>
      <c r="E996">
        <f>3/149</f>
        <v>2.0134228187919462E-2</v>
      </c>
      <c r="F996">
        <v>16</v>
      </c>
      <c r="G996">
        <f>LOG(382/(16+1))</f>
        <v>1.3516144415334348</v>
      </c>
      <c r="H996">
        <f>0.0201342281879194*3.11220726455035</f>
        <v>6.2661891232557179E-2</v>
      </c>
      <c r="I996">
        <v>6.2661891232557568E-2</v>
      </c>
    </row>
    <row r="997" spans="1:9" x14ac:dyDescent="0.25">
      <c r="A997">
        <v>231</v>
      </c>
      <c r="B997" t="s">
        <v>634</v>
      </c>
      <c r="C997" t="s">
        <v>48</v>
      </c>
      <c r="D997" t="s">
        <v>638</v>
      </c>
      <c r="E997">
        <f>1/149</f>
        <v>6.7114093959731542E-3</v>
      </c>
      <c r="F997">
        <v>2</v>
      </c>
      <c r="G997">
        <f>LOG(382/(2+1))</f>
        <v>2.1049421081920463</v>
      </c>
      <c r="H997">
        <f>0.00671140939597315*4.84680831993846</f>
        <v>3.2528914898915816E-2</v>
      </c>
      <c r="I997">
        <v>3.2528914898915871E-2</v>
      </c>
    </row>
    <row r="998" spans="1:9" x14ac:dyDescent="0.25">
      <c r="A998">
        <v>231</v>
      </c>
      <c r="B998" t="s">
        <v>634</v>
      </c>
      <c r="C998" t="s">
        <v>48</v>
      </c>
      <c r="D998" t="s">
        <v>98</v>
      </c>
      <c r="E998">
        <f>1/149</f>
        <v>6.7114093959731542E-3</v>
      </c>
      <c r="F998">
        <v>56</v>
      </c>
      <c r="G998">
        <f>LOG(382/(56+1))</f>
        <v>0.82618850723921733</v>
      </c>
      <c r="H998">
        <f>0.00671140939597315*1.90236934077202</f>
        <v>1.2767579468268581E-2</v>
      </c>
      <c r="I998">
        <v>1.2767579468268619E-2</v>
      </c>
    </row>
    <row r="999" spans="1:9" x14ac:dyDescent="0.25">
      <c r="A999">
        <v>231</v>
      </c>
      <c r="B999" t="s">
        <v>634</v>
      </c>
      <c r="C999" t="s">
        <v>48</v>
      </c>
      <c r="D999" t="s">
        <v>50</v>
      </c>
      <c r="E999">
        <f>3/149</f>
        <v>2.0134228187919462E-2</v>
      </c>
      <c r="F999">
        <v>109</v>
      </c>
      <c r="G999">
        <f>LOG(382/(109+1))</f>
        <v>0.54067067775348365</v>
      </c>
      <c r="H999">
        <f>0.0201342281879194*1.24494024281415</f>
        <v>2.506591092914388E-2</v>
      </c>
      <c r="I999">
        <v>2.506591092914414E-2</v>
      </c>
    </row>
    <row r="1000" spans="1:9" x14ac:dyDescent="0.25">
      <c r="A1000">
        <v>231</v>
      </c>
      <c r="B1000" t="s">
        <v>634</v>
      </c>
      <c r="C1000" t="s">
        <v>48</v>
      </c>
      <c r="D1000" t="s">
        <v>639</v>
      </c>
      <c r="E1000">
        <f>1/149</f>
        <v>6.7114093959731542E-3</v>
      </c>
      <c r="F1000">
        <v>2</v>
      </c>
      <c r="G1000">
        <f>LOG(382/(2+1))</f>
        <v>2.1049421081920463</v>
      </c>
      <c r="H1000">
        <f>0.00671140939597315*4.84680831993846</f>
        <v>3.2528914898915816E-2</v>
      </c>
      <c r="I1000">
        <v>3.2528914898915871E-2</v>
      </c>
    </row>
    <row r="1001" spans="1:9" x14ac:dyDescent="0.25">
      <c r="A1001">
        <v>231</v>
      </c>
      <c r="B1001" t="s">
        <v>634</v>
      </c>
      <c r="C1001" t="s">
        <v>48</v>
      </c>
      <c r="D1001" t="s">
        <v>384</v>
      </c>
      <c r="E1001">
        <f>1/149</f>
        <v>6.7114093959731542E-3</v>
      </c>
      <c r="F1001">
        <v>5</v>
      </c>
      <c r="G1001">
        <f>LOG(382/(5+1))</f>
        <v>1.803912112528065</v>
      </c>
      <c r="H1001">
        <f>0.00671140939597315*4.15366113937852</f>
        <v>2.7876920398513538E-2</v>
      </c>
      <c r="I1001">
        <v>2.7876920398513551E-2</v>
      </c>
    </row>
    <row r="1002" spans="1:9" x14ac:dyDescent="0.25">
      <c r="A1002">
        <v>231</v>
      </c>
      <c r="B1002" t="s">
        <v>634</v>
      </c>
      <c r="C1002" t="s">
        <v>48</v>
      </c>
      <c r="D1002" t="s">
        <v>640</v>
      </c>
      <c r="E1002">
        <f>1/149</f>
        <v>6.7114093959731542E-3</v>
      </c>
      <c r="F1002">
        <v>2</v>
      </c>
      <c r="G1002">
        <f>LOG(382/(2+1))</f>
        <v>2.1049421081920463</v>
      </c>
      <c r="H1002">
        <f>0.00671140939597315*4.84680831993846</f>
        <v>3.2528914898915816E-2</v>
      </c>
      <c r="I1002">
        <v>3.2528914898915871E-2</v>
      </c>
    </row>
    <row r="1003" spans="1:9" x14ac:dyDescent="0.25">
      <c r="A1003">
        <v>231</v>
      </c>
      <c r="B1003" t="s">
        <v>634</v>
      </c>
      <c r="C1003" t="s">
        <v>48</v>
      </c>
      <c r="D1003" t="s">
        <v>263</v>
      </c>
      <c r="E1003">
        <f>1/149</f>
        <v>6.7114093959731542E-3</v>
      </c>
      <c r="F1003">
        <v>41</v>
      </c>
      <c r="G1003">
        <f>LOG(382/(41+1))</f>
        <v>0.95881407251380824</v>
      </c>
      <c r="H1003">
        <f>0.00671140939597315*2.2077509903232</f>
        <v>1.4817120740424152E-2</v>
      </c>
      <c r="I1003">
        <v>1.4817120740424209E-2</v>
      </c>
    </row>
    <row r="1004" spans="1:9" x14ac:dyDescent="0.25">
      <c r="A1004">
        <v>231</v>
      </c>
      <c r="B1004" t="s">
        <v>634</v>
      </c>
      <c r="C1004" t="s">
        <v>48</v>
      </c>
      <c r="D1004" t="s">
        <v>482</v>
      </c>
      <c r="E1004">
        <f>2/149</f>
        <v>1.3422818791946308E-2</v>
      </c>
      <c r="F1004">
        <v>16</v>
      </c>
      <c r="G1004">
        <f>LOG(382/(16+1))</f>
        <v>1.3516144415334348</v>
      </c>
      <c r="H1004">
        <f>0.0134228187919463*3.11220726455035</f>
        <v>4.1774594155038224E-2</v>
      </c>
      <c r="I1004">
        <v>4.1774594155038383E-2</v>
      </c>
    </row>
    <row r="1005" spans="1:9" x14ac:dyDescent="0.25">
      <c r="A1005">
        <v>231</v>
      </c>
      <c r="B1005" t="s">
        <v>634</v>
      </c>
      <c r="C1005" t="s">
        <v>48</v>
      </c>
      <c r="D1005" t="s">
        <v>641</v>
      </c>
      <c r="E1005">
        <f>1/149</f>
        <v>6.7114093959731542E-3</v>
      </c>
      <c r="F1005">
        <v>1</v>
      </c>
      <c r="G1005">
        <f>LOG(382/(1+1))</f>
        <v>2.2810333672477277</v>
      </c>
      <c r="H1005">
        <f>0.00671140939597315*5.25227342804663</f>
        <v>3.5250157235212257E-2</v>
      </c>
      <c r="I1005">
        <v>3.5250157235212277E-2</v>
      </c>
    </row>
    <row r="1006" spans="1:9" x14ac:dyDescent="0.25">
      <c r="A1006">
        <v>231</v>
      </c>
      <c r="B1006" t="s">
        <v>634</v>
      </c>
      <c r="C1006" t="s">
        <v>48</v>
      </c>
      <c r="D1006" t="s">
        <v>642</v>
      </c>
      <c r="E1006">
        <f>1/149</f>
        <v>6.7114093959731542E-3</v>
      </c>
      <c r="F1006">
        <v>2</v>
      </c>
      <c r="G1006">
        <f>LOG(382/(2+1))</f>
        <v>2.1049421081920463</v>
      </c>
      <c r="H1006">
        <f>0.00671140939597315*4.84680831993846</f>
        <v>3.2528914898915816E-2</v>
      </c>
      <c r="I1006">
        <v>3.2528914898915871E-2</v>
      </c>
    </row>
    <row r="1007" spans="1:9" x14ac:dyDescent="0.25">
      <c r="A1007">
        <v>231</v>
      </c>
      <c r="B1007" t="s">
        <v>634</v>
      </c>
      <c r="C1007" t="s">
        <v>48</v>
      </c>
      <c r="D1007" t="s">
        <v>643</v>
      </c>
      <c r="E1007">
        <f>1/149</f>
        <v>6.7114093959731542E-3</v>
      </c>
      <c r="F1007">
        <v>1</v>
      </c>
      <c r="G1007">
        <f>LOG(382/(1+1))</f>
        <v>2.2810333672477277</v>
      </c>
      <c r="H1007">
        <f>0.00671140939597315*5.25227342804663</f>
        <v>3.5250157235212257E-2</v>
      </c>
      <c r="I1007">
        <v>3.5250157235212277E-2</v>
      </c>
    </row>
    <row r="1008" spans="1:9" x14ac:dyDescent="0.25">
      <c r="A1008">
        <v>231</v>
      </c>
      <c r="B1008" t="s">
        <v>634</v>
      </c>
      <c r="C1008" t="s">
        <v>48</v>
      </c>
      <c r="D1008" t="s">
        <v>500</v>
      </c>
      <c r="E1008">
        <f>2/149</f>
        <v>1.3422818791946308E-2</v>
      </c>
      <c r="F1008">
        <v>4</v>
      </c>
      <c r="G1008">
        <f>LOG(382/(4+1))</f>
        <v>1.8830933585756899</v>
      </c>
      <c r="H1008">
        <f>0.0134228187919463*4.33598269617247</f>
        <v>5.8201110015737821E-2</v>
      </c>
      <c r="I1008">
        <v>5.8201110015737918E-2</v>
      </c>
    </row>
    <row r="1009" spans="1:9" x14ac:dyDescent="0.25">
      <c r="A1009">
        <v>231</v>
      </c>
      <c r="B1009" t="s">
        <v>634</v>
      </c>
      <c r="C1009" t="s">
        <v>48</v>
      </c>
      <c r="D1009" t="s">
        <v>644</v>
      </c>
      <c r="E1009">
        <f>2/149</f>
        <v>1.3422818791946308E-2</v>
      </c>
      <c r="F1009">
        <v>1</v>
      </c>
      <c r="G1009">
        <f>LOG(382/(1+1))</f>
        <v>2.2810333672477277</v>
      </c>
      <c r="H1009">
        <f>0.0134228187919463*5.25227342804663</f>
        <v>7.0500314470424513E-2</v>
      </c>
      <c r="I1009">
        <v>7.0500314470424555E-2</v>
      </c>
    </row>
    <row r="1010" spans="1:9" x14ac:dyDescent="0.25">
      <c r="A1010">
        <v>231</v>
      </c>
      <c r="B1010" t="s">
        <v>634</v>
      </c>
      <c r="C1010" t="s">
        <v>48</v>
      </c>
      <c r="D1010" t="s">
        <v>645</v>
      </c>
      <c r="E1010">
        <f>1/149</f>
        <v>6.7114093959731542E-3</v>
      </c>
      <c r="F1010">
        <v>5</v>
      </c>
      <c r="G1010">
        <f>LOG(382/(5+1))</f>
        <v>1.803912112528065</v>
      </c>
      <c r="H1010">
        <f>0.00671140939597315*4.15366113937852</f>
        <v>2.7876920398513538E-2</v>
      </c>
      <c r="I1010">
        <v>2.7876920398513551E-2</v>
      </c>
    </row>
    <row r="1011" spans="1:9" x14ac:dyDescent="0.25">
      <c r="A1011">
        <v>231</v>
      </c>
      <c r="B1011" t="s">
        <v>634</v>
      </c>
      <c r="C1011" t="s">
        <v>48</v>
      </c>
      <c r="D1011" t="s">
        <v>646</v>
      </c>
      <c r="E1011">
        <f>2/149</f>
        <v>1.3422818791946308E-2</v>
      </c>
      <c r="F1011">
        <v>3</v>
      </c>
      <c r="G1011">
        <f>LOG(382/(3+1))</f>
        <v>1.9800033715837464</v>
      </c>
      <c r="H1011">
        <f>0.0134228187919463*4.55912624748668</f>
        <v>6.1196325469619825E-2</v>
      </c>
      <c r="I1011">
        <v>6.1196325469619922E-2</v>
      </c>
    </row>
    <row r="1012" spans="1:9" x14ac:dyDescent="0.25">
      <c r="A1012">
        <v>231</v>
      </c>
      <c r="B1012" t="s">
        <v>634</v>
      </c>
      <c r="C1012" t="s">
        <v>48</v>
      </c>
      <c r="D1012" t="s">
        <v>647</v>
      </c>
      <c r="E1012">
        <f t="shared" ref="E1012:E1030" si="35">1/149</f>
        <v>6.7114093959731542E-3</v>
      </c>
      <c r="F1012">
        <v>1</v>
      </c>
      <c r="G1012">
        <f>LOG(382/(1+1))</f>
        <v>2.2810333672477277</v>
      </c>
      <c r="H1012">
        <f>0.00671140939597315*5.25227342804663</f>
        <v>3.5250157235212257E-2</v>
      </c>
      <c r="I1012">
        <v>3.5250157235212277E-2</v>
      </c>
    </row>
    <row r="1013" spans="1:9" x14ac:dyDescent="0.25">
      <c r="A1013">
        <v>231</v>
      </c>
      <c r="B1013" t="s">
        <v>634</v>
      </c>
      <c r="C1013" t="s">
        <v>48</v>
      </c>
      <c r="D1013" t="s">
        <v>648</v>
      </c>
      <c r="E1013">
        <f t="shared" si="35"/>
        <v>6.7114093959731542E-3</v>
      </c>
      <c r="F1013">
        <v>4</v>
      </c>
      <c r="G1013">
        <f>LOG(382/(4+1))</f>
        <v>1.8830933585756899</v>
      </c>
      <c r="H1013">
        <f>0.00671140939597315*4.33598269617247</f>
        <v>2.9100555007868911E-2</v>
      </c>
      <c r="I1013">
        <v>2.9100555007868959E-2</v>
      </c>
    </row>
    <row r="1014" spans="1:9" x14ac:dyDescent="0.25">
      <c r="A1014">
        <v>231</v>
      </c>
      <c r="B1014" t="s">
        <v>634</v>
      </c>
      <c r="C1014" t="s">
        <v>48</v>
      </c>
      <c r="D1014" t="s">
        <v>649</v>
      </c>
      <c r="E1014">
        <f t="shared" si="35"/>
        <v>6.7114093959731542E-3</v>
      </c>
      <c r="F1014">
        <v>25</v>
      </c>
      <c r="G1014">
        <f>LOG(382/(25+1))</f>
        <v>1.1670900149408907</v>
      </c>
      <c r="H1014">
        <f>0.00671140939597315*2.68732407058509</f>
        <v>1.8035732017349586E-2</v>
      </c>
      <c r="I1014">
        <v>1.8035732017349621E-2</v>
      </c>
    </row>
    <row r="1015" spans="1:9" x14ac:dyDescent="0.25">
      <c r="A1015">
        <v>231</v>
      </c>
      <c r="B1015" t="s">
        <v>634</v>
      </c>
      <c r="C1015" t="s">
        <v>48</v>
      </c>
      <c r="D1015" t="s">
        <v>650</v>
      </c>
      <c r="E1015">
        <f t="shared" si="35"/>
        <v>6.7114093959731542E-3</v>
      </c>
      <c r="F1015">
        <v>9</v>
      </c>
      <c r="G1015">
        <f>LOG(382/(9+1))</f>
        <v>1.5820633629117087</v>
      </c>
      <c r="H1015">
        <f>0.00671140939597315*3.64283551561252</f>
        <v>2.4448560507466563E-2</v>
      </c>
      <c r="I1015">
        <v>2.4448560507466639E-2</v>
      </c>
    </row>
    <row r="1016" spans="1:9" x14ac:dyDescent="0.25">
      <c r="A1016">
        <v>231</v>
      </c>
      <c r="B1016" t="s">
        <v>634</v>
      </c>
      <c r="C1016" t="s">
        <v>48</v>
      </c>
      <c r="D1016" t="s">
        <v>651</v>
      </c>
      <c r="E1016">
        <f t="shared" si="35"/>
        <v>6.7114093959731542E-3</v>
      </c>
      <c r="F1016">
        <v>1</v>
      </c>
      <c r="G1016">
        <f>LOG(382/(1+1))</f>
        <v>2.2810333672477277</v>
      </c>
      <c r="H1016">
        <f>0.00671140939597315*5.25227342804663</f>
        <v>3.5250157235212257E-2</v>
      </c>
      <c r="I1016">
        <v>3.5250157235212277E-2</v>
      </c>
    </row>
    <row r="1017" spans="1:9" x14ac:dyDescent="0.25">
      <c r="A1017">
        <v>231</v>
      </c>
      <c r="B1017" t="s">
        <v>634</v>
      </c>
      <c r="C1017" t="s">
        <v>48</v>
      </c>
      <c r="D1017" t="s">
        <v>652</v>
      </c>
      <c r="E1017">
        <f t="shared" si="35"/>
        <v>6.7114093959731542E-3</v>
      </c>
      <c r="F1017">
        <v>1</v>
      </c>
      <c r="G1017">
        <f>LOG(382/(1+1))</f>
        <v>2.2810333672477277</v>
      </c>
      <c r="H1017">
        <f>0.00671140939597315*5.25227342804663</f>
        <v>3.5250157235212257E-2</v>
      </c>
      <c r="I1017">
        <v>3.5250157235212277E-2</v>
      </c>
    </row>
    <row r="1018" spans="1:9" x14ac:dyDescent="0.25">
      <c r="A1018">
        <v>231</v>
      </c>
      <c r="B1018" t="s">
        <v>634</v>
      </c>
      <c r="C1018" t="s">
        <v>48</v>
      </c>
      <c r="D1018" t="s">
        <v>653</v>
      </c>
      <c r="E1018">
        <f t="shared" si="35"/>
        <v>6.7114093959731542E-3</v>
      </c>
      <c r="F1018">
        <v>3</v>
      </c>
      <c r="G1018">
        <f>LOG(382/(3+1))</f>
        <v>1.9800033715837464</v>
      </c>
      <c r="H1018">
        <f>0.00671140939597315*4.55912624748668</f>
        <v>3.0598162734809912E-2</v>
      </c>
      <c r="I1018">
        <v>3.0598162734809961E-2</v>
      </c>
    </row>
    <row r="1019" spans="1:9" x14ac:dyDescent="0.25">
      <c r="A1019">
        <v>231</v>
      </c>
      <c r="B1019" t="s">
        <v>634</v>
      </c>
      <c r="C1019" t="s">
        <v>48</v>
      </c>
      <c r="D1019" t="s">
        <v>654</v>
      </c>
      <c r="E1019">
        <f t="shared" si="35"/>
        <v>6.7114093959731542E-3</v>
      </c>
      <c r="F1019">
        <v>2</v>
      </c>
      <c r="G1019">
        <f>LOG(382/(2+1))</f>
        <v>2.1049421081920463</v>
      </c>
      <c r="H1019">
        <f>0.00671140939597315*4.84680831993846</f>
        <v>3.2528914898915816E-2</v>
      </c>
      <c r="I1019">
        <v>3.2528914898915871E-2</v>
      </c>
    </row>
    <row r="1020" spans="1:9" x14ac:dyDescent="0.25">
      <c r="A1020">
        <v>231</v>
      </c>
      <c r="B1020" t="s">
        <v>634</v>
      </c>
      <c r="C1020" t="s">
        <v>48</v>
      </c>
      <c r="D1020" t="s">
        <v>655</v>
      </c>
      <c r="E1020">
        <f t="shared" si="35"/>
        <v>6.7114093959731542E-3</v>
      </c>
      <c r="F1020">
        <v>3</v>
      </c>
      <c r="G1020">
        <f>LOG(382/(3+1))</f>
        <v>1.9800033715837464</v>
      </c>
      <c r="H1020">
        <f>0.00671140939597315*4.55912624748668</f>
        <v>3.0598162734809912E-2</v>
      </c>
      <c r="I1020">
        <v>3.0598162734809961E-2</v>
      </c>
    </row>
    <row r="1021" spans="1:9" x14ac:dyDescent="0.25">
      <c r="A1021">
        <v>231</v>
      </c>
      <c r="B1021" t="s">
        <v>634</v>
      </c>
      <c r="C1021" t="s">
        <v>48</v>
      </c>
      <c r="D1021" t="s">
        <v>656</v>
      </c>
      <c r="E1021">
        <f t="shared" si="35"/>
        <v>6.7114093959731542E-3</v>
      </c>
      <c r="F1021">
        <v>3</v>
      </c>
      <c r="G1021">
        <f>LOG(382/(3+1))</f>
        <v>1.9800033715837464</v>
      </c>
      <c r="H1021">
        <f>0.00671140939597315*4.55912624748668</f>
        <v>3.0598162734809912E-2</v>
      </c>
      <c r="I1021">
        <v>3.0598162734809961E-2</v>
      </c>
    </row>
    <row r="1022" spans="1:9" x14ac:dyDescent="0.25">
      <c r="A1022">
        <v>231</v>
      </c>
      <c r="B1022" t="s">
        <v>634</v>
      </c>
      <c r="C1022" t="s">
        <v>48</v>
      </c>
      <c r="D1022" t="s">
        <v>657</v>
      </c>
      <c r="E1022">
        <f t="shared" si="35"/>
        <v>6.7114093959731542E-3</v>
      </c>
      <c r="F1022">
        <v>1</v>
      </c>
      <c r="G1022">
        <f t="shared" ref="G1022:G1028" si="36">LOG(382/(1+1))</f>
        <v>2.2810333672477277</v>
      </c>
      <c r="H1022">
        <f t="shared" ref="H1022:H1028" si="37">0.00671140939597315*5.25227342804663</f>
        <v>3.5250157235212257E-2</v>
      </c>
      <c r="I1022">
        <v>3.5250157235212277E-2</v>
      </c>
    </row>
    <row r="1023" spans="1:9" x14ac:dyDescent="0.25">
      <c r="A1023">
        <v>231</v>
      </c>
      <c r="B1023" t="s">
        <v>634</v>
      </c>
      <c r="C1023" t="s">
        <v>48</v>
      </c>
      <c r="D1023" t="s">
        <v>658</v>
      </c>
      <c r="E1023">
        <f t="shared" si="35"/>
        <v>6.7114093959731542E-3</v>
      </c>
      <c r="F1023">
        <v>1</v>
      </c>
      <c r="G1023">
        <f t="shared" si="36"/>
        <v>2.2810333672477277</v>
      </c>
      <c r="H1023">
        <f t="shared" si="37"/>
        <v>3.5250157235212257E-2</v>
      </c>
      <c r="I1023">
        <v>3.5250157235212277E-2</v>
      </c>
    </row>
    <row r="1024" spans="1:9" x14ac:dyDescent="0.25">
      <c r="A1024">
        <v>231</v>
      </c>
      <c r="B1024" t="s">
        <v>634</v>
      </c>
      <c r="C1024" t="s">
        <v>48</v>
      </c>
      <c r="D1024" t="s">
        <v>659</v>
      </c>
      <c r="E1024">
        <f t="shared" si="35"/>
        <v>6.7114093959731542E-3</v>
      </c>
      <c r="F1024">
        <v>1</v>
      </c>
      <c r="G1024">
        <f t="shared" si="36"/>
        <v>2.2810333672477277</v>
      </c>
      <c r="H1024">
        <f t="shared" si="37"/>
        <v>3.5250157235212257E-2</v>
      </c>
      <c r="I1024">
        <v>3.5250157235212277E-2</v>
      </c>
    </row>
    <row r="1025" spans="1:9" x14ac:dyDescent="0.25">
      <c r="A1025">
        <v>231</v>
      </c>
      <c r="B1025" t="s">
        <v>634</v>
      </c>
      <c r="C1025" t="s">
        <v>48</v>
      </c>
      <c r="D1025" t="s">
        <v>660</v>
      </c>
      <c r="E1025">
        <f t="shared" si="35"/>
        <v>6.7114093959731542E-3</v>
      </c>
      <c r="F1025">
        <v>1</v>
      </c>
      <c r="G1025">
        <f t="shared" si="36"/>
        <v>2.2810333672477277</v>
      </c>
      <c r="H1025">
        <f t="shared" si="37"/>
        <v>3.5250157235212257E-2</v>
      </c>
      <c r="I1025">
        <v>3.5250157235212277E-2</v>
      </c>
    </row>
    <row r="1026" spans="1:9" x14ac:dyDescent="0.25">
      <c r="A1026">
        <v>231</v>
      </c>
      <c r="B1026" t="s">
        <v>634</v>
      </c>
      <c r="C1026" t="s">
        <v>48</v>
      </c>
      <c r="D1026" t="s">
        <v>661</v>
      </c>
      <c r="E1026">
        <f t="shared" si="35"/>
        <v>6.7114093959731542E-3</v>
      </c>
      <c r="F1026">
        <v>1</v>
      </c>
      <c r="G1026">
        <f t="shared" si="36"/>
        <v>2.2810333672477277</v>
      </c>
      <c r="H1026">
        <f t="shared" si="37"/>
        <v>3.5250157235212257E-2</v>
      </c>
      <c r="I1026">
        <v>3.5250157235212277E-2</v>
      </c>
    </row>
    <row r="1027" spans="1:9" x14ac:dyDescent="0.25">
      <c r="A1027">
        <v>231</v>
      </c>
      <c r="B1027" t="s">
        <v>634</v>
      </c>
      <c r="C1027" t="s">
        <v>48</v>
      </c>
      <c r="D1027" t="s">
        <v>662</v>
      </c>
      <c r="E1027">
        <f t="shared" si="35"/>
        <v>6.7114093959731542E-3</v>
      </c>
      <c r="F1027">
        <v>1</v>
      </c>
      <c r="G1027">
        <f t="shared" si="36"/>
        <v>2.2810333672477277</v>
      </c>
      <c r="H1027">
        <f t="shared" si="37"/>
        <v>3.5250157235212257E-2</v>
      </c>
      <c r="I1027">
        <v>3.5250157235212277E-2</v>
      </c>
    </row>
    <row r="1028" spans="1:9" x14ac:dyDescent="0.25">
      <c r="A1028">
        <v>231</v>
      </c>
      <c r="B1028" t="s">
        <v>634</v>
      </c>
      <c r="C1028" t="s">
        <v>48</v>
      </c>
      <c r="D1028" t="s">
        <v>663</v>
      </c>
      <c r="E1028">
        <f t="shared" si="35"/>
        <v>6.7114093959731542E-3</v>
      </c>
      <c r="F1028">
        <v>1</v>
      </c>
      <c r="G1028">
        <f t="shared" si="36"/>
        <v>2.2810333672477277</v>
      </c>
      <c r="H1028">
        <f t="shared" si="37"/>
        <v>3.5250157235212257E-2</v>
      </c>
      <c r="I1028">
        <v>3.5250157235212277E-2</v>
      </c>
    </row>
    <row r="1029" spans="1:9" x14ac:dyDescent="0.25">
      <c r="A1029">
        <v>231</v>
      </c>
      <c r="B1029" t="s">
        <v>634</v>
      </c>
      <c r="C1029" t="s">
        <v>48</v>
      </c>
      <c r="D1029" t="s">
        <v>58</v>
      </c>
      <c r="E1029">
        <f t="shared" si="35"/>
        <v>6.7114093959731542E-3</v>
      </c>
      <c r="F1029">
        <v>18</v>
      </c>
      <c r="G1029">
        <f>LOG(382/(18+1))</f>
        <v>1.3033097619588798</v>
      </c>
      <c r="H1029">
        <f>0.00671140939597315*3.00098162944013</f>
        <v>2.0140816304967304E-2</v>
      </c>
      <c r="I1029">
        <v>2.0140816304967349E-2</v>
      </c>
    </row>
    <row r="1030" spans="1:9" x14ac:dyDescent="0.25">
      <c r="A1030">
        <v>231</v>
      </c>
      <c r="B1030" t="s">
        <v>634</v>
      </c>
      <c r="C1030" t="s">
        <v>48</v>
      </c>
      <c r="D1030" t="s">
        <v>199</v>
      </c>
      <c r="E1030">
        <f t="shared" si="35"/>
        <v>6.7114093959731542E-3</v>
      </c>
      <c r="F1030">
        <v>2</v>
      </c>
      <c r="G1030">
        <f>LOG(382/(2+1))</f>
        <v>2.1049421081920463</v>
      </c>
      <c r="H1030">
        <f>0.00671140939597315*4.84680831993846</f>
        <v>3.2528914898915816E-2</v>
      </c>
      <c r="I1030">
        <v>3.2528914898915871E-2</v>
      </c>
    </row>
    <row r="1031" spans="1:9" x14ac:dyDescent="0.25">
      <c r="A1031">
        <v>231</v>
      </c>
      <c r="B1031" t="s">
        <v>634</v>
      </c>
      <c r="C1031" t="s">
        <v>48</v>
      </c>
      <c r="D1031" t="s">
        <v>197</v>
      </c>
      <c r="E1031">
        <f>2/149</f>
        <v>1.3422818791946308E-2</v>
      </c>
      <c r="F1031">
        <v>18</v>
      </c>
      <c r="G1031">
        <f>LOG(382/(18+1))</f>
        <v>1.3033097619588798</v>
      </c>
      <c r="H1031">
        <f>0.0134228187919463*3.00098162944013</f>
        <v>4.0281632609934608E-2</v>
      </c>
      <c r="I1031">
        <v>4.0281632609934691E-2</v>
      </c>
    </row>
    <row r="1032" spans="1:9" x14ac:dyDescent="0.25">
      <c r="A1032">
        <v>231</v>
      </c>
      <c r="B1032" t="s">
        <v>634</v>
      </c>
      <c r="C1032" t="s">
        <v>48</v>
      </c>
      <c r="D1032" t="s">
        <v>403</v>
      </c>
      <c r="E1032">
        <f t="shared" ref="E1032:E1038" si="38">1/149</f>
        <v>6.7114093959731542E-3</v>
      </c>
      <c r="F1032">
        <v>11</v>
      </c>
      <c r="G1032">
        <f>LOG(382/(11+1))</f>
        <v>1.5028821168640838</v>
      </c>
      <c r="H1032">
        <f>0.00671140939597315*3.46051395881857</f>
        <v>2.3224925898111193E-2</v>
      </c>
      <c r="I1032">
        <v>2.3224925898111239E-2</v>
      </c>
    </row>
    <row r="1033" spans="1:9" x14ac:dyDescent="0.25">
      <c r="A1033">
        <v>231</v>
      </c>
      <c r="B1033" t="s">
        <v>634</v>
      </c>
      <c r="C1033" t="s">
        <v>48</v>
      </c>
      <c r="D1033" t="s">
        <v>188</v>
      </c>
      <c r="E1033">
        <f t="shared" si="38"/>
        <v>6.7114093959731542E-3</v>
      </c>
      <c r="F1033">
        <v>19</v>
      </c>
      <c r="G1033">
        <f>LOG(382/(19+1))</f>
        <v>1.2810333672477277</v>
      </c>
      <c r="H1033">
        <f>0.00671140939597315*2.94968833505258</f>
        <v>1.9796566007064281E-2</v>
      </c>
      <c r="I1033">
        <v>1.9796566007064319E-2</v>
      </c>
    </row>
    <row r="1034" spans="1:9" x14ac:dyDescent="0.25">
      <c r="A1034">
        <v>231</v>
      </c>
      <c r="B1034" t="s">
        <v>634</v>
      </c>
      <c r="C1034" t="s">
        <v>48</v>
      </c>
      <c r="D1034" t="s">
        <v>94</v>
      </c>
      <c r="E1034">
        <f t="shared" si="38"/>
        <v>6.7114093959731542E-3</v>
      </c>
      <c r="F1034">
        <v>12</v>
      </c>
      <c r="G1034">
        <f>LOG(382/(12+1))</f>
        <v>1.468120010604872</v>
      </c>
      <c r="H1034">
        <f>0.00671140939597315*3.38047125114503</f>
        <v>2.2687726517751864E-2</v>
      </c>
      <c r="I1034">
        <v>2.268772651775194E-2</v>
      </c>
    </row>
    <row r="1035" spans="1:9" x14ac:dyDescent="0.25">
      <c r="A1035">
        <v>231</v>
      </c>
      <c r="B1035" t="s">
        <v>634</v>
      </c>
      <c r="C1035" t="s">
        <v>48</v>
      </c>
      <c r="D1035" t="s">
        <v>664</v>
      </c>
      <c r="E1035">
        <f t="shared" si="38"/>
        <v>6.7114093959731542E-3</v>
      </c>
      <c r="F1035">
        <v>1</v>
      </c>
      <c r="G1035">
        <f>LOG(382/(1+1))</f>
        <v>2.2810333672477277</v>
      </c>
      <c r="H1035">
        <f>0.00671140939597315*5.25227342804663</f>
        <v>3.5250157235212257E-2</v>
      </c>
      <c r="I1035">
        <v>3.5250157235212277E-2</v>
      </c>
    </row>
    <row r="1036" spans="1:9" x14ac:dyDescent="0.25">
      <c r="A1036">
        <v>231</v>
      </c>
      <c r="B1036" t="s">
        <v>634</v>
      </c>
      <c r="C1036" t="s">
        <v>48</v>
      </c>
      <c r="D1036" t="s">
        <v>449</v>
      </c>
      <c r="E1036">
        <f t="shared" si="38"/>
        <v>6.7114093959731542E-3</v>
      </c>
      <c r="F1036">
        <v>9</v>
      </c>
      <c r="G1036">
        <f>LOG(382/(9+1))</f>
        <v>1.5820633629117087</v>
      </c>
      <c r="H1036">
        <f>0.00671140939597315*3.64283551561252</f>
        <v>2.4448560507466563E-2</v>
      </c>
      <c r="I1036">
        <v>2.4448560507466639E-2</v>
      </c>
    </row>
    <row r="1037" spans="1:9" x14ac:dyDescent="0.25">
      <c r="A1037">
        <v>231</v>
      </c>
      <c r="B1037" t="s">
        <v>634</v>
      </c>
      <c r="C1037" t="s">
        <v>48</v>
      </c>
      <c r="D1037" t="s">
        <v>665</v>
      </c>
      <c r="E1037">
        <f t="shared" si="38"/>
        <v>6.7114093959731542E-3</v>
      </c>
      <c r="F1037">
        <v>1</v>
      </c>
      <c r="G1037">
        <f>LOG(382/(1+1))</f>
        <v>2.2810333672477277</v>
      </c>
      <c r="H1037">
        <f>0.00671140939597315*5.25227342804663</f>
        <v>3.5250157235212257E-2</v>
      </c>
      <c r="I1037">
        <v>3.5250157235212277E-2</v>
      </c>
    </row>
    <row r="1038" spans="1:9" x14ac:dyDescent="0.25">
      <c r="A1038">
        <v>231</v>
      </c>
      <c r="B1038" t="s">
        <v>634</v>
      </c>
      <c r="C1038" t="s">
        <v>48</v>
      </c>
      <c r="D1038" t="s">
        <v>666</v>
      </c>
      <c r="E1038">
        <f t="shared" si="38"/>
        <v>6.7114093959731542E-3</v>
      </c>
      <c r="F1038">
        <v>9</v>
      </c>
      <c r="G1038">
        <f>LOG(382/(9+1))</f>
        <v>1.5820633629117087</v>
      </c>
      <c r="H1038">
        <f>0.00671140939597315*3.64283551561252</f>
        <v>2.4448560507466563E-2</v>
      </c>
      <c r="I1038">
        <v>2.4448560507466639E-2</v>
      </c>
    </row>
    <row r="1039" spans="1:9" x14ac:dyDescent="0.25">
      <c r="A1039">
        <v>231</v>
      </c>
      <c r="B1039" t="s">
        <v>634</v>
      </c>
      <c r="C1039" t="s">
        <v>48</v>
      </c>
      <c r="D1039" t="s">
        <v>552</v>
      </c>
      <c r="E1039">
        <f>2/149</f>
        <v>1.3422818791946308E-2</v>
      </c>
      <c r="F1039">
        <v>14</v>
      </c>
      <c r="G1039">
        <f>LOG(382/(14+1))</f>
        <v>1.4059721038560276</v>
      </c>
      <c r="H1039">
        <f>0.0134228187919463*3.23737040750436</f>
        <v>4.3454636342340369E-2</v>
      </c>
      <c r="I1039">
        <v>4.3454636342340473E-2</v>
      </c>
    </row>
    <row r="1040" spans="1:9" x14ac:dyDescent="0.25">
      <c r="A1040">
        <v>231</v>
      </c>
      <c r="B1040" t="s">
        <v>634</v>
      </c>
      <c r="C1040" t="s">
        <v>48</v>
      </c>
      <c r="D1040" t="s">
        <v>667</v>
      </c>
      <c r="E1040">
        <f t="shared" ref="E1040:E1057" si="39">1/149</f>
        <v>6.7114093959731542E-3</v>
      </c>
      <c r="F1040">
        <v>1</v>
      </c>
      <c r="G1040">
        <f>LOG(382/(1+1))</f>
        <v>2.2810333672477277</v>
      </c>
      <c r="H1040">
        <f>0.00671140939597315*5.25227342804663</f>
        <v>3.5250157235212257E-2</v>
      </c>
      <c r="I1040">
        <v>3.5250157235212277E-2</v>
      </c>
    </row>
    <row r="1041" spans="1:9" x14ac:dyDescent="0.25">
      <c r="A1041">
        <v>231</v>
      </c>
      <c r="B1041" t="s">
        <v>634</v>
      </c>
      <c r="C1041" t="s">
        <v>48</v>
      </c>
      <c r="D1041" t="s">
        <v>211</v>
      </c>
      <c r="E1041">
        <f t="shared" si="39"/>
        <v>6.7114093959731542E-3</v>
      </c>
      <c r="F1041">
        <v>10</v>
      </c>
      <c r="G1041">
        <f>LOG(382/(10+1))</f>
        <v>1.5406706777534838</v>
      </c>
      <c r="H1041">
        <f>0.00671140939597315*3.5475253358082</f>
        <v>2.380889487119596E-2</v>
      </c>
      <c r="I1041">
        <v>2.3808894871196001E-2</v>
      </c>
    </row>
    <row r="1042" spans="1:9" x14ac:dyDescent="0.25">
      <c r="A1042">
        <v>231</v>
      </c>
      <c r="B1042" t="s">
        <v>634</v>
      </c>
      <c r="C1042" t="s">
        <v>48</v>
      </c>
      <c r="D1042" t="s">
        <v>668</v>
      </c>
      <c r="E1042">
        <f t="shared" si="39"/>
        <v>6.7114093959731542E-3</v>
      </c>
      <c r="F1042">
        <v>1</v>
      </c>
      <c r="G1042">
        <f>LOG(382/(1+1))</f>
        <v>2.2810333672477277</v>
      </c>
      <c r="H1042">
        <f>0.00671140939597315*5.25227342804663</f>
        <v>3.5250157235212257E-2</v>
      </c>
      <c r="I1042">
        <v>3.5250157235212277E-2</v>
      </c>
    </row>
    <row r="1043" spans="1:9" x14ac:dyDescent="0.25">
      <c r="A1043">
        <v>231</v>
      </c>
      <c r="B1043" t="s">
        <v>634</v>
      </c>
      <c r="C1043" t="s">
        <v>48</v>
      </c>
      <c r="D1043" t="s">
        <v>669</v>
      </c>
      <c r="E1043">
        <f t="shared" si="39"/>
        <v>6.7114093959731542E-3</v>
      </c>
      <c r="F1043">
        <v>1</v>
      </c>
      <c r="G1043">
        <f>LOG(382/(1+1))</f>
        <v>2.2810333672477277</v>
      </c>
      <c r="H1043">
        <f>0.00671140939597315*5.25227342804663</f>
        <v>3.5250157235212257E-2</v>
      </c>
      <c r="I1043">
        <v>3.5250157235212277E-2</v>
      </c>
    </row>
    <row r="1044" spans="1:9" x14ac:dyDescent="0.25">
      <c r="A1044">
        <v>231</v>
      </c>
      <c r="B1044" t="s">
        <v>634</v>
      </c>
      <c r="C1044" t="s">
        <v>48</v>
      </c>
      <c r="D1044" t="s">
        <v>670</v>
      </c>
      <c r="E1044">
        <f t="shared" si="39"/>
        <v>6.7114093959731542E-3</v>
      </c>
      <c r="F1044">
        <v>6</v>
      </c>
      <c r="G1044">
        <f>LOG(382/(6+1))</f>
        <v>1.736965322897452</v>
      </c>
      <c r="H1044">
        <f>0.00671140939597315*3.99951045955126</f>
        <v>2.6842352077525219E-2</v>
      </c>
      <c r="I1044">
        <v>2.684235207752525E-2</v>
      </c>
    </row>
    <row r="1045" spans="1:9" x14ac:dyDescent="0.25">
      <c r="A1045">
        <v>231</v>
      </c>
      <c r="B1045" t="s">
        <v>634</v>
      </c>
      <c r="C1045" t="s">
        <v>48</v>
      </c>
      <c r="D1045" t="s">
        <v>548</v>
      </c>
      <c r="E1045">
        <f t="shared" si="39"/>
        <v>6.7114093959731542E-3</v>
      </c>
      <c r="F1045">
        <v>3</v>
      </c>
      <c r="G1045">
        <f>LOG(382/(3+1))</f>
        <v>1.9800033715837464</v>
      </c>
      <c r="H1045">
        <f>0.00671140939597315*4.55912624748668</f>
        <v>3.0598162734809912E-2</v>
      </c>
      <c r="I1045">
        <v>3.0598162734809961E-2</v>
      </c>
    </row>
    <row r="1046" spans="1:9" x14ac:dyDescent="0.25">
      <c r="A1046">
        <v>231</v>
      </c>
      <c r="B1046" t="s">
        <v>634</v>
      </c>
      <c r="C1046" t="s">
        <v>48</v>
      </c>
      <c r="D1046" t="s">
        <v>671</v>
      </c>
      <c r="E1046">
        <f t="shared" si="39"/>
        <v>6.7114093959731542E-3</v>
      </c>
      <c r="F1046">
        <v>10</v>
      </c>
      <c r="G1046">
        <f>LOG(382/(10+1))</f>
        <v>1.5406706777534838</v>
      </c>
      <c r="H1046">
        <f>0.00671140939597315*3.5475253358082</f>
        <v>2.380889487119596E-2</v>
      </c>
      <c r="I1046">
        <v>2.3808894871196001E-2</v>
      </c>
    </row>
    <row r="1047" spans="1:9" x14ac:dyDescent="0.25">
      <c r="A1047">
        <v>231</v>
      </c>
      <c r="B1047" t="s">
        <v>634</v>
      </c>
      <c r="C1047" t="s">
        <v>48</v>
      </c>
      <c r="D1047" t="s">
        <v>672</v>
      </c>
      <c r="E1047">
        <f t="shared" si="39"/>
        <v>6.7114093959731542E-3</v>
      </c>
      <c r="F1047">
        <v>3</v>
      </c>
      <c r="G1047">
        <f>LOG(382/(3+1))</f>
        <v>1.9800033715837464</v>
      </c>
      <c r="H1047">
        <f>0.00671140939597315*4.55912624748668</f>
        <v>3.0598162734809912E-2</v>
      </c>
      <c r="I1047">
        <v>3.0598162734809961E-2</v>
      </c>
    </row>
    <row r="1048" spans="1:9" x14ac:dyDescent="0.25">
      <c r="A1048">
        <v>231</v>
      </c>
      <c r="B1048" t="s">
        <v>634</v>
      </c>
      <c r="C1048" t="s">
        <v>48</v>
      </c>
      <c r="D1048" t="s">
        <v>673</v>
      </c>
      <c r="E1048">
        <f t="shared" si="39"/>
        <v>6.7114093959731542E-3</v>
      </c>
      <c r="F1048">
        <v>16</v>
      </c>
      <c r="G1048">
        <f>LOG(382/(16+1))</f>
        <v>1.3516144415334348</v>
      </c>
      <c r="H1048">
        <f>0.00671140939597315*3.11220726455035</f>
        <v>2.0887297077519112E-2</v>
      </c>
      <c r="I1048">
        <v>2.0887297077519192E-2</v>
      </c>
    </row>
    <row r="1049" spans="1:9" x14ac:dyDescent="0.25">
      <c r="A1049">
        <v>231</v>
      </c>
      <c r="B1049" t="s">
        <v>634</v>
      </c>
      <c r="C1049" t="s">
        <v>48</v>
      </c>
      <c r="D1049" t="s">
        <v>600</v>
      </c>
      <c r="E1049">
        <f t="shared" si="39"/>
        <v>6.7114093959731542E-3</v>
      </c>
      <c r="F1049">
        <v>102</v>
      </c>
      <c r="G1049">
        <f>LOG(382/(102+1))</f>
        <v>0.56922613820653656</v>
      </c>
      <c r="H1049">
        <f>0.00671140939597315*1.31069162037693</f>
        <v>8.7965880562210011E-3</v>
      </c>
      <c r="I1049">
        <v>8.7965880562210705E-3</v>
      </c>
    </row>
    <row r="1050" spans="1:9" x14ac:dyDescent="0.25">
      <c r="A1050">
        <v>231</v>
      </c>
      <c r="B1050" t="s">
        <v>634</v>
      </c>
      <c r="C1050" t="s">
        <v>48</v>
      </c>
      <c r="D1050" t="s">
        <v>674</v>
      </c>
      <c r="E1050">
        <f t="shared" si="39"/>
        <v>6.7114093959731542E-3</v>
      </c>
      <c r="F1050">
        <v>11</v>
      </c>
      <c r="G1050">
        <f>LOG(382/(11+1))</f>
        <v>1.5028821168640838</v>
      </c>
      <c r="H1050">
        <f>0.00671140939597315*3.46051395881857</f>
        <v>2.3224925898111193E-2</v>
      </c>
      <c r="I1050">
        <v>2.3224925898111239E-2</v>
      </c>
    </row>
    <row r="1051" spans="1:9" x14ac:dyDescent="0.25">
      <c r="A1051">
        <v>231</v>
      </c>
      <c r="B1051" t="s">
        <v>634</v>
      </c>
      <c r="C1051" t="s">
        <v>48</v>
      </c>
      <c r="D1051" t="s">
        <v>675</v>
      </c>
      <c r="E1051">
        <f t="shared" si="39"/>
        <v>6.7114093959731542E-3</v>
      </c>
      <c r="F1051">
        <v>10</v>
      </c>
      <c r="G1051">
        <f>LOG(382/(10+1))</f>
        <v>1.5406706777534838</v>
      </c>
      <c r="H1051">
        <f>0.00671140939597315*3.5475253358082</f>
        <v>2.380889487119596E-2</v>
      </c>
      <c r="I1051">
        <v>2.3808894871196001E-2</v>
      </c>
    </row>
    <row r="1052" spans="1:9" x14ac:dyDescent="0.25">
      <c r="A1052">
        <v>231</v>
      </c>
      <c r="B1052" t="s">
        <v>634</v>
      </c>
      <c r="C1052" t="s">
        <v>48</v>
      </c>
      <c r="D1052" t="s">
        <v>676</v>
      </c>
      <c r="E1052">
        <f t="shared" si="39"/>
        <v>6.7114093959731542E-3</v>
      </c>
      <c r="F1052">
        <v>20</v>
      </c>
      <c r="G1052">
        <f>LOG(382/(20+1))</f>
        <v>1.2598440681777894</v>
      </c>
      <c r="H1052">
        <f>0.00671140939597315*2.90089817088315</f>
        <v>1.9469115240826496E-2</v>
      </c>
      <c r="I1052">
        <v>1.9469115240826521E-2</v>
      </c>
    </row>
    <row r="1053" spans="1:9" x14ac:dyDescent="0.25">
      <c r="A1053">
        <v>231</v>
      </c>
      <c r="B1053" t="s">
        <v>634</v>
      </c>
      <c r="C1053" t="s">
        <v>48</v>
      </c>
      <c r="D1053" t="s">
        <v>677</v>
      </c>
      <c r="E1053">
        <f t="shared" si="39"/>
        <v>6.7114093959731542E-3</v>
      </c>
      <c r="F1053">
        <v>4</v>
      </c>
      <c r="G1053">
        <f>LOG(382/(4+1))</f>
        <v>1.8830933585756899</v>
      </c>
      <c r="H1053">
        <f>0.00671140939597315*4.33598269617247</f>
        <v>2.9100555007868911E-2</v>
      </c>
      <c r="I1053">
        <v>2.9100555007868959E-2</v>
      </c>
    </row>
    <row r="1054" spans="1:9" x14ac:dyDescent="0.25">
      <c r="A1054">
        <v>231</v>
      </c>
      <c r="B1054" t="s">
        <v>634</v>
      </c>
      <c r="C1054" t="s">
        <v>48</v>
      </c>
      <c r="D1054" t="s">
        <v>678</v>
      </c>
      <c r="E1054">
        <f t="shared" si="39"/>
        <v>6.7114093959731542E-3</v>
      </c>
      <c r="F1054">
        <v>2</v>
      </c>
      <c r="G1054">
        <f>LOG(382/(2+1))</f>
        <v>2.1049421081920463</v>
      </c>
      <c r="H1054">
        <f>0.00671140939597315*4.84680831993846</f>
        <v>3.2528914898915816E-2</v>
      </c>
      <c r="I1054">
        <v>3.2528914898915871E-2</v>
      </c>
    </row>
    <row r="1055" spans="1:9" x14ac:dyDescent="0.25">
      <c r="A1055">
        <v>231</v>
      </c>
      <c r="B1055" t="s">
        <v>634</v>
      </c>
      <c r="C1055" t="s">
        <v>48</v>
      </c>
      <c r="D1055" t="s">
        <v>679</v>
      </c>
      <c r="E1055">
        <f t="shared" si="39"/>
        <v>6.7114093959731542E-3</v>
      </c>
      <c r="F1055">
        <v>4</v>
      </c>
      <c r="G1055">
        <f>LOG(382/(4+1))</f>
        <v>1.8830933585756899</v>
      </c>
      <c r="H1055">
        <f>0.00671140939597315*4.33598269617247</f>
        <v>2.9100555007868911E-2</v>
      </c>
      <c r="I1055">
        <v>2.9100555007868959E-2</v>
      </c>
    </row>
    <row r="1056" spans="1:9" x14ac:dyDescent="0.25">
      <c r="A1056">
        <v>231</v>
      </c>
      <c r="B1056" t="s">
        <v>634</v>
      </c>
      <c r="C1056" t="s">
        <v>48</v>
      </c>
      <c r="D1056" t="s">
        <v>680</v>
      </c>
      <c r="E1056">
        <f t="shared" si="39"/>
        <v>6.7114093959731542E-3</v>
      </c>
      <c r="F1056">
        <v>25</v>
      </c>
      <c r="G1056">
        <f>LOG(382/(25+1))</f>
        <v>1.1670900149408907</v>
      </c>
      <c r="H1056">
        <f>0.00671140939597315*2.68732407058509</f>
        <v>1.8035732017349586E-2</v>
      </c>
      <c r="I1056">
        <v>1.8035732017349621E-2</v>
      </c>
    </row>
    <row r="1057" spans="1:9" x14ac:dyDescent="0.25">
      <c r="A1057">
        <v>231</v>
      </c>
      <c r="B1057" t="s">
        <v>634</v>
      </c>
      <c r="C1057" t="s">
        <v>48</v>
      </c>
      <c r="D1057" t="s">
        <v>681</v>
      </c>
      <c r="E1057">
        <f t="shared" si="39"/>
        <v>6.7114093959731542E-3</v>
      </c>
      <c r="F1057">
        <v>1</v>
      </c>
      <c r="G1057">
        <f>LOG(382/(1+1))</f>
        <v>2.2810333672477277</v>
      </c>
      <c r="H1057">
        <f>0.00671140939597315*5.25227342804663</f>
        <v>3.5250157235212257E-2</v>
      </c>
      <c r="I1057">
        <v>3.5250157235212277E-2</v>
      </c>
    </row>
    <row r="1058" spans="1:9" x14ac:dyDescent="0.25">
      <c r="A1058">
        <v>231</v>
      </c>
      <c r="B1058" t="s">
        <v>634</v>
      </c>
      <c r="C1058" t="s">
        <v>48</v>
      </c>
      <c r="D1058" t="s">
        <v>682</v>
      </c>
      <c r="E1058">
        <f>2/149</f>
        <v>1.3422818791946308E-2</v>
      </c>
      <c r="F1058">
        <v>1</v>
      </c>
      <c r="G1058">
        <f>LOG(382/(1+1))</f>
        <v>2.2810333672477277</v>
      </c>
      <c r="H1058">
        <f>0.0134228187919463*5.25227342804663</f>
        <v>7.0500314470424513E-2</v>
      </c>
      <c r="I1058">
        <v>7.0500314470424555E-2</v>
      </c>
    </row>
    <row r="1059" spans="1:9" x14ac:dyDescent="0.25">
      <c r="A1059">
        <v>231</v>
      </c>
      <c r="B1059" t="s">
        <v>634</v>
      </c>
      <c r="C1059" t="s">
        <v>48</v>
      </c>
      <c r="D1059" t="s">
        <v>683</v>
      </c>
      <c r="E1059">
        <f>1/149</f>
        <v>6.7114093959731542E-3</v>
      </c>
      <c r="F1059">
        <v>1</v>
      </c>
      <c r="G1059">
        <f>LOG(382/(1+1))</f>
        <v>2.2810333672477277</v>
      </c>
      <c r="H1059">
        <f>0.00671140939597315*5.25227342804663</f>
        <v>3.5250157235212257E-2</v>
      </c>
      <c r="I1059">
        <v>3.5250157235212277E-2</v>
      </c>
    </row>
    <row r="1060" spans="1:9" x14ac:dyDescent="0.25">
      <c r="A1060">
        <v>231</v>
      </c>
      <c r="B1060" t="s">
        <v>634</v>
      </c>
      <c r="C1060" t="s">
        <v>48</v>
      </c>
      <c r="D1060" t="s">
        <v>471</v>
      </c>
      <c r="E1060">
        <f>2/149</f>
        <v>1.3422818791946308E-2</v>
      </c>
      <c r="F1060">
        <v>7</v>
      </c>
      <c r="G1060">
        <f>LOG(382/(7+1))</f>
        <v>1.6789733759197651</v>
      </c>
      <c r="H1060">
        <f>0.0134228187919463*3.86597906692673</f>
        <v>5.1892336468815137E-2</v>
      </c>
      <c r="I1060">
        <v>5.1892336468815289E-2</v>
      </c>
    </row>
    <row r="1061" spans="1:9" x14ac:dyDescent="0.25">
      <c r="A1061">
        <v>231</v>
      </c>
      <c r="B1061" t="s">
        <v>634</v>
      </c>
      <c r="C1061" t="s">
        <v>48</v>
      </c>
      <c r="D1061" t="s">
        <v>313</v>
      </c>
      <c r="E1061">
        <f>2/149</f>
        <v>1.3422818791946308E-2</v>
      </c>
      <c r="F1061">
        <v>13</v>
      </c>
      <c r="G1061">
        <f>LOG(382/(13+1))</f>
        <v>1.4359353272334707</v>
      </c>
      <c r="H1061">
        <f>0.0134228187919463*3.30636327899131</f>
        <v>4.4380715154245742E-2</v>
      </c>
      <c r="I1061">
        <v>4.438071515424586E-2</v>
      </c>
    </row>
    <row r="1062" spans="1:9" x14ac:dyDescent="0.25">
      <c r="A1062">
        <v>231</v>
      </c>
      <c r="B1062" t="s">
        <v>634</v>
      </c>
      <c r="C1062" t="s">
        <v>48</v>
      </c>
      <c r="D1062" t="s">
        <v>19</v>
      </c>
      <c r="E1062">
        <f>2/149</f>
        <v>1.3422818791946308E-2</v>
      </c>
      <c r="F1062">
        <v>220</v>
      </c>
      <c r="G1062">
        <f>LOG(382/(220+1))</f>
        <v>0.23767108922659805</v>
      </c>
      <c r="H1062">
        <f>0.0134228187919463*0.547257907088822</f>
        <v>7.3457437193130424E-3</v>
      </c>
      <c r="I1062">
        <v>7.3457437193130519E-3</v>
      </c>
    </row>
    <row r="1063" spans="1:9" x14ac:dyDescent="0.25">
      <c r="A1063">
        <v>231</v>
      </c>
      <c r="B1063" t="s">
        <v>634</v>
      </c>
      <c r="C1063" t="s">
        <v>48</v>
      </c>
      <c r="D1063" t="s">
        <v>684</v>
      </c>
      <c r="E1063">
        <f t="shared" ref="E1063:E1078" si="40">1/149</f>
        <v>6.7114093959731542E-3</v>
      </c>
      <c r="F1063">
        <v>2</v>
      </c>
      <c r="G1063">
        <f>LOG(382/(2+1))</f>
        <v>2.1049421081920463</v>
      </c>
      <c r="H1063">
        <f>0.00671140939597315*4.84680831993846</f>
        <v>3.2528914898915816E-2</v>
      </c>
      <c r="I1063">
        <v>3.2528914898915871E-2</v>
      </c>
    </row>
    <row r="1064" spans="1:9" x14ac:dyDescent="0.25">
      <c r="A1064">
        <v>231</v>
      </c>
      <c r="B1064" t="s">
        <v>634</v>
      </c>
      <c r="C1064" t="s">
        <v>48</v>
      </c>
      <c r="D1064" t="s">
        <v>685</v>
      </c>
      <c r="E1064">
        <f t="shared" si="40"/>
        <v>6.7114093959731542E-3</v>
      </c>
      <c r="F1064">
        <v>1</v>
      </c>
      <c r="G1064">
        <f>LOG(382/(1+1))</f>
        <v>2.2810333672477277</v>
      </c>
      <c r="H1064">
        <f>0.00671140939597315*5.25227342804663</f>
        <v>3.5250157235212257E-2</v>
      </c>
      <c r="I1064">
        <v>3.5250157235212277E-2</v>
      </c>
    </row>
    <row r="1065" spans="1:9" x14ac:dyDescent="0.25">
      <c r="A1065">
        <v>231</v>
      </c>
      <c r="B1065" t="s">
        <v>634</v>
      </c>
      <c r="C1065" t="s">
        <v>48</v>
      </c>
      <c r="D1065" t="s">
        <v>606</v>
      </c>
      <c r="E1065">
        <f t="shared" si="40"/>
        <v>6.7114093959731542E-3</v>
      </c>
      <c r="F1065">
        <v>3</v>
      </c>
      <c r="G1065">
        <f>LOG(382/(3+1))</f>
        <v>1.9800033715837464</v>
      </c>
      <c r="H1065">
        <f>0.00671140939597315*4.55912624748668</f>
        <v>3.0598162734809912E-2</v>
      </c>
      <c r="I1065">
        <v>3.0598162734809961E-2</v>
      </c>
    </row>
    <row r="1066" spans="1:9" x14ac:dyDescent="0.25">
      <c r="A1066">
        <v>231</v>
      </c>
      <c r="B1066" t="s">
        <v>634</v>
      </c>
      <c r="C1066" t="s">
        <v>48</v>
      </c>
      <c r="D1066" t="s">
        <v>686</v>
      </c>
      <c r="E1066">
        <f t="shared" si="40"/>
        <v>6.7114093959731542E-3</v>
      </c>
      <c r="F1066">
        <v>1</v>
      </c>
      <c r="G1066">
        <f>LOG(382/(1+1))</f>
        <v>2.2810333672477277</v>
      </c>
      <c r="H1066">
        <f>0.00671140939597315*5.25227342804663</f>
        <v>3.5250157235212257E-2</v>
      </c>
      <c r="I1066">
        <v>3.5250157235212277E-2</v>
      </c>
    </row>
    <row r="1067" spans="1:9" x14ac:dyDescent="0.25">
      <c r="A1067">
        <v>231</v>
      </c>
      <c r="B1067" t="s">
        <v>634</v>
      </c>
      <c r="C1067" t="s">
        <v>48</v>
      </c>
      <c r="D1067" t="s">
        <v>687</v>
      </c>
      <c r="E1067">
        <f t="shared" si="40"/>
        <v>6.7114093959731542E-3</v>
      </c>
      <c r="F1067">
        <v>1</v>
      </c>
      <c r="G1067">
        <f>LOG(382/(1+1))</f>
        <v>2.2810333672477277</v>
      </c>
      <c r="H1067">
        <f>0.00671140939597315*5.25227342804663</f>
        <v>3.5250157235212257E-2</v>
      </c>
      <c r="I1067">
        <v>3.5250157235212277E-2</v>
      </c>
    </row>
    <row r="1068" spans="1:9" x14ac:dyDescent="0.25">
      <c r="A1068">
        <v>231</v>
      </c>
      <c r="B1068" t="s">
        <v>634</v>
      </c>
      <c r="C1068" t="s">
        <v>48</v>
      </c>
      <c r="D1068" t="s">
        <v>532</v>
      </c>
      <c r="E1068">
        <f t="shared" si="40"/>
        <v>6.7114093959731542E-3</v>
      </c>
      <c r="F1068">
        <v>8</v>
      </c>
      <c r="G1068">
        <f>LOG(382/(8+1))</f>
        <v>1.6278208534723839</v>
      </c>
      <c r="H1068">
        <f>0.00671140939597315*3.74819603127035</f>
        <v>2.5155678062217097E-2</v>
      </c>
      <c r="I1068">
        <v>2.5155678062217149E-2</v>
      </c>
    </row>
    <row r="1069" spans="1:9" x14ac:dyDescent="0.25">
      <c r="A1069">
        <v>231</v>
      </c>
      <c r="B1069" t="s">
        <v>634</v>
      </c>
      <c r="C1069" t="s">
        <v>48</v>
      </c>
      <c r="D1069" t="s">
        <v>688</v>
      </c>
      <c r="E1069">
        <f t="shared" si="40"/>
        <v>6.7114093959731542E-3</v>
      </c>
      <c r="F1069">
        <v>23</v>
      </c>
      <c r="G1069">
        <f>LOG(382/(23+1))</f>
        <v>1.2018521212001028</v>
      </c>
      <c r="H1069">
        <f>0.00671140939597315*2.76736677825862</f>
        <v>1.8572931397708849E-2</v>
      </c>
      <c r="I1069">
        <v>1.8572931397708919E-2</v>
      </c>
    </row>
    <row r="1070" spans="1:9" x14ac:dyDescent="0.25">
      <c r="A1070">
        <v>231</v>
      </c>
      <c r="B1070" t="s">
        <v>634</v>
      </c>
      <c r="C1070" t="s">
        <v>48</v>
      </c>
      <c r="D1070" t="s">
        <v>689</v>
      </c>
      <c r="E1070">
        <f t="shared" si="40"/>
        <v>6.7114093959731542E-3</v>
      </c>
      <c r="F1070">
        <v>1</v>
      </c>
      <c r="G1070">
        <f>LOG(382/(1+1))</f>
        <v>2.2810333672477277</v>
      </c>
      <c r="H1070">
        <f>0.00671140939597315*5.25227342804663</f>
        <v>3.5250157235212257E-2</v>
      </c>
      <c r="I1070">
        <v>3.5250157235212277E-2</v>
      </c>
    </row>
    <row r="1071" spans="1:9" x14ac:dyDescent="0.25">
      <c r="A1071">
        <v>231</v>
      </c>
      <c r="B1071" t="s">
        <v>634</v>
      </c>
      <c r="C1071" t="s">
        <v>48</v>
      </c>
      <c r="D1071" t="s">
        <v>85</v>
      </c>
      <c r="E1071">
        <f t="shared" si="40"/>
        <v>6.7114093959731542E-3</v>
      </c>
      <c r="F1071">
        <v>13</v>
      </c>
      <c r="G1071">
        <f>LOG(382/(13+1))</f>
        <v>1.4359353272334707</v>
      </c>
      <c r="H1071">
        <f>0.00671140939597315*3.30636327899131</f>
        <v>2.2190357577122871E-2</v>
      </c>
      <c r="I1071">
        <v>2.219035757712293E-2</v>
      </c>
    </row>
    <row r="1072" spans="1:9" x14ac:dyDescent="0.25">
      <c r="A1072">
        <v>231</v>
      </c>
      <c r="B1072" t="s">
        <v>634</v>
      </c>
      <c r="C1072" t="s">
        <v>48</v>
      </c>
      <c r="D1072" t="s">
        <v>690</v>
      </c>
      <c r="E1072">
        <f t="shared" si="40"/>
        <v>6.7114093959731542E-3</v>
      </c>
      <c r="F1072">
        <v>1</v>
      </c>
      <c r="G1072">
        <f>LOG(382/(1+1))</f>
        <v>2.2810333672477277</v>
      </c>
      <c r="H1072">
        <f>0.00671140939597315*5.25227342804663</f>
        <v>3.5250157235212257E-2</v>
      </c>
      <c r="I1072">
        <v>3.5250157235212277E-2</v>
      </c>
    </row>
    <row r="1073" spans="1:9" x14ac:dyDescent="0.25">
      <c r="A1073">
        <v>231</v>
      </c>
      <c r="B1073" t="s">
        <v>634</v>
      </c>
      <c r="C1073" t="s">
        <v>48</v>
      </c>
      <c r="D1073" t="s">
        <v>691</v>
      </c>
      <c r="E1073">
        <f t="shared" si="40"/>
        <v>6.7114093959731542E-3</v>
      </c>
      <c r="F1073">
        <v>1</v>
      </c>
      <c r="G1073">
        <f>LOG(382/(1+1))</f>
        <v>2.2810333672477277</v>
      </c>
      <c r="H1073">
        <f>0.00671140939597315*5.25227342804663</f>
        <v>3.5250157235212257E-2</v>
      </c>
      <c r="I1073">
        <v>3.5250157235212277E-2</v>
      </c>
    </row>
    <row r="1074" spans="1:9" x14ac:dyDescent="0.25">
      <c r="A1074">
        <v>231</v>
      </c>
      <c r="B1074" t="s">
        <v>634</v>
      </c>
      <c r="C1074" t="s">
        <v>48</v>
      </c>
      <c r="D1074" t="s">
        <v>692</v>
      </c>
      <c r="E1074">
        <f t="shared" si="40"/>
        <v>6.7114093959731542E-3</v>
      </c>
      <c r="F1074">
        <v>1</v>
      </c>
      <c r="G1074">
        <f>LOG(382/(1+1))</f>
        <v>2.2810333672477277</v>
      </c>
      <c r="H1074">
        <f>0.00671140939597315*5.25227342804663</f>
        <v>3.5250157235212257E-2</v>
      </c>
      <c r="I1074">
        <v>3.5250157235212277E-2</v>
      </c>
    </row>
    <row r="1075" spans="1:9" x14ac:dyDescent="0.25">
      <c r="A1075">
        <v>231</v>
      </c>
      <c r="B1075" t="s">
        <v>634</v>
      </c>
      <c r="C1075" t="s">
        <v>48</v>
      </c>
      <c r="D1075" t="s">
        <v>693</v>
      </c>
      <c r="E1075">
        <f t="shared" si="40"/>
        <v>6.7114093959731542E-3</v>
      </c>
      <c r="F1075">
        <v>25</v>
      </c>
      <c r="G1075">
        <f>LOG(382/(25+1))</f>
        <v>1.1670900149408907</v>
      </c>
      <c r="H1075">
        <f>0.00671140939597315*2.68732407058509</f>
        <v>1.8035732017349586E-2</v>
      </c>
      <c r="I1075">
        <v>1.8035732017349621E-2</v>
      </c>
    </row>
    <row r="1076" spans="1:9" x14ac:dyDescent="0.25">
      <c r="A1076">
        <v>231</v>
      </c>
      <c r="B1076" t="s">
        <v>634</v>
      </c>
      <c r="C1076" t="s">
        <v>48</v>
      </c>
      <c r="D1076" t="s">
        <v>694</v>
      </c>
      <c r="E1076">
        <f t="shared" si="40"/>
        <v>6.7114093959731542E-3</v>
      </c>
      <c r="F1076">
        <v>1</v>
      </c>
      <c r="G1076">
        <f>LOG(382/(1+1))</f>
        <v>2.2810333672477277</v>
      </c>
      <c r="H1076">
        <f>0.00671140939597315*5.25227342804663</f>
        <v>3.5250157235212257E-2</v>
      </c>
      <c r="I1076">
        <v>3.5250157235212277E-2</v>
      </c>
    </row>
    <row r="1077" spans="1:9" x14ac:dyDescent="0.25">
      <c r="A1077">
        <v>231</v>
      </c>
      <c r="B1077" t="s">
        <v>634</v>
      </c>
      <c r="C1077" t="s">
        <v>48</v>
      </c>
      <c r="D1077" t="s">
        <v>695</v>
      </c>
      <c r="E1077">
        <f t="shared" si="40"/>
        <v>6.7114093959731542E-3</v>
      </c>
      <c r="F1077">
        <v>13</v>
      </c>
      <c r="G1077">
        <f>LOG(382/(13+1))</f>
        <v>1.4359353272334707</v>
      </c>
      <c r="H1077">
        <f>0.00671140939597315*3.30636327899131</f>
        <v>2.2190357577122871E-2</v>
      </c>
      <c r="I1077">
        <v>2.219035757712293E-2</v>
      </c>
    </row>
    <row r="1078" spans="1:9" x14ac:dyDescent="0.25">
      <c r="A1078">
        <v>231</v>
      </c>
      <c r="B1078" t="s">
        <v>634</v>
      </c>
      <c r="C1078" t="s">
        <v>48</v>
      </c>
      <c r="D1078" t="s">
        <v>564</v>
      </c>
      <c r="E1078">
        <f t="shared" si="40"/>
        <v>6.7114093959731542E-3</v>
      </c>
      <c r="F1078">
        <v>7</v>
      </c>
      <c r="G1078">
        <f>LOG(382/(7+1))</f>
        <v>1.6789733759197651</v>
      </c>
      <c r="H1078">
        <f>0.00671140939597315*3.86597906692673</f>
        <v>2.5946168234407568E-2</v>
      </c>
      <c r="I1078">
        <v>2.5946168234407641E-2</v>
      </c>
    </row>
    <row r="1079" spans="1:9" x14ac:dyDescent="0.25">
      <c r="A1079">
        <v>233</v>
      </c>
      <c r="B1079" t="s">
        <v>696</v>
      </c>
      <c r="C1079" t="s">
        <v>48</v>
      </c>
      <c r="D1079" t="s">
        <v>196</v>
      </c>
      <c r="E1079">
        <f>3/87</f>
        <v>3.4482758620689655E-2</v>
      </c>
      <c r="F1079">
        <v>33</v>
      </c>
      <c r="G1079">
        <f>LOG(382/(33+1))</f>
        <v>1.0505844458694535</v>
      </c>
      <c r="H1079">
        <f>0.0344827586206896*2.41906008399041</f>
        <v>8.3415864965186423E-2</v>
      </c>
      <c r="I1079">
        <v>8.3415864965186673E-2</v>
      </c>
    </row>
    <row r="1080" spans="1:9" x14ac:dyDescent="0.25">
      <c r="A1080">
        <v>233</v>
      </c>
      <c r="B1080" t="s">
        <v>696</v>
      </c>
      <c r="C1080" t="s">
        <v>48</v>
      </c>
      <c r="D1080" t="s">
        <v>243</v>
      </c>
      <c r="E1080">
        <f>3/87</f>
        <v>3.4482758620689655E-2</v>
      </c>
      <c r="F1080">
        <v>131</v>
      </c>
      <c r="G1080">
        <f>LOG(382/(131+1))</f>
        <v>0.46148943170585888</v>
      </c>
      <c r="H1080">
        <f>0.0344827586206896*1.0626186860202</f>
        <v>3.6642023655868911E-2</v>
      </c>
      <c r="I1080">
        <v>3.6642023655869112E-2</v>
      </c>
    </row>
    <row r="1081" spans="1:9" x14ac:dyDescent="0.25">
      <c r="A1081">
        <v>233</v>
      </c>
      <c r="B1081" t="s">
        <v>696</v>
      </c>
      <c r="C1081" t="s">
        <v>48</v>
      </c>
      <c r="D1081" t="s">
        <v>244</v>
      </c>
      <c r="E1081">
        <f>5/87</f>
        <v>5.7471264367816091E-2</v>
      </c>
      <c r="F1081">
        <v>8</v>
      </c>
      <c r="G1081">
        <f>LOG(382/(8+1))</f>
        <v>1.6278208534723839</v>
      </c>
      <c r="H1081">
        <f>0.057471264367816*3.74819603127035</f>
        <v>0.21541356501553702</v>
      </c>
      <c r="I1081">
        <v>0.21541356501553771</v>
      </c>
    </row>
    <row r="1082" spans="1:9" x14ac:dyDescent="0.25">
      <c r="A1082">
        <v>233</v>
      </c>
      <c r="B1082" t="s">
        <v>696</v>
      </c>
      <c r="C1082" t="s">
        <v>48</v>
      </c>
      <c r="D1082" t="s">
        <v>245</v>
      </c>
      <c r="E1082">
        <f>4/87</f>
        <v>4.5977011494252873E-2</v>
      </c>
      <c r="F1082">
        <v>11</v>
      </c>
      <c r="G1082">
        <f>LOG(382/(11+1))</f>
        <v>1.5028821168640838</v>
      </c>
      <c r="H1082">
        <f>0.0459770114942528*3.46051395881857</f>
        <v>0.15910409006062365</v>
      </c>
      <c r="I1082">
        <v>0.15910409006062409</v>
      </c>
    </row>
    <row r="1083" spans="1:9" x14ac:dyDescent="0.25">
      <c r="A1083">
        <v>233</v>
      </c>
      <c r="B1083" t="s">
        <v>696</v>
      </c>
      <c r="C1083" t="s">
        <v>48</v>
      </c>
      <c r="D1083" t="s">
        <v>41</v>
      </c>
      <c r="E1083">
        <f>4/87</f>
        <v>4.5977011494252873E-2</v>
      </c>
      <c r="F1083">
        <v>195</v>
      </c>
      <c r="G1083">
        <f>LOG(382/(195+1))</f>
        <v>0.28980729155523272</v>
      </c>
      <c r="H1083">
        <f>0.0459770114942528*0.667305949376058</f>
        <v>3.0680733304646296E-2</v>
      </c>
      <c r="I1083">
        <v>3.0680733304646341E-2</v>
      </c>
    </row>
    <row r="1084" spans="1:9" x14ac:dyDescent="0.25">
      <c r="A1084">
        <v>233</v>
      </c>
      <c r="B1084" t="s">
        <v>696</v>
      </c>
      <c r="C1084" t="s">
        <v>48</v>
      </c>
      <c r="D1084" t="s">
        <v>246</v>
      </c>
      <c r="E1084">
        <f t="shared" ref="E1084:E1099" si="41">1/87</f>
        <v>1.1494252873563218E-2</v>
      </c>
      <c r="F1084">
        <v>2</v>
      </c>
      <c r="G1084">
        <f>LOG(382/(2+1))</f>
        <v>2.1049421081920463</v>
      </c>
      <c r="H1084">
        <f>0.0114942528735632*4.84680831993846</f>
        <v>5.5710440459062663E-2</v>
      </c>
      <c r="I1084">
        <v>5.5710440459062822E-2</v>
      </c>
    </row>
    <row r="1085" spans="1:9" x14ac:dyDescent="0.25">
      <c r="A1085">
        <v>233</v>
      </c>
      <c r="B1085" t="s">
        <v>696</v>
      </c>
      <c r="C1085" t="s">
        <v>48</v>
      </c>
      <c r="D1085" t="s">
        <v>697</v>
      </c>
      <c r="E1085">
        <f t="shared" si="41"/>
        <v>1.1494252873563218E-2</v>
      </c>
      <c r="F1085">
        <v>1</v>
      </c>
      <c r="G1085">
        <f>LOG(382/(1+1))</f>
        <v>2.2810333672477277</v>
      </c>
      <c r="H1085">
        <f>0.0114942528735632*5.25227342804663</f>
        <v>6.0370958943064608E-2</v>
      </c>
      <c r="I1085">
        <v>6.0370958943064712E-2</v>
      </c>
    </row>
    <row r="1086" spans="1:9" x14ac:dyDescent="0.25">
      <c r="A1086">
        <v>233</v>
      </c>
      <c r="B1086" t="s">
        <v>696</v>
      </c>
      <c r="C1086" t="s">
        <v>48</v>
      </c>
      <c r="D1086" t="s">
        <v>39</v>
      </c>
      <c r="E1086">
        <f t="shared" si="41"/>
        <v>1.1494252873563218E-2</v>
      </c>
      <c r="F1086">
        <v>145</v>
      </c>
      <c r="G1086">
        <f>LOG(382/(145+1))</f>
        <v>0.41771050712727159</v>
      </c>
      <c r="H1086">
        <f>0.0114942528735632*0.961813986898238</f>
        <v>1.1055333182738349E-2</v>
      </c>
      <c r="I1086">
        <v>1.1055333182738381E-2</v>
      </c>
    </row>
    <row r="1087" spans="1:9" x14ac:dyDescent="0.25">
      <c r="A1087">
        <v>233</v>
      </c>
      <c r="B1087" t="s">
        <v>696</v>
      </c>
      <c r="C1087" t="s">
        <v>48</v>
      </c>
      <c r="D1087" t="s">
        <v>248</v>
      </c>
      <c r="E1087">
        <f t="shared" si="41"/>
        <v>1.1494252873563218E-2</v>
      </c>
      <c r="F1087">
        <v>7</v>
      </c>
      <c r="G1087">
        <f>LOG(382/(7+1))</f>
        <v>1.6789733759197651</v>
      </c>
      <c r="H1087">
        <f>0.0114942528735632*3.86597906692673</f>
        <v>4.4436540999157746E-2</v>
      </c>
      <c r="I1087">
        <v>4.443654099915792E-2</v>
      </c>
    </row>
    <row r="1088" spans="1:9" x14ac:dyDescent="0.25">
      <c r="A1088">
        <v>233</v>
      </c>
      <c r="B1088" t="s">
        <v>696</v>
      </c>
      <c r="C1088" t="s">
        <v>48</v>
      </c>
      <c r="D1088" t="s">
        <v>42</v>
      </c>
      <c r="E1088">
        <f t="shared" si="41"/>
        <v>1.1494252873563218E-2</v>
      </c>
      <c r="F1088">
        <v>251</v>
      </c>
      <c r="G1088">
        <f>LOG(382/(251+1))</f>
        <v>0.18066282213016463</v>
      </c>
      <c r="H1088">
        <f>0.0114942528735632*0.415991521095151</f>
        <v>4.7815117367258657E-3</v>
      </c>
      <c r="I1088">
        <v>4.781511736725883E-3</v>
      </c>
    </row>
    <row r="1089" spans="1:9" x14ac:dyDescent="0.25">
      <c r="A1089">
        <v>233</v>
      </c>
      <c r="B1089" t="s">
        <v>696</v>
      </c>
      <c r="C1089" t="s">
        <v>48</v>
      </c>
      <c r="D1089" t="s">
        <v>15</v>
      </c>
      <c r="E1089">
        <f t="shared" si="41"/>
        <v>1.1494252873563218E-2</v>
      </c>
      <c r="F1089">
        <v>112</v>
      </c>
      <c r="G1089">
        <f>LOG(382/(112+1))</f>
        <v>0.52898491942828896</v>
      </c>
      <c r="H1089">
        <f>0.0114942528735632*1.21803278989423</f>
        <v>1.4000376895335953E-2</v>
      </c>
      <c r="I1089">
        <v>1.4000376895336029E-2</v>
      </c>
    </row>
    <row r="1090" spans="1:9" x14ac:dyDescent="0.25">
      <c r="A1090">
        <v>233</v>
      </c>
      <c r="B1090" t="s">
        <v>696</v>
      </c>
      <c r="C1090" t="s">
        <v>48</v>
      </c>
      <c r="D1090" t="s">
        <v>249</v>
      </c>
      <c r="E1090">
        <f t="shared" si="41"/>
        <v>1.1494252873563218E-2</v>
      </c>
      <c r="F1090">
        <v>2</v>
      </c>
      <c r="G1090">
        <f>LOG(382/(2+1))</f>
        <v>2.1049421081920463</v>
      </c>
      <c r="H1090">
        <f>0.0114942528735632*4.84680831993846</f>
        <v>5.5710440459062663E-2</v>
      </c>
      <c r="I1090">
        <v>5.5710440459062822E-2</v>
      </c>
    </row>
    <row r="1091" spans="1:9" x14ac:dyDescent="0.25">
      <c r="A1091">
        <v>233</v>
      </c>
      <c r="B1091" t="s">
        <v>696</v>
      </c>
      <c r="C1091" t="s">
        <v>48</v>
      </c>
      <c r="D1091" t="s">
        <v>17</v>
      </c>
      <c r="E1091">
        <f t="shared" si="41"/>
        <v>1.1494252873563218E-2</v>
      </c>
      <c r="F1091">
        <v>169</v>
      </c>
      <c r="G1091">
        <f>LOG(382/(169+1))</f>
        <v>0.3516144415334348</v>
      </c>
      <c r="H1091">
        <f>0.0114942528735632*0.809622171556313</f>
        <v>9.3060019719116288E-3</v>
      </c>
      <c r="I1091">
        <v>9.3060019719116479E-3</v>
      </c>
    </row>
    <row r="1092" spans="1:9" x14ac:dyDescent="0.25">
      <c r="A1092">
        <v>233</v>
      </c>
      <c r="B1092" t="s">
        <v>696</v>
      </c>
      <c r="C1092" t="s">
        <v>48</v>
      </c>
      <c r="D1092" t="s">
        <v>250</v>
      </c>
      <c r="E1092">
        <f t="shared" si="41"/>
        <v>1.1494252873563218E-2</v>
      </c>
      <c r="F1092">
        <v>14</v>
      </c>
      <c r="G1092">
        <f>LOG(382/(14+1))</f>
        <v>1.4059721038560276</v>
      </c>
      <c r="H1092">
        <f>0.0114942528735632*3.23737040750436</f>
        <v>3.7211154109245456E-2</v>
      </c>
      <c r="I1092">
        <v>3.7211154109245567E-2</v>
      </c>
    </row>
    <row r="1093" spans="1:9" x14ac:dyDescent="0.25">
      <c r="A1093">
        <v>233</v>
      </c>
      <c r="B1093" t="s">
        <v>696</v>
      </c>
      <c r="C1093" t="s">
        <v>48</v>
      </c>
      <c r="D1093" t="s">
        <v>19</v>
      </c>
      <c r="E1093">
        <f t="shared" si="41"/>
        <v>1.1494252873563218E-2</v>
      </c>
      <c r="F1093">
        <v>220</v>
      </c>
      <c r="G1093">
        <f>LOG(382/(220+1))</f>
        <v>0.23767108922659805</v>
      </c>
      <c r="H1093">
        <f>0.0114942528735632*0.547257907088822</f>
        <v>6.2903207711358751E-3</v>
      </c>
      <c r="I1093">
        <v>6.2903207711358889E-3</v>
      </c>
    </row>
    <row r="1094" spans="1:9" x14ac:dyDescent="0.25">
      <c r="A1094">
        <v>233</v>
      </c>
      <c r="B1094" t="s">
        <v>696</v>
      </c>
      <c r="C1094" t="s">
        <v>48</v>
      </c>
      <c r="D1094" t="s">
        <v>44</v>
      </c>
      <c r="E1094">
        <f t="shared" si="41"/>
        <v>1.1494252873563218E-2</v>
      </c>
      <c r="F1094">
        <v>151</v>
      </c>
      <c r="G1094">
        <f>LOG(382/(151+1))</f>
        <v>0.40021977496693617</v>
      </c>
      <c r="H1094">
        <f>0.0114942528735632*0.921540087760298</f>
        <v>1.0592414801842488E-2</v>
      </c>
      <c r="I1094">
        <v>1.059241480184251E-2</v>
      </c>
    </row>
    <row r="1095" spans="1:9" x14ac:dyDescent="0.25">
      <c r="A1095">
        <v>233</v>
      </c>
      <c r="B1095" t="s">
        <v>696</v>
      </c>
      <c r="C1095" t="s">
        <v>48</v>
      </c>
      <c r="D1095" t="s">
        <v>22</v>
      </c>
      <c r="E1095">
        <f t="shared" si="41"/>
        <v>1.1494252873563218E-2</v>
      </c>
      <c r="F1095">
        <v>259</v>
      </c>
      <c r="G1095">
        <f>LOG(382/(259+1))</f>
        <v>0.16709001494089079</v>
      </c>
      <c r="H1095">
        <f>0.0114942528735632*0.384738977591047</f>
        <v>4.4222870987476598E-3</v>
      </c>
      <c r="I1095">
        <v>4.4222870987476728E-3</v>
      </c>
    </row>
    <row r="1096" spans="1:9" x14ac:dyDescent="0.25">
      <c r="A1096">
        <v>233</v>
      </c>
      <c r="B1096" t="s">
        <v>696</v>
      </c>
      <c r="C1096" t="s">
        <v>48</v>
      </c>
      <c r="D1096" t="s">
        <v>23</v>
      </c>
      <c r="E1096">
        <f t="shared" si="41"/>
        <v>1.1494252873563218E-2</v>
      </c>
      <c r="F1096">
        <v>275</v>
      </c>
      <c r="G1096">
        <f>LOG(382/(275+1))</f>
        <v>0.14115428084649101</v>
      </c>
      <c r="H1096">
        <f>0.0114942528735632*0.325019742889425</f>
        <v>3.7358591136715451E-3</v>
      </c>
      <c r="I1096">
        <v>3.7358591136715529E-3</v>
      </c>
    </row>
    <row r="1097" spans="1:9" x14ac:dyDescent="0.25">
      <c r="A1097">
        <v>233</v>
      </c>
      <c r="B1097" t="s">
        <v>696</v>
      </c>
      <c r="C1097" t="s">
        <v>48</v>
      </c>
      <c r="D1097" t="s">
        <v>81</v>
      </c>
      <c r="E1097">
        <f t="shared" si="41"/>
        <v>1.1494252873563218E-2</v>
      </c>
      <c r="F1097">
        <v>114</v>
      </c>
      <c r="G1097">
        <f>LOG(382/(114+1))</f>
        <v>0.52136552255809698</v>
      </c>
      <c r="H1097">
        <f>0.0114942528735632*1.20048848024332</f>
        <v>1.3798718163716299E-2</v>
      </c>
      <c r="I1097">
        <v>1.379871816371638E-2</v>
      </c>
    </row>
    <row r="1098" spans="1:9" x14ac:dyDescent="0.25">
      <c r="A1098">
        <v>233</v>
      </c>
      <c r="B1098" t="s">
        <v>696</v>
      </c>
      <c r="C1098" t="s">
        <v>48</v>
      </c>
      <c r="D1098" t="s">
        <v>698</v>
      </c>
      <c r="E1098">
        <f t="shared" si="41"/>
        <v>1.1494252873563218E-2</v>
      </c>
      <c r="F1098">
        <v>1</v>
      </c>
      <c r="G1098">
        <f>LOG(382/(1+1))</f>
        <v>2.2810333672477277</v>
      </c>
      <c r="H1098">
        <f>0.0114942528735632*5.25227342804663</f>
        <v>6.0370958943064608E-2</v>
      </c>
      <c r="I1098">
        <v>6.0370958943064712E-2</v>
      </c>
    </row>
    <row r="1099" spans="1:9" x14ac:dyDescent="0.25">
      <c r="A1099">
        <v>233</v>
      </c>
      <c r="B1099" t="s">
        <v>696</v>
      </c>
      <c r="C1099" t="s">
        <v>48</v>
      </c>
      <c r="D1099" t="s">
        <v>52</v>
      </c>
      <c r="E1099">
        <f t="shared" si="41"/>
        <v>1.1494252873563218E-2</v>
      </c>
      <c r="F1099">
        <v>35</v>
      </c>
      <c r="G1099">
        <f>LOG(382/(35+1))</f>
        <v>1.0257608621444214</v>
      </c>
      <c r="H1099">
        <f>0.0114942528735632*2.36190167015046</f>
        <v>2.7148295059200644E-2</v>
      </c>
      <c r="I1099">
        <v>2.7148295059200741E-2</v>
      </c>
    </row>
    <row r="1100" spans="1:9" x14ac:dyDescent="0.25">
      <c r="A1100">
        <v>233</v>
      </c>
      <c r="B1100" t="s">
        <v>696</v>
      </c>
      <c r="C1100" t="s">
        <v>48</v>
      </c>
      <c r="D1100" t="s">
        <v>699</v>
      </c>
      <c r="E1100">
        <f>2/87</f>
        <v>2.2988505747126436E-2</v>
      </c>
      <c r="F1100">
        <v>4</v>
      </c>
      <c r="G1100">
        <f>LOG(382/(4+1))</f>
        <v>1.8830933585756899</v>
      </c>
      <c r="H1100">
        <f>0.0229885057471264*4.33598269617247</f>
        <v>9.9677763130401456E-2</v>
      </c>
      <c r="I1100">
        <v>9.967776313040172E-2</v>
      </c>
    </row>
    <row r="1101" spans="1:9" x14ac:dyDescent="0.25">
      <c r="A1101">
        <v>233</v>
      </c>
      <c r="B1101" t="s">
        <v>696</v>
      </c>
      <c r="C1101" t="s">
        <v>48</v>
      </c>
      <c r="D1101" t="s">
        <v>700</v>
      </c>
      <c r="E1101">
        <f>1/87</f>
        <v>1.1494252873563218E-2</v>
      </c>
      <c r="F1101">
        <v>1</v>
      </c>
      <c r="G1101">
        <f>LOG(382/(1+1))</f>
        <v>2.2810333672477277</v>
      </c>
      <c r="H1101">
        <f>0.0114942528735632*5.25227342804663</f>
        <v>6.0370958943064608E-2</v>
      </c>
      <c r="I1101">
        <v>6.0370958943064712E-2</v>
      </c>
    </row>
    <row r="1102" spans="1:9" x14ac:dyDescent="0.25">
      <c r="A1102">
        <v>233</v>
      </c>
      <c r="B1102" t="s">
        <v>696</v>
      </c>
      <c r="C1102" t="s">
        <v>48</v>
      </c>
      <c r="D1102" t="s">
        <v>701</v>
      </c>
      <c r="E1102">
        <f>1/87</f>
        <v>1.1494252873563218E-2</v>
      </c>
      <c r="F1102">
        <v>3</v>
      </c>
      <c r="G1102">
        <f>LOG(382/(3+1))</f>
        <v>1.9800033715837464</v>
      </c>
      <c r="H1102">
        <f>0.0114942528735632*4.55912624748668</f>
        <v>5.2403749971111177E-2</v>
      </c>
      <c r="I1102">
        <v>5.2403749971111323E-2</v>
      </c>
    </row>
    <row r="1103" spans="1:9" x14ac:dyDescent="0.25">
      <c r="A1103">
        <v>233</v>
      </c>
      <c r="B1103" t="s">
        <v>696</v>
      </c>
      <c r="C1103" t="s">
        <v>48</v>
      </c>
      <c r="D1103" t="s">
        <v>53</v>
      </c>
      <c r="E1103">
        <f>2/87</f>
        <v>2.2988505747126436E-2</v>
      </c>
      <c r="F1103">
        <v>57</v>
      </c>
      <c r="G1103">
        <f>LOG(382/(57+1))</f>
        <v>0.81863536934877146</v>
      </c>
      <c r="H1103">
        <f>0.0229885057471264*1.88497759806015</f>
        <v>4.3332818346210271E-2</v>
      </c>
      <c r="I1103">
        <v>4.3332818346210479E-2</v>
      </c>
    </row>
    <row r="1104" spans="1:9" x14ac:dyDescent="0.25">
      <c r="A1104">
        <v>233</v>
      </c>
      <c r="B1104" t="s">
        <v>696</v>
      </c>
      <c r="C1104" t="s">
        <v>48</v>
      </c>
      <c r="D1104" t="s">
        <v>131</v>
      </c>
      <c r="E1104">
        <f t="shared" ref="E1104:E1114" si="42">1/87</f>
        <v>1.1494252873563218E-2</v>
      </c>
      <c r="F1104">
        <v>38</v>
      </c>
      <c r="G1104">
        <f>LOG(382/(38+1))</f>
        <v>0.99099875588520958</v>
      </c>
      <c r="H1104">
        <f>0.0114942528735632*2.28185896247692</f>
        <v>2.6228263936516279E-2</v>
      </c>
      <c r="I1104">
        <v>2.6228263936516429E-2</v>
      </c>
    </row>
    <row r="1105" spans="1:9" x14ac:dyDescent="0.25">
      <c r="A1105">
        <v>233</v>
      </c>
      <c r="B1105" t="s">
        <v>696</v>
      </c>
      <c r="C1105" t="s">
        <v>48</v>
      </c>
      <c r="D1105" t="s">
        <v>237</v>
      </c>
      <c r="E1105">
        <f t="shared" si="42"/>
        <v>1.1494252873563218E-2</v>
      </c>
      <c r="F1105">
        <v>138</v>
      </c>
      <c r="G1105">
        <f>LOG(382/(138+1))</f>
        <v>0.43904856265761361</v>
      </c>
      <c r="H1105">
        <f>0.0114942528735632*1.01094667547588</f>
        <v>1.1620076729607796E-2</v>
      </c>
      <c r="I1105">
        <v>1.162007672960786E-2</v>
      </c>
    </row>
    <row r="1106" spans="1:9" x14ac:dyDescent="0.25">
      <c r="A1106">
        <v>233</v>
      </c>
      <c r="B1106" t="s">
        <v>696</v>
      </c>
      <c r="C1106" t="s">
        <v>48</v>
      </c>
      <c r="D1106" t="s">
        <v>133</v>
      </c>
      <c r="E1106">
        <f t="shared" si="42"/>
        <v>1.1494252873563218E-2</v>
      </c>
      <c r="F1106">
        <v>142</v>
      </c>
      <c r="G1106">
        <f>LOG(382/(142+1))</f>
        <v>0.42672732544664693</v>
      </c>
      <c r="H1106">
        <f>0.0114942528735632*0.982575978346667</f>
        <v>1.1293976762605349E-2</v>
      </c>
      <c r="I1106">
        <v>1.1293976762605381E-2</v>
      </c>
    </row>
    <row r="1107" spans="1:9" x14ac:dyDescent="0.25">
      <c r="A1107">
        <v>233</v>
      </c>
      <c r="B1107" t="s">
        <v>696</v>
      </c>
      <c r="C1107" t="s">
        <v>48</v>
      </c>
      <c r="D1107" t="s">
        <v>51</v>
      </c>
      <c r="E1107">
        <f t="shared" si="42"/>
        <v>1.1494252873563218E-2</v>
      </c>
      <c r="F1107">
        <v>8</v>
      </c>
      <c r="G1107">
        <f>LOG(382/(8+1))</f>
        <v>1.6278208534723839</v>
      </c>
      <c r="H1107">
        <f>0.0114942528735632*3.74819603127035</f>
        <v>4.3082713003107398E-2</v>
      </c>
      <c r="I1107">
        <v>4.3082713003107537E-2</v>
      </c>
    </row>
    <row r="1108" spans="1:9" x14ac:dyDescent="0.25">
      <c r="A1108">
        <v>233</v>
      </c>
      <c r="B1108" t="s">
        <v>696</v>
      </c>
      <c r="C1108" t="s">
        <v>48</v>
      </c>
      <c r="D1108" t="s">
        <v>702</v>
      </c>
      <c r="E1108">
        <f t="shared" si="42"/>
        <v>1.1494252873563218E-2</v>
      </c>
      <c r="F1108">
        <v>1</v>
      </c>
      <c r="G1108">
        <f>LOG(382/(1+1))</f>
        <v>2.2810333672477277</v>
      </c>
      <c r="H1108">
        <f>0.0114942528735632*5.25227342804663</f>
        <v>6.0370958943064608E-2</v>
      </c>
      <c r="I1108">
        <v>6.0370958943064712E-2</v>
      </c>
    </row>
    <row r="1109" spans="1:9" x14ac:dyDescent="0.25">
      <c r="A1109">
        <v>233</v>
      </c>
      <c r="B1109" t="s">
        <v>696</v>
      </c>
      <c r="C1109" t="s">
        <v>48</v>
      </c>
      <c r="D1109" t="s">
        <v>703</v>
      </c>
      <c r="E1109">
        <f t="shared" si="42"/>
        <v>1.1494252873563218E-2</v>
      </c>
      <c r="F1109">
        <v>1</v>
      </c>
      <c r="G1109">
        <f>LOG(382/(1+1))</f>
        <v>2.2810333672477277</v>
      </c>
      <c r="H1109">
        <f>0.0114942528735632*5.25227342804663</f>
        <v>6.0370958943064608E-2</v>
      </c>
      <c r="I1109">
        <v>6.0370958943064712E-2</v>
      </c>
    </row>
    <row r="1110" spans="1:9" x14ac:dyDescent="0.25">
      <c r="A1110">
        <v>233</v>
      </c>
      <c r="B1110" t="s">
        <v>696</v>
      </c>
      <c r="C1110" t="s">
        <v>48</v>
      </c>
      <c r="D1110" t="s">
        <v>216</v>
      </c>
      <c r="E1110">
        <f t="shared" si="42"/>
        <v>1.1494252873563218E-2</v>
      </c>
      <c r="F1110">
        <v>63</v>
      </c>
      <c r="G1110">
        <f>LOG(382/(63+1))</f>
        <v>0.7758833889278216</v>
      </c>
      <c r="H1110">
        <f>0.0114942528735632*1.7865375252469</f>
        <v>2.0534914083297665E-2</v>
      </c>
      <c r="I1110">
        <v>2.0534914083297742E-2</v>
      </c>
    </row>
    <row r="1111" spans="1:9" x14ac:dyDescent="0.25">
      <c r="A1111">
        <v>233</v>
      </c>
      <c r="B1111" t="s">
        <v>696</v>
      </c>
      <c r="C1111" t="s">
        <v>48</v>
      </c>
      <c r="D1111" t="s">
        <v>704</v>
      </c>
      <c r="E1111">
        <f t="shared" si="42"/>
        <v>1.1494252873563218E-2</v>
      </c>
      <c r="F1111">
        <v>1</v>
      </c>
      <c r="G1111">
        <f>LOG(382/(1+1))</f>
        <v>2.2810333672477277</v>
      </c>
      <c r="H1111">
        <f>0.0114942528735632*5.25227342804663</f>
        <v>6.0370958943064608E-2</v>
      </c>
      <c r="I1111">
        <v>6.0370958943064712E-2</v>
      </c>
    </row>
    <row r="1112" spans="1:9" x14ac:dyDescent="0.25">
      <c r="A1112">
        <v>233</v>
      </c>
      <c r="B1112" t="s">
        <v>696</v>
      </c>
      <c r="C1112" t="s">
        <v>48</v>
      </c>
      <c r="D1112" t="s">
        <v>405</v>
      </c>
      <c r="E1112">
        <f t="shared" si="42"/>
        <v>1.1494252873563218E-2</v>
      </c>
      <c r="F1112">
        <v>10</v>
      </c>
      <c r="G1112">
        <f>LOG(382/(10+1))</f>
        <v>1.5406706777534838</v>
      </c>
      <c r="H1112">
        <f>0.0114942528735632*3.5475253358082</f>
        <v>4.0776153285151655E-2</v>
      </c>
      <c r="I1112">
        <v>4.077615328515178E-2</v>
      </c>
    </row>
    <row r="1113" spans="1:9" x14ac:dyDescent="0.25">
      <c r="A1113">
        <v>233</v>
      </c>
      <c r="B1113" t="s">
        <v>696</v>
      </c>
      <c r="C1113" t="s">
        <v>48</v>
      </c>
      <c r="D1113" t="s">
        <v>705</v>
      </c>
      <c r="E1113">
        <f t="shared" si="42"/>
        <v>1.1494252873563218E-2</v>
      </c>
      <c r="F1113">
        <v>8</v>
      </c>
      <c r="G1113">
        <f>LOG(382/(8+1))</f>
        <v>1.6278208534723839</v>
      </c>
      <c r="H1113">
        <f>0.0114942528735632*3.74819603127035</f>
        <v>4.3082713003107398E-2</v>
      </c>
      <c r="I1113">
        <v>4.3082713003107537E-2</v>
      </c>
    </row>
    <row r="1114" spans="1:9" x14ac:dyDescent="0.25">
      <c r="A1114">
        <v>233</v>
      </c>
      <c r="B1114" t="s">
        <v>696</v>
      </c>
      <c r="C1114" t="s">
        <v>48</v>
      </c>
      <c r="D1114" t="s">
        <v>31</v>
      </c>
      <c r="E1114">
        <f t="shared" si="42"/>
        <v>1.1494252873563218E-2</v>
      </c>
      <c r="F1114">
        <v>31</v>
      </c>
      <c r="G1114">
        <f>LOG(382/(31+1))</f>
        <v>1.0769133845918029</v>
      </c>
      <c r="H1114">
        <f>0.0114942528735632*2.47968470580684</f>
        <v>2.8502123055250985E-2</v>
      </c>
      <c r="I1114">
        <v>2.8502123055251131E-2</v>
      </c>
    </row>
    <row r="1115" spans="1:9" x14ac:dyDescent="0.25">
      <c r="A1115">
        <v>233</v>
      </c>
      <c r="B1115" t="s">
        <v>696</v>
      </c>
      <c r="C1115" t="s">
        <v>48</v>
      </c>
      <c r="D1115" t="s">
        <v>40</v>
      </c>
      <c r="E1115">
        <f>2/87</f>
        <v>2.2988505747126436E-2</v>
      </c>
      <c r="F1115">
        <v>159</v>
      </c>
      <c r="G1115">
        <f>LOG(382/(159+1))</f>
        <v>0.377943380255784</v>
      </c>
      <c r="H1115">
        <f>0.0229885057471264*0.870246793372748</f>
        <v>2.0005673410867737E-2</v>
      </c>
      <c r="I1115">
        <v>2.0005673410867779E-2</v>
      </c>
    </row>
    <row r="1116" spans="1:9" x14ac:dyDescent="0.25">
      <c r="A1116">
        <v>233</v>
      </c>
      <c r="B1116" t="s">
        <v>696</v>
      </c>
      <c r="C1116" t="s">
        <v>48</v>
      </c>
      <c r="D1116" t="s">
        <v>706</v>
      </c>
      <c r="E1116">
        <f t="shared" ref="E1116:E1148" si="43">1/87</f>
        <v>1.1494252873563218E-2</v>
      </c>
      <c r="F1116">
        <v>6</v>
      </c>
      <c r="G1116">
        <f>LOG(382/(6+1))</f>
        <v>1.736965322897452</v>
      </c>
      <c r="H1116">
        <f>0.0114942528735632*3.99951045955126</f>
        <v>4.5971384592543144E-2</v>
      </c>
      <c r="I1116">
        <v>4.5971384592543241E-2</v>
      </c>
    </row>
    <row r="1117" spans="1:9" x14ac:dyDescent="0.25">
      <c r="A1117">
        <v>233</v>
      </c>
      <c r="B1117" t="s">
        <v>696</v>
      </c>
      <c r="C1117" t="s">
        <v>48</v>
      </c>
      <c r="D1117" t="s">
        <v>707</v>
      </c>
      <c r="E1117">
        <f t="shared" si="43"/>
        <v>1.1494252873563218E-2</v>
      </c>
      <c r="F1117">
        <v>1</v>
      </c>
      <c r="G1117">
        <f>LOG(382/(1+1))</f>
        <v>2.2810333672477277</v>
      </c>
      <c r="H1117">
        <f>0.0114942528735632*5.25227342804663</f>
        <v>6.0370958943064608E-2</v>
      </c>
      <c r="I1117">
        <v>6.0370958943064712E-2</v>
      </c>
    </row>
    <row r="1118" spans="1:9" x14ac:dyDescent="0.25">
      <c r="A1118">
        <v>233</v>
      </c>
      <c r="B1118" t="s">
        <v>696</v>
      </c>
      <c r="C1118" t="s">
        <v>48</v>
      </c>
      <c r="D1118" t="s">
        <v>582</v>
      </c>
      <c r="E1118">
        <f t="shared" si="43"/>
        <v>1.1494252873563218E-2</v>
      </c>
      <c r="F1118">
        <v>14</v>
      </c>
      <c r="G1118">
        <f>LOG(382/(14+1))</f>
        <v>1.4059721038560276</v>
      </c>
      <c r="H1118">
        <f>0.0114942528735632*3.23737040750436</f>
        <v>3.7211154109245456E-2</v>
      </c>
      <c r="I1118">
        <v>3.7211154109245567E-2</v>
      </c>
    </row>
    <row r="1119" spans="1:9" x14ac:dyDescent="0.25">
      <c r="A1119">
        <v>233</v>
      </c>
      <c r="B1119" t="s">
        <v>696</v>
      </c>
      <c r="C1119" t="s">
        <v>48</v>
      </c>
      <c r="D1119" t="s">
        <v>708</v>
      </c>
      <c r="E1119">
        <f t="shared" si="43"/>
        <v>1.1494252873563218E-2</v>
      </c>
      <c r="F1119">
        <v>1</v>
      </c>
      <c r="G1119">
        <f>LOG(382/(1+1))</f>
        <v>2.2810333672477277</v>
      </c>
      <c r="H1119">
        <f>0.0114942528735632*5.25227342804663</f>
        <v>6.0370958943064608E-2</v>
      </c>
      <c r="I1119">
        <v>6.0370958943064712E-2</v>
      </c>
    </row>
    <row r="1120" spans="1:9" x14ac:dyDescent="0.25">
      <c r="A1120">
        <v>233</v>
      </c>
      <c r="B1120" t="s">
        <v>696</v>
      </c>
      <c r="C1120" t="s">
        <v>48</v>
      </c>
      <c r="D1120" t="s">
        <v>415</v>
      </c>
      <c r="E1120">
        <f t="shared" si="43"/>
        <v>1.1494252873563218E-2</v>
      </c>
      <c r="F1120">
        <v>6</v>
      </c>
      <c r="G1120">
        <f>LOG(382/(6+1))</f>
        <v>1.736965322897452</v>
      </c>
      <c r="H1120">
        <f>0.0114942528735632*3.99951045955126</f>
        <v>4.5971384592543144E-2</v>
      </c>
      <c r="I1120">
        <v>4.5971384592543241E-2</v>
      </c>
    </row>
    <row r="1121" spans="1:9" x14ac:dyDescent="0.25">
      <c r="A1121">
        <v>233</v>
      </c>
      <c r="B1121" t="s">
        <v>696</v>
      </c>
      <c r="C1121" t="s">
        <v>48</v>
      </c>
      <c r="D1121" t="s">
        <v>709</v>
      </c>
      <c r="E1121">
        <f t="shared" si="43"/>
        <v>1.1494252873563218E-2</v>
      </c>
      <c r="F1121">
        <v>5</v>
      </c>
      <c r="G1121">
        <f>LOG(382/(5+1))</f>
        <v>1.803912112528065</v>
      </c>
      <c r="H1121">
        <f>0.0114942528735632*4.15366113937852</f>
        <v>4.7743231487109343E-2</v>
      </c>
      <c r="I1121">
        <v>4.7743231487109433E-2</v>
      </c>
    </row>
    <row r="1122" spans="1:9" x14ac:dyDescent="0.25">
      <c r="A1122">
        <v>233</v>
      </c>
      <c r="B1122" t="s">
        <v>696</v>
      </c>
      <c r="C1122" t="s">
        <v>48</v>
      </c>
      <c r="D1122" t="s">
        <v>710</v>
      </c>
      <c r="E1122">
        <f t="shared" si="43"/>
        <v>1.1494252873563218E-2</v>
      </c>
      <c r="F1122">
        <v>1</v>
      </c>
      <c r="G1122">
        <f>LOG(382/(1+1))</f>
        <v>2.2810333672477277</v>
      </c>
      <c r="H1122">
        <f>0.0114942528735632*5.25227342804663</f>
        <v>6.0370958943064608E-2</v>
      </c>
      <c r="I1122">
        <v>6.0370958943064712E-2</v>
      </c>
    </row>
    <row r="1123" spans="1:9" x14ac:dyDescent="0.25">
      <c r="A1123">
        <v>233</v>
      </c>
      <c r="B1123" t="s">
        <v>696</v>
      </c>
      <c r="C1123" t="s">
        <v>48</v>
      </c>
      <c r="D1123" t="s">
        <v>234</v>
      </c>
      <c r="E1123">
        <f t="shared" si="43"/>
        <v>1.1494252873563218E-2</v>
      </c>
      <c r="F1123">
        <v>6</v>
      </c>
      <c r="G1123">
        <f>LOG(382/(6+1))</f>
        <v>1.736965322897452</v>
      </c>
      <c r="H1123">
        <f>0.0114942528735632*3.99951045955126</f>
        <v>4.5971384592543144E-2</v>
      </c>
      <c r="I1123">
        <v>4.5971384592543241E-2</v>
      </c>
    </row>
    <row r="1124" spans="1:9" x14ac:dyDescent="0.25">
      <c r="A1124">
        <v>233</v>
      </c>
      <c r="B1124" t="s">
        <v>696</v>
      </c>
      <c r="C1124" t="s">
        <v>48</v>
      </c>
      <c r="D1124" t="s">
        <v>677</v>
      </c>
      <c r="E1124">
        <f t="shared" si="43"/>
        <v>1.1494252873563218E-2</v>
      </c>
      <c r="F1124">
        <v>4</v>
      </c>
      <c r="G1124">
        <f>LOG(382/(4+1))</f>
        <v>1.8830933585756899</v>
      </c>
      <c r="H1124">
        <f>0.0114942528735632*4.33598269617247</f>
        <v>4.9838881565200728E-2</v>
      </c>
      <c r="I1124">
        <v>4.983888156520086E-2</v>
      </c>
    </row>
    <row r="1125" spans="1:9" x14ac:dyDescent="0.25">
      <c r="A1125">
        <v>233</v>
      </c>
      <c r="B1125" t="s">
        <v>696</v>
      </c>
      <c r="C1125" t="s">
        <v>48</v>
      </c>
      <c r="D1125" t="s">
        <v>711</v>
      </c>
      <c r="E1125">
        <f t="shared" si="43"/>
        <v>1.1494252873563218E-2</v>
      </c>
      <c r="F1125">
        <v>4</v>
      </c>
      <c r="G1125">
        <f>LOG(382/(4+1))</f>
        <v>1.8830933585756899</v>
      </c>
      <c r="H1125">
        <f>0.0114942528735632*4.33598269617247</f>
        <v>4.9838881565200728E-2</v>
      </c>
      <c r="I1125">
        <v>4.983888156520086E-2</v>
      </c>
    </row>
    <row r="1126" spans="1:9" x14ac:dyDescent="0.25">
      <c r="A1126">
        <v>233</v>
      </c>
      <c r="B1126" t="s">
        <v>696</v>
      </c>
      <c r="C1126" t="s">
        <v>48</v>
      </c>
      <c r="D1126" t="s">
        <v>712</v>
      </c>
      <c r="E1126">
        <f t="shared" si="43"/>
        <v>1.1494252873563218E-2</v>
      </c>
      <c r="F1126">
        <v>2</v>
      </c>
      <c r="G1126">
        <f>LOG(382/(2+1))</f>
        <v>2.1049421081920463</v>
      </c>
      <c r="H1126">
        <f>0.0114942528735632*4.84680831993846</f>
        <v>5.5710440459062663E-2</v>
      </c>
      <c r="I1126">
        <v>5.5710440459062822E-2</v>
      </c>
    </row>
    <row r="1127" spans="1:9" x14ac:dyDescent="0.25">
      <c r="A1127">
        <v>233</v>
      </c>
      <c r="B1127" t="s">
        <v>696</v>
      </c>
      <c r="C1127" t="s">
        <v>48</v>
      </c>
      <c r="D1127" t="s">
        <v>171</v>
      </c>
      <c r="E1127">
        <f t="shared" si="43"/>
        <v>1.1494252873563218E-2</v>
      </c>
      <c r="F1127">
        <v>6</v>
      </c>
      <c r="G1127">
        <f>LOG(382/(6+1))</f>
        <v>1.736965322897452</v>
      </c>
      <c r="H1127">
        <f>0.0114942528735632*3.99951045955126</f>
        <v>4.5971384592543144E-2</v>
      </c>
      <c r="I1127">
        <v>4.5971384592543241E-2</v>
      </c>
    </row>
    <row r="1128" spans="1:9" x14ac:dyDescent="0.25">
      <c r="A1128">
        <v>233</v>
      </c>
      <c r="B1128" t="s">
        <v>696</v>
      </c>
      <c r="C1128" t="s">
        <v>48</v>
      </c>
      <c r="D1128" t="s">
        <v>465</v>
      </c>
      <c r="E1128">
        <f t="shared" si="43"/>
        <v>1.1494252873563218E-2</v>
      </c>
      <c r="F1128">
        <v>36</v>
      </c>
      <c r="G1128">
        <f>LOG(382/(36+1))</f>
        <v>1.0138616388447137</v>
      </c>
      <c r="H1128">
        <f>0.0114942528735632*2.33450269596235</f>
        <v>2.6833364321406279E-2</v>
      </c>
      <c r="I1128">
        <v>2.6833364321406331E-2</v>
      </c>
    </row>
    <row r="1129" spans="1:9" x14ac:dyDescent="0.25">
      <c r="A1129">
        <v>233</v>
      </c>
      <c r="B1129" t="s">
        <v>696</v>
      </c>
      <c r="C1129" t="s">
        <v>48</v>
      </c>
      <c r="D1129" t="s">
        <v>403</v>
      </c>
      <c r="E1129">
        <f t="shared" si="43"/>
        <v>1.1494252873563218E-2</v>
      </c>
      <c r="F1129">
        <v>11</v>
      </c>
      <c r="G1129">
        <f>LOG(382/(11+1))</f>
        <v>1.5028821168640838</v>
      </c>
      <c r="H1129">
        <f>0.0114942528735632*3.46051395881857</f>
        <v>3.9776022515155912E-2</v>
      </c>
      <c r="I1129">
        <v>3.977602251515603E-2</v>
      </c>
    </row>
    <row r="1130" spans="1:9" x14ac:dyDescent="0.25">
      <c r="A1130">
        <v>233</v>
      </c>
      <c r="B1130" t="s">
        <v>696</v>
      </c>
      <c r="C1130" t="s">
        <v>48</v>
      </c>
      <c r="D1130" t="s">
        <v>25</v>
      </c>
      <c r="E1130">
        <f t="shared" si="43"/>
        <v>1.1494252873563218E-2</v>
      </c>
      <c r="F1130">
        <v>106</v>
      </c>
      <c r="G1130">
        <f>LOG(382/(106+1))</f>
        <v>0.55267958522649907</v>
      </c>
      <c r="H1130">
        <f>0.0114942528735632*1.27259177414466</f>
        <v>1.4627491656835148E-2</v>
      </c>
      <c r="I1130">
        <v>1.462749165683528E-2</v>
      </c>
    </row>
    <row r="1131" spans="1:9" x14ac:dyDescent="0.25">
      <c r="A1131">
        <v>233</v>
      </c>
      <c r="B1131" t="s">
        <v>696</v>
      </c>
      <c r="C1131" t="s">
        <v>48</v>
      </c>
      <c r="D1131" t="s">
        <v>626</v>
      </c>
      <c r="E1131">
        <f t="shared" si="43"/>
        <v>1.1494252873563218E-2</v>
      </c>
      <c r="F1131">
        <v>12</v>
      </c>
      <c r="G1131">
        <f>LOG(382/(12+1))</f>
        <v>1.468120010604872</v>
      </c>
      <c r="H1131">
        <f>0.0114942528735632*3.38047125114503</f>
        <v>3.8855991392471548E-2</v>
      </c>
      <c r="I1131">
        <v>3.8855991392471707E-2</v>
      </c>
    </row>
    <row r="1132" spans="1:9" x14ac:dyDescent="0.25">
      <c r="A1132">
        <v>233</v>
      </c>
      <c r="B1132" t="s">
        <v>696</v>
      </c>
      <c r="C1132" t="s">
        <v>48</v>
      </c>
      <c r="D1132" t="s">
        <v>225</v>
      </c>
      <c r="E1132">
        <f t="shared" si="43"/>
        <v>1.1494252873563218E-2</v>
      </c>
      <c r="F1132">
        <v>30</v>
      </c>
      <c r="G1132">
        <f>LOG(382/(30+1))</f>
        <v>1.090701669077436</v>
      </c>
      <c r="H1132">
        <f>0.0114942528735632*2.51143340412142</f>
        <v>2.8867050622085239E-2</v>
      </c>
      <c r="I1132">
        <v>2.8867050622085388E-2</v>
      </c>
    </row>
    <row r="1133" spans="1:9" x14ac:dyDescent="0.25">
      <c r="A1133">
        <v>233</v>
      </c>
      <c r="B1133" t="s">
        <v>696</v>
      </c>
      <c r="C1133" t="s">
        <v>48</v>
      </c>
      <c r="D1133" t="s">
        <v>713</v>
      </c>
      <c r="E1133">
        <f t="shared" si="43"/>
        <v>1.1494252873563218E-2</v>
      </c>
      <c r="F1133">
        <v>1</v>
      </c>
      <c r="G1133">
        <f>LOG(382/(1+1))</f>
        <v>2.2810333672477277</v>
      </c>
      <c r="H1133">
        <f>0.0114942528735632*5.25227342804663</f>
        <v>6.0370958943064608E-2</v>
      </c>
      <c r="I1133">
        <v>6.0370958943064712E-2</v>
      </c>
    </row>
    <row r="1134" spans="1:9" x14ac:dyDescent="0.25">
      <c r="A1134">
        <v>233</v>
      </c>
      <c r="B1134" t="s">
        <v>696</v>
      </c>
      <c r="C1134" t="s">
        <v>48</v>
      </c>
      <c r="D1134" t="s">
        <v>714</v>
      </c>
      <c r="E1134">
        <f t="shared" si="43"/>
        <v>1.1494252873563218E-2</v>
      </c>
      <c r="F1134">
        <v>12</v>
      </c>
      <c r="G1134">
        <f>LOG(382/(12+1))</f>
        <v>1.468120010604872</v>
      </c>
      <c r="H1134">
        <f>0.0114942528735632*3.38047125114503</f>
        <v>3.8855991392471548E-2</v>
      </c>
      <c r="I1134">
        <v>3.8855991392471707E-2</v>
      </c>
    </row>
    <row r="1135" spans="1:9" x14ac:dyDescent="0.25">
      <c r="A1135">
        <v>233</v>
      </c>
      <c r="B1135" t="s">
        <v>696</v>
      </c>
      <c r="C1135" t="s">
        <v>48</v>
      </c>
      <c r="D1135" t="s">
        <v>715</v>
      </c>
      <c r="E1135">
        <f t="shared" si="43"/>
        <v>1.1494252873563218E-2</v>
      </c>
      <c r="F1135">
        <v>2</v>
      </c>
      <c r="G1135">
        <f>LOG(382/(2+1))</f>
        <v>2.1049421081920463</v>
      </c>
      <c r="H1135">
        <f>0.0114942528735632*4.84680831993846</f>
        <v>5.5710440459062663E-2</v>
      </c>
      <c r="I1135">
        <v>5.5710440459062822E-2</v>
      </c>
    </row>
    <row r="1136" spans="1:9" x14ac:dyDescent="0.25">
      <c r="A1136">
        <v>233</v>
      </c>
      <c r="B1136" t="s">
        <v>696</v>
      </c>
      <c r="C1136" t="s">
        <v>48</v>
      </c>
      <c r="D1136" t="s">
        <v>716</v>
      </c>
      <c r="E1136">
        <f t="shared" si="43"/>
        <v>1.1494252873563218E-2</v>
      </c>
      <c r="F1136">
        <v>13</v>
      </c>
      <c r="G1136">
        <f>LOG(382/(13+1))</f>
        <v>1.4359353272334707</v>
      </c>
      <c r="H1136">
        <f>0.0114942528735632*3.30636327899131</f>
        <v>3.8004175620589706E-2</v>
      </c>
      <c r="I1136">
        <v>3.8004175620589838E-2</v>
      </c>
    </row>
    <row r="1137" spans="1:9" x14ac:dyDescent="0.25">
      <c r="A1137">
        <v>233</v>
      </c>
      <c r="B1137" t="s">
        <v>696</v>
      </c>
      <c r="C1137" t="s">
        <v>48</v>
      </c>
      <c r="D1137" t="s">
        <v>717</v>
      </c>
      <c r="E1137">
        <f t="shared" si="43"/>
        <v>1.1494252873563218E-2</v>
      </c>
      <c r="F1137">
        <v>5</v>
      </c>
      <c r="G1137">
        <f>LOG(382/(5+1))</f>
        <v>1.803912112528065</v>
      </c>
      <c r="H1137">
        <f>0.0114942528735632*4.15366113937852</f>
        <v>4.7743231487109343E-2</v>
      </c>
      <c r="I1137">
        <v>4.7743231487109433E-2</v>
      </c>
    </row>
    <row r="1138" spans="1:9" x14ac:dyDescent="0.25">
      <c r="A1138">
        <v>233</v>
      </c>
      <c r="B1138" t="s">
        <v>696</v>
      </c>
      <c r="C1138" t="s">
        <v>48</v>
      </c>
      <c r="D1138" t="s">
        <v>718</v>
      </c>
      <c r="E1138">
        <f t="shared" si="43"/>
        <v>1.1494252873563218E-2</v>
      </c>
      <c r="F1138">
        <v>4</v>
      </c>
      <c r="G1138">
        <f>LOG(382/(4+1))</f>
        <v>1.8830933585756899</v>
      </c>
      <c r="H1138">
        <f>0.0114942528735632*4.33598269617247</f>
        <v>4.9838881565200728E-2</v>
      </c>
      <c r="I1138">
        <v>4.983888156520086E-2</v>
      </c>
    </row>
    <row r="1139" spans="1:9" x14ac:dyDescent="0.25">
      <c r="A1139">
        <v>233</v>
      </c>
      <c r="B1139" t="s">
        <v>696</v>
      </c>
      <c r="C1139" t="s">
        <v>48</v>
      </c>
      <c r="D1139" t="s">
        <v>60</v>
      </c>
      <c r="E1139">
        <f t="shared" si="43"/>
        <v>1.1494252873563218E-2</v>
      </c>
      <c r="F1139">
        <v>24</v>
      </c>
      <c r="G1139">
        <f>LOG(382/(24+1))</f>
        <v>1.1841233542396712</v>
      </c>
      <c r="H1139">
        <f>0.0114942528735632*2.72654478373837</f>
        <v>3.1339595215383508E-2</v>
      </c>
      <c r="I1139">
        <v>3.1339595215383612E-2</v>
      </c>
    </row>
    <row r="1140" spans="1:9" x14ac:dyDescent="0.25">
      <c r="A1140">
        <v>233</v>
      </c>
      <c r="B1140" t="s">
        <v>696</v>
      </c>
      <c r="C1140" t="s">
        <v>48</v>
      </c>
      <c r="D1140" t="s">
        <v>599</v>
      </c>
      <c r="E1140">
        <f t="shared" si="43"/>
        <v>1.1494252873563218E-2</v>
      </c>
      <c r="F1140">
        <v>28</v>
      </c>
      <c r="G1140">
        <f>LOG(382/(28+1))</f>
        <v>1.1196653650127526</v>
      </c>
      <c r="H1140">
        <f>0.0114942528735632*2.5781247786201</f>
        <v>2.963361814505857E-2</v>
      </c>
      <c r="I1140">
        <v>2.9633618145058629E-2</v>
      </c>
    </row>
    <row r="1141" spans="1:9" x14ac:dyDescent="0.25">
      <c r="A1141">
        <v>233</v>
      </c>
      <c r="B1141" t="s">
        <v>696</v>
      </c>
      <c r="C1141" t="s">
        <v>48</v>
      </c>
      <c r="D1141" t="s">
        <v>719</v>
      </c>
      <c r="E1141">
        <f t="shared" si="43"/>
        <v>1.1494252873563218E-2</v>
      </c>
      <c r="F1141">
        <v>1</v>
      </c>
      <c r="G1141">
        <f>LOG(382/(1+1))</f>
        <v>2.2810333672477277</v>
      </c>
      <c r="H1141">
        <f>0.0114942528735632*5.25227342804663</f>
        <v>6.0370958943064608E-2</v>
      </c>
      <c r="I1141">
        <v>6.0370958943064712E-2</v>
      </c>
    </row>
    <row r="1142" spans="1:9" x14ac:dyDescent="0.25">
      <c r="A1142">
        <v>233</v>
      </c>
      <c r="B1142" t="s">
        <v>696</v>
      </c>
      <c r="C1142" t="s">
        <v>48</v>
      </c>
      <c r="D1142" t="s">
        <v>333</v>
      </c>
      <c r="E1142">
        <f t="shared" si="43"/>
        <v>1.1494252873563218E-2</v>
      </c>
      <c r="F1142">
        <v>9</v>
      </c>
      <c r="G1142">
        <f>LOG(382/(9+1))</f>
        <v>1.5820633629117087</v>
      </c>
      <c r="H1142">
        <f>0.0114942528735632*3.64283551561252</f>
        <v>4.187167259324729E-2</v>
      </c>
      <c r="I1142">
        <v>4.1871672593247457E-2</v>
      </c>
    </row>
    <row r="1143" spans="1:9" x14ac:dyDescent="0.25">
      <c r="A1143">
        <v>233</v>
      </c>
      <c r="B1143" t="s">
        <v>696</v>
      </c>
      <c r="C1143" t="s">
        <v>48</v>
      </c>
      <c r="D1143" t="s">
        <v>327</v>
      </c>
      <c r="E1143">
        <f t="shared" si="43"/>
        <v>1.1494252873563218E-2</v>
      </c>
      <c r="F1143">
        <v>46</v>
      </c>
      <c r="G1143">
        <f>LOG(382/(46+1))</f>
        <v>0.90996550497599127</v>
      </c>
      <c r="H1143">
        <f>0.0114942528735632*2.09527300689651</f>
        <v>2.4083597780419616E-2</v>
      </c>
      <c r="I1143">
        <v>2.4083597780419731E-2</v>
      </c>
    </row>
    <row r="1144" spans="1:9" x14ac:dyDescent="0.25">
      <c r="A1144">
        <v>233</v>
      </c>
      <c r="B1144" t="s">
        <v>696</v>
      </c>
      <c r="C1144" t="s">
        <v>48</v>
      </c>
      <c r="D1144" t="s">
        <v>119</v>
      </c>
      <c r="E1144">
        <f t="shared" si="43"/>
        <v>1.1494252873563218E-2</v>
      </c>
      <c r="F1144">
        <v>79</v>
      </c>
      <c r="G1144">
        <f>LOG(382/(79+1))</f>
        <v>0.67897337591976514</v>
      </c>
      <c r="H1144">
        <f>0.0114942528735632*1.56339397393269</f>
        <v>1.7970045677387213E-2</v>
      </c>
      <c r="I1144">
        <v>1.7970045677387279E-2</v>
      </c>
    </row>
    <row r="1145" spans="1:9" x14ac:dyDescent="0.25">
      <c r="A1145">
        <v>233</v>
      </c>
      <c r="B1145" t="s">
        <v>696</v>
      </c>
      <c r="C1145" t="s">
        <v>48</v>
      </c>
      <c r="D1145" t="s">
        <v>720</v>
      </c>
      <c r="E1145">
        <f t="shared" si="43"/>
        <v>1.1494252873563218E-2</v>
      </c>
      <c r="F1145">
        <v>9</v>
      </c>
      <c r="G1145">
        <f>LOG(382/(9+1))</f>
        <v>1.5820633629117087</v>
      </c>
      <c r="H1145">
        <f>0.0114942528735632*3.64283551561252</f>
        <v>4.187167259324729E-2</v>
      </c>
      <c r="I1145">
        <v>4.1871672593247457E-2</v>
      </c>
    </row>
    <row r="1146" spans="1:9" x14ac:dyDescent="0.25">
      <c r="A1146">
        <v>233</v>
      </c>
      <c r="B1146" t="s">
        <v>696</v>
      </c>
      <c r="C1146" t="s">
        <v>48</v>
      </c>
      <c r="D1146" t="s">
        <v>77</v>
      </c>
      <c r="E1146">
        <f t="shared" si="43"/>
        <v>1.1494252873563218E-2</v>
      </c>
      <c r="F1146">
        <v>148</v>
      </c>
      <c r="G1146">
        <f>LOG(382/(148+1))</f>
        <v>0.40887709449943471</v>
      </c>
      <c r="H1146">
        <f>0.0114942528735632*0.941474302661116</f>
        <v>1.0821543708748441E-2</v>
      </c>
      <c r="I1146">
        <v>1.082154370874846E-2</v>
      </c>
    </row>
    <row r="1147" spans="1:9" x14ac:dyDescent="0.25">
      <c r="A1147">
        <v>233</v>
      </c>
      <c r="B1147" t="s">
        <v>696</v>
      </c>
      <c r="C1147" t="s">
        <v>48</v>
      </c>
      <c r="D1147" t="s">
        <v>331</v>
      </c>
      <c r="E1147">
        <f t="shared" si="43"/>
        <v>1.1494252873563218E-2</v>
      </c>
      <c r="F1147">
        <v>130</v>
      </c>
      <c r="G1147">
        <f>LOG(382/(130+1))</f>
        <v>0.46479206725594452</v>
      </c>
      <c r="H1147">
        <f>0.0114942528735632*1.07022328540542</f>
        <v>1.2301417073625498E-2</v>
      </c>
      <c r="I1147">
        <v>1.2301417073625561E-2</v>
      </c>
    </row>
    <row r="1148" spans="1:9" x14ac:dyDescent="0.25">
      <c r="A1148">
        <v>233</v>
      </c>
      <c r="B1148" t="s">
        <v>696</v>
      </c>
      <c r="C1148" t="s">
        <v>48</v>
      </c>
      <c r="D1148" t="s">
        <v>204</v>
      </c>
      <c r="E1148">
        <f t="shared" si="43"/>
        <v>1.1494252873563218E-2</v>
      </c>
      <c r="F1148">
        <v>166</v>
      </c>
      <c r="G1148">
        <f>LOG(382/(166+1))</f>
        <v>0.35934689176412549</v>
      </c>
      <c r="H1148">
        <f>0.0114942528735632*0.82742679618982</f>
        <v>9.51065282976803E-3</v>
      </c>
      <c r="I1148">
        <v>9.5106528297680473E-3</v>
      </c>
    </row>
    <row r="1149" spans="1:9" x14ac:dyDescent="0.25">
      <c r="A1149">
        <v>234</v>
      </c>
      <c r="B1149" t="s">
        <v>721</v>
      </c>
      <c r="C1149" t="s">
        <v>48</v>
      </c>
      <c r="D1149" t="s">
        <v>103</v>
      </c>
      <c r="E1149">
        <f>6/61</f>
        <v>9.8360655737704916E-2</v>
      </c>
      <c r="F1149">
        <v>38</v>
      </c>
      <c r="G1149">
        <f>LOG(382/(38+1))</f>
        <v>0.99099875588520958</v>
      </c>
      <c r="H1149">
        <f>0.0983606557377049*2.28185896247692</f>
        <v>0.22444514385018882</v>
      </c>
      <c r="I1149">
        <v>0.22444514385018971</v>
      </c>
    </row>
    <row r="1150" spans="1:9" x14ac:dyDescent="0.25">
      <c r="A1150">
        <v>234</v>
      </c>
      <c r="B1150" t="s">
        <v>721</v>
      </c>
      <c r="C1150" t="s">
        <v>48</v>
      </c>
      <c r="D1150" t="s">
        <v>722</v>
      </c>
      <c r="E1150">
        <f>3/61</f>
        <v>4.9180327868852458E-2</v>
      </c>
      <c r="F1150">
        <v>1</v>
      </c>
      <c r="G1150">
        <f>LOG(382/(1+1))</f>
        <v>2.2810333672477277</v>
      </c>
      <c r="H1150">
        <f>0.0491803278688524*5.25227342804663</f>
        <v>0.25830852924819464</v>
      </c>
      <c r="I1150">
        <v>0.25830852924819492</v>
      </c>
    </row>
    <row r="1151" spans="1:9" x14ac:dyDescent="0.25">
      <c r="A1151">
        <v>234</v>
      </c>
      <c r="B1151" t="s">
        <v>721</v>
      </c>
      <c r="C1151" t="s">
        <v>48</v>
      </c>
      <c r="D1151" t="s">
        <v>367</v>
      </c>
      <c r="E1151">
        <f>1/61</f>
        <v>1.6393442622950821E-2</v>
      </c>
      <c r="F1151">
        <v>4</v>
      </c>
      <c r="G1151">
        <f>LOG(382/(4+1))</f>
        <v>1.8830933585756899</v>
      </c>
      <c r="H1151">
        <f>0.0163934426229508*4.33598269617247</f>
        <v>7.1081683543810906E-2</v>
      </c>
      <c r="I1151">
        <v>7.1081683543811072E-2</v>
      </c>
    </row>
    <row r="1152" spans="1:9" x14ac:dyDescent="0.25">
      <c r="A1152">
        <v>234</v>
      </c>
      <c r="B1152" t="s">
        <v>721</v>
      </c>
      <c r="C1152" t="s">
        <v>48</v>
      </c>
      <c r="D1152" t="s">
        <v>94</v>
      </c>
      <c r="E1152">
        <f>1/61</f>
        <v>1.6393442622950821E-2</v>
      </c>
      <c r="F1152">
        <v>12</v>
      </c>
      <c r="G1152">
        <f>LOG(382/(12+1))</f>
        <v>1.468120010604872</v>
      </c>
      <c r="H1152">
        <f>0.0163934426229508*3.38047125114503</f>
        <v>5.5417561494180756E-2</v>
      </c>
      <c r="I1152">
        <v>5.5417561494180957E-2</v>
      </c>
    </row>
    <row r="1153" spans="1:9" x14ac:dyDescent="0.25">
      <c r="A1153">
        <v>234</v>
      </c>
      <c r="B1153" t="s">
        <v>721</v>
      </c>
      <c r="C1153" t="s">
        <v>48</v>
      </c>
      <c r="D1153" t="s">
        <v>50</v>
      </c>
      <c r="E1153">
        <f>1/61</f>
        <v>1.6393442622950821E-2</v>
      </c>
      <c r="F1153">
        <v>109</v>
      </c>
      <c r="G1153">
        <f>LOG(382/(109+1))</f>
        <v>0.54067067775348365</v>
      </c>
      <c r="H1153">
        <f>0.0163934426229508*1.24494024281415</f>
        <v>2.0408856439576205E-2</v>
      </c>
      <c r="I1153">
        <v>2.0408856439576378E-2</v>
      </c>
    </row>
    <row r="1154" spans="1:9" x14ac:dyDescent="0.25">
      <c r="A1154">
        <v>234</v>
      </c>
      <c r="B1154" t="s">
        <v>721</v>
      </c>
      <c r="C1154" t="s">
        <v>48</v>
      </c>
      <c r="D1154" t="s">
        <v>42</v>
      </c>
      <c r="E1154">
        <f>2/61</f>
        <v>3.2786885245901641E-2</v>
      </c>
      <c r="F1154">
        <v>251</v>
      </c>
      <c r="G1154">
        <f>LOG(382/(251+1))</f>
        <v>0.18066282213016463</v>
      </c>
      <c r="H1154">
        <f>0.0327868852459016*0.415991521095151</f>
        <v>1.363906626541477E-2</v>
      </c>
      <c r="I1154">
        <v>1.363906626541482E-2</v>
      </c>
    </row>
    <row r="1155" spans="1:9" x14ac:dyDescent="0.25">
      <c r="A1155">
        <v>234</v>
      </c>
      <c r="B1155" t="s">
        <v>721</v>
      </c>
      <c r="C1155" t="s">
        <v>48</v>
      </c>
      <c r="D1155" t="s">
        <v>19</v>
      </c>
      <c r="E1155">
        <f>2/61</f>
        <v>3.2786885245901641E-2</v>
      </c>
      <c r="F1155">
        <v>220</v>
      </c>
      <c r="G1155">
        <f>LOG(382/(220+1))</f>
        <v>0.23767108922659805</v>
      </c>
      <c r="H1155">
        <f>0.0327868852459016*0.547257907088822</f>
        <v>1.7942882199633487E-2</v>
      </c>
      <c r="I1155">
        <v>1.7942882199633518E-2</v>
      </c>
    </row>
    <row r="1156" spans="1:9" x14ac:dyDescent="0.25">
      <c r="A1156">
        <v>234</v>
      </c>
      <c r="B1156" t="s">
        <v>721</v>
      </c>
      <c r="C1156" t="s">
        <v>48</v>
      </c>
      <c r="D1156" t="s">
        <v>44</v>
      </c>
      <c r="E1156">
        <f>2/61</f>
        <v>3.2786885245901641E-2</v>
      </c>
      <c r="F1156">
        <v>151</v>
      </c>
      <c r="G1156">
        <f>LOG(382/(151+1))</f>
        <v>0.40021977496693617</v>
      </c>
      <c r="H1156">
        <f>0.0327868852459016*0.921540087760298</f>
        <v>3.021442910689498E-2</v>
      </c>
      <c r="I1156">
        <v>3.0214429106895039E-2</v>
      </c>
    </row>
    <row r="1157" spans="1:9" x14ac:dyDescent="0.25">
      <c r="A1157">
        <v>234</v>
      </c>
      <c r="B1157" t="s">
        <v>721</v>
      </c>
      <c r="C1157" t="s">
        <v>48</v>
      </c>
      <c r="D1157" t="s">
        <v>22</v>
      </c>
      <c r="E1157">
        <f>1/61</f>
        <v>1.6393442622950821E-2</v>
      </c>
      <c r="F1157">
        <v>259</v>
      </c>
      <c r="G1157">
        <f>LOG(382/(259+1))</f>
        <v>0.16709001494089079</v>
      </c>
      <c r="H1157">
        <f>0.0163934426229508*0.384738977591047</f>
        <v>6.3071963539515826E-3</v>
      </c>
      <c r="I1157">
        <v>6.3071963539515991E-3</v>
      </c>
    </row>
    <row r="1158" spans="1:9" x14ac:dyDescent="0.25">
      <c r="A1158">
        <v>234</v>
      </c>
      <c r="B1158" t="s">
        <v>721</v>
      </c>
      <c r="C1158" t="s">
        <v>48</v>
      </c>
      <c r="D1158" t="s">
        <v>23</v>
      </c>
      <c r="E1158">
        <f>1/61</f>
        <v>1.6393442622950821E-2</v>
      </c>
      <c r="F1158">
        <v>275</v>
      </c>
      <c r="G1158">
        <f>LOG(382/(275+1))</f>
        <v>0.14115428084649101</v>
      </c>
      <c r="H1158">
        <f>0.0163934426229508*0.325019742889425</f>
        <v>5.3281925063840092E-3</v>
      </c>
      <c r="I1158">
        <v>5.3281925063840187E-3</v>
      </c>
    </row>
    <row r="1159" spans="1:9" x14ac:dyDescent="0.25">
      <c r="A1159">
        <v>234</v>
      </c>
      <c r="B1159" t="s">
        <v>721</v>
      </c>
      <c r="C1159" t="s">
        <v>48</v>
      </c>
      <c r="D1159" t="s">
        <v>219</v>
      </c>
      <c r="E1159">
        <f>1/61</f>
        <v>1.6393442622950821E-2</v>
      </c>
      <c r="F1159">
        <v>19</v>
      </c>
      <c r="G1159">
        <f>LOG(382/(19+1))</f>
        <v>1.2810333672477277</v>
      </c>
      <c r="H1159">
        <f>0.0163934426229508*2.94968833505258</f>
        <v>4.8355546476271744E-2</v>
      </c>
      <c r="I1159">
        <v>4.8355546476271882E-2</v>
      </c>
    </row>
    <row r="1160" spans="1:9" x14ac:dyDescent="0.25">
      <c r="A1160">
        <v>234</v>
      </c>
      <c r="B1160" t="s">
        <v>721</v>
      </c>
      <c r="C1160" t="s">
        <v>48</v>
      </c>
      <c r="D1160" t="s">
        <v>11</v>
      </c>
      <c r="E1160">
        <f>3/61</f>
        <v>4.9180327868852458E-2</v>
      </c>
      <c r="F1160">
        <v>83</v>
      </c>
      <c r="G1160">
        <f>LOG(382/(83+1))</f>
        <v>0.65778407684982709</v>
      </c>
      <c r="H1160">
        <f>0.0491803278688524*1.51460380976326</f>
        <v>7.4488711955570081E-2</v>
      </c>
      <c r="I1160">
        <v>7.4488711955570233E-2</v>
      </c>
    </row>
    <row r="1161" spans="1:9" x14ac:dyDescent="0.25">
      <c r="A1161">
        <v>234</v>
      </c>
      <c r="B1161" t="s">
        <v>721</v>
      </c>
      <c r="C1161" t="s">
        <v>48</v>
      </c>
      <c r="D1161" t="s">
        <v>25</v>
      </c>
      <c r="E1161">
        <f t="shared" ref="E1161:E1167" si="44">1/61</f>
        <v>1.6393442622950821E-2</v>
      </c>
      <c r="F1161">
        <v>106</v>
      </c>
      <c r="G1161">
        <f>LOG(382/(106+1))</f>
        <v>0.55267958522649907</v>
      </c>
      <c r="H1161">
        <f>0.0163934426229508*1.27259177414466</f>
        <v>2.0862160231879645E-2</v>
      </c>
      <c r="I1161">
        <v>2.0862160231879819E-2</v>
      </c>
    </row>
    <row r="1162" spans="1:9" x14ac:dyDescent="0.25">
      <c r="A1162">
        <v>234</v>
      </c>
      <c r="B1162" t="s">
        <v>721</v>
      </c>
      <c r="C1162" t="s">
        <v>48</v>
      </c>
      <c r="D1162" t="s">
        <v>723</v>
      </c>
      <c r="E1162">
        <f t="shared" si="44"/>
        <v>1.6393442622950821E-2</v>
      </c>
      <c r="F1162">
        <v>3</v>
      </c>
      <c r="G1162">
        <f>LOG(382/(3+1))</f>
        <v>1.9800033715837464</v>
      </c>
      <c r="H1162">
        <f>0.0163934426229508*4.55912624748668</f>
        <v>7.4739774548961871E-2</v>
      </c>
      <c r="I1162">
        <v>7.4739774548962051E-2</v>
      </c>
    </row>
    <row r="1163" spans="1:9" x14ac:dyDescent="0.25">
      <c r="A1163">
        <v>234</v>
      </c>
      <c r="B1163" t="s">
        <v>721</v>
      </c>
      <c r="C1163" t="s">
        <v>48</v>
      </c>
      <c r="D1163" t="s">
        <v>126</v>
      </c>
      <c r="E1163">
        <f t="shared" si="44"/>
        <v>1.6393442622950821E-2</v>
      </c>
      <c r="F1163">
        <v>79</v>
      </c>
      <c r="G1163">
        <f>LOG(382/(79+1))</f>
        <v>0.67897337591976514</v>
      </c>
      <c r="H1163">
        <f>0.0163934426229508*1.56339397393269</f>
        <v>2.5629409408732592E-2</v>
      </c>
      <c r="I1163">
        <v>2.5629409408732689E-2</v>
      </c>
    </row>
    <row r="1164" spans="1:9" x14ac:dyDescent="0.25">
      <c r="A1164">
        <v>234</v>
      </c>
      <c r="B1164" t="s">
        <v>721</v>
      </c>
      <c r="C1164" t="s">
        <v>48</v>
      </c>
      <c r="D1164" t="s">
        <v>144</v>
      </c>
      <c r="E1164">
        <f t="shared" si="44"/>
        <v>1.6393442622950821E-2</v>
      </c>
      <c r="F1164">
        <v>105</v>
      </c>
      <c r="G1164">
        <f>LOG(382/(105+1))</f>
        <v>0.55675749764693849</v>
      </c>
      <c r="H1164">
        <f>0.0163934426229508*1.2819815144945</f>
        <v>2.1016090401549153E-2</v>
      </c>
      <c r="I1164">
        <v>2.1016090401549309E-2</v>
      </c>
    </row>
    <row r="1165" spans="1:9" x14ac:dyDescent="0.25">
      <c r="A1165">
        <v>234</v>
      </c>
      <c r="B1165" t="s">
        <v>721</v>
      </c>
      <c r="C1165" t="s">
        <v>48</v>
      </c>
      <c r="D1165" t="s">
        <v>724</v>
      </c>
      <c r="E1165">
        <f t="shared" si="44"/>
        <v>1.6393442622950821E-2</v>
      </c>
      <c r="F1165">
        <v>9</v>
      </c>
      <c r="G1165">
        <f>LOG(382/(9+1))</f>
        <v>1.5820633629117087</v>
      </c>
      <c r="H1165">
        <f>0.0163934426229508*3.64283551561252</f>
        <v>5.9718615010041241E-2</v>
      </c>
      <c r="I1165">
        <v>5.971861501004147E-2</v>
      </c>
    </row>
    <row r="1166" spans="1:9" x14ac:dyDescent="0.25">
      <c r="A1166">
        <v>234</v>
      </c>
      <c r="B1166" t="s">
        <v>721</v>
      </c>
      <c r="C1166" t="s">
        <v>48</v>
      </c>
      <c r="D1166" t="s">
        <v>725</v>
      </c>
      <c r="E1166">
        <f t="shared" si="44"/>
        <v>1.6393442622950821E-2</v>
      </c>
      <c r="F1166">
        <v>12</v>
      </c>
      <c r="G1166">
        <f>LOG(382/(12+1))</f>
        <v>1.468120010604872</v>
      </c>
      <c r="H1166">
        <f>0.0163934426229508*3.38047125114503</f>
        <v>5.5417561494180756E-2</v>
      </c>
      <c r="I1166">
        <v>5.5417561494180957E-2</v>
      </c>
    </row>
    <row r="1167" spans="1:9" x14ac:dyDescent="0.25">
      <c r="A1167">
        <v>234</v>
      </c>
      <c r="B1167" t="s">
        <v>721</v>
      </c>
      <c r="C1167" t="s">
        <v>48</v>
      </c>
      <c r="D1167" t="s">
        <v>215</v>
      </c>
      <c r="E1167">
        <f t="shared" si="44"/>
        <v>1.6393442622950821E-2</v>
      </c>
      <c r="F1167">
        <v>25</v>
      </c>
      <c r="G1167">
        <f>LOG(382/(25+1))</f>
        <v>1.1670900149408907</v>
      </c>
      <c r="H1167">
        <f>0.0163934426229508*2.68732407058509</f>
        <v>4.4054492960411258E-2</v>
      </c>
      <c r="I1167">
        <v>4.4054492960411362E-2</v>
      </c>
    </row>
    <row r="1168" spans="1:9" x14ac:dyDescent="0.25">
      <c r="A1168">
        <v>234</v>
      </c>
      <c r="B1168" t="s">
        <v>721</v>
      </c>
      <c r="C1168" t="s">
        <v>48</v>
      </c>
      <c r="D1168" t="s">
        <v>726</v>
      </c>
      <c r="E1168">
        <f>2/61</f>
        <v>3.2786885245901641E-2</v>
      </c>
      <c r="F1168">
        <v>37</v>
      </c>
      <c r="G1168">
        <f>LOG(382/(37+1))</f>
        <v>1.0022797662948986</v>
      </c>
      <c r="H1168">
        <f>0.0327868852459016*2.30783444888018</f>
        <v>7.5666703241973013E-2</v>
      </c>
      <c r="I1168">
        <v>7.5666703241973415E-2</v>
      </c>
    </row>
    <row r="1169" spans="1:9" x14ac:dyDescent="0.25">
      <c r="A1169">
        <v>234</v>
      </c>
      <c r="B1169" t="s">
        <v>721</v>
      </c>
      <c r="C1169" t="s">
        <v>48</v>
      </c>
      <c r="D1169" t="s">
        <v>727</v>
      </c>
      <c r="E1169">
        <f t="shared" ref="E1169:E1175" si="45">1/61</f>
        <v>1.6393442622950821E-2</v>
      </c>
      <c r="F1169">
        <v>9</v>
      </c>
      <c r="G1169">
        <f>LOG(382/(9+1))</f>
        <v>1.5820633629117087</v>
      </c>
      <c r="H1169">
        <f>0.0163934426229508*3.64283551561252</f>
        <v>5.9718615010041241E-2</v>
      </c>
      <c r="I1169">
        <v>5.971861501004147E-2</v>
      </c>
    </row>
    <row r="1170" spans="1:9" x14ac:dyDescent="0.25">
      <c r="A1170">
        <v>234</v>
      </c>
      <c r="B1170" t="s">
        <v>721</v>
      </c>
      <c r="C1170" t="s">
        <v>48</v>
      </c>
      <c r="D1170" t="s">
        <v>728</v>
      </c>
      <c r="E1170">
        <f t="shared" si="45"/>
        <v>1.6393442622950821E-2</v>
      </c>
      <c r="F1170">
        <v>9</v>
      </c>
      <c r="G1170">
        <f>LOG(382/(9+1))</f>
        <v>1.5820633629117087</v>
      </c>
      <c r="H1170">
        <f>0.0163934426229508*3.64283551561252</f>
        <v>5.9718615010041241E-2</v>
      </c>
      <c r="I1170">
        <v>5.971861501004147E-2</v>
      </c>
    </row>
    <row r="1171" spans="1:9" x14ac:dyDescent="0.25">
      <c r="A1171">
        <v>234</v>
      </c>
      <c r="B1171" t="s">
        <v>721</v>
      </c>
      <c r="C1171" t="s">
        <v>48</v>
      </c>
      <c r="D1171" t="s">
        <v>69</v>
      </c>
      <c r="E1171">
        <f t="shared" si="45"/>
        <v>1.6393442622950821E-2</v>
      </c>
      <c r="F1171">
        <v>13</v>
      </c>
      <c r="G1171">
        <f>LOG(382/(13+1))</f>
        <v>1.4359353272334707</v>
      </c>
      <c r="H1171">
        <f>0.0163934426229508*3.30636327899131</f>
        <v>5.4202676704775514E-2</v>
      </c>
      <c r="I1171">
        <v>5.4202676704775681E-2</v>
      </c>
    </row>
    <row r="1172" spans="1:9" x14ac:dyDescent="0.25">
      <c r="A1172">
        <v>234</v>
      </c>
      <c r="B1172" t="s">
        <v>721</v>
      </c>
      <c r="C1172" t="s">
        <v>48</v>
      </c>
      <c r="D1172" t="s">
        <v>17</v>
      </c>
      <c r="E1172">
        <f t="shared" si="45"/>
        <v>1.6393442622950821E-2</v>
      </c>
      <c r="F1172">
        <v>169</v>
      </c>
      <c r="G1172">
        <f>LOG(382/(169+1))</f>
        <v>0.3516144415334348</v>
      </c>
      <c r="H1172">
        <f>0.0163934426229508*0.809622171556313</f>
        <v>1.3272494615677246E-2</v>
      </c>
      <c r="I1172">
        <v>1.3272494615677271E-2</v>
      </c>
    </row>
    <row r="1173" spans="1:9" x14ac:dyDescent="0.25">
      <c r="A1173">
        <v>234</v>
      </c>
      <c r="B1173" t="s">
        <v>721</v>
      </c>
      <c r="C1173" t="s">
        <v>48</v>
      </c>
      <c r="D1173" t="s">
        <v>250</v>
      </c>
      <c r="E1173">
        <f t="shared" si="45"/>
        <v>1.6393442622950821E-2</v>
      </c>
      <c r="F1173">
        <v>14</v>
      </c>
      <c r="G1173">
        <f>LOG(382/(14+1))</f>
        <v>1.4059721038560276</v>
      </c>
      <c r="H1173">
        <f>0.0163934426229508*3.23737040750436</f>
        <v>5.3071646024661571E-2</v>
      </c>
      <c r="I1173">
        <v>5.3071646024661731E-2</v>
      </c>
    </row>
    <row r="1174" spans="1:9" x14ac:dyDescent="0.25">
      <c r="A1174">
        <v>234</v>
      </c>
      <c r="B1174" t="s">
        <v>721</v>
      </c>
      <c r="C1174" t="s">
        <v>48</v>
      </c>
      <c r="D1174" t="s">
        <v>729</v>
      </c>
      <c r="E1174">
        <f t="shared" si="45"/>
        <v>1.6393442622950821E-2</v>
      </c>
      <c r="F1174">
        <v>4</v>
      </c>
      <c r="G1174">
        <f>LOG(382/(4+1))</f>
        <v>1.8830933585756899</v>
      </c>
      <c r="H1174">
        <f>0.0163934426229508*4.33598269617247</f>
        <v>7.1081683543810906E-2</v>
      </c>
      <c r="I1174">
        <v>7.1081683543811072E-2</v>
      </c>
    </row>
    <row r="1175" spans="1:9" x14ac:dyDescent="0.25">
      <c r="A1175">
        <v>234</v>
      </c>
      <c r="B1175" t="s">
        <v>721</v>
      </c>
      <c r="C1175" t="s">
        <v>48</v>
      </c>
      <c r="D1175" t="s">
        <v>190</v>
      </c>
      <c r="E1175">
        <f t="shared" si="45"/>
        <v>1.6393442622950821E-2</v>
      </c>
      <c r="F1175">
        <v>23</v>
      </c>
      <c r="G1175">
        <f>LOG(382/(23+1))</f>
        <v>1.2018521212001028</v>
      </c>
      <c r="H1175">
        <f>0.0163934426229508*2.76736677825862</f>
        <v>4.53666684960429E-2</v>
      </c>
      <c r="I1175">
        <v>4.5366668496043108E-2</v>
      </c>
    </row>
    <row r="1176" spans="1:9" x14ac:dyDescent="0.25">
      <c r="A1176">
        <v>234</v>
      </c>
      <c r="B1176" t="s">
        <v>721</v>
      </c>
      <c r="C1176" t="s">
        <v>48</v>
      </c>
      <c r="D1176" t="s">
        <v>730</v>
      </c>
      <c r="E1176">
        <f>2/61</f>
        <v>3.2786885245901641E-2</v>
      </c>
      <c r="F1176">
        <v>11</v>
      </c>
      <c r="G1176">
        <f>LOG(382/(11+1))</f>
        <v>1.5028821168640838</v>
      </c>
      <c r="H1176">
        <f>0.0327868852459016*3.46051395881857</f>
        <v>0.11345947405962512</v>
      </c>
      <c r="I1176">
        <v>0.11345947405962541</v>
      </c>
    </row>
    <row r="1177" spans="1:9" x14ac:dyDescent="0.25">
      <c r="A1177">
        <v>234</v>
      </c>
      <c r="B1177" t="s">
        <v>721</v>
      </c>
      <c r="C1177" t="s">
        <v>48</v>
      </c>
      <c r="D1177" t="s">
        <v>580</v>
      </c>
      <c r="E1177">
        <f>1/61</f>
        <v>1.6393442622950821E-2</v>
      </c>
      <c r="F1177">
        <v>17</v>
      </c>
      <c r="G1177">
        <f>LOG(382/(17+1))</f>
        <v>1.3267908578084027</v>
      </c>
      <c r="H1177">
        <f>0.0163934426229508*3.05504885071041</f>
        <v>5.0082768044432888E-2</v>
      </c>
      <c r="I1177">
        <v>5.0082768044432957E-2</v>
      </c>
    </row>
    <row r="1178" spans="1:9" x14ac:dyDescent="0.25">
      <c r="A1178">
        <v>234</v>
      </c>
      <c r="B1178" t="s">
        <v>721</v>
      </c>
      <c r="C1178" t="s">
        <v>48</v>
      </c>
      <c r="D1178" t="s">
        <v>731</v>
      </c>
      <c r="E1178">
        <f>1/61</f>
        <v>1.6393442622950821E-2</v>
      </c>
      <c r="F1178">
        <v>7</v>
      </c>
      <c r="G1178">
        <f>LOG(382/(7+1))</f>
        <v>1.6789733759197651</v>
      </c>
      <c r="H1178">
        <f>0.0163934426229508*3.86597906692673</f>
        <v>6.3376706015192227E-2</v>
      </c>
      <c r="I1178">
        <v>6.3376706015192449E-2</v>
      </c>
    </row>
    <row r="1179" spans="1:9" x14ac:dyDescent="0.25">
      <c r="A1179">
        <v>234</v>
      </c>
      <c r="B1179" t="s">
        <v>721</v>
      </c>
      <c r="C1179" t="s">
        <v>48</v>
      </c>
      <c r="D1179" t="s">
        <v>732</v>
      </c>
      <c r="E1179">
        <f>1/61</f>
        <v>1.6393442622950821E-2</v>
      </c>
      <c r="F1179">
        <v>4</v>
      </c>
      <c r="G1179">
        <f>LOG(382/(4+1))</f>
        <v>1.8830933585756899</v>
      </c>
      <c r="H1179">
        <f>0.0163934426229508*4.33598269617247</f>
        <v>7.1081683543810906E-2</v>
      </c>
      <c r="I1179">
        <v>7.1081683543811072E-2</v>
      </c>
    </row>
    <row r="1180" spans="1:9" x14ac:dyDescent="0.25">
      <c r="A1180">
        <v>234</v>
      </c>
      <c r="B1180" t="s">
        <v>721</v>
      </c>
      <c r="C1180" t="s">
        <v>48</v>
      </c>
      <c r="D1180" t="s">
        <v>733</v>
      </c>
      <c r="E1180">
        <f>1/61</f>
        <v>1.6393442622950821E-2</v>
      </c>
      <c r="F1180">
        <v>6</v>
      </c>
      <c r="G1180">
        <f>LOG(382/(6+1))</f>
        <v>1.736965322897452</v>
      </c>
      <c r="H1180">
        <f>0.0163934426229508*3.99951045955126</f>
        <v>6.5565745238545164E-2</v>
      </c>
      <c r="I1180">
        <v>6.5565745238545275E-2</v>
      </c>
    </row>
    <row r="1181" spans="1:9" x14ac:dyDescent="0.25">
      <c r="A1181">
        <v>234</v>
      </c>
      <c r="B1181" t="s">
        <v>721</v>
      </c>
      <c r="C1181" t="s">
        <v>48</v>
      </c>
      <c r="D1181" t="s">
        <v>31</v>
      </c>
      <c r="E1181">
        <f>2/61</f>
        <v>3.2786885245901641E-2</v>
      </c>
      <c r="F1181">
        <v>31</v>
      </c>
      <c r="G1181">
        <f>LOG(382/(31+1))</f>
        <v>1.0769133845918029</v>
      </c>
      <c r="H1181">
        <f>0.0327868852459016*2.47968470580684</f>
        <v>8.130113789530613E-2</v>
      </c>
      <c r="I1181">
        <v>8.1301137895306519E-2</v>
      </c>
    </row>
    <row r="1182" spans="1:9" x14ac:dyDescent="0.25">
      <c r="A1182">
        <v>234</v>
      </c>
      <c r="B1182" t="s">
        <v>721</v>
      </c>
      <c r="C1182" t="s">
        <v>48</v>
      </c>
      <c r="D1182" t="s">
        <v>734</v>
      </c>
      <c r="E1182">
        <f>2/61</f>
        <v>3.2786885245901641E-2</v>
      </c>
      <c r="F1182">
        <v>1</v>
      </c>
      <c r="G1182">
        <f>LOG(382/(1+1))</f>
        <v>2.2810333672477277</v>
      </c>
      <c r="H1182">
        <f>0.0327868852459016*5.25227342804663</f>
        <v>0.17220568616546306</v>
      </c>
      <c r="I1182">
        <v>0.17220568616546331</v>
      </c>
    </row>
    <row r="1183" spans="1:9" x14ac:dyDescent="0.25">
      <c r="A1183">
        <v>234</v>
      </c>
      <c r="B1183" t="s">
        <v>721</v>
      </c>
      <c r="C1183" t="s">
        <v>48</v>
      </c>
      <c r="D1183" t="s">
        <v>482</v>
      </c>
      <c r="E1183">
        <f>2/61</f>
        <v>3.2786885245901641E-2</v>
      </c>
      <c r="F1183">
        <v>16</v>
      </c>
      <c r="G1183">
        <f>LOG(382/(16+1))</f>
        <v>1.3516144415334348</v>
      </c>
      <c r="H1183">
        <f>0.0327868852459016*3.11220726455035</f>
        <v>0.10203958244427364</v>
      </c>
      <c r="I1183">
        <v>0.10203958244427409</v>
      </c>
    </row>
    <row r="1184" spans="1:9" x14ac:dyDescent="0.25">
      <c r="A1184">
        <v>234</v>
      </c>
      <c r="B1184" t="s">
        <v>721</v>
      </c>
      <c r="C1184" t="s">
        <v>48</v>
      </c>
      <c r="D1184" t="s">
        <v>119</v>
      </c>
      <c r="E1184">
        <f t="shared" ref="E1184:E1192" si="46">1/61</f>
        <v>1.6393442622950821E-2</v>
      </c>
      <c r="F1184">
        <v>79</v>
      </c>
      <c r="G1184">
        <f>LOG(382/(79+1))</f>
        <v>0.67897337591976514</v>
      </c>
      <c r="H1184">
        <f>0.0163934426229508*1.56339397393269</f>
        <v>2.5629409408732592E-2</v>
      </c>
      <c r="I1184">
        <v>2.5629409408732689E-2</v>
      </c>
    </row>
    <row r="1185" spans="1:9" x14ac:dyDescent="0.25">
      <c r="A1185">
        <v>234</v>
      </c>
      <c r="B1185" t="s">
        <v>721</v>
      </c>
      <c r="C1185" t="s">
        <v>48</v>
      </c>
      <c r="D1185" t="s">
        <v>125</v>
      </c>
      <c r="E1185">
        <f t="shared" si="46"/>
        <v>1.6393442622950821E-2</v>
      </c>
      <c r="F1185">
        <v>9</v>
      </c>
      <c r="G1185">
        <f>LOG(382/(9+1))</f>
        <v>1.5820633629117087</v>
      </c>
      <c r="H1185">
        <f>0.0163934426229508*3.64283551561252</f>
        <v>5.9718615010041241E-2</v>
      </c>
      <c r="I1185">
        <v>5.971861501004147E-2</v>
      </c>
    </row>
    <row r="1186" spans="1:9" x14ac:dyDescent="0.25">
      <c r="A1186">
        <v>234</v>
      </c>
      <c r="B1186" t="s">
        <v>721</v>
      </c>
      <c r="C1186" t="s">
        <v>48</v>
      </c>
      <c r="D1186" t="s">
        <v>352</v>
      </c>
      <c r="E1186">
        <f t="shared" si="46"/>
        <v>1.6393442622950821E-2</v>
      </c>
      <c r="F1186">
        <v>5</v>
      </c>
      <c r="G1186">
        <f>LOG(382/(5+1))</f>
        <v>1.803912112528065</v>
      </c>
      <c r="H1186">
        <f>0.0163934426229508*4.15366113937852</f>
        <v>6.8092805563582215E-2</v>
      </c>
      <c r="I1186">
        <v>6.8092805563582298E-2</v>
      </c>
    </row>
    <row r="1187" spans="1:9" x14ac:dyDescent="0.25">
      <c r="A1187">
        <v>234</v>
      </c>
      <c r="B1187" t="s">
        <v>721</v>
      </c>
      <c r="C1187" t="s">
        <v>48</v>
      </c>
      <c r="D1187" t="s">
        <v>735</v>
      </c>
      <c r="E1187">
        <f t="shared" si="46"/>
        <v>1.6393442622950821E-2</v>
      </c>
      <c r="F1187">
        <v>2</v>
      </c>
      <c r="G1187">
        <f>LOG(382/(2+1))</f>
        <v>2.1049421081920463</v>
      </c>
      <c r="H1187">
        <f>0.0163934426229508*4.84680831993846</f>
        <v>7.9455874097351706E-2</v>
      </c>
      <c r="I1187">
        <v>7.94558740973519E-2</v>
      </c>
    </row>
    <row r="1188" spans="1:9" x14ac:dyDescent="0.25">
      <c r="A1188">
        <v>234</v>
      </c>
      <c r="B1188" t="s">
        <v>721</v>
      </c>
      <c r="C1188" t="s">
        <v>48</v>
      </c>
      <c r="D1188" t="s">
        <v>736</v>
      </c>
      <c r="E1188">
        <f t="shared" si="46"/>
        <v>1.6393442622950821E-2</v>
      </c>
      <c r="F1188">
        <v>2</v>
      </c>
      <c r="G1188">
        <f>LOG(382/(2+1))</f>
        <v>2.1049421081920463</v>
      </c>
      <c r="H1188">
        <f>0.0163934426229508*4.84680831993846</f>
        <v>7.9455874097351706E-2</v>
      </c>
      <c r="I1188">
        <v>7.94558740973519E-2</v>
      </c>
    </row>
    <row r="1189" spans="1:9" x14ac:dyDescent="0.25">
      <c r="A1189">
        <v>234</v>
      </c>
      <c r="B1189" t="s">
        <v>721</v>
      </c>
      <c r="C1189" t="s">
        <v>48</v>
      </c>
      <c r="D1189" t="s">
        <v>737</v>
      </c>
      <c r="E1189">
        <f t="shared" si="46"/>
        <v>1.6393442622950821E-2</v>
      </c>
      <c r="F1189">
        <v>11</v>
      </c>
      <c r="G1189">
        <f>LOG(382/(11+1))</f>
        <v>1.5028821168640838</v>
      </c>
      <c r="H1189">
        <f>0.0163934426229508*3.46051395881857</f>
        <v>5.6729737029812558E-2</v>
      </c>
      <c r="I1189">
        <v>5.672973702981271E-2</v>
      </c>
    </row>
    <row r="1190" spans="1:9" x14ac:dyDescent="0.25">
      <c r="A1190">
        <v>234</v>
      </c>
      <c r="B1190" t="s">
        <v>721</v>
      </c>
      <c r="C1190" t="s">
        <v>48</v>
      </c>
      <c r="D1190" t="s">
        <v>363</v>
      </c>
      <c r="E1190">
        <f t="shared" si="46"/>
        <v>1.6393442622950821E-2</v>
      </c>
      <c r="F1190">
        <v>36</v>
      </c>
      <c r="G1190">
        <f>LOG(382/(36+1))</f>
        <v>1.0138616388447137</v>
      </c>
      <c r="H1190">
        <f>0.0163934426229508*2.33450269596235</f>
        <v>3.8270535999382738E-2</v>
      </c>
      <c r="I1190">
        <v>3.8270535999382807E-2</v>
      </c>
    </row>
    <row r="1191" spans="1:9" x14ac:dyDescent="0.25">
      <c r="A1191">
        <v>234</v>
      </c>
      <c r="B1191" t="s">
        <v>721</v>
      </c>
      <c r="C1191" t="s">
        <v>48</v>
      </c>
      <c r="D1191" t="s">
        <v>738</v>
      </c>
      <c r="E1191">
        <f t="shared" si="46"/>
        <v>1.6393442622950821E-2</v>
      </c>
      <c r="F1191">
        <v>1</v>
      </c>
      <c r="G1191">
        <f>LOG(382/(1+1))</f>
        <v>2.2810333672477277</v>
      </c>
      <c r="H1191">
        <f>0.0163934426229508*5.25227342804663</f>
        <v>8.6102843082731528E-2</v>
      </c>
      <c r="I1191">
        <v>8.6102843082731639E-2</v>
      </c>
    </row>
    <row r="1192" spans="1:9" x14ac:dyDescent="0.25">
      <c r="A1192">
        <v>234</v>
      </c>
      <c r="B1192" t="s">
        <v>721</v>
      </c>
      <c r="C1192" t="s">
        <v>48</v>
      </c>
      <c r="D1192" t="s">
        <v>739</v>
      </c>
      <c r="E1192">
        <f t="shared" si="46"/>
        <v>1.6393442622950821E-2</v>
      </c>
      <c r="F1192">
        <v>24</v>
      </c>
      <c r="G1192">
        <f>LOG(382/(24+1))</f>
        <v>1.1841233542396712</v>
      </c>
      <c r="H1192">
        <f>0.0163934426229508*2.72654478373837</f>
        <v>4.4697455471120764E-2</v>
      </c>
      <c r="I1192">
        <v>4.4697455471120889E-2</v>
      </c>
    </row>
    <row r="1193" spans="1:9" x14ac:dyDescent="0.25">
      <c r="A1193">
        <v>235</v>
      </c>
      <c r="B1193" t="s">
        <v>740</v>
      </c>
      <c r="C1193" t="s">
        <v>138</v>
      </c>
      <c r="D1193" t="s">
        <v>741</v>
      </c>
      <c r="E1193">
        <f>7/157</f>
        <v>4.4585987261146494E-2</v>
      </c>
      <c r="F1193">
        <v>7</v>
      </c>
      <c r="G1193">
        <f>LOG(382/(7+1))</f>
        <v>1.6789733759197651</v>
      </c>
      <c r="H1193">
        <f>0.0445859872611464*3.86597906692673</f>
        <v>0.17236849342985383</v>
      </c>
      <c r="I1193">
        <v>0.17236849342985461</v>
      </c>
    </row>
    <row r="1194" spans="1:9" x14ac:dyDescent="0.25">
      <c r="A1194">
        <v>235</v>
      </c>
      <c r="B1194" t="s">
        <v>740</v>
      </c>
      <c r="C1194" t="s">
        <v>138</v>
      </c>
      <c r="D1194" t="s">
        <v>368</v>
      </c>
      <c r="E1194">
        <f>8/157</f>
        <v>5.0955414012738856E-2</v>
      </c>
      <c r="F1194">
        <v>17</v>
      </c>
      <c r="G1194">
        <f>LOG(382/(17+1))</f>
        <v>1.3267908578084027</v>
      </c>
      <c r="H1194">
        <f>0.0509554140127388*3.05504885071041</f>
        <v>0.1556712790170908</v>
      </c>
      <c r="I1194">
        <v>0.15567127901709099</v>
      </c>
    </row>
    <row r="1195" spans="1:9" x14ac:dyDescent="0.25">
      <c r="A1195">
        <v>235</v>
      </c>
      <c r="B1195" t="s">
        <v>740</v>
      </c>
      <c r="C1195" t="s">
        <v>138</v>
      </c>
      <c r="D1195" t="s">
        <v>247</v>
      </c>
      <c r="E1195">
        <f>2/157</f>
        <v>1.2738853503184714E-2</v>
      </c>
      <c r="F1195">
        <v>121</v>
      </c>
      <c r="G1195">
        <f>LOG(382/(121+1))</f>
        <v>0.49570353223696051</v>
      </c>
      <c r="H1195">
        <f>0.0127388535031847*1.14139956387331</f>
        <v>1.4540121832781005E-2</v>
      </c>
      <c r="I1195">
        <v>1.454012183278113E-2</v>
      </c>
    </row>
    <row r="1196" spans="1:9" x14ac:dyDescent="0.25">
      <c r="A1196">
        <v>235</v>
      </c>
      <c r="B1196" t="s">
        <v>740</v>
      </c>
      <c r="C1196" t="s">
        <v>138</v>
      </c>
      <c r="D1196" t="s">
        <v>39</v>
      </c>
      <c r="E1196">
        <f>3/157</f>
        <v>1.9108280254777069E-2</v>
      </c>
      <c r="F1196">
        <v>145</v>
      </c>
      <c r="G1196">
        <f>LOG(382/(145+1))</f>
        <v>0.41771050712727159</v>
      </c>
      <c r="H1196">
        <f>0.019108280254777*0.961813986898238</f>
        <v>1.8378611214615946E-2</v>
      </c>
      <c r="I1196">
        <v>1.8378611214616029E-2</v>
      </c>
    </row>
    <row r="1197" spans="1:9" x14ac:dyDescent="0.25">
      <c r="A1197">
        <v>235</v>
      </c>
      <c r="B1197" t="s">
        <v>740</v>
      </c>
      <c r="C1197" t="s">
        <v>138</v>
      </c>
      <c r="D1197" t="s">
        <v>742</v>
      </c>
      <c r="E1197">
        <f>1/157</f>
        <v>6.369426751592357E-3</v>
      </c>
      <c r="F1197">
        <v>1</v>
      </c>
      <c r="G1197">
        <f>LOG(382/(1+1))</f>
        <v>2.2810333672477277</v>
      </c>
      <c r="H1197">
        <f>0.00636942675159235*5.25227342804663</f>
        <v>3.3453970879277865E-2</v>
      </c>
      <c r="I1197">
        <v>3.34539708792779E-2</v>
      </c>
    </row>
    <row r="1198" spans="1:9" x14ac:dyDescent="0.25">
      <c r="A1198">
        <v>235</v>
      </c>
      <c r="B1198" t="s">
        <v>740</v>
      </c>
      <c r="C1198" t="s">
        <v>138</v>
      </c>
      <c r="D1198" t="s">
        <v>65</v>
      </c>
      <c r="E1198">
        <f>2/157</f>
        <v>1.2738853503184714E-2</v>
      </c>
      <c r="F1198">
        <v>32</v>
      </c>
      <c r="G1198">
        <f>LOG(382/(32+1))</f>
        <v>1.0635494230338212</v>
      </c>
      <c r="H1198">
        <f>0.0127388535031847*2.44891304714009</f>
        <v>3.1196344549555256E-2</v>
      </c>
      <c r="I1198">
        <v>3.119634454955535E-2</v>
      </c>
    </row>
    <row r="1199" spans="1:9" x14ac:dyDescent="0.25">
      <c r="A1199">
        <v>235</v>
      </c>
      <c r="B1199" t="s">
        <v>740</v>
      </c>
      <c r="C1199" t="s">
        <v>138</v>
      </c>
      <c r="D1199" t="s">
        <v>40</v>
      </c>
      <c r="E1199">
        <f>6/157</f>
        <v>3.8216560509554139E-2</v>
      </c>
      <c r="F1199">
        <v>159</v>
      </c>
      <c r="G1199">
        <f>LOG(382/(159+1))</f>
        <v>0.377943380255784</v>
      </c>
      <c r="H1199">
        <f>0.0382165605095541*0.870246793372748</f>
        <v>3.3257839237175048E-2</v>
      </c>
      <c r="I1199">
        <v>3.3257839237175103E-2</v>
      </c>
    </row>
    <row r="1200" spans="1:9" x14ac:dyDescent="0.25">
      <c r="A1200">
        <v>235</v>
      </c>
      <c r="B1200" t="s">
        <v>740</v>
      </c>
      <c r="C1200" t="s">
        <v>138</v>
      </c>
      <c r="D1200" t="s">
        <v>41</v>
      </c>
      <c r="E1200">
        <f>5/157</f>
        <v>3.1847133757961783E-2</v>
      </c>
      <c r="F1200">
        <v>195</v>
      </c>
      <c r="G1200">
        <f>LOG(382/(195+1))</f>
        <v>0.28980729155523272</v>
      </c>
      <c r="H1200">
        <f>0.0318471337579617*0.667305949376058</f>
        <v>2.125178182726294E-2</v>
      </c>
      <c r="I1200">
        <v>2.1251781827262999E-2</v>
      </c>
    </row>
    <row r="1201" spans="1:9" x14ac:dyDescent="0.25">
      <c r="A1201">
        <v>235</v>
      </c>
      <c r="B1201" t="s">
        <v>740</v>
      </c>
      <c r="C1201" t="s">
        <v>138</v>
      </c>
      <c r="D1201" t="s">
        <v>22</v>
      </c>
      <c r="E1201">
        <f>1/157</f>
        <v>6.369426751592357E-3</v>
      </c>
      <c r="F1201">
        <v>259</v>
      </c>
      <c r="G1201">
        <f>LOG(382/(259+1))</f>
        <v>0.16709001494089079</v>
      </c>
      <c r="H1201">
        <f>0.00636942675159235*0.384738977591047</f>
        <v>2.4505667362487047E-3</v>
      </c>
      <c r="I1201">
        <v>2.4505667362487099E-3</v>
      </c>
    </row>
    <row r="1202" spans="1:9" x14ac:dyDescent="0.25">
      <c r="A1202">
        <v>235</v>
      </c>
      <c r="B1202" t="s">
        <v>740</v>
      </c>
      <c r="C1202" t="s">
        <v>138</v>
      </c>
      <c r="D1202" t="s">
        <v>23</v>
      </c>
      <c r="E1202">
        <f>1/157</f>
        <v>6.369426751592357E-3</v>
      </c>
      <c r="F1202">
        <v>275</v>
      </c>
      <c r="G1202">
        <f>LOG(382/(275+1))</f>
        <v>0.14115428084649101</v>
      </c>
      <c r="H1202">
        <f>0.00636942675159235*0.325019742889425</f>
        <v>2.0701894451555709E-3</v>
      </c>
      <c r="I1202">
        <v>2.0701894451555739E-3</v>
      </c>
    </row>
    <row r="1203" spans="1:9" x14ac:dyDescent="0.25">
      <c r="A1203">
        <v>235</v>
      </c>
      <c r="B1203" t="s">
        <v>740</v>
      </c>
      <c r="C1203" t="s">
        <v>138</v>
      </c>
      <c r="D1203" t="s">
        <v>204</v>
      </c>
      <c r="E1203">
        <f>6/157</f>
        <v>3.8216560509554139E-2</v>
      </c>
      <c r="F1203">
        <v>166</v>
      </c>
      <c r="G1203">
        <f>LOG(382/(166+1))</f>
        <v>0.35934689176412549</v>
      </c>
      <c r="H1203">
        <f>0.0382165605095541*0.82742679618982</f>
        <v>3.1621406223814742E-2</v>
      </c>
      <c r="I1203">
        <v>3.1621406223814777E-2</v>
      </c>
    </row>
    <row r="1204" spans="1:9" x14ac:dyDescent="0.25">
      <c r="A1204">
        <v>235</v>
      </c>
      <c r="B1204" t="s">
        <v>740</v>
      </c>
      <c r="C1204" t="s">
        <v>138</v>
      </c>
      <c r="D1204" t="s">
        <v>76</v>
      </c>
      <c r="E1204">
        <f>2/157</f>
        <v>1.2738853503184714E-2</v>
      </c>
      <c r="F1204">
        <v>140</v>
      </c>
      <c r="G1204">
        <f>LOG(382/(140+1))</f>
        <v>0.43284425025632883</v>
      </c>
      <c r="H1204">
        <f>0.0127388535031847*0.996660718228407</f>
        <v>1.2696314881890521E-2</v>
      </c>
      <c r="I1204">
        <v>1.269631488189053E-2</v>
      </c>
    </row>
    <row r="1205" spans="1:9" x14ac:dyDescent="0.25">
      <c r="A1205">
        <v>235</v>
      </c>
      <c r="B1205" t="s">
        <v>740</v>
      </c>
      <c r="C1205" t="s">
        <v>138</v>
      </c>
      <c r="D1205" t="s">
        <v>331</v>
      </c>
      <c r="E1205">
        <f>1/157</f>
        <v>6.369426751592357E-3</v>
      </c>
      <c r="F1205">
        <v>130</v>
      </c>
      <c r="G1205">
        <f>LOG(382/(130+1))</f>
        <v>0.46479206725594452</v>
      </c>
      <c r="H1205">
        <f>0.00636942675159235*1.07022328540542</f>
        <v>6.8167088242383376E-3</v>
      </c>
      <c r="I1205">
        <v>6.816708824238368E-3</v>
      </c>
    </row>
    <row r="1206" spans="1:9" x14ac:dyDescent="0.25">
      <c r="A1206">
        <v>235</v>
      </c>
      <c r="B1206" t="s">
        <v>740</v>
      </c>
      <c r="C1206" t="s">
        <v>138</v>
      </c>
      <c r="D1206" t="s">
        <v>77</v>
      </c>
      <c r="E1206">
        <f>1/157</f>
        <v>6.369426751592357E-3</v>
      </c>
      <c r="F1206">
        <v>148</v>
      </c>
      <c r="G1206">
        <f>LOG(382/(148+1))</f>
        <v>0.40887709449943471</v>
      </c>
      <c r="H1206">
        <f>0.00636942675159235*0.941474302661116</f>
        <v>5.9966516093064651E-3</v>
      </c>
      <c r="I1206">
        <v>5.996651609306472E-3</v>
      </c>
    </row>
    <row r="1207" spans="1:9" x14ac:dyDescent="0.25">
      <c r="A1207">
        <v>235</v>
      </c>
      <c r="B1207" t="s">
        <v>740</v>
      </c>
      <c r="C1207" t="s">
        <v>138</v>
      </c>
      <c r="D1207" t="s">
        <v>743</v>
      </c>
      <c r="E1207">
        <f>1/157</f>
        <v>6.369426751592357E-3</v>
      </c>
      <c r="F1207">
        <v>3</v>
      </c>
      <c r="G1207">
        <f>LOG(382/(3+1))</f>
        <v>1.9800033715837464</v>
      </c>
      <c r="H1207">
        <f>0.00636942675159235*4.55912624748668</f>
        <v>2.9039020684628505E-2</v>
      </c>
      <c r="I1207">
        <v>2.9039020684628561E-2</v>
      </c>
    </row>
    <row r="1208" spans="1:9" x14ac:dyDescent="0.25">
      <c r="A1208">
        <v>235</v>
      </c>
      <c r="B1208" t="s">
        <v>740</v>
      </c>
      <c r="C1208" t="s">
        <v>138</v>
      </c>
      <c r="D1208" t="s">
        <v>483</v>
      </c>
      <c r="E1208">
        <f>2/157</f>
        <v>1.2738853503184714E-2</v>
      </c>
      <c r="F1208">
        <v>61</v>
      </c>
      <c r="G1208">
        <f>LOG(382/(61+1))</f>
        <v>0.7896716734134549</v>
      </c>
      <c r="H1208">
        <f>0.0127388535031847*1.81828622356148</f>
        <v>2.316288182880864E-2</v>
      </c>
      <c r="I1208">
        <v>2.3162881828808709E-2</v>
      </c>
    </row>
    <row r="1209" spans="1:9" x14ac:dyDescent="0.25">
      <c r="A1209">
        <v>235</v>
      </c>
      <c r="B1209" t="s">
        <v>740</v>
      </c>
      <c r="C1209" t="s">
        <v>138</v>
      </c>
      <c r="D1209" t="s">
        <v>324</v>
      </c>
      <c r="E1209">
        <f>1/157</f>
        <v>6.369426751592357E-3</v>
      </c>
      <c r="F1209">
        <v>82</v>
      </c>
      <c r="G1209">
        <f>LOG(382/(82+1))</f>
        <v>0.66298527053563483</v>
      </c>
      <c r="H1209">
        <f>0.00636942675159235*1.52658000080997</f>
        <v>9.7234394956048943E-3</v>
      </c>
      <c r="I1209">
        <v>9.7234394956049516E-3</v>
      </c>
    </row>
    <row r="1210" spans="1:9" x14ac:dyDescent="0.25">
      <c r="A1210">
        <v>235</v>
      </c>
      <c r="B1210" t="s">
        <v>740</v>
      </c>
      <c r="C1210" t="s">
        <v>138</v>
      </c>
      <c r="D1210" t="s">
        <v>744</v>
      </c>
      <c r="E1210">
        <f>12/157</f>
        <v>7.6433121019108277E-2</v>
      </c>
      <c r="F1210">
        <v>28</v>
      </c>
      <c r="G1210">
        <f>LOG(382/(28+1))</f>
        <v>1.1196653650127526</v>
      </c>
      <c r="H1210">
        <f>0.0764331210191082*2.5781247786201</f>
        <v>0.1970541232066316</v>
      </c>
      <c r="I1210">
        <v>0.1970541232066319</v>
      </c>
    </row>
    <row r="1211" spans="1:9" x14ac:dyDescent="0.25">
      <c r="A1211">
        <v>235</v>
      </c>
      <c r="B1211" t="s">
        <v>740</v>
      </c>
      <c r="C1211" t="s">
        <v>138</v>
      </c>
      <c r="D1211" t="s">
        <v>745</v>
      </c>
      <c r="E1211">
        <f>1/157</f>
        <v>6.369426751592357E-3</v>
      </c>
      <c r="F1211">
        <v>3</v>
      </c>
      <c r="G1211">
        <f>LOG(382/(3+1))</f>
        <v>1.9800033715837464</v>
      </c>
      <c r="H1211">
        <f>0.00636942675159235*4.55912624748668</f>
        <v>2.9039020684628505E-2</v>
      </c>
      <c r="I1211">
        <v>2.9039020684628561E-2</v>
      </c>
    </row>
    <row r="1212" spans="1:9" x14ac:dyDescent="0.25">
      <c r="A1212">
        <v>235</v>
      </c>
      <c r="B1212" t="s">
        <v>740</v>
      </c>
      <c r="C1212" t="s">
        <v>138</v>
      </c>
      <c r="D1212" t="s">
        <v>746</v>
      </c>
      <c r="E1212">
        <f>1/157</f>
        <v>6.369426751592357E-3</v>
      </c>
      <c r="F1212">
        <v>58</v>
      </c>
      <c r="G1212">
        <f>LOG(382/(58+1))</f>
        <v>0.81121135126956456</v>
      </c>
      <c r="H1212">
        <f>0.00636942675159235*1.86788316470085</f>
        <v>1.1897344998094575E-2</v>
      </c>
      <c r="I1212">
        <v>1.189734499809462E-2</v>
      </c>
    </row>
    <row r="1213" spans="1:9" x14ac:dyDescent="0.25">
      <c r="A1213">
        <v>235</v>
      </c>
      <c r="B1213" t="s">
        <v>740</v>
      </c>
      <c r="C1213" t="s">
        <v>138</v>
      </c>
      <c r="D1213" t="s">
        <v>747</v>
      </c>
      <c r="E1213">
        <f>4/157</f>
        <v>2.5477707006369428E-2</v>
      </c>
      <c r="F1213">
        <v>14</v>
      </c>
      <c r="G1213">
        <f>LOG(382/(14+1))</f>
        <v>1.4059721038560276</v>
      </c>
      <c r="H1213">
        <f>0.0254777070063694*3.23737040750436</f>
        <v>8.248077471348679E-2</v>
      </c>
      <c r="I1213">
        <v>8.2480774713487012E-2</v>
      </c>
    </row>
    <row r="1214" spans="1:9" x14ac:dyDescent="0.25">
      <c r="A1214">
        <v>235</v>
      </c>
      <c r="B1214" t="s">
        <v>740</v>
      </c>
      <c r="C1214" t="s">
        <v>138</v>
      </c>
      <c r="D1214" t="s">
        <v>119</v>
      </c>
      <c r="E1214">
        <f>2/157</f>
        <v>1.2738853503184714E-2</v>
      </c>
      <c r="F1214">
        <v>79</v>
      </c>
      <c r="G1214">
        <f>LOG(382/(79+1))</f>
        <v>0.67897337591976514</v>
      </c>
      <c r="H1214">
        <f>0.0127388535031847*1.56339397393269</f>
        <v>1.9915846801690298E-2</v>
      </c>
      <c r="I1214">
        <v>1.9915846801690361E-2</v>
      </c>
    </row>
    <row r="1215" spans="1:9" x14ac:dyDescent="0.25">
      <c r="A1215">
        <v>235</v>
      </c>
      <c r="B1215" t="s">
        <v>740</v>
      </c>
      <c r="C1215" t="s">
        <v>138</v>
      </c>
      <c r="D1215" t="s">
        <v>748</v>
      </c>
      <c r="E1215">
        <f>1/157</f>
        <v>6.369426751592357E-3</v>
      </c>
      <c r="F1215">
        <v>5</v>
      </c>
      <c r="G1215">
        <f>LOG(382/(5+1))</f>
        <v>1.803912112528065</v>
      </c>
      <c r="H1215">
        <f>0.00636942675159235*4.15366113937852</f>
        <v>2.6456440378207106E-2</v>
      </c>
      <c r="I1215">
        <v>2.645644037820713E-2</v>
      </c>
    </row>
    <row r="1216" spans="1:9" x14ac:dyDescent="0.25">
      <c r="A1216">
        <v>235</v>
      </c>
      <c r="B1216" t="s">
        <v>740</v>
      </c>
      <c r="C1216" t="s">
        <v>138</v>
      </c>
      <c r="D1216" t="s">
        <v>749</v>
      </c>
      <c r="E1216">
        <f>1/157</f>
        <v>6.369426751592357E-3</v>
      </c>
      <c r="F1216">
        <v>1</v>
      </c>
      <c r="G1216">
        <f>LOG(382/(1+1))</f>
        <v>2.2810333672477277</v>
      </c>
      <c r="H1216">
        <f>0.00636942675159235*5.25227342804663</f>
        <v>3.3453970879277865E-2</v>
      </c>
      <c r="I1216">
        <v>3.34539708792779E-2</v>
      </c>
    </row>
    <row r="1217" spans="1:9" x14ac:dyDescent="0.25">
      <c r="A1217">
        <v>235</v>
      </c>
      <c r="B1217" t="s">
        <v>740</v>
      </c>
      <c r="C1217" t="s">
        <v>138</v>
      </c>
      <c r="D1217" t="s">
        <v>750</v>
      </c>
      <c r="E1217">
        <f>1/157</f>
        <v>6.369426751592357E-3</v>
      </c>
      <c r="F1217">
        <v>9</v>
      </c>
      <c r="G1217">
        <f>LOG(382/(9+1))</f>
        <v>1.5820633629117087</v>
      </c>
      <c r="H1217">
        <f>0.00636942675159235*3.64283551561252</f>
        <v>2.3202773984793097E-2</v>
      </c>
      <c r="I1217">
        <v>2.320277398479318E-2</v>
      </c>
    </row>
    <row r="1218" spans="1:9" x14ac:dyDescent="0.25">
      <c r="A1218">
        <v>235</v>
      </c>
      <c r="B1218" t="s">
        <v>740</v>
      </c>
      <c r="C1218" t="s">
        <v>138</v>
      </c>
      <c r="D1218" t="s">
        <v>24</v>
      </c>
      <c r="E1218">
        <f>5/157</f>
        <v>3.1847133757961783E-2</v>
      </c>
      <c r="F1218">
        <v>59</v>
      </c>
      <c r="G1218">
        <f>LOG(382/(59+1))</f>
        <v>0.80391211252806505</v>
      </c>
      <c r="H1218">
        <f>0.0318471337579617*1.85107604638447</f>
        <v>5.8951466445365135E-2</v>
      </c>
      <c r="I1218">
        <v>5.8951466445365433E-2</v>
      </c>
    </row>
    <row r="1219" spans="1:9" x14ac:dyDescent="0.25">
      <c r="A1219">
        <v>235</v>
      </c>
      <c r="B1219" t="s">
        <v>740</v>
      </c>
      <c r="C1219" t="s">
        <v>138</v>
      </c>
      <c r="D1219" t="s">
        <v>751</v>
      </c>
      <c r="E1219">
        <f>1/157</f>
        <v>6.369426751592357E-3</v>
      </c>
      <c r="F1219">
        <v>4</v>
      </c>
      <c r="G1219">
        <f>LOG(382/(4+1))</f>
        <v>1.8830933585756899</v>
      </c>
      <c r="H1219">
        <f>0.00636942675159235*4.33598269617247</f>
        <v>2.7617724179442457E-2</v>
      </c>
      <c r="I1219">
        <v>2.761772417944252E-2</v>
      </c>
    </row>
    <row r="1220" spans="1:9" x14ac:dyDescent="0.25">
      <c r="A1220">
        <v>235</v>
      </c>
      <c r="B1220" t="s">
        <v>740</v>
      </c>
      <c r="C1220" t="s">
        <v>138</v>
      </c>
      <c r="D1220" t="s">
        <v>322</v>
      </c>
      <c r="E1220">
        <f>5/157</f>
        <v>3.1847133757961783E-2</v>
      </c>
      <c r="F1220">
        <v>128</v>
      </c>
      <c r="G1220">
        <f>LOG(382/(128+1))</f>
        <v>0.47147365261245977</v>
      </c>
      <c r="H1220">
        <f>0.0318471337579617*1.0856082042449</f>
        <v>3.4573509689327937E-2</v>
      </c>
      <c r="I1220">
        <v>3.4573509689328118E-2</v>
      </c>
    </row>
    <row r="1221" spans="1:9" x14ac:dyDescent="0.25">
      <c r="A1221">
        <v>235</v>
      </c>
      <c r="B1221" t="s">
        <v>740</v>
      </c>
      <c r="C1221" t="s">
        <v>138</v>
      </c>
      <c r="D1221" t="s">
        <v>338</v>
      </c>
      <c r="E1221">
        <f>1/157</f>
        <v>6.369426751592357E-3</v>
      </c>
      <c r="F1221">
        <v>54</v>
      </c>
      <c r="G1221">
        <f>LOG(382/(54+1))</f>
        <v>0.84170067341746491</v>
      </c>
      <c r="H1221">
        <f>0.00636942675159235*1.9380874233741</f>
        <v>1.234450588136368E-2</v>
      </c>
      <c r="I1221">
        <v>1.234450588136372E-2</v>
      </c>
    </row>
    <row r="1222" spans="1:9" x14ac:dyDescent="0.25">
      <c r="A1222">
        <v>235</v>
      </c>
      <c r="B1222" t="s">
        <v>740</v>
      </c>
      <c r="C1222" t="s">
        <v>138</v>
      </c>
      <c r="D1222" t="s">
        <v>752</v>
      </c>
      <c r="E1222">
        <f>1/157</f>
        <v>6.369426751592357E-3</v>
      </c>
      <c r="F1222">
        <v>34</v>
      </c>
      <c r="G1222">
        <f>LOG(382/(34+1))</f>
        <v>1.037995318561433</v>
      </c>
      <c r="H1222">
        <f>0.00636942675159235*2.39007254711716</f>
        <v>1.5223392019854506E-2</v>
      </c>
      <c r="I1222">
        <v>1.522339201985453E-2</v>
      </c>
    </row>
    <row r="1223" spans="1:9" x14ac:dyDescent="0.25">
      <c r="A1223">
        <v>235</v>
      </c>
      <c r="B1223" t="s">
        <v>740</v>
      </c>
      <c r="C1223" t="s">
        <v>138</v>
      </c>
      <c r="D1223" t="s">
        <v>237</v>
      </c>
      <c r="E1223">
        <f>1/157</f>
        <v>6.369426751592357E-3</v>
      </c>
      <c r="F1223">
        <v>138</v>
      </c>
      <c r="G1223">
        <f>LOG(382/(138+1))</f>
        <v>0.43904856265761361</v>
      </c>
      <c r="H1223">
        <f>0.00636942675159235*1.01094667547588</f>
        <v>6.4391507992094203E-3</v>
      </c>
      <c r="I1223">
        <v>6.439150799209448E-3</v>
      </c>
    </row>
    <row r="1224" spans="1:9" x14ac:dyDescent="0.25">
      <c r="A1224">
        <v>235</v>
      </c>
      <c r="B1224" t="s">
        <v>740</v>
      </c>
      <c r="C1224" t="s">
        <v>138</v>
      </c>
      <c r="D1224" t="s">
        <v>133</v>
      </c>
      <c r="E1224">
        <f>2/157</f>
        <v>1.2738853503184714E-2</v>
      </c>
      <c r="F1224">
        <v>142</v>
      </c>
      <c r="G1224">
        <f>LOG(382/(142+1))</f>
        <v>0.42672732544664693</v>
      </c>
      <c r="H1224">
        <f>0.0127388535031847*0.982575978346667</f>
        <v>1.2516891443906573E-2</v>
      </c>
      <c r="I1224">
        <v>1.2516891443906599E-2</v>
      </c>
    </row>
    <row r="1225" spans="1:9" x14ac:dyDescent="0.25">
      <c r="A1225">
        <v>235</v>
      </c>
      <c r="B1225" t="s">
        <v>740</v>
      </c>
      <c r="C1225" t="s">
        <v>138</v>
      </c>
      <c r="D1225" t="s">
        <v>78</v>
      </c>
      <c r="E1225">
        <f>2/157</f>
        <v>1.2738853503184714E-2</v>
      </c>
      <c r="F1225">
        <v>122</v>
      </c>
      <c r="G1225">
        <f>LOG(382/(122+1))</f>
        <v>0.49215825147231079</v>
      </c>
      <c r="H1225">
        <f>0.0127388535031847*1.13323625323415</f>
        <v>1.4436130614447755E-2</v>
      </c>
      <c r="I1225">
        <v>1.4436130614447869E-2</v>
      </c>
    </row>
    <row r="1226" spans="1:9" x14ac:dyDescent="0.25">
      <c r="A1226">
        <v>235</v>
      </c>
      <c r="B1226" t="s">
        <v>740</v>
      </c>
      <c r="C1226" t="s">
        <v>138</v>
      </c>
      <c r="D1226" t="s">
        <v>753</v>
      </c>
      <c r="E1226">
        <f>3/157</f>
        <v>1.9108280254777069E-2</v>
      </c>
      <c r="F1226">
        <v>19</v>
      </c>
      <c r="G1226">
        <f>LOG(382/(19+1))</f>
        <v>1.2810333672477277</v>
      </c>
      <c r="H1226">
        <f>0.019108280254777*2.94968833505258</f>
        <v>5.636347137043126E-2</v>
      </c>
      <c r="I1226">
        <v>5.6363471370431538E-2</v>
      </c>
    </row>
    <row r="1227" spans="1:9" x14ac:dyDescent="0.25">
      <c r="A1227">
        <v>235</v>
      </c>
      <c r="B1227" t="s">
        <v>740</v>
      </c>
      <c r="C1227" t="s">
        <v>138</v>
      </c>
      <c r="D1227" t="s">
        <v>754</v>
      </c>
      <c r="E1227">
        <f>4/157</f>
        <v>2.5477707006369428E-2</v>
      </c>
      <c r="F1227">
        <v>111</v>
      </c>
      <c r="G1227">
        <f>LOG(382/(111+1))</f>
        <v>0.53284534024152708</v>
      </c>
      <c r="H1227">
        <f>0.0254777070063694*1.22692173731148</f>
        <v>3.1259152542967614E-2</v>
      </c>
      <c r="I1227">
        <v>3.1259152542967662E-2</v>
      </c>
    </row>
    <row r="1228" spans="1:9" x14ac:dyDescent="0.25">
      <c r="A1228">
        <v>235</v>
      </c>
      <c r="B1228" t="s">
        <v>740</v>
      </c>
      <c r="C1228" t="s">
        <v>138</v>
      </c>
      <c r="D1228" t="s">
        <v>755</v>
      </c>
      <c r="E1228">
        <f>1/157</f>
        <v>6.369426751592357E-3</v>
      </c>
      <c r="F1228">
        <v>19</v>
      </c>
      <c r="G1228">
        <f>LOG(382/(19+1))</f>
        <v>1.2810333672477277</v>
      </c>
      <c r="H1228">
        <f>0.00636942675159235*2.94968833505258</f>
        <v>1.8787823790143803E-2</v>
      </c>
      <c r="I1228">
        <v>1.8787823790143848E-2</v>
      </c>
    </row>
    <row r="1229" spans="1:9" x14ac:dyDescent="0.25">
      <c r="A1229">
        <v>235</v>
      </c>
      <c r="B1229" t="s">
        <v>740</v>
      </c>
      <c r="C1229" t="s">
        <v>138</v>
      </c>
      <c r="D1229" t="s">
        <v>756</v>
      </c>
      <c r="E1229">
        <f>2/157</f>
        <v>1.2738853503184714E-2</v>
      </c>
      <c r="F1229">
        <v>1</v>
      </c>
      <c r="G1229">
        <f>LOG(382/(1+1))</f>
        <v>2.2810333672477277</v>
      </c>
      <c r="H1229">
        <f>0.0127388535031847*5.25227342804663</f>
        <v>6.6907941758555731E-2</v>
      </c>
      <c r="I1229">
        <v>6.69079417585558E-2</v>
      </c>
    </row>
    <row r="1230" spans="1:9" x14ac:dyDescent="0.25">
      <c r="A1230">
        <v>235</v>
      </c>
      <c r="B1230" t="s">
        <v>740</v>
      </c>
      <c r="C1230" t="s">
        <v>138</v>
      </c>
      <c r="D1230" t="s">
        <v>757</v>
      </c>
      <c r="E1230">
        <f>2/157</f>
        <v>1.2738853503184714E-2</v>
      </c>
      <c r="F1230">
        <v>1</v>
      </c>
      <c r="G1230">
        <f>LOG(382/(1+1))</f>
        <v>2.2810333672477277</v>
      </c>
      <c r="H1230">
        <f>0.0127388535031847*5.25227342804663</f>
        <v>6.6907941758555731E-2</v>
      </c>
      <c r="I1230">
        <v>6.69079417585558E-2</v>
      </c>
    </row>
    <row r="1231" spans="1:9" x14ac:dyDescent="0.25">
      <c r="A1231">
        <v>235</v>
      </c>
      <c r="B1231" t="s">
        <v>740</v>
      </c>
      <c r="C1231" t="s">
        <v>138</v>
      </c>
      <c r="D1231" t="s">
        <v>600</v>
      </c>
      <c r="E1231">
        <f>1/157</f>
        <v>6.369426751592357E-3</v>
      </c>
      <c r="F1231">
        <v>102</v>
      </c>
      <c r="G1231">
        <f>LOG(382/(102+1))</f>
        <v>0.56922613820653656</v>
      </c>
      <c r="H1231">
        <f>0.00636942675159235*1.31069162037693</f>
        <v>8.348354269916744E-3</v>
      </c>
      <c r="I1231">
        <v>8.3483542699168117E-3</v>
      </c>
    </row>
    <row r="1232" spans="1:9" x14ac:dyDescent="0.25">
      <c r="A1232">
        <v>235</v>
      </c>
      <c r="B1232" t="s">
        <v>740</v>
      </c>
      <c r="C1232" t="s">
        <v>138</v>
      </c>
      <c r="D1232" t="s">
        <v>179</v>
      </c>
      <c r="E1232">
        <f>1/157</f>
        <v>6.369426751592357E-3</v>
      </c>
      <c r="F1232">
        <v>15</v>
      </c>
      <c r="G1232">
        <f>LOG(382/(15+1))</f>
        <v>1.3779433802557839</v>
      </c>
      <c r="H1232">
        <f>0.00636942675159235*3.17283188636679</f>
        <v>2.0209120295329851E-2</v>
      </c>
      <c r="I1232">
        <v>2.02091202953299E-2</v>
      </c>
    </row>
    <row r="1233" spans="1:9" x14ac:dyDescent="0.25">
      <c r="A1233">
        <v>235</v>
      </c>
      <c r="B1233" t="s">
        <v>740</v>
      </c>
      <c r="C1233" t="s">
        <v>138</v>
      </c>
      <c r="D1233" t="s">
        <v>16</v>
      </c>
      <c r="E1233">
        <f>2/157</f>
        <v>1.2738853503184714E-2</v>
      </c>
      <c r="F1233">
        <v>8</v>
      </c>
      <c r="G1233">
        <f>LOG(382/(8+1))</f>
        <v>1.6278208534723839</v>
      </c>
      <c r="H1233">
        <f>0.0127388535031847*3.74819603127035</f>
        <v>4.7747720143571287E-2</v>
      </c>
      <c r="I1233">
        <v>4.7747720143571412E-2</v>
      </c>
    </row>
    <row r="1234" spans="1:9" x14ac:dyDescent="0.25">
      <c r="A1234">
        <v>235</v>
      </c>
      <c r="B1234" t="s">
        <v>740</v>
      </c>
      <c r="C1234" t="s">
        <v>138</v>
      </c>
      <c r="D1234" t="s">
        <v>144</v>
      </c>
      <c r="E1234">
        <f>3/157</f>
        <v>1.9108280254777069E-2</v>
      </c>
      <c r="F1234">
        <v>105</v>
      </c>
      <c r="G1234">
        <f>LOG(382/(105+1))</f>
        <v>0.55675749764693849</v>
      </c>
      <c r="H1234">
        <f>0.019108280254777*1.2819815144945</f>
        <v>2.4496462060404366E-2</v>
      </c>
      <c r="I1234">
        <v>2.4496462060404608E-2</v>
      </c>
    </row>
    <row r="1235" spans="1:9" x14ac:dyDescent="0.25">
      <c r="A1235">
        <v>235</v>
      </c>
      <c r="B1235" t="s">
        <v>740</v>
      </c>
      <c r="C1235" t="s">
        <v>138</v>
      </c>
      <c r="D1235" t="s">
        <v>758</v>
      </c>
      <c r="E1235">
        <f>2/157</f>
        <v>1.2738853503184714E-2</v>
      </c>
      <c r="F1235">
        <v>26</v>
      </c>
      <c r="G1235">
        <f>LOG(382/(26+1))</f>
        <v>1.1506995987527215</v>
      </c>
      <c r="H1235">
        <f>0.0127388535031847*2.64958374260224</f>
        <v>3.3752659141429775E-2</v>
      </c>
      <c r="I1235">
        <v>3.3752659141429893E-2</v>
      </c>
    </row>
    <row r="1236" spans="1:9" x14ac:dyDescent="0.25">
      <c r="A1236">
        <v>235</v>
      </c>
      <c r="B1236" t="s">
        <v>740</v>
      </c>
      <c r="C1236" t="s">
        <v>138</v>
      </c>
      <c r="D1236" t="s">
        <v>404</v>
      </c>
      <c r="E1236">
        <f>1/157</f>
        <v>6.369426751592357E-3</v>
      </c>
      <c r="F1236">
        <v>22</v>
      </c>
      <c r="G1236">
        <f>LOG(382/(22+1))</f>
        <v>1.2203355268941158</v>
      </c>
      <c r="H1236">
        <f>0.00636942675159235*2.80992639267742</f>
        <v>1.7897620335524948E-2</v>
      </c>
      <c r="I1236">
        <v>1.7897620335525E-2</v>
      </c>
    </row>
    <row r="1237" spans="1:9" x14ac:dyDescent="0.25">
      <c r="A1237">
        <v>235</v>
      </c>
      <c r="B1237" t="s">
        <v>740</v>
      </c>
      <c r="C1237" t="s">
        <v>138</v>
      </c>
      <c r="D1237" t="s">
        <v>81</v>
      </c>
      <c r="E1237">
        <f>2/157</f>
        <v>1.2738853503184714E-2</v>
      </c>
      <c r="F1237">
        <v>114</v>
      </c>
      <c r="G1237">
        <f>LOG(382/(114+1))</f>
        <v>0.52136552255809698</v>
      </c>
      <c r="H1237">
        <f>0.0127388535031847*1.20048848024332</f>
        <v>1.5292846882080494E-2</v>
      </c>
      <c r="I1237">
        <v>1.5292846882080579E-2</v>
      </c>
    </row>
    <row r="1238" spans="1:9" x14ac:dyDescent="0.25">
      <c r="A1238">
        <v>235</v>
      </c>
      <c r="B1238" t="s">
        <v>740</v>
      </c>
      <c r="C1238" t="s">
        <v>138</v>
      </c>
      <c r="D1238" t="s">
        <v>450</v>
      </c>
      <c r="E1238">
        <f>2/157</f>
        <v>1.2738853503184714E-2</v>
      </c>
      <c r="F1238">
        <v>17</v>
      </c>
      <c r="G1238">
        <f>LOG(382/(17+1))</f>
        <v>1.3267908578084027</v>
      </c>
      <c r="H1238">
        <f>0.0127388535031847*3.05504885071041</f>
        <v>3.8917819754272699E-2</v>
      </c>
      <c r="I1238">
        <v>3.8917819754272748E-2</v>
      </c>
    </row>
    <row r="1239" spans="1:9" x14ac:dyDescent="0.25">
      <c r="A1239">
        <v>235</v>
      </c>
      <c r="B1239" t="s">
        <v>740</v>
      </c>
      <c r="C1239" t="s">
        <v>138</v>
      </c>
      <c r="D1239" t="s">
        <v>759</v>
      </c>
      <c r="E1239">
        <f t="shared" ref="E1239:E1245" si="47">1/157</f>
        <v>6.369426751592357E-3</v>
      </c>
      <c r="F1239">
        <v>4</v>
      </c>
      <c r="G1239">
        <f>LOG(382/(4+1))</f>
        <v>1.8830933585756899</v>
      </c>
      <c r="H1239">
        <f>0.00636942675159235*4.33598269617247</f>
        <v>2.7617724179442457E-2</v>
      </c>
      <c r="I1239">
        <v>2.761772417944252E-2</v>
      </c>
    </row>
    <row r="1240" spans="1:9" x14ac:dyDescent="0.25">
      <c r="A1240">
        <v>235</v>
      </c>
      <c r="B1240" t="s">
        <v>740</v>
      </c>
      <c r="C1240" t="s">
        <v>138</v>
      </c>
      <c r="D1240" t="s">
        <v>760</v>
      </c>
      <c r="E1240">
        <f t="shared" si="47"/>
        <v>6.369426751592357E-3</v>
      </c>
      <c r="F1240">
        <v>4</v>
      </c>
      <c r="G1240">
        <f>LOG(382/(4+1))</f>
        <v>1.8830933585756899</v>
      </c>
      <c r="H1240">
        <f>0.00636942675159235*4.33598269617247</f>
        <v>2.7617724179442457E-2</v>
      </c>
      <c r="I1240">
        <v>2.761772417944252E-2</v>
      </c>
    </row>
    <row r="1241" spans="1:9" x14ac:dyDescent="0.25">
      <c r="A1241">
        <v>235</v>
      </c>
      <c r="B1241" t="s">
        <v>740</v>
      </c>
      <c r="C1241" t="s">
        <v>138</v>
      </c>
      <c r="D1241" t="s">
        <v>25</v>
      </c>
      <c r="E1241">
        <f t="shared" si="47"/>
        <v>6.369426751592357E-3</v>
      </c>
      <c r="F1241">
        <v>106</v>
      </c>
      <c r="G1241">
        <f>LOG(382/(106+1))</f>
        <v>0.55267958522649907</v>
      </c>
      <c r="H1241">
        <f>0.00636942675159235*1.27259177414466</f>
        <v>8.1056800900933673E-3</v>
      </c>
      <c r="I1241">
        <v>8.1056800900934332E-3</v>
      </c>
    </row>
    <row r="1242" spans="1:9" x14ac:dyDescent="0.25">
      <c r="A1242">
        <v>235</v>
      </c>
      <c r="B1242" t="s">
        <v>740</v>
      </c>
      <c r="C1242" t="s">
        <v>138</v>
      </c>
      <c r="D1242" t="s">
        <v>570</v>
      </c>
      <c r="E1242">
        <f t="shared" si="47"/>
        <v>6.369426751592357E-3</v>
      </c>
      <c r="F1242">
        <v>27</v>
      </c>
      <c r="G1242">
        <f>LOG(382/(27+1))</f>
        <v>1.1349053315694895</v>
      </c>
      <c r="H1242">
        <f>0.00636942675159235*2.61321609843137</f>
        <v>1.6644688525040557E-2</v>
      </c>
      <c r="I1242">
        <v>1.6644688525040582E-2</v>
      </c>
    </row>
    <row r="1243" spans="1:9" x14ac:dyDescent="0.25">
      <c r="A1243">
        <v>235</v>
      </c>
      <c r="B1243" t="s">
        <v>740</v>
      </c>
      <c r="C1243" t="s">
        <v>138</v>
      </c>
      <c r="D1243" t="s">
        <v>761</v>
      </c>
      <c r="E1243">
        <f t="shared" si="47"/>
        <v>6.369426751592357E-3</v>
      </c>
      <c r="F1243">
        <v>2</v>
      </c>
      <c r="G1243">
        <f>LOG(382/(2+1))</f>
        <v>2.1049421081920463</v>
      </c>
      <c r="H1243">
        <f>0.00636942675159235*4.84680831993846</f>
        <v>3.08713905728564E-2</v>
      </c>
      <c r="I1243">
        <v>3.0871390572856469E-2</v>
      </c>
    </row>
    <row r="1244" spans="1:9" x14ac:dyDescent="0.25">
      <c r="A1244">
        <v>235</v>
      </c>
      <c r="B1244" t="s">
        <v>740</v>
      </c>
      <c r="C1244" t="s">
        <v>138</v>
      </c>
      <c r="D1244" t="s">
        <v>42</v>
      </c>
      <c r="E1244">
        <f t="shared" si="47"/>
        <v>6.369426751592357E-3</v>
      </c>
      <c r="F1244">
        <v>251</v>
      </c>
      <c r="G1244">
        <f>LOG(382/(251+1))</f>
        <v>0.18066282213016463</v>
      </c>
      <c r="H1244">
        <f>0.00636942675159235*0.415991521095151</f>
        <v>2.6496275228990482E-3</v>
      </c>
      <c r="I1244">
        <v>2.649627522899056E-3</v>
      </c>
    </row>
    <row r="1245" spans="1:9" x14ac:dyDescent="0.25">
      <c r="A1245">
        <v>235</v>
      </c>
      <c r="B1245" t="s">
        <v>740</v>
      </c>
      <c r="C1245" t="s">
        <v>138</v>
      </c>
      <c r="D1245" t="s">
        <v>218</v>
      </c>
      <c r="E1245">
        <f t="shared" si="47"/>
        <v>6.369426751592357E-3</v>
      </c>
      <c r="F1245">
        <v>35</v>
      </c>
      <c r="G1245">
        <f>LOG(382/(35+1))</f>
        <v>1.0257608621444214</v>
      </c>
      <c r="H1245">
        <f>0.00636942675159235*2.36190167015046</f>
        <v>1.5043959682486991E-2</v>
      </c>
      <c r="I1245">
        <v>1.504395968248704E-2</v>
      </c>
    </row>
    <row r="1246" spans="1:9" x14ac:dyDescent="0.25">
      <c r="A1246">
        <v>235</v>
      </c>
      <c r="B1246" t="s">
        <v>740</v>
      </c>
      <c r="C1246" t="s">
        <v>138</v>
      </c>
      <c r="D1246" t="s">
        <v>762</v>
      </c>
      <c r="E1246">
        <f>2/157</f>
        <v>1.2738853503184714E-2</v>
      </c>
      <c r="F1246">
        <v>29</v>
      </c>
      <c r="G1246">
        <f>LOG(382/(29+1))</f>
        <v>1.1049421081920463</v>
      </c>
      <c r="H1246">
        <f>0.0127388535031847*2.54422322694442</f>
        <v>3.2410486967444807E-2</v>
      </c>
      <c r="I1246">
        <v>3.2410486967444842E-2</v>
      </c>
    </row>
    <row r="1247" spans="1:9" x14ac:dyDescent="0.25">
      <c r="A1247">
        <v>235</v>
      </c>
      <c r="B1247" t="s">
        <v>740</v>
      </c>
      <c r="C1247" t="s">
        <v>138</v>
      </c>
      <c r="D1247" t="s">
        <v>763</v>
      </c>
      <c r="E1247">
        <f>1/157</f>
        <v>6.369426751592357E-3</v>
      </c>
      <c r="F1247">
        <v>47</v>
      </c>
      <c r="G1247">
        <f>LOG(382/(47+1))</f>
        <v>0.90082212553612151</v>
      </c>
      <c r="H1247">
        <f>0.00636942675159235*2.07421959769868</f>
        <v>1.3211589794259095E-2</v>
      </c>
      <c r="I1247">
        <v>1.321158979425914E-2</v>
      </c>
    </row>
    <row r="1248" spans="1:9" x14ac:dyDescent="0.25">
      <c r="A1248">
        <v>235</v>
      </c>
      <c r="B1248" t="s">
        <v>740</v>
      </c>
      <c r="C1248" t="s">
        <v>138</v>
      </c>
      <c r="D1248" t="s">
        <v>764</v>
      </c>
      <c r="E1248">
        <f>2/157</f>
        <v>1.2738853503184714E-2</v>
      </c>
      <c r="F1248">
        <v>57</v>
      </c>
      <c r="G1248">
        <f>LOG(382/(57+1))</f>
        <v>0.81863536934877146</v>
      </c>
      <c r="H1248">
        <f>0.0127388535031847*1.88497759806015</f>
        <v>2.4012453478473222E-2</v>
      </c>
      <c r="I1248">
        <v>2.401245347847332E-2</v>
      </c>
    </row>
    <row r="1249" spans="1:9" x14ac:dyDescent="0.25">
      <c r="A1249">
        <v>235</v>
      </c>
      <c r="B1249" t="s">
        <v>740</v>
      </c>
      <c r="C1249" t="s">
        <v>138</v>
      </c>
      <c r="D1249" t="s">
        <v>765</v>
      </c>
      <c r="E1249">
        <f t="shared" ref="E1249:E1276" si="48">1/157</f>
        <v>6.369426751592357E-3</v>
      </c>
      <c r="F1249">
        <v>44</v>
      </c>
      <c r="G1249">
        <f>LOG(382/(44+1))</f>
        <v>0.92885084913636506</v>
      </c>
      <c r="H1249">
        <f>0.00636942675159235*2.13875811883625</f>
        <v>1.362266317730094E-2</v>
      </c>
      <c r="I1249">
        <v>1.362266317730099E-2</v>
      </c>
    </row>
    <row r="1250" spans="1:9" x14ac:dyDescent="0.25">
      <c r="A1250">
        <v>235</v>
      </c>
      <c r="B1250" t="s">
        <v>740</v>
      </c>
      <c r="C1250" t="s">
        <v>138</v>
      </c>
      <c r="D1250" t="s">
        <v>766</v>
      </c>
      <c r="E1250">
        <f t="shared" si="48"/>
        <v>6.369426751592357E-3</v>
      </c>
      <c r="F1250">
        <v>1</v>
      </c>
      <c r="G1250">
        <f>LOG(382/(1+1))</f>
        <v>2.2810333672477277</v>
      </c>
      <c r="H1250">
        <f>0.00636942675159235*5.25227342804663</f>
        <v>3.3453970879277865E-2</v>
      </c>
      <c r="I1250">
        <v>3.34539708792779E-2</v>
      </c>
    </row>
    <row r="1251" spans="1:9" x14ac:dyDescent="0.25">
      <c r="A1251">
        <v>235</v>
      </c>
      <c r="B1251" t="s">
        <v>740</v>
      </c>
      <c r="C1251" t="s">
        <v>138</v>
      </c>
      <c r="D1251" t="s">
        <v>767</v>
      </c>
      <c r="E1251">
        <f t="shared" si="48"/>
        <v>6.369426751592357E-3</v>
      </c>
      <c r="F1251">
        <v>47</v>
      </c>
      <c r="G1251">
        <f>LOG(382/(47+1))</f>
        <v>0.90082212553612151</v>
      </c>
      <c r="H1251">
        <f>0.00636942675159235*2.07421959769868</f>
        <v>1.3211589794259095E-2</v>
      </c>
      <c r="I1251">
        <v>1.321158979425914E-2</v>
      </c>
    </row>
    <row r="1252" spans="1:9" x14ac:dyDescent="0.25">
      <c r="A1252">
        <v>235</v>
      </c>
      <c r="B1252" t="s">
        <v>740</v>
      </c>
      <c r="C1252" t="s">
        <v>138</v>
      </c>
      <c r="D1252" t="s">
        <v>256</v>
      </c>
      <c r="E1252">
        <f t="shared" si="48"/>
        <v>6.369426751592357E-3</v>
      </c>
      <c r="F1252">
        <v>28</v>
      </c>
      <c r="G1252">
        <f>LOG(382/(28+1))</f>
        <v>1.1196653650127526</v>
      </c>
      <c r="H1252">
        <f>0.00636942675159235*2.5781247786201</f>
        <v>1.6421176933885968E-2</v>
      </c>
      <c r="I1252">
        <v>1.6421176933885999E-2</v>
      </c>
    </row>
    <row r="1253" spans="1:9" x14ac:dyDescent="0.25">
      <c r="A1253">
        <v>235</v>
      </c>
      <c r="B1253" t="s">
        <v>740</v>
      </c>
      <c r="C1253" t="s">
        <v>138</v>
      </c>
      <c r="D1253" t="s">
        <v>520</v>
      </c>
      <c r="E1253">
        <f t="shared" si="48"/>
        <v>6.369426751592357E-3</v>
      </c>
      <c r="F1253">
        <v>25</v>
      </c>
      <c r="G1253">
        <f>LOG(382/(25+1))</f>
        <v>1.1670900149408907</v>
      </c>
      <c r="H1253">
        <f>0.00636942675159235*2.68732407058509</f>
        <v>1.7116713825382723E-2</v>
      </c>
      <c r="I1253">
        <v>1.7116713825382761E-2</v>
      </c>
    </row>
    <row r="1254" spans="1:9" x14ac:dyDescent="0.25">
      <c r="A1254">
        <v>235</v>
      </c>
      <c r="B1254" t="s">
        <v>740</v>
      </c>
      <c r="C1254" t="s">
        <v>138</v>
      </c>
      <c r="D1254" t="s">
        <v>239</v>
      </c>
      <c r="E1254">
        <f t="shared" si="48"/>
        <v>6.369426751592357E-3</v>
      </c>
      <c r="F1254">
        <v>40</v>
      </c>
      <c r="G1254">
        <f>LOG(382/(40+1))</f>
        <v>0.96927950619197323</v>
      </c>
      <c r="H1254">
        <f>0.00636942675159235*2.23184854190226</f>
        <v>1.4215595808294634E-2</v>
      </c>
      <c r="I1254">
        <v>1.42155958082947E-2</v>
      </c>
    </row>
    <row r="1255" spans="1:9" x14ac:dyDescent="0.25">
      <c r="A1255">
        <v>235</v>
      </c>
      <c r="B1255" t="s">
        <v>740</v>
      </c>
      <c r="C1255" t="s">
        <v>138</v>
      </c>
      <c r="D1255" t="s">
        <v>448</v>
      </c>
      <c r="E1255">
        <f t="shared" si="48"/>
        <v>6.369426751592357E-3</v>
      </c>
      <c r="F1255">
        <v>19</v>
      </c>
      <c r="G1255">
        <f>LOG(382/(19+1))</f>
        <v>1.2810333672477277</v>
      </c>
      <c r="H1255">
        <f>0.00636942675159235*2.94968833505258</f>
        <v>1.8787823790143803E-2</v>
      </c>
      <c r="I1255">
        <v>1.8787823790143848E-2</v>
      </c>
    </row>
    <row r="1256" spans="1:9" x14ac:dyDescent="0.25">
      <c r="A1256">
        <v>235</v>
      </c>
      <c r="B1256" t="s">
        <v>740</v>
      </c>
      <c r="C1256" t="s">
        <v>138</v>
      </c>
      <c r="D1256" t="s">
        <v>768</v>
      </c>
      <c r="E1256">
        <f t="shared" si="48"/>
        <v>6.369426751592357E-3</v>
      </c>
      <c r="F1256">
        <v>4</v>
      </c>
      <c r="G1256">
        <f>LOG(382/(4+1))</f>
        <v>1.8830933585756899</v>
      </c>
      <c r="H1256">
        <f>0.00636942675159235*4.33598269617247</f>
        <v>2.7617724179442457E-2</v>
      </c>
      <c r="I1256">
        <v>2.761772417944252E-2</v>
      </c>
    </row>
    <row r="1257" spans="1:9" x14ac:dyDescent="0.25">
      <c r="A1257">
        <v>235</v>
      </c>
      <c r="B1257" t="s">
        <v>740</v>
      </c>
      <c r="C1257" t="s">
        <v>138</v>
      </c>
      <c r="D1257" t="s">
        <v>104</v>
      </c>
      <c r="E1257">
        <f t="shared" si="48"/>
        <v>6.369426751592357E-3</v>
      </c>
      <c r="F1257">
        <v>49</v>
      </c>
      <c r="G1257">
        <f>LOG(382/(49+1))</f>
        <v>0.88309335857568994</v>
      </c>
      <c r="H1257">
        <f>0.00636942675159235*2.03339760317842</f>
        <v>1.2951577090308395E-2</v>
      </c>
      <c r="I1257">
        <v>1.2951577090308459E-2</v>
      </c>
    </row>
    <row r="1258" spans="1:9" x14ac:dyDescent="0.25">
      <c r="A1258">
        <v>235</v>
      </c>
      <c r="B1258" t="s">
        <v>740</v>
      </c>
      <c r="C1258" t="s">
        <v>138</v>
      </c>
      <c r="D1258" t="s">
        <v>103</v>
      </c>
      <c r="E1258">
        <f t="shared" si="48"/>
        <v>6.369426751592357E-3</v>
      </c>
      <c r="F1258">
        <v>38</v>
      </c>
      <c r="G1258">
        <f>LOG(382/(38+1))</f>
        <v>0.99099875588520958</v>
      </c>
      <c r="H1258">
        <f>0.00636942675159235*2.28185896247692</f>
        <v>1.4534133518961259E-2</v>
      </c>
      <c r="I1258">
        <v>1.453413351896133E-2</v>
      </c>
    </row>
    <row r="1259" spans="1:9" x14ac:dyDescent="0.25">
      <c r="A1259">
        <v>235</v>
      </c>
      <c r="B1259" t="s">
        <v>740</v>
      </c>
      <c r="C1259" t="s">
        <v>138</v>
      </c>
      <c r="D1259" t="s">
        <v>769</v>
      </c>
      <c r="E1259">
        <f t="shared" si="48"/>
        <v>6.369426751592357E-3</v>
      </c>
      <c r="F1259">
        <v>1</v>
      </c>
      <c r="G1259">
        <f>LOG(382/(1+1))</f>
        <v>2.2810333672477277</v>
      </c>
      <c r="H1259">
        <f>0.00636942675159235*5.25227342804663</f>
        <v>3.3453970879277865E-2</v>
      </c>
      <c r="I1259">
        <v>3.34539708792779E-2</v>
      </c>
    </row>
    <row r="1260" spans="1:9" x14ac:dyDescent="0.25">
      <c r="A1260">
        <v>235</v>
      </c>
      <c r="B1260" t="s">
        <v>740</v>
      </c>
      <c r="C1260" t="s">
        <v>138</v>
      </c>
      <c r="D1260" t="s">
        <v>339</v>
      </c>
      <c r="E1260">
        <f t="shared" si="48"/>
        <v>6.369426751592357E-3</v>
      </c>
      <c r="F1260">
        <v>66</v>
      </c>
      <c r="G1260">
        <f>LOG(382/(66+1))</f>
        <v>0.75598856021088234</v>
      </c>
      <c r="H1260">
        <f>0.00636942675159235*1.7407279892156</f>
        <v>1.1087439421755402E-2</v>
      </c>
      <c r="I1260">
        <v>1.108743942175547E-2</v>
      </c>
    </row>
    <row r="1261" spans="1:9" x14ac:dyDescent="0.25">
      <c r="A1261">
        <v>235</v>
      </c>
      <c r="B1261" t="s">
        <v>740</v>
      </c>
      <c r="C1261" t="s">
        <v>138</v>
      </c>
      <c r="D1261" t="s">
        <v>770</v>
      </c>
      <c r="E1261">
        <f t="shared" si="48"/>
        <v>6.369426751592357E-3</v>
      </c>
      <c r="F1261">
        <v>47</v>
      </c>
      <c r="G1261">
        <f>LOG(382/(47+1))</f>
        <v>0.90082212553612151</v>
      </c>
      <c r="H1261">
        <f>0.00636942675159235*2.07421959769868</f>
        <v>1.3211589794259095E-2</v>
      </c>
      <c r="I1261">
        <v>1.321158979425914E-2</v>
      </c>
    </row>
    <row r="1262" spans="1:9" x14ac:dyDescent="0.25">
      <c r="A1262">
        <v>235</v>
      </c>
      <c r="B1262" t="s">
        <v>740</v>
      </c>
      <c r="C1262" t="s">
        <v>138</v>
      </c>
      <c r="D1262" t="s">
        <v>438</v>
      </c>
      <c r="E1262">
        <f t="shared" si="48"/>
        <v>6.369426751592357E-3</v>
      </c>
      <c r="F1262">
        <v>37</v>
      </c>
      <c r="G1262">
        <f>LOG(382/(37+1))</f>
        <v>1.0022797662948986</v>
      </c>
      <c r="H1262">
        <f>0.00636942675159235*2.30783444888018</f>
        <v>1.4699582476943805E-2</v>
      </c>
      <c r="I1262">
        <v>1.4699582476943879E-2</v>
      </c>
    </row>
    <row r="1263" spans="1:9" x14ac:dyDescent="0.25">
      <c r="A1263">
        <v>235</v>
      </c>
      <c r="B1263" t="s">
        <v>740</v>
      </c>
      <c r="C1263" t="s">
        <v>138</v>
      </c>
      <c r="D1263" t="s">
        <v>771</v>
      </c>
      <c r="E1263">
        <f t="shared" si="48"/>
        <v>6.369426751592357E-3</v>
      </c>
      <c r="F1263">
        <v>1</v>
      </c>
      <c r="G1263">
        <f>LOG(382/(1+1))</f>
        <v>2.2810333672477277</v>
      </c>
      <c r="H1263">
        <f>0.00636942675159235*5.25227342804663</f>
        <v>3.3453970879277865E-2</v>
      </c>
      <c r="I1263">
        <v>3.34539708792779E-2</v>
      </c>
    </row>
    <row r="1264" spans="1:9" x14ac:dyDescent="0.25">
      <c r="A1264">
        <v>235</v>
      </c>
      <c r="B1264" t="s">
        <v>740</v>
      </c>
      <c r="C1264" t="s">
        <v>138</v>
      </c>
      <c r="D1264" t="s">
        <v>772</v>
      </c>
      <c r="E1264">
        <f t="shared" si="48"/>
        <v>6.369426751592357E-3</v>
      </c>
      <c r="F1264">
        <v>31</v>
      </c>
      <c r="G1264">
        <f>LOG(382/(31+1))</f>
        <v>1.0769133845918029</v>
      </c>
      <c r="H1264">
        <f>0.00636942675159235*2.47968470580684</f>
        <v>1.5794170100680491E-2</v>
      </c>
      <c r="I1264">
        <v>1.5794170100680561E-2</v>
      </c>
    </row>
    <row r="1265" spans="1:9" x14ac:dyDescent="0.25">
      <c r="A1265">
        <v>235</v>
      </c>
      <c r="B1265" t="s">
        <v>740</v>
      </c>
      <c r="C1265" t="s">
        <v>138</v>
      </c>
      <c r="D1265" t="s">
        <v>521</v>
      </c>
      <c r="E1265">
        <f t="shared" si="48"/>
        <v>6.369426751592357E-3</v>
      </c>
      <c r="F1265">
        <v>7</v>
      </c>
      <c r="G1265">
        <f>LOG(382/(7+1))</f>
        <v>1.6789733759197651</v>
      </c>
      <c r="H1265">
        <f>0.00636942675159235*3.86597906692673</f>
        <v>2.4624070489979149E-2</v>
      </c>
      <c r="I1265">
        <v>2.4624070489979229E-2</v>
      </c>
    </row>
    <row r="1266" spans="1:9" x14ac:dyDescent="0.25">
      <c r="A1266">
        <v>235</v>
      </c>
      <c r="B1266" t="s">
        <v>740</v>
      </c>
      <c r="C1266" t="s">
        <v>138</v>
      </c>
      <c r="D1266" t="s">
        <v>458</v>
      </c>
      <c r="E1266">
        <f t="shared" si="48"/>
        <v>6.369426751592357E-3</v>
      </c>
      <c r="F1266">
        <v>34</v>
      </c>
      <c r="G1266">
        <f>LOG(382/(34+1))</f>
        <v>1.037995318561433</v>
      </c>
      <c r="H1266">
        <f>0.00636942675159235*2.39007254711716</f>
        <v>1.5223392019854506E-2</v>
      </c>
      <c r="I1266">
        <v>1.522339201985453E-2</v>
      </c>
    </row>
    <row r="1267" spans="1:9" x14ac:dyDescent="0.25">
      <c r="A1267">
        <v>235</v>
      </c>
      <c r="B1267" t="s">
        <v>740</v>
      </c>
      <c r="C1267" t="s">
        <v>138</v>
      </c>
      <c r="D1267" t="s">
        <v>459</v>
      </c>
      <c r="E1267">
        <f t="shared" si="48"/>
        <v>6.369426751592357E-3</v>
      </c>
      <c r="F1267">
        <v>14</v>
      </c>
      <c r="G1267">
        <f>LOG(382/(14+1))</f>
        <v>1.4059721038560276</v>
      </c>
      <c r="H1267">
        <f>0.00636942675159235*3.23737040750436</f>
        <v>2.0620193678371698E-2</v>
      </c>
      <c r="I1267">
        <v>2.062019367837175E-2</v>
      </c>
    </row>
    <row r="1268" spans="1:9" x14ac:dyDescent="0.25">
      <c r="A1268">
        <v>235</v>
      </c>
      <c r="B1268" t="s">
        <v>740</v>
      </c>
      <c r="C1268" t="s">
        <v>138</v>
      </c>
      <c r="D1268" t="s">
        <v>263</v>
      </c>
      <c r="E1268">
        <f t="shared" si="48"/>
        <v>6.369426751592357E-3</v>
      </c>
      <c r="F1268">
        <v>41</v>
      </c>
      <c r="G1268">
        <f>LOG(382/(41+1))</f>
        <v>0.95881407251380824</v>
      </c>
      <c r="H1268">
        <f>0.00636942675159235*2.2077509903232</f>
        <v>1.4062108218619095E-2</v>
      </c>
      <c r="I1268">
        <v>1.4062108218619151E-2</v>
      </c>
    </row>
    <row r="1269" spans="1:9" x14ac:dyDescent="0.25">
      <c r="A1269">
        <v>235</v>
      </c>
      <c r="B1269" t="s">
        <v>740</v>
      </c>
      <c r="C1269" t="s">
        <v>138</v>
      </c>
      <c r="D1269" t="s">
        <v>773</v>
      </c>
      <c r="E1269">
        <f t="shared" si="48"/>
        <v>6.369426751592357E-3</v>
      </c>
      <c r="F1269">
        <v>10</v>
      </c>
      <c r="G1269">
        <f>LOG(382/(10+1))</f>
        <v>1.5406706777534838</v>
      </c>
      <c r="H1269">
        <f>0.00636942675159235*3.5475253358082</f>
        <v>2.2595702775848384E-2</v>
      </c>
      <c r="I1269">
        <v>2.259570277584844E-2</v>
      </c>
    </row>
    <row r="1270" spans="1:9" x14ac:dyDescent="0.25">
      <c r="A1270">
        <v>235</v>
      </c>
      <c r="B1270" t="s">
        <v>740</v>
      </c>
      <c r="C1270" t="s">
        <v>138</v>
      </c>
      <c r="D1270" t="s">
        <v>774</v>
      </c>
      <c r="E1270">
        <f t="shared" si="48"/>
        <v>6.369426751592357E-3</v>
      </c>
      <c r="F1270">
        <v>4</v>
      </c>
      <c r="G1270">
        <f>LOG(382/(4+1))</f>
        <v>1.8830933585756899</v>
      </c>
      <c r="H1270">
        <f>0.00636942675159235*4.33598269617247</f>
        <v>2.7617724179442457E-2</v>
      </c>
      <c r="I1270">
        <v>2.761772417944252E-2</v>
      </c>
    </row>
    <row r="1271" spans="1:9" x14ac:dyDescent="0.25">
      <c r="A1271">
        <v>235</v>
      </c>
      <c r="B1271" t="s">
        <v>740</v>
      </c>
      <c r="C1271" t="s">
        <v>138</v>
      </c>
      <c r="D1271" t="s">
        <v>372</v>
      </c>
      <c r="E1271">
        <f t="shared" si="48"/>
        <v>6.369426751592357E-3</v>
      </c>
      <c r="F1271">
        <v>8</v>
      </c>
      <c r="G1271">
        <f>LOG(382/(8+1))</f>
        <v>1.6278208534723839</v>
      </c>
      <c r="H1271">
        <f>0.00636942675159235*3.74819603127035</f>
        <v>2.3873860071785644E-2</v>
      </c>
      <c r="I1271">
        <v>2.387386007178571E-2</v>
      </c>
    </row>
    <row r="1272" spans="1:9" x14ac:dyDescent="0.25">
      <c r="A1272">
        <v>235</v>
      </c>
      <c r="B1272" t="s">
        <v>740</v>
      </c>
      <c r="C1272" t="s">
        <v>138</v>
      </c>
      <c r="D1272" t="s">
        <v>775</v>
      </c>
      <c r="E1272">
        <f t="shared" si="48"/>
        <v>6.369426751592357E-3</v>
      </c>
      <c r="F1272">
        <v>20</v>
      </c>
      <c r="G1272">
        <f>LOG(382/(20+1))</f>
        <v>1.2598440681777894</v>
      </c>
      <c r="H1272">
        <f>0.00636942675159235*2.90089817088315</f>
        <v>1.8477058413268452E-2</v>
      </c>
      <c r="I1272">
        <v>1.847705841326849E-2</v>
      </c>
    </row>
    <row r="1273" spans="1:9" x14ac:dyDescent="0.25">
      <c r="A1273">
        <v>235</v>
      </c>
      <c r="B1273" t="s">
        <v>740</v>
      </c>
      <c r="C1273" t="s">
        <v>138</v>
      </c>
      <c r="D1273" t="s">
        <v>439</v>
      </c>
      <c r="E1273">
        <f t="shared" si="48"/>
        <v>6.369426751592357E-3</v>
      </c>
      <c r="F1273">
        <v>28</v>
      </c>
      <c r="G1273">
        <f>LOG(382/(28+1))</f>
        <v>1.1196653650127526</v>
      </c>
      <c r="H1273">
        <f>0.00636942675159235*2.5781247786201</f>
        <v>1.6421176933885968E-2</v>
      </c>
      <c r="I1273">
        <v>1.6421176933885999E-2</v>
      </c>
    </row>
    <row r="1274" spans="1:9" x14ac:dyDescent="0.25">
      <c r="A1274">
        <v>235</v>
      </c>
      <c r="B1274" t="s">
        <v>740</v>
      </c>
      <c r="C1274" t="s">
        <v>138</v>
      </c>
      <c r="D1274" t="s">
        <v>776</v>
      </c>
      <c r="E1274">
        <f t="shared" si="48"/>
        <v>6.369426751592357E-3</v>
      </c>
      <c r="F1274">
        <v>15</v>
      </c>
      <c r="G1274">
        <f>LOG(382/(15+1))</f>
        <v>1.3779433802557839</v>
      </c>
      <c r="H1274">
        <f>0.00636942675159235*3.17283188636679</f>
        <v>2.0209120295329851E-2</v>
      </c>
      <c r="I1274">
        <v>2.02091202953299E-2</v>
      </c>
    </row>
    <row r="1275" spans="1:9" x14ac:dyDescent="0.25">
      <c r="A1275">
        <v>235</v>
      </c>
      <c r="B1275" t="s">
        <v>740</v>
      </c>
      <c r="C1275" t="s">
        <v>138</v>
      </c>
      <c r="D1275" t="s">
        <v>777</v>
      </c>
      <c r="E1275">
        <f t="shared" si="48"/>
        <v>6.369426751592357E-3</v>
      </c>
      <c r="F1275">
        <v>2</v>
      </c>
      <c r="G1275">
        <f>LOG(382/(2+1))</f>
        <v>2.1049421081920463</v>
      </c>
      <c r="H1275">
        <f>0.00636942675159235*4.84680831993846</f>
        <v>3.08713905728564E-2</v>
      </c>
      <c r="I1275">
        <v>3.0871390572856469E-2</v>
      </c>
    </row>
    <row r="1276" spans="1:9" x14ac:dyDescent="0.25">
      <c r="A1276">
        <v>235</v>
      </c>
      <c r="B1276" t="s">
        <v>740</v>
      </c>
      <c r="C1276" t="s">
        <v>138</v>
      </c>
      <c r="D1276" t="s">
        <v>236</v>
      </c>
      <c r="E1276">
        <f t="shared" si="48"/>
        <v>6.369426751592357E-3</v>
      </c>
      <c r="F1276">
        <v>87</v>
      </c>
      <c r="G1276">
        <f>LOG(382/(87+1))</f>
        <v>0.63758069076154011</v>
      </c>
      <c r="H1276">
        <f>0.00636942675159235*1.46808379412836</f>
        <v>9.3508521919003721E-3</v>
      </c>
      <c r="I1276">
        <v>9.350852191900438E-3</v>
      </c>
    </row>
    <row r="1277" spans="1:9" x14ac:dyDescent="0.25">
      <c r="A1277">
        <v>236</v>
      </c>
      <c r="B1277" t="s">
        <v>778</v>
      </c>
      <c r="C1277" t="s">
        <v>48</v>
      </c>
      <c r="D1277" t="s">
        <v>179</v>
      </c>
      <c r="E1277">
        <f>1/79</f>
        <v>1.2658227848101266E-2</v>
      </c>
      <c r="F1277">
        <v>15</v>
      </c>
      <c r="G1277">
        <f>LOG(382/(15+1))</f>
        <v>1.3779433802557839</v>
      </c>
      <c r="H1277">
        <f>0.0126582278481012*3.17283188636679</f>
        <v>4.0162428941351566E-2</v>
      </c>
      <c r="I1277">
        <v>4.0162428941351823E-2</v>
      </c>
    </row>
    <row r="1278" spans="1:9" x14ac:dyDescent="0.25">
      <c r="A1278">
        <v>236</v>
      </c>
      <c r="B1278" t="s">
        <v>778</v>
      </c>
      <c r="C1278" t="s">
        <v>48</v>
      </c>
      <c r="D1278" t="s">
        <v>779</v>
      </c>
      <c r="E1278">
        <f>4/79</f>
        <v>5.0632911392405063E-2</v>
      </c>
      <c r="F1278">
        <v>25</v>
      </c>
      <c r="G1278">
        <f>LOG(382/(25+1))</f>
        <v>1.1670900149408907</v>
      </c>
      <c r="H1278">
        <f>0.050632911392405*2.68732407058509</f>
        <v>0.13606704154861199</v>
      </c>
      <c r="I1278">
        <v>0.13606704154861229</v>
      </c>
    </row>
    <row r="1279" spans="1:9" x14ac:dyDescent="0.25">
      <c r="A1279">
        <v>236</v>
      </c>
      <c r="B1279" t="s">
        <v>778</v>
      </c>
      <c r="C1279" t="s">
        <v>48</v>
      </c>
      <c r="D1279" t="s">
        <v>780</v>
      </c>
      <c r="E1279">
        <f>4/79</f>
        <v>5.0632911392405063E-2</v>
      </c>
      <c r="F1279">
        <v>3</v>
      </c>
      <c r="G1279">
        <f>LOG(382/(3+1))</f>
        <v>1.9800033715837464</v>
      </c>
      <c r="H1279">
        <f>0.050632911392405*4.55912624748668</f>
        <v>0.23084183531578098</v>
      </c>
      <c r="I1279">
        <v>0.23084183531578151</v>
      </c>
    </row>
    <row r="1280" spans="1:9" x14ac:dyDescent="0.25">
      <c r="A1280">
        <v>236</v>
      </c>
      <c r="B1280" t="s">
        <v>778</v>
      </c>
      <c r="C1280" t="s">
        <v>48</v>
      </c>
      <c r="D1280" t="s">
        <v>60</v>
      </c>
      <c r="E1280">
        <f>4/79</f>
        <v>5.0632911392405063E-2</v>
      </c>
      <c r="F1280">
        <v>24</v>
      </c>
      <c r="G1280">
        <f>LOG(382/(24+1))</f>
        <v>1.1841233542396712</v>
      </c>
      <c r="H1280">
        <f>0.050632911392405*2.72654478373837</f>
        <v>0.13805290044244894</v>
      </c>
      <c r="I1280">
        <v>0.13805290044244931</v>
      </c>
    </row>
    <row r="1281" spans="1:9" x14ac:dyDescent="0.25">
      <c r="A1281">
        <v>236</v>
      </c>
      <c r="B1281" t="s">
        <v>778</v>
      </c>
      <c r="C1281" t="s">
        <v>48</v>
      </c>
      <c r="D1281" t="s">
        <v>781</v>
      </c>
      <c r="E1281">
        <f>5/79</f>
        <v>6.3291139240506333E-2</v>
      </c>
      <c r="F1281">
        <v>8</v>
      </c>
      <c r="G1281">
        <f>LOG(382/(8+1))</f>
        <v>1.6278208534723839</v>
      </c>
      <c r="H1281">
        <f>0.0632911392405063*3.74819603127035</f>
        <v>0.23722759691584486</v>
      </c>
      <c r="I1281">
        <v>0.2372275969158453</v>
      </c>
    </row>
    <row r="1282" spans="1:9" x14ac:dyDescent="0.25">
      <c r="A1282">
        <v>236</v>
      </c>
      <c r="B1282" t="s">
        <v>778</v>
      </c>
      <c r="C1282" t="s">
        <v>48</v>
      </c>
      <c r="D1282" t="s">
        <v>782</v>
      </c>
      <c r="E1282">
        <f>2/79</f>
        <v>2.5316455696202531E-2</v>
      </c>
      <c r="F1282">
        <v>2</v>
      </c>
      <c r="G1282">
        <f>LOG(382/(2+1))</f>
        <v>2.1049421081920463</v>
      </c>
      <c r="H1282">
        <f>0.0253164556962025*4.84680831993846</f>
        <v>0.12270400809970769</v>
      </c>
      <c r="I1282">
        <v>0.122704008099708</v>
      </c>
    </row>
    <row r="1283" spans="1:9" x14ac:dyDescent="0.25">
      <c r="A1283">
        <v>236</v>
      </c>
      <c r="B1283" t="s">
        <v>778</v>
      </c>
      <c r="C1283" t="s">
        <v>48</v>
      </c>
      <c r="D1283" t="s">
        <v>783</v>
      </c>
      <c r="E1283">
        <f>1/79</f>
        <v>1.2658227848101266E-2</v>
      </c>
      <c r="F1283">
        <v>1</v>
      </c>
      <c r="G1283">
        <f>LOG(382/(1+1))</f>
        <v>2.2810333672477277</v>
      </c>
      <c r="H1283">
        <f>0.0126582278481012*5.25227342804663</f>
        <v>6.6484473772741803E-2</v>
      </c>
      <c r="I1283">
        <v>6.648447377274215E-2</v>
      </c>
    </row>
    <row r="1284" spans="1:9" x14ac:dyDescent="0.25">
      <c r="A1284">
        <v>236</v>
      </c>
      <c r="B1284" t="s">
        <v>778</v>
      </c>
      <c r="C1284" t="s">
        <v>48</v>
      </c>
      <c r="D1284" t="s">
        <v>784</v>
      </c>
      <c r="E1284">
        <f>1/79</f>
        <v>1.2658227848101266E-2</v>
      </c>
      <c r="F1284">
        <v>6</v>
      </c>
      <c r="G1284">
        <f>LOG(382/(6+1))</f>
        <v>1.736965322897452</v>
      </c>
      <c r="H1284">
        <f>0.0126582278481012*3.99951045955126</f>
        <v>5.0626714677863789E-2</v>
      </c>
      <c r="I1284">
        <v>5.0626714677864067E-2</v>
      </c>
    </row>
    <row r="1285" spans="1:9" x14ac:dyDescent="0.25">
      <c r="A1285">
        <v>236</v>
      </c>
      <c r="B1285" t="s">
        <v>778</v>
      </c>
      <c r="C1285" t="s">
        <v>48</v>
      </c>
      <c r="D1285" t="s">
        <v>785</v>
      </c>
      <c r="E1285">
        <f>1/79</f>
        <v>1.2658227848101266E-2</v>
      </c>
      <c r="F1285">
        <v>1</v>
      </c>
      <c r="G1285">
        <f>LOG(382/(1+1))</f>
        <v>2.2810333672477277</v>
      </c>
      <c r="H1285">
        <f>0.0126582278481012*5.25227342804663</f>
        <v>6.6484473772741803E-2</v>
      </c>
      <c r="I1285">
        <v>6.648447377274215E-2</v>
      </c>
    </row>
    <row r="1286" spans="1:9" x14ac:dyDescent="0.25">
      <c r="A1286">
        <v>236</v>
      </c>
      <c r="B1286" t="s">
        <v>778</v>
      </c>
      <c r="C1286" t="s">
        <v>48</v>
      </c>
      <c r="D1286" t="s">
        <v>620</v>
      </c>
      <c r="E1286">
        <f>4/79</f>
        <v>5.0632911392405063E-2</v>
      </c>
      <c r="F1286">
        <v>5</v>
      </c>
      <c r="G1286">
        <f>LOG(382/(5+1))</f>
        <v>1.803912112528065</v>
      </c>
      <c r="H1286">
        <f>0.050632911392405*4.15366113937852</f>
        <v>0.21031195642422859</v>
      </c>
      <c r="I1286">
        <v>0.21031195642422881</v>
      </c>
    </row>
    <row r="1287" spans="1:9" x14ac:dyDescent="0.25">
      <c r="A1287">
        <v>236</v>
      </c>
      <c r="B1287" t="s">
        <v>778</v>
      </c>
      <c r="C1287" t="s">
        <v>48</v>
      </c>
      <c r="D1287" t="s">
        <v>335</v>
      </c>
      <c r="E1287">
        <f>3/79</f>
        <v>3.7974683544303799E-2</v>
      </c>
      <c r="F1287">
        <v>7</v>
      </c>
      <c r="G1287">
        <f>LOG(382/(7+1))</f>
        <v>1.6789733759197651</v>
      </c>
      <c r="H1287">
        <f>0.0379746835443038*3.86597906692673</f>
        <v>0.14680933165544546</v>
      </c>
      <c r="I1287">
        <v>0.1468093316554458</v>
      </c>
    </row>
    <row r="1288" spans="1:9" x14ac:dyDescent="0.25">
      <c r="A1288">
        <v>236</v>
      </c>
      <c r="B1288" t="s">
        <v>778</v>
      </c>
      <c r="C1288" t="s">
        <v>48</v>
      </c>
      <c r="D1288" t="s">
        <v>786</v>
      </c>
      <c r="E1288">
        <f>1/79</f>
        <v>1.2658227848101266E-2</v>
      </c>
      <c r="F1288">
        <v>11</v>
      </c>
      <c r="G1288">
        <f>LOG(382/(11+1))</f>
        <v>1.5028821168640838</v>
      </c>
      <c r="H1288">
        <f>0.0126582278481012*3.46051395881857</f>
        <v>4.3803974162260152E-2</v>
      </c>
      <c r="I1288">
        <v>4.3803974162260437E-2</v>
      </c>
    </row>
    <row r="1289" spans="1:9" x14ac:dyDescent="0.25">
      <c r="A1289">
        <v>236</v>
      </c>
      <c r="B1289" t="s">
        <v>778</v>
      </c>
      <c r="C1289" t="s">
        <v>48</v>
      </c>
      <c r="D1289" t="s">
        <v>40</v>
      </c>
      <c r="E1289">
        <f>2/79</f>
        <v>2.5316455696202531E-2</v>
      </c>
      <c r="F1289">
        <v>159</v>
      </c>
      <c r="G1289">
        <f>LOG(382/(159+1))</f>
        <v>0.377943380255784</v>
      </c>
      <c r="H1289">
        <f>0.0253164556962025*0.870246793372748</f>
        <v>2.2031564389183467E-2</v>
      </c>
      <c r="I1289">
        <v>2.2031564389183501E-2</v>
      </c>
    </row>
    <row r="1290" spans="1:9" x14ac:dyDescent="0.25">
      <c r="A1290">
        <v>236</v>
      </c>
      <c r="B1290" t="s">
        <v>778</v>
      </c>
      <c r="C1290" t="s">
        <v>48</v>
      </c>
      <c r="D1290" t="s">
        <v>41</v>
      </c>
      <c r="E1290">
        <f>2/79</f>
        <v>2.5316455696202531E-2</v>
      </c>
      <c r="F1290">
        <v>195</v>
      </c>
      <c r="G1290">
        <f>LOG(382/(195+1))</f>
        <v>0.28980729155523272</v>
      </c>
      <c r="H1290">
        <f>0.0253164556962025*0.667305949376058</f>
        <v>1.6893821503191322E-2</v>
      </c>
      <c r="I1290">
        <v>1.6893821503191339E-2</v>
      </c>
    </row>
    <row r="1291" spans="1:9" x14ac:dyDescent="0.25">
      <c r="A1291">
        <v>236</v>
      </c>
      <c r="B1291" t="s">
        <v>778</v>
      </c>
      <c r="C1291" t="s">
        <v>48</v>
      </c>
      <c r="D1291" t="s">
        <v>787</v>
      </c>
      <c r="E1291">
        <f t="shared" ref="E1291:E1308" si="49">1/79</f>
        <v>1.2658227848101266E-2</v>
      </c>
      <c r="F1291">
        <v>1</v>
      </c>
      <c r="G1291">
        <f>LOG(382/(1+1))</f>
        <v>2.2810333672477277</v>
      </c>
      <c r="H1291">
        <f>0.0126582278481012*5.25227342804663</f>
        <v>6.6484473772741803E-2</v>
      </c>
      <c r="I1291">
        <v>6.648447377274215E-2</v>
      </c>
    </row>
    <row r="1292" spans="1:9" x14ac:dyDescent="0.25">
      <c r="A1292">
        <v>236</v>
      </c>
      <c r="B1292" t="s">
        <v>778</v>
      </c>
      <c r="C1292" t="s">
        <v>48</v>
      </c>
      <c r="D1292" t="s">
        <v>788</v>
      </c>
      <c r="E1292">
        <f t="shared" si="49"/>
        <v>1.2658227848101266E-2</v>
      </c>
      <c r="F1292">
        <v>3</v>
      </c>
      <c r="G1292">
        <f>LOG(382/(3+1))</f>
        <v>1.9800033715837464</v>
      </c>
      <c r="H1292">
        <f>0.0126582278481012*4.55912624748668</f>
        <v>5.7710458828945016E-2</v>
      </c>
      <c r="I1292">
        <v>5.771045882894537E-2</v>
      </c>
    </row>
    <row r="1293" spans="1:9" x14ac:dyDescent="0.25">
      <c r="A1293">
        <v>236</v>
      </c>
      <c r="B1293" t="s">
        <v>778</v>
      </c>
      <c r="C1293" t="s">
        <v>48</v>
      </c>
      <c r="D1293" t="s">
        <v>228</v>
      </c>
      <c r="E1293">
        <f t="shared" si="49"/>
        <v>1.2658227848101266E-2</v>
      </c>
      <c r="F1293">
        <v>3</v>
      </c>
      <c r="G1293">
        <f>LOG(382/(3+1))</f>
        <v>1.9800033715837464</v>
      </c>
      <c r="H1293">
        <f>0.0126582278481012*4.55912624748668</f>
        <v>5.7710458828945016E-2</v>
      </c>
      <c r="I1293">
        <v>5.771045882894537E-2</v>
      </c>
    </row>
    <row r="1294" spans="1:9" x14ac:dyDescent="0.25">
      <c r="A1294">
        <v>236</v>
      </c>
      <c r="B1294" t="s">
        <v>778</v>
      </c>
      <c r="C1294" t="s">
        <v>48</v>
      </c>
      <c r="D1294" t="s">
        <v>789</v>
      </c>
      <c r="E1294">
        <f t="shared" si="49"/>
        <v>1.2658227848101266E-2</v>
      </c>
      <c r="F1294">
        <v>1</v>
      </c>
      <c r="G1294">
        <f>LOG(382/(1+1))</f>
        <v>2.2810333672477277</v>
      </c>
      <c r="H1294">
        <f>0.0126582278481012*5.25227342804663</f>
        <v>6.6484473772741803E-2</v>
      </c>
      <c r="I1294">
        <v>6.648447377274215E-2</v>
      </c>
    </row>
    <row r="1295" spans="1:9" x14ac:dyDescent="0.25">
      <c r="A1295">
        <v>236</v>
      </c>
      <c r="B1295" t="s">
        <v>778</v>
      </c>
      <c r="C1295" t="s">
        <v>48</v>
      </c>
      <c r="D1295" t="s">
        <v>790</v>
      </c>
      <c r="E1295">
        <f t="shared" si="49"/>
        <v>1.2658227848101266E-2</v>
      </c>
      <c r="F1295">
        <v>1</v>
      </c>
      <c r="G1295">
        <f>LOG(382/(1+1))</f>
        <v>2.2810333672477277</v>
      </c>
      <c r="H1295">
        <f>0.0126582278481012*5.25227342804663</f>
        <v>6.6484473772741803E-2</v>
      </c>
      <c r="I1295">
        <v>6.648447377274215E-2</v>
      </c>
    </row>
    <row r="1296" spans="1:9" x14ac:dyDescent="0.25">
      <c r="A1296">
        <v>236</v>
      </c>
      <c r="B1296" t="s">
        <v>778</v>
      </c>
      <c r="C1296" t="s">
        <v>48</v>
      </c>
      <c r="D1296" t="s">
        <v>791</v>
      </c>
      <c r="E1296">
        <f t="shared" si="49"/>
        <v>1.2658227848101266E-2</v>
      </c>
      <c r="F1296">
        <v>1</v>
      </c>
      <c r="G1296">
        <f>LOG(382/(1+1))</f>
        <v>2.2810333672477277</v>
      </c>
      <c r="H1296">
        <f>0.0126582278481012*5.25227342804663</f>
        <v>6.6484473772741803E-2</v>
      </c>
      <c r="I1296">
        <v>6.648447377274215E-2</v>
      </c>
    </row>
    <row r="1297" spans="1:9" x14ac:dyDescent="0.25">
      <c r="A1297">
        <v>236</v>
      </c>
      <c r="B1297" t="s">
        <v>778</v>
      </c>
      <c r="C1297" t="s">
        <v>48</v>
      </c>
      <c r="D1297" t="s">
        <v>792</v>
      </c>
      <c r="E1297">
        <f t="shared" si="49"/>
        <v>1.2658227848101266E-2</v>
      </c>
      <c r="F1297">
        <v>1</v>
      </c>
      <c r="G1297">
        <f>LOG(382/(1+1))</f>
        <v>2.2810333672477277</v>
      </c>
      <c r="H1297">
        <f>0.0126582278481012*5.25227342804663</f>
        <v>6.6484473772741803E-2</v>
      </c>
      <c r="I1297">
        <v>6.648447377274215E-2</v>
      </c>
    </row>
    <row r="1298" spans="1:9" x14ac:dyDescent="0.25">
      <c r="A1298">
        <v>236</v>
      </c>
      <c r="B1298" t="s">
        <v>778</v>
      </c>
      <c r="C1298" t="s">
        <v>48</v>
      </c>
      <c r="D1298" t="s">
        <v>793</v>
      </c>
      <c r="E1298">
        <f t="shared" si="49"/>
        <v>1.2658227848101266E-2</v>
      </c>
      <c r="F1298">
        <v>2</v>
      </c>
      <c r="G1298">
        <f>LOG(382/(2+1))</f>
        <v>2.1049421081920463</v>
      </c>
      <c r="H1298">
        <f>0.0126582278481012*4.84680831993846</f>
        <v>6.1352004049853602E-2</v>
      </c>
      <c r="I1298">
        <v>6.1352004049853991E-2</v>
      </c>
    </row>
    <row r="1299" spans="1:9" x14ac:dyDescent="0.25">
      <c r="A1299">
        <v>236</v>
      </c>
      <c r="B1299" t="s">
        <v>778</v>
      </c>
      <c r="C1299" t="s">
        <v>48</v>
      </c>
      <c r="D1299" t="s">
        <v>739</v>
      </c>
      <c r="E1299">
        <f t="shared" si="49"/>
        <v>1.2658227848101266E-2</v>
      </c>
      <c r="F1299">
        <v>24</v>
      </c>
      <c r="G1299">
        <f>LOG(382/(24+1))</f>
        <v>1.1841233542396712</v>
      </c>
      <c r="H1299">
        <f>0.0126582278481012*2.72654478373837</f>
        <v>3.4513225110612097E-2</v>
      </c>
      <c r="I1299">
        <v>3.4513225110612333E-2</v>
      </c>
    </row>
    <row r="1300" spans="1:9" x14ac:dyDescent="0.25">
      <c r="A1300">
        <v>236</v>
      </c>
      <c r="B1300" t="s">
        <v>778</v>
      </c>
      <c r="C1300" t="s">
        <v>48</v>
      </c>
      <c r="D1300" t="s">
        <v>794</v>
      </c>
      <c r="E1300">
        <f t="shared" si="49"/>
        <v>1.2658227848101266E-2</v>
      </c>
      <c r="F1300">
        <v>2</v>
      </c>
      <c r="G1300">
        <f>LOG(382/(2+1))</f>
        <v>2.1049421081920463</v>
      </c>
      <c r="H1300">
        <f>0.0126582278481012*4.84680831993846</f>
        <v>6.1352004049853602E-2</v>
      </c>
      <c r="I1300">
        <v>6.1352004049853991E-2</v>
      </c>
    </row>
    <row r="1301" spans="1:9" x14ac:dyDescent="0.25">
      <c r="A1301">
        <v>236</v>
      </c>
      <c r="B1301" t="s">
        <v>778</v>
      </c>
      <c r="C1301" t="s">
        <v>48</v>
      </c>
      <c r="D1301" t="s">
        <v>795</v>
      </c>
      <c r="E1301">
        <f t="shared" si="49"/>
        <v>1.2658227848101266E-2</v>
      </c>
      <c r="F1301">
        <v>2</v>
      </c>
      <c r="G1301">
        <f>LOG(382/(2+1))</f>
        <v>2.1049421081920463</v>
      </c>
      <c r="H1301">
        <f>0.0126582278481012*4.84680831993846</f>
        <v>6.1352004049853602E-2</v>
      </c>
      <c r="I1301">
        <v>6.1352004049853991E-2</v>
      </c>
    </row>
    <row r="1302" spans="1:9" x14ac:dyDescent="0.25">
      <c r="A1302">
        <v>236</v>
      </c>
      <c r="B1302" t="s">
        <v>778</v>
      </c>
      <c r="C1302" t="s">
        <v>48</v>
      </c>
      <c r="D1302" t="s">
        <v>42</v>
      </c>
      <c r="E1302">
        <f t="shared" si="49"/>
        <v>1.2658227848101266E-2</v>
      </c>
      <c r="F1302">
        <v>251</v>
      </c>
      <c r="G1302">
        <f>LOG(382/(251+1))</f>
        <v>0.18066282213016463</v>
      </c>
      <c r="H1302">
        <f>0.0126582278481012*0.415991521095151</f>
        <v>5.2657154569006178E-3</v>
      </c>
      <c r="I1302">
        <v>5.265715456900656E-3</v>
      </c>
    </row>
    <row r="1303" spans="1:9" x14ac:dyDescent="0.25">
      <c r="A1303">
        <v>236</v>
      </c>
      <c r="B1303" t="s">
        <v>778</v>
      </c>
      <c r="C1303" t="s">
        <v>48</v>
      </c>
      <c r="D1303" t="s">
        <v>157</v>
      </c>
      <c r="E1303">
        <f t="shared" si="49"/>
        <v>1.2658227848101266E-2</v>
      </c>
      <c r="F1303">
        <v>16</v>
      </c>
      <c r="G1303">
        <f>LOG(382/(16+1))</f>
        <v>1.3516144415334348</v>
      </c>
      <c r="H1303">
        <f>0.0126582278481012*3.11220726455035</f>
        <v>3.9395028665194093E-2</v>
      </c>
      <c r="I1303">
        <v>3.9395028665194419E-2</v>
      </c>
    </row>
    <row r="1304" spans="1:9" x14ac:dyDescent="0.25">
      <c r="A1304">
        <v>236</v>
      </c>
      <c r="B1304" t="s">
        <v>778</v>
      </c>
      <c r="C1304" t="s">
        <v>48</v>
      </c>
      <c r="D1304" t="s">
        <v>169</v>
      </c>
      <c r="E1304">
        <f t="shared" si="49"/>
        <v>1.2658227848101266E-2</v>
      </c>
      <c r="F1304">
        <v>8</v>
      </c>
      <c r="G1304">
        <f>LOG(382/(8+1))</f>
        <v>1.6278208534723839</v>
      </c>
      <c r="H1304">
        <f>0.0126582278481012*3.74819603127035</f>
        <v>4.7445519383168738E-2</v>
      </c>
      <c r="I1304">
        <v>4.7445519383169057E-2</v>
      </c>
    </row>
    <row r="1305" spans="1:9" x14ac:dyDescent="0.25">
      <c r="A1305">
        <v>236</v>
      </c>
      <c r="B1305" t="s">
        <v>778</v>
      </c>
      <c r="C1305" t="s">
        <v>48</v>
      </c>
      <c r="D1305" t="s">
        <v>19</v>
      </c>
      <c r="E1305">
        <f t="shared" si="49"/>
        <v>1.2658227848101266E-2</v>
      </c>
      <c r="F1305">
        <v>220</v>
      </c>
      <c r="G1305">
        <f>LOG(382/(220+1))</f>
        <v>0.23767108922659805</v>
      </c>
      <c r="H1305">
        <f>0.0126582278481012*0.547257907088822</f>
        <v>6.9273152796053058E-3</v>
      </c>
      <c r="I1305">
        <v>6.9273152796053474E-3</v>
      </c>
    </row>
    <row r="1306" spans="1:9" x14ac:dyDescent="0.25">
      <c r="A1306">
        <v>236</v>
      </c>
      <c r="B1306" t="s">
        <v>778</v>
      </c>
      <c r="C1306" t="s">
        <v>48</v>
      </c>
      <c r="D1306" t="s">
        <v>195</v>
      </c>
      <c r="E1306">
        <f t="shared" si="49"/>
        <v>1.2658227848101266E-2</v>
      </c>
      <c r="F1306">
        <v>55</v>
      </c>
      <c r="G1306">
        <f>LOG(382/(55+1))</f>
        <v>0.83387533590550833</v>
      </c>
      <c r="H1306">
        <f>0.0126582278481012*1.92006891787142</f>
        <v>2.4304669846473545E-2</v>
      </c>
      <c r="I1306">
        <v>2.430466984647375E-2</v>
      </c>
    </row>
    <row r="1307" spans="1:9" x14ac:dyDescent="0.25">
      <c r="A1307">
        <v>236</v>
      </c>
      <c r="B1307" t="s">
        <v>778</v>
      </c>
      <c r="C1307" t="s">
        <v>48</v>
      </c>
      <c r="D1307" t="s">
        <v>22</v>
      </c>
      <c r="E1307">
        <f t="shared" si="49"/>
        <v>1.2658227848101266E-2</v>
      </c>
      <c r="F1307">
        <v>259</v>
      </c>
      <c r="G1307">
        <f>LOG(382/(259+1))</f>
        <v>0.16709001494089079</v>
      </c>
      <c r="H1307">
        <f>0.0126582278481012*0.384738977591047</f>
        <v>4.8701136403929753E-3</v>
      </c>
      <c r="I1307">
        <v>4.8701136403930074E-3</v>
      </c>
    </row>
    <row r="1308" spans="1:9" x14ac:dyDescent="0.25">
      <c r="A1308">
        <v>236</v>
      </c>
      <c r="B1308" t="s">
        <v>778</v>
      </c>
      <c r="C1308" t="s">
        <v>48</v>
      </c>
      <c r="D1308" t="s">
        <v>23</v>
      </c>
      <c r="E1308">
        <f t="shared" si="49"/>
        <v>1.2658227848101266E-2</v>
      </c>
      <c r="F1308">
        <v>275</v>
      </c>
      <c r="G1308">
        <f>LOG(382/(275+1))</f>
        <v>0.14115428084649101</v>
      </c>
      <c r="H1308">
        <f>0.0126582278481012*0.325019742889425</f>
        <v>4.1141739606256108E-3</v>
      </c>
      <c r="I1308">
        <v>4.1141739606256351E-3</v>
      </c>
    </row>
    <row r="1309" spans="1:9" x14ac:dyDescent="0.25">
      <c r="A1309">
        <v>236</v>
      </c>
      <c r="B1309" t="s">
        <v>778</v>
      </c>
      <c r="C1309" t="s">
        <v>48</v>
      </c>
      <c r="D1309" t="s">
        <v>263</v>
      </c>
      <c r="E1309">
        <f>3/79</f>
        <v>3.7974683544303799E-2</v>
      </c>
      <c r="F1309">
        <v>41</v>
      </c>
      <c r="G1309">
        <f>LOG(382/(41+1))</f>
        <v>0.95881407251380824</v>
      </c>
      <c r="H1309">
        <f>0.0379746835443038*2.2077509903232</f>
        <v>8.3838645202146844E-2</v>
      </c>
      <c r="I1309">
        <v>8.3838645202147094E-2</v>
      </c>
    </row>
    <row r="1310" spans="1:9" x14ac:dyDescent="0.25">
      <c r="A1310">
        <v>236</v>
      </c>
      <c r="B1310" t="s">
        <v>778</v>
      </c>
      <c r="C1310" t="s">
        <v>48</v>
      </c>
      <c r="D1310" t="s">
        <v>384</v>
      </c>
      <c r="E1310">
        <f t="shared" ref="E1310:E1315" si="50">1/79</f>
        <v>1.2658227848101266E-2</v>
      </c>
      <c r="F1310">
        <v>5</v>
      </c>
      <c r="G1310">
        <f>LOG(382/(5+1))</f>
        <v>1.803912112528065</v>
      </c>
      <c r="H1310">
        <f>0.0126582278481012*4.15366113937852</f>
        <v>5.257798910605694E-2</v>
      </c>
      <c r="I1310">
        <v>5.257798910605721E-2</v>
      </c>
    </row>
    <row r="1311" spans="1:9" x14ac:dyDescent="0.25">
      <c r="A1311">
        <v>236</v>
      </c>
      <c r="B1311" t="s">
        <v>778</v>
      </c>
      <c r="C1311" t="s">
        <v>48</v>
      </c>
      <c r="D1311" t="s">
        <v>640</v>
      </c>
      <c r="E1311">
        <f t="shared" si="50"/>
        <v>1.2658227848101266E-2</v>
      </c>
      <c r="F1311">
        <v>2</v>
      </c>
      <c r="G1311">
        <f>LOG(382/(2+1))</f>
        <v>2.1049421081920463</v>
      </c>
      <c r="H1311">
        <f>0.0126582278481012*4.84680831993846</f>
        <v>6.1352004049853602E-2</v>
      </c>
      <c r="I1311">
        <v>6.1352004049853991E-2</v>
      </c>
    </row>
    <row r="1312" spans="1:9" x14ac:dyDescent="0.25">
      <c r="A1312">
        <v>236</v>
      </c>
      <c r="B1312" t="s">
        <v>778</v>
      </c>
      <c r="C1312" t="s">
        <v>48</v>
      </c>
      <c r="D1312" t="s">
        <v>796</v>
      </c>
      <c r="E1312">
        <f t="shared" si="50"/>
        <v>1.2658227848101266E-2</v>
      </c>
      <c r="F1312">
        <v>1</v>
      </c>
      <c r="G1312">
        <f>LOG(382/(1+1))</f>
        <v>2.2810333672477277</v>
      </c>
      <c r="H1312">
        <f>0.0126582278481012*5.25227342804663</f>
        <v>6.6484473772741803E-2</v>
      </c>
      <c r="I1312">
        <v>6.648447377274215E-2</v>
      </c>
    </row>
    <row r="1313" spans="1:9" x14ac:dyDescent="0.25">
      <c r="A1313">
        <v>236</v>
      </c>
      <c r="B1313" t="s">
        <v>778</v>
      </c>
      <c r="C1313" t="s">
        <v>48</v>
      </c>
      <c r="D1313" t="s">
        <v>797</v>
      </c>
      <c r="E1313">
        <f t="shared" si="50"/>
        <v>1.2658227848101266E-2</v>
      </c>
      <c r="F1313">
        <v>3</v>
      </c>
      <c r="G1313">
        <f>LOG(382/(3+1))</f>
        <v>1.9800033715837464</v>
      </c>
      <c r="H1313">
        <f>0.0126582278481012*4.55912624748668</f>
        <v>5.7710458828945016E-2</v>
      </c>
      <c r="I1313">
        <v>5.771045882894537E-2</v>
      </c>
    </row>
    <row r="1314" spans="1:9" x14ac:dyDescent="0.25">
      <c r="A1314">
        <v>236</v>
      </c>
      <c r="B1314" t="s">
        <v>778</v>
      </c>
      <c r="C1314" t="s">
        <v>48</v>
      </c>
      <c r="D1314" t="s">
        <v>798</v>
      </c>
      <c r="E1314">
        <f t="shared" si="50"/>
        <v>1.2658227848101266E-2</v>
      </c>
      <c r="F1314">
        <v>1</v>
      </c>
      <c r="G1314">
        <f>LOG(382/(1+1))</f>
        <v>2.2810333672477277</v>
      </c>
      <c r="H1314">
        <f>0.0126582278481012*5.25227342804663</f>
        <v>6.6484473772741803E-2</v>
      </c>
      <c r="I1314">
        <v>6.648447377274215E-2</v>
      </c>
    </row>
    <row r="1315" spans="1:9" x14ac:dyDescent="0.25">
      <c r="A1315">
        <v>236</v>
      </c>
      <c r="B1315" t="s">
        <v>778</v>
      </c>
      <c r="C1315" t="s">
        <v>48</v>
      </c>
      <c r="D1315" t="s">
        <v>799</v>
      </c>
      <c r="E1315">
        <f t="shared" si="50"/>
        <v>1.2658227848101266E-2</v>
      </c>
      <c r="F1315">
        <v>8</v>
      </c>
      <c r="G1315">
        <f>LOG(382/(8+1))</f>
        <v>1.6278208534723839</v>
      </c>
      <c r="H1315">
        <f>0.0126582278481012*3.74819603127035</f>
        <v>4.7445519383168738E-2</v>
      </c>
      <c r="I1315">
        <v>4.7445519383169057E-2</v>
      </c>
    </row>
    <row r="1316" spans="1:9" x14ac:dyDescent="0.25">
      <c r="A1316">
        <v>236</v>
      </c>
      <c r="B1316" t="s">
        <v>778</v>
      </c>
      <c r="C1316" t="s">
        <v>48</v>
      </c>
      <c r="D1316" t="s">
        <v>333</v>
      </c>
      <c r="E1316">
        <f>2/79</f>
        <v>2.5316455696202531E-2</v>
      </c>
      <c r="F1316">
        <v>9</v>
      </c>
      <c r="G1316">
        <f>LOG(382/(9+1))</f>
        <v>1.5820633629117087</v>
      </c>
      <c r="H1316">
        <f>0.0253164556962025*3.64283551561252</f>
        <v>9.2223683939557349E-2</v>
      </c>
      <c r="I1316">
        <v>9.222368393955771E-2</v>
      </c>
    </row>
    <row r="1317" spans="1:9" x14ac:dyDescent="0.25">
      <c r="A1317">
        <v>236</v>
      </c>
      <c r="B1317" t="s">
        <v>778</v>
      </c>
      <c r="C1317" t="s">
        <v>48</v>
      </c>
      <c r="D1317" t="s">
        <v>416</v>
      </c>
      <c r="E1317">
        <f>1/79</f>
        <v>1.2658227848101266E-2</v>
      </c>
      <c r="F1317">
        <v>5</v>
      </c>
      <c r="G1317">
        <f>LOG(382/(5+1))</f>
        <v>1.803912112528065</v>
      </c>
      <c r="H1317">
        <f>0.0126582278481012*4.15366113937852</f>
        <v>5.257798910605694E-2</v>
      </c>
      <c r="I1317">
        <v>5.257798910605721E-2</v>
      </c>
    </row>
    <row r="1318" spans="1:9" x14ac:dyDescent="0.25">
      <c r="A1318">
        <v>236</v>
      </c>
      <c r="B1318" t="s">
        <v>778</v>
      </c>
      <c r="C1318" t="s">
        <v>48</v>
      </c>
      <c r="D1318" t="s">
        <v>272</v>
      </c>
      <c r="E1318">
        <f>1/79</f>
        <v>1.2658227848101266E-2</v>
      </c>
      <c r="F1318">
        <v>17</v>
      </c>
      <c r="G1318">
        <f>LOG(382/(17+1))</f>
        <v>1.3267908578084027</v>
      </c>
      <c r="H1318">
        <f>0.0126582278481012*3.05504885071041</f>
        <v>3.8671504439372076E-2</v>
      </c>
      <c r="I1318">
        <v>3.8671504439372277E-2</v>
      </c>
    </row>
    <row r="1319" spans="1:9" x14ac:dyDescent="0.25">
      <c r="A1319">
        <v>236</v>
      </c>
      <c r="B1319" t="s">
        <v>778</v>
      </c>
      <c r="C1319" t="s">
        <v>48</v>
      </c>
      <c r="D1319" t="s">
        <v>800</v>
      </c>
      <c r="E1319">
        <f>2/79</f>
        <v>2.5316455696202531E-2</v>
      </c>
      <c r="F1319">
        <v>1</v>
      </c>
      <c r="G1319">
        <f>LOG(382/(1+1))</f>
        <v>2.2810333672477277</v>
      </c>
      <c r="H1319">
        <f>0.0253164556962025*5.25227342804663</f>
        <v>0.13296894754548413</v>
      </c>
      <c r="I1319">
        <v>0.1329689475454843</v>
      </c>
    </row>
    <row r="1320" spans="1:9" x14ac:dyDescent="0.25">
      <c r="A1320">
        <v>236</v>
      </c>
      <c r="B1320" t="s">
        <v>778</v>
      </c>
      <c r="C1320" t="s">
        <v>48</v>
      </c>
      <c r="D1320" t="s">
        <v>801</v>
      </c>
      <c r="E1320">
        <f t="shared" ref="E1320:E1330" si="51">1/79</f>
        <v>1.2658227848101266E-2</v>
      </c>
      <c r="F1320">
        <v>1</v>
      </c>
      <c r="G1320">
        <f>LOG(382/(1+1))</f>
        <v>2.2810333672477277</v>
      </c>
      <c r="H1320">
        <f>0.0126582278481012*5.25227342804663</f>
        <v>6.6484473772741803E-2</v>
      </c>
      <c r="I1320">
        <v>6.648447377274215E-2</v>
      </c>
    </row>
    <row r="1321" spans="1:9" x14ac:dyDescent="0.25">
      <c r="A1321">
        <v>236</v>
      </c>
      <c r="B1321" t="s">
        <v>778</v>
      </c>
      <c r="C1321" t="s">
        <v>48</v>
      </c>
      <c r="D1321" t="s">
        <v>802</v>
      </c>
      <c r="E1321">
        <f t="shared" si="51"/>
        <v>1.2658227848101266E-2</v>
      </c>
      <c r="F1321">
        <v>1</v>
      </c>
      <c r="G1321">
        <f>LOG(382/(1+1))</f>
        <v>2.2810333672477277</v>
      </c>
      <c r="H1321">
        <f>0.0126582278481012*5.25227342804663</f>
        <v>6.6484473772741803E-2</v>
      </c>
      <c r="I1321">
        <v>6.648447377274215E-2</v>
      </c>
    </row>
    <row r="1322" spans="1:9" x14ac:dyDescent="0.25">
      <c r="A1322">
        <v>236</v>
      </c>
      <c r="B1322" t="s">
        <v>778</v>
      </c>
      <c r="C1322" t="s">
        <v>48</v>
      </c>
      <c r="D1322" t="s">
        <v>803</v>
      </c>
      <c r="E1322">
        <f t="shared" si="51"/>
        <v>1.2658227848101266E-2</v>
      </c>
      <c r="F1322">
        <v>3</v>
      </c>
      <c r="G1322">
        <f>LOG(382/(3+1))</f>
        <v>1.9800033715837464</v>
      </c>
      <c r="H1322">
        <f>0.0126582278481012*4.55912624748668</f>
        <v>5.7710458828945016E-2</v>
      </c>
      <c r="I1322">
        <v>5.771045882894537E-2</v>
      </c>
    </row>
    <row r="1323" spans="1:9" x14ac:dyDescent="0.25">
      <c r="A1323">
        <v>236</v>
      </c>
      <c r="B1323" t="s">
        <v>778</v>
      </c>
      <c r="C1323" t="s">
        <v>48</v>
      </c>
      <c r="D1323" t="s">
        <v>765</v>
      </c>
      <c r="E1323">
        <f t="shared" si="51"/>
        <v>1.2658227848101266E-2</v>
      </c>
      <c r="F1323">
        <v>44</v>
      </c>
      <c r="G1323">
        <f>LOG(382/(44+1))</f>
        <v>0.92885084913636506</v>
      </c>
      <c r="H1323">
        <f>0.0126582278481012*2.13875811883625</f>
        <v>2.7072887580205554E-2</v>
      </c>
      <c r="I1323">
        <v>2.7072887580205759E-2</v>
      </c>
    </row>
    <row r="1324" spans="1:9" x14ac:dyDescent="0.25">
      <c r="A1324">
        <v>236</v>
      </c>
      <c r="B1324" t="s">
        <v>778</v>
      </c>
      <c r="C1324" t="s">
        <v>48</v>
      </c>
      <c r="D1324" t="s">
        <v>804</v>
      </c>
      <c r="E1324">
        <f t="shared" si="51"/>
        <v>1.2658227848101266E-2</v>
      </c>
      <c r="F1324">
        <v>4</v>
      </c>
      <c r="G1324">
        <f>LOG(382/(4+1))</f>
        <v>1.8830933585756899</v>
      </c>
      <c r="H1324">
        <f>0.0126582278481012*4.33598269617247</f>
        <v>5.4885856913575289E-2</v>
      </c>
      <c r="I1324">
        <v>5.4885856913575629E-2</v>
      </c>
    </row>
    <row r="1325" spans="1:9" x14ac:dyDescent="0.25">
      <c r="A1325">
        <v>236</v>
      </c>
      <c r="B1325" t="s">
        <v>778</v>
      </c>
      <c r="C1325" t="s">
        <v>48</v>
      </c>
      <c r="D1325" t="s">
        <v>805</v>
      </c>
      <c r="E1325">
        <f t="shared" si="51"/>
        <v>1.2658227848101266E-2</v>
      </c>
      <c r="F1325">
        <v>19</v>
      </c>
      <c r="G1325">
        <f>LOG(382/(19+1))</f>
        <v>1.2810333672477277</v>
      </c>
      <c r="H1325">
        <f>0.0126582278481012*2.94968833505258</f>
        <v>3.7337827025981832E-2</v>
      </c>
      <c r="I1325">
        <v>3.7337827025982082E-2</v>
      </c>
    </row>
    <row r="1326" spans="1:9" x14ac:dyDescent="0.25">
      <c r="A1326">
        <v>236</v>
      </c>
      <c r="B1326" t="s">
        <v>778</v>
      </c>
      <c r="C1326" t="s">
        <v>48</v>
      </c>
      <c r="D1326" t="s">
        <v>11</v>
      </c>
      <c r="E1326">
        <f t="shared" si="51"/>
        <v>1.2658227848101266E-2</v>
      </c>
      <c r="F1326">
        <v>83</v>
      </c>
      <c r="G1326">
        <f>LOG(382/(83+1))</f>
        <v>0.65778407684982709</v>
      </c>
      <c r="H1326">
        <f>0.0126582278481012*1.51460380976326</f>
        <v>1.9172200123585469E-2</v>
      </c>
      <c r="I1326">
        <v>1.917220012358559E-2</v>
      </c>
    </row>
    <row r="1327" spans="1:9" x14ac:dyDescent="0.25">
      <c r="A1327">
        <v>236</v>
      </c>
      <c r="B1327" t="s">
        <v>778</v>
      </c>
      <c r="C1327" t="s">
        <v>48</v>
      </c>
      <c r="D1327" t="s">
        <v>243</v>
      </c>
      <c r="E1327">
        <f t="shared" si="51"/>
        <v>1.2658227848101266E-2</v>
      </c>
      <c r="F1327">
        <v>131</v>
      </c>
      <c r="G1327">
        <f>LOG(382/(131+1))</f>
        <v>0.46148943170585888</v>
      </c>
      <c r="H1327">
        <f>0.0126582278481012*1.0626186860202</f>
        <v>1.34508694432936E-2</v>
      </c>
      <c r="I1327">
        <v>1.3450869443293731E-2</v>
      </c>
    </row>
    <row r="1328" spans="1:9" x14ac:dyDescent="0.25">
      <c r="A1328">
        <v>236</v>
      </c>
      <c r="B1328" t="s">
        <v>778</v>
      </c>
      <c r="C1328" t="s">
        <v>48</v>
      </c>
      <c r="D1328" t="s">
        <v>124</v>
      </c>
      <c r="E1328">
        <f t="shared" si="51"/>
        <v>1.2658227848101266E-2</v>
      </c>
      <c r="F1328">
        <v>9</v>
      </c>
      <c r="G1328">
        <f>LOG(382/(9+1))</f>
        <v>1.5820633629117087</v>
      </c>
      <c r="H1328">
        <f>0.0126582278481012*3.64283551561252</f>
        <v>4.6111841969778494E-2</v>
      </c>
      <c r="I1328">
        <v>4.6111841969778862E-2</v>
      </c>
    </row>
    <row r="1329" spans="1:9" x14ac:dyDescent="0.25">
      <c r="A1329">
        <v>236</v>
      </c>
      <c r="B1329" t="s">
        <v>778</v>
      </c>
      <c r="C1329" t="s">
        <v>48</v>
      </c>
      <c r="D1329" t="s">
        <v>342</v>
      </c>
      <c r="E1329">
        <f t="shared" si="51"/>
        <v>1.2658227848101266E-2</v>
      </c>
      <c r="F1329">
        <v>35</v>
      </c>
      <c r="G1329">
        <f>LOG(382/(35+1))</f>
        <v>1.0257608621444214</v>
      </c>
      <c r="H1329">
        <f>0.0126582278481012*2.36190167015046</f>
        <v>2.9897489495575288E-2</v>
      </c>
      <c r="I1329">
        <v>2.98974894955755E-2</v>
      </c>
    </row>
    <row r="1330" spans="1:9" x14ac:dyDescent="0.25">
      <c r="A1330">
        <v>236</v>
      </c>
      <c r="B1330" t="s">
        <v>778</v>
      </c>
      <c r="C1330" t="s">
        <v>48</v>
      </c>
      <c r="D1330" t="s">
        <v>705</v>
      </c>
      <c r="E1330">
        <f t="shared" si="51"/>
        <v>1.2658227848101266E-2</v>
      </c>
      <c r="F1330">
        <v>8</v>
      </c>
      <c r="G1330">
        <f>LOG(382/(8+1))</f>
        <v>1.6278208534723839</v>
      </c>
      <c r="H1330">
        <f>0.0126582278481012*3.74819603127035</f>
        <v>4.7445519383168738E-2</v>
      </c>
      <c r="I1330">
        <v>4.7445519383169057E-2</v>
      </c>
    </row>
    <row r="1331" spans="1:9" x14ac:dyDescent="0.25">
      <c r="A1331">
        <v>238</v>
      </c>
      <c r="B1331" t="s">
        <v>806</v>
      </c>
      <c r="C1331" t="s">
        <v>48</v>
      </c>
      <c r="D1331" t="s">
        <v>90</v>
      </c>
      <c r="E1331">
        <f>3/36</f>
        <v>8.3333333333333329E-2</v>
      </c>
      <c r="F1331">
        <v>13</v>
      </c>
      <c r="G1331">
        <f>LOG(382/(13+1))</f>
        <v>1.4359353272334707</v>
      </c>
      <c r="H1331">
        <f>0.0833333333333333*3.30636327899131</f>
        <v>0.27553027324927576</v>
      </c>
      <c r="I1331">
        <v>0.27553027324927643</v>
      </c>
    </row>
    <row r="1332" spans="1:9" x14ac:dyDescent="0.25">
      <c r="A1332">
        <v>238</v>
      </c>
      <c r="B1332" t="s">
        <v>806</v>
      </c>
      <c r="C1332" t="s">
        <v>48</v>
      </c>
      <c r="D1332" t="s">
        <v>193</v>
      </c>
      <c r="E1332">
        <f>5/36</f>
        <v>0.1388888888888889</v>
      </c>
      <c r="F1332">
        <v>10</v>
      </c>
      <c r="G1332">
        <f>LOG(382/(10+1))</f>
        <v>1.5406706777534838</v>
      </c>
      <c r="H1332">
        <f>0.138888888888888*3.5475253358082</f>
        <v>0.49271185219558022</v>
      </c>
      <c r="I1332">
        <v>0.492711852195584</v>
      </c>
    </row>
    <row r="1333" spans="1:9" x14ac:dyDescent="0.25">
      <c r="A1333">
        <v>238</v>
      </c>
      <c r="B1333" t="s">
        <v>806</v>
      </c>
      <c r="C1333" t="s">
        <v>48</v>
      </c>
      <c r="D1333" t="s">
        <v>807</v>
      </c>
      <c r="E1333">
        <f>3/36</f>
        <v>8.3333333333333329E-2</v>
      </c>
      <c r="F1333">
        <v>1</v>
      </c>
      <c r="G1333">
        <f>LOG(382/(1+1))</f>
        <v>2.2810333672477277</v>
      </c>
      <c r="H1333">
        <f>0.0833333333333333*5.25227342804663</f>
        <v>0.43768945233721901</v>
      </c>
      <c r="I1333">
        <v>0.43768945233721912</v>
      </c>
    </row>
    <row r="1334" spans="1:9" x14ac:dyDescent="0.25">
      <c r="A1334">
        <v>238</v>
      </c>
      <c r="B1334" t="s">
        <v>806</v>
      </c>
      <c r="C1334" t="s">
        <v>48</v>
      </c>
      <c r="D1334" t="s">
        <v>183</v>
      </c>
      <c r="E1334">
        <f>4/36</f>
        <v>0.1111111111111111</v>
      </c>
      <c r="F1334">
        <v>46</v>
      </c>
      <c r="G1334">
        <f>LOG(382/(46+1))</f>
        <v>0.90996550497599127</v>
      </c>
      <c r="H1334">
        <f>0.111111111111111*2.09527300689651</f>
        <v>0.23280811187738978</v>
      </c>
      <c r="I1334">
        <v>0.2328081118773907</v>
      </c>
    </row>
    <row r="1335" spans="1:9" x14ac:dyDescent="0.25">
      <c r="A1335">
        <v>238</v>
      </c>
      <c r="B1335" t="s">
        <v>806</v>
      </c>
      <c r="C1335" t="s">
        <v>48</v>
      </c>
      <c r="D1335" t="s">
        <v>247</v>
      </c>
      <c r="E1335">
        <f>2/36</f>
        <v>5.5555555555555552E-2</v>
      </c>
      <c r="F1335">
        <v>121</v>
      </c>
      <c r="G1335">
        <f>LOG(382/(121+1))</f>
        <v>0.49570353223696051</v>
      </c>
      <c r="H1335">
        <f>0.0555555555555555*1.14139956387331</f>
        <v>6.3411086881850501E-2</v>
      </c>
      <c r="I1335">
        <v>6.3411086881851042E-2</v>
      </c>
    </row>
    <row r="1336" spans="1:9" x14ac:dyDescent="0.25">
      <c r="A1336">
        <v>238</v>
      </c>
      <c r="B1336" t="s">
        <v>806</v>
      </c>
      <c r="C1336" t="s">
        <v>48</v>
      </c>
      <c r="D1336" t="s">
        <v>39</v>
      </c>
      <c r="E1336">
        <f>1/36</f>
        <v>2.7777777777777776E-2</v>
      </c>
      <c r="F1336">
        <v>145</v>
      </c>
      <c r="G1336">
        <f>LOG(382/(145+1))</f>
        <v>0.41771050712727159</v>
      </c>
      <c r="H1336">
        <f>0.0277777777777777*0.961813986898238</f>
        <v>2.6717055191617649E-2</v>
      </c>
      <c r="I1336">
        <v>2.6717055191617739E-2</v>
      </c>
    </row>
    <row r="1337" spans="1:9" x14ac:dyDescent="0.25">
      <c r="A1337">
        <v>238</v>
      </c>
      <c r="B1337" t="s">
        <v>806</v>
      </c>
      <c r="C1337" t="s">
        <v>48</v>
      </c>
      <c r="D1337" t="s">
        <v>53</v>
      </c>
      <c r="E1337">
        <f>2/36</f>
        <v>5.5555555555555552E-2</v>
      </c>
      <c r="F1337">
        <v>57</v>
      </c>
      <c r="G1337">
        <f>LOG(382/(57+1))</f>
        <v>0.81863536934877146</v>
      </c>
      <c r="H1337">
        <f>0.0555555555555555*1.88497759806015</f>
        <v>0.10472097767000822</v>
      </c>
      <c r="I1337">
        <v>0.10472097767000869</v>
      </c>
    </row>
    <row r="1338" spans="1:9" x14ac:dyDescent="0.25">
      <c r="A1338">
        <v>238</v>
      </c>
      <c r="B1338" t="s">
        <v>806</v>
      </c>
      <c r="C1338" t="s">
        <v>48</v>
      </c>
      <c r="D1338" t="s">
        <v>19</v>
      </c>
      <c r="E1338">
        <f t="shared" ref="E1338:E1348" si="52">1/36</f>
        <v>2.7777777777777776E-2</v>
      </c>
      <c r="F1338">
        <v>220</v>
      </c>
      <c r="G1338">
        <f>LOG(382/(220+1))</f>
        <v>0.23767108922659805</v>
      </c>
      <c r="H1338">
        <f>0.0277777777777777*0.547257907088822</f>
        <v>1.5201608530245015E-2</v>
      </c>
      <c r="I1338">
        <v>1.520160853024507E-2</v>
      </c>
    </row>
    <row r="1339" spans="1:9" x14ac:dyDescent="0.25">
      <c r="A1339">
        <v>238</v>
      </c>
      <c r="B1339" t="s">
        <v>806</v>
      </c>
      <c r="C1339" t="s">
        <v>48</v>
      </c>
      <c r="D1339" t="s">
        <v>808</v>
      </c>
      <c r="E1339">
        <f t="shared" si="52"/>
        <v>2.7777777777777776E-2</v>
      </c>
      <c r="F1339">
        <v>20</v>
      </c>
      <c r="G1339">
        <f>LOG(382/(20+1))</f>
        <v>1.2598440681777894</v>
      </c>
      <c r="H1339">
        <f>0.0277777777777777*2.90089817088315</f>
        <v>8.0580504746753948E-2</v>
      </c>
      <c r="I1339">
        <v>8.0580504746754225E-2</v>
      </c>
    </row>
    <row r="1340" spans="1:9" x14ac:dyDescent="0.25">
      <c r="A1340">
        <v>238</v>
      </c>
      <c r="B1340" t="s">
        <v>806</v>
      </c>
      <c r="C1340" t="s">
        <v>48</v>
      </c>
      <c r="D1340" t="s">
        <v>809</v>
      </c>
      <c r="E1340">
        <f t="shared" si="52"/>
        <v>2.7777777777777776E-2</v>
      </c>
      <c r="F1340">
        <v>19</v>
      </c>
      <c r="G1340">
        <f>LOG(382/(19+1))</f>
        <v>1.2810333672477277</v>
      </c>
      <c r="H1340">
        <f>0.0277777777777777*2.94968833505258</f>
        <v>8.1935787084793654E-2</v>
      </c>
      <c r="I1340">
        <v>8.1935787084794001E-2</v>
      </c>
    </row>
    <row r="1341" spans="1:9" x14ac:dyDescent="0.25">
      <c r="A1341">
        <v>238</v>
      </c>
      <c r="B1341" t="s">
        <v>806</v>
      </c>
      <c r="C1341" t="s">
        <v>48</v>
      </c>
      <c r="D1341" t="s">
        <v>22</v>
      </c>
      <c r="E1341">
        <f t="shared" si="52"/>
        <v>2.7777777777777776E-2</v>
      </c>
      <c r="F1341">
        <v>259</v>
      </c>
      <c r="G1341">
        <f>LOG(382/(259+1))</f>
        <v>0.16709001494089079</v>
      </c>
      <c r="H1341">
        <f>0.0277777777777777*0.384738977591047</f>
        <v>1.0687193821973499E-2</v>
      </c>
      <c r="I1341">
        <v>1.0687193821973541E-2</v>
      </c>
    </row>
    <row r="1342" spans="1:9" x14ac:dyDescent="0.25">
      <c r="A1342">
        <v>238</v>
      </c>
      <c r="B1342" t="s">
        <v>806</v>
      </c>
      <c r="C1342" t="s">
        <v>48</v>
      </c>
      <c r="D1342" t="s">
        <v>23</v>
      </c>
      <c r="E1342">
        <f t="shared" si="52"/>
        <v>2.7777777777777776E-2</v>
      </c>
      <c r="F1342">
        <v>275</v>
      </c>
      <c r="G1342">
        <f>LOG(382/(275+1))</f>
        <v>0.14115428084649101</v>
      </c>
      <c r="H1342">
        <f>0.0277777777777777*0.325019742889425</f>
        <v>9.0283261913728912E-3</v>
      </c>
      <c r="I1342">
        <v>9.0283261913729207E-3</v>
      </c>
    </row>
    <row r="1343" spans="1:9" x14ac:dyDescent="0.25">
      <c r="A1343">
        <v>238</v>
      </c>
      <c r="B1343" t="s">
        <v>806</v>
      </c>
      <c r="C1343" t="s">
        <v>48</v>
      </c>
      <c r="D1343" t="s">
        <v>25</v>
      </c>
      <c r="E1343">
        <f t="shared" si="52"/>
        <v>2.7777777777777776E-2</v>
      </c>
      <c r="F1343">
        <v>106</v>
      </c>
      <c r="G1343">
        <f>LOG(382/(106+1))</f>
        <v>0.55267958522649907</v>
      </c>
      <c r="H1343">
        <f>0.0277777777777777*1.27259177414466</f>
        <v>3.5349771504018232E-2</v>
      </c>
      <c r="I1343">
        <v>3.5349771504018593E-2</v>
      </c>
    </row>
    <row r="1344" spans="1:9" x14ac:dyDescent="0.25">
      <c r="A1344">
        <v>238</v>
      </c>
      <c r="B1344" t="s">
        <v>806</v>
      </c>
      <c r="C1344" t="s">
        <v>48</v>
      </c>
      <c r="D1344" t="s">
        <v>810</v>
      </c>
      <c r="E1344">
        <f t="shared" si="52"/>
        <v>2.7777777777777776E-2</v>
      </c>
      <c r="F1344">
        <v>1</v>
      </c>
      <c r="G1344">
        <f>LOG(382/(1+1))</f>
        <v>2.2810333672477277</v>
      </c>
      <c r="H1344">
        <f>0.0277777777777777*5.25227342804663</f>
        <v>0.14589648411240597</v>
      </c>
      <c r="I1344">
        <v>0.14589648411240641</v>
      </c>
    </row>
    <row r="1345" spans="1:9" x14ac:dyDescent="0.25">
      <c r="A1345">
        <v>238</v>
      </c>
      <c r="B1345" t="s">
        <v>806</v>
      </c>
      <c r="C1345" t="s">
        <v>48</v>
      </c>
      <c r="D1345" t="s">
        <v>192</v>
      </c>
      <c r="E1345">
        <f t="shared" si="52"/>
        <v>2.7777777777777776E-2</v>
      </c>
      <c r="F1345">
        <v>5</v>
      </c>
      <c r="G1345">
        <f>LOG(382/(5+1))</f>
        <v>1.803912112528065</v>
      </c>
      <c r="H1345">
        <f>0.0277777777777777*4.15366113937852</f>
        <v>0.11537947609384745</v>
      </c>
      <c r="I1345">
        <v>0.1153794760938478</v>
      </c>
    </row>
    <row r="1346" spans="1:9" x14ac:dyDescent="0.25">
      <c r="A1346">
        <v>238</v>
      </c>
      <c r="B1346" t="s">
        <v>806</v>
      </c>
      <c r="C1346" t="s">
        <v>48</v>
      </c>
      <c r="D1346" t="s">
        <v>131</v>
      </c>
      <c r="E1346">
        <f t="shared" si="52"/>
        <v>2.7777777777777776E-2</v>
      </c>
      <c r="F1346">
        <v>38</v>
      </c>
      <c r="G1346">
        <f>LOG(382/(38+1))</f>
        <v>0.99099875588520958</v>
      </c>
      <c r="H1346">
        <f>0.0277777777777777*2.28185896247692</f>
        <v>6.3384971179914276E-2</v>
      </c>
      <c r="I1346">
        <v>6.3384971179914693E-2</v>
      </c>
    </row>
    <row r="1347" spans="1:9" x14ac:dyDescent="0.25">
      <c r="A1347">
        <v>238</v>
      </c>
      <c r="B1347" t="s">
        <v>806</v>
      </c>
      <c r="C1347" t="s">
        <v>48</v>
      </c>
      <c r="D1347" t="s">
        <v>119</v>
      </c>
      <c r="E1347">
        <f t="shared" si="52"/>
        <v>2.7777777777777776E-2</v>
      </c>
      <c r="F1347">
        <v>79</v>
      </c>
      <c r="G1347">
        <f>LOG(382/(79+1))</f>
        <v>0.67897337591976514</v>
      </c>
      <c r="H1347">
        <f>0.0277777777777777*1.56339397393269</f>
        <v>4.3427610387019047E-2</v>
      </c>
      <c r="I1347">
        <v>4.3427610387019262E-2</v>
      </c>
    </row>
    <row r="1348" spans="1:9" x14ac:dyDescent="0.25">
      <c r="A1348">
        <v>238</v>
      </c>
      <c r="B1348" t="s">
        <v>806</v>
      </c>
      <c r="C1348" t="s">
        <v>48</v>
      </c>
      <c r="D1348" t="s">
        <v>197</v>
      </c>
      <c r="E1348">
        <f t="shared" si="52"/>
        <v>2.7777777777777776E-2</v>
      </c>
      <c r="F1348">
        <v>18</v>
      </c>
      <c r="G1348">
        <f>LOG(382/(18+1))</f>
        <v>1.3033097619588798</v>
      </c>
      <c r="H1348">
        <f>0.0277777777777777*3.00098162944013</f>
        <v>8.3360600817781155E-2</v>
      </c>
      <c r="I1348">
        <v>8.3360600817781516E-2</v>
      </c>
    </row>
    <row r="1349" spans="1:9" x14ac:dyDescent="0.25">
      <c r="A1349">
        <v>238</v>
      </c>
      <c r="B1349" t="s">
        <v>806</v>
      </c>
      <c r="C1349" t="s">
        <v>48</v>
      </c>
      <c r="D1349" t="s">
        <v>50</v>
      </c>
      <c r="E1349">
        <f>2/36</f>
        <v>5.5555555555555552E-2</v>
      </c>
      <c r="F1349">
        <v>109</v>
      </c>
      <c r="G1349">
        <f>LOG(382/(109+1))</f>
        <v>0.54067067775348365</v>
      </c>
      <c r="H1349">
        <f>0.0555555555555555*1.24494024281415</f>
        <v>6.9163346823008259E-2</v>
      </c>
      <c r="I1349">
        <v>6.9163346823008828E-2</v>
      </c>
    </row>
    <row r="1350" spans="1:9" x14ac:dyDescent="0.25">
      <c r="A1350">
        <v>238</v>
      </c>
      <c r="B1350" t="s">
        <v>806</v>
      </c>
      <c r="C1350" t="s">
        <v>48</v>
      </c>
      <c r="D1350" t="s">
        <v>811</v>
      </c>
      <c r="E1350">
        <f>1/36</f>
        <v>2.7777777777777776E-2</v>
      </c>
      <c r="F1350">
        <v>27</v>
      </c>
      <c r="G1350">
        <f>LOG(382/(27+1))</f>
        <v>1.1349053315694895</v>
      </c>
      <c r="H1350">
        <f>0.0277777777777777*2.61321609843137</f>
        <v>7.2589336067537855E-2</v>
      </c>
      <c r="I1350">
        <v>7.2589336067538077E-2</v>
      </c>
    </row>
    <row r="1351" spans="1:9" x14ac:dyDescent="0.25">
      <c r="A1351">
        <v>238</v>
      </c>
      <c r="B1351" t="s">
        <v>806</v>
      </c>
      <c r="C1351" t="s">
        <v>48</v>
      </c>
      <c r="D1351" t="s">
        <v>812</v>
      </c>
      <c r="E1351">
        <f>1/36</f>
        <v>2.7777777777777776E-2</v>
      </c>
      <c r="F1351">
        <v>11</v>
      </c>
      <c r="G1351">
        <f>LOG(382/(11+1))</f>
        <v>1.5028821168640838</v>
      </c>
      <c r="H1351">
        <f>0.0277777777777777*3.46051395881857</f>
        <v>9.6125387744960003E-2</v>
      </c>
      <c r="I1351">
        <v>9.6125387744960406E-2</v>
      </c>
    </row>
    <row r="1352" spans="1:9" x14ac:dyDescent="0.25">
      <c r="A1352">
        <v>238</v>
      </c>
      <c r="B1352" t="s">
        <v>806</v>
      </c>
      <c r="C1352" t="s">
        <v>48</v>
      </c>
      <c r="D1352" t="s">
        <v>88</v>
      </c>
      <c r="E1352">
        <f>1/36</f>
        <v>2.7777777777777776E-2</v>
      </c>
      <c r="F1352">
        <v>13</v>
      </c>
      <c r="G1352">
        <f>LOG(382/(13+1))</f>
        <v>1.4359353272334707</v>
      </c>
      <c r="H1352">
        <f>0.0277777777777777*3.30636327899131</f>
        <v>9.1843424416425026E-2</v>
      </c>
      <c r="I1352">
        <v>9.1843424416425457E-2</v>
      </c>
    </row>
    <row r="1353" spans="1:9" x14ac:dyDescent="0.25">
      <c r="A1353">
        <v>239</v>
      </c>
      <c r="B1353" t="s">
        <v>813</v>
      </c>
      <c r="C1353" t="s">
        <v>48</v>
      </c>
      <c r="D1353" t="s">
        <v>112</v>
      </c>
      <c r="E1353">
        <f>9/120</f>
        <v>7.4999999999999997E-2</v>
      </c>
      <c r="F1353">
        <v>52</v>
      </c>
      <c r="G1353">
        <f>LOG(382/(52+1))</f>
        <v>0.85778749331091964</v>
      </c>
      <c r="H1353">
        <f>0.075*1.97512869505445</f>
        <v>0.14813465212908375</v>
      </c>
      <c r="I1353">
        <v>0.148134652129084</v>
      </c>
    </row>
    <row r="1354" spans="1:9" x14ac:dyDescent="0.25">
      <c r="A1354">
        <v>239</v>
      </c>
      <c r="B1354" t="s">
        <v>813</v>
      </c>
      <c r="C1354" t="s">
        <v>48</v>
      </c>
      <c r="D1354" t="s">
        <v>91</v>
      </c>
      <c r="E1354">
        <f>8/120</f>
        <v>6.6666666666666666E-2</v>
      </c>
      <c r="F1354">
        <v>33</v>
      </c>
      <c r="G1354">
        <f>LOG(382/(33+1))</f>
        <v>1.0505844458694535</v>
      </c>
      <c r="H1354">
        <f>0.0666666666666666*2.41906008399041</f>
        <v>0.16127067226602718</v>
      </c>
      <c r="I1354">
        <v>0.16127067226602759</v>
      </c>
    </row>
    <row r="1355" spans="1:9" x14ac:dyDescent="0.25">
      <c r="A1355">
        <v>239</v>
      </c>
      <c r="B1355" t="s">
        <v>813</v>
      </c>
      <c r="C1355" t="s">
        <v>48</v>
      </c>
      <c r="D1355" t="s">
        <v>814</v>
      </c>
      <c r="E1355">
        <f>5/120</f>
        <v>4.1666666666666664E-2</v>
      </c>
      <c r="F1355">
        <v>18</v>
      </c>
      <c r="G1355">
        <f>LOG(382/(18+1))</f>
        <v>1.3033097619588798</v>
      </c>
      <c r="H1355">
        <f>0.0416666666666666*3.00098162944013</f>
        <v>0.12504090122667189</v>
      </c>
      <c r="I1355">
        <v>0.1250409012266723</v>
      </c>
    </row>
    <row r="1356" spans="1:9" x14ac:dyDescent="0.25">
      <c r="A1356">
        <v>239</v>
      </c>
      <c r="B1356" t="s">
        <v>813</v>
      </c>
      <c r="C1356" t="s">
        <v>48</v>
      </c>
      <c r="D1356" t="s">
        <v>815</v>
      </c>
      <c r="E1356">
        <f>6/120</f>
        <v>0.05</v>
      </c>
      <c r="F1356">
        <v>5</v>
      </c>
      <c r="G1356">
        <f>LOG(382/(5+1))</f>
        <v>1.803912112528065</v>
      </c>
      <c r="H1356">
        <f>0.05*4.15366113937852</f>
        <v>0.207683056968926</v>
      </c>
      <c r="I1356">
        <v>0.207683056968926</v>
      </c>
    </row>
    <row r="1357" spans="1:9" x14ac:dyDescent="0.25">
      <c r="A1357">
        <v>239</v>
      </c>
      <c r="B1357" t="s">
        <v>813</v>
      </c>
      <c r="C1357" t="s">
        <v>48</v>
      </c>
      <c r="D1357" t="s">
        <v>98</v>
      </c>
      <c r="E1357">
        <f>2/120</f>
        <v>1.6666666666666666E-2</v>
      </c>
      <c r="F1357">
        <v>56</v>
      </c>
      <c r="G1357">
        <f>LOG(382/(56+1))</f>
        <v>0.82618850723921733</v>
      </c>
      <c r="H1357">
        <f>0.0166666666666666*1.90236934077202</f>
        <v>3.170615567953354E-2</v>
      </c>
      <c r="I1357">
        <v>3.1706155679533748E-2</v>
      </c>
    </row>
    <row r="1358" spans="1:9" x14ac:dyDescent="0.25">
      <c r="A1358">
        <v>239</v>
      </c>
      <c r="B1358" t="s">
        <v>813</v>
      </c>
      <c r="C1358" t="s">
        <v>48</v>
      </c>
      <c r="D1358" t="s">
        <v>816</v>
      </c>
      <c r="E1358">
        <f>1/120</f>
        <v>8.3333333333333332E-3</v>
      </c>
      <c r="F1358">
        <v>3</v>
      </c>
      <c r="G1358">
        <f>LOG(382/(3+1))</f>
        <v>1.9800033715837464</v>
      </c>
      <c r="H1358">
        <f>0.00833333333333333*4.55912624748668</f>
        <v>3.7992718729055651E-2</v>
      </c>
      <c r="I1358">
        <v>3.7992718729055713E-2</v>
      </c>
    </row>
    <row r="1359" spans="1:9" x14ac:dyDescent="0.25">
      <c r="A1359">
        <v>239</v>
      </c>
      <c r="B1359" t="s">
        <v>813</v>
      </c>
      <c r="C1359" t="s">
        <v>48</v>
      </c>
      <c r="D1359" t="s">
        <v>195</v>
      </c>
      <c r="E1359">
        <f>4/120</f>
        <v>3.3333333333333333E-2</v>
      </c>
      <c r="F1359">
        <v>55</v>
      </c>
      <c r="G1359">
        <f>LOG(382/(55+1))</f>
        <v>0.83387533590550833</v>
      </c>
      <c r="H1359">
        <f>0.0333333333333333*1.92006891787142</f>
        <v>6.4002297262380603E-2</v>
      </c>
      <c r="I1359">
        <v>6.4002297262380867E-2</v>
      </c>
    </row>
    <row r="1360" spans="1:9" x14ac:dyDescent="0.25">
      <c r="A1360">
        <v>239</v>
      </c>
      <c r="B1360" t="s">
        <v>813</v>
      </c>
      <c r="C1360" t="s">
        <v>48</v>
      </c>
      <c r="D1360" t="s">
        <v>817</v>
      </c>
      <c r="E1360">
        <f t="shared" ref="E1360:E1367" si="53">1/120</f>
        <v>8.3333333333333332E-3</v>
      </c>
      <c r="F1360">
        <v>1</v>
      </c>
      <c r="G1360">
        <f>LOG(382/(1+1))</f>
        <v>2.2810333672477277</v>
      </c>
      <c r="H1360">
        <f>0.00833333333333333*5.25227342804663</f>
        <v>4.37689452337219E-2</v>
      </c>
      <c r="I1360">
        <v>4.3768945233721913E-2</v>
      </c>
    </row>
    <row r="1361" spans="1:9" x14ac:dyDescent="0.25">
      <c r="A1361">
        <v>239</v>
      </c>
      <c r="B1361" t="s">
        <v>813</v>
      </c>
      <c r="C1361" t="s">
        <v>48</v>
      </c>
      <c r="D1361" t="s">
        <v>818</v>
      </c>
      <c r="E1361">
        <f t="shared" si="53"/>
        <v>8.3333333333333332E-3</v>
      </c>
      <c r="F1361">
        <v>7</v>
      </c>
      <c r="G1361">
        <f>LOG(382/(7+1))</f>
        <v>1.6789733759197651</v>
      </c>
      <c r="H1361">
        <f>0.00833333333333333*3.86597906692673</f>
        <v>3.2216492224389402E-2</v>
      </c>
      <c r="I1361">
        <v>3.2216492224389492E-2</v>
      </c>
    </row>
    <row r="1362" spans="1:9" x14ac:dyDescent="0.25">
      <c r="A1362">
        <v>239</v>
      </c>
      <c r="B1362" t="s">
        <v>813</v>
      </c>
      <c r="C1362" t="s">
        <v>48</v>
      </c>
      <c r="D1362" t="s">
        <v>765</v>
      </c>
      <c r="E1362">
        <f t="shared" si="53"/>
        <v>8.3333333333333332E-3</v>
      </c>
      <c r="F1362">
        <v>44</v>
      </c>
      <c r="G1362">
        <f>LOG(382/(44+1))</f>
        <v>0.92885084913636506</v>
      </c>
      <c r="H1362">
        <f>0.00833333333333333*2.13875811883625</f>
        <v>1.7822984323635407E-2</v>
      </c>
      <c r="I1362">
        <v>1.7822984323635459E-2</v>
      </c>
    </row>
    <row r="1363" spans="1:9" x14ac:dyDescent="0.25">
      <c r="A1363">
        <v>239</v>
      </c>
      <c r="B1363" t="s">
        <v>813</v>
      </c>
      <c r="C1363" t="s">
        <v>48</v>
      </c>
      <c r="D1363" t="s">
        <v>819</v>
      </c>
      <c r="E1363">
        <f t="shared" si="53"/>
        <v>8.3333333333333332E-3</v>
      </c>
      <c r="F1363">
        <v>3</v>
      </c>
      <c r="G1363">
        <f>LOG(382/(3+1))</f>
        <v>1.9800033715837464</v>
      </c>
      <c r="H1363">
        <f>0.00833333333333333*4.55912624748668</f>
        <v>3.7992718729055651E-2</v>
      </c>
      <c r="I1363">
        <v>3.7992718729055713E-2</v>
      </c>
    </row>
    <row r="1364" spans="1:9" x14ac:dyDescent="0.25">
      <c r="A1364">
        <v>239</v>
      </c>
      <c r="B1364" t="s">
        <v>813</v>
      </c>
      <c r="C1364" t="s">
        <v>48</v>
      </c>
      <c r="D1364" t="s">
        <v>820</v>
      </c>
      <c r="E1364">
        <f t="shared" si="53"/>
        <v>8.3333333333333332E-3</v>
      </c>
      <c r="F1364">
        <v>1</v>
      </c>
      <c r="G1364">
        <f>LOG(382/(1+1))</f>
        <v>2.2810333672477277</v>
      </c>
      <c r="H1364">
        <f>0.00833333333333333*5.25227342804663</f>
        <v>4.37689452337219E-2</v>
      </c>
      <c r="I1364">
        <v>4.3768945233721913E-2</v>
      </c>
    </row>
    <row r="1365" spans="1:9" x14ac:dyDescent="0.25">
      <c r="A1365">
        <v>239</v>
      </c>
      <c r="B1365" t="s">
        <v>813</v>
      </c>
      <c r="C1365" t="s">
        <v>48</v>
      </c>
      <c r="D1365" t="s">
        <v>260</v>
      </c>
      <c r="E1365">
        <f t="shared" si="53"/>
        <v>8.3333333333333332E-3</v>
      </c>
      <c r="F1365">
        <v>31</v>
      </c>
      <c r="G1365">
        <f>LOG(382/(31+1))</f>
        <v>1.0769133845918029</v>
      </c>
      <c r="H1365">
        <f>0.00833333333333333*2.47968470580684</f>
        <v>2.0664039215056992E-2</v>
      </c>
      <c r="I1365">
        <v>2.0664039215057071E-2</v>
      </c>
    </row>
    <row r="1366" spans="1:9" x14ac:dyDescent="0.25">
      <c r="A1366">
        <v>239</v>
      </c>
      <c r="B1366" t="s">
        <v>813</v>
      </c>
      <c r="C1366" t="s">
        <v>48</v>
      </c>
      <c r="D1366" t="s">
        <v>22</v>
      </c>
      <c r="E1366">
        <f t="shared" si="53"/>
        <v>8.3333333333333332E-3</v>
      </c>
      <c r="F1366">
        <v>259</v>
      </c>
      <c r="G1366">
        <f>LOG(382/(259+1))</f>
        <v>0.16709001494089079</v>
      </c>
      <c r="H1366">
        <f>0.00833333333333333*0.384738977591047</f>
        <v>3.2061581465920573E-3</v>
      </c>
      <c r="I1366">
        <v>3.206158146592062E-3</v>
      </c>
    </row>
    <row r="1367" spans="1:9" x14ac:dyDescent="0.25">
      <c r="A1367">
        <v>239</v>
      </c>
      <c r="B1367" t="s">
        <v>813</v>
      </c>
      <c r="C1367" t="s">
        <v>48</v>
      </c>
      <c r="D1367" t="s">
        <v>821</v>
      </c>
      <c r="E1367">
        <f t="shared" si="53"/>
        <v>8.3333333333333332E-3</v>
      </c>
      <c r="F1367">
        <v>1</v>
      </c>
      <c r="G1367">
        <f>LOG(382/(1+1))</f>
        <v>2.2810333672477277</v>
      </c>
      <c r="H1367">
        <f>0.00833333333333333*5.25227342804663</f>
        <v>4.37689452337219E-2</v>
      </c>
      <c r="I1367">
        <v>4.3768945233721913E-2</v>
      </c>
    </row>
    <row r="1368" spans="1:9" x14ac:dyDescent="0.25">
      <c r="A1368">
        <v>239</v>
      </c>
      <c r="B1368" t="s">
        <v>813</v>
      </c>
      <c r="C1368" t="s">
        <v>48</v>
      </c>
      <c r="D1368" t="s">
        <v>822</v>
      </c>
      <c r="E1368">
        <f>3/120</f>
        <v>2.5000000000000001E-2</v>
      </c>
      <c r="F1368">
        <v>4</v>
      </c>
      <c r="G1368">
        <f>LOG(382/(4+1))</f>
        <v>1.8830933585756899</v>
      </c>
      <c r="H1368">
        <f>0.025*4.33598269617247</f>
        <v>0.10839956740431177</v>
      </c>
      <c r="I1368">
        <v>0.10839956740431191</v>
      </c>
    </row>
    <row r="1369" spans="1:9" x14ac:dyDescent="0.25">
      <c r="A1369">
        <v>239</v>
      </c>
      <c r="B1369" t="s">
        <v>813</v>
      </c>
      <c r="C1369" t="s">
        <v>48</v>
      </c>
      <c r="D1369" t="s">
        <v>60</v>
      </c>
      <c r="E1369">
        <f>2/120</f>
        <v>1.6666666666666666E-2</v>
      </c>
      <c r="F1369">
        <v>24</v>
      </c>
      <c r="G1369">
        <f>LOG(382/(24+1))</f>
        <v>1.1841233542396712</v>
      </c>
      <c r="H1369">
        <f>0.0166666666666666*2.72654478373837</f>
        <v>4.5442413062305981E-2</v>
      </c>
      <c r="I1369">
        <v>4.5442413062306238E-2</v>
      </c>
    </row>
    <row r="1370" spans="1:9" x14ac:dyDescent="0.25">
      <c r="A1370">
        <v>239</v>
      </c>
      <c r="B1370" t="s">
        <v>813</v>
      </c>
      <c r="C1370" t="s">
        <v>48</v>
      </c>
      <c r="D1370" t="s">
        <v>823</v>
      </c>
      <c r="E1370">
        <f>1/120</f>
        <v>8.3333333333333332E-3</v>
      </c>
      <c r="F1370">
        <v>45</v>
      </c>
      <c r="G1370">
        <f>LOG(382/(45+1))</f>
        <v>0.9193055312301347</v>
      </c>
      <c r="H1370">
        <f>0.00833333333333333*2.11677921211748</f>
        <v>1.763982676764566E-2</v>
      </c>
      <c r="I1370">
        <v>1.763982676764567E-2</v>
      </c>
    </row>
    <row r="1371" spans="1:9" x14ac:dyDescent="0.25">
      <c r="A1371">
        <v>239</v>
      </c>
      <c r="B1371" t="s">
        <v>813</v>
      </c>
      <c r="C1371" t="s">
        <v>48</v>
      </c>
      <c r="D1371" t="s">
        <v>824</v>
      </c>
      <c r="E1371">
        <f>2/120</f>
        <v>1.6666666666666666E-2</v>
      </c>
      <c r="F1371">
        <v>3</v>
      </c>
      <c r="G1371">
        <f>LOG(382/(3+1))</f>
        <v>1.9800033715837464</v>
      </c>
      <c r="H1371">
        <f>0.0166666666666666*4.55912624748668</f>
        <v>7.5985437458111038E-2</v>
      </c>
      <c r="I1371">
        <v>7.5985437458111413E-2</v>
      </c>
    </row>
    <row r="1372" spans="1:9" x14ac:dyDescent="0.25">
      <c r="A1372">
        <v>239</v>
      </c>
      <c r="B1372" t="s">
        <v>813</v>
      </c>
      <c r="C1372" t="s">
        <v>48</v>
      </c>
      <c r="D1372" t="s">
        <v>825</v>
      </c>
      <c r="E1372">
        <f>1/120</f>
        <v>8.3333333333333332E-3</v>
      </c>
      <c r="F1372">
        <v>1</v>
      </c>
      <c r="G1372">
        <f>LOG(382/(1+1))</f>
        <v>2.2810333672477277</v>
      </c>
      <c r="H1372">
        <f>0.00833333333333333*5.25227342804663</f>
        <v>4.37689452337219E-2</v>
      </c>
      <c r="I1372">
        <v>4.3768945233721913E-2</v>
      </c>
    </row>
    <row r="1373" spans="1:9" x14ac:dyDescent="0.25">
      <c r="A1373">
        <v>239</v>
      </c>
      <c r="B1373" t="s">
        <v>813</v>
      </c>
      <c r="C1373" t="s">
        <v>48</v>
      </c>
      <c r="D1373" t="s">
        <v>826</v>
      </c>
      <c r="E1373">
        <f>1/120</f>
        <v>8.3333333333333332E-3</v>
      </c>
      <c r="F1373">
        <v>2</v>
      </c>
      <c r="G1373">
        <f>LOG(382/(2+1))</f>
        <v>2.1049421081920463</v>
      </c>
      <c r="H1373">
        <f>0.00833333333333333*4.84680831993846</f>
        <v>4.039006933282048E-2</v>
      </c>
      <c r="I1373">
        <v>4.0390069332820543E-2</v>
      </c>
    </row>
    <row r="1374" spans="1:9" x14ac:dyDescent="0.25">
      <c r="A1374">
        <v>239</v>
      </c>
      <c r="B1374" t="s">
        <v>813</v>
      </c>
      <c r="C1374" t="s">
        <v>48</v>
      </c>
      <c r="D1374" t="s">
        <v>104</v>
      </c>
      <c r="E1374">
        <f>2/120</f>
        <v>1.6666666666666666E-2</v>
      </c>
      <c r="F1374">
        <v>49</v>
      </c>
      <c r="G1374">
        <f>LOG(382/(49+1))</f>
        <v>0.88309335857568994</v>
      </c>
      <c r="H1374">
        <f>0.0166666666666666*2.03339760317842</f>
        <v>3.3889960052973532E-2</v>
      </c>
      <c r="I1374">
        <v>3.3889960052973823E-2</v>
      </c>
    </row>
    <row r="1375" spans="1:9" x14ac:dyDescent="0.25">
      <c r="A1375">
        <v>239</v>
      </c>
      <c r="B1375" t="s">
        <v>813</v>
      </c>
      <c r="C1375" t="s">
        <v>48</v>
      </c>
      <c r="D1375" t="s">
        <v>25</v>
      </c>
      <c r="E1375">
        <f>4/120</f>
        <v>3.3333333333333333E-2</v>
      </c>
      <c r="F1375">
        <v>106</v>
      </c>
      <c r="G1375">
        <f>LOG(382/(106+1))</f>
        <v>0.55267958522649907</v>
      </c>
      <c r="H1375">
        <f>0.0333333333333333*1.27259177414466</f>
        <v>4.2419725804821951E-2</v>
      </c>
      <c r="I1375">
        <v>4.2419725804822297E-2</v>
      </c>
    </row>
    <row r="1376" spans="1:9" x14ac:dyDescent="0.25">
      <c r="A1376">
        <v>239</v>
      </c>
      <c r="B1376" t="s">
        <v>813</v>
      </c>
      <c r="C1376" t="s">
        <v>48</v>
      </c>
      <c r="D1376" t="s">
        <v>827</v>
      </c>
      <c r="E1376">
        <f>1/120</f>
        <v>8.3333333333333332E-3</v>
      </c>
      <c r="F1376">
        <v>1</v>
      </c>
      <c r="G1376">
        <f>LOG(382/(1+1))</f>
        <v>2.2810333672477277</v>
      </c>
      <c r="H1376">
        <f>0.00833333333333333*5.25227342804663</f>
        <v>4.37689452337219E-2</v>
      </c>
      <c r="I1376">
        <v>4.3768945233721913E-2</v>
      </c>
    </row>
    <row r="1377" spans="1:9" x14ac:dyDescent="0.25">
      <c r="A1377">
        <v>239</v>
      </c>
      <c r="B1377" t="s">
        <v>813</v>
      </c>
      <c r="C1377" t="s">
        <v>48</v>
      </c>
      <c r="D1377" t="s">
        <v>28</v>
      </c>
      <c r="E1377">
        <f>3/120</f>
        <v>2.5000000000000001E-2</v>
      </c>
      <c r="F1377">
        <v>35</v>
      </c>
      <c r="G1377">
        <f>LOG(382/(35+1))</f>
        <v>1.0257608621444214</v>
      </c>
      <c r="H1377">
        <f>0.025*2.36190167015046</f>
        <v>5.9047541753761507E-2</v>
      </c>
      <c r="I1377">
        <v>5.9047541753761618E-2</v>
      </c>
    </row>
    <row r="1378" spans="1:9" x14ac:dyDescent="0.25">
      <c r="A1378">
        <v>239</v>
      </c>
      <c r="B1378" t="s">
        <v>813</v>
      </c>
      <c r="C1378" t="s">
        <v>48</v>
      </c>
      <c r="D1378" t="s">
        <v>828</v>
      </c>
      <c r="E1378">
        <f t="shared" ref="E1378:E1392" si="54">1/120</f>
        <v>8.3333333333333332E-3</v>
      </c>
      <c r="F1378">
        <v>3</v>
      </c>
      <c r="G1378">
        <f>LOG(382/(3+1))</f>
        <v>1.9800033715837464</v>
      </c>
      <c r="H1378">
        <f>0.00833333333333333*4.55912624748668</f>
        <v>3.7992718729055651E-2</v>
      </c>
      <c r="I1378">
        <v>3.7992718729055713E-2</v>
      </c>
    </row>
    <row r="1379" spans="1:9" x14ac:dyDescent="0.25">
      <c r="A1379">
        <v>239</v>
      </c>
      <c r="B1379" t="s">
        <v>813</v>
      </c>
      <c r="C1379" t="s">
        <v>48</v>
      </c>
      <c r="D1379" t="s">
        <v>829</v>
      </c>
      <c r="E1379">
        <f t="shared" si="54"/>
        <v>8.3333333333333332E-3</v>
      </c>
      <c r="F1379">
        <v>4</v>
      </c>
      <c r="G1379">
        <f>LOG(382/(4+1))</f>
        <v>1.8830933585756899</v>
      </c>
      <c r="H1379">
        <f>0.00833333333333333*4.33598269617247</f>
        <v>3.6133189134770573E-2</v>
      </c>
      <c r="I1379">
        <v>3.6133189134770621E-2</v>
      </c>
    </row>
    <row r="1380" spans="1:9" x14ac:dyDescent="0.25">
      <c r="A1380">
        <v>239</v>
      </c>
      <c r="B1380" t="s">
        <v>813</v>
      </c>
      <c r="C1380" t="s">
        <v>48</v>
      </c>
      <c r="D1380" t="s">
        <v>830</v>
      </c>
      <c r="E1380">
        <f t="shared" si="54"/>
        <v>8.3333333333333332E-3</v>
      </c>
      <c r="F1380">
        <v>19</v>
      </c>
      <c r="G1380">
        <f>LOG(382/(19+1))</f>
        <v>1.2810333672477277</v>
      </c>
      <c r="H1380">
        <f>0.00833333333333333*2.94968833505258</f>
        <v>2.4580736125438155E-2</v>
      </c>
      <c r="I1380">
        <v>2.45807361254382E-2</v>
      </c>
    </row>
    <row r="1381" spans="1:9" x14ac:dyDescent="0.25">
      <c r="A1381">
        <v>239</v>
      </c>
      <c r="B1381" t="s">
        <v>813</v>
      </c>
      <c r="C1381" t="s">
        <v>48</v>
      </c>
      <c r="D1381" t="s">
        <v>831</v>
      </c>
      <c r="E1381">
        <f t="shared" si="54"/>
        <v>8.3333333333333332E-3</v>
      </c>
      <c r="F1381">
        <v>4</v>
      </c>
      <c r="G1381">
        <f>LOG(382/(4+1))</f>
        <v>1.8830933585756899</v>
      </c>
      <c r="H1381">
        <f>0.00833333333333333*4.33598269617247</f>
        <v>3.6133189134770573E-2</v>
      </c>
      <c r="I1381">
        <v>3.6133189134770621E-2</v>
      </c>
    </row>
    <row r="1382" spans="1:9" x14ac:dyDescent="0.25">
      <c r="A1382">
        <v>239</v>
      </c>
      <c r="B1382" t="s">
        <v>813</v>
      </c>
      <c r="C1382" t="s">
        <v>48</v>
      </c>
      <c r="D1382" t="s">
        <v>811</v>
      </c>
      <c r="E1382">
        <f t="shared" si="54"/>
        <v>8.3333333333333332E-3</v>
      </c>
      <c r="F1382">
        <v>27</v>
      </c>
      <c r="G1382">
        <f>LOG(382/(27+1))</f>
        <v>1.1349053315694895</v>
      </c>
      <c r="H1382">
        <f>0.00833333333333333*2.61321609843137</f>
        <v>2.177680082026141E-2</v>
      </c>
      <c r="I1382">
        <v>2.177680082026142E-2</v>
      </c>
    </row>
    <row r="1383" spans="1:9" x14ac:dyDescent="0.25">
      <c r="A1383">
        <v>239</v>
      </c>
      <c r="B1383" t="s">
        <v>813</v>
      </c>
      <c r="C1383" t="s">
        <v>48</v>
      </c>
      <c r="D1383" t="s">
        <v>832</v>
      </c>
      <c r="E1383">
        <f t="shared" si="54"/>
        <v>8.3333333333333332E-3</v>
      </c>
      <c r="F1383">
        <v>2</v>
      </c>
      <c r="G1383">
        <f>LOG(382/(2+1))</f>
        <v>2.1049421081920463</v>
      </c>
      <c r="H1383">
        <f>0.00833333333333333*4.84680831993846</f>
        <v>4.039006933282048E-2</v>
      </c>
      <c r="I1383">
        <v>4.0390069332820543E-2</v>
      </c>
    </row>
    <row r="1384" spans="1:9" x14ac:dyDescent="0.25">
      <c r="A1384">
        <v>239</v>
      </c>
      <c r="B1384" t="s">
        <v>813</v>
      </c>
      <c r="C1384" t="s">
        <v>48</v>
      </c>
      <c r="D1384" t="s">
        <v>833</v>
      </c>
      <c r="E1384">
        <f t="shared" si="54"/>
        <v>8.3333333333333332E-3</v>
      </c>
      <c r="F1384">
        <v>1</v>
      </c>
      <c r="G1384">
        <f>LOG(382/(1+1))</f>
        <v>2.2810333672477277</v>
      </c>
      <c r="H1384">
        <f>0.00833333333333333*5.25227342804663</f>
        <v>4.37689452337219E-2</v>
      </c>
      <c r="I1384">
        <v>4.3768945233721913E-2</v>
      </c>
    </row>
    <row r="1385" spans="1:9" x14ac:dyDescent="0.25">
      <c r="A1385">
        <v>239</v>
      </c>
      <c r="B1385" t="s">
        <v>813</v>
      </c>
      <c r="C1385" t="s">
        <v>48</v>
      </c>
      <c r="D1385" t="s">
        <v>617</v>
      </c>
      <c r="E1385">
        <f t="shared" si="54"/>
        <v>8.3333333333333332E-3</v>
      </c>
      <c r="F1385">
        <v>4</v>
      </c>
      <c r="G1385">
        <f>LOG(382/(4+1))</f>
        <v>1.8830933585756899</v>
      </c>
      <c r="H1385">
        <f>0.00833333333333333*4.33598269617247</f>
        <v>3.6133189134770573E-2</v>
      </c>
      <c r="I1385">
        <v>3.6133189134770621E-2</v>
      </c>
    </row>
    <row r="1386" spans="1:9" x14ac:dyDescent="0.25">
      <c r="A1386">
        <v>239</v>
      </c>
      <c r="B1386" t="s">
        <v>813</v>
      </c>
      <c r="C1386" t="s">
        <v>48</v>
      </c>
      <c r="D1386" t="s">
        <v>834</v>
      </c>
      <c r="E1386">
        <f t="shared" si="54"/>
        <v>8.3333333333333332E-3</v>
      </c>
      <c r="F1386">
        <v>1</v>
      </c>
      <c r="G1386">
        <f>LOG(382/(1+1))</f>
        <v>2.2810333672477277</v>
      </c>
      <c r="H1386">
        <f>0.00833333333333333*5.25227342804663</f>
        <v>4.37689452337219E-2</v>
      </c>
      <c r="I1386">
        <v>4.3768945233721913E-2</v>
      </c>
    </row>
    <row r="1387" spans="1:9" x14ac:dyDescent="0.25">
      <c r="A1387">
        <v>239</v>
      </c>
      <c r="B1387" t="s">
        <v>813</v>
      </c>
      <c r="C1387" t="s">
        <v>48</v>
      </c>
      <c r="D1387" t="s">
        <v>306</v>
      </c>
      <c r="E1387">
        <f t="shared" si="54"/>
        <v>8.3333333333333332E-3</v>
      </c>
      <c r="F1387">
        <v>5</v>
      </c>
      <c r="G1387">
        <f>LOG(382/(5+1))</f>
        <v>1.803912112528065</v>
      </c>
      <c r="H1387">
        <f>0.00833333333333333*4.15366113937852</f>
        <v>3.4613842828154315E-2</v>
      </c>
      <c r="I1387">
        <v>3.4613842828154329E-2</v>
      </c>
    </row>
    <row r="1388" spans="1:9" x14ac:dyDescent="0.25">
      <c r="A1388">
        <v>239</v>
      </c>
      <c r="B1388" t="s">
        <v>813</v>
      </c>
      <c r="C1388" t="s">
        <v>48</v>
      </c>
      <c r="D1388" t="s">
        <v>835</v>
      </c>
      <c r="E1388">
        <f t="shared" si="54"/>
        <v>8.3333333333333332E-3</v>
      </c>
      <c r="F1388">
        <v>1</v>
      </c>
      <c r="G1388">
        <f>LOG(382/(1+1))</f>
        <v>2.2810333672477277</v>
      </c>
      <c r="H1388">
        <f>0.00833333333333333*5.25227342804663</f>
        <v>4.37689452337219E-2</v>
      </c>
      <c r="I1388">
        <v>4.3768945233721913E-2</v>
      </c>
    </row>
    <row r="1389" spans="1:9" x14ac:dyDescent="0.25">
      <c r="A1389">
        <v>239</v>
      </c>
      <c r="B1389" t="s">
        <v>813</v>
      </c>
      <c r="C1389" t="s">
        <v>48</v>
      </c>
      <c r="D1389" t="s">
        <v>836</v>
      </c>
      <c r="E1389">
        <f t="shared" si="54"/>
        <v>8.3333333333333332E-3</v>
      </c>
      <c r="F1389">
        <v>21</v>
      </c>
      <c r="G1389">
        <f>LOG(382/(21+1))</f>
        <v>1.2396406820895025</v>
      </c>
      <c r="H1389">
        <f>0.00833333333333333*2.85437815524825</f>
        <v>2.3786484627068737E-2</v>
      </c>
      <c r="I1389">
        <v>2.3786484627068831E-2</v>
      </c>
    </row>
    <row r="1390" spans="1:9" x14ac:dyDescent="0.25">
      <c r="A1390">
        <v>239</v>
      </c>
      <c r="B1390" t="s">
        <v>813</v>
      </c>
      <c r="C1390" t="s">
        <v>48</v>
      </c>
      <c r="D1390" t="s">
        <v>837</v>
      </c>
      <c r="E1390">
        <f t="shared" si="54"/>
        <v>8.3333333333333332E-3</v>
      </c>
      <c r="F1390">
        <v>1</v>
      </c>
      <c r="G1390">
        <f>LOG(382/(1+1))</f>
        <v>2.2810333672477277</v>
      </c>
      <c r="H1390">
        <f>0.00833333333333333*5.25227342804663</f>
        <v>4.37689452337219E-2</v>
      </c>
      <c r="I1390">
        <v>4.3768945233721913E-2</v>
      </c>
    </row>
    <row r="1391" spans="1:9" x14ac:dyDescent="0.25">
      <c r="A1391">
        <v>239</v>
      </c>
      <c r="B1391" t="s">
        <v>813</v>
      </c>
      <c r="C1391" t="s">
        <v>48</v>
      </c>
      <c r="D1391" t="s">
        <v>838</v>
      </c>
      <c r="E1391">
        <f t="shared" si="54"/>
        <v>8.3333333333333332E-3</v>
      </c>
      <c r="F1391">
        <v>10</v>
      </c>
      <c r="G1391">
        <f>LOG(382/(10+1))</f>
        <v>1.5406706777534838</v>
      </c>
      <c r="H1391">
        <f>0.00833333333333333*3.5475253358082</f>
        <v>2.9562711131734989E-2</v>
      </c>
      <c r="I1391">
        <v>2.9562711131735041E-2</v>
      </c>
    </row>
    <row r="1392" spans="1:9" x14ac:dyDescent="0.25">
      <c r="A1392">
        <v>239</v>
      </c>
      <c r="B1392" t="s">
        <v>813</v>
      </c>
      <c r="C1392" t="s">
        <v>48</v>
      </c>
      <c r="D1392" t="s">
        <v>839</v>
      </c>
      <c r="E1392">
        <f t="shared" si="54"/>
        <v>8.3333333333333332E-3</v>
      </c>
      <c r="F1392">
        <v>1</v>
      </c>
      <c r="G1392">
        <f>LOG(382/(1+1))</f>
        <v>2.2810333672477277</v>
      </c>
      <c r="H1392">
        <f>0.00833333333333333*5.25227342804663</f>
        <v>4.37689452337219E-2</v>
      </c>
      <c r="I1392">
        <v>4.3768945233721913E-2</v>
      </c>
    </row>
    <row r="1393" spans="1:9" x14ac:dyDescent="0.25">
      <c r="A1393">
        <v>239</v>
      </c>
      <c r="B1393" t="s">
        <v>813</v>
      </c>
      <c r="C1393" t="s">
        <v>48</v>
      </c>
      <c r="D1393" t="s">
        <v>840</v>
      </c>
      <c r="E1393">
        <f>2/120</f>
        <v>1.6666666666666666E-2</v>
      </c>
      <c r="F1393">
        <v>3</v>
      </c>
      <c r="G1393">
        <f>LOG(382/(3+1))</f>
        <v>1.9800033715837464</v>
      </c>
      <c r="H1393">
        <f>0.0166666666666666*4.55912624748668</f>
        <v>7.5985437458111038E-2</v>
      </c>
      <c r="I1393">
        <v>7.5985437458111413E-2</v>
      </c>
    </row>
    <row r="1394" spans="1:9" x14ac:dyDescent="0.25">
      <c r="A1394">
        <v>239</v>
      </c>
      <c r="B1394" t="s">
        <v>813</v>
      </c>
      <c r="C1394" t="s">
        <v>48</v>
      </c>
      <c r="D1394" t="s">
        <v>841</v>
      </c>
      <c r="E1394">
        <f t="shared" ref="E1394:E1401" si="55">1/120</f>
        <v>8.3333333333333332E-3</v>
      </c>
      <c r="F1394">
        <v>1</v>
      </c>
      <c r="G1394">
        <f>LOG(382/(1+1))</f>
        <v>2.2810333672477277</v>
      </c>
      <c r="H1394">
        <f>0.00833333333333333*5.25227342804663</f>
        <v>4.37689452337219E-2</v>
      </c>
      <c r="I1394">
        <v>4.3768945233721913E-2</v>
      </c>
    </row>
    <row r="1395" spans="1:9" x14ac:dyDescent="0.25">
      <c r="A1395">
        <v>239</v>
      </c>
      <c r="B1395" t="s">
        <v>813</v>
      </c>
      <c r="C1395" t="s">
        <v>48</v>
      </c>
      <c r="D1395" t="s">
        <v>842</v>
      </c>
      <c r="E1395">
        <f t="shared" si="55"/>
        <v>8.3333333333333332E-3</v>
      </c>
      <c r="F1395">
        <v>1</v>
      </c>
      <c r="G1395">
        <f>LOG(382/(1+1))</f>
        <v>2.2810333672477277</v>
      </c>
      <c r="H1395">
        <f>0.00833333333333333*5.25227342804663</f>
        <v>4.37689452337219E-2</v>
      </c>
      <c r="I1395">
        <v>4.3768945233721913E-2</v>
      </c>
    </row>
    <row r="1396" spans="1:9" x14ac:dyDescent="0.25">
      <c r="A1396">
        <v>239</v>
      </c>
      <c r="B1396" t="s">
        <v>813</v>
      </c>
      <c r="C1396" t="s">
        <v>48</v>
      </c>
      <c r="D1396" t="s">
        <v>843</v>
      </c>
      <c r="E1396">
        <f t="shared" si="55"/>
        <v>8.3333333333333332E-3</v>
      </c>
      <c r="F1396">
        <v>1</v>
      </c>
      <c r="G1396">
        <f>LOG(382/(1+1))</f>
        <v>2.2810333672477277</v>
      </c>
      <c r="H1396">
        <f>0.00833333333333333*5.25227342804663</f>
        <v>4.37689452337219E-2</v>
      </c>
      <c r="I1396">
        <v>4.3768945233721913E-2</v>
      </c>
    </row>
    <row r="1397" spans="1:9" x14ac:dyDescent="0.25">
      <c r="A1397">
        <v>239</v>
      </c>
      <c r="B1397" t="s">
        <v>813</v>
      </c>
      <c r="C1397" t="s">
        <v>48</v>
      </c>
      <c r="D1397" t="s">
        <v>844</v>
      </c>
      <c r="E1397">
        <f t="shared" si="55"/>
        <v>8.3333333333333332E-3</v>
      </c>
      <c r="F1397">
        <v>1</v>
      </c>
      <c r="G1397">
        <f>LOG(382/(1+1))</f>
        <v>2.2810333672477277</v>
      </c>
      <c r="H1397">
        <f>0.00833333333333333*5.25227342804663</f>
        <v>4.37689452337219E-2</v>
      </c>
      <c r="I1397">
        <v>4.3768945233721913E-2</v>
      </c>
    </row>
    <row r="1398" spans="1:9" x14ac:dyDescent="0.25">
      <c r="A1398">
        <v>239</v>
      </c>
      <c r="B1398" t="s">
        <v>813</v>
      </c>
      <c r="C1398" t="s">
        <v>48</v>
      </c>
      <c r="D1398" t="s">
        <v>845</v>
      </c>
      <c r="E1398">
        <f t="shared" si="55"/>
        <v>8.3333333333333332E-3</v>
      </c>
      <c r="F1398">
        <v>1</v>
      </c>
      <c r="G1398">
        <f>LOG(382/(1+1))</f>
        <v>2.2810333672477277</v>
      </c>
      <c r="H1398">
        <f>0.00833333333333333*5.25227342804663</f>
        <v>4.37689452337219E-2</v>
      </c>
      <c r="I1398">
        <v>4.3768945233721913E-2</v>
      </c>
    </row>
    <row r="1399" spans="1:9" x14ac:dyDescent="0.25">
      <c r="A1399">
        <v>239</v>
      </c>
      <c r="B1399" t="s">
        <v>813</v>
      </c>
      <c r="C1399" t="s">
        <v>48</v>
      </c>
      <c r="D1399" t="s">
        <v>846</v>
      </c>
      <c r="E1399">
        <f t="shared" si="55"/>
        <v>8.3333333333333332E-3</v>
      </c>
      <c r="F1399">
        <v>2</v>
      </c>
      <c r="G1399">
        <f>LOG(382/(2+1))</f>
        <v>2.1049421081920463</v>
      </c>
      <c r="H1399">
        <f>0.00833333333333333*4.84680831993846</f>
        <v>4.039006933282048E-2</v>
      </c>
      <c r="I1399">
        <v>4.0390069332820543E-2</v>
      </c>
    </row>
    <row r="1400" spans="1:9" x14ac:dyDescent="0.25">
      <c r="A1400">
        <v>239</v>
      </c>
      <c r="B1400" t="s">
        <v>813</v>
      </c>
      <c r="C1400" t="s">
        <v>48</v>
      </c>
      <c r="D1400" t="s">
        <v>847</v>
      </c>
      <c r="E1400">
        <f t="shared" si="55"/>
        <v>8.3333333333333332E-3</v>
      </c>
      <c r="F1400">
        <v>1</v>
      </c>
      <c r="G1400">
        <f>LOG(382/(1+1))</f>
        <v>2.2810333672477277</v>
      </c>
      <c r="H1400">
        <f>0.00833333333333333*5.25227342804663</f>
        <v>4.37689452337219E-2</v>
      </c>
      <c r="I1400">
        <v>4.3768945233721913E-2</v>
      </c>
    </row>
    <row r="1401" spans="1:9" x14ac:dyDescent="0.25">
      <c r="A1401">
        <v>239</v>
      </c>
      <c r="B1401" t="s">
        <v>813</v>
      </c>
      <c r="C1401" t="s">
        <v>48</v>
      </c>
      <c r="D1401" t="s">
        <v>618</v>
      </c>
      <c r="E1401">
        <f t="shared" si="55"/>
        <v>8.3333333333333332E-3</v>
      </c>
      <c r="F1401">
        <v>4</v>
      </c>
      <c r="G1401">
        <f>LOG(382/(4+1))</f>
        <v>1.8830933585756899</v>
      </c>
      <c r="H1401">
        <f>0.00833333333333333*4.33598269617247</f>
        <v>3.6133189134770573E-2</v>
      </c>
      <c r="I1401">
        <v>3.6133189134770621E-2</v>
      </c>
    </row>
    <row r="1402" spans="1:9" x14ac:dyDescent="0.25">
      <c r="A1402">
        <v>239</v>
      </c>
      <c r="B1402" t="s">
        <v>813</v>
      </c>
      <c r="C1402" t="s">
        <v>48</v>
      </c>
      <c r="D1402" t="s">
        <v>49</v>
      </c>
      <c r="E1402">
        <f>2/120</f>
        <v>1.6666666666666666E-2</v>
      </c>
      <c r="F1402">
        <v>13</v>
      </c>
      <c r="G1402">
        <f>LOG(382/(13+1))</f>
        <v>1.4359353272334707</v>
      </c>
      <c r="H1402">
        <f>0.0166666666666666*3.30636327899131</f>
        <v>5.5106054649854949E-2</v>
      </c>
      <c r="I1402">
        <v>5.5106054649855282E-2</v>
      </c>
    </row>
    <row r="1403" spans="1:9" x14ac:dyDescent="0.25">
      <c r="A1403">
        <v>239</v>
      </c>
      <c r="B1403" t="s">
        <v>813</v>
      </c>
      <c r="C1403" t="s">
        <v>48</v>
      </c>
      <c r="D1403" t="s">
        <v>54</v>
      </c>
      <c r="E1403">
        <f t="shared" ref="E1403:E1416" si="56">1/120</f>
        <v>8.3333333333333332E-3</v>
      </c>
      <c r="F1403">
        <v>25</v>
      </c>
      <c r="G1403">
        <f>LOG(382/(25+1))</f>
        <v>1.1670900149408907</v>
      </c>
      <c r="H1403">
        <f>0.00833333333333333*2.68732407058509</f>
        <v>2.239436725487574E-2</v>
      </c>
      <c r="I1403">
        <v>2.2394367254875779E-2</v>
      </c>
    </row>
    <row r="1404" spans="1:9" x14ac:dyDescent="0.25">
      <c r="A1404">
        <v>239</v>
      </c>
      <c r="B1404" t="s">
        <v>813</v>
      </c>
      <c r="C1404" t="s">
        <v>48</v>
      </c>
      <c r="D1404" t="s">
        <v>848</v>
      </c>
      <c r="E1404">
        <f t="shared" si="56"/>
        <v>8.3333333333333332E-3</v>
      </c>
      <c r="F1404">
        <v>6</v>
      </c>
      <c r="G1404">
        <f>LOG(382/(6+1))</f>
        <v>1.736965322897452</v>
      </c>
      <c r="H1404">
        <f>0.00833333333333333*3.99951045955126</f>
        <v>3.332925382959382E-2</v>
      </c>
      <c r="I1404">
        <v>3.3329253829593848E-2</v>
      </c>
    </row>
    <row r="1405" spans="1:9" x14ac:dyDescent="0.25">
      <c r="A1405">
        <v>239</v>
      </c>
      <c r="B1405" t="s">
        <v>813</v>
      </c>
      <c r="C1405" t="s">
        <v>48</v>
      </c>
      <c r="D1405" t="s">
        <v>404</v>
      </c>
      <c r="E1405">
        <f t="shared" si="56"/>
        <v>8.3333333333333332E-3</v>
      </c>
      <c r="F1405">
        <v>22</v>
      </c>
      <c r="G1405">
        <f>LOG(382/(22+1))</f>
        <v>1.2203355268941158</v>
      </c>
      <c r="H1405">
        <f>0.00833333333333333*2.80992639267742</f>
        <v>2.3416053272311822E-2</v>
      </c>
      <c r="I1405">
        <v>2.3416053272311881E-2</v>
      </c>
    </row>
    <row r="1406" spans="1:9" x14ac:dyDescent="0.25">
      <c r="A1406">
        <v>239</v>
      </c>
      <c r="B1406" t="s">
        <v>813</v>
      </c>
      <c r="C1406" t="s">
        <v>48</v>
      </c>
      <c r="D1406" t="s">
        <v>39</v>
      </c>
      <c r="E1406">
        <f t="shared" si="56"/>
        <v>8.3333333333333332E-3</v>
      </c>
      <c r="F1406">
        <v>145</v>
      </c>
      <c r="G1406">
        <f>LOG(382/(145+1))</f>
        <v>0.41771050712727159</v>
      </c>
      <c r="H1406">
        <f>0.00833333333333333*0.961813986898238</f>
        <v>8.0151165574853141E-3</v>
      </c>
      <c r="I1406">
        <v>8.0151165574853227E-3</v>
      </c>
    </row>
    <row r="1407" spans="1:9" x14ac:dyDescent="0.25">
      <c r="A1407">
        <v>239</v>
      </c>
      <c r="B1407" t="s">
        <v>813</v>
      </c>
      <c r="C1407" t="s">
        <v>48</v>
      </c>
      <c r="D1407" t="s">
        <v>646</v>
      </c>
      <c r="E1407">
        <f t="shared" si="56"/>
        <v>8.3333333333333332E-3</v>
      </c>
      <c r="F1407">
        <v>3</v>
      </c>
      <c r="G1407">
        <f>LOG(382/(3+1))</f>
        <v>1.9800033715837464</v>
      </c>
      <c r="H1407">
        <f>0.00833333333333333*4.55912624748668</f>
        <v>3.7992718729055651E-2</v>
      </c>
      <c r="I1407">
        <v>3.7992718729055713E-2</v>
      </c>
    </row>
    <row r="1408" spans="1:9" x14ac:dyDescent="0.25">
      <c r="A1408">
        <v>239</v>
      </c>
      <c r="B1408" t="s">
        <v>813</v>
      </c>
      <c r="C1408" t="s">
        <v>48</v>
      </c>
      <c r="D1408" t="s">
        <v>849</v>
      </c>
      <c r="E1408">
        <f t="shared" si="56"/>
        <v>8.3333333333333332E-3</v>
      </c>
      <c r="F1408">
        <v>1</v>
      </c>
      <c r="G1408">
        <f>LOG(382/(1+1))</f>
        <v>2.2810333672477277</v>
      </c>
      <c r="H1408">
        <f>0.00833333333333333*5.25227342804663</f>
        <v>4.37689452337219E-2</v>
      </c>
      <c r="I1408">
        <v>4.3768945233721913E-2</v>
      </c>
    </row>
    <row r="1409" spans="1:9" x14ac:dyDescent="0.25">
      <c r="A1409">
        <v>239</v>
      </c>
      <c r="B1409" t="s">
        <v>813</v>
      </c>
      <c r="C1409" t="s">
        <v>48</v>
      </c>
      <c r="D1409" t="s">
        <v>236</v>
      </c>
      <c r="E1409">
        <f t="shared" si="56"/>
        <v>8.3333333333333332E-3</v>
      </c>
      <c r="F1409">
        <v>87</v>
      </c>
      <c r="G1409">
        <f>LOG(382/(87+1))</f>
        <v>0.63758069076154011</v>
      </c>
      <c r="H1409">
        <f>0.00833333333333333*1.46808379412836</f>
        <v>1.2234031617736328E-2</v>
      </c>
      <c r="I1409">
        <v>1.22340316177364E-2</v>
      </c>
    </row>
    <row r="1410" spans="1:9" x14ac:dyDescent="0.25">
      <c r="A1410">
        <v>239</v>
      </c>
      <c r="B1410" t="s">
        <v>813</v>
      </c>
      <c r="C1410" t="s">
        <v>48</v>
      </c>
      <c r="D1410" t="s">
        <v>850</v>
      </c>
      <c r="E1410">
        <f t="shared" si="56"/>
        <v>8.3333333333333332E-3</v>
      </c>
      <c r="F1410">
        <v>14</v>
      </c>
      <c r="G1410">
        <f>LOG(382/(14+1))</f>
        <v>1.4059721038560276</v>
      </c>
      <c r="H1410">
        <f>0.00833333333333333*3.23737040750436</f>
        <v>2.6978086729202988E-2</v>
      </c>
      <c r="I1410">
        <v>2.697808672920304E-2</v>
      </c>
    </row>
    <row r="1411" spans="1:9" x14ac:dyDescent="0.25">
      <c r="A1411">
        <v>239</v>
      </c>
      <c r="B1411" t="s">
        <v>813</v>
      </c>
      <c r="C1411" t="s">
        <v>48</v>
      </c>
      <c r="D1411" t="s">
        <v>851</v>
      </c>
      <c r="E1411">
        <f t="shared" si="56"/>
        <v>8.3333333333333332E-3</v>
      </c>
      <c r="F1411">
        <v>8</v>
      </c>
      <c r="G1411">
        <f>LOG(382/(8+1))</f>
        <v>1.6278208534723839</v>
      </c>
      <c r="H1411">
        <f>0.00833333333333333*3.74819603127035</f>
        <v>3.1234966927252902E-2</v>
      </c>
      <c r="I1411">
        <v>3.1234966927252961E-2</v>
      </c>
    </row>
    <row r="1412" spans="1:9" x14ac:dyDescent="0.25">
      <c r="A1412">
        <v>239</v>
      </c>
      <c r="B1412" t="s">
        <v>813</v>
      </c>
      <c r="C1412" t="s">
        <v>48</v>
      </c>
      <c r="D1412" t="s">
        <v>444</v>
      </c>
      <c r="E1412">
        <f t="shared" si="56"/>
        <v>8.3333333333333332E-3</v>
      </c>
      <c r="F1412">
        <v>28</v>
      </c>
      <c r="G1412">
        <f>LOG(382/(28+1))</f>
        <v>1.1196653650127526</v>
      </c>
      <c r="H1412">
        <f>0.00833333333333333*2.5781247786201</f>
        <v>2.1484373155167488E-2</v>
      </c>
      <c r="I1412">
        <v>2.1484373155167508E-2</v>
      </c>
    </row>
    <row r="1413" spans="1:9" x14ac:dyDescent="0.25">
      <c r="A1413">
        <v>239</v>
      </c>
      <c r="B1413" t="s">
        <v>813</v>
      </c>
      <c r="C1413" t="s">
        <v>48</v>
      </c>
      <c r="D1413" t="s">
        <v>445</v>
      </c>
      <c r="E1413">
        <f t="shared" si="56"/>
        <v>8.3333333333333332E-3</v>
      </c>
      <c r="F1413">
        <v>35</v>
      </c>
      <c r="G1413">
        <f>LOG(382/(35+1))</f>
        <v>1.0257608621444214</v>
      </c>
      <c r="H1413">
        <f>0.00833333333333333*2.36190167015046</f>
        <v>1.9682513917920492E-2</v>
      </c>
      <c r="I1413">
        <v>1.968251391792054E-2</v>
      </c>
    </row>
    <row r="1414" spans="1:9" x14ac:dyDescent="0.25">
      <c r="A1414">
        <v>239</v>
      </c>
      <c r="B1414" t="s">
        <v>813</v>
      </c>
      <c r="C1414" t="s">
        <v>48</v>
      </c>
      <c r="D1414" t="s">
        <v>852</v>
      </c>
      <c r="E1414">
        <f t="shared" si="56"/>
        <v>8.3333333333333332E-3</v>
      </c>
      <c r="F1414">
        <v>10</v>
      </c>
      <c r="G1414">
        <f>LOG(382/(10+1))</f>
        <v>1.5406706777534838</v>
      </c>
      <c r="H1414">
        <f>0.00833333333333333*3.5475253358082</f>
        <v>2.9562711131734989E-2</v>
      </c>
      <c r="I1414">
        <v>2.9562711131735041E-2</v>
      </c>
    </row>
    <row r="1415" spans="1:9" x14ac:dyDescent="0.25">
      <c r="A1415">
        <v>239</v>
      </c>
      <c r="B1415" t="s">
        <v>813</v>
      </c>
      <c r="C1415" t="s">
        <v>48</v>
      </c>
      <c r="D1415" t="s">
        <v>379</v>
      </c>
      <c r="E1415">
        <f t="shared" si="56"/>
        <v>8.3333333333333332E-3</v>
      </c>
      <c r="F1415">
        <v>17</v>
      </c>
      <c r="G1415">
        <f>LOG(382/(17+1))</f>
        <v>1.3267908578084027</v>
      </c>
      <c r="H1415">
        <f>0.00833333333333333*3.05504885071041</f>
        <v>2.5458740422586737E-2</v>
      </c>
      <c r="I1415">
        <v>2.5458740422586751E-2</v>
      </c>
    </row>
    <row r="1416" spans="1:9" x14ac:dyDescent="0.25">
      <c r="A1416">
        <v>239</v>
      </c>
      <c r="B1416" t="s">
        <v>813</v>
      </c>
      <c r="C1416" t="s">
        <v>48</v>
      </c>
      <c r="D1416" t="s">
        <v>301</v>
      </c>
      <c r="E1416">
        <f t="shared" si="56"/>
        <v>8.3333333333333332E-3</v>
      </c>
      <c r="F1416">
        <v>5</v>
      </c>
      <c r="G1416">
        <f>LOG(382/(5+1))</f>
        <v>1.803912112528065</v>
      </c>
      <c r="H1416">
        <f>0.00833333333333333*4.15366113937852</f>
        <v>3.4613842828154315E-2</v>
      </c>
      <c r="I1416">
        <v>3.4613842828154329E-2</v>
      </c>
    </row>
    <row r="1417" spans="1:9" x14ac:dyDescent="0.25">
      <c r="A1417">
        <v>239</v>
      </c>
      <c r="B1417" t="s">
        <v>813</v>
      </c>
      <c r="C1417" t="s">
        <v>48</v>
      </c>
      <c r="D1417" t="s">
        <v>853</v>
      </c>
      <c r="E1417">
        <f>2/120</f>
        <v>1.6666666666666666E-2</v>
      </c>
      <c r="F1417">
        <v>1</v>
      </c>
      <c r="G1417">
        <f>LOG(382/(1+1))</f>
        <v>2.2810333672477277</v>
      </c>
      <c r="H1417">
        <f>0.0166666666666666*5.25227342804663</f>
        <v>8.753789046744348E-2</v>
      </c>
      <c r="I1417">
        <v>8.7537890467443827E-2</v>
      </c>
    </row>
    <row r="1418" spans="1:9" x14ac:dyDescent="0.25">
      <c r="A1418">
        <v>239</v>
      </c>
      <c r="B1418" t="s">
        <v>813</v>
      </c>
      <c r="C1418" t="s">
        <v>48</v>
      </c>
      <c r="D1418" t="s">
        <v>279</v>
      </c>
      <c r="E1418">
        <f t="shared" ref="E1418:E1431" si="57">1/120</f>
        <v>8.3333333333333332E-3</v>
      </c>
      <c r="F1418">
        <v>22</v>
      </c>
      <c r="G1418">
        <f>LOG(382/(22+1))</f>
        <v>1.2203355268941158</v>
      </c>
      <c r="H1418">
        <f>0.00833333333333333*2.80992639267742</f>
        <v>2.3416053272311822E-2</v>
      </c>
      <c r="I1418">
        <v>2.3416053272311881E-2</v>
      </c>
    </row>
    <row r="1419" spans="1:9" x14ac:dyDescent="0.25">
      <c r="A1419">
        <v>239</v>
      </c>
      <c r="B1419" t="s">
        <v>813</v>
      </c>
      <c r="C1419" t="s">
        <v>48</v>
      </c>
      <c r="D1419" t="s">
        <v>854</v>
      </c>
      <c r="E1419">
        <f t="shared" si="57"/>
        <v>8.3333333333333332E-3</v>
      </c>
      <c r="F1419">
        <v>1</v>
      </c>
      <c r="G1419">
        <f>LOG(382/(1+1))</f>
        <v>2.2810333672477277</v>
      </c>
      <c r="H1419">
        <f>0.00833333333333333*5.25227342804663</f>
        <v>4.37689452337219E-2</v>
      </c>
      <c r="I1419">
        <v>4.3768945233721913E-2</v>
      </c>
    </row>
    <row r="1420" spans="1:9" x14ac:dyDescent="0.25">
      <c r="A1420">
        <v>239</v>
      </c>
      <c r="B1420" t="s">
        <v>813</v>
      </c>
      <c r="C1420" t="s">
        <v>48</v>
      </c>
      <c r="D1420" t="s">
        <v>855</v>
      </c>
      <c r="E1420">
        <f t="shared" si="57"/>
        <v>8.3333333333333332E-3</v>
      </c>
      <c r="F1420">
        <v>2</v>
      </c>
      <c r="G1420">
        <f>LOG(382/(2+1))</f>
        <v>2.1049421081920463</v>
      </c>
      <c r="H1420">
        <f>0.00833333333333333*4.84680831993846</f>
        <v>4.039006933282048E-2</v>
      </c>
      <c r="I1420">
        <v>4.0390069332820543E-2</v>
      </c>
    </row>
    <row r="1421" spans="1:9" x14ac:dyDescent="0.25">
      <c r="A1421">
        <v>239</v>
      </c>
      <c r="B1421" t="s">
        <v>813</v>
      </c>
      <c r="C1421" t="s">
        <v>48</v>
      </c>
      <c r="D1421" t="s">
        <v>204</v>
      </c>
      <c r="E1421">
        <f t="shared" si="57"/>
        <v>8.3333333333333332E-3</v>
      </c>
      <c r="F1421">
        <v>166</v>
      </c>
      <c r="G1421">
        <f>LOG(382/(166+1))</f>
        <v>0.35934689176412549</v>
      </c>
      <c r="H1421">
        <f>0.00833333333333333*0.82742679618982</f>
        <v>6.8952233015818296E-3</v>
      </c>
      <c r="I1421">
        <v>6.895223301581834E-3</v>
      </c>
    </row>
    <row r="1422" spans="1:9" x14ac:dyDescent="0.25">
      <c r="A1422">
        <v>239</v>
      </c>
      <c r="B1422" t="s">
        <v>813</v>
      </c>
      <c r="C1422" t="s">
        <v>48</v>
      </c>
      <c r="D1422" t="s">
        <v>856</v>
      </c>
      <c r="E1422">
        <f t="shared" si="57"/>
        <v>8.3333333333333332E-3</v>
      </c>
      <c r="F1422">
        <v>3</v>
      </c>
      <c r="G1422">
        <f>LOG(382/(3+1))</f>
        <v>1.9800033715837464</v>
      </c>
      <c r="H1422">
        <f>0.00833333333333333*4.55912624748668</f>
        <v>3.7992718729055651E-2</v>
      </c>
      <c r="I1422">
        <v>3.7992718729055713E-2</v>
      </c>
    </row>
    <row r="1423" spans="1:9" x14ac:dyDescent="0.25">
      <c r="A1423">
        <v>239</v>
      </c>
      <c r="B1423" t="s">
        <v>813</v>
      </c>
      <c r="C1423" t="s">
        <v>48</v>
      </c>
      <c r="D1423" t="s">
        <v>241</v>
      </c>
      <c r="E1423">
        <f t="shared" si="57"/>
        <v>8.3333333333333332E-3</v>
      </c>
      <c r="F1423">
        <v>19</v>
      </c>
      <c r="G1423">
        <f>LOG(382/(19+1))</f>
        <v>1.2810333672477277</v>
      </c>
      <c r="H1423">
        <f>0.00833333333333333*2.94968833505258</f>
        <v>2.4580736125438155E-2</v>
      </c>
      <c r="I1423">
        <v>2.45807361254382E-2</v>
      </c>
    </row>
    <row r="1424" spans="1:9" x14ac:dyDescent="0.25">
      <c r="A1424">
        <v>239</v>
      </c>
      <c r="B1424" t="s">
        <v>813</v>
      </c>
      <c r="C1424" t="s">
        <v>48</v>
      </c>
      <c r="D1424" t="s">
        <v>52</v>
      </c>
      <c r="E1424">
        <f t="shared" si="57"/>
        <v>8.3333333333333332E-3</v>
      </c>
      <c r="F1424">
        <v>35</v>
      </c>
      <c r="G1424">
        <f>LOG(382/(35+1))</f>
        <v>1.0257608621444214</v>
      </c>
      <c r="H1424">
        <f>0.00833333333333333*2.36190167015046</f>
        <v>1.9682513917920492E-2</v>
      </c>
      <c r="I1424">
        <v>1.968251391792054E-2</v>
      </c>
    </row>
    <row r="1425" spans="1:9" x14ac:dyDescent="0.25">
      <c r="A1425">
        <v>239</v>
      </c>
      <c r="B1425" t="s">
        <v>813</v>
      </c>
      <c r="C1425" t="s">
        <v>48</v>
      </c>
      <c r="D1425" t="s">
        <v>53</v>
      </c>
      <c r="E1425">
        <f t="shared" si="57"/>
        <v>8.3333333333333332E-3</v>
      </c>
      <c r="F1425">
        <v>57</v>
      </c>
      <c r="G1425">
        <f>LOG(382/(57+1))</f>
        <v>0.81863536934877146</v>
      </c>
      <c r="H1425">
        <f>0.00833333333333333*1.88497759806015</f>
        <v>1.5708146650501242E-2</v>
      </c>
      <c r="I1425">
        <v>1.5708146650501301E-2</v>
      </c>
    </row>
    <row r="1426" spans="1:9" x14ac:dyDescent="0.25">
      <c r="A1426">
        <v>239</v>
      </c>
      <c r="B1426" t="s">
        <v>813</v>
      </c>
      <c r="C1426" t="s">
        <v>48</v>
      </c>
      <c r="D1426" t="s">
        <v>857</v>
      </c>
      <c r="E1426">
        <f t="shared" si="57"/>
        <v>8.3333333333333332E-3</v>
      </c>
      <c r="F1426">
        <v>5</v>
      </c>
      <c r="G1426">
        <f>LOG(382/(5+1))</f>
        <v>1.803912112528065</v>
      </c>
      <c r="H1426">
        <f>0.00833333333333333*4.15366113937852</f>
        <v>3.4613842828154315E-2</v>
      </c>
      <c r="I1426">
        <v>3.4613842828154329E-2</v>
      </c>
    </row>
    <row r="1427" spans="1:9" x14ac:dyDescent="0.25">
      <c r="A1427">
        <v>239</v>
      </c>
      <c r="B1427" t="s">
        <v>813</v>
      </c>
      <c r="C1427" t="s">
        <v>48</v>
      </c>
      <c r="D1427" t="s">
        <v>50</v>
      </c>
      <c r="E1427">
        <f t="shared" si="57"/>
        <v>8.3333333333333332E-3</v>
      </c>
      <c r="F1427">
        <v>109</v>
      </c>
      <c r="G1427">
        <f>LOG(382/(109+1))</f>
        <v>0.54067067775348365</v>
      </c>
      <c r="H1427">
        <f>0.00833333333333333*1.24494024281415</f>
        <v>1.0374502023451245E-2</v>
      </c>
      <c r="I1427">
        <v>1.037450202345132E-2</v>
      </c>
    </row>
    <row r="1428" spans="1:9" x14ac:dyDescent="0.25">
      <c r="A1428">
        <v>239</v>
      </c>
      <c r="B1428" t="s">
        <v>813</v>
      </c>
      <c r="C1428" t="s">
        <v>48</v>
      </c>
      <c r="D1428" t="s">
        <v>363</v>
      </c>
      <c r="E1428">
        <f t="shared" si="57"/>
        <v>8.3333333333333332E-3</v>
      </c>
      <c r="F1428">
        <v>36</v>
      </c>
      <c r="G1428">
        <f>LOG(382/(36+1))</f>
        <v>1.0138616388447137</v>
      </c>
      <c r="H1428">
        <f>0.00833333333333333*2.33450269596235</f>
        <v>1.9454189133019575E-2</v>
      </c>
      <c r="I1428">
        <v>1.9454189133019589E-2</v>
      </c>
    </row>
    <row r="1429" spans="1:9" x14ac:dyDescent="0.25">
      <c r="A1429">
        <v>239</v>
      </c>
      <c r="B1429" t="s">
        <v>813</v>
      </c>
      <c r="C1429" t="s">
        <v>48</v>
      </c>
      <c r="D1429" t="s">
        <v>243</v>
      </c>
      <c r="E1429">
        <f t="shared" si="57"/>
        <v>8.3333333333333332E-3</v>
      </c>
      <c r="F1429">
        <v>131</v>
      </c>
      <c r="G1429">
        <f>LOG(382/(131+1))</f>
        <v>0.46148943170585888</v>
      </c>
      <c r="H1429">
        <f>0.00833333333333333*1.0626186860202</f>
        <v>8.8551557168349958E-3</v>
      </c>
      <c r="I1429">
        <v>8.8551557168350357E-3</v>
      </c>
    </row>
    <row r="1430" spans="1:9" x14ac:dyDescent="0.25">
      <c r="A1430">
        <v>239</v>
      </c>
      <c r="B1430" t="s">
        <v>813</v>
      </c>
      <c r="C1430" t="s">
        <v>48</v>
      </c>
      <c r="D1430" t="s">
        <v>124</v>
      </c>
      <c r="E1430">
        <f t="shared" si="57"/>
        <v>8.3333333333333332E-3</v>
      </c>
      <c r="F1430">
        <v>9</v>
      </c>
      <c r="G1430">
        <f>LOG(382/(9+1))</f>
        <v>1.5820633629117087</v>
      </c>
      <c r="H1430">
        <f>0.00833333333333333*3.64283551561252</f>
        <v>3.0356962630104321E-2</v>
      </c>
      <c r="I1430">
        <v>3.0356962630104411E-2</v>
      </c>
    </row>
    <row r="1431" spans="1:9" x14ac:dyDescent="0.25">
      <c r="A1431">
        <v>239</v>
      </c>
      <c r="B1431" t="s">
        <v>813</v>
      </c>
      <c r="C1431" t="s">
        <v>48</v>
      </c>
      <c r="D1431" t="s">
        <v>342</v>
      </c>
      <c r="E1431">
        <f t="shared" si="57"/>
        <v>8.3333333333333332E-3</v>
      </c>
      <c r="F1431">
        <v>35</v>
      </c>
      <c r="G1431">
        <f>LOG(382/(35+1))</f>
        <v>1.0257608621444214</v>
      </c>
      <c r="H1431">
        <f>0.00833333333333333*2.36190167015046</f>
        <v>1.9682513917920492E-2</v>
      </c>
      <c r="I1431">
        <v>1.968251391792054E-2</v>
      </c>
    </row>
    <row r="1432" spans="1:9" x14ac:dyDescent="0.25">
      <c r="A1432">
        <v>242</v>
      </c>
      <c r="B1432" t="s">
        <v>858</v>
      </c>
      <c r="C1432" t="s">
        <v>48</v>
      </c>
      <c r="D1432" t="s">
        <v>859</v>
      </c>
      <c r="E1432">
        <f>2/70</f>
        <v>2.8571428571428571E-2</v>
      </c>
      <c r="F1432">
        <v>6</v>
      </c>
      <c r="G1432">
        <f>LOG(382/(6+1))</f>
        <v>1.736965322897452</v>
      </c>
      <c r="H1432">
        <f>0.0285714285714285*3.99951045955126</f>
        <v>0.11427172741575001</v>
      </c>
      <c r="I1432">
        <v>0.1142717274157503</v>
      </c>
    </row>
    <row r="1433" spans="1:9" x14ac:dyDescent="0.25">
      <c r="A1433">
        <v>242</v>
      </c>
      <c r="B1433" t="s">
        <v>858</v>
      </c>
      <c r="C1433" t="s">
        <v>48</v>
      </c>
      <c r="D1433" t="s">
        <v>41</v>
      </c>
      <c r="E1433">
        <f>2/70</f>
        <v>2.8571428571428571E-2</v>
      </c>
      <c r="F1433">
        <v>195</v>
      </c>
      <c r="G1433">
        <f>LOG(382/(195+1))</f>
        <v>0.28980729155523272</v>
      </c>
      <c r="H1433">
        <f>0.0285714285714285*0.667305949376058</f>
        <v>1.9065884267887325E-2</v>
      </c>
      <c r="I1433">
        <v>1.906588426788737E-2</v>
      </c>
    </row>
    <row r="1434" spans="1:9" x14ac:dyDescent="0.25">
      <c r="A1434">
        <v>242</v>
      </c>
      <c r="B1434" t="s">
        <v>858</v>
      </c>
      <c r="C1434" t="s">
        <v>48</v>
      </c>
      <c r="D1434" t="s">
        <v>860</v>
      </c>
      <c r="E1434">
        <f>1/70</f>
        <v>1.4285714285714285E-2</v>
      </c>
      <c r="F1434">
        <v>1</v>
      </c>
      <c r="G1434">
        <f>LOG(382/(1+1))</f>
        <v>2.2810333672477277</v>
      </c>
      <c r="H1434">
        <f>0.0142857142857142*5.25227342804663</f>
        <v>7.5032477543522838E-2</v>
      </c>
      <c r="I1434">
        <v>7.5032477543523282E-2</v>
      </c>
    </row>
    <row r="1435" spans="1:9" x14ac:dyDescent="0.25">
      <c r="A1435">
        <v>242</v>
      </c>
      <c r="B1435" t="s">
        <v>858</v>
      </c>
      <c r="C1435" t="s">
        <v>48</v>
      </c>
      <c r="D1435" t="s">
        <v>861</v>
      </c>
      <c r="E1435">
        <f>2/70</f>
        <v>2.8571428571428571E-2</v>
      </c>
      <c r="F1435">
        <v>2</v>
      </c>
      <c r="G1435">
        <f>LOG(382/(2+1))</f>
        <v>2.1049421081920463</v>
      </c>
      <c r="H1435">
        <f>0.0285714285714285*4.84680831993846</f>
        <v>0.1384802377125271</v>
      </c>
      <c r="I1435">
        <v>0.1384802377125276</v>
      </c>
    </row>
    <row r="1436" spans="1:9" x14ac:dyDescent="0.25">
      <c r="A1436">
        <v>242</v>
      </c>
      <c r="B1436" t="s">
        <v>858</v>
      </c>
      <c r="C1436" t="s">
        <v>48</v>
      </c>
      <c r="D1436" t="s">
        <v>862</v>
      </c>
      <c r="E1436">
        <f t="shared" ref="E1436:E1444" si="58">1/70</f>
        <v>1.4285714285714285E-2</v>
      </c>
      <c r="F1436">
        <v>1</v>
      </c>
      <c r="G1436">
        <f>LOG(382/(1+1))</f>
        <v>2.2810333672477277</v>
      </c>
      <c r="H1436">
        <f>0.0142857142857142*5.25227342804663</f>
        <v>7.5032477543522838E-2</v>
      </c>
      <c r="I1436">
        <v>7.5032477543523282E-2</v>
      </c>
    </row>
    <row r="1437" spans="1:9" x14ac:dyDescent="0.25">
      <c r="A1437">
        <v>242</v>
      </c>
      <c r="B1437" t="s">
        <v>858</v>
      </c>
      <c r="C1437" t="s">
        <v>48</v>
      </c>
      <c r="D1437" t="s">
        <v>863</v>
      </c>
      <c r="E1437">
        <f t="shared" si="58"/>
        <v>1.4285714285714285E-2</v>
      </c>
      <c r="F1437">
        <v>14</v>
      </c>
      <c r="G1437">
        <f>LOG(382/(14+1))</f>
        <v>1.4059721038560276</v>
      </c>
      <c r="H1437">
        <f>0.0142857142857142*3.23737040750436</f>
        <v>4.6248148678633437E-2</v>
      </c>
      <c r="I1437">
        <v>4.6248148678633791E-2</v>
      </c>
    </row>
    <row r="1438" spans="1:9" x14ac:dyDescent="0.25">
      <c r="A1438">
        <v>242</v>
      </c>
      <c r="B1438" t="s">
        <v>858</v>
      </c>
      <c r="C1438" t="s">
        <v>48</v>
      </c>
      <c r="D1438" t="s">
        <v>864</v>
      </c>
      <c r="E1438">
        <f t="shared" si="58"/>
        <v>1.4285714285714285E-2</v>
      </c>
      <c r="F1438">
        <v>1</v>
      </c>
      <c r="G1438">
        <f>LOG(382/(1+1))</f>
        <v>2.2810333672477277</v>
      </c>
      <c r="H1438">
        <f>0.0142857142857142*5.25227342804663</f>
        <v>7.5032477543522838E-2</v>
      </c>
      <c r="I1438">
        <v>7.5032477543523282E-2</v>
      </c>
    </row>
    <row r="1439" spans="1:9" x14ac:dyDescent="0.25">
      <c r="A1439">
        <v>242</v>
      </c>
      <c r="B1439" t="s">
        <v>858</v>
      </c>
      <c r="C1439" t="s">
        <v>48</v>
      </c>
      <c r="D1439" t="s">
        <v>865</v>
      </c>
      <c r="E1439">
        <f t="shared" si="58"/>
        <v>1.4285714285714285E-2</v>
      </c>
      <c r="F1439">
        <v>13</v>
      </c>
      <c r="G1439">
        <f>LOG(382/(13+1))</f>
        <v>1.4359353272334707</v>
      </c>
      <c r="H1439">
        <f>0.0142857142857142*3.30636327899131</f>
        <v>4.7233761128447009E-2</v>
      </c>
      <c r="I1439">
        <v>4.7233761128447377E-2</v>
      </c>
    </row>
    <row r="1440" spans="1:9" x14ac:dyDescent="0.25">
      <c r="A1440">
        <v>242</v>
      </c>
      <c r="B1440" t="s">
        <v>858</v>
      </c>
      <c r="C1440" t="s">
        <v>48</v>
      </c>
      <c r="D1440" t="s">
        <v>866</v>
      </c>
      <c r="E1440">
        <f t="shared" si="58"/>
        <v>1.4285714285714285E-2</v>
      </c>
      <c r="F1440">
        <v>1</v>
      </c>
      <c r="G1440">
        <f>LOG(382/(1+1))</f>
        <v>2.2810333672477277</v>
      </c>
      <c r="H1440">
        <f>0.0142857142857142*5.25227342804663</f>
        <v>7.5032477543522838E-2</v>
      </c>
      <c r="I1440">
        <v>7.5032477543523282E-2</v>
      </c>
    </row>
    <row r="1441" spans="1:9" x14ac:dyDescent="0.25">
      <c r="A1441">
        <v>242</v>
      </c>
      <c r="B1441" t="s">
        <v>858</v>
      </c>
      <c r="C1441" t="s">
        <v>48</v>
      </c>
      <c r="D1441" t="s">
        <v>867</v>
      </c>
      <c r="E1441">
        <f t="shared" si="58"/>
        <v>1.4285714285714285E-2</v>
      </c>
      <c r="F1441">
        <v>1</v>
      </c>
      <c r="G1441">
        <f>LOG(382/(1+1))</f>
        <v>2.2810333672477277</v>
      </c>
      <c r="H1441">
        <f>0.0142857142857142*5.25227342804663</f>
        <v>7.5032477543522838E-2</v>
      </c>
      <c r="I1441">
        <v>7.5032477543523282E-2</v>
      </c>
    </row>
    <row r="1442" spans="1:9" x14ac:dyDescent="0.25">
      <c r="A1442">
        <v>242</v>
      </c>
      <c r="B1442" t="s">
        <v>858</v>
      </c>
      <c r="C1442" t="s">
        <v>48</v>
      </c>
      <c r="D1442" t="s">
        <v>415</v>
      </c>
      <c r="E1442">
        <f t="shared" si="58"/>
        <v>1.4285714285714285E-2</v>
      </c>
      <c r="F1442">
        <v>6</v>
      </c>
      <c r="G1442">
        <f>LOG(382/(6+1))</f>
        <v>1.736965322897452</v>
      </c>
      <c r="H1442">
        <f>0.0142857142857142*3.99951045955126</f>
        <v>5.7135863707874802E-2</v>
      </c>
      <c r="I1442">
        <v>5.713586370787517E-2</v>
      </c>
    </row>
    <row r="1443" spans="1:9" x14ac:dyDescent="0.25">
      <c r="A1443">
        <v>242</v>
      </c>
      <c r="B1443" t="s">
        <v>858</v>
      </c>
      <c r="C1443" t="s">
        <v>48</v>
      </c>
      <c r="D1443" t="s">
        <v>868</v>
      </c>
      <c r="E1443">
        <f t="shared" si="58"/>
        <v>1.4285714285714285E-2</v>
      </c>
      <c r="F1443">
        <v>1</v>
      </c>
      <c r="G1443">
        <f>LOG(382/(1+1))</f>
        <v>2.2810333672477277</v>
      </c>
      <c r="H1443">
        <f>0.0142857142857142*5.25227342804663</f>
        <v>7.5032477543522838E-2</v>
      </c>
      <c r="I1443">
        <v>7.5032477543523282E-2</v>
      </c>
    </row>
    <row r="1444" spans="1:9" x14ac:dyDescent="0.25">
      <c r="A1444">
        <v>242</v>
      </c>
      <c r="B1444" t="s">
        <v>858</v>
      </c>
      <c r="C1444" t="s">
        <v>48</v>
      </c>
      <c r="D1444" t="s">
        <v>869</v>
      </c>
      <c r="E1444">
        <f t="shared" si="58"/>
        <v>1.4285714285714285E-2</v>
      </c>
      <c r="F1444">
        <v>3</v>
      </c>
      <c r="G1444">
        <f>LOG(382/(3+1))</f>
        <v>1.9800033715837464</v>
      </c>
      <c r="H1444">
        <f>0.0142857142857142*4.55912624748668</f>
        <v>6.5130374964095045E-2</v>
      </c>
      <c r="I1444">
        <v>6.5130374964095489E-2</v>
      </c>
    </row>
    <row r="1445" spans="1:9" x14ac:dyDescent="0.25">
      <c r="A1445">
        <v>242</v>
      </c>
      <c r="B1445" t="s">
        <v>858</v>
      </c>
      <c r="C1445" t="s">
        <v>48</v>
      </c>
      <c r="D1445" t="s">
        <v>870</v>
      </c>
      <c r="E1445">
        <f>2/70</f>
        <v>2.8571428571428571E-2</v>
      </c>
      <c r="F1445">
        <v>2</v>
      </c>
      <c r="G1445">
        <f>LOG(382/(2+1))</f>
        <v>2.1049421081920463</v>
      </c>
      <c r="H1445">
        <f>0.0285714285714285*4.84680831993846</f>
        <v>0.1384802377125271</v>
      </c>
      <c r="I1445">
        <v>0.1384802377125276</v>
      </c>
    </row>
    <row r="1446" spans="1:9" x14ac:dyDescent="0.25">
      <c r="A1446">
        <v>242</v>
      </c>
      <c r="B1446" t="s">
        <v>858</v>
      </c>
      <c r="C1446" t="s">
        <v>48</v>
      </c>
      <c r="D1446" t="s">
        <v>871</v>
      </c>
      <c r="E1446">
        <f>2/70</f>
        <v>2.8571428571428571E-2</v>
      </c>
      <c r="F1446">
        <v>9</v>
      </c>
      <c r="G1446">
        <f>LOG(382/(9+1))</f>
        <v>1.5820633629117087</v>
      </c>
      <c r="H1446">
        <f>0.0285714285714285*3.64283551561252</f>
        <v>0.10408101473178603</v>
      </c>
      <c r="I1446">
        <v>0.10408101473178651</v>
      </c>
    </row>
    <row r="1447" spans="1:9" x14ac:dyDescent="0.25">
      <c r="A1447">
        <v>242</v>
      </c>
      <c r="B1447" t="s">
        <v>858</v>
      </c>
      <c r="C1447" t="s">
        <v>48</v>
      </c>
      <c r="D1447" t="s">
        <v>872</v>
      </c>
      <c r="E1447">
        <f>2/70</f>
        <v>2.8571428571428571E-2</v>
      </c>
      <c r="F1447">
        <v>9</v>
      </c>
      <c r="G1447">
        <f>LOG(382/(9+1))</f>
        <v>1.5820633629117087</v>
      </c>
      <c r="H1447">
        <f>0.0285714285714285*3.64283551561252</f>
        <v>0.10408101473178603</v>
      </c>
      <c r="I1447">
        <v>0.10408101473178651</v>
      </c>
    </row>
    <row r="1448" spans="1:9" x14ac:dyDescent="0.25">
      <c r="A1448">
        <v>242</v>
      </c>
      <c r="B1448" t="s">
        <v>858</v>
      </c>
      <c r="C1448" t="s">
        <v>48</v>
      </c>
      <c r="D1448" t="s">
        <v>168</v>
      </c>
      <c r="E1448">
        <f>3/70</f>
        <v>4.2857142857142858E-2</v>
      </c>
      <c r="F1448">
        <v>34</v>
      </c>
      <c r="G1448">
        <f>LOG(382/(34+1))</f>
        <v>1.037995318561433</v>
      </c>
      <c r="H1448">
        <f>0.0428571428571428*2.39007254711716</f>
        <v>0.10243168059073529</v>
      </c>
      <c r="I1448">
        <v>0.1024316805907355</v>
      </c>
    </row>
    <row r="1449" spans="1:9" x14ac:dyDescent="0.25">
      <c r="A1449">
        <v>242</v>
      </c>
      <c r="B1449" t="s">
        <v>858</v>
      </c>
      <c r="C1449" t="s">
        <v>48</v>
      </c>
      <c r="D1449" t="s">
        <v>192</v>
      </c>
      <c r="E1449">
        <f>2/70</f>
        <v>2.8571428571428571E-2</v>
      </c>
      <c r="F1449">
        <v>5</v>
      </c>
      <c r="G1449">
        <f>LOG(382/(5+1))</f>
        <v>1.803912112528065</v>
      </c>
      <c r="H1449">
        <f>0.0285714285714285*4.15366113937852</f>
        <v>0.11867603255367171</v>
      </c>
      <c r="I1449">
        <v>0.118676032553672</v>
      </c>
    </row>
    <row r="1450" spans="1:9" x14ac:dyDescent="0.25">
      <c r="A1450">
        <v>242</v>
      </c>
      <c r="B1450" t="s">
        <v>858</v>
      </c>
      <c r="C1450" t="s">
        <v>48</v>
      </c>
      <c r="D1450" t="s">
        <v>193</v>
      </c>
      <c r="E1450">
        <f>1/70</f>
        <v>1.4285714285714285E-2</v>
      </c>
      <c r="F1450">
        <v>10</v>
      </c>
      <c r="G1450">
        <f>LOG(382/(10+1))</f>
        <v>1.5406706777534838</v>
      </c>
      <c r="H1450">
        <f>0.0142857142857142*3.5475253358082</f>
        <v>5.067893336868827E-2</v>
      </c>
      <c r="I1450">
        <v>5.0678933368688638E-2</v>
      </c>
    </row>
    <row r="1451" spans="1:9" x14ac:dyDescent="0.25">
      <c r="A1451">
        <v>242</v>
      </c>
      <c r="B1451" t="s">
        <v>858</v>
      </c>
      <c r="C1451" t="s">
        <v>48</v>
      </c>
      <c r="D1451" t="s">
        <v>873</v>
      </c>
      <c r="E1451">
        <f>1/70</f>
        <v>1.4285714285714285E-2</v>
      </c>
      <c r="F1451">
        <v>1</v>
      </c>
      <c r="G1451">
        <f>LOG(382/(1+1))</f>
        <v>2.2810333672477277</v>
      </c>
      <c r="H1451">
        <f>0.0142857142857142*5.25227342804663</f>
        <v>7.5032477543522838E-2</v>
      </c>
      <c r="I1451">
        <v>7.5032477543523282E-2</v>
      </c>
    </row>
    <row r="1452" spans="1:9" x14ac:dyDescent="0.25">
      <c r="A1452">
        <v>242</v>
      </c>
      <c r="B1452" t="s">
        <v>858</v>
      </c>
      <c r="C1452" t="s">
        <v>48</v>
      </c>
      <c r="D1452" t="s">
        <v>22</v>
      </c>
      <c r="E1452">
        <f>1/70</f>
        <v>1.4285714285714285E-2</v>
      </c>
      <c r="F1452">
        <v>259</v>
      </c>
      <c r="G1452">
        <f>LOG(382/(259+1))</f>
        <v>0.16709001494089079</v>
      </c>
      <c r="H1452">
        <f>0.0142857142857142*0.384738977591047</f>
        <v>5.496271108443496E-3</v>
      </c>
      <c r="I1452">
        <v>5.4962711084435359E-3</v>
      </c>
    </row>
    <row r="1453" spans="1:9" x14ac:dyDescent="0.25">
      <c r="A1453">
        <v>242</v>
      </c>
      <c r="B1453" t="s">
        <v>858</v>
      </c>
      <c r="C1453" t="s">
        <v>48</v>
      </c>
      <c r="D1453" t="s">
        <v>23</v>
      </c>
      <c r="E1453">
        <f>1/70</f>
        <v>1.4285714285714285E-2</v>
      </c>
      <c r="F1453">
        <v>275</v>
      </c>
      <c r="G1453">
        <f>LOG(382/(275+1))</f>
        <v>0.14115428084649101</v>
      </c>
      <c r="H1453">
        <f>0.0142857142857142*0.325019742889425</f>
        <v>4.6431391841346148E-3</v>
      </c>
      <c r="I1453">
        <v>4.6431391841346452E-3</v>
      </c>
    </row>
    <row r="1454" spans="1:9" x14ac:dyDescent="0.25">
      <c r="A1454">
        <v>242</v>
      </c>
      <c r="B1454" t="s">
        <v>858</v>
      </c>
      <c r="C1454" t="s">
        <v>48</v>
      </c>
      <c r="D1454" t="s">
        <v>204</v>
      </c>
      <c r="E1454">
        <f>1/70</f>
        <v>1.4285714285714285E-2</v>
      </c>
      <c r="F1454">
        <v>166</v>
      </c>
      <c r="G1454">
        <f>LOG(382/(166+1))</f>
        <v>0.35934689176412549</v>
      </c>
      <c r="H1454">
        <f>0.0142857142857142*0.82742679618982</f>
        <v>1.1820382802711643E-2</v>
      </c>
      <c r="I1454">
        <v>1.1820382802711721E-2</v>
      </c>
    </row>
    <row r="1455" spans="1:9" x14ac:dyDescent="0.25">
      <c r="A1455">
        <v>242</v>
      </c>
      <c r="B1455" t="s">
        <v>858</v>
      </c>
      <c r="C1455" t="s">
        <v>48</v>
      </c>
      <c r="D1455" t="s">
        <v>767</v>
      </c>
      <c r="E1455">
        <f>2/70</f>
        <v>2.8571428571428571E-2</v>
      </c>
      <c r="F1455">
        <v>47</v>
      </c>
      <c r="G1455">
        <f>LOG(382/(47+1))</f>
        <v>0.90082212553612151</v>
      </c>
      <c r="H1455">
        <f>0.0285714285714285*2.07421959769868</f>
        <v>5.9263417077105002E-2</v>
      </c>
      <c r="I1455">
        <v>5.9263417077105258E-2</v>
      </c>
    </row>
    <row r="1456" spans="1:9" x14ac:dyDescent="0.25">
      <c r="A1456">
        <v>242</v>
      </c>
      <c r="B1456" t="s">
        <v>858</v>
      </c>
      <c r="C1456" t="s">
        <v>48</v>
      </c>
      <c r="D1456" t="s">
        <v>874</v>
      </c>
      <c r="E1456">
        <f t="shared" ref="E1456:E1467" si="59">1/70</f>
        <v>1.4285714285714285E-2</v>
      </c>
      <c r="F1456">
        <v>4</v>
      </c>
      <c r="G1456">
        <f>LOG(382/(4+1))</f>
        <v>1.8830933585756899</v>
      </c>
      <c r="H1456">
        <f>0.0142857142857142*4.33598269617247</f>
        <v>6.1942609945320637E-2</v>
      </c>
      <c r="I1456">
        <v>6.1942609945321067E-2</v>
      </c>
    </row>
    <row r="1457" spans="1:9" x14ac:dyDescent="0.25">
      <c r="A1457">
        <v>242</v>
      </c>
      <c r="B1457" t="s">
        <v>858</v>
      </c>
      <c r="C1457" t="s">
        <v>48</v>
      </c>
      <c r="D1457" t="s">
        <v>875</v>
      </c>
      <c r="E1457">
        <f t="shared" si="59"/>
        <v>1.4285714285714285E-2</v>
      </c>
      <c r="F1457">
        <v>2</v>
      </c>
      <c r="G1457">
        <f>LOG(382/(2+1))</f>
        <v>2.1049421081920463</v>
      </c>
      <c r="H1457">
        <f>0.0142857142857142*4.84680831993846</f>
        <v>6.92401188562633E-2</v>
      </c>
      <c r="I1457">
        <v>6.9240118856263785E-2</v>
      </c>
    </row>
    <row r="1458" spans="1:9" x14ac:dyDescent="0.25">
      <c r="A1458">
        <v>242</v>
      </c>
      <c r="B1458" t="s">
        <v>858</v>
      </c>
      <c r="C1458" t="s">
        <v>48</v>
      </c>
      <c r="D1458" t="s">
        <v>811</v>
      </c>
      <c r="E1458">
        <f t="shared" si="59"/>
        <v>1.4285714285714285E-2</v>
      </c>
      <c r="F1458">
        <v>27</v>
      </c>
      <c r="G1458">
        <f>LOG(382/(27+1))</f>
        <v>1.1349053315694895</v>
      </c>
      <c r="H1458">
        <f>0.0142857142857142*2.61321609843137</f>
        <v>3.7331658549019348E-2</v>
      </c>
      <c r="I1458">
        <v>3.7331658549019577E-2</v>
      </c>
    </row>
    <row r="1459" spans="1:9" x14ac:dyDescent="0.25">
      <c r="A1459">
        <v>242</v>
      </c>
      <c r="B1459" t="s">
        <v>858</v>
      </c>
      <c r="C1459" t="s">
        <v>48</v>
      </c>
      <c r="D1459" t="s">
        <v>876</v>
      </c>
      <c r="E1459">
        <f t="shared" si="59"/>
        <v>1.4285714285714285E-2</v>
      </c>
      <c r="F1459">
        <v>2</v>
      </c>
      <c r="G1459">
        <f>LOG(382/(2+1))</f>
        <v>2.1049421081920463</v>
      </c>
      <c r="H1459">
        <f>0.0142857142857142*4.84680831993846</f>
        <v>6.92401188562633E-2</v>
      </c>
      <c r="I1459">
        <v>6.9240118856263785E-2</v>
      </c>
    </row>
    <row r="1460" spans="1:9" x14ac:dyDescent="0.25">
      <c r="A1460">
        <v>242</v>
      </c>
      <c r="B1460" t="s">
        <v>858</v>
      </c>
      <c r="C1460" t="s">
        <v>48</v>
      </c>
      <c r="D1460" t="s">
        <v>877</v>
      </c>
      <c r="E1460">
        <f t="shared" si="59"/>
        <v>1.4285714285714285E-2</v>
      </c>
      <c r="F1460">
        <v>2</v>
      </c>
      <c r="G1460">
        <f>LOG(382/(2+1))</f>
        <v>2.1049421081920463</v>
      </c>
      <c r="H1460">
        <f>0.0142857142857142*4.84680831993846</f>
        <v>6.92401188562633E-2</v>
      </c>
      <c r="I1460">
        <v>6.9240118856263785E-2</v>
      </c>
    </row>
    <row r="1461" spans="1:9" x14ac:dyDescent="0.25">
      <c r="A1461">
        <v>242</v>
      </c>
      <c r="B1461" t="s">
        <v>858</v>
      </c>
      <c r="C1461" t="s">
        <v>48</v>
      </c>
      <c r="D1461" t="s">
        <v>878</v>
      </c>
      <c r="E1461">
        <f t="shared" si="59"/>
        <v>1.4285714285714285E-2</v>
      </c>
      <c r="F1461">
        <v>9</v>
      </c>
      <c r="G1461">
        <f>LOG(382/(9+1))</f>
        <v>1.5820633629117087</v>
      </c>
      <c r="H1461">
        <f>0.0142857142857142*3.64283551561252</f>
        <v>5.204050736589283E-2</v>
      </c>
      <c r="I1461">
        <v>5.2040507365893267E-2</v>
      </c>
    </row>
    <row r="1462" spans="1:9" x14ac:dyDescent="0.25">
      <c r="A1462">
        <v>242</v>
      </c>
      <c r="B1462" t="s">
        <v>858</v>
      </c>
      <c r="C1462" t="s">
        <v>48</v>
      </c>
      <c r="D1462" t="s">
        <v>879</v>
      </c>
      <c r="E1462">
        <f t="shared" si="59"/>
        <v>1.4285714285714285E-2</v>
      </c>
      <c r="F1462">
        <v>2</v>
      </c>
      <c r="G1462">
        <f>LOG(382/(2+1))</f>
        <v>2.1049421081920463</v>
      </c>
      <c r="H1462">
        <f>0.0142857142857142*4.84680831993846</f>
        <v>6.92401188562633E-2</v>
      </c>
      <c r="I1462">
        <v>6.9240118856263785E-2</v>
      </c>
    </row>
    <row r="1463" spans="1:9" x14ac:dyDescent="0.25">
      <c r="A1463">
        <v>242</v>
      </c>
      <c r="B1463" t="s">
        <v>858</v>
      </c>
      <c r="C1463" t="s">
        <v>48</v>
      </c>
      <c r="D1463" t="s">
        <v>112</v>
      </c>
      <c r="E1463">
        <f t="shared" si="59"/>
        <v>1.4285714285714285E-2</v>
      </c>
      <c r="F1463">
        <v>52</v>
      </c>
      <c r="G1463">
        <f>LOG(382/(52+1))</f>
        <v>0.85778749331091964</v>
      </c>
      <c r="H1463">
        <f>0.0142857142857142*1.97512869505445</f>
        <v>2.8216124215063403E-2</v>
      </c>
      <c r="I1463">
        <v>2.8216124215063618E-2</v>
      </c>
    </row>
    <row r="1464" spans="1:9" x14ac:dyDescent="0.25">
      <c r="A1464">
        <v>242</v>
      </c>
      <c r="B1464" t="s">
        <v>858</v>
      </c>
      <c r="C1464" t="s">
        <v>48</v>
      </c>
      <c r="D1464" t="s">
        <v>880</v>
      </c>
      <c r="E1464">
        <f t="shared" si="59"/>
        <v>1.4285714285714285E-2</v>
      </c>
      <c r="F1464">
        <v>1</v>
      </c>
      <c r="G1464">
        <f>LOG(382/(1+1))</f>
        <v>2.2810333672477277</v>
      </c>
      <c r="H1464">
        <f>0.0142857142857142*5.25227342804663</f>
        <v>7.5032477543522838E-2</v>
      </c>
      <c r="I1464">
        <v>7.5032477543523282E-2</v>
      </c>
    </row>
    <row r="1465" spans="1:9" x14ac:dyDescent="0.25">
      <c r="A1465">
        <v>242</v>
      </c>
      <c r="B1465" t="s">
        <v>858</v>
      </c>
      <c r="C1465" t="s">
        <v>48</v>
      </c>
      <c r="D1465" t="s">
        <v>881</v>
      </c>
      <c r="E1465">
        <f t="shared" si="59"/>
        <v>1.4285714285714285E-2</v>
      </c>
      <c r="F1465">
        <v>15</v>
      </c>
      <c r="G1465">
        <f>LOG(382/(15+1))</f>
        <v>1.3779433802557839</v>
      </c>
      <c r="H1465">
        <f>0.0142857142857142*3.17283188636679</f>
        <v>4.532616980523959E-2</v>
      </c>
      <c r="I1465">
        <v>4.5326169805239923E-2</v>
      </c>
    </row>
    <row r="1466" spans="1:9" x14ac:dyDescent="0.25">
      <c r="A1466">
        <v>242</v>
      </c>
      <c r="B1466" t="s">
        <v>858</v>
      </c>
      <c r="C1466" t="s">
        <v>48</v>
      </c>
      <c r="D1466" t="s">
        <v>882</v>
      </c>
      <c r="E1466">
        <f t="shared" si="59"/>
        <v>1.4285714285714285E-2</v>
      </c>
      <c r="F1466">
        <v>1</v>
      </c>
      <c r="G1466">
        <f>LOG(382/(1+1))</f>
        <v>2.2810333672477277</v>
      </c>
      <c r="H1466">
        <f>0.0142857142857142*5.25227342804663</f>
        <v>7.5032477543522838E-2</v>
      </c>
      <c r="I1466">
        <v>7.5032477543523282E-2</v>
      </c>
    </row>
    <row r="1467" spans="1:9" x14ac:dyDescent="0.25">
      <c r="A1467">
        <v>242</v>
      </c>
      <c r="B1467" t="s">
        <v>858</v>
      </c>
      <c r="C1467" t="s">
        <v>48</v>
      </c>
      <c r="D1467" t="s">
        <v>883</v>
      </c>
      <c r="E1467">
        <f t="shared" si="59"/>
        <v>1.4285714285714285E-2</v>
      </c>
      <c r="F1467">
        <v>1</v>
      </c>
      <c r="G1467">
        <f>LOG(382/(1+1))</f>
        <v>2.2810333672477277</v>
      </c>
      <c r="H1467">
        <f>0.0142857142857142*5.25227342804663</f>
        <v>7.5032477543522838E-2</v>
      </c>
      <c r="I1467">
        <v>7.5032477543523282E-2</v>
      </c>
    </row>
    <row r="1468" spans="1:9" x14ac:dyDescent="0.25">
      <c r="A1468">
        <v>242</v>
      </c>
      <c r="B1468" t="s">
        <v>858</v>
      </c>
      <c r="C1468" t="s">
        <v>48</v>
      </c>
      <c r="D1468" t="s">
        <v>414</v>
      </c>
      <c r="E1468">
        <f>2/70</f>
        <v>2.8571428571428571E-2</v>
      </c>
      <c r="F1468">
        <v>2</v>
      </c>
      <c r="G1468">
        <f>LOG(382/(2+1))</f>
        <v>2.1049421081920463</v>
      </c>
      <c r="H1468">
        <f>0.0285714285714285*4.84680831993846</f>
        <v>0.1384802377125271</v>
      </c>
      <c r="I1468">
        <v>0.1384802377125276</v>
      </c>
    </row>
    <row r="1469" spans="1:9" x14ac:dyDescent="0.25">
      <c r="A1469">
        <v>242</v>
      </c>
      <c r="B1469" t="s">
        <v>858</v>
      </c>
      <c r="C1469" t="s">
        <v>48</v>
      </c>
      <c r="D1469" t="s">
        <v>243</v>
      </c>
      <c r="E1469">
        <f t="shared" ref="E1469:E1482" si="60">1/70</f>
        <v>1.4285714285714285E-2</v>
      </c>
      <c r="F1469">
        <v>131</v>
      </c>
      <c r="G1469">
        <f>LOG(382/(131+1))</f>
        <v>0.46148943170585888</v>
      </c>
      <c r="H1469">
        <f>0.0142857142857142*1.0626186860202</f>
        <v>1.5180266943145624E-2</v>
      </c>
      <c r="I1469">
        <v>1.5180266943145769E-2</v>
      </c>
    </row>
    <row r="1470" spans="1:9" x14ac:dyDescent="0.25">
      <c r="A1470">
        <v>242</v>
      </c>
      <c r="B1470" t="s">
        <v>858</v>
      </c>
      <c r="C1470" t="s">
        <v>48</v>
      </c>
      <c r="D1470" t="s">
        <v>884</v>
      </c>
      <c r="E1470">
        <f t="shared" si="60"/>
        <v>1.4285714285714285E-2</v>
      </c>
      <c r="F1470">
        <v>6</v>
      </c>
      <c r="G1470">
        <f>LOG(382/(6+1))</f>
        <v>1.736965322897452</v>
      </c>
      <c r="H1470">
        <f>0.0142857142857142*3.99951045955126</f>
        <v>5.7135863707874802E-2</v>
      </c>
      <c r="I1470">
        <v>5.713586370787517E-2</v>
      </c>
    </row>
    <row r="1471" spans="1:9" x14ac:dyDescent="0.25">
      <c r="A1471">
        <v>242</v>
      </c>
      <c r="B1471" t="s">
        <v>858</v>
      </c>
      <c r="C1471" t="s">
        <v>48</v>
      </c>
      <c r="D1471" t="s">
        <v>885</v>
      </c>
      <c r="E1471">
        <f t="shared" si="60"/>
        <v>1.4285714285714285E-2</v>
      </c>
      <c r="F1471">
        <v>1</v>
      </c>
      <c r="G1471">
        <f>LOG(382/(1+1))</f>
        <v>2.2810333672477277</v>
      </c>
      <c r="H1471">
        <f>0.0142857142857142*5.25227342804663</f>
        <v>7.5032477543522838E-2</v>
      </c>
      <c r="I1471">
        <v>7.5032477543523282E-2</v>
      </c>
    </row>
    <row r="1472" spans="1:9" x14ac:dyDescent="0.25">
      <c r="A1472">
        <v>242</v>
      </c>
      <c r="B1472" t="s">
        <v>858</v>
      </c>
      <c r="C1472" t="s">
        <v>48</v>
      </c>
      <c r="D1472" t="s">
        <v>886</v>
      </c>
      <c r="E1472">
        <f t="shared" si="60"/>
        <v>1.4285714285714285E-2</v>
      </c>
      <c r="F1472">
        <v>1</v>
      </c>
      <c r="G1472">
        <f>LOG(382/(1+1))</f>
        <v>2.2810333672477277</v>
      </c>
      <c r="H1472">
        <f>0.0142857142857142*5.25227342804663</f>
        <v>7.5032477543522838E-2</v>
      </c>
      <c r="I1472">
        <v>7.5032477543523282E-2</v>
      </c>
    </row>
    <row r="1473" spans="1:9" x14ac:dyDescent="0.25">
      <c r="A1473">
        <v>242</v>
      </c>
      <c r="B1473" t="s">
        <v>858</v>
      </c>
      <c r="C1473" t="s">
        <v>48</v>
      </c>
      <c r="D1473" t="s">
        <v>25</v>
      </c>
      <c r="E1473">
        <f t="shared" si="60"/>
        <v>1.4285714285714285E-2</v>
      </c>
      <c r="F1473">
        <v>106</v>
      </c>
      <c r="G1473">
        <f>LOG(382/(106+1))</f>
        <v>0.55267958522649907</v>
      </c>
      <c r="H1473">
        <f>0.0142857142857142*1.27259177414466</f>
        <v>1.8179882487780748E-2</v>
      </c>
      <c r="I1473">
        <v>1.8179882487780991E-2</v>
      </c>
    </row>
    <row r="1474" spans="1:9" x14ac:dyDescent="0.25">
      <c r="A1474">
        <v>242</v>
      </c>
      <c r="B1474" t="s">
        <v>858</v>
      </c>
      <c r="C1474" t="s">
        <v>48</v>
      </c>
      <c r="D1474" t="s">
        <v>887</v>
      </c>
      <c r="E1474">
        <f t="shared" si="60"/>
        <v>1.4285714285714285E-2</v>
      </c>
      <c r="F1474">
        <v>12</v>
      </c>
      <c r="G1474">
        <f>LOG(382/(12+1))</f>
        <v>1.468120010604872</v>
      </c>
      <c r="H1474">
        <f>0.0142857142857142*3.38047125114503</f>
        <v>4.8292446444928715E-2</v>
      </c>
      <c r="I1474">
        <v>4.8292446444929117E-2</v>
      </c>
    </row>
    <row r="1475" spans="1:9" x14ac:dyDescent="0.25">
      <c r="A1475">
        <v>242</v>
      </c>
      <c r="B1475" t="s">
        <v>858</v>
      </c>
      <c r="C1475" t="s">
        <v>48</v>
      </c>
      <c r="D1475" t="s">
        <v>888</v>
      </c>
      <c r="E1475">
        <f t="shared" si="60"/>
        <v>1.4285714285714285E-2</v>
      </c>
      <c r="F1475">
        <v>21</v>
      </c>
      <c r="G1475">
        <f>LOG(382/(21+1))</f>
        <v>1.2396406820895025</v>
      </c>
      <c r="H1475">
        <f>0.0142857142857142*2.85437815524825</f>
        <v>4.077683078926047E-2</v>
      </c>
      <c r="I1475">
        <v>4.0776830789260837E-2</v>
      </c>
    </row>
    <row r="1476" spans="1:9" x14ac:dyDescent="0.25">
      <c r="A1476">
        <v>242</v>
      </c>
      <c r="B1476" t="s">
        <v>858</v>
      </c>
      <c r="C1476" t="s">
        <v>48</v>
      </c>
      <c r="D1476" t="s">
        <v>272</v>
      </c>
      <c r="E1476">
        <f t="shared" si="60"/>
        <v>1.4285714285714285E-2</v>
      </c>
      <c r="F1476">
        <v>17</v>
      </c>
      <c r="G1476">
        <f>LOG(382/(17+1))</f>
        <v>1.3267908578084027</v>
      </c>
      <c r="H1476">
        <f>0.0142857142857142*3.05504885071041</f>
        <v>4.3643555010148452E-2</v>
      </c>
      <c r="I1476">
        <v>4.3643555010148723E-2</v>
      </c>
    </row>
    <row r="1477" spans="1:9" x14ac:dyDescent="0.25">
      <c r="A1477">
        <v>242</v>
      </c>
      <c r="B1477" t="s">
        <v>858</v>
      </c>
      <c r="C1477" t="s">
        <v>48</v>
      </c>
      <c r="D1477" t="s">
        <v>889</v>
      </c>
      <c r="E1477">
        <f t="shared" si="60"/>
        <v>1.4285714285714285E-2</v>
      </c>
      <c r="F1477">
        <v>3</v>
      </c>
      <c r="G1477">
        <f>LOG(382/(3+1))</f>
        <v>1.9800033715837464</v>
      </c>
      <c r="H1477">
        <f>0.0142857142857142*4.55912624748668</f>
        <v>6.5130374964095045E-2</v>
      </c>
      <c r="I1477">
        <v>6.5130374964095489E-2</v>
      </c>
    </row>
    <row r="1478" spans="1:9" x14ac:dyDescent="0.25">
      <c r="A1478">
        <v>242</v>
      </c>
      <c r="B1478" t="s">
        <v>858</v>
      </c>
      <c r="C1478" t="s">
        <v>48</v>
      </c>
      <c r="D1478" t="s">
        <v>890</v>
      </c>
      <c r="E1478">
        <f t="shared" si="60"/>
        <v>1.4285714285714285E-2</v>
      </c>
      <c r="F1478">
        <v>1</v>
      </c>
      <c r="G1478">
        <f>LOG(382/(1+1))</f>
        <v>2.2810333672477277</v>
      </c>
      <c r="H1478">
        <f>0.0142857142857142*5.25227342804663</f>
        <v>7.5032477543522838E-2</v>
      </c>
      <c r="I1478">
        <v>7.5032477543523282E-2</v>
      </c>
    </row>
    <row r="1479" spans="1:9" x14ac:dyDescent="0.25">
      <c r="A1479">
        <v>242</v>
      </c>
      <c r="B1479" t="s">
        <v>858</v>
      </c>
      <c r="C1479" t="s">
        <v>48</v>
      </c>
      <c r="D1479" t="s">
        <v>891</v>
      </c>
      <c r="E1479">
        <f t="shared" si="60"/>
        <v>1.4285714285714285E-2</v>
      </c>
      <c r="F1479">
        <v>3</v>
      </c>
      <c r="G1479">
        <f>LOG(382/(3+1))</f>
        <v>1.9800033715837464</v>
      </c>
      <c r="H1479">
        <f>0.0142857142857142*4.55912624748668</f>
        <v>6.5130374964095045E-2</v>
      </c>
      <c r="I1479">
        <v>6.5130374964095489E-2</v>
      </c>
    </row>
    <row r="1480" spans="1:9" x14ac:dyDescent="0.25">
      <c r="A1480">
        <v>242</v>
      </c>
      <c r="B1480" t="s">
        <v>858</v>
      </c>
      <c r="C1480" t="s">
        <v>48</v>
      </c>
      <c r="D1480" t="s">
        <v>892</v>
      </c>
      <c r="E1480">
        <f t="shared" si="60"/>
        <v>1.4285714285714285E-2</v>
      </c>
      <c r="F1480">
        <v>1</v>
      </c>
      <c r="G1480">
        <f>LOG(382/(1+1))</f>
        <v>2.2810333672477277</v>
      </c>
      <c r="H1480">
        <f>0.0142857142857142*5.25227342804663</f>
        <v>7.5032477543522838E-2</v>
      </c>
      <c r="I1480">
        <v>7.5032477543523282E-2</v>
      </c>
    </row>
    <row r="1481" spans="1:9" x14ac:dyDescent="0.25">
      <c r="A1481">
        <v>242</v>
      </c>
      <c r="B1481" t="s">
        <v>858</v>
      </c>
      <c r="C1481" t="s">
        <v>48</v>
      </c>
      <c r="D1481" t="s">
        <v>276</v>
      </c>
      <c r="E1481">
        <f t="shared" si="60"/>
        <v>1.4285714285714285E-2</v>
      </c>
      <c r="F1481">
        <v>10</v>
      </c>
      <c r="G1481">
        <f>LOG(382/(10+1))</f>
        <v>1.5406706777534838</v>
      </c>
      <c r="H1481">
        <f>0.0142857142857142*3.5475253358082</f>
        <v>5.067893336868827E-2</v>
      </c>
      <c r="I1481">
        <v>5.0678933368688638E-2</v>
      </c>
    </row>
    <row r="1482" spans="1:9" x14ac:dyDescent="0.25">
      <c r="A1482">
        <v>242</v>
      </c>
      <c r="B1482" t="s">
        <v>858</v>
      </c>
      <c r="C1482" t="s">
        <v>48</v>
      </c>
      <c r="D1482" t="s">
        <v>521</v>
      </c>
      <c r="E1482">
        <f t="shared" si="60"/>
        <v>1.4285714285714285E-2</v>
      </c>
      <c r="F1482">
        <v>7</v>
      </c>
      <c r="G1482">
        <f>LOG(382/(7+1))</f>
        <v>1.6789733759197651</v>
      </c>
      <c r="H1482">
        <f>0.0142857142857142*3.86597906692673</f>
        <v>5.5228272384667244E-2</v>
      </c>
      <c r="I1482">
        <v>5.5228272384667702E-2</v>
      </c>
    </row>
    <row r="1483" spans="1:9" x14ac:dyDescent="0.25">
      <c r="A1483">
        <v>242</v>
      </c>
      <c r="B1483" t="s">
        <v>858</v>
      </c>
      <c r="C1483" t="s">
        <v>48</v>
      </c>
      <c r="D1483" t="s">
        <v>676</v>
      </c>
      <c r="E1483">
        <f>2/70</f>
        <v>2.8571428571428571E-2</v>
      </c>
      <c r="F1483">
        <v>20</v>
      </c>
      <c r="G1483">
        <f>LOG(382/(20+1))</f>
        <v>1.2598440681777894</v>
      </c>
      <c r="H1483">
        <f>0.0285714285714285*2.90089817088315</f>
        <v>8.288280488237551E-2</v>
      </c>
      <c r="I1483">
        <v>8.2882804882375774E-2</v>
      </c>
    </row>
    <row r="1484" spans="1:9" x14ac:dyDescent="0.25">
      <c r="A1484">
        <v>242</v>
      </c>
      <c r="B1484" t="s">
        <v>858</v>
      </c>
      <c r="C1484" t="s">
        <v>48</v>
      </c>
      <c r="D1484" t="s">
        <v>216</v>
      </c>
      <c r="E1484">
        <f t="shared" ref="E1484:E1489" si="61">1/70</f>
        <v>1.4285714285714285E-2</v>
      </c>
      <c r="F1484">
        <v>63</v>
      </c>
      <c r="G1484">
        <f>LOG(382/(63+1))</f>
        <v>0.7758833889278216</v>
      </c>
      <c r="H1484">
        <f>0.0142857142857142*1.7865375252469</f>
        <v>2.5521964646384135E-2</v>
      </c>
      <c r="I1484">
        <v>2.5521964646384329E-2</v>
      </c>
    </row>
    <row r="1485" spans="1:9" x14ac:dyDescent="0.25">
      <c r="A1485">
        <v>242</v>
      </c>
      <c r="B1485" t="s">
        <v>858</v>
      </c>
      <c r="C1485" t="s">
        <v>48</v>
      </c>
      <c r="D1485" t="s">
        <v>893</v>
      </c>
      <c r="E1485">
        <f t="shared" si="61"/>
        <v>1.4285714285714285E-2</v>
      </c>
      <c r="F1485">
        <v>2</v>
      </c>
      <c r="G1485">
        <f>LOG(382/(2+1))</f>
        <v>2.1049421081920463</v>
      </c>
      <c r="H1485">
        <f>0.0142857142857142*4.84680831993846</f>
        <v>6.92401188562633E-2</v>
      </c>
      <c r="I1485">
        <v>6.9240118856263785E-2</v>
      </c>
    </row>
    <row r="1486" spans="1:9" x14ac:dyDescent="0.25">
      <c r="A1486">
        <v>242</v>
      </c>
      <c r="B1486" t="s">
        <v>858</v>
      </c>
      <c r="C1486" t="s">
        <v>48</v>
      </c>
      <c r="D1486" t="s">
        <v>307</v>
      </c>
      <c r="E1486">
        <f t="shared" si="61"/>
        <v>1.4285714285714285E-2</v>
      </c>
      <c r="F1486">
        <v>67</v>
      </c>
      <c r="G1486">
        <f>LOG(382/(67+1))</f>
        <v>0.7495544502054724</v>
      </c>
      <c r="H1486">
        <f>0.0142857142857142*1.72591290343046</f>
        <v>2.4655898620434998E-2</v>
      </c>
      <c r="I1486">
        <v>2.4655898620435261E-2</v>
      </c>
    </row>
    <row r="1487" spans="1:9" x14ac:dyDescent="0.25">
      <c r="A1487">
        <v>242</v>
      </c>
      <c r="B1487" t="s">
        <v>858</v>
      </c>
      <c r="C1487" t="s">
        <v>48</v>
      </c>
      <c r="D1487" t="s">
        <v>894</v>
      </c>
      <c r="E1487">
        <f t="shared" si="61"/>
        <v>1.4285714285714285E-2</v>
      </c>
      <c r="F1487">
        <v>5</v>
      </c>
      <c r="G1487">
        <f>LOG(382/(5+1))</f>
        <v>1.803912112528065</v>
      </c>
      <c r="H1487">
        <f>0.0142857142857142*4.15366113937852</f>
        <v>5.9338016276835645E-2</v>
      </c>
      <c r="I1487">
        <v>5.9338016276835999E-2</v>
      </c>
    </row>
    <row r="1488" spans="1:9" x14ac:dyDescent="0.25">
      <c r="A1488">
        <v>242</v>
      </c>
      <c r="B1488" t="s">
        <v>858</v>
      </c>
      <c r="C1488" t="s">
        <v>48</v>
      </c>
      <c r="D1488" t="s">
        <v>455</v>
      </c>
      <c r="E1488">
        <f t="shared" si="61"/>
        <v>1.4285714285714285E-2</v>
      </c>
      <c r="F1488">
        <v>78</v>
      </c>
      <c r="G1488">
        <f>LOG(382/(78+1))</f>
        <v>0.6844362716212673</v>
      </c>
      <c r="H1488">
        <f>0.0142857142857142*1.57597275613955</f>
        <v>2.251389651627915E-2</v>
      </c>
      <c r="I1488">
        <v>2.2513896516279341E-2</v>
      </c>
    </row>
    <row r="1489" spans="1:9" x14ac:dyDescent="0.25">
      <c r="A1489">
        <v>242</v>
      </c>
      <c r="B1489" t="s">
        <v>858</v>
      </c>
      <c r="C1489" t="s">
        <v>48</v>
      </c>
      <c r="D1489" t="s">
        <v>895</v>
      </c>
      <c r="E1489">
        <f t="shared" si="61"/>
        <v>1.4285714285714285E-2</v>
      </c>
      <c r="F1489">
        <v>1</v>
      </c>
      <c r="G1489">
        <f>LOG(382/(1+1))</f>
        <v>2.2810333672477277</v>
      </c>
      <c r="H1489">
        <f>0.0142857142857142*5.25227342804663</f>
        <v>7.5032477543522838E-2</v>
      </c>
      <c r="I1489">
        <v>7.5032477543523282E-2</v>
      </c>
    </row>
    <row r="1490" spans="1:9" x14ac:dyDescent="0.25">
      <c r="A1490">
        <v>243</v>
      </c>
      <c r="B1490" t="s">
        <v>896</v>
      </c>
      <c r="C1490" t="s">
        <v>48</v>
      </c>
      <c r="D1490" t="s">
        <v>737</v>
      </c>
      <c r="E1490">
        <f>2/65</f>
        <v>3.0769230769230771E-2</v>
      </c>
      <c r="F1490">
        <v>11</v>
      </c>
      <c r="G1490">
        <f>LOG(382/(11+1))</f>
        <v>1.5028821168640838</v>
      </c>
      <c r="H1490">
        <f>0.0307692307692307*3.46051395881857</f>
        <v>0.10647735257903269</v>
      </c>
      <c r="I1490">
        <v>0.1064773525790331</v>
      </c>
    </row>
    <row r="1491" spans="1:9" x14ac:dyDescent="0.25">
      <c r="A1491">
        <v>243</v>
      </c>
      <c r="B1491" t="s">
        <v>896</v>
      </c>
      <c r="C1491" t="s">
        <v>48</v>
      </c>
      <c r="D1491" t="s">
        <v>897</v>
      </c>
      <c r="E1491">
        <f>2/65</f>
        <v>3.0769230769230771E-2</v>
      </c>
      <c r="F1491">
        <v>4</v>
      </c>
      <c r="G1491">
        <f>LOG(382/(4+1))</f>
        <v>1.8830933585756899</v>
      </c>
      <c r="H1491">
        <f>0.0307692307692307*4.33598269617247</f>
        <v>0.13341485218992188</v>
      </c>
      <c r="I1491">
        <v>0.1334148521899223</v>
      </c>
    </row>
    <row r="1492" spans="1:9" x14ac:dyDescent="0.25">
      <c r="A1492">
        <v>243</v>
      </c>
      <c r="B1492" t="s">
        <v>896</v>
      </c>
      <c r="C1492" t="s">
        <v>48</v>
      </c>
      <c r="D1492" t="s">
        <v>331</v>
      </c>
      <c r="E1492">
        <f>2/65</f>
        <v>3.0769230769230771E-2</v>
      </c>
      <c r="F1492">
        <v>130</v>
      </c>
      <c r="G1492">
        <f>LOG(382/(130+1))</f>
        <v>0.46479206725594452</v>
      </c>
      <c r="H1492">
        <f>0.0307692307692307*1.07022328540542</f>
        <v>3.2929947243243621E-2</v>
      </c>
      <c r="I1492">
        <v>3.2929947243243808E-2</v>
      </c>
    </row>
    <row r="1493" spans="1:9" x14ac:dyDescent="0.25">
      <c r="A1493">
        <v>243</v>
      </c>
      <c r="B1493" t="s">
        <v>896</v>
      </c>
      <c r="C1493" t="s">
        <v>48</v>
      </c>
      <c r="D1493" t="s">
        <v>520</v>
      </c>
      <c r="E1493">
        <f t="shared" ref="E1493:E1498" si="62">1/65</f>
        <v>1.5384615384615385E-2</v>
      </c>
      <c r="F1493">
        <v>25</v>
      </c>
      <c r="G1493">
        <f>LOG(382/(25+1))</f>
        <v>1.1670900149408907</v>
      </c>
      <c r="H1493">
        <f>0.0153846153846153*2.68732407058509</f>
        <v>4.1343447239770389E-2</v>
      </c>
      <c r="I1493">
        <v>4.1343447239770667E-2</v>
      </c>
    </row>
    <row r="1494" spans="1:9" x14ac:dyDescent="0.25">
      <c r="A1494">
        <v>243</v>
      </c>
      <c r="B1494" t="s">
        <v>896</v>
      </c>
      <c r="C1494" t="s">
        <v>48</v>
      </c>
      <c r="D1494" t="s">
        <v>133</v>
      </c>
      <c r="E1494">
        <f t="shared" si="62"/>
        <v>1.5384615384615385E-2</v>
      </c>
      <c r="F1494">
        <v>142</v>
      </c>
      <c r="G1494">
        <f>LOG(382/(142+1))</f>
        <v>0.42672732544664693</v>
      </c>
      <c r="H1494">
        <f>0.0153846153846153*0.982575978346667</f>
        <v>1.5116553513025563E-2</v>
      </c>
      <c r="I1494">
        <v>1.511655351302566E-2</v>
      </c>
    </row>
    <row r="1495" spans="1:9" x14ac:dyDescent="0.25">
      <c r="A1495">
        <v>243</v>
      </c>
      <c r="B1495" t="s">
        <v>896</v>
      </c>
      <c r="C1495" t="s">
        <v>48</v>
      </c>
      <c r="D1495" t="s">
        <v>898</v>
      </c>
      <c r="E1495">
        <f t="shared" si="62"/>
        <v>1.5384615384615385E-2</v>
      </c>
      <c r="F1495">
        <v>22</v>
      </c>
      <c r="G1495">
        <f>LOG(382/(22+1))</f>
        <v>1.2203355268941158</v>
      </c>
      <c r="H1495">
        <f>0.0153846153846153*2.80992639267742</f>
        <v>4.3229636810421607E-2</v>
      </c>
      <c r="I1495">
        <v>4.3229636810421933E-2</v>
      </c>
    </row>
    <row r="1496" spans="1:9" x14ac:dyDescent="0.25">
      <c r="A1496">
        <v>243</v>
      </c>
      <c r="B1496" t="s">
        <v>896</v>
      </c>
      <c r="C1496" t="s">
        <v>48</v>
      </c>
      <c r="D1496" t="s">
        <v>899</v>
      </c>
      <c r="E1496">
        <f t="shared" si="62"/>
        <v>1.5384615384615385E-2</v>
      </c>
      <c r="F1496">
        <v>5</v>
      </c>
      <c r="G1496">
        <f>LOG(382/(5+1))</f>
        <v>1.803912112528065</v>
      </c>
      <c r="H1496">
        <f>0.0153846153846153*4.15366113937852</f>
        <v>6.390247906736149E-2</v>
      </c>
      <c r="I1496">
        <v>6.390247906736185E-2</v>
      </c>
    </row>
    <row r="1497" spans="1:9" x14ac:dyDescent="0.25">
      <c r="A1497">
        <v>243</v>
      </c>
      <c r="B1497" t="s">
        <v>896</v>
      </c>
      <c r="C1497" t="s">
        <v>48</v>
      </c>
      <c r="D1497" t="s">
        <v>602</v>
      </c>
      <c r="E1497">
        <f t="shared" si="62"/>
        <v>1.5384615384615385E-2</v>
      </c>
      <c r="F1497">
        <v>13</v>
      </c>
      <c r="G1497">
        <f>LOG(382/(13+1))</f>
        <v>1.4359353272334707</v>
      </c>
      <c r="H1497">
        <f>0.0153846153846153*3.30636327899131</f>
        <v>5.08671273690968E-2</v>
      </c>
      <c r="I1497">
        <v>5.0867127369097181E-2</v>
      </c>
    </row>
    <row r="1498" spans="1:9" x14ac:dyDescent="0.25">
      <c r="A1498">
        <v>243</v>
      </c>
      <c r="B1498" t="s">
        <v>896</v>
      </c>
      <c r="C1498" t="s">
        <v>48</v>
      </c>
      <c r="D1498" t="s">
        <v>601</v>
      </c>
      <c r="E1498">
        <f t="shared" si="62"/>
        <v>1.5384615384615385E-2</v>
      </c>
      <c r="F1498">
        <v>7</v>
      </c>
      <c r="G1498">
        <f>LOG(382/(7+1))</f>
        <v>1.6789733759197651</v>
      </c>
      <c r="H1498">
        <f>0.0153846153846153*3.86597906692673</f>
        <v>5.9476601029641675E-2</v>
      </c>
      <c r="I1498">
        <v>5.947660102964214E-2</v>
      </c>
    </row>
    <row r="1499" spans="1:9" x14ac:dyDescent="0.25">
      <c r="A1499">
        <v>243</v>
      </c>
      <c r="B1499" t="s">
        <v>896</v>
      </c>
      <c r="C1499" t="s">
        <v>48</v>
      </c>
      <c r="D1499" t="s">
        <v>44</v>
      </c>
      <c r="E1499">
        <f>6/65</f>
        <v>9.2307692307692313E-2</v>
      </c>
      <c r="F1499">
        <v>151</v>
      </c>
      <c r="G1499">
        <f>LOG(382/(151+1))</f>
        <v>0.40021977496693617</v>
      </c>
      <c r="H1499">
        <f>0.0923076923076923*0.921540087760298</f>
        <v>8.5065238870181345E-2</v>
      </c>
      <c r="I1499">
        <v>8.5065238870181428E-2</v>
      </c>
    </row>
    <row r="1500" spans="1:9" x14ac:dyDescent="0.25">
      <c r="A1500">
        <v>243</v>
      </c>
      <c r="B1500" t="s">
        <v>896</v>
      </c>
      <c r="C1500" t="s">
        <v>48</v>
      </c>
      <c r="D1500" t="s">
        <v>900</v>
      </c>
      <c r="E1500">
        <f>1/65</f>
        <v>1.5384615384615385E-2</v>
      </c>
      <c r="F1500">
        <v>5</v>
      </c>
      <c r="G1500">
        <f>LOG(382/(5+1))</f>
        <v>1.803912112528065</v>
      </c>
      <c r="H1500">
        <f>0.0153846153846153*4.15366113937852</f>
        <v>6.390247906736149E-2</v>
      </c>
      <c r="I1500">
        <v>6.390247906736185E-2</v>
      </c>
    </row>
    <row r="1501" spans="1:9" x14ac:dyDescent="0.25">
      <c r="A1501">
        <v>243</v>
      </c>
      <c r="B1501" t="s">
        <v>896</v>
      </c>
      <c r="C1501" t="s">
        <v>48</v>
      </c>
      <c r="D1501" t="s">
        <v>901</v>
      </c>
      <c r="E1501">
        <f>1/65</f>
        <v>1.5384615384615385E-2</v>
      </c>
      <c r="F1501">
        <v>2</v>
      </c>
      <c r="G1501">
        <f>LOG(382/(2+1))</f>
        <v>2.1049421081920463</v>
      </c>
      <c r="H1501">
        <f>0.0153846153846153*4.84680831993846</f>
        <v>7.4566281845206667E-2</v>
      </c>
      <c r="I1501">
        <v>7.4566281845207166E-2</v>
      </c>
    </row>
    <row r="1502" spans="1:9" x14ac:dyDescent="0.25">
      <c r="A1502">
        <v>243</v>
      </c>
      <c r="B1502" t="s">
        <v>896</v>
      </c>
      <c r="C1502" t="s">
        <v>48</v>
      </c>
      <c r="D1502" t="s">
        <v>902</v>
      </c>
      <c r="E1502">
        <f>2/65</f>
        <v>3.0769230769230771E-2</v>
      </c>
      <c r="F1502">
        <v>5</v>
      </c>
      <c r="G1502">
        <f>LOG(382/(5+1))</f>
        <v>1.803912112528065</v>
      </c>
      <c r="H1502">
        <f>0.0307692307692307*4.15366113937852</f>
        <v>0.1278049581347234</v>
      </c>
      <c r="I1502">
        <v>0.1278049581347237</v>
      </c>
    </row>
    <row r="1503" spans="1:9" x14ac:dyDescent="0.25">
      <c r="A1503">
        <v>243</v>
      </c>
      <c r="B1503" t="s">
        <v>896</v>
      </c>
      <c r="C1503" t="s">
        <v>48</v>
      </c>
      <c r="D1503" t="s">
        <v>903</v>
      </c>
      <c r="E1503">
        <f>1/65</f>
        <v>1.5384615384615385E-2</v>
      </c>
      <c r="F1503">
        <v>3</v>
      </c>
      <c r="G1503">
        <f>LOG(382/(3+1))</f>
        <v>1.9800033715837464</v>
      </c>
      <c r="H1503">
        <f>0.0153846153846153*4.55912624748668</f>
        <v>7.0140403807486998E-2</v>
      </c>
      <c r="I1503">
        <v>7.0140403807487456E-2</v>
      </c>
    </row>
    <row r="1504" spans="1:9" x14ac:dyDescent="0.25">
      <c r="A1504">
        <v>243</v>
      </c>
      <c r="B1504" t="s">
        <v>896</v>
      </c>
      <c r="C1504" t="s">
        <v>48</v>
      </c>
      <c r="D1504" t="s">
        <v>77</v>
      </c>
      <c r="E1504">
        <f>2/65</f>
        <v>3.0769230769230771E-2</v>
      </c>
      <c r="F1504">
        <v>148</v>
      </c>
      <c r="G1504">
        <f>LOG(382/(148+1))</f>
        <v>0.40887709449943471</v>
      </c>
      <c r="H1504">
        <f>0.0307692307692307*0.941474302661116</f>
        <v>2.8968440081880428E-2</v>
      </c>
      <c r="I1504">
        <v>2.89684400818805E-2</v>
      </c>
    </row>
    <row r="1505" spans="1:9" x14ac:dyDescent="0.25">
      <c r="A1505">
        <v>243</v>
      </c>
      <c r="B1505" t="s">
        <v>896</v>
      </c>
      <c r="C1505" t="s">
        <v>48</v>
      </c>
      <c r="D1505" t="s">
        <v>904</v>
      </c>
      <c r="E1505">
        <f>1/65</f>
        <v>1.5384615384615385E-2</v>
      </c>
      <c r="F1505">
        <v>1</v>
      </c>
      <c r="G1505">
        <f>LOG(382/(1+1))</f>
        <v>2.2810333672477277</v>
      </c>
      <c r="H1505">
        <f>0.0153846153846153*5.25227342804663</f>
        <v>8.0804206585332328E-2</v>
      </c>
      <c r="I1505">
        <v>8.0804206585332772E-2</v>
      </c>
    </row>
    <row r="1506" spans="1:9" x14ac:dyDescent="0.25">
      <c r="A1506">
        <v>243</v>
      </c>
      <c r="B1506" t="s">
        <v>896</v>
      </c>
      <c r="C1506" t="s">
        <v>48</v>
      </c>
      <c r="D1506" t="s">
        <v>905</v>
      </c>
      <c r="E1506">
        <f>1/65</f>
        <v>1.5384615384615385E-2</v>
      </c>
      <c r="F1506">
        <v>5</v>
      </c>
      <c r="G1506">
        <f>LOG(382/(5+1))</f>
        <v>1.803912112528065</v>
      </c>
      <c r="H1506">
        <f>0.0153846153846153*4.15366113937852</f>
        <v>6.390247906736149E-2</v>
      </c>
      <c r="I1506">
        <v>6.390247906736185E-2</v>
      </c>
    </row>
    <row r="1507" spans="1:9" x14ac:dyDescent="0.25">
      <c r="A1507">
        <v>243</v>
      </c>
      <c r="B1507" t="s">
        <v>896</v>
      </c>
      <c r="C1507" t="s">
        <v>48</v>
      </c>
      <c r="D1507" t="s">
        <v>906</v>
      </c>
      <c r="E1507">
        <f>1/65</f>
        <v>1.5384615384615385E-2</v>
      </c>
      <c r="F1507">
        <v>1</v>
      </c>
      <c r="G1507">
        <f>LOG(382/(1+1))</f>
        <v>2.2810333672477277</v>
      </c>
      <c r="H1507">
        <f>0.0153846153846153*5.25227342804663</f>
        <v>8.0804206585332328E-2</v>
      </c>
      <c r="I1507">
        <v>8.0804206585332772E-2</v>
      </c>
    </row>
    <row r="1508" spans="1:9" x14ac:dyDescent="0.25">
      <c r="A1508">
        <v>243</v>
      </c>
      <c r="B1508" t="s">
        <v>896</v>
      </c>
      <c r="C1508" t="s">
        <v>48</v>
      </c>
      <c r="D1508" t="s">
        <v>907</v>
      </c>
      <c r="E1508">
        <f>1/65</f>
        <v>1.5384615384615385E-2</v>
      </c>
      <c r="F1508">
        <v>6</v>
      </c>
      <c r="G1508">
        <f>LOG(382/(6+1))</f>
        <v>1.736965322897452</v>
      </c>
      <c r="H1508">
        <f>0.0153846153846153*3.99951045955126</f>
        <v>6.1530930146942123E-2</v>
      </c>
      <c r="I1508">
        <v>6.153093014694249E-2</v>
      </c>
    </row>
    <row r="1509" spans="1:9" x14ac:dyDescent="0.25">
      <c r="A1509">
        <v>243</v>
      </c>
      <c r="B1509" t="s">
        <v>896</v>
      </c>
      <c r="C1509" t="s">
        <v>48</v>
      </c>
      <c r="D1509" t="s">
        <v>111</v>
      </c>
      <c r="E1509">
        <f>2/65</f>
        <v>3.0769230769230771E-2</v>
      </c>
      <c r="F1509">
        <v>33</v>
      </c>
      <c r="G1509">
        <f>LOG(382/(33+1))</f>
        <v>1.0505844458694535</v>
      </c>
      <c r="H1509">
        <f>0.0307692307692307*2.41906008399041</f>
        <v>7.4432617968935536E-2</v>
      </c>
      <c r="I1509">
        <v>7.4432617968935813E-2</v>
      </c>
    </row>
    <row r="1510" spans="1:9" x14ac:dyDescent="0.25">
      <c r="A1510">
        <v>243</v>
      </c>
      <c r="B1510" t="s">
        <v>896</v>
      </c>
      <c r="C1510" t="s">
        <v>48</v>
      </c>
      <c r="D1510" t="s">
        <v>908</v>
      </c>
      <c r="E1510">
        <f>3/65</f>
        <v>4.6153846153846156E-2</v>
      </c>
      <c r="F1510">
        <v>2</v>
      </c>
      <c r="G1510">
        <f>LOG(382/(2+1))</f>
        <v>2.1049421081920463</v>
      </c>
      <c r="H1510">
        <f>0.0461538461538461*4.84680831993846</f>
        <v>0.22369884553562097</v>
      </c>
      <c r="I1510">
        <v>0.2236988455356215</v>
      </c>
    </row>
    <row r="1511" spans="1:9" x14ac:dyDescent="0.25">
      <c r="A1511">
        <v>243</v>
      </c>
      <c r="B1511" t="s">
        <v>896</v>
      </c>
      <c r="C1511" t="s">
        <v>48</v>
      </c>
      <c r="D1511" t="s">
        <v>69</v>
      </c>
      <c r="E1511">
        <f t="shared" ref="E1511:E1518" si="63">1/65</f>
        <v>1.5384615384615385E-2</v>
      </c>
      <c r="F1511">
        <v>13</v>
      </c>
      <c r="G1511">
        <f>LOG(382/(13+1))</f>
        <v>1.4359353272334707</v>
      </c>
      <c r="H1511">
        <f>0.0153846153846153*3.30636327899131</f>
        <v>5.08671273690968E-2</v>
      </c>
      <c r="I1511">
        <v>5.0867127369097181E-2</v>
      </c>
    </row>
    <row r="1512" spans="1:9" x14ac:dyDescent="0.25">
      <c r="A1512">
        <v>243</v>
      </c>
      <c r="B1512" t="s">
        <v>896</v>
      </c>
      <c r="C1512" t="s">
        <v>48</v>
      </c>
      <c r="D1512" t="s">
        <v>15</v>
      </c>
      <c r="E1512">
        <f t="shared" si="63"/>
        <v>1.5384615384615385E-2</v>
      </c>
      <c r="F1512">
        <v>112</v>
      </c>
      <c r="G1512">
        <f>LOG(382/(112+1))</f>
        <v>0.52898491942828896</v>
      </c>
      <c r="H1512">
        <f>0.0153846153846153*1.21803278989423</f>
        <v>1.8738965998372666E-2</v>
      </c>
      <c r="I1512">
        <v>1.8738965998372839E-2</v>
      </c>
    </row>
    <row r="1513" spans="1:9" x14ac:dyDescent="0.25">
      <c r="A1513">
        <v>243</v>
      </c>
      <c r="B1513" t="s">
        <v>896</v>
      </c>
      <c r="C1513" t="s">
        <v>48</v>
      </c>
      <c r="D1513" t="s">
        <v>39</v>
      </c>
      <c r="E1513">
        <f t="shared" si="63"/>
        <v>1.5384615384615385E-2</v>
      </c>
      <c r="F1513">
        <v>145</v>
      </c>
      <c r="G1513">
        <f>LOG(382/(145+1))</f>
        <v>0.41771050712727159</v>
      </c>
      <c r="H1513">
        <f>0.0153846153846153*0.961813986898238</f>
        <v>1.4797138259972812E-2</v>
      </c>
      <c r="I1513">
        <v>1.47971382599729E-2</v>
      </c>
    </row>
    <row r="1514" spans="1:9" x14ac:dyDescent="0.25">
      <c r="A1514">
        <v>243</v>
      </c>
      <c r="B1514" t="s">
        <v>896</v>
      </c>
      <c r="C1514" t="s">
        <v>48</v>
      </c>
      <c r="D1514" t="s">
        <v>909</v>
      </c>
      <c r="E1514">
        <f t="shared" si="63"/>
        <v>1.5384615384615385E-2</v>
      </c>
      <c r="F1514">
        <v>2</v>
      </c>
      <c r="G1514">
        <f>LOG(382/(2+1))</f>
        <v>2.1049421081920463</v>
      </c>
      <c r="H1514">
        <f>0.0153846153846153*4.84680831993846</f>
        <v>7.4566281845206667E-2</v>
      </c>
      <c r="I1514">
        <v>7.4566281845207166E-2</v>
      </c>
    </row>
    <row r="1515" spans="1:9" x14ac:dyDescent="0.25">
      <c r="A1515">
        <v>243</v>
      </c>
      <c r="B1515" t="s">
        <v>896</v>
      </c>
      <c r="C1515" t="s">
        <v>48</v>
      </c>
      <c r="D1515" t="s">
        <v>17</v>
      </c>
      <c r="E1515">
        <f t="shared" si="63"/>
        <v>1.5384615384615385E-2</v>
      </c>
      <c r="F1515">
        <v>169</v>
      </c>
      <c r="G1515">
        <f>LOG(382/(169+1))</f>
        <v>0.3516144415334348</v>
      </c>
      <c r="H1515">
        <f>0.0153846153846153*0.809622171556313</f>
        <v>1.2455725716250901E-2</v>
      </c>
      <c r="I1515">
        <v>1.2455725716250979E-2</v>
      </c>
    </row>
    <row r="1516" spans="1:9" x14ac:dyDescent="0.25">
      <c r="A1516">
        <v>243</v>
      </c>
      <c r="B1516" t="s">
        <v>896</v>
      </c>
      <c r="C1516" t="s">
        <v>48</v>
      </c>
      <c r="D1516" t="s">
        <v>43</v>
      </c>
      <c r="E1516">
        <f t="shared" si="63"/>
        <v>1.5384615384615385E-2</v>
      </c>
      <c r="F1516">
        <v>4</v>
      </c>
      <c r="G1516">
        <f>LOG(382/(4+1))</f>
        <v>1.8830933585756899</v>
      </c>
      <c r="H1516">
        <f>0.0153846153846153*4.33598269617247</f>
        <v>6.670742609496072E-2</v>
      </c>
      <c r="I1516">
        <v>6.670742609496115E-2</v>
      </c>
    </row>
    <row r="1517" spans="1:9" x14ac:dyDescent="0.25">
      <c r="A1517">
        <v>243</v>
      </c>
      <c r="B1517" t="s">
        <v>896</v>
      </c>
      <c r="C1517" t="s">
        <v>48</v>
      </c>
      <c r="D1517" t="s">
        <v>19</v>
      </c>
      <c r="E1517">
        <f t="shared" si="63"/>
        <v>1.5384615384615385E-2</v>
      </c>
      <c r="F1517">
        <v>220</v>
      </c>
      <c r="G1517">
        <f>LOG(382/(220+1))</f>
        <v>0.23767108922659805</v>
      </c>
      <c r="H1517">
        <f>0.0153846153846153*0.547257907088822</f>
        <v>8.4193524167510622E-3</v>
      </c>
      <c r="I1517">
        <v>8.4193524167511143E-3</v>
      </c>
    </row>
    <row r="1518" spans="1:9" x14ac:dyDescent="0.25">
      <c r="A1518">
        <v>243</v>
      </c>
      <c r="B1518" t="s">
        <v>896</v>
      </c>
      <c r="C1518" t="s">
        <v>48</v>
      </c>
      <c r="D1518" t="s">
        <v>580</v>
      </c>
      <c r="E1518">
        <f t="shared" si="63"/>
        <v>1.5384615384615385E-2</v>
      </c>
      <c r="F1518">
        <v>17</v>
      </c>
      <c r="G1518">
        <f>LOG(382/(17+1))</f>
        <v>1.3267908578084027</v>
      </c>
      <c r="H1518">
        <f>0.0153846153846153*3.05504885071041</f>
        <v>4.7000751549390665E-2</v>
      </c>
      <c r="I1518">
        <v>4.7000751549390929E-2</v>
      </c>
    </row>
    <row r="1519" spans="1:9" x14ac:dyDescent="0.25">
      <c r="A1519">
        <v>243</v>
      </c>
      <c r="B1519" t="s">
        <v>896</v>
      </c>
      <c r="C1519" t="s">
        <v>48</v>
      </c>
      <c r="D1519" t="s">
        <v>362</v>
      </c>
      <c r="E1519">
        <f>2/65</f>
        <v>3.0769230769230771E-2</v>
      </c>
      <c r="F1519">
        <v>81</v>
      </c>
      <c r="G1519">
        <f>LOG(382/(81+1))</f>
        <v>0.66824951052799197</v>
      </c>
      <c r="H1519">
        <f>0.0307692307692307*1.53870136134232</f>
        <v>4.734465727207128E-2</v>
      </c>
      <c r="I1519">
        <v>4.7344657272071447E-2</v>
      </c>
    </row>
    <row r="1520" spans="1:9" x14ac:dyDescent="0.25">
      <c r="A1520">
        <v>243</v>
      </c>
      <c r="B1520" t="s">
        <v>896</v>
      </c>
      <c r="C1520" t="s">
        <v>48</v>
      </c>
      <c r="D1520" t="s">
        <v>76</v>
      </c>
      <c r="E1520">
        <f>3/65</f>
        <v>4.6153846153846156E-2</v>
      </c>
      <c r="F1520">
        <v>140</v>
      </c>
      <c r="G1520">
        <f>LOG(382/(140+1))</f>
        <v>0.43284425025632883</v>
      </c>
      <c r="H1520">
        <f>0.0461538461538461*0.996660718228407</f>
        <v>4.5999725456695652E-2</v>
      </c>
      <c r="I1520">
        <v>4.5999725456695707E-2</v>
      </c>
    </row>
    <row r="1521" spans="1:9" x14ac:dyDescent="0.25">
      <c r="A1521">
        <v>243</v>
      </c>
      <c r="B1521" t="s">
        <v>896</v>
      </c>
      <c r="C1521" t="s">
        <v>48</v>
      </c>
      <c r="D1521" t="s">
        <v>68</v>
      </c>
      <c r="E1521">
        <f>3/65</f>
        <v>4.6153846153846156E-2</v>
      </c>
      <c r="F1521">
        <v>43</v>
      </c>
      <c r="G1521">
        <f>LOG(382/(43+1))</f>
        <v>0.93861068642552126</v>
      </c>
      <c r="H1521">
        <f>0.0461538461538461*2.16123097468831</f>
        <v>9.9749121908691105E-2</v>
      </c>
      <c r="I1521">
        <v>9.974912190869141E-2</v>
      </c>
    </row>
    <row r="1522" spans="1:9" x14ac:dyDescent="0.25">
      <c r="A1522">
        <v>243</v>
      </c>
      <c r="B1522" t="s">
        <v>896</v>
      </c>
      <c r="C1522" t="s">
        <v>48</v>
      </c>
      <c r="D1522" t="s">
        <v>404</v>
      </c>
      <c r="E1522">
        <f>1/65</f>
        <v>1.5384615384615385E-2</v>
      </c>
      <c r="F1522">
        <v>22</v>
      </c>
      <c r="G1522">
        <f>LOG(382/(22+1))</f>
        <v>1.2203355268941158</v>
      </c>
      <c r="H1522">
        <f>0.0153846153846153*2.80992639267742</f>
        <v>4.3229636810421607E-2</v>
      </c>
      <c r="I1522">
        <v>4.3229636810421933E-2</v>
      </c>
    </row>
    <row r="1523" spans="1:9" x14ac:dyDescent="0.25">
      <c r="A1523">
        <v>243</v>
      </c>
      <c r="B1523" t="s">
        <v>896</v>
      </c>
      <c r="C1523" t="s">
        <v>48</v>
      </c>
      <c r="D1523" t="s">
        <v>823</v>
      </c>
      <c r="E1523">
        <f>1/65</f>
        <v>1.5384615384615385E-2</v>
      </c>
      <c r="F1523">
        <v>45</v>
      </c>
      <c r="G1523">
        <f>LOG(382/(45+1))</f>
        <v>0.9193055312301347</v>
      </c>
      <c r="H1523">
        <f>0.0153846153846153*2.11677921211748</f>
        <v>3.2565834032576443E-2</v>
      </c>
      <c r="I1523">
        <v>3.2565834032576617E-2</v>
      </c>
    </row>
    <row r="1524" spans="1:9" x14ac:dyDescent="0.25">
      <c r="A1524">
        <v>243</v>
      </c>
      <c r="B1524" t="s">
        <v>896</v>
      </c>
      <c r="C1524" t="s">
        <v>48</v>
      </c>
      <c r="D1524" t="s">
        <v>910</v>
      </c>
      <c r="E1524">
        <f>1/65</f>
        <v>1.5384615384615385E-2</v>
      </c>
      <c r="F1524">
        <v>6</v>
      </c>
      <c r="G1524">
        <f>LOG(382/(6+1))</f>
        <v>1.736965322897452</v>
      </c>
      <c r="H1524">
        <f>0.0153846153846153*3.99951045955126</f>
        <v>6.1530930146942123E-2</v>
      </c>
      <c r="I1524">
        <v>6.153093014694249E-2</v>
      </c>
    </row>
    <row r="1525" spans="1:9" x14ac:dyDescent="0.25">
      <c r="A1525">
        <v>243</v>
      </c>
      <c r="B1525" t="s">
        <v>896</v>
      </c>
      <c r="C1525" t="s">
        <v>48</v>
      </c>
      <c r="D1525" t="s">
        <v>911</v>
      </c>
      <c r="E1525">
        <f>2/65</f>
        <v>3.0769230769230771E-2</v>
      </c>
      <c r="F1525">
        <v>22</v>
      </c>
      <c r="G1525">
        <f>LOG(382/(22+1))</f>
        <v>1.2203355268941158</v>
      </c>
      <c r="H1525">
        <f>0.0307692307692307*2.80992639267742</f>
        <v>8.6459273620843491E-2</v>
      </c>
      <c r="I1525">
        <v>8.6459273620843866E-2</v>
      </c>
    </row>
    <row r="1526" spans="1:9" x14ac:dyDescent="0.25">
      <c r="A1526">
        <v>243</v>
      </c>
      <c r="B1526" t="s">
        <v>896</v>
      </c>
      <c r="C1526" t="s">
        <v>48</v>
      </c>
      <c r="D1526" t="s">
        <v>912</v>
      </c>
      <c r="E1526">
        <f t="shared" ref="E1526:E1535" si="64">1/65</f>
        <v>1.5384615384615385E-2</v>
      </c>
      <c r="F1526">
        <v>4</v>
      </c>
      <c r="G1526">
        <f>LOG(382/(4+1))</f>
        <v>1.8830933585756899</v>
      </c>
      <c r="H1526">
        <f>0.0153846153846153*4.33598269617247</f>
        <v>6.670742609496072E-2</v>
      </c>
      <c r="I1526">
        <v>6.670742609496115E-2</v>
      </c>
    </row>
    <row r="1527" spans="1:9" x14ac:dyDescent="0.25">
      <c r="A1527">
        <v>243</v>
      </c>
      <c r="B1527" t="s">
        <v>896</v>
      </c>
      <c r="C1527" t="s">
        <v>48</v>
      </c>
      <c r="D1527" t="s">
        <v>470</v>
      </c>
      <c r="E1527">
        <f t="shared" si="64"/>
        <v>1.5384615384615385E-2</v>
      </c>
      <c r="F1527">
        <v>4</v>
      </c>
      <c r="G1527">
        <f>LOG(382/(4+1))</f>
        <v>1.8830933585756899</v>
      </c>
      <c r="H1527">
        <f>0.0153846153846153*4.33598269617247</f>
        <v>6.670742609496072E-2</v>
      </c>
      <c r="I1527">
        <v>6.670742609496115E-2</v>
      </c>
    </row>
    <row r="1528" spans="1:9" x14ac:dyDescent="0.25">
      <c r="A1528">
        <v>243</v>
      </c>
      <c r="B1528" t="s">
        <v>896</v>
      </c>
      <c r="C1528" t="s">
        <v>48</v>
      </c>
      <c r="D1528" t="s">
        <v>913</v>
      </c>
      <c r="E1528">
        <f t="shared" si="64"/>
        <v>1.5384615384615385E-2</v>
      </c>
      <c r="F1528">
        <v>14</v>
      </c>
      <c r="G1528">
        <f>LOG(382/(14+1))</f>
        <v>1.4059721038560276</v>
      </c>
      <c r="H1528">
        <f>0.0153846153846153*3.23737040750436</f>
        <v>4.9805698576989882E-2</v>
      </c>
      <c r="I1528">
        <v>4.9805698576990243E-2</v>
      </c>
    </row>
    <row r="1529" spans="1:9" x14ac:dyDescent="0.25">
      <c r="A1529">
        <v>243</v>
      </c>
      <c r="B1529" t="s">
        <v>896</v>
      </c>
      <c r="C1529" t="s">
        <v>48</v>
      </c>
      <c r="D1529" t="s">
        <v>914</v>
      </c>
      <c r="E1529">
        <f t="shared" si="64"/>
        <v>1.5384615384615385E-2</v>
      </c>
      <c r="F1529">
        <v>4</v>
      </c>
      <c r="G1529">
        <f>LOG(382/(4+1))</f>
        <v>1.8830933585756899</v>
      </c>
      <c r="H1529">
        <f>0.0153846153846153*4.33598269617247</f>
        <v>6.670742609496072E-2</v>
      </c>
      <c r="I1529">
        <v>6.670742609496115E-2</v>
      </c>
    </row>
    <row r="1530" spans="1:9" x14ac:dyDescent="0.25">
      <c r="A1530">
        <v>243</v>
      </c>
      <c r="B1530" t="s">
        <v>896</v>
      </c>
      <c r="C1530" t="s">
        <v>48</v>
      </c>
      <c r="D1530" t="s">
        <v>915</v>
      </c>
      <c r="E1530">
        <f t="shared" si="64"/>
        <v>1.5384615384615385E-2</v>
      </c>
      <c r="F1530">
        <v>8</v>
      </c>
      <c r="G1530">
        <f>LOG(382/(8+1))</f>
        <v>1.6278208534723839</v>
      </c>
      <c r="H1530">
        <f>0.0153846153846153*3.74819603127035</f>
        <v>5.7664554327235835E-2</v>
      </c>
      <c r="I1530">
        <v>5.7664554327236238E-2</v>
      </c>
    </row>
    <row r="1531" spans="1:9" x14ac:dyDescent="0.25">
      <c r="A1531">
        <v>243</v>
      </c>
      <c r="B1531" t="s">
        <v>896</v>
      </c>
      <c r="C1531" t="s">
        <v>48</v>
      </c>
      <c r="D1531" t="s">
        <v>916</v>
      </c>
      <c r="E1531">
        <f t="shared" si="64"/>
        <v>1.5384615384615385E-2</v>
      </c>
      <c r="F1531">
        <v>4</v>
      </c>
      <c r="G1531">
        <f>LOG(382/(4+1))</f>
        <v>1.8830933585756899</v>
      </c>
      <c r="H1531">
        <f>0.0153846153846153*4.33598269617247</f>
        <v>6.670742609496072E-2</v>
      </c>
      <c r="I1531">
        <v>6.670742609496115E-2</v>
      </c>
    </row>
    <row r="1532" spans="1:9" x14ac:dyDescent="0.25">
      <c r="A1532">
        <v>243</v>
      </c>
      <c r="B1532" t="s">
        <v>896</v>
      </c>
      <c r="C1532" t="s">
        <v>48</v>
      </c>
      <c r="D1532" t="s">
        <v>917</v>
      </c>
      <c r="E1532">
        <f t="shared" si="64"/>
        <v>1.5384615384615385E-2</v>
      </c>
      <c r="F1532">
        <v>2</v>
      </c>
      <c r="G1532">
        <f>LOG(382/(2+1))</f>
        <v>2.1049421081920463</v>
      </c>
      <c r="H1532">
        <f>0.0153846153846153*4.84680831993846</f>
        <v>7.4566281845206667E-2</v>
      </c>
      <c r="I1532">
        <v>7.4566281845207166E-2</v>
      </c>
    </row>
    <row r="1533" spans="1:9" x14ac:dyDescent="0.25">
      <c r="A1533">
        <v>243</v>
      </c>
      <c r="B1533" t="s">
        <v>896</v>
      </c>
      <c r="C1533" t="s">
        <v>48</v>
      </c>
      <c r="D1533" t="s">
        <v>918</v>
      </c>
      <c r="E1533">
        <f t="shared" si="64"/>
        <v>1.5384615384615385E-2</v>
      </c>
      <c r="F1533">
        <v>3</v>
      </c>
      <c r="G1533">
        <f>LOG(382/(3+1))</f>
        <v>1.9800033715837464</v>
      </c>
      <c r="H1533">
        <f>0.0153846153846153*4.55912624748668</f>
        <v>7.0140403807486998E-2</v>
      </c>
      <c r="I1533">
        <v>7.0140403807487456E-2</v>
      </c>
    </row>
    <row r="1534" spans="1:9" x14ac:dyDescent="0.25">
      <c r="A1534">
        <v>243</v>
      </c>
      <c r="B1534" t="s">
        <v>896</v>
      </c>
      <c r="C1534" t="s">
        <v>48</v>
      </c>
      <c r="D1534" t="s">
        <v>485</v>
      </c>
      <c r="E1534">
        <f t="shared" si="64"/>
        <v>1.5384615384615385E-2</v>
      </c>
      <c r="F1534">
        <v>74</v>
      </c>
      <c r="G1534">
        <f>LOG(382/(74+1))</f>
        <v>0.7070020995200087</v>
      </c>
      <c r="H1534">
        <f>0.0153846153846153*1.62793249507026</f>
        <v>2.5045115308773094E-2</v>
      </c>
      <c r="I1534">
        <v>2.5045115308773309E-2</v>
      </c>
    </row>
    <row r="1535" spans="1:9" x14ac:dyDescent="0.25">
      <c r="A1535">
        <v>243</v>
      </c>
      <c r="B1535" t="s">
        <v>896</v>
      </c>
      <c r="C1535" t="s">
        <v>48</v>
      </c>
      <c r="D1535" t="s">
        <v>36</v>
      </c>
      <c r="E1535">
        <f t="shared" si="64"/>
        <v>1.5384615384615385E-2</v>
      </c>
      <c r="F1535">
        <v>58</v>
      </c>
      <c r="G1535">
        <f>LOG(382/(58+1))</f>
        <v>0.81121135126956456</v>
      </c>
      <c r="H1535">
        <f>0.0153846153846153*1.86788316470085</f>
        <v>2.8736664072320613E-2</v>
      </c>
      <c r="I1535">
        <v>2.873666407232086E-2</v>
      </c>
    </row>
    <row r="1536" spans="1:9" x14ac:dyDescent="0.25">
      <c r="A1536">
        <v>244</v>
      </c>
      <c r="B1536" t="s">
        <v>919</v>
      </c>
      <c r="C1536" t="s">
        <v>48</v>
      </c>
      <c r="D1536" t="s">
        <v>90</v>
      </c>
      <c r="E1536">
        <f t="shared" ref="E1536:E1547" si="65">1/12</f>
        <v>8.3333333333333329E-2</v>
      </c>
      <c r="F1536">
        <v>13</v>
      </c>
      <c r="G1536">
        <f>LOG(382/(13+1))</f>
        <v>1.4359353272334707</v>
      </c>
      <c r="H1536">
        <f>0.0833333333333333*3.30636327899131</f>
        <v>0.27553027324927576</v>
      </c>
      <c r="I1536">
        <v>0.27553027324927643</v>
      </c>
    </row>
    <row r="1537" spans="1:9" x14ac:dyDescent="0.25">
      <c r="A1537">
        <v>244</v>
      </c>
      <c r="B1537" t="s">
        <v>919</v>
      </c>
      <c r="C1537" t="s">
        <v>48</v>
      </c>
      <c r="D1537" t="s">
        <v>91</v>
      </c>
      <c r="E1537">
        <f t="shared" si="65"/>
        <v>8.3333333333333329E-2</v>
      </c>
      <c r="F1537">
        <v>33</v>
      </c>
      <c r="G1537">
        <f>LOG(382/(33+1))</f>
        <v>1.0505844458694535</v>
      </c>
      <c r="H1537">
        <f>0.0833333333333333*2.41906008399041</f>
        <v>0.20158834033253412</v>
      </c>
      <c r="I1537">
        <v>0.2015883403325345</v>
      </c>
    </row>
    <row r="1538" spans="1:9" x14ac:dyDescent="0.25">
      <c r="A1538">
        <v>244</v>
      </c>
      <c r="B1538" t="s">
        <v>919</v>
      </c>
      <c r="C1538" t="s">
        <v>48</v>
      </c>
      <c r="D1538" t="s">
        <v>38</v>
      </c>
      <c r="E1538">
        <f t="shared" si="65"/>
        <v>8.3333333333333329E-2</v>
      </c>
      <c r="F1538">
        <v>86</v>
      </c>
      <c r="G1538">
        <f>LOG(382/(86+1))</f>
        <v>0.64254411029309022</v>
      </c>
      <c r="H1538">
        <f>0.0833333333333333*1.47951248995199</f>
        <v>0.12329270749599912</v>
      </c>
      <c r="I1538">
        <v>0.1232927074959993</v>
      </c>
    </row>
    <row r="1539" spans="1:9" x14ac:dyDescent="0.25">
      <c r="A1539">
        <v>244</v>
      </c>
      <c r="B1539" t="s">
        <v>919</v>
      </c>
      <c r="C1539" t="s">
        <v>48</v>
      </c>
      <c r="D1539" t="s">
        <v>15</v>
      </c>
      <c r="E1539">
        <f t="shared" si="65"/>
        <v>8.3333333333333329E-2</v>
      </c>
      <c r="F1539">
        <v>112</v>
      </c>
      <c r="G1539">
        <f>LOG(382/(112+1))</f>
        <v>0.52898491942828896</v>
      </c>
      <c r="H1539">
        <f>0.0833333333333333*1.21803278989423</f>
        <v>0.1015027324911858</v>
      </c>
      <c r="I1539">
        <v>0.1015027324911862</v>
      </c>
    </row>
    <row r="1540" spans="1:9" x14ac:dyDescent="0.25">
      <c r="A1540">
        <v>244</v>
      </c>
      <c r="B1540" t="s">
        <v>919</v>
      </c>
      <c r="C1540" t="s">
        <v>48</v>
      </c>
      <c r="D1540" t="s">
        <v>17</v>
      </c>
      <c r="E1540">
        <f t="shared" si="65"/>
        <v>8.3333333333333329E-2</v>
      </c>
      <c r="F1540">
        <v>169</v>
      </c>
      <c r="G1540">
        <f>LOG(382/(169+1))</f>
        <v>0.3516144415334348</v>
      </c>
      <c r="H1540">
        <f>0.0833333333333333*0.809622171556313</f>
        <v>6.7468514296359389E-2</v>
      </c>
      <c r="I1540">
        <v>6.7468514296359444E-2</v>
      </c>
    </row>
    <row r="1541" spans="1:9" x14ac:dyDescent="0.25">
      <c r="A1541">
        <v>244</v>
      </c>
      <c r="B1541" t="s">
        <v>919</v>
      </c>
      <c r="C1541" t="s">
        <v>48</v>
      </c>
      <c r="D1541" t="s">
        <v>920</v>
      </c>
      <c r="E1541">
        <f t="shared" si="65"/>
        <v>8.3333333333333329E-2</v>
      </c>
      <c r="F1541">
        <v>30</v>
      </c>
      <c r="G1541">
        <f>LOG(382/(30+1))</f>
        <v>1.090701669077436</v>
      </c>
      <c r="H1541">
        <f>0.0833333333333333*2.51143340412142</f>
        <v>0.20928611701011826</v>
      </c>
      <c r="I1541">
        <v>0.20928611701011909</v>
      </c>
    </row>
    <row r="1542" spans="1:9" x14ac:dyDescent="0.25">
      <c r="A1542">
        <v>244</v>
      </c>
      <c r="B1542" t="s">
        <v>919</v>
      </c>
      <c r="C1542" t="s">
        <v>48</v>
      </c>
      <c r="D1542" t="s">
        <v>19</v>
      </c>
      <c r="E1542">
        <f t="shared" si="65"/>
        <v>8.3333333333333329E-2</v>
      </c>
      <c r="F1542">
        <v>220</v>
      </c>
      <c r="G1542">
        <f>LOG(382/(220+1))</f>
        <v>0.23767108922659805</v>
      </c>
      <c r="H1542">
        <f>0.0833333333333333*0.547257907088822</f>
        <v>4.560482559073515E-2</v>
      </c>
      <c r="I1542">
        <v>4.5604825590735198E-2</v>
      </c>
    </row>
    <row r="1543" spans="1:9" x14ac:dyDescent="0.25">
      <c r="A1543">
        <v>244</v>
      </c>
      <c r="B1543" t="s">
        <v>919</v>
      </c>
      <c r="C1543" t="s">
        <v>48</v>
      </c>
      <c r="D1543" t="s">
        <v>44</v>
      </c>
      <c r="E1543">
        <f t="shared" si="65"/>
        <v>8.3333333333333329E-2</v>
      </c>
      <c r="F1543">
        <v>151</v>
      </c>
      <c r="G1543">
        <f>LOG(382/(151+1))</f>
        <v>0.40021977496693617</v>
      </c>
      <c r="H1543">
        <f>0.0833333333333333*0.921540087760298</f>
        <v>7.6795007313358143E-2</v>
      </c>
      <c r="I1543">
        <v>7.6795007313358227E-2</v>
      </c>
    </row>
    <row r="1544" spans="1:9" x14ac:dyDescent="0.25">
      <c r="A1544">
        <v>244</v>
      </c>
      <c r="B1544" t="s">
        <v>919</v>
      </c>
      <c r="C1544" t="s">
        <v>48</v>
      </c>
      <c r="D1544" t="s">
        <v>21</v>
      </c>
      <c r="E1544">
        <f t="shared" si="65"/>
        <v>8.3333333333333329E-2</v>
      </c>
      <c r="F1544">
        <v>14</v>
      </c>
      <c r="G1544">
        <f>LOG(382/(14+1))</f>
        <v>1.4059721038560276</v>
      </c>
      <c r="H1544">
        <f>0.0833333333333333*3.23737040750436</f>
        <v>0.26978086729202988</v>
      </c>
      <c r="I1544">
        <v>0.26978086729203038</v>
      </c>
    </row>
    <row r="1545" spans="1:9" x14ac:dyDescent="0.25">
      <c r="A1545">
        <v>244</v>
      </c>
      <c r="B1545" t="s">
        <v>919</v>
      </c>
      <c r="C1545" t="s">
        <v>48</v>
      </c>
      <c r="D1545" t="s">
        <v>22</v>
      </c>
      <c r="E1545">
        <f t="shared" si="65"/>
        <v>8.3333333333333329E-2</v>
      </c>
      <c r="F1545">
        <v>259</v>
      </c>
      <c r="G1545">
        <f>LOG(382/(259+1))</f>
        <v>0.16709001494089079</v>
      </c>
      <c r="H1545">
        <f>0.0833333333333333*0.384738977591047</f>
        <v>3.2061581465920572E-2</v>
      </c>
      <c r="I1545">
        <v>3.2061581465920627E-2</v>
      </c>
    </row>
    <row r="1546" spans="1:9" x14ac:dyDescent="0.25">
      <c r="A1546">
        <v>244</v>
      </c>
      <c r="B1546" t="s">
        <v>919</v>
      </c>
      <c r="C1546" t="s">
        <v>48</v>
      </c>
      <c r="D1546" t="s">
        <v>23</v>
      </c>
      <c r="E1546">
        <f t="shared" si="65"/>
        <v>8.3333333333333329E-2</v>
      </c>
      <c r="F1546">
        <v>275</v>
      </c>
      <c r="G1546">
        <f>LOG(382/(275+1))</f>
        <v>0.14115428084649101</v>
      </c>
      <c r="H1546">
        <f>0.0833333333333333*0.325019742889425</f>
        <v>2.7084978574118738E-2</v>
      </c>
      <c r="I1546">
        <v>2.7084978574118759E-2</v>
      </c>
    </row>
    <row r="1547" spans="1:9" x14ac:dyDescent="0.25">
      <c r="A1547">
        <v>244</v>
      </c>
      <c r="B1547" t="s">
        <v>919</v>
      </c>
      <c r="C1547" t="s">
        <v>48</v>
      </c>
      <c r="D1547" t="s">
        <v>24</v>
      </c>
      <c r="E1547">
        <f t="shared" si="65"/>
        <v>8.3333333333333329E-2</v>
      </c>
      <c r="F1547">
        <v>59</v>
      </c>
      <c r="G1547">
        <f>LOG(382/(59+1))</f>
        <v>0.80391211252806505</v>
      </c>
      <c r="H1547">
        <f>0.0833333333333333*1.85107604638447</f>
        <v>0.15425633719870577</v>
      </c>
      <c r="I1547">
        <v>0.15425633719870621</v>
      </c>
    </row>
    <row r="1548" spans="1:9" x14ac:dyDescent="0.25">
      <c r="A1548">
        <v>246</v>
      </c>
      <c r="B1548" t="s">
        <v>921</v>
      </c>
      <c r="C1548" t="s">
        <v>48</v>
      </c>
      <c r="D1548" t="s">
        <v>40</v>
      </c>
      <c r="E1548">
        <f>8/82</f>
        <v>9.7560975609756101E-2</v>
      </c>
      <c r="F1548">
        <v>159</v>
      </c>
      <c r="G1548">
        <f>LOG(382/(159+1))</f>
        <v>0.377943380255784</v>
      </c>
      <c r="H1548">
        <f>0.0975609756097561*0.870246793372748</f>
        <v>8.4902126182707122E-2</v>
      </c>
      <c r="I1548">
        <v>8.4902126182707163E-2</v>
      </c>
    </row>
    <row r="1549" spans="1:9" x14ac:dyDescent="0.25">
      <c r="A1549">
        <v>246</v>
      </c>
      <c r="B1549" t="s">
        <v>921</v>
      </c>
      <c r="C1549" t="s">
        <v>48</v>
      </c>
      <c r="D1549" t="s">
        <v>922</v>
      </c>
      <c r="E1549">
        <f>4/82</f>
        <v>4.878048780487805E-2</v>
      </c>
      <c r="F1549">
        <v>3</v>
      </c>
      <c r="G1549">
        <f>LOG(382/(3+1))</f>
        <v>1.9800033715837464</v>
      </c>
      <c r="H1549">
        <f>0.048780487804878*4.55912624748668</f>
        <v>0.22239640231642321</v>
      </c>
      <c r="I1549">
        <v>0.2223964023164236</v>
      </c>
    </row>
    <row r="1550" spans="1:9" x14ac:dyDescent="0.25">
      <c r="A1550">
        <v>246</v>
      </c>
      <c r="B1550" t="s">
        <v>921</v>
      </c>
      <c r="C1550" t="s">
        <v>48</v>
      </c>
      <c r="D1550" t="s">
        <v>183</v>
      </c>
      <c r="E1550">
        <f>4/82</f>
        <v>4.878048780487805E-2</v>
      </c>
      <c r="F1550">
        <v>46</v>
      </c>
      <c r="G1550">
        <f>LOG(382/(46+1))</f>
        <v>0.90996550497599127</v>
      </c>
      <c r="H1550">
        <f>0.048780487804878*2.09527300689651</f>
        <v>0.10220843936080527</v>
      </c>
      <c r="I1550">
        <v>0.1022084393608057</v>
      </c>
    </row>
    <row r="1551" spans="1:9" x14ac:dyDescent="0.25">
      <c r="A1551">
        <v>246</v>
      </c>
      <c r="B1551" t="s">
        <v>921</v>
      </c>
      <c r="C1551" t="s">
        <v>48</v>
      </c>
      <c r="D1551" t="s">
        <v>741</v>
      </c>
      <c r="E1551">
        <f>1/82</f>
        <v>1.2195121951219513E-2</v>
      </c>
      <c r="F1551">
        <v>7</v>
      </c>
      <c r="G1551">
        <f>LOG(382/(7+1))</f>
        <v>1.6789733759197651</v>
      </c>
      <c r="H1551">
        <f>0.0121951219512195*3.86597906692673</f>
        <v>4.7146086182033253E-2</v>
      </c>
      <c r="I1551">
        <v>4.7146086182033413E-2</v>
      </c>
    </row>
    <row r="1552" spans="1:9" x14ac:dyDescent="0.25">
      <c r="A1552">
        <v>246</v>
      </c>
      <c r="B1552" t="s">
        <v>921</v>
      </c>
      <c r="C1552" t="s">
        <v>48</v>
      </c>
      <c r="D1552" t="s">
        <v>68</v>
      </c>
      <c r="E1552">
        <f>3/82</f>
        <v>3.6585365853658534E-2</v>
      </c>
      <c r="F1552">
        <v>43</v>
      </c>
      <c r="G1552">
        <f>LOG(382/(43+1))</f>
        <v>0.93861068642552126</v>
      </c>
      <c r="H1552">
        <f>0.0365853658536585*2.16123097468831</f>
        <v>7.9069425903230767E-2</v>
      </c>
      <c r="I1552">
        <v>7.9069425903230989E-2</v>
      </c>
    </row>
    <row r="1553" spans="1:9" x14ac:dyDescent="0.25">
      <c r="A1553">
        <v>246</v>
      </c>
      <c r="B1553" t="s">
        <v>921</v>
      </c>
      <c r="C1553" t="s">
        <v>48</v>
      </c>
      <c r="D1553" t="s">
        <v>44</v>
      </c>
      <c r="E1553">
        <f>3/82</f>
        <v>3.6585365853658534E-2</v>
      </c>
      <c r="F1553">
        <v>151</v>
      </c>
      <c r="G1553">
        <f>LOG(382/(151+1))</f>
        <v>0.40021977496693617</v>
      </c>
      <c r="H1553">
        <f>0.0365853658536585*0.921540087760298</f>
        <v>3.3714881259523065E-2</v>
      </c>
      <c r="I1553">
        <v>3.371488125952312E-2</v>
      </c>
    </row>
    <row r="1554" spans="1:9" x14ac:dyDescent="0.25">
      <c r="A1554">
        <v>246</v>
      </c>
      <c r="B1554" t="s">
        <v>921</v>
      </c>
      <c r="C1554" t="s">
        <v>48</v>
      </c>
      <c r="D1554" t="s">
        <v>22</v>
      </c>
      <c r="E1554">
        <f>1/82</f>
        <v>1.2195121951219513E-2</v>
      </c>
      <c r="F1554">
        <v>259</v>
      </c>
      <c r="G1554">
        <f>LOG(382/(259+1))</f>
        <v>0.16709001494089079</v>
      </c>
      <c r="H1554">
        <f>0.0121951219512195*0.384738977591047</f>
        <v>4.6919387511103255E-3</v>
      </c>
      <c r="I1554">
        <v>4.6919387511103359E-3</v>
      </c>
    </row>
    <row r="1555" spans="1:9" x14ac:dyDescent="0.25">
      <c r="A1555">
        <v>246</v>
      </c>
      <c r="B1555" t="s">
        <v>921</v>
      </c>
      <c r="C1555" t="s">
        <v>48</v>
      </c>
      <c r="D1555" t="s">
        <v>23</v>
      </c>
      <c r="E1555">
        <f>1/82</f>
        <v>1.2195121951219513E-2</v>
      </c>
      <c r="F1555">
        <v>275</v>
      </c>
      <c r="G1555">
        <f>LOG(382/(275+1))</f>
        <v>0.14115428084649101</v>
      </c>
      <c r="H1555">
        <f>0.0121951219512195*0.325019742889425</f>
        <v>3.9636554010905444E-3</v>
      </c>
      <c r="I1555">
        <v>3.9636554010905496E-3</v>
      </c>
    </row>
    <row r="1556" spans="1:9" x14ac:dyDescent="0.25">
      <c r="A1556">
        <v>246</v>
      </c>
      <c r="B1556" t="s">
        <v>921</v>
      </c>
      <c r="C1556" t="s">
        <v>48</v>
      </c>
      <c r="D1556" t="s">
        <v>923</v>
      </c>
      <c r="E1556">
        <f>1/82</f>
        <v>1.2195121951219513E-2</v>
      </c>
      <c r="F1556">
        <v>2</v>
      </c>
      <c r="G1556">
        <f>LOG(382/(2+1))</f>
        <v>2.1049421081920463</v>
      </c>
      <c r="H1556">
        <f>0.0121951219512195*4.84680831993846</f>
        <v>5.9107418535834823E-2</v>
      </c>
      <c r="I1556">
        <v>5.9107418535834948E-2</v>
      </c>
    </row>
    <row r="1557" spans="1:9" x14ac:dyDescent="0.25">
      <c r="A1557">
        <v>246</v>
      </c>
      <c r="B1557" t="s">
        <v>921</v>
      </c>
      <c r="C1557" t="s">
        <v>48</v>
      </c>
      <c r="D1557" t="s">
        <v>482</v>
      </c>
      <c r="E1557">
        <f>2/82</f>
        <v>2.4390243902439025E-2</v>
      </c>
      <c r="F1557">
        <v>16</v>
      </c>
      <c r="G1557">
        <f>LOG(382/(16+1))</f>
        <v>1.3516144415334348</v>
      </c>
      <c r="H1557">
        <f>0.024390243902439*3.11220726455035</f>
        <v>7.5907494257325528E-2</v>
      </c>
      <c r="I1557">
        <v>7.5907494257325833E-2</v>
      </c>
    </row>
    <row r="1558" spans="1:9" x14ac:dyDescent="0.25">
      <c r="A1558">
        <v>246</v>
      </c>
      <c r="B1558" t="s">
        <v>921</v>
      </c>
      <c r="C1558" t="s">
        <v>48</v>
      </c>
      <c r="D1558" t="s">
        <v>42</v>
      </c>
      <c r="E1558">
        <f>2/82</f>
        <v>2.4390243902439025E-2</v>
      </c>
      <c r="F1558">
        <v>251</v>
      </c>
      <c r="G1558">
        <f>LOG(382/(251+1))</f>
        <v>0.18066282213016463</v>
      </c>
      <c r="H1558">
        <f>0.024390243902439*0.415991521095151</f>
        <v>1.0146134660857332E-2</v>
      </c>
      <c r="I1558">
        <v>1.014613466085736E-2</v>
      </c>
    </row>
    <row r="1559" spans="1:9" x14ac:dyDescent="0.25">
      <c r="A1559">
        <v>246</v>
      </c>
      <c r="B1559" t="s">
        <v>921</v>
      </c>
      <c r="C1559" t="s">
        <v>48</v>
      </c>
      <c r="D1559" t="s">
        <v>41</v>
      </c>
      <c r="E1559">
        <f t="shared" ref="E1559:E1582" si="66">1/82</f>
        <v>1.2195121951219513E-2</v>
      </c>
      <c r="F1559">
        <v>195</v>
      </c>
      <c r="G1559">
        <f>LOG(382/(195+1))</f>
        <v>0.28980729155523272</v>
      </c>
      <c r="H1559">
        <f>0.0121951219512195*0.667305949376058</f>
        <v>8.137877431415334E-3</v>
      </c>
      <c r="I1559">
        <v>8.1378774314153426E-3</v>
      </c>
    </row>
    <row r="1560" spans="1:9" x14ac:dyDescent="0.25">
      <c r="A1560">
        <v>246</v>
      </c>
      <c r="B1560" t="s">
        <v>921</v>
      </c>
      <c r="C1560" t="s">
        <v>48</v>
      </c>
      <c r="D1560" t="s">
        <v>924</v>
      </c>
      <c r="E1560">
        <f t="shared" si="66"/>
        <v>1.2195121951219513E-2</v>
      </c>
      <c r="F1560">
        <v>13</v>
      </c>
      <c r="G1560">
        <f>LOG(382/(13+1))</f>
        <v>1.4359353272334707</v>
      </c>
      <c r="H1560">
        <f>0.0121951219512195*3.30636327899131</f>
        <v>4.0321503402333016E-2</v>
      </c>
      <c r="I1560">
        <v>4.0321503402333127E-2</v>
      </c>
    </row>
    <row r="1561" spans="1:9" x14ac:dyDescent="0.25">
      <c r="A1561">
        <v>246</v>
      </c>
      <c r="B1561" t="s">
        <v>921</v>
      </c>
      <c r="C1561" t="s">
        <v>48</v>
      </c>
      <c r="D1561" t="s">
        <v>17</v>
      </c>
      <c r="E1561">
        <f t="shared" si="66"/>
        <v>1.2195121951219513E-2</v>
      </c>
      <c r="F1561">
        <v>169</v>
      </c>
      <c r="G1561">
        <f>LOG(382/(169+1))</f>
        <v>0.3516144415334348</v>
      </c>
      <c r="H1561">
        <f>0.0121951219512195*0.809622171556313</f>
        <v>9.8734411165403921E-3</v>
      </c>
      <c r="I1561">
        <v>9.8734411165404077E-3</v>
      </c>
    </row>
    <row r="1562" spans="1:9" x14ac:dyDescent="0.25">
      <c r="A1562">
        <v>246</v>
      </c>
      <c r="B1562" t="s">
        <v>921</v>
      </c>
      <c r="C1562" t="s">
        <v>48</v>
      </c>
      <c r="D1562" t="s">
        <v>925</v>
      </c>
      <c r="E1562">
        <f t="shared" si="66"/>
        <v>1.2195121951219513E-2</v>
      </c>
      <c r="F1562">
        <v>2</v>
      </c>
      <c r="G1562">
        <f>LOG(382/(2+1))</f>
        <v>2.1049421081920463</v>
      </c>
      <c r="H1562">
        <f>0.0121951219512195*4.84680831993846</f>
        <v>5.9107418535834823E-2</v>
      </c>
      <c r="I1562">
        <v>5.9107418535834948E-2</v>
      </c>
    </row>
    <row r="1563" spans="1:9" x14ac:dyDescent="0.25">
      <c r="A1563">
        <v>246</v>
      </c>
      <c r="B1563" t="s">
        <v>921</v>
      </c>
      <c r="C1563" t="s">
        <v>48</v>
      </c>
      <c r="D1563" t="s">
        <v>926</v>
      </c>
      <c r="E1563">
        <f t="shared" si="66"/>
        <v>1.2195121951219513E-2</v>
      </c>
      <c r="F1563">
        <v>4</v>
      </c>
      <c r="G1563">
        <f>LOG(382/(4+1))</f>
        <v>1.8830933585756899</v>
      </c>
      <c r="H1563">
        <f>0.0121951219512195*4.33598269617247</f>
        <v>5.2877837758200805E-2</v>
      </c>
      <c r="I1563">
        <v>5.2877837758200923E-2</v>
      </c>
    </row>
    <row r="1564" spans="1:9" x14ac:dyDescent="0.25">
      <c r="A1564">
        <v>246</v>
      </c>
      <c r="B1564" t="s">
        <v>921</v>
      </c>
      <c r="C1564" t="s">
        <v>48</v>
      </c>
      <c r="D1564" t="s">
        <v>90</v>
      </c>
      <c r="E1564">
        <f t="shared" si="66"/>
        <v>1.2195121951219513E-2</v>
      </c>
      <c r="F1564">
        <v>13</v>
      </c>
      <c r="G1564">
        <f>LOG(382/(13+1))</f>
        <v>1.4359353272334707</v>
      </c>
      <c r="H1564">
        <f>0.0121951219512195*3.30636327899131</f>
        <v>4.0321503402333016E-2</v>
      </c>
      <c r="I1564">
        <v>4.0321503402333127E-2</v>
      </c>
    </row>
    <row r="1565" spans="1:9" x14ac:dyDescent="0.25">
      <c r="A1565">
        <v>246</v>
      </c>
      <c r="B1565" t="s">
        <v>921</v>
      </c>
      <c r="C1565" t="s">
        <v>48</v>
      </c>
      <c r="D1565" t="s">
        <v>927</v>
      </c>
      <c r="E1565">
        <f t="shared" si="66"/>
        <v>1.2195121951219513E-2</v>
      </c>
      <c r="F1565">
        <v>4</v>
      </c>
      <c r="G1565">
        <f>LOG(382/(4+1))</f>
        <v>1.8830933585756899</v>
      </c>
      <c r="H1565">
        <f>0.0121951219512195*4.33598269617247</f>
        <v>5.2877837758200805E-2</v>
      </c>
      <c r="I1565">
        <v>5.2877837758200923E-2</v>
      </c>
    </row>
    <row r="1566" spans="1:9" x14ac:dyDescent="0.25">
      <c r="A1566">
        <v>246</v>
      </c>
      <c r="B1566" t="s">
        <v>921</v>
      </c>
      <c r="C1566" t="s">
        <v>48</v>
      </c>
      <c r="D1566" t="s">
        <v>779</v>
      </c>
      <c r="E1566">
        <f t="shared" si="66"/>
        <v>1.2195121951219513E-2</v>
      </c>
      <c r="F1566">
        <v>25</v>
      </c>
      <c r="G1566">
        <f>LOG(382/(25+1))</f>
        <v>1.1670900149408907</v>
      </c>
      <c r="H1566">
        <f>0.0121951219512195*2.68732407058509</f>
        <v>3.2772244763232775E-2</v>
      </c>
      <c r="I1566">
        <v>3.2772244763232837E-2</v>
      </c>
    </row>
    <row r="1567" spans="1:9" x14ac:dyDescent="0.25">
      <c r="A1567">
        <v>246</v>
      </c>
      <c r="B1567" t="s">
        <v>921</v>
      </c>
      <c r="C1567" t="s">
        <v>48</v>
      </c>
      <c r="D1567" t="s">
        <v>920</v>
      </c>
      <c r="E1567">
        <f t="shared" si="66"/>
        <v>1.2195121951219513E-2</v>
      </c>
      <c r="F1567">
        <v>30</v>
      </c>
      <c r="G1567">
        <f>LOG(382/(30+1))</f>
        <v>1.090701669077436</v>
      </c>
      <c r="H1567">
        <f>0.0121951219512195*2.51143340412142</f>
        <v>3.0627236635627046E-2</v>
      </c>
      <c r="I1567">
        <v>3.0627236635627181E-2</v>
      </c>
    </row>
    <row r="1568" spans="1:9" x14ac:dyDescent="0.25">
      <c r="A1568">
        <v>246</v>
      </c>
      <c r="B1568" t="s">
        <v>921</v>
      </c>
      <c r="C1568" t="s">
        <v>48</v>
      </c>
      <c r="D1568" t="s">
        <v>26</v>
      </c>
      <c r="E1568">
        <f t="shared" si="66"/>
        <v>1.2195121951219513E-2</v>
      </c>
      <c r="F1568">
        <v>40</v>
      </c>
      <c r="G1568">
        <f>LOG(382/(40+1))</f>
        <v>0.96927950619197323</v>
      </c>
      <c r="H1568">
        <f>0.0121951219512195*2.23184854190226</f>
        <v>2.7217665145149485E-2</v>
      </c>
      <c r="I1568">
        <v>2.7217665145149599E-2</v>
      </c>
    </row>
    <row r="1569" spans="1:9" x14ac:dyDescent="0.25">
      <c r="A1569">
        <v>246</v>
      </c>
      <c r="B1569" t="s">
        <v>921</v>
      </c>
      <c r="C1569" t="s">
        <v>48</v>
      </c>
      <c r="D1569" t="s">
        <v>928</v>
      </c>
      <c r="E1569">
        <f t="shared" si="66"/>
        <v>1.2195121951219513E-2</v>
      </c>
      <c r="F1569">
        <v>5</v>
      </c>
      <c r="G1569">
        <f>LOG(382/(5+1))</f>
        <v>1.803912112528065</v>
      </c>
      <c r="H1569">
        <f>0.0121951219512195*4.15366113937852</f>
        <v>5.0654404138762391E-2</v>
      </c>
      <c r="I1569">
        <v>5.0654404138762439E-2</v>
      </c>
    </row>
    <row r="1570" spans="1:9" x14ac:dyDescent="0.25">
      <c r="A1570">
        <v>246</v>
      </c>
      <c r="B1570" t="s">
        <v>921</v>
      </c>
      <c r="C1570" t="s">
        <v>48</v>
      </c>
      <c r="D1570" t="s">
        <v>28</v>
      </c>
      <c r="E1570">
        <f t="shared" si="66"/>
        <v>1.2195121951219513E-2</v>
      </c>
      <c r="F1570">
        <v>35</v>
      </c>
      <c r="G1570">
        <f>LOG(382/(35+1))</f>
        <v>1.0257608621444214</v>
      </c>
      <c r="H1570">
        <f>0.0121951219512195*2.36190167015046</f>
        <v>2.8803678904273874E-2</v>
      </c>
      <c r="I1570">
        <v>2.880367890427396E-2</v>
      </c>
    </row>
    <row r="1571" spans="1:9" x14ac:dyDescent="0.25">
      <c r="A1571">
        <v>246</v>
      </c>
      <c r="B1571" t="s">
        <v>921</v>
      </c>
      <c r="C1571" t="s">
        <v>48</v>
      </c>
      <c r="D1571" t="s">
        <v>476</v>
      </c>
      <c r="E1571">
        <f t="shared" si="66"/>
        <v>1.2195121951219513E-2</v>
      </c>
      <c r="F1571">
        <v>18</v>
      </c>
      <c r="G1571">
        <f>LOG(382/(18+1))</f>
        <v>1.3033097619588798</v>
      </c>
      <c r="H1571">
        <f>0.0121951219512195*3.00098162944013</f>
        <v>3.6597336944391795E-2</v>
      </c>
      <c r="I1571">
        <v>3.6597336944391892E-2</v>
      </c>
    </row>
    <row r="1572" spans="1:9" x14ac:dyDescent="0.25">
      <c r="A1572">
        <v>246</v>
      </c>
      <c r="B1572" t="s">
        <v>921</v>
      </c>
      <c r="C1572" t="s">
        <v>48</v>
      </c>
      <c r="D1572" t="s">
        <v>929</v>
      </c>
      <c r="E1572">
        <f t="shared" si="66"/>
        <v>1.2195121951219513E-2</v>
      </c>
      <c r="F1572">
        <v>32</v>
      </c>
      <c r="G1572">
        <f>LOG(382/(32+1))</f>
        <v>1.0635494230338212</v>
      </c>
      <c r="H1572">
        <f>0.0121951219512195*2.44891304714009</f>
        <v>2.9864793257805947E-2</v>
      </c>
      <c r="I1572">
        <v>2.9864793257806041E-2</v>
      </c>
    </row>
    <row r="1573" spans="1:9" x14ac:dyDescent="0.25">
      <c r="A1573">
        <v>246</v>
      </c>
      <c r="B1573" t="s">
        <v>921</v>
      </c>
      <c r="C1573" t="s">
        <v>48</v>
      </c>
      <c r="D1573" t="s">
        <v>485</v>
      </c>
      <c r="E1573">
        <f t="shared" si="66"/>
        <v>1.2195121951219513E-2</v>
      </c>
      <c r="F1573">
        <v>74</v>
      </c>
      <c r="G1573">
        <f>LOG(382/(74+1))</f>
        <v>0.7070020995200087</v>
      </c>
      <c r="H1573">
        <f>0.0121951219512195*1.62793249507026</f>
        <v>1.985283530573486E-2</v>
      </c>
      <c r="I1573">
        <v>1.985283530573494E-2</v>
      </c>
    </row>
    <row r="1574" spans="1:9" x14ac:dyDescent="0.25">
      <c r="A1574">
        <v>246</v>
      </c>
      <c r="B1574" t="s">
        <v>921</v>
      </c>
      <c r="C1574" t="s">
        <v>48</v>
      </c>
      <c r="D1574" t="s">
        <v>465</v>
      </c>
      <c r="E1574">
        <f t="shared" si="66"/>
        <v>1.2195121951219513E-2</v>
      </c>
      <c r="F1574">
        <v>36</v>
      </c>
      <c r="G1574">
        <f>LOG(382/(36+1))</f>
        <v>1.0138616388447137</v>
      </c>
      <c r="H1574">
        <f>0.0121951219512195*2.33450269596235</f>
        <v>2.8469545072711558E-2</v>
      </c>
      <c r="I1574">
        <v>2.84695450727116E-2</v>
      </c>
    </row>
    <row r="1575" spans="1:9" x14ac:dyDescent="0.25">
      <c r="A1575">
        <v>246</v>
      </c>
      <c r="B1575" t="s">
        <v>921</v>
      </c>
      <c r="C1575" t="s">
        <v>48</v>
      </c>
      <c r="D1575" t="s">
        <v>830</v>
      </c>
      <c r="E1575">
        <f t="shared" si="66"/>
        <v>1.2195121951219513E-2</v>
      </c>
      <c r="F1575">
        <v>19</v>
      </c>
      <c r="G1575">
        <f>LOG(382/(19+1))</f>
        <v>1.2810333672477277</v>
      </c>
      <c r="H1575">
        <f>0.0121951219512195*2.94968833505258</f>
        <v>3.5971808964055822E-2</v>
      </c>
      <c r="I1575">
        <v>3.5971808964055912E-2</v>
      </c>
    </row>
    <row r="1576" spans="1:9" x14ac:dyDescent="0.25">
      <c r="A1576">
        <v>246</v>
      </c>
      <c r="B1576" t="s">
        <v>921</v>
      </c>
      <c r="C1576" t="s">
        <v>48</v>
      </c>
      <c r="D1576" t="s">
        <v>930</v>
      </c>
      <c r="E1576">
        <f t="shared" si="66"/>
        <v>1.2195121951219513E-2</v>
      </c>
      <c r="F1576">
        <v>6</v>
      </c>
      <c r="G1576">
        <f>LOG(382/(6+1))</f>
        <v>1.736965322897452</v>
      </c>
      <c r="H1576">
        <f>0.0121951219512195*3.99951045955126</f>
        <v>4.8774517799405566E-2</v>
      </c>
      <c r="I1576">
        <v>4.8774517799405642E-2</v>
      </c>
    </row>
    <row r="1577" spans="1:9" x14ac:dyDescent="0.25">
      <c r="A1577">
        <v>246</v>
      </c>
      <c r="B1577" t="s">
        <v>921</v>
      </c>
      <c r="C1577" t="s">
        <v>48</v>
      </c>
      <c r="D1577" t="s">
        <v>399</v>
      </c>
      <c r="E1577">
        <f t="shared" si="66"/>
        <v>1.2195121951219513E-2</v>
      </c>
      <c r="F1577">
        <v>27</v>
      </c>
      <c r="G1577">
        <f>LOG(382/(27+1))</f>
        <v>1.1349053315694895</v>
      </c>
      <c r="H1577">
        <f>0.0121951219512195*2.61321609843137</f>
        <v>3.1868489005260583E-2</v>
      </c>
      <c r="I1577">
        <v>3.1868489005260632E-2</v>
      </c>
    </row>
    <row r="1578" spans="1:9" x14ac:dyDescent="0.25">
      <c r="A1578">
        <v>246</v>
      </c>
      <c r="B1578" t="s">
        <v>921</v>
      </c>
      <c r="C1578" t="s">
        <v>48</v>
      </c>
      <c r="D1578" t="s">
        <v>438</v>
      </c>
      <c r="E1578">
        <f t="shared" si="66"/>
        <v>1.2195121951219513E-2</v>
      </c>
      <c r="F1578">
        <v>37</v>
      </c>
      <c r="G1578">
        <f>LOG(382/(37+1))</f>
        <v>1.0022797662948986</v>
      </c>
      <c r="H1578">
        <f>0.0121951219512195*2.30783444888018</f>
        <v>2.8144322547319238E-2</v>
      </c>
      <c r="I1578">
        <v>2.814432254731938E-2</v>
      </c>
    </row>
    <row r="1579" spans="1:9" x14ac:dyDescent="0.25">
      <c r="A1579">
        <v>246</v>
      </c>
      <c r="B1579" t="s">
        <v>921</v>
      </c>
      <c r="C1579" t="s">
        <v>48</v>
      </c>
      <c r="D1579" t="s">
        <v>931</v>
      </c>
      <c r="E1579">
        <f t="shared" si="66"/>
        <v>1.2195121951219513E-2</v>
      </c>
      <c r="F1579">
        <v>22</v>
      </c>
      <c r="G1579">
        <f>LOG(382/(22+1))</f>
        <v>1.2203355268941158</v>
      </c>
      <c r="H1579">
        <f>0.0121951219512195*2.80992639267742</f>
        <v>3.4267395032651429E-2</v>
      </c>
      <c r="I1579">
        <v>3.4267395032651533E-2</v>
      </c>
    </row>
    <row r="1580" spans="1:9" x14ac:dyDescent="0.25">
      <c r="A1580">
        <v>246</v>
      </c>
      <c r="B1580" t="s">
        <v>921</v>
      </c>
      <c r="C1580" t="s">
        <v>48</v>
      </c>
      <c r="D1580" t="s">
        <v>932</v>
      </c>
      <c r="E1580">
        <f t="shared" si="66"/>
        <v>1.2195121951219513E-2</v>
      </c>
      <c r="F1580">
        <v>35</v>
      </c>
      <c r="G1580">
        <f>LOG(382/(35+1))</f>
        <v>1.0257608621444214</v>
      </c>
      <c r="H1580">
        <f>0.0121951219512195*2.36190167015046</f>
        <v>2.8803678904273874E-2</v>
      </c>
      <c r="I1580">
        <v>2.880367890427396E-2</v>
      </c>
    </row>
    <row r="1581" spans="1:9" x14ac:dyDescent="0.25">
      <c r="A1581">
        <v>246</v>
      </c>
      <c r="B1581" t="s">
        <v>921</v>
      </c>
      <c r="C1581" t="s">
        <v>48</v>
      </c>
      <c r="D1581" t="s">
        <v>36</v>
      </c>
      <c r="E1581">
        <f t="shared" si="66"/>
        <v>1.2195121951219513E-2</v>
      </c>
      <c r="F1581">
        <v>58</v>
      </c>
      <c r="G1581">
        <f>LOG(382/(58+1))</f>
        <v>0.81121135126956456</v>
      </c>
      <c r="H1581">
        <f>0.0121951219512195*1.86788316470085</f>
        <v>2.2779062984156686E-2</v>
      </c>
      <c r="I1581">
        <v>2.277906298415678E-2</v>
      </c>
    </row>
    <row r="1582" spans="1:9" x14ac:dyDescent="0.25">
      <c r="A1582">
        <v>246</v>
      </c>
      <c r="B1582" t="s">
        <v>921</v>
      </c>
      <c r="C1582" t="s">
        <v>48</v>
      </c>
      <c r="D1582" t="s">
        <v>933</v>
      </c>
      <c r="E1582">
        <f t="shared" si="66"/>
        <v>1.2195121951219513E-2</v>
      </c>
      <c r="F1582">
        <v>1</v>
      </c>
      <c r="G1582">
        <f>LOG(382/(1+1))</f>
        <v>2.2810333672477277</v>
      </c>
      <c r="H1582">
        <f>0.0121951219512195*5.25227342804663</f>
        <v>6.4052114976178354E-2</v>
      </c>
      <c r="I1582">
        <v>6.4052114976178409E-2</v>
      </c>
    </row>
    <row r="1583" spans="1:9" x14ac:dyDescent="0.25">
      <c r="A1583">
        <v>246</v>
      </c>
      <c r="B1583" t="s">
        <v>921</v>
      </c>
      <c r="C1583" t="s">
        <v>48</v>
      </c>
      <c r="D1583" t="s">
        <v>151</v>
      </c>
      <c r="E1583">
        <f>2/82</f>
        <v>2.4390243902439025E-2</v>
      </c>
      <c r="F1583">
        <v>14</v>
      </c>
      <c r="G1583">
        <f>LOG(382/(14+1))</f>
        <v>1.4059721038560276</v>
      </c>
      <c r="H1583">
        <f>0.024390243902439*3.23737040750436</f>
        <v>7.8960253841569683E-2</v>
      </c>
      <c r="I1583">
        <v>7.8960253841569891E-2</v>
      </c>
    </row>
    <row r="1584" spans="1:9" x14ac:dyDescent="0.25">
      <c r="A1584">
        <v>246</v>
      </c>
      <c r="B1584" t="s">
        <v>921</v>
      </c>
      <c r="C1584" t="s">
        <v>48</v>
      </c>
      <c r="D1584" t="s">
        <v>161</v>
      </c>
      <c r="E1584">
        <f>1/82</f>
        <v>1.2195121951219513E-2</v>
      </c>
      <c r="F1584">
        <v>33</v>
      </c>
      <c r="G1584">
        <f>LOG(382/(33+1))</f>
        <v>1.0505844458694535</v>
      </c>
      <c r="H1584">
        <f>0.0121951219512195*2.41906008399041</f>
        <v>2.9500732731590339E-2</v>
      </c>
      <c r="I1584">
        <v>2.9500732731590412E-2</v>
      </c>
    </row>
    <row r="1585" spans="1:9" x14ac:dyDescent="0.25">
      <c r="A1585">
        <v>246</v>
      </c>
      <c r="B1585" t="s">
        <v>921</v>
      </c>
      <c r="C1585" t="s">
        <v>48</v>
      </c>
      <c r="D1585" t="s">
        <v>31</v>
      </c>
      <c r="E1585">
        <f>2/82</f>
        <v>2.4390243902439025E-2</v>
      </c>
      <c r="F1585">
        <v>31</v>
      </c>
      <c r="G1585">
        <f>LOG(382/(31+1))</f>
        <v>1.0769133845918029</v>
      </c>
      <c r="H1585">
        <f>0.024390243902439*2.47968470580684</f>
        <v>6.0480114775776521E-2</v>
      </c>
      <c r="I1585">
        <v>6.0480114775776798E-2</v>
      </c>
    </row>
    <row r="1586" spans="1:9" x14ac:dyDescent="0.25">
      <c r="A1586">
        <v>246</v>
      </c>
      <c r="B1586" t="s">
        <v>921</v>
      </c>
      <c r="C1586" t="s">
        <v>48</v>
      </c>
      <c r="D1586" t="s">
        <v>934</v>
      </c>
      <c r="E1586">
        <f>1/82</f>
        <v>1.2195121951219513E-2</v>
      </c>
      <c r="F1586">
        <v>1</v>
      </c>
      <c r="G1586">
        <f>LOG(382/(1+1))</f>
        <v>2.2810333672477277</v>
      </c>
      <c r="H1586">
        <f>0.0121951219512195*5.25227342804663</f>
        <v>6.4052114976178354E-2</v>
      </c>
      <c r="I1586">
        <v>6.4052114976178409E-2</v>
      </c>
    </row>
    <row r="1587" spans="1:9" x14ac:dyDescent="0.25">
      <c r="A1587">
        <v>246</v>
      </c>
      <c r="B1587" t="s">
        <v>921</v>
      </c>
      <c r="C1587" t="s">
        <v>48</v>
      </c>
      <c r="D1587" t="s">
        <v>11</v>
      </c>
      <c r="E1587">
        <f>3/82</f>
        <v>3.6585365853658534E-2</v>
      </c>
      <c r="F1587">
        <v>83</v>
      </c>
      <c r="G1587">
        <f>LOG(382/(83+1))</f>
        <v>0.65778407684982709</v>
      </c>
      <c r="H1587">
        <f>0.0365853658536585*1.51460380976326</f>
        <v>5.5412334503533847E-2</v>
      </c>
      <c r="I1587">
        <v>5.5412334503533951E-2</v>
      </c>
    </row>
    <row r="1588" spans="1:9" x14ac:dyDescent="0.25">
      <c r="A1588">
        <v>246</v>
      </c>
      <c r="B1588" t="s">
        <v>921</v>
      </c>
      <c r="C1588" t="s">
        <v>48</v>
      </c>
      <c r="D1588" t="s">
        <v>449</v>
      </c>
      <c r="E1588">
        <f t="shared" ref="E1588:E1606" si="67">1/82</f>
        <v>1.2195121951219513E-2</v>
      </c>
      <c r="F1588">
        <v>9</v>
      </c>
      <c r="G1588">
        <f>LOG(382/(9+1))</f>
        <v>1.5820633629117087</v>
      </c>
      <c r="H1588">
        <f>0.0121951219512195*3.64283551561252</f>
        <v>4.4424823361128248E-2</v>
      </c>
      <c r="I1588">
        <v>4.4424823361128407E-2</v>
      </c>
    </row>
    <row r="1589" spans="1:9" x14ac:dyDescent="0.25">
      <c r="A1589">
        <v>246</v>
      </c>
      <c r="B1589" t="s">
        <v>921</v>
      </c>
      <c r="C1589" t="s">
        <v>48</v>
      </c>
      <c r="D1589" t="s">
        <v>398</v>
      </c>
      <c r="E1589">
        <f t="shared" si="67"/>
        <v>1.2195121951219513E-2</v>
      </c>
      <c r="F1589">
        <v>14</v>
      </c>
      <c r="G1589">
        <f>LOG(382/(14+1))</f>
        <v>1.4059721038560276</v>
      </c>
      <c r="H1589">
        <f>0.0121951219512195*3.23737040750436</f>
        <v>3.9480126920784842E-2</v>
      </c>
      <c r="I1589">
        <v>3.9480126920784953E-2</v>
      </c>
    </row>
    <row r="1590" spans="1:9" x14ac:dyDescent="0.25">
      <c r="A1590">
        <v>246</v>
      </c>
      <c r="B1590" t="s">
        <v>921</v>
      </c>
      <c r="C1590" t="s">
        <v>48</v>
      </c>
      <c r="D1590" t="s">
        <v>131</v>
      </c>
      <c r="E1590">
        <f t="shared" si="67"/>
        <v>1.2195121951219513E-2</v>
      </c>
      <c r="F1590">
        <v>38</v>
      </c>
      <c r="G1590">
        <f>LOG(382/(38+1))</f>
        <v>0.99099875588520958</v>
      </c>
      <c r="H1590">
        <f>0.0121951219512195*2.28185896247692</f>
        <v>2.7827548322889244E-2</v>
      </c>
      <c r="I1590">
        <v>2.7827548322889379E-2</v>
      </c>
    </row>
    <row r="1591" spans="1:9" x14ac:dyDescent="0.25">
      <c r="A1591">
        <v>246</v>
      </c>
      <c r="B1591" t="s">
        <v>921</v>
      </c>
      <c r="C1591" t="s">
        <v>48</v>
      </c>
      <c r="D1591" t="s">
        <v>764</v>
      </c>
      <c r="E1591">
        <f t="shared" si="67"/>
        <v>1.2195121951219513E-2</v>
      </c>
      <c r="F1591">
        <v>57</v>
      </c>
      <c r="G1591">
        <f>LOG(382/(57+1))</f>
        <v>0.81863536934877146</v>
      </c>
      <c r="H1591">
        <f>0.0121951219512195*1.88497759806015</f>
        <v>2.2987531683660342E-2</v>
      </c>
      <c r="I1591">
        <v>2.2987531683660439E-2</v>
      </c>
    </row>
    <row r="1592" spans="1:9" x14ac:dyDescent="0.25">
      <c r="A1592">
        <v>246</v>
      </c>
      <c r="B1592" t="s">
        <v>921</v>
      </c>
      <c r="C1592" t="s">
        <v>48</v>
      </c>
      <c r="D1592" t="s">
        <v>935</v>
      </c>
      <c r="E1592">
        <f t="shared" si="67"/>
        <v>1.2195121951219513E-2</v>
      </c>
      <c r="F1592">
        <v>2</v>
      </c>
      <c r="G1592">
        <f>LOG(382/(2+1))</f>
        <v>2.1049421081920463</v>
      </c>
      <c r="H1592">
        <f>0.0121951219512195*4.84680831993846</f>
        <v>5.9107418535834823E-2</v>
      </c>
      <c r="I1592">
        <v>5.9107418535834948E-2</v>
      </c>
    </row>
    <row r="1593" spans="1:9" x14ac:dyDescent="0.25">
      <c r="A1593">
        <v>246</v>
      </c>
      <c r="B1593" t="s">
        <v>921</v>
      </c>
      <c r="C1593" t="s">
        <v>48</v>
      </c>
      <c r="D1593" t="s">
        <v>936</v>
      </c>
      <c r="E1593">
        <f t="shared" si="67"/>
        <v>1.2195121951219513E-2</v>
      </c>
      <c r="F1593">
        <v>21</v>
      </c>
      <c r="G1593">
        <f>LOG(382/(21+1))</f>
        <v>1.2396406820895025</v>
      </c>
      <c r="H1593">
        <f>0.0121951219512195*2.85437815524825</f>
        <v>3.4809489698149357E-2</v>
      </c>
      <c r="I1593">
        <v>3.4809489698149503E-2</v>
      </c>
    </row>
    <row r="1594" spans="1:9" x14ac:dyDescent="0.25">
      <c r="A1594">
        <v>246</v>
      </c>
      <c r="B1594" t="s">
        <v>921</v>
      </c>
      <c r="C1594" t="s">
        <v>48</v>
      </c>
      <c r="D1594" t="s">
        <v>937</v>
      </c>
      <c r="E1594">
        <f t="shared" si="67"/>
        <v>1.2195121951219513E-2</v>
      </c>
      <c r="F1594">
        <v>41</v>
      </c>
      <c r="G1594">
        <f>LOG(382/(41+1))</f>
        <v>0.95881407251380824</v>
      </c>
      <c r="H1594">
        <f>0.0121951219512195*2.2077509903232</f>
        <v>2.6923792564917049E-2</v>
      </c>
      <c r="I1594">
        <v>2.692379256491716E-2</v>
      </c>
    </row>
    <row r="1595" spans="1:9" x14ac:dyDescent="0.25">
      <c r="A1595">
        <v>246</v>
      </c>
      <c r="B1595" t="s">
        <v>921</v>
      </c>
      <c r="C1595" t="s">
        <v>48</v>
      </c>
      <c r="D1595" t="s">
        <v>119</v>
      </c>
      <c r="E1595">
        <f t="shared" si="67"/>
        <v>1.2195121951219513E-2</v>
      </c>
      <c r="F1595">
        <v>79</v>
      </c>
      <c r="G1595">
        <f>LOG(382/(79+1))</f>
        <v>0.67897337591976514</v>
      </c>
      <c r="H1595">
        <f>0.0121951219512195*1.56339397393269</f>
        <v>1.9065780169910836E-2</v>
      </c>
      <c r="I1595">
        <v>1.9065780169910899E-2</v>
      </c>
    </row>
    <row r="1596" spans="1:9" x14ac:dyDescent="0.25">
      <c r="A1596">
        <v>246</v>
      </c>
      <c r="B1596" t="s">
        <v>921</v>
      </c>
      <c r="C1596" t="s">
        <v>48</v>
      </c>
      <c r="D1596" t="s">
        <v>133</v>
      </c>
      <c r="E1596">
        <f t="shared" si="67"/>
        <v>1.2195121951219513E-2</v>
      </c>
      <c r="F1596">
        <v>142</v>
      </c>
      <c r="G1596">
        <f>LOG(382/(142+1))</f>
        <v>0.42672732544664693</v>
      </c>
      <c r="H1596">
        <f>0.0121951219512195*0.982575978346667</f>
        <v>1.1982633882276415E-2</v>
      </c>
      <c r="I1596">
        <v>1.1982633882276441E-2</v>
      </c>
    </row>
    <row r="1597" spans="1:9" x14ac:dyDescent="0.25">
      <c r="A1597">
        <v>246</v>
      </c>
      <c r="B1597" t="s">
        <v>921</v>
      </c>
      <c r="C1597" t="s">
        <v>48</v>
      </c>
      <c r="D1597" t="s">
        <v>77</v>
      </c>
      <c r="E1597">
        <f t="shared" si="67"/>
        <v>1.2195121951219513E-2</v>
      </c>
      <c r="F1597">
        <v>148</v>
      </c>
      <c r="G1597">
        <f>LOG(382/(148+1))</f>
        <v>0.40887709449943471</v>
      </c>
      <c r="H1597">
        <f>0.0121951219512195*0.941474302661116</f>
        <v>1.1481393934891648E-2</v>
      </c>
      <c r="I1597">
        <v>1.148139393489166E-2</v>
      </c>
    </row>
    <row r="1598" spans="1:9" x14ac:dyDescent="0.25">
      <c r="A1598">
        <v>246</v>
      </c>
      <c r="B1598" t="s">
        <v>921</v>
      </c>
      <c r="C1598" t="s">
        <v>48</v>
      </c>
      <c r="D1598" t="s">
        <v>938</v>
      </c>
      <c r="E1598">
        <f t="shared" si="67"/>
        <v>1.2195121951219513E-2</v>
      </c>
      <c r="F1598">
        <v>6</v>
      </c>
      <c r="G1598">
        <f>LOG(382/(6+1))</f>
        <v>1.736965322897452</v>
      </c>
      <c r="H1598">
        <f>0.0121951219512195*3.99951045955126</f>
        <v>4.8774517799405566E-2</v>
      </c>
      <c r="I1598">
        <v>4.8774517799405642E-2</v>
      </c>
    </row>
    <row r="1599" spans="1:9" x14ac:dyDescent="0.25">
      <c r="A1599">
        <v>246</v>
      </c>
      <c r="B1599" t="s">
        <v>921</v>
      </c>
      <c r="C1599" t="s">
        <v>48</v>
      </c>
      <c r="D1599" t="s">
        <v>939</v>
      </c>
      <c r="E1599">
        <f t="shared" si="67"/>
        <v>1.2195121951219513E-2</v>
      </c>
      <c r="F1599">
        <v>35</v>
      </c>
      <c r="G1599">
        <f>LOG(382/(35+1))</f>
        <v>1.0257608621444214</v>
      </c>
      <c r="H1599">
        <f>0.0121951219512195*2.36190167015046</f>
        <v>2.8803678904273874E-2</v>
      </c>
      <c r="I1599">
        <v>2.880367890427396E-2</v>
      </c>
    </row>
    <row r="1600" spans="1:9" x14ac:dyDescent="0.25">
      <c r="A1600">
        <v>246</v>
      </c>
      <c r="B1600" t="s">
        <v>921</v>
      </c>
      <c r="C1600" t="s">
        <v>48</v>
      </c>
      <c r="D1600" t="s">
        <v>940</v>
      </c>
      <c r="E1600">
        <f t="shared" si="67"/>
        <v>1.2195121951219513E-2</v>
      </c>
      <c r="F1600">
        <v>1</v>
      </c>
      <c r="G1600">
        <f>LOG(382/(1+1))</f>
        <v>2.2810333672477277</v>
      </c>
      <c r="H1600">
        <f>0.0121951219512195*5.25227342804663</f>
        <v>6.4052114976178354E-2</v>
      </c>
      <c r="I1600">
        <v>6.4052114976178409E-2</v>
      </c>
    </row>
    <row r="1601" spans="1:9" x14ac:dyDescent="0.25">
      <c r="A1601">
        <v>246</v>
      </c>
      <c r="B1601" t="s">
        <v>921</v>
      </c>
      <c r="C1601" t="s">
        <v>48</v>
      </c>
      <c r="D1601" t="s">
        <v>941</v>
      </c>
      <c r="E1601">
        <f t="shared" si="67"/>
        <v>1.2195121951219513E-2</v>
      </c>
      <c r="F1601">
        <v>3</v>
      </c>
      <c r="G1601">
        <f>LOG(382/(3+1))</f>
        <v>1.9800033715837464</v>
      </c>
      <c r="H1601">
        <f>0.0121951219512195*4.55912624748668</f>
        <v>5.5599100579105803E-2</v>
      </c>
      <c r="I1601">
        <v>5.5599100579105908E-2</v>
      </c>
    </row>
    <row r="1602" spans="1:9" x14ac:dyDescent="0.25">
      <c r="A1602">
        <v>246</v>
      </c>
      <c r="B1602" t="s">
        <v>921</v>
      </c>
      <c r="C1602" t="s">
        <v>48</v>
      </c>
      <c r="D1602" t="s">
        <v>942</v>
      </c>
      <c r="E1602">
        <f t="shared" si="67"/>
        <v>1.2195121951219513E-2</v>
      </c>
      <c r="F1602">
        <v>10</v>
      </c>
      <c r="G1602">
        <f>LOG(382/(10+1))</f>
        <v>1.5406706777534838</v>
      </c>
      <c r="H1602">
        <f>0.0121951219512195*3.5475253358082</f>
        <v>4.3262504095221914E-2</v>
      </c>
      <c r="I1602">
        <v>4.3262504095222011E-2</v>
      </c>
    </row>
    <row r="1603" spans="1:9" x14ac:dyDescent="0.25">
      <c r="A1603">
        <v>246</v>
      </c>
      <c r="B1603" t="s">
        <v>921</v>
      </c>
      <c r="C1603" t="s">
        <v>48</v>
      </c>
      <c r="D1603" t="s">
        <v>943</v>
      </c>
      <c r="E1603">
        <f t="shared" si="67"/>
        <v>1.2195121951219513E-2</v>
      </c>
      <c r="F1603">
        <v>3</v>
      </c>
      <c r="G1603">
        <f>LOG(382/(3+1))</f>
        <v>1.9800033715837464</v>
      </c>
      <c r="H1603">
        <f>0.0121951219512195*4.55912624748668</f>
        <v>5.5599100579105803E-2</v>
      </c>
      <c r="I1603">
        <v>5.5599100579105908E-2</v>
      </c>
    </row>
    <row r="1604" spans="1:9" x14ac:dyDescent="0.25">
      <c r="A1604">
        <v>246</v>
      </c>
      <c r="B1604" t="s">
        <v>921</v>
      </c>
      <c r="C1604" t="s">
        <v>48</v>
      </c>
      <c r="D1604" t="s">
        <v>944</v>
      </c>
      <c r="E1604">
        <f t="shared" si="67"/>
        <v>1.2195121951219513E-2</v>
      </c>
      <c r="F1604">
        <v>1</v>
      </c>
      <c r="G1604">
        <f>LOG(382/(1+1))</f>
        <v>2.2810333672477277</v>
      </c>
      <c r="H1604">
        <f>0.0121951219512195*5.25227342804663</f>
        <v>6.4052114976178354E-2</v>
      </c>
      <c r="I1604">
        <v>6.4052114976178409E-2</v>
      </c>
    </row>
    <row r="1605" spans="1:9" x14ac:dyDescent="0.25">
      <c r="A1605">
        <v>246</v>
      </c>
      <c r="B1605" t="s">
        <v>921</v>
      </c>
      <c r="C1605" t="s">
        <v>48</v>
      </c>
      <c r="D1605" t="s">
        <v>945</v>
      </c>
      <c r="E1605">
        <f t="shared" si="67"/>
        <v>1.2195121951219513E-2</v>
      </c>
      <c r="F1605">
        <v>1</v>
      </c>
      <c r="G1605">
        <f>LOG(382/(1+1))</f>
        <v>2.2810333672477277</v>
      </c>
      <c r="H1605">
        <f>0.0121951219512195*5.25227342804663</f>
        <v>6.4052114976178354E-2</v>
      </c>
      <c r="I1605">
        <v>6.4052114976178409E-2</v>
      </c>
    </row>
    <row r="1606" spans="1:9" x14ac:dyDescent="0.25">
      <c r="A1606">
        <v>246</v>
      </c>
      <c r="B1606" t="s">
        <v>921</v>
      </c>
      <c r="C1606" t="s">
        <v>48</v>
      </c>
      <c r="D1606" t="s">
        <v>201</v>
      </c>
      <c r="E1606">
        <f t="shared" si="67"/>
        <v>1.2195121951219513E-2</v>
      </c>
      <c r="F1606">
        <v>72</v>
      </c>
      <c r="G1606">
        <f>LOG(382/(72+1))</f>
        <v>0.71874050279125279</v>
      </c>
      <c r="H1606">
        <f>0.0121951219512195*1.65496116745818</f>
        <v>2.01824532616851E-2</v>
      </c>
      <c r="I1606">
        <v>2.018245326168517E-2</v>
      </c>
    </row>
    <row r="1607" spans="1:9" x14ac:dyDescent="0.25">
      <c r="A1607">
        <v>247</v>
      </c>
      <c r="B1607" t="s">
        <v>946</v>
      </c>
      <c r="C1607" t="s">
        <v>48</v>
      </c>
      <c r="D1607" t="s">
        <v>179</v>
      </c>
      <c r="E1607">
        <f>2/85</f>
        <v>2.3529411764705882E-2</v>
      </c>
      <c r="F1607">
        <v>15</v>
      </c>
      <c r="G1607">
        <f>LOG(382/(15+1))</f>
        <v>1.3779433802557839</v>
      </c>
      <c r="H1607">
        <f>0.0235294117647058*3.17283188636679</f>
        <v>7.4654867914512438E-2</v>
      </c>
      <c r="I1607">
        <v>7.4654867914512799E-2</v>
      </c>
    </row>
    <row r="1608" spans="1:9" x14ac:dyDescent="0.25">
      <c r="A1608">
        <v>247</v>
      </c>
      <c r="B1608" t="s">
        <v>946</v>
      </c>
      <c r="C1608" t="s">
        <v>48</v>
      </c>
      <c r="D1608" t="s">
        <v>108</v>
      </c>
      <c r="E1608">
        <f>2/85</f>
        <v>2.3529411764705882E-2</v>
      </c>
      <c r="F1608">
        <v>9</v>
      </c>
      <c r="G1608">
        <f>LOG(382/(9+1))</f>
        <v>1.5820633629117087</v>
      </c>
      <c r="H1608">
        <f>0.0235294117647058*3.64283551561252</f>
        <v>8.5713776837941347E-2</v>
      </c>
      <c r="I1608">
        <v>8.571377683794186E-2</v>
      </c>
    </row>
    <row r="1609" spans="1:9" x14ac:dyDescent="0.25">
      <c r="A1609">
        <v>247</v>
      </c>
      <c r="B1609" t="s">
        <v>946</v>
      </c>
      <c r="C1609" t="s">
        <v>48</v>
      </c>
      <c r="D1609" t="s">
        <v>104</v>
      </c>
      <c r="E1609">
        <f>4/85</f>
        <v>4.7058823529411764E-2</v>
      </c>
      <c r="F1609">
        <v>49</v>
      </c>
      <c r="G1609">
        <f>LOG(382/(49+1))</f>
        <v>0.88309335857568994</v>
      </c>
      <c r="H1609">
        <f>0.0470588235294117*2.03339760317842</f>
        <v>9.5689298973101994E-2</v>
      </c>
      <c r="I1609">
        <v>9.5689298973102535E-2</v>
      </c>
    </row>
    <row r="1610" spans="1:9" x14ac:dyDescent="0.25">
      <c r="A1610">
        <v>247</v>
      </c>
      <c r="B1610" t="s">
        <v>946</v>
      </c>
      <c r="C1610" t="s">
        <v>48</v>
      </c>
      <c r="D1610" t="s">
        <v>947</v>
      </c>
      <c r="E1610">
        <f>5/85</f>
        <v>5.8823529411764705E-2</v>
      </c>
      <c r="F1610">
        <v>6</v>
      </c>
      <c r="G1610">
        <f>LOG(382/(6+1))</f>
        <v>1.736965322897452</v>
      </c>
      <c r="H1610">
        <f>0.0588235294117647*3.99951045955126</f>
        <v>0.23526532115007409</v>
      </c>
      <c r="I1610">
        <v>0.2352653211500742</v>
      </c>
    </row>
    <row r="1611" spans="1:9" x14ac:dyDescent="0.25">
      <c r="A1611">
        <v>247</v>
      </c>
      <c r="B1611" t="s">
        <v>946</v>
      </c>
      <c r="C1611" t="s">
        <v>48</v>
      </c>
      <c r="D1611" t="s">
        <v>458</v>
      </c>
      <c r="E1611">
        <f>3/85</f>
        <v>3.5294117647058823E-2</v>
      </c>
      <c r="F1611">
        <v>34</v>
      </c>
      <c r="G1611">
        <f>LOG(382/(34+1))</f>
        <v>1.037995318561433</v>
      </c>
      <c r="H1611">
        <f>0.0352941176470588*2.39007254711716</f>
        <v>8.4355501662958535E-2</v>
      </c>
      <c r="I1611">
        <v>8.4355501662958632E-2</v>
      </c>
    </row>
    <row r="1612" spans="1:9" x14ac:dyDescent="0.25">
      <c r="A1612">
        <v>247</v>
      </c>
      <c r="B1612" t="s">
        <v>946</v>
      </c>
      <c r="C1612" t="s">
        <v>48</v>
      </c>
      <c r="D1612" t="s">
        <v>52</v>
      </c>
      <c r="E1612">
        <f>4/85</f>
        <v>4.7058823529411764E-2</v>
      </c>
      <c r="F1612">
        <v>35</v>
      </c>
      <c r="G1612">
        <f>LOG(382/(35+1))</f>
        <v>1.0257608621444214</v>
      </c>
      <c r="H1612">
        <f>0.0470588235294117*2.36190167015046</f>
        <v>0.11114831388943326</v>
      </c>
      <c r="I1612">
        <v>0.11114831388943359</v>
      </c>
    </row>
    <row r="1613" spans="1:9" x14ac:dyDescent="0.25">
      <c r="A1613">
        <v>247</v>
      </c>
      <c r="B1613" t="s">
        <v>946</v>
      </c>
      <c r="C1613" t="s">
        <v>48</v>
      </c>
      <c r="D1613" t="s">
        <v>42</v>
      </c>
      <c r="E1613">
        <f>1/85</f>
        <v>1.1764705882352941E-2</v>
      </c>
      <c r="F1613">
        <v>251</v>
      </c>
      <c r="G1613">
        <f>LOG(382/(251+1))</f>
        <v>0.18066282213016463</v>
      </c>
      <c r="H1613">
        <f>0.0117647058823529*0.415991521095151</f>
        <v>4.8940178952370525E-3</v>
      </c>
      <c r="I1613">
        <v>4.8940178952370803E-3</v>
      </c>
    </row>
    <row r="1614" spans="1:9" x14ac:dyDescent="0.25">
      <c r="A1614">
        <v>247</v>
      </c>
      <c r="B1614" t="s">
        <v>946</v>
      </c>
      <c r="C1614" t="s">
        <v>48</v>
      </c>
      <c r="D1614" t="s">
        <v>15</v>
      </c>
      <c r="E1614">
        <f>1/85</f>
        <v>1.1764705882352941E-2</v>
      </c>
      <c r="F1614">
        <v>112</v>
      </c>
      <c r="G1614">
        <f>LOG(382/(112+1))</f>
        <v>0.52898491942828896</v>
      </c>
      <c r="H1614">
        <f>0.0117647058823529*1.21803278989423</f>
        <v>1.4329797528167361E-2</v>
      </c>
      <c r="I1614">
        <v>1.432979752816747E-2</v>
      </c>
    </row>
    <row r="1615" spans="1:9" x14ac:dyDescent="0.25">
      <c r="A1615">
        <v>247</v>
      </c>
      <c r="B1615" t="s">
        <v>946</v>
      </c>
      <c r="C1615" t="s">
        <v>48</v>
      </c>
      <c r="D1615" t="s">
        <v>368</v>
      </c>
      <c r="E1615">
        <f>2/85</f>
        <v>2.3529411764705882E-2</v>
      </c>
      <c r="F1615">
        <v>17</v>
      </c>
      <c r="G1615">
        <f>LOG(382/(17+1))</f>
        <v>1.3267908578084027</v>
      </c>
      <c r="H1615">
        <f>0.0235294117647058*3.05504885071041</f>
        <v>7.1883502369656446E-2</v>
      </c>
      <c r="I1615">
        <v>7.188350236965671E-2</v>
      </c>
    </row>
    <row r="1616" spans="1:9" x14ac:dyDescent="0.25">
      <c r="A1616">
        <v>247</v>
      </c>
      <c r="B1616" t="s">
        <v>946</v>
      </c>
      <c r="C1616" t="s">
        <v>48</v>
      </c>
      <c r="D1616" t="s">
        <v>270</v>
      </c>
      <c r="E1616">
        <f t="shared" ref="E1616:E1622" si="68">1/85</f>
        <v>1.1764705882352941E-2</v>
      </c>
      <c r="F1616">
        <v>6</v>
      </c>
      <c r="G1616">
        <f>LOG(382/(6+1))</f>
        <v>1.736965322897452</v>
      </c>
      <c r="H1616">
        <f>0.0117647058823529*3.99951045955126</f>
        <v>4.7053064230014659E-2</v>
      </c>
      <c r="I1616">
        <v>4.7053064230014853E-2</v>
      </c>
    </row>
    <row r="1617" spans="1:9" x14ac:dyDescent="0.25">
      <c r="A1617">
        <v>247</v>
      </c>
      <c r="B1617" t="s">
        <v>946</v>
      </c>
      <c r="C1617" t="s">
        <v>48</v>
      </c>
      <c r="D1617" t="s">
        <v>17</v>
      </c>
      <c r="E1617">
        <f t="shared" si="68"/>
        <v>1.1764705882352941E-2</v>
      </c>
      <c r="F1617">
        <v>169</v>
      </c>
      <c r="G1617">
        <f>LOG(382/(169+1))</f>
        <v>0.3516144415334348</v>
      </c>
      <c r="H1617">
        <f>0.0117647058823529*0.809622171556313</f>
        <v>9.5249667241918846E-3</v>
      </c>
      <c r="I1617">
        <v>9.5249667241919227E-3</v>
      </c>
    </row>
    <row r="1618" spans="1:9" x14ac:dyDescent="0.25">
      <c r="A1618">
        <v>247</v>
      </c>
      <c r="B1618" t="s">
        <v>946</v>
      </c>
      <c r="C1618" t="s">
        <v>48</v>
      </c>
      <c r="D1618" t="s">
        <v>19</v>
      </c>
      <c r="E1618">
        <f t="shared" si="68"/>
        <v>1.1764705882352941E-2</v>
      </c>
      <c r="F1618">
        <v>220</v>
      </c>
      <c r="G1618">
        <f>LOG(382/(220+1))</f>
        <v>0.23767108922659805</v>
      </c>
      <c r="H1618">
        <f>0.0117647058823529*0.547257907088822</f>
        <v>6.4383283186920008E-3</v>
      </c>
      <c r="I1618">
        <v>6.4383283186920277E-3</v>
      </c>
    </row>
    <row r="1619" spans="1:9" x14ac:dyDescent="0.25">
      <c r="A1619">
        <v>247</v>
      </c>
      <c r="B1619" t="s">
        <v>946</v>
      </c>
      <c r="C1619" t="s">
        <v>48</v>
      </c>
      <c r="D1619" t="s">
        <v>370</v>
      </c>
      <c r="E1619">
        <f t="shared" si="68"/>
        <v>1.1764705882352941E-2</v>
      </c>
      <c r="F1619">
        <v>14</v>
      </c>
      <c r="G1619">
        <f>LOG(382/(14+1))</f>
        <v>1.4059721038560276</v>
      </c>
      <c r="H1619">
        <f>0.0117647058823529*3.23737040750436</f>
        <v>3.8086710676521744E-2</v>
      </c>
      <c r="I1619">
        <v>3.8086710676521952E-2</v>
      </c>
    </row>
    <row r="1620" spans="1:9" x14ac:dyDescent="0.25">
      <c r="A1620">
        <v>247</v>
      </c>
      <c r="B1620" t="s">
        <v>946</v>
      </c>
      <c r="C1620" t="s">
        <v>48</v>
      </c>
      <c r="D1620" t="s">
        <v>22</v>
      </c>
      <c r="E1620">
        <f t="shared" si="68"/>
        <v>1.1764705882352941E-2</v>
      </c>
      <c r="F1620">
        <v>259</v>
      </c>
      <c r="G1620">
        <f>LOG(382/(259+1))</f>
        <v>0.16709001494089079</v>
      </c>
      <c r="H1620">
        <f>0.0117647058823529*0.384738977591047</f>
        <v>4.5263409128358315E-3</v>
      </c>
      <c r="I1620">
        <v>4.5263409128358531E-3</v>
      </c>
    </row>
    <row r="1621" spans="1:9" x14ac:dyDescent="0.25">
      <c r="A1621">
        <v>247</v>
      </c>
      <c r="B1621" t="s">
        <v>946</v>
      </c>
      <c r="C1621" t="s">
        <v>48</v>
      </c>
      <c r="D1621" t="s">
        <v>23</v>
      </c>
      <c r="E1621">
        <f t="shared" si="68"/>
        <v>1.1764705882352941E-2</v>
      </c>
      <c r="F1621">
        <v>275</v>
      </c>
      <c r="G1621">
        <f>LOG(382/(275+1))</f>
        <v>0.14115428084649101</v>
      </c>
      <c r="H1621">
        <f>0.0117647058823529*0.325019742889425</f>
        <v>3.8237616810520448E-3</v>
      </c>
      <c r="I1621">
        <v>3.82376168105206E-3</v>
      </c>
    </row>
    <row r="1622" spans="1:9" x14ac:dyDescent="0.25">
      <c r="A1622">
        <v>247</v>
      </c>
      <c r="B1622" t="s">
        <v>946</v>
      </c>
      <c r="C1622" t="s">
        <v>48</v>
      </c>
      <c r="D1622" t="s">
        <v>781</v>
      </c>
      <c r="E1622">
        <f t="shared" si="68"/>
        <v>1.1764705882352941E-2</v>
      </c>
      <c r="F1622">
        <v>8</v>
      </c>
      <c r="G1622">
        <f>LOG(382/(8+1))</f>
        <v>1.6278208534723839</v>
      </c>
      <c r="H1622">
        <f>0.0117647058823529*3.74819603127035</f>
        <v>4.4096423897298079E-2</v>
      </c>
      <c r="I1622">
        <v>4.4096423897298301E-2</v>
      </c>
    </row>
    <row r="1623" spans="1:9" x14ac:dyDescent="0.25">
      <c r="A1623">
        <v>247</v>
      </c>
      <c r="B1623" t="s">
        <v>946</v>
      </c>
      <c r="C1623" t="s">
        <v>48</v>
      </c>
      <c r="D1623" t="s">
        <v>60</v>
      </c>
      <c r="E1623">
        <f>2/85</f>
        <v>2.3529411764705882E-2</v>
      </c>
      <c r="F1623">
        <v>24</v>
      </c>
      <c r="G1623">
        <f>LOG(382/(24+1))</f>
        <v>1.1841233542396712</v>
      </c>
      <c r="H1623">
        <f>0.0235294117647058*2.72654478373837</f>
        <v>6.4153994911490833E-2</v>
      </c>
      <c r="I1623">
        <v>6.4153994911491152E-2</v>
      </c>
    </row>
    <row r="1624" spans="1:9" x14ac:dyDescent="0.25">
      <c r="A1624">
        <v>247</v>
      </c>
      <c r="B1624" t="s">
        <v>946</v>
      </c>
      <c r="C1624" t="s">
        <v>48</v>
      </c>
      <c r="D1624" t="s">
        <v>650</v>
      </c>
      <c r="E1624">
        <f>2/85</f>
        <v>2.3529411764705882E-2</v>
      </c>
      <c r="F1624">
        <v>9</v>
      </c>
      <c r="G1624">
        <f>LOG(382/(9+1))</f>
        <v>1.5820633629117087</v>
      </c>
      <c r="H1624">
        <f>0.0235294117647058*3.64283551561252</f>
        <v>8.5713776837941347E-2</v>
      </c>
      <c r="I1624">
        <v>8.571377683794186E-2</v>
      </c>
    </row>
    <row r="1625" spans="1:9" x14ac:dyDescent="0.25">
      <c r="A1625">
        <v>247</v>
      </c>
      <c r="B1625" t="s">
        <v>946</v>
      </c>
      <c r="C1625" t="s">
        <v>48</v>
      </c>
      <c r="D1625" t="s">
        <v>607</v>
      </c>
      <c r="E1625">
        <f>1/85</f>
        <v>1.1764705882352941E-2</v>
      </c>
      <c r="F1625">
        <v>6</v>
      </c>
      <c r="G1625">
        <f>LOG(382/(6+1))</f>
        <v>1.736965322897452</v>
      </c>
      <c r="H1625">
        <f>0.0117647058823529*3.99951045955126</f>
        <v>4.7053064230014659E-2</v>
      </c>
      <c r="I1625">
        <v>4.7053064230014853E-2</v>
      </c>
    </row>
    <row r="1626" spans="1:9" x14ac:dyDescent="0.25">
      <c r="A1626">
        <v>247</v>
      </c>
      <c r="B1626" t="s">
        <v>946</v>
      </c>
      <c r="C1626" t="s">
        <v>48</v>
      </c>
      <c r="D1626" t="s">
        <v>131</v>
      </c>
      <c r="E1626">
        <f>2/85</f>
        <v>2.3529411764705882E-2</v>
      </c>
      <c r="F1626">
        <v>38</v>
      </c>
      <c r="G1626">
        <f>LOG(382/(38+1))</f>
        <v>0.99099875588520958</v>
      </c>
      <c r="H1626">
        <f>0.0235294117647058*2.28185896247692</f>
        <v>5.369079911710381E-2</v>
      </c>
      <c r="I1626">
        <v>5.3690799117104213E-2</v>
      </c>
    </row>
    <row r="1627" spans="1:9" x14ac:dyDescent="0.25">
      <c r="A1627">
        <v>247</v>
      </c>
      <c r="B1627" t="s">
        <v>946</v>
      </c>
      <c r="C1627" t="s">
        <v>48</v>
      </c>
      <c r="D1627" t="s">
        <v>50</v>
      </c>
      <c r="E1627">
        <f t="shared" ref="E1627:E1638" si="69">1/85</f>
        <v>1.1764705882352941E-2</v>
      </c>
      <c r="F1627">
        <v>109</v>
      </c>
      <c r="G1627">
        <f>LOG(382/(109+1))</f>
        <v>0.54067067775348365</v>
      </c>
      <c r="H1627">
        <f>0.0117647058823529*1.24494024281415</f>
        <v>1.4646355797813478E-2</v>
      </c>
      <c r="I1627">
        <v>1.4646355797813629E-2</v>
      </c>
    </row>
    <row r="1628" spans="1:9" x14ac:dyDescent="0.25">
      <c r="A1628">
        <v>247</v>
      </c>
      <c r="B1628" t="s">
        <v>946</v>
      </c>
      <c r="C1628" t="s">
        <v>48</v>
      </c>
      <c r="D1628" t="s">
        <v>822</v>
      </c>
      <c r="E1628">
        <f t="shared" si="69"/>
        <v>1.1764705882352941E-2</v>
      </c>
      <c r="F1628">
        <v>4</v>
      </c>
      <c r="G1628">
        <f>LOG(382/(4+1))</f>
        <v>1.8830933585756899</v>
      </c>
      <c r="H1628">
        <f>0.0117647058823529*4.33598269617247</f>
        <v>5.1011561131440647E-2</v>
      </c>
      <c r="I1628">
        <v>5.1011561131440883E-2</v>
      </c>
    </row>
    <row r="1629" spans="1:9" x14ac:dyDescent="0.25">
      <c r="A1629">
        <v>247</v>
      </c>
      <c r="B1629" t="s">
        <v>946</v>
      </c>
      <c r="C1629" t="s">
        <v>48</v>
      </c>
      <c r="D1629" t="s">
        <v>105</v>
      </c>
      <c r="E1629">
        <f t="shared" si="69"/>
        <v>1.1764705882352941E-2</v>
      </c>
      <c r="F1629">
        <v>122</v>
      </c>
      <c r="G1629">
        <f>LOG(382/(122+1))</f>
        <v>0.49215825147231079</v>
      </c>
      <c r="H1629">
        <f>0.0117647058823529*1.13323625323415</f>
        <v>1.3332191214519364E-2</v>
      </c>
      <c r="I1629">
        <v>1.33321912145195E-2</v>
      </c>
    </row>
    <row r="1630" spans="1:9" x14ac:dyDescent="0.25">
      <c r="A1630">
        <v>247</v>
      </c>
      <c r="B1630" t="s">
        <v>946</v>
      </c>
      <c r="C1630" t="s">
        <v>48</v>
      </c>
      <c r="D1630" t="s">
        <v>948</v>
      </c>
      <c r="E1630">
        <f t="shared" si="69"/>
        <v>1.1764705882352941E-2</v>
      </c>
      <c r="F1630">
        <v>4</v>
      </c>
      <c r="G1630">
        <f>LOG(382/(4+1))</f>
        <v>1.8830933585756899</v>
      </c>
      <c r="H1630">
        <f>0.0117647058823529*4.33598269617247</f>
        <v>5.1011561131440647E-2</v>
      </c>
      <c r="I1630">
        <v>5.1011561131440883E-2</v>
      </c>
    </row>
    <row r="1631" spans="1:9" x14ac:dyDescent="0.25">
      <c r="A1631">
        <v>247</v>
      </c>
      <c r="B1631" t="s">
        <v>946</v>
      </c>
      <c r="C1631" t="s">
        <v>48</v>
      </c>
      <c r="D1631" t="s">
        <v>91</v>
      </c>
      <c r="E1631">
        <f t="shared" si="69"/>
        <v>1.1764705882352941E-2</v>
      </c>
      <c r="F1631">
        <v>33</v>
      </c>
      <c r="G1631">
        <f>LOG(382/(33+1))</f>
        <v>1.0505844458694535</v>
      </c>
      <c r="H1631">
        <f>0.0117647058823529*2.41906008399041</f>
        <v>2.8459530399887079E-2</v>
      </c>
      <c r="I1631">
        <v>2.8459530399887221E-2</v>
      </c>
    </row>
    <row r="1632" spans="1:9" x14ac:dyDescent="0.25">
      <c r="A1632">
        <v>247</v>
      </c>
      <c r="B1632" t="s">
        <v>946</v>
      </c>
      <c r="C1632" t="s">
        <v>48</v>
      </c>
      <c r="D1632" t="s">
        <v>949</v>
      </c>
      <c r="E1632">
        <f t="shared" si="69"/>
        <v>1.1764705882352941E-2</v>
      </c>
      <c r="F1632">
        <v>1</v>
      </c>
      <c r="G1632">
        <f>LOG(382/(1+1))</f>
        <v>2.2810333672477277</v>
      </c>
      <c r="H1632">
        <f>0.0117647058823529*5.25227342804663</f>
        <v>6.1791452094666015E-2</v>
      </c>
      <c r="I1632">
        <v>6.179145209466623E-2</v>
      </c>
    </row>
    <row r="1633" spans="1:9" x14ac:dyDescent="0.25">
      <c r="A1633">
        <v>247</v>
      </c>
      <c r="B1633" t="s">
        <v>946</v>
      </c>
      <c r="C1633" t="s">
        <v>48</v>
      </c>
      <c r="D1633" t="s">
        <v>950</v>
      </c>
      <c r="E1633">
        <f t="shared" si="69"/>
        <v>1.1764705882352941E-2</v>
      </c>
      <c r="F1633">
        <v>1</v>
      </c>
      <c r="G1633">
        <f>LOG(382/(1+1))</f>
        <v>2.2810333672477277</v>
      </c>
      <c r="H1633">
        <f>0.0117647058823529*5.25227342804663</f>
        <v>6.1791452094666015E-2</v>
      </c>
      <c r="I1633">
        <v>6.179145209466623E-2</v>
      </c>
    </row>
    <row r="1634" spans="1:9" x14ac:dyDescent="0.25">
      <c r="A1634">
        <v>247</v>
      </c>
      <c r="B1634" t="s">
        <v>946</v>
      </c>
      <c r="C1634" t="s">
        <v>48</v>
      </c>
      <c r="D1634" t="s">
        <v>951</v>
      </c>
      <c r="E1634">
        <f t="shared" si="69"/>
        <v>1.1764705882352941E-2</v>
      </c>
      <c r="F1634">
        <v>2</v>
      </c>
      <c r="G1634">
        <f>LOG(382/(2+1))</f>
        <v>2.1049421081920463</v>
      </c>
      <c r="H1634">
        <f>0.0117647058823529*4.84680831993846</f>
        <v>5.7021274352216975E-2</v>
      </c>
      <c r="I1634">
        <v>5.7021274352217238E-2</v>
      </c>
    </row>
    <row r="1635" spans="1:9" x14ac:dyDescent="0.25">
      <c r="A1635">
        <v>247</v>
      </c>
      <c r="B1635" t="s">
        <v>946</v>
      </c>
      <c r="C1635" t="s">
        <v>48</v>
      </c>
      <c r="D1635" t="s">
        <v>952</v>
      </c>
      <c r="E1635">
        <f t="shared" si="69"/>
        <v>1.1764705882352941E-2</v>
      </c>
      <c r="F1635">
        <v>1</v>
      </c>
      <c r="G1635">
        <f>LOG(382/(1+1))</f>
        <v>2.2810333672477277</v>
      </c>
      <c r="H1635">
        <f>0.0117647058823529*5.25227342804663</f>
        <v>6.1791452094666015E-2</v>
      </c>
      <c r="I1635">
        <v>6.179145209466623E-2</v>
      </c>
    </row>
    <row r="1636" spans="1:9" x14ac:dyDescent="0.25">
      <c r="A1636">
        <v>247</v>
      </c>
      <c r="B1636" t="s">
        <v>946</v>
      </c>
      <c r="C1636" t="s">
        <v>48</v>
      </c>
      <c r="D1636" t="s">
        <v>81</v>
      </c>
      <c r="E1636">
        <f t="shared" si="69"/>
        <v>1.1764705882352941E-2</v>
      </c>
      <c r="F1636">
        <v>114</v>
      </c>
      <c r="G1636">
        <f>LOG(382/(114+1))</f>
        <v>0.52136552255809698</v>
      </c>
      <c r="H1636">
        <f>0.0117647058823529*1.20048848024332</f>
        <v>1.4123393885215479E-2</v>
      </c>
      <c r="I1636">
        <v>1.412339388521559E-2</v>
      </c>
    </row>
    <row r="1637" spans="1:9" x14ac:dyDescent="0.25">
      <c r="A1637">
        <v>247</v>
      </c>
      <c r="B1637" t="s">
        <v>946</v>
      </c>
      <c r="C1637" t="s">
        <v>48</v>
      </c>
      <c r="D1637" t="s">
        <v>953</v>
      </c>
      <c r="E1637">
        <f t="shared" si="69"/>
        <v>1.1764705882352941E-2</v>
      </c>
      <c r="F1637">
        <v>16</v>
      </c>
      <c r="G1637">
        <f>LOG(382/(16+1))</f>
        <v>1.3516144415334348</v>
      </c>
      <c r="H1637">
        <f>0.0117647058823529*3.11220726455035</f>
        <v>3.6614203112356927E-2</v>
      </c>
      <c r="I1637">
        <v>3.6614203112357163E-2</v>
      </c>
    </row>
    <row r="1638" spans="1:9" x14ac:dyDescent="0.25">
      <c r="A1638">
        <v>247</v>
      </c>
      <c r="B1638" t="s">
        <v>946</v>
      </c>
      <c r="C1638" t="s">
        <v>48</v>
      </c>
      <c r="D1638" t="s">
        <v>954</v>
      </c>
      <c r="E1638">
        <f t="shared" si="69"/>
        <v>1.1764705882352941E-2</v>
      </c>
      <c r="F1638">
        <v>1</v>
      </c>
      <c r="G1638">
        <f>LOG(382/(1+1))</f>
        <v>2.2810333672477277</v>
      </c>
      <c r="H1638">
        <f>0.0117647058823529*5.25227342804663</f>
        <v>6.1791452094666015E-2</v>
      </c>
      <c r="I1638">
        <v>6.179145209466623E-2</v>
      </c>
    </row>
    <row r="1639" spans="1:9" x14ac:dyDescent="0.25">
      <c r="A1639">
        <v>247</v>
      </c>
      <c r="B1639" t="s">
        <v>946</v>
      </c>
      <c r="C1639" t="s">
        <v>48</v>
      </c>
      <c r="D1639" t="s">
        <v>103</v>
      </c>
      <c r="E1639">
        <f>2/85</f>
        <v>2.3529411764705882E-2</v>
      </c>
      <c r="F1639">
        <v>38</v>
      </c>
      <c r="G1639">
        <f>LOG(382/(38+1))</f>
        <v>0.99099875588520958</v>
      </c>
      <c r="H1639">
        <f>0.0235294117647058*2.28185896247692</f>
        <v>5.369079911710381E-2</v>
      </c>
      <c r="I1639">
        <v>5.3690799117104213E-2</v>
      </c>
    </row>
    <row r="1640" spans="1:9" x14ac:dyDescent="0.25">
      <c r="A1640">
        <v>247</v>
      </c>
      <c r="B1640" t="s">
        <v>946</v>
      </c>
      <c r="C1640" t="s">
        <v>48</v>
      </c>
      <c r="D1640" t="s">
        <v>955</v>
      </c>
      <c r="E1640">
        <f>1/85</f>
        <v>1.1764705882352941E-2</v>
      </c>
      <c r="F1640">
        <v>1</v>
      </c>
      <c r="G1640">
        <f>LOG(382/(1+1))</f>
        <v>2.2810333672477277</v>
      </c>
      <c r="H1640">
        <f>0.0117647058823529*5.25227342804663</f>
        <v>6.1791452094666015E-2</v>
      </c>
      <c r="I1640">
        <v>6.179145209466623E-2</v>
      </c>
    </row>
    <row r="1641" spans="1:9" x14ac:dyDescent="0.25">
      <c r="A1641">
        <v>247</v>
      </c>
      <c r="B1641" t="s">
        <v>946</v>
      </c>
      <c r="C1641" t="s">
        <v>48</v>
      </c>
      <c r="D1641" t="s">
        <v>482</v>
      </c>
      <c r="E1641">
        <f>2/85</f>
        <v>2.3529411764705882E-2</v>
      </c>
      <c r="F1641">
        <v>16</v>
      </c>
      <c r="G1641">
        <f>LOG(382/(16+1))</f>
        <v>1.3516144415334348</v>
      </c>
      <c r="H1641">
        <f>0.0235294117647058*3.11220726455035</f>
        <v>7.3228406224713855E-2</v>
      </c>
      <c r="I1641">
        <v>7.3228406224714326E-2</v>
      </c>
    </row>
    <row r="1642" spans="1:9" x14ac:dyDescent="0.25">
      <c r="A1642">
        <v>247</v>
      </c>
      <c r="B1642" t="s">
        <v>946</v>
      </c>
      <c r="C1642" t="s">
        <v>48</v>
      </c>
      <c r="D1642" t="s">
        <v>956</v>
      </c>
      <c r="E1642">
        <f>1/85</f>
        <v>1.1764705882352941E-2</v>
      </c>
      <c r="F1642">
        <v>1</v>
      </c>
      <c r="G1642">
        <f>LOG(382/(1+1))</f>
        <v>2.2810333672477277</v>
      </c>
      <c r="H1642">
        <f>0.0117647058823529*5.25227342804663</f>
        <v>6.1791452094666015E-2</v>
      </c>
      <c r="I1642">
        <v>6.179145209466623E-2</v>
      </c>
    </row>
    <row r="1643" spans="1:9" x14ac:dyDescent="0.25">
      <c r="A1643">
        <v>247</v>
      </c>
      <c r="B1643" t="s">
        <v>946</v>
      </c>
      <c r="C1643" t="s">
        <v>48</v>
      </c>
      <c r="D1643" t="s">
        <v>625</v>
      </c>
      <c r="E1643">
        <f>1/85</f>
        <v>1.1764705882352941E-2</v>
      </c>
      <c r="F1643">
        <v>5</v>
      </c>
      <c r="G1643">
        <f>LOG(382/(5+1))</f>
        <v>1.803912112528065</v>
      </c>
      <c r="H1643">
        <f>0.0117647058823529*4.15366113937852</f>
        <v>4.8866601639747119E-2</v>
      </c>
      <c r="I1643">
        <v>4.8866601639747292E-2</v>
      </c>
    </row>
    <row r="1644" spans="1:9" x14ac:dyDescent="0.25">
      <c r="A1644">
        <v>247</v>
      </c>
      <c r="B1644" t="s">
        <v>946</v>
      </c>
      <c r="C1644" t="s">
        <v>48</v>
      </c>
      <c r="D1644" t="s">
        <v>957</v>
      </c>
      <c r="E1644">
        <f>1/85</f>
        <v>1.1764705882352941E-2</v>
      </c>
      <c r="F1644">
        <v>4</v>
      </c>
      <c r="G1644">
        <f>LOG(382/(4+1))</f>
        <v>1.8830933585756899</v>
      </c>
      <c r="H1644">
        <f>0.0117647058823529*4.33598269617247</f>
        <v>5.1011561131440647E-2</v>
      </c>
      <c r="I1644">
        <v>5.1011561131440883E-2</v>
      </c>
    </row>
    <row r="1645" spans="1:9" x14ac:dyDescent="0.25">
      <c r="A1645">
        <v>247</v>
      </c>
      <c r="B1645" t="s">
        <v>946</v>
      </c>
      <c r="C1645" t="s">
        <v>48</v>
      </c>
      <c r="D1645" t="s">
        <v>958</v>
      </c>
      <c r="E1645">
        <f>1/85</f>
        <v>1.1764705882352941E-2</v>
      </c>
      <c r="F1645">
        <v>2</v>
      </c>
      <c r="G1645">
        <f>LOG(382/(2+1))</f>
        <v>2.1049421081920463</v>
      </c>
      <c r="H1645">
        <f>0.0117647058823529*4.84680831993846</f>
        <v>5.7021274352216975E-2</v>
      </c>
      <c r="I1645">
        <v>5.7021274352217238E-2</v>
      </c>
    </row>
    <row r="1646" spans="1:9" x14ac:dyDescent="0.25">
      <c r="A1646">
        <v>247</v>
      </c>
      <c r="B1646" t="s">
        <v>946</v>
      </c>
      <c r="C1646" t="s">
        <v>48</v>
      </c>
      <c r="D1646" t="s">
        <v>959</v>
      </c>
      <c r="E1646">
        <f>1/85</f>
        <v>1.1764705882352941E-2</v>
      </c>
      <c r="F1646">
        <v>1</v>
      </c>
      <c r="G1646">
        <f>LOG(382/(1+1))</f>
        <v>2.2810333672477277</v>
      </c>
      <c r="H1646">
        <f>0.0117647058823529*5.25227342804663</f>
        <v>6.1791452094666015E-2</v>
      </c>
      <c r="I1646">
        <v>6.179145209466623E-2</v>
      </c>
    </row>
    <row r="1647" spans="1:9" x14ac:dyDescent="0.25">
      <c r="A1647">
        <v>247</v>
      </c>
      <c r="B1647" t="s">
        <v>946</v>
      </c>
      <c r="C1647" t="s">
        <v>48</v>
      </c>
      <c r="D1647" t="s">
        <v>403</v>
      </c>
      <c r="E1647">
        <f>2/85</f>
        <v>2.3529411764705882E-2</v>
      </c>
      <c r="F1647">
        <v>11</v>
      </c>
      <c r="G1647">
        <f>LOG(382/(11+1))</f>
        <v>1.5028821168640838</v>
      </c>
      <c r="H1647">
        <f>0.0235294117647058*3.46051395881857</f>
        <v>8.1423857854554305E-2</v>
      </c>
      <c r="I1647">
        <v>8.1423857854554707E-2</v>
      </c>
    </row>
    <row r="1648" spans="1:9" x14ac:dyDescent="0.25">
      <c r="A1648">
        <v>247</v>
      </c>
      <c r="B1648" t="s">
        <v>946</v>
      </c>
      <c r="C1648" t="s">
        <v>48</v>
      </c>
      <c r="D1648" t="s">
        <v>53</v>
      </c>
      <c r="E1648">
        <f t="shared" ref="E1648:E1654" si="70">1/85</f>
        <v>1.1764705882352941E-2</v>
      </c>
      <c r="F1648">
        <v>57</v>
      </c>
      <c r="G1648">
        <f>LOG(382/(57+1))</f>
        <v>0.81863536934877146</v>
      </c>
      <c r="H1648">
        <f>0.0117647058823529*1.88497759806015</f>
        <v>2.2176207036001684E-2</v>
      </c>
      <c r="I1648">
        <v>2.217620703600183E-2</v>
      </c>
    </row>
    <row r="1649" spans="1:9" x14ac:dyDescent="0.25">
      <c r="A1649">
        <v>247</v>
      </c>
      <c r="B1649" t="s">
        <v>946</v>
      </c>
      <c r="C1649" t="s">
        <v>48</v>
      </c>
      <c r="D1649" t="s">
        <v>197</v>
      </c>
      <c r="E1649">
        <f t="shared" si="70"/>
        <v>1.1764705882352941E-2</v>
      </c>
      <c r="F1649">
        <v>18</v>
      </c>
      <c r="G1649">
        <f>LOG(382/(18+1))</f>
        <v>1.3033097619588798</v>
      </c>
      <c r="H1649">
        <f>0.0117647058823529*3.00098162944013</f>
        <v>3.5305666228707289E-2</v>
      </c>
      <c r="I1649">
        <v>3.5305666228707462E-2</v>
      </c>
    </row>
    <row r="1650" spans="1:9" x14ac:dyDescent="0.25">
      <c r="A1650">
        <v>247</v>
      </c>
      <c r="B1650" t="s">
        <v>946</v>
      </c>
      <c r="C1650" t="s">
        <v>48</v>
      </c>
      <c r="D1650" t="s">
        <v>960</v>
      </c>
      <c r="E1650">
        <f t="shared" si="70"/>
        <v>1.1764705882352941E-2</v>
      </c>
      <c r="F1650">
        <v>3</v>
      </c>
      <c r="G1650">
        <f>LOG(382/(3+1))</f>
        <v>1.9800033715837464</v>
      </c>
      <c r="H1650">
        <f>0.0117647058823529*4.55912624748668</f>
        <v>5.3636779382196048E-2</v>
      </c>
      <c r="I1650">
        <v>5.3636779382196277E-2</v>
      </c>
    </row>
    <row r="1651" spans="1:9" x14ac:dyDescent="0.25">
      <c r="A1651">
        <v>247</v>
      </c>
      <c r="B1651" t="s">
        <v>946</v>
      </c>
      <c r="C1651" t="s">
        <v>48</v>
      </c>
      <c r="D1651" t="s">
        <v>59</v>
      </c>
      <c r="E1651">
        <f t="shared" si="70"/>
        <v>1.1764705882352941E-2</v>
      </c>
      <c r="F1651">
        <v>13</v>
      </c>
      <c r="G1651">
        <f>LOG(382/(13+1))</f>
        <v>1.4359353272334707</v>
      </c>
      <c r="H1651">
        <f>0.0117647058823529*3.30636327899131</f>
        <v>3.8898391517544685E-2</v>
      </c>
      <c r="I1651">
        <v>3.88983915175449E-2</v>
      </c>
    </row>
    <row r="1652" spans="1:9" x14ac:dyDescent="0.25">
      <c r="A1652">
        <v>247</v>
      </c>
      <c r="B1652" t="s">
        <v>946</v>
      </c>
      <c r="C1652" t="s">
        <v>48</v>
      </c>
      <c r="D1652" t="s">
        <v>626</v>
      </c>
      <c r="E1652">
        <f t="shared" si="70"/>
        <v>1.1764705882352941E-2</v>
      </c>
      <c r="F1652">
        <v>12</v>
      </c>
      <c r="G1652">
        <f>LOG(382/(12+1))</f>
        <v>1.468120010604872</v>
      </c>
      <c r="H1652">
        <f>0.0117647058823529*3.38047125114503</f>
        <v>3.9770250013470801E-2</v>
      </c>
      <c r="I1652">
        <v>3.9770250013471037E-2</v>
      </c>
    </row>
    <row r="1653" spans="1:9" x14ac:dyDescent="0.25">
      <c r="A1653">
        <v>247</v>
      </c>
      <c r="B1653" t="s">
        <v>946</v>
      </c>
      <c r="C1653" t="s">
        <v>48</v>
      </c>
      <c r="D1653" t="s">
        <v>188</v>
      </c>
      <c r="E1653">
        <f t="shared" si="70"/>
        <v>1.1764705882352941E-2</v>
      </c>
      <c r="F1653">
        <v>19</v>
      </c>
      <c r="G1653">
        <f>LOG(382/(19+1))</f>
        <v>1.2810333672477277</v>
      </c>
      <c r="H1653">
        <f>0.0117647058823529*2.94968833505258</f>
        <v>3.4702215706500818E-2</v>
      </c>
      <c r="I1653">
        <v>3.4702215706500991E-2</v>
      </c>
    </row>
    <row r="1654" spans="1:9" x14ac:dyDescent="0.25">
      <c r="A1654">
        <v>247</v>
      </c>
      <c r="B1654" t="s">
        <v>946</v>
      </c>
      <c r="C1654" t="s">
        <v>48</v>
      </c>
      <c r="D1654" t="s">
        <v>247</v>
      </c>
      <c r="E1654">
        <f t="shared" si="70"/>
        <v>1.1764705882352941E-2</v>
      </c>
      <c r="F1654">
        <v>121</v>
      </c>
      <c r="G1654">
        <f>LOG(382/(121+1))</f>
        <v>0.49570353223696051</v>
      </c>
      <c r="H1654">
        <f>0.0117647058823529*1.14139956387331</f>
        <v>1.3428230163215366E-2</v>
      </c>
      <c r="I1654">
        <v>1.342823016321552E-2</v>
      </c>
    </row>
    <row r="1655" spans="1:9" x14ac:dyDescent="0.25">
      <c r="A1655">
        <v>247</v>
      </c>
      <c r="B1655" t="s">
        <v>946</v>
      </c>
      <c r="C1655" t="s">
        <v>48</v>
      </c>
      <c r="D1655" t="s">
        <v>39</v>
      </c>
      <c r="E1655">
        <f>2/85</f>
        <v>2.3529411764705882E-2</v>
      </c>
      <c r="F1655">
        <v>145</v>
      </c>
      <c r="G1655">
        <f>LOG(382/(145+1))</f>
        <v>0.41771050712727159</v>
      </c>
      <c r="H1655">
        <f>0.0235294117647058*0.961813986898238</f>
        <v>2.2630917338781992E-2</v>
      </c>
      <c r="I1655">
        <v>2.263091733878209E-2</v>
      </c>
    </row>
    <row r="1656" spans="1:9" x14ac:dyDescent="0.25">
      <c r="A1656">
        <v>247</v>
      </c>
      <c r="B1656" t="s">
        <v>946</v>
      </c>
      <c r="C1656" t="s">
        <v>48</v>
      </c>
      <c r="D1656" t="s">
        <v>119</v>
      </c>
      <c r="E1656">
        <f>1/85</f>
        <v>1.1764705882352941E-2</v>
      </c>
      <c r="F1656">
        <v>79</v>
      </c>
      <c r="G1656">
        <f>LOG(382/(79+1))</f>
        <v>0.67897337591976514</v>
      </c>
      <c r="H1656">
        <f>0.0117647058823529*1.56339397393269</f>
        <v>1.8392870281560995E-2</v>
      </c>
      <c r="I1656">
        <v>1.8392870281561099E-2</v>
      </c>
    </row>
    <row r="1657" spans="1:9" x14ac:dyDescent="0.25">
      <c r="A1657">
        <v>247</v>
      </c>
      <c r="B1657" t="s">
        <v>946</v>
      </c>
      <c r="C1657" t="s">
        <v>48</v>
      </c>
      <c r="D1657" t="s">
        <v>204</v>
      </c>
      <c r="E1657">
        <f>1/85</f>
        <v>1.1764705882352941E-2</v>
      </c>
      <c r="F1657">
        <v>166</v>
      </c>
      <c r="G1657">
        <f>LOG(382/(166+1))</f>
        <v>0.35934689176412549</v>
      </c>
      <c r="H1657">
        <f>0.0117647058823529*0.82742679618982</f>
        <v>9.7344328963507882E-3</v>
      </c>
      <c r="I1657">
        <v>9.7344328963508246E-3</v>
      </c>
    </row>
    <row r="1658" spans="1:9" x14ac:dyDescent="0.25">
      <c r="A1658">
        <v>247</v>
      </c>
      <c r="B1658" t="s">
        <v>946</v>
      </c>
      <c r="C1658" t="s">
        <v>48</v>
      </c>
      <c r="D1658" t="s">
        <v>331</v>
      </c>
      <c r="E1658">
        <f>1/85</f>
        <v>1.1764705882352941E-2</v>
      </c>
      <c r="F1658">
        <v>130</v>
      </c>
      <c r="G1658">
        <f>LOG(382/(130+1))</f>
        <v>0.46479206725594452</v>
      </c>
      <c r="H1658">
        <f>0.0117647058823529*1.07022328540542</f>
        <v>1.2590862181240193E-2</v>
      </c>
      <c r="I1658">
        <v>1.2590862181240279E-2</v>
      </c>
    </row>
    <row r="1659" spans="1:9" x14ac:dyDescent="0.25">
      <c r="A1659">
        <v>247</v>
      </c>
      <c r="B1659" t="s">
        <v>946</v>
      </c>
      <c r="C1659" t="s">
        <v>48</v>
      </c>
      <c r="D1659" t="s">
        <v>248</v>
      </c>
      <c r="E1659">
        <f>1/85</f>
        <v>1.1764705882352941E-2</v>
      </c>
      <c r="F1659">
        <v>7</v>
      </c>
      <c r="G1659">
        <f>LOG(382/(7+1))</f>
        <v>1.6789733759197651</v>
      </c>
      <c r="H1659">
        <f>0.0117647058823529*3.86597906692673</f>
        <v>4.5482106669726075E-2</v>
      </c>
      <c r="I1659">
        <v>4.5482106669726338E-2</v>
      </c>
    </row>
    <row r="1660" spans="1:9" x14ac:dyDescent="0.25">
      <c r="A1660">
        <v>247</v>
      </c>
      <c r="B1660" t="s">
        <v>946</v>
      </c>
      <c r="C1660" t="s">
        <v>48</v>
      </c>
      <c r="D1660" t="s">
        <v>961</v>
      </c>
      <c r="E1660">
        <f>2/85</f>
        <v>2.3529411764705882E-2</v>
      </c>
      <c r="F1660">
        <v>5</v>
      </c>
      <c r="G1660">
        <f>LOG(382/(5+1))</f>
        <v>1.803912112528065</v>
      </c>
      <c r="H1660">
        <f>0.0235294117647058*4.15366113937852</f>
        <v>9.7733203279494238E-2</v>
      </c>
      <c r="I1660">
        <v>9.7733203279494585E-2</v>
      </c>
    </row>
    <row r="1661" spans="1:9" x14ac:dyDescent="0.25">
      <c r="A1661">
        <v>247</v>
      </c>
      <c r="B1661" t="s">
        <v>946</v>
      </c>
      <c r="C1661" t="s">
        <v>48</v>
      </c>
      <c r="D1661" t="s">
        <v>962</v>
      </c>
      <c r="E1661">
        <f t="shared" ref="E1661:E1668" si="71">1/85</f>
        <v>1.1764705882352941E-2</v>
      </c>
      <c r="F1661">
        <v>8</v>
      </c>
      <c r="G1661">
        <f>LOG(382/(8+1))</f>
        <v>1.6278208534723839</v>
      </c>
      <c r="H1661">
        <f>0.0117647058823529*3.74819603127035</f>
        <v>4.4096423897298079E-2</v>
      </c>
      <c r="I1661">
        <v>4.4096423897298301E-2</v>
      </c>
    </row>
    <row r="1662" spans="1:9" x14ac:dyDescent="0.25">
      <c r="A1662">
        <v>247</v>
      </c>
      <c r="B1662" t="s">
        <v>946</v>
      </c>
      <c r="C1662" t="s">
        <v>48</v>
      </c>
      <c r="D1662" t="s">
        <v>963</v>
      </c>
      <c r="E1662">
        <f t="shared" si="71"/>
        <v>1.1764705882352941E-2</v>
      </c>
      <c r="F1662">
        <v>2</v>
      </c>
      <c r="G1662">
        <f>LOG(382/(2+1))</f>
        <v>2.1049421081920463</v>
      </c>
      <c r="H1662">
        <f>0.0117647058823529*4.84680831993846</f>
        <v>5.7021274352216975E-2</v>
      </c>
      <c r="I1662">
        <v>5.7021274352217238E-2</v>
      </c>
    </row>
    <row r="1663" spans="1:9" x14ac:dyDescent="0.25">
      <c r="A1663">
        <v>247</v>
      </c>
      <c r="B1663" t="s">
        <v>946</v>
      </c>
      <c r="C1663" t="s">
        <v>48</v>
      </c>
      <c r="D1663" t="s">
        <v>632</v>
      </c>
      <c r="E1663">
        <f t="shared" si="71"/>
        <v>1.1764705882352941E-2</v>
      </c>
      <c r="F1663">
        <v>7</v>
      </c>
      <c r="G1663">
        <f>LOG(382/(7+1))</f>
        <v>1.6789733759197651</v>
      </c>
      <c r="H1663">
        <f>0.0117647058823529*3.86597906692673</f>
        <v>4.5482106669726075E-2</v>
      </c>
      <c r="I1663">
        <v>4.5482106669726338E-2</v>
      </c>
    </row>
    <row r="1664" spans="1:9" x14ac:dyDescent="0.25">
      <c r="A1664">
        <v>247</v>
      </c>
      <c r="B1664" t="s">
        <v>946</v>
      </c>
      <c r="C1664" t="s">
        <v>48</v>
      </c>
      <c r="D1664" t="s">
        <v>964</v>
      </c>
      <c r="E1664">
        <f t="shared" si="71"/>
        <v>1.1764705882352941E-2</v>
      </c>
      <c r="F1664">
        <v>1</v>
      </c>
      <c r="G1664">
        <f>LOG(382/(1+1))</f>
        <v>2.2810333672477277</v>
      </c>
      <c r="H1664">
        <f>0.0117647058823529*5.25227342804663</f>
        <v>6.1791452094666015E-2</v>
      </c>
      <c r="I1664">
        <v>6.179145209466623E-2</v>
      </c>
    </row>
    <row r="1665" spans="1:9" x14ac:dyDescent="0.25">
      <c r="A1665">
        <v>247</v>
      </c>
      <c r="B1665" t="s">
        <v>946</v>
      </c>
      <c r="C1665" t="s">
        <v>48</v>
      </c>
      <c r="D1665" t="s">
        <v>965</v>
      </c>
      <c r="E1665">
        <f t="shared" si="71"/>
        <v>1.1764705882352941E-2</v>
      </c>
      <c r="F1665">
        <v>2</v>
      </c>
      <c r="G1665">
        <f>LOG(382/(2+1))</f>
        <v>2.1049421081920463</v>
      </c>
      <c r="H1665">
        <f>0.0117647058823529*4.84680831993846</f>
        <v>5.7021274352216975E-2</v>
      </c>
      <c r="I1665">
        <v>5.7021274352217238E-2</v>
      </c>
    </row>
    <row r="1666" spans="1:9" x14ac:dyDescent="0.25">
      <c r="A1666">
        <v>247</v>
      </c>
      <c r="B1666" t="s">
        <v>946</v>
      </c>
      <c r="C1666" t="s">
        <v>48</v>
      </c>
      <c r="D1666" t="s">
        <v>763</v>
      </c>
      <c r="E1666">
        <f t="shared" si="71"/>
        <v>1.1764705882352941E-2</v>
      </c>
      <c r="F1666">
        <v>47</v>
      </c>
      <c r="G1666">
        <f>LOG(382/(47+1))</f>
        <v>0.90082212553612151</v>
      </c>
      <c r="H1666">
        <f>0.0117647058823529*2.07421959769868</f>
        <v>2.4402583502337327E-2</v>
      </c>
      <c r="I1666">
        <v>2.4402583502337458E-2</v>
      </c>
    </row>
    <row r="1667" spans="1:9" x14ac:dyDescent="0.25">
      <c r="A1667">
        <v>247</v>
      </c>
      <c r="B1667" t="s">
        <v>946</v>
      </c>
      <c r="C1667" t="s">
        <v>48</v>
      </c>
      <c r="D1667" t="s">
        <v>966</v>
      </c>
      <c r="E1667">
        <f t="shared" si="71"/>
        <v>1.1764705882352941E-2</v>
      </c>
      <c r="F1667">
        <v>1</v>
      </c>
      <c r="G1667">
        <f>LOG(382/(1+1))</f>
        <v>2.2810333672477277</v>
      </c>
      <c r="H1667">
        <f>0.0117647058823529*5.25227342804663</f>
        <v>6.1791452094666015E-2</v>
      </c>
      <c r="I1667">
        <v>6.179145209466623E-2</v>
      </c>
    </row>
    <row r="1668" spans="1:9" x14ac:dyDescent="0.25">
      <c r="A1668">
        <v>247</v>
      </c>
      <c r="B1668" t="s">
        <v>946</v>
      </c>
      <c r="C1668" t="s">
        <v>48</v>
      </c>
      <c r="D1668" t="s">
        <v>967</v>
      </c>
      <c r="E1668">
        <f t="shared" si="71"/>
        <v>1.1764705882352941E-2</v>
      </c>
      <c r="F1668">
        <v>1</v>
      </c>
      <c r="G1668">
        <f>LOG(382/(1+1))</f>
        <v>2.2810333672477277</v>
      </c>
      <c r="H1668">
        <f>0.0117647058823529*5.25227342804663</f>
        <v>6.1791452094666015E-2</v>
      </c>
      <c r="I1668">
        <v>6.179145209466623E-2</v>
      </c>
    </row>
    <row r="1669" spans="1:9" x14ac:dyDescent="0.25">
      <c r="A1669">
        <v>248</v>
      </c>
      <c r="B1669" t="s">
        <v>968</v>
      </c>
      <c r="C1669" t="s">
        <v>48</v>
      </c>
      <c r="D1669" t="s">
        <v>90</v>
      </c>
      <c r="E1669">
        <f>4/76</f>
        <v>5.2631578947368418E-2</v>
      </c>
      <c r="F1669">
        <v>13</v>
      </c>
      <c r="G1669">
        <f>LOG(382/(13+1))</f>
        <v>1.4359353272334707</v>
      </c>
      <c r="H1669">
        <f>0.0526315789473684*3.30636327899131</f>
        <v>0.17401911994691099</v>
      </c>
      <c r="I1669">
        <v>0.17401911994691141</v>
      </c>
    </row>
    <row r="1670" spans="1:9" x14ac:dyDescent="0.25">
      <c r="A1670">
        <v>248</v>
      </c>
      <c r="B1670" t="s">
        <v>968</v>
      </c>
      <c r="C1670" t="s">
        <v>48</v>
      </c>
      <c r="D1670" t="s">
        <v>111</v>
      </c>
      <c r="E1670">
        <f>4/76</f>
        <v>5.2631578947368418E-2</v>
      </c>
      <c r="F1670">
        <v>33</v>
      </c>
      <c r="G1670">
        <f>LOG(382/(33+1))</f>
        <v>1.0505844458694535</v>
      </c>
      <c r="H1670">
        <f>0.0526315789473684*2.41906008399041</f>
        <v>0.1273189517889689</v>
      </c>
      <c r="I1670">
        <v>0.1273189517889691</v>
      </c>
    </row>
    <row r="1671" spans="1:9" x14ac:dyDescent="0.25">
      <c r="A1671">
        <v>248</v>
      </c>
      <c r="B1671" t="s">
        <v>968</v>
      </c>
      <c r="C1671" t="s">
        <v>48</v>
      </c>
      <c r="D1671" t="s">
        <v>969</v>
      </c>
      <c r="E1671">
        <f>4/76</f>
        <v>5.2631578947368418E-2</v>
      </c>
      <c r="F1671">
        <v>1</v>
      </c>
      <c r="G1671">
        <f>LOG(382/(1+1))</f>
        <v>2.2810333672477277</v>
      </c>
      <c r="H1671">
        <f>0.0526315789473684*5.25227342804663</f>
        <v>0.27643544358140143</v>
      </c>
      <c r="I1671">
        <v>0.27643544358140149</v>
      </c>
    </row>
    <row r="1672" spans="1:9" x14ac:dyDescent="0.25">
      <c r="A1672">
        <v>248</v>
      </c>
      <c r="B1672" t="s">
        <v>968</v>
      </c>
      <c r="C1672" t="s">
        <v>48</v>
      </c>
      <c r="D1672" t="s">
        <v>15</v>
      </c>
      <c r="E1672">
        <f>5/76</f>
        <v>6.5789473684210523E-2</v>
      </c>
      <c r="F1672">
        <v>112</v>
      </c>
      <c r="G1672">
        <f>LOG(382/(112+1))</f>
        <v>0.52898491942828896</v>
      </c>
      <c r="H1672">
        <f>0.0657894736842105*1.21803278989423</f>
        <v>8.0133736177251932E-2</v>
      </c>
      <c r="I1672">
        <v>8.0133736177252279E-2</v>
      </c>
    </row>
    <row r="1673" spans="1:9" x14ac:dyDescent="0.25">
      <c r="A1673">
        <v>248</v>
      </c>
      <c r="B1673" t="s">
        <v>968</v>
      </c>
      <c r="C1673" t="s">
        <v>48</v>
      </c>
      <c r="D1673" t="s">
        <v>42</v>
      </c>
      <c r="E1673">
        <f>1/76</f>
        <v>1.3157894736842105E-2</v>
      </c>
      <c r="F1673">
        <v>251</v>
      </c>
      <c r="G1673">
        <f>LOG(382/(251+1))</f>
        <v>0.18066282213016463</v>
      </c>
      <c r="H1673">
        <f>0.0131578947368421*0.415991521095151</f>
        <v>5.4735726459888261E-3</v>
      </c>
      <c r="I1673">
        <v>5.47357264598884E-3</v>
      </c>
    </row>
    <row r="1674" spans="1:9" x14ac:dyDescent="0.25">
      <c r="A1674">
        <v>248</v>
      </c>
      <c r="B1674" t="s">
        <v>968</v>
      </c>
      <c r="C1674" t="s">
        <v>48</v>
      </c>
      <c r="D1674" t="s">
        <v>17</v>
      </c>
      <c r="E1674">
        <f>1/76</f>
        <v>1.3157894736842105E-2</v>
      </c>
      <c r="F1674">
        <v>169</v>
      </c>
      <c r="G1674">
        <f>LOG(382/(169+1))</f>
        <v>0.3516144415334348</v>
      </c>
      <c r="H1674">
        <f>0.0131578947368421*0.809622171556313</f>
        <v>1.0652923309951483E-2</v>
      </c>
      <c r="I1674">
        <v>1.065292330995149E-2</v>
      </c>
    </row>
    <row r="1675" spans="1:9" x14ac:dyDescent="0.25">
      <c r="A1675">
        <v>248</v>
      </c>
      <c r="B1675" t="s">
        <v>968</v>
      </c>
      <c r="C1675" t="s">
        <v>48</v>
      </c>
      <c r="D1675" t="s">
        <v>70</v>
      </c>
      <c r="E1675">
        <f>1/76</f>
        <v>1.3157894736842105E-2</v>
      </c>
      <c r="F1675">
        <v>44</v>
      </c>
      <c r="G1675">
        <f>LOG(382/(44+1))</f>
        <v>0.92885084913636506</v>
      </c>
      <c r="H1675">
        <f>0.0131578947368421*2.13875811883625</f>
        <v>2.8141554195213803E-2</v>
      </c>
      <c r="I1675">
        <v>2.8141554195213879E-2</v>
      </c>
    </row>
    <row r="1676" spans="1:9" x14ac:dyDescent="0.25">
      <c r="A1676">
        <v>248</v>
      </c>
      <c r="B1676" t="s">
        <v>968</v>
      </c>
      <c r="C1676" t="s">
        <v>48</v>
      </c>
      <c r="D1676" t="s">
        <v>19</v>
      </c>
      <c r="E1676">
        <f>1/76</f>
        <v>1.3157894736842105E-2</v>
      </c>
      <c r="F1676">
        <v>220</v>
      </c>
      <c r="G1676">
        <f>LOG(382/(220+1))</f>
        <v>0.23767108922659805</v>
      </c>
      <c r="H1676">
        <f>0.0131578947368421*0.547257907088822</f>
        <v>7.2007619353792341E-3</v>
      </c>
      <c r="I1676">
        <v>7.200761935379241E-3</v>
      </c>
    </row>
    <row r="1677" spans="1:9" x14ac:dyDescent="0.25">
      <c r="A1677">
        <v>248</v>
      </c>
      <c r="B1677" t="s">
        <v>968</v>
      </c>
      <c r="C1677" t="s">
        <v>48</v>
      </c>
      <c r="D1677" t="s">
        <v>44</v>
      </c>
      <c r="E1677">
        <f>2/76</f>
        <v>2.6315789473684209E-2</v>
      </c>
      <c r="F1677">
        <v>151</v>
      </c>
      <c r="G1677">
        <f>LOG(382/(151+1))</f>
        <v>0.40021977496693617</v>
      </c>
      <c r="H1677">
        <f>0.0263157894736842*0.921540087760298</f>
        <v>2.4251054941060463E-2</v>
      </c>
      <c r="I1677">
        <v>2.4251054941060491E-2</v>
      </c>
    </row>
    <row r="1678" spans="1:9" x14ac:dyDescent="0.25">
      <c r="A1678">
        <v>248</v>
      </c>
      <c r="B1678" t="s">
        <v>968</v>
      </c>
      <c r="C1678" t="s">
        <v>48</v>
      </c>
      <c r="D1678" t="s">
        <v>22</v>
      </c>
      <c r="E1678">
        <f t="shared" ref="E1678:E1686" si="72">1/76</f>
        <v>1.3157894736842105E-2</v>
      </c>
      <c r="F1678">
        <v>259</v>
      </c>
      <c r="G1678">
        <f>LOG(382/(259+1))</f>
        <v>0.16709001494089079</v>
      </c>
      <c r="H1678">
        <f>0.0131578947368421*0.384738977591047</f>
        <v>5.0623549683032482E-3</v>
      </c>
      <c r="I1678">
        <v>5.0623549683032568E-3</v>
      </c>
    </row>
    <row r="1679" spans="1:9" x14ac:dyDescent="0.25">
      <c r="A1679">
        <v>248</v>
      </c>
      <c r="B1679" t="s">
        <v>968</v>
      </c>
      <c r="C1679" t="s">
        <v>48</v>
      </c>
      <c r="D1679" t="s">
        <v>23</v>
      </c>
      <c r="E1679">
        <f t="shared" si="72"/>
        <v>1.3157894736842105E-2</v>
      </c>
      <c r="F1679">
        <v>275</v>
      </c>
      <c r="G1679">
        <f>LOG(382/(275+1))</f>
        <v>0.14115428084649101</v>
      </c>
      <c r="H1679">
        <f>0.0131578947368421*0.325019742889425</f>
        <v>4.2765755643345369E-3</v>
      </c>
      <c r="I1679">
        <v>4.2765755643345412E-3</v>
      </c>
    </row>
    <row r="1680" spans="1:9" x14ac:dyDescent="0.25">
      <c r="A1680">
        <v>248</v>
      </c>
      <c r="B1680" t="s">
        <v>968</v>
      </c>
      <c r="C1680" t="s">
        <v>48</v>
      </c>
      <c r="D1680" t="s">
        <v>105</v>
      </c>
      <c r="E1680">
        <f t="shared" si="72"/>
        <v>1.3157894736842105E-2</v>
      </c>
      <c r="F1680">
        <v>122</v>
      </c>
      <c r="G1680">
        <f>LOG(382/(122+1))</f>
        <v>0.49215825147231079</v>
      </c>
      <c r="H1680">
        <f>0.0131578947368421*1.13323625323415</f>
        <v>1.4911003332028282E-2</v>
      </c>
      <c r="I1680">
        <v>1.491100333202839E-2</v>
      </c>
    </row>
    <row r="1681" spans="1:9" x14ac:dyDescent="0.25">
      <c r="A1681">
        <v>248</v>
      </c>
      <c r="B1681" t="s">
        <v>968</v>
      </c>
      <c r="C1681" t="s">
        <v>48</v>
      </c>
      <c r="D1681" t="s">
        <v>219</v>
      </c>
      <c r="E1681">
        <f t="shared" si="72"/>
        <v>1.3157894736842105E-2</v>
      </c>
      <c r="F1681">
        <v>19</v>
      </c>
      <c r="G1681">
        <f>LOG(382/(19+1))</f>
        <v>1.2810333672477277</v>
      </c>
      <c r="H1681">
        <f>0.0131578947368421*2.94968833505258</f>
        <v>3.8811688619112876E-2</v>
      </c>
      <c r="I1681">
        <v>3.8811688619112952E-2</v>
      </c>
    </row>
    <row r="1682" spans="1:9" x14ac:dyDescent="0.25">
      <c r="A1682">
        <v>248</v>
      </c>
      <c r="B1682" t="s">
        <v>968</v>
      </c>
      <c r="C1682" t="s">
        <v>48</v>
      </c>
      <c r="D1682" t="s">
        <v>857</v>
      </c>
      <c r="E1682">
        <f t="shared" si="72"/>
        <v>1.3157894736842105E-2</v>
      </c>
      <c r="F1682">
        <v>5</v>
      </c>
      <c r="G1682">
        <f>LOG(382/(5+1))</f>
        <v>1.803912112528065</v>
      </c>
      <c r="H1682">
        <f>0.0131578947368421*4.15366113937852</f>
        <v>5.4653436044454183E-2</v>
      </c>
      <c r="I1682">
        <v>5.4653436044454197E-2</v>
      </c>
    </row>
    <row r="1683" spans="1:9" x14ac:dyDescent="0.25">
      <c r="A1683">
        <v>248</v>
      </c>
      <c r="B1683" t="s">
        <v>968</v>
      </c>
      <c r="C1683" t="s">
        <v>48</v>
      </c>
      <c r="D1683" t="s">
        <v>970</v>
      </c>
      <c r="E1683">
        <f t="shared" si="72"/>
        <v>1.3157894736842105E-2</v>
      </c>
      <c r="F1683">
        <v>1</v>
      </c>
      <c r="G1683">
        <f>LOG(382/(1+1))</f>
        <v>2.2810333672477277</v>
      </c>
      <c r="H1683">
        <f>0.0131578947368421*5.25227342804663</f>
        <v>6.9108860895350357E-2</v>
      </c>
      <c r="I1683">
        <v>6.9108860895350385E-2</v>
      </c>
    </row>
    <row r="1684" spans="1:9" x14ac:dyDescent="0.25">
      <c r="A1684">
        <v>248</v>
      </c>
      <c r="B1684" t="s">
        <v>968</v>
      </c>
      <c r="C1684" t="s">
        <v>48</v>
      </c>
      <c r="D1684" t="s">
        <v>50</v>
      </c>
      <c r="E1684">
        <f t="shared" si="72"/>
        <v>1.3157894736842105E-2</v>
      </c>
      <c r="F1684">
        <v>109</v>
      </c>
      <c r="G1684">
        <f>LOG(382/(109+1))</f>
        <v>0.54067067775348365</v>
      </c>
      <c r="H1684">
        <f>0.0131578947368421*1.24494024281415</f>
        <v>1.638079266860723E-2</v>
      </c>
      <c r="I1684">
        <v>1.6380792668607359E-2</v>
      </c>
    </row>
    <row r="1685" spans="1:9" x14ac:dyDescent="0.25">
      <c r="A1685">
        <v>248</v>
      </c>
      <c r="B1685" t="s">
        <v>968</v>
      </c>
      <c r="C1685" t="s">
        <v>48</v>
      </c>
      <c r="D1685" t="s">
        <v>971</v>
      </c>
      <c r="E1685">
        <f t="shared" si="72"/>
        <v>1.3157894736842105E-2</v>
      </c>
      <c r="F1685">
        <v>1</v>
      </c>
      <c r="G1685">
        <f>LOG(382/(1+1))</f>
        <v>2.2810333672477277</v>
      </c>
      <c r="H1685">
        <f>0.0131578947368421*5.25227342804663</f>
        <v>6.9108860895350357E-2</v>
      </c>
      <c r="I1685">
        <v>6.9108860895350385E-2</v>
      </c>
    </row>
    <row r="1686" spans="1:9" x14ac:dyDescent="0.25">
      <c r="A1686">
        <v>248</v>
      </c>
      <c r="B1686" t="s">
        <v>968</v>
      </c>
      <c r="C1686" t="s">
        <v>48</v>
      </c>
      <c r="D1686" t="s">
        <v>54</v>
      </c>
      <c r="E1686">
        <f t="shared" si="72"/>
        <v>1.3157894736842105E-2</v>
      </c>
      <c r="F1686">
        <v>25</v>
      </c>
      <c r="G1686">
        <f>LOG(382/(25+1))</f>
        <v>1.1670900149408907</v>
      </c>
      <c r="H1686">
        <f>0.0131578947368421*2.68732407058509</f>
        <v>3.5359527244540639E-2</v>
      </c>
      <c r="I1686">
        <v>3.5359527244540688E-2</v>
      </c>
    </row>
    <row r="1687" spans="1:9" x14ac:dyDescent="0.25">
      <c r="A1687">
        <v>248</v>
      </c>
      <c r="B1687" t="s">
        <v>968</v>
      </c>
      <c r="C1687" t="s">
        <v>48</v>
      </c>
      <c r="D1687" t="s">
        <v>25</v>
      </c>
      <c r="E1687">
        <f>2/76</f>
        <v>2.6315789473684209E-2</v>
      </c>
      <c r="F1687">
        <v>106</v>
      </c>
      <c r="G1687">
        <f>LOG(382/(106+1))</f>
        <v>0.55267958522649907</v>
      </c>
      <c r="H1687">
        <f>0.0263157894736842*1.27259177414466</f>
        <v>3.3489257214333143E-2</v>
      </c>
      <c r="I1687">
        <v>3.3489257214333393E-2</v>
      </c>
    </row>
    <row r="1688" spans="1:9" x14ac:dyDescent="0.25">
      <c r="A1688">
        <v>248</v>
      </c>
      <c r="B1688" t="s">
        <v>968</v>
      </c>
      <c r="C1688" t="s">
        <v>48</v>
      </c>
      <c r="D1688" t="s">
        <v>972</v>
      </c>
      <c r="E1688">
        <f t="shared" ref="E1688:E1701" si="73">1/76</f>
        <v>1.3157894736842105E-2</v>
      </c>
      <c r="F1688">
        <v>3</v>
      </c>
      <c r="G1688">
        <f>LOG(382/(3+1))</f>
        <v>1.9800033715837464</v>
      </c>
      <c r="H1688">
        <f>0.0131578947368421*4.55912624748668</f>
        <v>5.9988503256403661E-2</v>
      </c>
      <c r="I1688">
        <v>5.9988503256403737E-2</v>
      </c>
    </row>
    <row r="1689" spans="1:9" x14ac:dyDescent="0.25">
      <c r="A1689">
        <v>248</v>
      </c>
      <c r="B1689" t="s">
        <v>968</v>
      </c>
      <c r="C1689" t="s">
        <v>48</v>
      </c>
      <c r="D1689" t="s">
        <v>973</v>
      </c>
      <c r="E1689">
        <f t="shared" si="73"/>
        <v>1.3157894736842105E-2</v>
      </c>
      <c r="F1689">
        <v>1</v>
      </c>
      <c r="G1689">
        <f>LOG(382/(1+1))</f>
        <v>2.2810333672477277</v>
      </c>
      <c r="H1689">
        <f>0.0131578947368421*5.25227342804663</f>
        <v>6.9108860895350357E-2</v>
      </c>
      <c r="I1689">
        <v>6.9108860895350385E-2</v>
      </c>
    </row>
    <row r="1690" spans="1:9" x14ac:dyDescent="0.25">
      <c r="A1690">
        <v>248</v>
      </c>
      <c r="B1690" t="s">
        <v>968</v>
      </c>
      <c r="C1690" t="s">
        <v>48</v>
      </c>
      <c r="D1690" t="s">
        <v>974</v>
      </c>
      <c r="E1690">
        <f t="shared" si="73"/>
        <v>1.3157894736842105E-2</v>
      </c>
      <c r="F1690">
        <v>1</v>
      </c>
      <c r="G1690">
        <f>LOG(382/(1+1))</f>
        <v>2.2810333672477277</v>
      </c>
      <c r="H1690">
        <f>0.0131578947368421*5.25227342804663</f>
        <v>6.9108860895350357E-2</v>
      </c>
      <c r="I1690">
        <v>6.9108860895350385E-2</v>
      </c>
    </row>
    <row r="1691" spans="1:9" x14ac:dyDescent="0.25">
      <c r="A1691">
        <v>248</v>
      </c>
      <c r="B1691" t="s">
        <v>968</v>
      </c>
      <c r="C1691" t="s">
        <v>48</v>
      </c>
      <c r="D1691" t="s">
        <v>975</v>
      </c>
      <c r="E1691">
        <f t="shared" si="73"/>
        <v>1.3157894736842105E-2</v>
      </c>
      <c r="F1691">
        <v>5</v>
      </c>
      <c r="G1691">
        <f>LOG(382/(5+1))</f>
        <v>1.803912112528065</v>
      </c>
      <c r="H1691">
        <f>0.0131578947368421*4.15366113937852</f>
        <v>5.4653436044454183E-2</v>
      </c>
      <c r="I1691">
        <v>5.4653436044454197E-2</v>
      </c>
    </row>
    <row r="1692" spans="1:9" x14ac:dyDescent="0.25">
      <c r="A1692">
        <v>248</v>
      </c>
      <c r="B1692" t="s">
        <v>968</v>
      </c>
      <c r="C1692" t="s">
        <v>48</v>
      </c>
      <c r="D1692" t="s">
        <v>976</v>
      </c>
      <c r="E1692">
        <f t="shared" si="73"/>
        <v>1.3157894736842105E-2</v>
      </c>
      <c r="F1692">
        <v>1</v>
      </c>
      <c r="G1692">
        <f>LOG(382/(1+1))</f>
        <v>2.2810333672477277</v>
      </c>
      <c r="H1692">
        <f>0.0131578947368421*5.25227342804663</f>
        <v>6.9108860895350357E-2</v>
      </c>
      <c r="I1692">
        <v>6.9108860895350385E-2</v>
      </c>
    </row>
    <row r="1693" spans="1:9" x14ac:dyDescent="0.25">
      <c r="A1693">
        <v>248</v>
      </c>
      <c r="B1693" t="s">
        <v>968</v>
      </c>
      <c r="C1693" t="s">
        <v>48</v>
      </c>
      <c r="D1693" t="s">
        <v>103</v>
      </c>
      <c r="E1693">
        <f t="shared" si="73"/>
        <v>1.3157894736842105E-2</v>
      </c>
      <c r="F1693">
        <v>38</v>
      </c>
      <c r="G1693">
        <f>LOG(382/(38+1))</f>
        <v>0.99099875588520958</v>
      </c>
      <c r="H1693">
        <f>0.0131578947368421*2.28185896247692</f>
        <v>3.002446003259104E-2</v>
      </c>
      <c r="I1693">
        <v>3.0024460032591169E-2</v>
      </c>
    </row>
    <row r="1694" spans="1:9" x14ac:dyDescent="0.25">
      <c r="A1694">
        <v>248</v>
      </c>
      <c r="B1694" t="s">
        <v>968</v>
      </c>
      <c r="C1694" t="s">
        <v>48</v>
      </c>
      <c r="D1694" t="s">
        <v>977</v>
      </c>
      <c r="E1694">
        <f t="shared" si="73"/>
        <v>1.3157894736842105E-2</v>
      </c>
      <c r="F1694">
        <v>1</v>
      </c>
      <c r="G1694">
        <f>LOG(382/(1+1))</f>
        <v>2.2810333672477277</v>
      </c>
      <c r="H1694">
        <f>0.0131578947368421*5.25227342804663</f>
        <v>6.9108860895350357E-2</v>
      </c>
      <c r="I1694">
        <v>6.9108860895350385E-2</v>
      </c>
    </row>
    <row r="1695" spans="1:9" x14ac:dyDescent="0.25">
      <c r="A1695">
        <v>248</v>
      </c>
      <c r="B1695" t="s">
        <v>968</v>
      </c>
      <c r="C1695" t="s">
        <v>48</v>
      </c>
      <c r="D1695" t="s">
        <v>836</v>
      </c>
      <c r="E1695">
        <f t="shared" si="73"/>
        <v>1.3157894736842105E-2</v>
      </c>
      <c r="F1695">
        <v>21</v>
      </c>
      <c r="G1695">
        <f>LOG(382/(21+1))</f>
        <v>1.2396406820895025</v>
      </c>
      <c r="H1695">
        <f>0.0131578947368421*2.85437815524825</f>
        <v>3.7557607305898008E-2</v>
      </c>
      <c r="I1695">
        <v>3.7557607305898147E-2</v>
      </c>
    </row>
    <row r="1696" spans="1:9" x14ac:dyDescent="0.25">
      <c r="A1696">
        <v>248</v>
      </c>
      <c r="B1696" t="s">
        <v>968</v>
      </c>
      <c r="C1696" t="s">
        <v>48</v>
      </c>
      <c r="D1696" t="s">
        <v>978</v>
      </c>
      <c r="E1696">
        <f t="shared" si="73"/>
        <v>1.3157894736842105E-2</v>
      </c>
      <c r="F1696">
        <v>2</v>
      </c>
      <c r="G1696">
        <f>LOG(382/(2+1))</f>
        <v>2.1049421081920463</v>
      </c>
      <c r="H1696">
        <f>0.0131578947368421*4.84680831993846</f>
        <v>6.3773793683400762E-2</v>
      </c>
      <c r="I1696">
        <v>6.3773793683400859E-2</v>
      </c>
    </row>
    <row r="1697" spans="1:9" x14ac:dyDescent="0.25">
      <c r="A1697">
        <v>248</v>
      </c>
      <c r="B1697" t="s">
        <v>968</v>
      </c>
      <c r="C1697" t="s">
        <v>48</v>
      </c>
      <c r="D1697" t="s">
        <v>979</v>
      </c>
      <c r="E1697">
        <f t="shared" si="73"/>
        <v>1.3157894736842105E-2</v>
      </c>
      <c r="F1697">
        <v>1</v>
      </c>
      <c r="G1697">
        <f>LOG(382/(1+1))</f>
        <v>2.2810333672477277</v>
      </c>
      <c r="H1697">
        <f>0.0131578947368421*5.25227342804663</f>
        <v>6.9108860895350357E-2</v>
      </c>
      <c r="I1697">
        <v>6.9108860895350385E-2</v>
      </c>
    </row>
    <row r="1698" spans="1:9" x14ac:dyDescent="0.25">
      <c r="A1698">
        <v>248</v>
      </c>
      <c r="B1698" t="s">
        <v>968</v>
      </c>
      <c r="C1698" t="s">
        <v>48</v>
      </c>
      <c r="D1698" t="s">
        <v>408</v>
      </c>
      <c r="E1698">
        <f t="shared" si="73"/>
        <v>1.3157894736842105E-2</v>
      </c>
      <c r="F1698">
        <v>27</v>
      </c>
      <c r="G1698">
        <f>LOG(382/(27+1))</f>
        <v>1.1349053315694895</v>
      </c>
      <c r="H1698">
        <f>0.0131578947368421*2.61321609843137</f>
        <v>3.438442234778117E-2</v>
      </c>
      <c r="I1698">
        <v>3.4384422347781197E-2</v>
      </c>
    </row>
    <row r="1699" spans="1:9" x14ac:dyDescent="0.25">
      <c r="A1699">
        <v>248</v>
      </c>
      <c r="B1699" t="s">
        <v>968</v>
      </c>
      <c r="C1699" t="s">
        <v>48</v>
      </c>
      <c r="D1699" t="s">
        <v>838</v>
      </c>
      <c r="E1699">
        <f t="shared" si="73"/>
        <v>1.3157894736842105E-2</v>
      </c>
      <c r="F1699">
        <v>10</v>
      </c>
      <c r="G1699">
        <f>LOG(382/(10+1))</f>
        <v>1.5406706777534838</v>
      </c>
      <c r="H1699">
        <f>0.0131578947368421*3.5475253358082</f>
        <v>4.6677964944844719E-2</v>
      </c>
      <c r="I1699">
        <v>4.6677964944844802E-2</v>
      </c>
    </row>
    <row r="1700" spans="1:9" x14ac:dyDescent="0.25">
      <c r="A1700">
        <v>248</v>
      </c>
      <c r="B1700" t="s">
        <v>968</v>
      </c>
      <c r="C1700" t="s">
        <v>48</v>
      </c>
      <c r="D1700" t="s">
        <v>52</v>
      </c>
      <c r="E1700">
        <f t="shared" si="73"/>
        <v>1.3157894736842105E-2</v>
      </c>
      <c r="F1700">
        <v>35</v>
      </c>
      <c r="G1700">
        <f>LOG(382/(35+1))</f>
        <v>1.0257608621444214</v>
      </c>
      <c r="H1700">
        <f>0.0131578947368421*2.36190167015046</f>
        <v>3.1077653554611302E-2</v>
      </c>
      <c r="I1700">
        <v>3.1077653554611381E-2</v>
      </c>
    </row>
    <row r="1701" spans="1:9" x14ac:dyDescent="0.25">
      <c r="A1701">
        <v>248</v>
      </c>
      <c r="B1701" t="s">
        <v>968</v>
      </c>
      <c r="C1701" t="s">
        <v>48</v>
      </c>
      <c r="D1701" t="s">
        <v>85</v>
      </c>
      <c r="E1701">
        <f t="shared" si="73"/>
        <v>1.3157894736842105E-2</v>
      </c>
      <c r="F1701">
        <v>13</v>
      </c>
      <c r="G1701">
        <f>LOG(382/(13+1))</f>
        <v>1.4359353272334707</v>
      </c>
      <c r="H1701">
        <f>0.0131578947368421*3.30636327899131</f>
        <v>4.3504779986727748E-2</v>
      </c>
      <c r="I1701">
        <v>4.3504779986727853E-2</v>
      </c>
    </row>
    <row r="1702" spans="1:9" x14ac:dyDescent="0.25">
      <c r="A1702">
        <v>248</v>
      </c>
      <c r="B1702" t="s">
        <v>968</v>
      </c>
      <c r="C1702" t="s">
        <v>48</v>
      </c>
      <c r="D1702" t="s">
        <v>339</v>
      </c>
      <c r="E1702">
        <f>2/76</f>
        <v>2.6315789473684209E-2</v>
      </c>
      <c r="F1702">
        <v>66</v>
      </c>
      <c r="G1702">
        <f>LOG(382/(66+1))</f>
        <v>0.75598856021088234</v>
      </c>
      <c r="H1702">
        <f>0.0263157894736842*1.7407279892156</f>
        <v>4.5808631295147346E-2</v>
      </c>
      <c r="I1702">
        <v>4.5808631295147603E-2</v>
      </c>
    </row>
    <row r="1703" spans="1:9" x14ac:dyDescent="0.25">
      <c r="A1703">
        <v>248</v>
      </c>
      <c r="B1703" t="s">
        <v>968</v>
      </c>
      <c r="C1703" t="s">
        <v>48</v>
      </c>
      <c r="D1703" t="s">
        <v>980</v>
      </c>
      <c r="E1703">
        <f>3/76</f>
        <v>3.9473684210526314E-2</v>
      </c>
      <c r="F1703">
        <v>2</v>
      </c>
      <c r="G1703">
        <f>LOG(382/(2+1))</f>
        <v>2.1049421081920463</v>
      </c>
      <c r="H1703">
        <f>0.0394736842105263*4.84680831993846</f>
        <v>0.1913213810502023</v>
      </c>
      <c r="I1703">
        <v>0.1913213810502026</v>
      </c>
    </row>
    <row r="1704" spans="1:9" x14ac:dyDescent="0.25">
      <c r="A1704">
        <v>248</v>
      </c>
      <c r="B1704" t="s">
        <v>968</v>
      </c>
      <c r="C1704" t="s">
        <v>48</v>
      </c>
      <c r="D1704" t="s">
        <v>981</v>
      </c>
      <c r="E1704">
        <f t="shared" ref="E1704:E1718" si="74">1/76</f>
        <v>1.3157894736842105E-2</v>
      </c>
      <c r="F1704">
        <v>4</v>
      </c>
      <c r="G1704">
        <f>LOG(382/(4+1))</f>
        <v>1.8830933585756899</v>
      </c>
      <c r="H1704">
        <f>0.0131578947368421*4.33598269617247</f>
        <v>5.7052403897006165E-2</v>
      </c>
      <c r="I1704">
        <v>5.7052403897006242E-2</v>
      </c>
    </row>
    <row r="1705" spans="1:9" x14ac:dyDescent="0.25">
      <c r="A1705">
        <v>248</v>
      </c>
      <c r="B1705" t="s">
        <v>968</v>
      </c>
      <c r="C1705" t="s">
        <v>48</v>
      </c>
      <c r="D1705" t="s">
        <v>982</v>
      </c>
      <c r="E1705">
        <f t="shared" si="74"/>
        <v>1.3157894736842105E-2</v>
      </c>
      <c r="F1705">
        <v>1</v>
      </c>
      <c r="G1705">
        <f>LOG(382/(1+1))</f>
        <v>2.2810333672477277</v>
      </c>
      <c r="H1705">
        <f>0.0131578947368421*5.25227342804663</f>
        <v>6.9108860895350357E-2</v>
      </c>
      <c r="I1705">
        <v>6.9108860895350385E-2</v>
      </c>
    </row>
    <row r="1706" spans="1:9" x14ac:dyDescent="0.25">
      <c r="A1706">
        <v>248</v>
      </c>
      <c r="B1706" t="s">
        <v>968</v>
      </c>
      <c r="C1706" t="s">
        <v>48</v>
      </c>
      <c r="D1706" t="s">
        <v>983</v>
      </c>
      <c r="E1706">
        <f t="shared" si="74"/>
        <v>1.3157894736842105E-2</v>
      </c>
      <c r="F1706">
        <v>1</v>
      </c>
      <c r="G1706">
        <f>LOG(382/(1+1))</f>
        <v>2.2810333672477277</v>
      </c>
      <c r="H1706">
        <f>0.0131578947368421*5.25227342804663</f>
        <v>6.9108860895350357E-2</v>
      </c>
      <c r="I1706">
        <v>6.9108860895350385E-2</v>
      </c>
    </row>
    <row r="1707" spans="1:9" x14ac:dyDescent="0.25">
      <c r="A1707">
        <v>248</v>
      </c>
      <c r="B1707" t="s">
        <v>968</v>
      </c>
      <c r="C1707" t="s">
        <v>48</v>
      </c>
      <c r="D1707" t="s">
        <v>984</v>
      </c>
      <c r="E1707">
        <f t="shared" si="74"/>
        <v>1.3157894736842105E-2</v>
      </c>
      <c r="F1707">
        <v>1</v>
      </c>
      <c r="G1707">
        <f>LOG(382/(1+1))</f>
        <v>2.2810333672477277</v>
      </c>
      <c r="H1707">
        <f>0.0131578947368421*5.25227342804663</f>
        <v>6.9108860895350357E-2</v>
      </c>
      <c r="I1707">
        <v>6.9108860895350385E-2</v>
      </c>
    </row>
    <row r="1708" spans="1:9" x14ac:dyDescent="0.25">
      <c r="A1708">
        <v>248</v>
      </c>
      <c r="B1708" t="s">
        <v>968</v>
      </c>
      <c r="C1708" t="s">
        <v>48</v>
      </c>
      <c r="D1708" t="s">
        <v>317</v>
      </c>
      <c r="E1708">
        <f t="shared" si="74"/>
        <v>1.3157894736842105E-2</v>
      </c>
      <c r="F1708">
        <v>3</v>
      </c>
      <c r="G1708">
        <f>LOG(382/(3+1))</f>
        <v>1.9800033715837464</v>
      </c>
      <c r="H1708">
        <f>0.0131578947368421*4.55912624748668</f>
        <v>5.9988503256403661E-2</v>
      </c>
      <c r="I1708">
        <v>5.9988503256403737E-2</v>
      </c>
    </row>
    <row r="1709" spans="1:9" x14ac:dyDescent="0.25">
      <c r="A1709">
        <v>248</v>
      </c>
      <c r="B1709" t="s">
        <v>968</v>
      </c>
      <c r="C1709" t="s">
        <v>48</v>
      </c>
      <c r="D1709" t="s">
        <v>985</v>
      </c>
      <c r="E1709">
        <f t="shared" si="74"/>
        <v>1.3157894736842105E-2</v>
      </c>
      <c r="F1709">
        <v>1</v>
      </c>
      <c r="G1709">
        <f>LOG(382/(1+1))</f>
        <v>2.2810333672477277</v>
      </c>
      <c r="H1709">
        <f>0.0131578947368421*5.25227342804663</f>
        <v>6.9108860895350357E-2</v>
      </c>
      <c r="I1709">
        <v>6.9108860895350385E-2</v>
      </c>
    </row>
    <row r="1710" spans="1:9" x14ac:dyDescent="0.25">
      <c r="A1710">
        <v>248</v>
      </c>
      <c r="B1710" t="s">
        <v>968</v>
      </c>
      <c r="C1710" t="s">
        <v>48</v>
      </c>
      <c r="D1710" t="s">
        <v>986</v>
      </c>
      <c r="E1710">
        <f t="shared" si="74"/>
        <v>1.3157894736842105E-2</v>
      </c>
      <c r="F1710">
        <v>2</v>
      </c>
      <c r="G1710">
        <f>LOG(382/(2+1))</f>
        <v>2.1049421081920463</v>
      </c>
      <c r="H1710">
        <f>0.0131578947368421*4.84680831993846</f>
        <v>6.3773793683400762E-2</v>
      </c>
      <c r="I1710">
        <v>6.3773793683400859E-2</v>
      </c>
    </row>
    <row r="1711" spans="1:9" x14ac:dyDescent="0.25">
      <c r="A1711">
        <v>248</v>
      </c>
      <c r="B1711" t="s">
        <v>968</v>
      </c>
      <c r="C1711" t="s">
        <v>48</v>
      </c>
      <c r="D1711" t="s">
        <v>646</v>
      </c>
      <c r="E1711">
        <f t="shared" si="74"/>
        <v>1.3157894736842105E-2</v>
      </c>
      <c r="F1711">
        <v>3</v>
      </c>
      <c r="G1711">
        <f>LOG(382/(3+1))</f>
        <v>1.9800033715837464</v>
      </c>
      <c r="H1711">
        <f>0.0131578947368421*4.55912624748668</f>
        <v>5.9988503256403661E-2</v>
      </c>
      <c r="I1711">
        <v>5.9988503256403737E-2</v>
      </c>
    </row>
    <row r="1712" spans="1:9" x14ac:dyDescent="0.25">
      <c r="A1712">
        <v>248</v>
      </c>
      <c r="B1712" t="s">
        <v>968</v>
      </c>
      <c r="C1712" t="s">
        <v>48</v>
      </c>
      <c r="D1712" t="s">
        <v>987</v>
      </c>
      <c r="E1712">
        <f t="shared" si="74"/>
        <v>1.3157894736842105E-2</v>
      </c>
      <c r="F1712">
        <v>2</v>
      </c>
      <c r="G1712">
        <f>LOG(382/(2+1))</f>
        <v>2.1049421081920463</v>
      </c>
      <c r="H1712">
        <f>0.0131578947368421*4.84680831993846</f>
        <v>6.3773793683400762E-2</v>
      </c>
      <c r="I1712">
        <v>6.3773793683400859E-2</v>
      </c>
    </row>
    <row r="1713" spans="1:9" x14ac:dyDescent="0.25">
      <c r="A1713">
        <v>248</v>
      </c>
      <c r="B1713" t="s">
        <v>968</v>
      </c>
      <c r="C1713" t="s">
        <v>48</v>
      </c>
      <c r="D1713" t="s">
        <v>988</v>
      </c>
      <c r="E1713">
        <f t="shared" si="74"/>
        <v>1.3157894736842105E-2</v>
      </c>
      <c r="F1713">
        <v>1</v>
      </c>
      <c r="G1713">
        <f>LOG(382/(1+1))</f>
        <v>2.2810333672477277</v>
      </c>
      <c r="H1713">
        <f>0.0131578947368421*5.25227342804663</f>
        <v>6.9108860895350357E-2</v>
      </c>
      <c r="I1713">
        <v>6.9108860895350385E-2</v>
      </c>
    </row>
    <row r="1714" spans="1:9" x14ac:dyDescent="0.25">
      <c r="A1714">
        <v>248</v>
      </c>
      <c r="B1714" t="s">
        <v>968</v>
      </c>
      <c r="C1714" t="s">
        <v>48</v>
      </c>
      <c r="D1714" t="s">
        <v>989</v>
      </c>
      <c r="E1714">
        <f t="shared" si="74"/>
        <v>1.3157894736842105E-2</v>
      </c>
      <c r="F1714">
        <v>1</v>
      </c>
      <c r="G1714">
        <f>LOG(382/(1+1))</f>
        <v>2.2810333672477277</v>
      </c>
      <c r="H1714">
        <f>0.0131578947368421*5.25227342804663</f>
        <v>6.9108860895350357E-2</v>
      </c>
      <c r="I1714">
        <v>6.9108860895350385E-2</v>
      </c>
    </row>
    <row r="1715" spans="1:9" x14ac:dyDescent="0.25">
      <c r="A1715">
        <v>248</v>
      </c>
      <c r="B1715" t="s">
        <v>968</v>
      </c>
      <c r="C1715" t="s">
        <v>48</v>
      </c>
      <c r="D1715" t="s">
        <v>119</v>
      </c>
      <c r="E1715">
        <f t="shared" si="74"/>
        <v>1.3157894736842105E-2</v>
      </c>
      <c r="F1715">
        <v>79</v>
      </c>
      <c r="G1715">
        <f>LOG(382/(79+1))</f>
        <v>0.67897337591976514</v>
      </c>
      <c r="H1715">
        <f>0.0131578947368421*1.56339397393269</f>
        <v>2.0570973341219597E-2</v>
      </c>
      <c r="I1715">
        <v>2.0570973341219649E-2</v>
      </c>
    </row>
    <row r="1716" spans="1:9" x14ac:dyDescent="0.25">
      <c r="A1716">
        <v>248</v>
      </c>
      <c r="B1716" t="s">
        <v>968</v>
      </c>
      <c r="C1716" t="s">
        <v>48</v>
      </c>
      <c r="D1716" t="s">
        <v>216</v>
      </c>
      <c r="E1716">
        <f t="shared" si="74"/>
        <v>1.3157894736842105E-2</v>
      </c>
      <c r="F1716">
        <v>63</v>
      </c>
      <c r="G1716">
        <f>LOG(382/(63+1))</f>
        <v>0.7758833889278216</v>
      </c>
      <c r="H1716">
        <f>0.0131578947368421*1.7865375252469</f>
        <v>2.3507072700617096E-2</v>
      </c>
      <c r="I1716">
        <v>2.3507072700617151E-2</v>
      </c>
    </row>
    <row r="1717" spans="1:9" x14ac:dyDescent="0.25">
      <c r="A1717">
        <v>248</v>
      </c>
      <c r="B1717" t="s">
        <v>968</v>
      </c>
      <c r="C1717" t="s">
        <v>48</v>
      </c>
      <c r="D1717" t="s">
        <v>237</v>
      </c>
      <c r="E1717">
        <f t="shared" si="74"/>
        <v>1.3157894736842105E-2</v>
      </c>
      <c r="F1717">
        <v>138</v>
      </c>
      <c r="G1717">
        <f>LOG(382/(138+1))</f>
        <v>0.43904856265761361</v>
      </c>
      <c r="H1717">
        <f>0.0131578947368421*1.01094667547588</f>
        <v>1.33019299404721E-2</v>
      </c>
      <c r="I1717">
        <v>1.330192994047215E-2</v>
      </c>
    </row>
    <row r="1718" spans="1:9" x14ac:dyDescent="0.25">
      <c r="A1718">
        <v>248</v>
      </c>
      <c r="B1718" t="s">
        <v>968</v>
      </c>
      <c r="C1718" t="s">
        <v>48</v>
      </c>
      <c r="D1718" t="s">
        <v>204</v>
      </c>
      <c r="E1718">
        <f t="shared" si="74"/>
        <v>1.3157894736842105E-2</v>
      </c>
      <c r="F1718">
        <v>166</v>
      </c>
      <c r="G1718">
        <f>LOG(382/(166+1))</f>
        <v>0.35934689176412549</v>
      </c>
      <c r="H1718">
        <f>0.0131578947368421*0.82742679618982</f>
        <v>1.0887194686708153E-2</v>
      </c>
      <c r="I1718">
        <v>1.088719468670816E-2</v>
      </c>
    </row>
    <row r="1719" spans="1:9" x14ac:dyDescent="0.25">
      <c r="A1719">
        <v>248</v>
      </c>
      <c r="B1719" t="s">
        <v>968</v>
      </c>
      <c r="C1719" t="s">
        <v>48</v>
      </c>
      <c r="D1719" t="s">
        <v>331</v>
      </c>
      <c r="E1719">
        <f>2/76</f>
        <v>2.6315789473684209E-2</v>
      </c>
      <c r="F1719">
        <v>130</v>
      </c>
      <c r="G1719">
        <f>LOG(382/(130+1))</f>
        <v>0.46479206725594452</v>
      </c>
      <c r="H1719">
        <f>0.0263157894736842*1.07022328540542</f>
        <v>2.8163770668563674E-2</v>
      </c>
      <c r="I1719">
        <v>2.8163770668563778E-2</v>
      </c>
    </row>
    <row r="1720" spans="1:9" x14ac:dyDescent="0.25">
      <c r="A1720">
        <v>248</v>
      </c>
      <c r="B1720" t="s">
        <v>968</v>
      </c>
      <c r="C1720" t="s">
        <v>48</v>
      </c>
      <c r="D1720" t="s">
        <v>53</v>
      </c>
      <c r="E1720">
        <f t="shared" ref="E1720:E1725" si="75">1/76</f>
        <v>1.3157894736842105E-2</v>
      </c>
      <c r="F1720">
        <v>57</v>
      </c>
      <c r="G1720">
        <f>LOG(382/(57+1))</f>
        <v>0.81863536934877146</v>
      </c>
      <c r="H1720">
        <f>0.0131578947368421*1.88497759806015</f>
        <v>2.4802336816580908E-2</v>
      </c>
      <c r="I1720">
        <v>2.4802336816580998E-2</v>
      </c>
    </row>
    <row r="1721" spans="1:9" x14ac:dyDescent="0.25">
      <c r="A1721">
        <v>248</v>
      </c>
      <c r="B1721" t="s">
        <v>968</v>
      </c>
      <c r="C1721" t="s">
        <v>48</v>
      </c>
      <c r="D1721" t="s">
        <v>240</v>
      </c>
      <c r="E1721">
        <f t="shared" si="75"/>
        <v>1.3157894736842105E-2</v>
      </c>
      <c r="F1721">
        <v>15</v>
      </c>
      <c r="G1721">
        <f>LOG(382/(15+1))</f>
        <v>1.3779433802557839</v>
      </c>
      <c r="H1721">
        <f>0.0131578947368421*3.17283188636679</f>
        <v>4.1747787978510378E-2</v>
      </c>
      <c r="I1721">
        <v>4.1747787978510448E-2</v>
      </c>
    </row>
    <row r="1722" spans="1:9" x14ac:dyDescent="0.25">
      <c r="A1722">
        <v>248</v>
      </c>
      <c r="B1722" t="s">
        <v>968</v>
      </c>
      <c r="C1722" t="s">
        <v>48</v>
      </c>
      <c r="D1722" t="s">
        <v>78</v>
      </c>
      <c r="E1722">
        <f t="shared" si="75"/>
        <v>1.3157894736842105E-2</v>
      </c>
      <c r="F1722">
        <v>122</v>
      </c>
      <c r="G1722">
        <f>LOG(382/(122+1))</f>
        <v>0.49215825147231079</v>
      </c>
      <c r="H1722">
        <f>0.0131578947368421*1.13323625323415</f>
        <v>1.4911003332028282E-2</v>
      </c>
      <c r="I1722">
        <v>1.491100333202839E-2</v>
      </c>
    </row>
    <row r="1723" spans="1:9" x14ac:dyDescent="0.25">
      <c r="A1723">
        <v>248</v>
      </c>
      <c r="B1723" t="s">
        <v>968</v>
      </c>
      <c r="C1723" t="s">
        <v>48</v>
      </c>
      <c r="D1723" t="s">
        <v>483</v>
      </c>
      <c r="E1723">
        <f t="shared" si="75"/>
        <v>1.3157894736842105E-2</v>
      </c>
      <c r="F1723">
        <v>61</v>
      </c>
      <c r="G1723">
        <f>LOG(382/(61+1))</f>
        <v>0.7896716734134549</v>
      </c>
      <c r="H1723">
        <f>0.0131578947368421*1.81828622356148</f>
        <v>2.3924818731072096E-2</v>
      </c>
      <c r="I1723">
        <v>2.3924818731072151E-2</v>
      </c>
    </row>
    <row r="1724" spans="1:9" x14ac:dyDescent="0.25">
      <c r="A1724">
        <v>248</v>
      </c>
      <c r="B1724" t="s">
        <v>968</v>
      </c>
      <c r="C1724" t="s">
        <v>48</v>
      </c>
      <c r="D1724" t="s">
        <v>76</v>
      </c>
      <c r="E1724">
        <f t="shared" si="75"/>
        <v>1.3157894736842105E-2</v>
      </c>
      <c r="F1724">
        <v>140</v>
      </c>
      <c r="G1724">
        <f>LOG(382/(140+1))</f>
        <v>0.43284425025632883</v>
      </c>
      <c r="H1724">
        <f>0.0131578947368421*0.996660718228407</f>
        <v>1.3113956818794823E-2</v>
      </c>
      <c r="I1724">
        <v>1.311395681879483E-2</v>
      </c>
    </row>
    <row r="1725" spans="1:9" x14ac:dyDescent="0.25">
      <c r="A1725">
        <v>248</v>
      </c>
      <c r="B1725" t="s">
        <v>968</v>
      </c>
      <c r="C1725" t="s">
        <v>48</v>
      </c>
      <c r="D1725" t="s">
        <v>77</v>
      </c>
      <c r="E1725">
        <f t="shared" si="75"/>
        <v>1.3157894736842105E-2</v>
      </c>
      <c r="F1725">
        <v>148</v>
      </c>
      <c r="G1725">
        <f>LOG(382/(148+1))</f>
        <v>0.40887709449943471</v>
      </c>
      <c r="H1725">
        <f>0.0131578947368421*0.941474302661116</f>
        <v>1.2387819771856783E-2</v>
      </c>
      <c r="I1725">
        <v>1.238781977185679E-2</v>
      </c>
    </row>
    <row r="1726" spans="1:9" x14ac:dyDescent="0.25">
      <c r="A1726">
        <v>249</v>
      </c>
      <c r="B1726" t="s">
        <v>990</v>
      </c>
      <c r="C1726" t="s">
        <v>10</v>
      </c>
      <c r="D1726" t="s">
        <v>315</v>
      </c>
      <c r="E1726">
        <f>4/87</f>
        <v>4.5977011494252873E-2</v>
      </c>
      <c r="F1726">
        <v>55</v>
      </c>
      <c r="G1726">
        <f>LOG(382/(55+1))</f>
        <v>0.83387533590550833</v>
      </c>
      <c r="H1726">
        <f>0.0459770114942528*1.92006891787142</f>
        <v>8.8279030706731806E-2</v>
      </c>
      <c r="I1726">
        <v>8.8279030706732223E-2</v>
      </c>
    </row>
    <row r="1727" spans="1:9" x14ac:dyDescent="0.25">
      <c r="A1727">
        <v>249</v>
      </c>
      <c r="B1727" t="s">
        <v>990</v>
      </c>
      <c r="C1727" t="s">
        <v>10</v>
      </c>
      <c r="D1727" t="s">
        <v>991</v>
      </c>
      <c r="E1727">
        <f>3/87</f>
        <v>3.4482758620689655E-2</v>
      </c>
      <c r="F1727">
        <v>2</v>
      </c>
      <c r="G1727">
        <f>LOG(382/(2+1))</f>
        <v>2.1049421081920463</v>
      </c>
      <c r="H1727">
        <f>0.0344827586206896*4.84680831993846</f>
        <v>0.167131321377188</v>
      </c>
      <c r="I1727">
        <v>0.16713132137718839</v>
      </c>
    </row>
    <row r="1728" spans="1:9" x14ac:dyDescent="0.25">
      <c r="A1728">
        <v>249</v>
      </c>
      <c r="B1728" t="s">
        <v>990</v>
      </c>
      <c r="C1728" t="s">
        <v>10</v>
      </c>
      <c r="D1728" t="s">
        <v>42</v>
      </c>
      <c r="E1728">
        <f>1/87</f>
        <v>1.1494252873563218E-2</v>
      </c>
      <c r="F1728">
        <v>251</v>
      </c>
      <c r="G1728">
        <f>LOG(382/(251+1))</f>
        <v>0.18066282213016463</v>
      </c>
      <c r="H1728">
        <f>0.0114942528735632*0.415991521095151</f>
        <v>4.7815117367258657E-3</v>
      </c>
      <c r="I1728">
        <v>4.781511736725883E-3</v>
      </c>
    </row>
    <row r="1729" spans="1:9" x14ac:dyDescent="0.25">
      <c r="A1729">
        <v>249</v>
      </c>
      <c r="B1729" t="s">
        <v>990</v>
      </c>
      <c r="C1729" t="s">
        <v>10</v>
      </c>
      <c r="D1729" t="s">
        <v>15</v>
      </c>
      <c r="E1729">
        <f>3/87</f>
        <v>3.4482758620689655E-2</v>
      </c>
      <c r="F1729">
        <v>112</v>
      </c>
      <c r="G1729">
        <f>LOG(382/(112+1))</f>
        <v>0.52898491942828896</v>
      </c>
      <c r="H1729">
        <f>0.0344827586206896*1.21803278989423</f>
        <v>4.2001130686007866E-2</v>
      </c>
      <c r="I1729">
        <v>4.2001130686008102E-2</v>
      </c>
    </row>
    <row r="1730" spans="1:9" x14ac:dyDescent="0.25">
      <c r="A1730">
        <v>249</v>
      </c>
      <c r="B1730" t="s">
        <v>990</v>
      </c>
      <c r="C1730" t="s">
        <v>10</v>
      </c>
      <c r="D1730" t="s">
        <v>992</v>
      </c>
      <c r="E1730">
        <f>1/87</f>
        <v>1.1494252873563218E-2</v>
      </c>
      <c r="F1730">
        <v>1</v>
      </c>
      <c r="G1730">
        <f>LOG(382/(1+1))</f>
        <v>2.2810333672477277</v>
      </c>
      <c r="H1730">
        <f>0.0114942528735632*5.25227342804663</f>
        <v>6.0370958943064608E-2</v>
      </c>
      <c r="I1730">
        <v>6.0370958943064712E-2</v>
      </c>
    </row>
    <row r="1731" spans="1:9" x14ac:dyDescent="0.25">
      <c r="A1731">
        <v>249</v>
      </c>
      <c r="B1731" t="s">
        <v>990</v>
      </c>
      <c r="C1731" t="s">
        <v>10</v>
      </c>
      <c r="D1731" t="s">
        <v>17</v>
      </c>
      <c r="E1731">
        <f>1/87</f>
        <v>1.1494252873563218E-2</v>
      </c>
      <c r="F1731">
        <v>169</v>
      </c>
      <c r="G1731">
        <f>LOG(382/(169+1))</f>
        <v>0.3516144415334348</v>
      </c>
      <c r="H1731">
        <f>0.0114942528735632*0.809622171556313</f>
        <v>9.3060019719116288E-3</v>
      </c>
      <c r="I1731">
        <v>9.3060019719116479E-3</v>
      </c>
    </row>
    <row r="1732" spans="1:9" x14ac:dyDescent="0.25">
      <c r="A1732">
        <v>249</v>
      </c>
      <c r="B1732" t="s">
        <v>990</v>
      </c>
      <c r="C1732" t="s">
        <v>10</v>
      </c>
      <c r="D1732" t="s">
        <v>250</v>
      </c>
      <c r="E1732">
        <f>2/87</f>
        <v>2.2988505747126436E-2</v>
      </c>
      <c r="F1732">
        <v>14</v>
      </c>
      <c r="G1732">
        <f>LOG(382/(14+1))</f>
        <v>1.4059721038560276</v>
      </c>
      <c r="H1732">
        <f>0.0229885057471264*3.23737040750436</f>
        <v>7.4422308218490912E-2</v>
      </c>
      <c r="I1732">
        <v>7.4422308218491148E-2</v>
      </c>
    </row>
    <row r="1733" spans="1:9" x14ac:dyDescent="0.25">
      <c r="A1733">
        <v>249</v>
      </c>
      <c r="B1733" t="s">
        <v>990</v>
      </c>
      <c r="C1733" t="s">
        <v>10</v>
      </c>
      <c r="D1733" t="s">
        <v>729</v>
      </c>
      <c r="E1733">
        <f>3/87</f>
        <v>3.4482758620689655E-2</v>
      </c>
      <c r="F1733">
        <v>4</v>
      </c>
      <c r="G1733">
        <f>LOG(382/(4+1))</f>
        <v>1.8830933585756899</v>
      </c>
      <c r="H1733">
        <f>0.0344827586206896*4.33598269617247</f>
        <v>0.14951664469560219</v>
      </c>
      <c r="I1733">
        <v>0.14951664469560261</v>
      </c>
    </row>
    <row r="1734" spans="1:9" x14ac:dyDescent="0.25">
      <c r="A1734">
        <v>249</v>
      </c>
      <c r="B1734" t="s">
        <v>990</v>
      </c>
      <c r="C1734" t="s">
        <v>10</v>
      </c>
      <c r="D1734" t="s">
        <v>19</v>
      </c>
      <c r="E1734">
        <f>2/87</f>
        <v>2.2988505747126436E-2</v>
      </c>
      <c r="F1734">
        <v>220</v>
      </c>
      <c r="G1734">
        <f>LOG(382/(220+1))</f>
        <v>0.23767108922659805</v>
      </c>
      <c r="H1734">
        <f>0.0229885057471264*0.547257907088822</f>
        <v>1.258064154227175E-2</v>
      </c>
      <c r="I1734">
        <v>1.258064154227178E-2</v>
      </c>
    </row>
    <row r="1735" spans="1:9" x14ac:dyDescent="0.25">
      <c r="A1735">
        <v>249</v>
      </c>
      <c r="B1735" t="s">
        <v>990</v>
      </c>
      <c r="C1735" t="s">
        <v>10</v>
      </c>
      <c r="D1735" t="s">
        <v>44</v>
      </c>
      <c r="E1735">
        <f>2/87</f>
        <v>2.2988505747126436E-2</v>
      </c>
      <c r="F1735">
        <v>151</v>
      </c>
      <c r="G1735">
        <f>LOG(382/(151+1))</f>
        <v>0.40021977496693617</v>
      </c>
      <c r="H1735">
        <f>0.0229885057471264*0.921540087760298</f>
        <v>2.1184829603684976E-2</v>
      </c>
      <c r="I1735">
        <v>2.1184829603685031E-2</v>
      </c>
    </row>
    <row r="1736" spans="1:9" x14ac:dyDescent="0.25">
      <c r="A1736">
        <v>249</v>
      </c>
      <c r="B1736" t="s">
        <v>990</v>
      </c>
      <c r="C1736" t="s">
        <v>10</v>
      </c>
      <c r="D1736" t="s">
        <v>22</v>
      </c>
      <c r="E1736">
        <f>1/87</f>
        <v>1.1494252873563218E-2</v>
      </c>
      <c r="F1736">
        <v>259</v>
      </c>
      <c r="G1736">
        <f>LOG(382/(259+1))</f>
        <v>0.16709001494089079</v>
      </c>
      <c r="H1736">
        <f>0.0114942528735632*0.384738977591047</f>
        <v>4.4222870987476598E-3</v>
      </c>
      <c r="I1736">
        <v>4.4222870987476728E-3</v>
      </c>
    </row>
    <row r="1737" spans="1:9" x14ac:dyDescent="0.25">
      <c r="A1737">
        <v>249</v>
      </c>
      <c r="B1737" t="s">
        <v>990</v>
      </c>
      <c r="C1737" t="s">
        <v>10</v>
      </c>
      <c r="D1737" t="s">
        <v>23</v>
      </c>
      <c r="E1737">
        <f>1/87</f>
        <v>1.1494252873563218E-2</v>
      </c>
      <c r="F1737">
        <v>275</v>
      </c>
      <c r="G1737">
        <f>LOG(382/(275+1))</f>
        <v>0.14115428084649101</v>
      </c>
      <c r="H1737">
        <f>0.0114942528735632*0.325019742889425</f>
        <v>3.7358591136715451E-3</v>
      </c>
      <c r="I1737">
        <v>3.7358591136715529E-3</v>
      </c>
    </row>
    <row r="1738" spans="1:9" x14ac:dyDescent="0.25">
      <c r="A1738">
        <v>249</v>
      </c>
      <c r="B1738" t="s">
        <v>990</v>
      </c>
      <c r="C1738" t="s">
        <v>10</v>
      </c>
      <c r="D1738" t="s">
        <v>993</v>
      </c>
      <c r="E1738">
        <f>1/87</f>
        <v>1.1494252873563218E-2</v>
      </c>
      <c r="F1738">
        <v>1</v>
      </c>
      <c r="G1738">
        <f>LOG(382/(1+1))</f>
        <v>2.2810333672477277</v>
      </c>
      <c r="H1738">
        <f>0.0114942528735632*5.25227342804663</f>
        <v>6.0370958943064608E-2</v>
      </c>
      <c r="I1738">
        <v>6.0370958943064712E-2</v>
      </c>
    </row>
    <row r="1739" spans="1:9" x14ac:dyDescent="0.25">
      <c r="A1739">
        <v>249</v>
      </c>
      <c r="B1739" t="s">
        <v>990</v>
      </c>
      <c r="C1739" t="s">
        <v>10</v>
      </c>
      <c r="D1739" t="s">
        <v>76</v>
      </c>
      <c r="E1739">
        <f>2/87</f>
        <v>2.2988505747126436E-2</v>
      </c>
      <c r="F1739">
        <v>140</v>
      </c>
      <c r="G1739">
        <f>LOG(382/(140+1))</f>
        <v>0.43284425025632883</v>
      </c>
      <c r="H1739">
        <f>0.0229885057471264*0.996660718228407</f>
        <v>2.2911740648928858E-2</v>
      </c>
      <c r="I1739">
        <v>2.29117406489289E-2</v>
      </c>
    </row>
    <row r="1740" spans="1:9" x14ac:dyDescent="0.25">
      <c r="A1740">
        <v>249</v>
      </c>
      <c r="B1740" t="s">
        <v>990</v>
      </c>
      <c r="C1740" t="s">
        <v>10</v>
      </c>
      <c r="D1740" t="s">
        <v>77</v>
      </c>
      <c r="E1740">
        <f>3/87</f>
        <v>3.4482758620689655E-2</v>
      </c>
      <c r="F1740">
        <v>148</v>
      </c>
      <c r="G1740">
        <f>LOG(382/(148+1))</f>
        <v>0.40887709449943471</v>
      </c>
      <c r="H1740">
        <f>0.0344827586206896*0.941474302661116</f>
        <v>3.2464631126245327E-2</v>
      </c>
      <c r="I1740">
        <v>3.2464631126245383E-2</v>
      </c>
    </row>
    <row r="1741" spans="1:9" x14ac:dyDescent="0.25">
      <c r="A1741">
        <v>249</v>
      </c>
      <c r="B1741" t="s">
        <v>990</v>
      </c>
      <c r="C1741" t="s">
        <v>10</v>
      </c>
      <c r="D1741" t="s">
        <v>78</v>
      </c>
      <c r="E1741">
        <f>1/87</f>
        <v>1.1494252873563218E-2</v>
      </c>
      <c r="F1741">
        <v>122</v>
      </c>
      <c r="G1741">
        <f>LOG(382/(122+1))</f>
        <v>0.49215825147231079</v>
      </c>
      <c r="H1741">
        <f>0.0114942528735632*1.13323625323415</f>
        <v>1.3025704060162622E-2</v>
      </c>
      <c r="I1741">
        <v>1.302570406016273E-2</v>
      </c>
    </row>
    <row r="1742" spans="1:9" x14ac:dyDescent="0.25">
      <c r="A1742">
        <v>249</v>
      </c>
      <c r="B1742" t="s">
        <v>990</v>
      </c>
      <c r="C1742" t="s">
        <v>10</v>
      </c>
      <c r="D1742" t="s">
        <v>483</v>
      </c>
      <c r="E1742">
        <f>1/87</f>
        <v>1.1494252873563218E-2</v>
      </c>
      <c r="F1742">
        <v>61</v>
      </c>
      <c r="G1742">
        <f>LOG(382/(61+1))</f>
        <v>0.7896716734134549</v>
      </c>
      <c r="H1742">
        <f>0.0114942528735632*1.81828622356148</f>
        <v>2.0899841650131919E-2</v>
      </c>
      <c r="I1742">
        <v>2.0899841650131999E-2</v>
      </c>
    </row>
    <row r="1743" spans="1:9" x14ac:dyDescent="0.25">
      <c r="A1743">
        <v>249</v>
      </c>
      <c r="B1743" t="s">
        <v>990</v>
      </c>
      <c r="C1743" t="s">
        <v>10</v>
      </c>
      <c r="D1743" t="s">
        <v>994</v>
      </c>
      <c r="E1743">
        <f>1/87</f>
        <v>1.1494252873563218E-2</v>
      </c>
      <c r="F1743">
        <v>37</v>
      </c>
      <c r="G1743">
        <f>LOG(382/(37+1))</f>
        <v>1.0022797662948986</v>
      </c>
      <c r="H1743">
        <f>0.0114942528735632*2.30783444888018</f>
        <v>2.652683274574915E-2</v>
      </c>
      <c r="I1743">
        <v>2.6526832745749299E-2</v>
      </c>
    </row>
    <row r="1744" spans="1:9" x14ac:dyDescent="0.25">
      <c r="A1744">
        <v>249</v>
      </c>
      <c r="B1744" t="s">
        <v>990</v>
      </c>
      <c r="C1744" t="s">
        <v>10</v>
      </c>
      <c r="D1744" t="s">
        <v>247</v>
      </c>
      <c r="E1744">
        <f>4/87</f>
        <v>4.5977011494252873E-2</v>
      </c>
      <c r="F1744">
        <v>121</v>
      </c>
      <c r="G1744">
        <f>LOG(382/(121+1))</f>
        <v>0.49570353223696051</v>
      </c>
      <c r="H1744">
        <f>0.0459770114942528*1.14139956387331</f>
        <v>5.2478140867738304E-2</v>
      </c>
      <c r="I1744">
        <v>5.247814086773879E-2</v>
      </c>
    </row>
    <row r="1745" spans="1:9" x14ac:dyDescent="0.25">
      <c r="A1745">
        <v>249</v>
      </c>
      <c r="B1745" t="s">
        <v>990</v>
      </c>
      <c r="C1745" t="s">
        <v>10</v>
      </c>
      <c r="D1745" t="s">
        <v>39</v>
      </c>
      <c r="E1745">
        <f>5/87</f>
        <v>5.7471264367816091E-2</v>
      </c>
      <c r="F1745">
        <v>145</v>
      </c>
      <c r="G1745">
        <f>LOG(382/(145+1))</f>
        <v>0.41771050712727159</v>
      </c>
      <c r="H1745">
        <f>0.057471264367816*0.961813986898238</f>
        <v>5.5276665913691757E-2</v>
      </c>
      <c r="I1745">
        <v>5.5276665913691882E-2</v>
      </c>
    </row>
    <row r="1746" spans="1:9" x14ac:dyDescent="0.25">
      <c r="A1746">
        <v>249</v>
      </c>
      <c r="B1746" t="s">
        <v>990</v>
      </c>
      <c r="C1746" t="s">
        <v>10</v>
      </c>
      <c r="D1746" t="s">
        <v>216</v>
      </c>
      <c r="E1746">
        <f t="shared" ref="E1746:E1751" si="76">1/87</f>
        <v>1.1494252873563218E-2</v>
      </c>
      <c r="F1746">
        <v>63</v>
      </c>
      <c r="G1746">
        <f>LOG(382/(63+1))</f>
        <v>0.7758833889278216</v>
      </c>
      <c r="H1746">
        <f>0.0114942528735632*1.7865375252469</f>
        <v>2.0534914083297665E-2</v>
      </c>
      <c r="I1746">
        <v>2.0534914083297742E-2</v>
      </c>
    </row>
    <row r="1747" spans="1:9" x14ac:dyDescent="0.25">
      <c r="A1747">
        <v>249</v>
      </c>
      <c r="B1747" t="s">
        <v>990</v>
      </c>
      <c r="C1747" t="s">
        <v>10</v>
      </c>
      <c r="D1747" t="s">
        <v>119</v>
      </c>
      <c r="E1747">
        <f t="shared" si="76"/>
        <v>1.1494252873563218E-2</v>
      </c>
      <c r="F1747">
        <v>79</v>
      </c>
      <c r="G1747">
        <f>LOG(382/(79+1))</f>
        <v>0.67897337591976514</v>
      </c>
      <c r="H1747">
        <f>0.0114942528735632*1.56339397393269</f>
        <v>1.7970045677387213E-2</v>
      </c>
      <c r="I1747">
        <v>1.7970045677387279E-2</v>
      </c>
    </row>
    <row r="1748" spans="1:9" x14ac:dyDescent="0.25">
      <c r="A1748">
        <v>249</v>
      </c>
      <c r="B1748" t="s">
        <v>990</v>
      </c>
      <c r="C1748" t="s">
        <v>10</v>
      </c>
      <c r="D1748" t="s">
        <v>995</v>
      </c>
      <c r="E1748">
        <f t="shared" si="76"/>
        <v>1.1494252873563218E-2</v>
      </c>
      <c r="F1748">
        <v>2</v>
      </c>
      <c r="G1748">
        <f>LOG(382/(2+1))</f>
        <v>2.1049421081920463</v>
      </c>
      <c r="H1748">
        <f>0.0114942528735632*4.84680831993846</f>
        <v>5.5710440459062663E-2</v>
      </c>
      <c r="I1748">
        <v>5.5710440459062822E-2</v>
      </c>
    </row>
    <row r="1749" spans="1:9" x14ac:dyDescent="0.25">
      <c r="A1749">
        <v>249</v>
      </c>
      <c r="B1749" t="s">
        <v>990</v>
      </c>
      <c r="C1749" t="s">
        <v>10</v>
      </c>
      <c r="D1749" t="s">
        <v>996</v>
      </c>
      <c r="E1749">
        <f t="shared" si="76"/>
        <v>1.1494252873563218E-2</v>
      </c>
      <c r="F1749">
        <v>1</v>
      </c>
      <c r="G1749">
        <f>LOG(382/(1+1))</f>
        <v>2.2810333672477277</v>
      </c>
      <c r="H1749">
        <f>0.0114942528735632*5.25227342804663</f>
        <v>6.0370958943064608E-2</v>
      </c>
      <c r="I1749">
        <v>6.0370958943064712E-2</v>
      </c>
    </row>
    <row r="1750" spans="1:9" x14ac:dyDescent="0.25">
      <c r="A1750">
        <v>249</v>
      </c>
      <c r="B1750" t="s">
        <v>990</v>
      </c>
      <c r="C1750" t="s">
        <v>10</v>
      </c>
      <c r="D1750" t="s">
        <v>25</v>
      </c>
      <c r="E1750">
        <f t="shared" si="76"/>
        <v>1.1494252873563218E-2</v>
      </c>
      <c r="F1750">
        <v>106</v>
      </c>
      <c r="G1750">
        <f>LOG(382/(106+1))</f>
        <v>0.55267958522649907</v>
      </c>
      <c r="H1750">
        <f>0.0114942528735632*1.27259177414466</f>
        <v>1.4627491656835148E-2</v>
      </c>
      <c r="I1750">
        <v>1.462749165683528E-2</v>
      </c>
    </row>
    <row r="1751" spans="1:9" x14ac:dyDescent="0.25">
      <c r="A1751">
        <v>249</v>
      </c>
      <c r="B1751" t="s">
        <v>990</v>
      </c>
      <c r="C1751" t="s">
        <v>10</v>
      </c>
      <c r="D1751" t="s">
        <v>997</v>
      </c>
      <c r="E1751">
        <f t="shared" si="76"/>
        <v>1.1494252873563218E-2</v>
      </c>
      <c r="F1751">
        <v>1</v>
      </c>
      <c r="G1751">
        <f>LOG(382/(1+1))</f>
        <v>2.2810333672477277</v>
      </c>
      <c r="H1751">
        <f>0.0114942528735632*5.25227342804663</f>
        <v>6.0370958943064608E-2</v>
      </c>
      <c r="I1751">
        <v>6.0370958943064712E-2</v>
      </c>
    </row>
    <row r="1752" spans="1:9" x14ac:dyDescent="0.25">
      <c r="A1752">
        <v>249</v>
      </c>
      <c r="B1752" t="s">
        <v>990</v>
      </c>
      <c r="C1752" t="s">
        <v>10</v>
      </c>
      <c r="D1752" t="s">
        <v>11</v>
      </c>
      <c r="E1752">
        <f>4/87</f>
        <v>4.5977011494252873E-2</v>
      </c>
      <c r="F1752">
        <v>83</v>
      </c>
      <c r="G1752">
        <f>LOG(382/(83+1))</f>
        <v>0.65778407684982709</v>
      </c>
      <c r="H1752">
        <f>0.0459770114942528*1.51460380976326</f>
        <v>6.9636956770724484E-2</v>
      </c>
      <c r="I1752">
        <v>6.9636956770724665E-2</v>
      </c>
    </row>
    <row r="1753" spans="1:9" x14ac:dyDescent="0.25">
      <c r="A1753">
        <v>249</v>
      </c>
      <c r="B1753" t="s">
        <v>990</v>
      </c>
      <c r="C1753" t="s">
        <v>10</v>
      </c>
      <c r="D1753" t="s">
        <v>998</v>
      </c>
      <c r="E1753">
        <f>1/87</f>
        <v>1.1494252873563218E-2</v>
      </c>
      <c r="F1753">
        <v>1</v>
      </c>
      <c r="G1753">
        <f>LOG(382/(1+1))</f>
        <v>2.2810333672477277</v>
      </c>
      <c r="H1753">
        <f>0.0114942528735632*5.25227342804663</f>
        <v>6.0370958943064608E-2</v>
      </c>
      <c r="I1753">
        <v>6.0370958943064712E-2</v>
      </c>
    </row>
    <row r="1754" spans="1:9" x14ac:dyDescent="0.25">
      <c r="A1754">
        <v>249</v>
      </c>
      <c r="B1754" t="s">
        <v>990</v>
      </c>
      <c r="C1754" t="s">
        <v>10</v>
      </c>
      <c r="D1754" t="s">
        <v>999</v>
      </c>
      <c r="E1754">
        <f>1/87</f>
        <v>1.1494252873563218E-2</v>
      </c>
      <c r="F1754">
        <v>3</v>
      </c>
      <c r="G1754">
        <f>LOG(382/(3+1))</f>
        <v>1.9800033715837464</v>
      </c>
      <c r="H1754">
        <f>0.0114942528735632*4.55912624748668</f>
        <v>5.2403749971111177E-2</v>
      </c>
      <c r="I1754">
        <v>5.2403749971111323E-2</v>
      </c>
    </row>
    <row r="1755" spans="1:9" x14ac:dyDescent="0.25">
      <c r="A1755">
        <v>249</v>
      </c>
      <c r="B1755" t="s">
        <v>990</v>
      </c>
      <c r="C1755" t="s">
        <v>10</v>
      </c>
      <c r="D1755" t="s">
        <v>12</v>
      </c>
      <c r="E1755">
        <f>3/87</f>
        <v>3.4482758620689655E-2</v>
      </c>
      <c r="F1755">
        <v>28</v>
      </c>
      <c r="G1755">
        <f>LOG(382/(28+1))</f>
        <v>1.1196653650127526</v>
      </c>
      <c r="H1755">
        <f>0.0344827586206896*2.5781247786201</f>
        <v>8.8900854435175716E-2</v>
      </c>
      <c r="I1755">
        <v>8.8900854435175897E-2</v>
      </c>
    </row>
    <row r="1756" spans="1:9" x14ac:dyDescent="0.25">
      <c r="A1756">
        <v>249</v>
      </c>
      <c r="B1756" t="s">
        <v>990</v>
      </c>
      <c r="C1756" t="s">
        <v>10</v>
      </c>
      <c r="D1756" t="s">
        <v>204</v>
      </c>
      <c r="E1756">
        <f>2/87</f>
        <v>2.2988505747126436E-2</v>
      </c>
      <c r="F1756">
        <v>166</v>
      </c>
      <c r="G1756">
        <f>LOG(382/(166+1))</f>
        <v>0.35934689176412549</v>
      </c>
      <c r="H1756">
        <f>0.0229885057471264*0.82742679618982</f>
        <v>1.902130565953606E-2</v>
      </c>
      <c r="I1756">
        <v>1.9021305659536091E-2</v>
      </c>
    </row>
    <row r="1757" spans="1:9" x14ac:dyDescent="0.25">
      <c r="A1757">
        <v>249</v>
      </c>
      <c r="B1757" t="s">
        <v>990</v>
      </c>
      <c r="C1757" t="s">
        <v>10</v>
      </c>
      <c r="D1757" t="s">
        <v>331</v>
      </c>
      <c r="E1757">
        <f>4/87</f>
        <v>4.5977011494252873E-2</v>
      </c>
      <c r="F1757">
        <v>130</v>
      </c>
      <c r="G1757">
        <f>LOG(382/(130+1))</f>
        <v>0.46479206725594452</v>
      </c>
      <c r="H1757">
        <f>0.0459770114942528*1.07022328540542</f>
        <v>4.9205668294501993E-2</v>
      </c>
      <c r="I1757">
        <v>4.9205668294502243E-2</v>
      </c>
    </row>
    <row r="1758" spans="1:9" x14ac:dyDescent="0.25">
      <c r="A1758">
        <v>249</v>
      </c>
      <c r="B1758" t="s">
        <v>990</v>
      </c>
      <c r="C1758" t="s">
        <v>10</v>
      </c>
      <c r="D1758" t="s">
        <v>1000</v>
      </c>
      <c r="E1758">
        <f t="shared" ref="E1758:E1769" si="77">1/87</f>
        <v>1.1494252873563218E-2</v>
      </c>
      <c r="F1758">
        <v>3</v>
      </c>
      <c r="G1758">
        <f>LOG(382/(3+1))</f>
        <v>1.9800033715837464</v>
      </c>
      <c r="H1758">
        <f>0.0114942528735632*4.55912624748668</f>
        <v>5.2403749971111177E-2</v>
      </c>
      <c r="I1758">
        <v>5.2403749971111323E-2</v>
      </c>
    </row>
    <row r="1759" spans="1:9" x14ac:dyDescent="0.25">
      <c r="A1759">
        <v>249</v>
      </c>
      <c r="B1759" t="s">
        <v>990</v>
      </c>
      <c r="C1759" t="s">
        <v>10</v>
      </c>
      <c r="D1759" t="s">
        <v>1001</v>
      </c>
      <c r="E1759">
        <f t="shared" si="77"/>
        <v>1.1494252873563218E-2</v>
      </c>
      <c r="F1759">
        <v>1</v>
      </c>
      <c r="G1759">
        <f>LOG(382/(1+1))</f>
        <v>2.2810333672477277</v>
      </c>
      <c r="H1759">
        <f>0.0114942528735632*5.25227342804663</f>
        <v>6.0370958943064608E-2</v>
      </c>
      <c r="I1759">
        <v>6.0370958943064712E-2</v>
      </c>
    </row>
    <row r="1760" spans="1:9" x14ac:dyDescent="0.25">
      <c r="A1760">
        <v>249</v>
      </c>
      <c r="B1760" t="s">
        <v>990</v>
      </c>
      <c r="C1760" t="s">
        <v>10</v>
      </c>
      <c r="D1760" t="s">
        <v>939</v>
      </c>
      <c r="E1760">
        <f t="shared" si="77"/>
        <v>1.1494252873563218E-2</v>
      </c>
      <c r="F1760">
        <v>35</v>
      </c>
      <c r="G1760">
        <f>LOG(382/(35+1))</f>
        <v>1.0257608621444214</v>
      </c>
      <c r="H1760">
        <f>0.0114942528735632*2.36190167015046</f>
        <v>2.7148295059200644E-2</v>
      </c>
      <c r="I1760">
        <v>2.7148295059200741E-2</v>
      </c>
    </row>
    <row r="1761" spans="1:9" x14ac:dyDescent="0.25">
      <c r="A1761">
        <v>249</v>
      </c>
      <c r="B1761" t="s">
        <v>990</v>
      </c>
      <c r="C1761" t="s">
        <v>10</v>
      </c>
      <c r="D1761" t="s">
        <v>1002</v>
      </c>
      <c r="E1761">
        <f t="shared" si="77"/>
        <v>1.1494252873563218E-2</v>
      </c>
      <c r="F1761">
        <v>2</v>
      </c>
      <c r="G1761">
        <f>LOG(382/(2+1))</f>
        <v>2.1049421081920463</v>
      </c>
      <c r="H1761">
        <f>0.0114942528735632*4.84680831993846</f>
        <v>5.5710440459062663E-2</v>
      </c>
      <c r="I1761">
        <v>5.5710440459062822E-2</v>
      </c>
    </row>
    <row r="1762" spans="1:9" x14ac:dyDescent="0.25">
      <c r="A1762">
        <v>249</v>
      </c>
      <c r="B1762" t="s">
        <v>990</v>
      </c>
      <c r="C1762" t="s">
        <v>10</v>
      </c>
      <c r="D1762" t="s">
        <v>1003</v>
      </c>
      <c r="E1762">
        <f t="shared" si="77"/>
        <v>1.1494252873563218E-2</v>
      </c>
      <c r="F1762">
        <v>3</v>
      </c>
      <c r="G1762">
        <f>LOG(382/(3+1))</f>
        <v>1.9800033715837464</v>
      </c>
      <c r="H1762">
        <f>0.0114942528735632*4.55912624748668</f>
        <v>5.2403749971111177E-2</v>
      </c>
      <c r="I1762">
        <v>5.2403749971111323E-2</v>
      </c>
    </row>
    <row r="1763" spans="1:9" x14ac:dyDescent="0.25">
      <c r="A1763">
        <v>249</v>
      </c>
      <c r="B1763" t="s">
        <v>990</v>
      </c>
      <c r="C1763" t="s">
        <v>10</v>
      </c>
      <c r="D1763" t="s">
        <v>1004</v>
      </c>
      <c r="E1763">
        <f t="shared" si="77"/>
        <v>1.1494252873563218E-2</v>
      </c>
      <c r="F1763">
        <v>1</v>
      </c>
      <c r="G1763">
        <f>LOG(382/(1+1))</f>
        <v>2.2810333672477277</v>
      </c>
      <c r="H1763">
        <f>0.0114942528735632*5.25227342804663</f>
        <v>6.0370958943064608E-2</v>
      </c>
      <c r="I1763">
        <v>6.0370958943064712E-2</v>
      </c>
    </row>
    <row r="1764" spans="1:9" x14ac:dyDescent="0.25">
      <c r="A1764">
        <v>249</v>
      </c>
      <c r="B1764" t="s">
        <v>990</v>
      </c>
      <c r="C1764" t="s">
        <v>10</v>
      </c>
      <c r="D1764" t="s">
        <v>1005</v>
      </c>
      <c r="E1764">
        <f t="shared" si="77"/>
        <v>1.1494252873563218E-2</v>
      </c>
      <c r="F1764">
        <v>1</v>
      </c>
      <c r="G1764">
        <f>LOG(382/(1+1))</f>
        <v>2.2810333672477277</v>
      </c>
      <c r="H1764">
        <f>0.0114942528735632*5.25227342804663</f>
        <v>6.0370958943064608E-2</v>
      </c>
      <c r="I1764">
        <v>6.0370958943064712E-2</v>
      </c>
    </row>
    <row r="1765" spans="1:9" x14ac:dyDescent="0.25">
      <c r="A1765">
        <v>249</v>
      </c>
      <c r="B1765" t="s">
        <v>990</v>
      </c>
      <c r="C1765" t="s">
        <v>10</v>
      </c>
      <c r="D1765" t="s">
        <v>1006</v>
      </c>
      <c r="E1765">
        <f t="shared" si="77"/>
        <v>1.1494252873563218E-2</v>
      </c>
      <c r="F1765">
        <v>1</v>
      </c>
      <c r="G1765">
        <f>LOG(382/(1+1))</f>
        <v>2.2810333672477277</v>
      </c>
      <c r="H1765">
        <f>0.0114942528735632*5.25227342804663</f>
        <v>6.0370958943064608E-2</v>
      </c>
      <c r="I1765">
        <v>6.0370958943064712E-2</v>
      </c>
    </row>
    <row r="1766" spans="1:9" x14ac:dyDescent="0.25">
      <c r="A1766">
        <v>249</v>
      </c>
      <c r="B1766" t="s">
        <v>990</v>
      </c>
      <c r="C1766" t="s">
        <v>10</v>
      </c>
      <c r="D1766" t="s">
        <v>764</v>
      </c>
      <c r="E1766">
        <f t="shared" si="77"/>
        <v>1.1494252873563218E-2</v>
      </c>
      <c r="F1766">
        <v>57</v>
      </c>
      <c r="G1766">
        <f>LOG(382/(57+1))</f>
        <v>0.81863536934877146</v>
      </c>
      <c r="H1766">
        <f>0.0114942528735632*1.88497759806015</f>
        <v>2.1666409173105135E-2</v>
      </c>
      <c r="I1766">
        <v>2.166640917310524E-2</v>
      </c>
    </row>
    <row r="1767" spans="1:9" x14ac:dyDescent="0.25">
      <c r="A1767">
        <v>249</v>
      </c>
      <c r="B1767" t="s">
        <v>990</v>
      </c>
      <c r="C1767" t="s">
        <v>10</v>
      </c>
      <c r="D1767" t="s">
        <v>133</v>
      </c>
      <c r="E1767">
        <f t="shared" si="77"/>
        <v>1.1494252873563218E-2</v>
      </c>
      <c r="F1767">
        <v>142</v>
      </c>
      <c r="G1767">
        <f>LOG(382/(142+1))</f>
        <v>0.42672732544664693</v>
      </c>
      <c r="H1767">
        <f>0.0114942528735632*0.982575978346667</f>
        <v>1.1293976762605349E-2</v>
      </c>
      <c r="I1767">
        <v>1.1293976762605381E-2</v>
      </c>
    </row>
    <row r="1768" spans="1:9" x14ac:dyDescent="0.25">
      <c r="A1768">
        <v>249</v>
      </c>
      <c r="B1768" t="s">
        <v>990</v>
      </c>
      <c r="C1768" t="s">
        <v>10</v>
      </c>
      <c r="D1768" t="s">
        <v>1007</v>
      </c>
      <c r="E1768">
        <f t="shared" si="77"/>
        <v>1.1494252873563218E-2</v>
      </c>
      <c r="F1768">
        <v>1</v>
      </c>
      <c r="G1768">
        <f>LOG(382/(1+1))</f>
        <v>2.2810333672477277</v>
      </c>
      <c r="H1768">
        <f>0.0114942528735632*5.25227342804663</f>
        <v>6.0370958943064608E-2</v>
      </c>
      <c r="I1768">
        <v>6.0370958943064712E-2</v>
      </c>
    </row>
    <row r="1769" spans="1:9" x14ac:dyDescent="0.25">
      <c r="A1769">
        <v>249</v>
      </c>
      <c r="B1769" t="s">
        <v>990</v>
      </c>
      <c r="C1769" t="s">
        <v>10</v>
      </c>
      <c r="D1769" t="s">
        <v>1008</v>
      </c>
      <c r="E1769">
        <f t="shared" si="77"/>
        <v>1.1494252873563218E-2</v>
      </c>
      <c r="F1769">
        <v>3</v>
      </c>
      <c r="G1769">
        <f>LOG(382/(3+1))</f>
        <v>1.9800033715837464</v>
      </c>
      <c r="H1769">
        <f>0.0114942528735632*4.55912624748668</f>
        <v>5.2403749971111177E-2</v>
      </c>
      <c r="I1769">
        <v>5.2403749971111323E-2</v>
      </c>
    </row>
    <row r="1770" spans="1:9" x14ac:dyDescent="0.25">
      <c r="A1770">
        <v>249</v>
      </c>
      <c r="B1770" t="s">
        <v>990</v>
      </c>
      <c r="C1770" t="s">
        <v>10</v>
      </c>
      <c r="D1770" t="s">
        <v>53</v>
      </c>
      <c r="E1770">
        <f>2/87</f>
        <v>2.2988505747126436E-2</v>
      </c>
      <c r="F1770">
        <v>57</v>
      </c>
      <c r="G1770">
        <f>LOG(382/(57+1))</f>
        <v>0.81863536934877146</v>
      </c>
      <c r="H1770">
        <f>0.0229885057471264*1.88497759806015</f>
        <v>4.3332818346210271E-2</v>
      </c>
      <c r="I1770">
        <v>4.3332818346210479E-2</v>
      </c>
    </row>
    <row r="1771" spans="1:9" x14ac:dyDescent="0.25">
      <c r="A1771">
        <v>249</v>
      </c>
      <c r="B1771" t="s">
        <v>990</v>
      </c>
      <c r="C1771" t="s">
        <v>10</v>
      </c>
      <c r="D1771" t="s">
        <v>406</v>
      </c>
      <c r="E1771">
        <f t="shared" ref="E1771:E1780" si="78">1/87</f>
        <v>1.1494252873563218E-2</v>
      </c>
      <c r="F1771">
        <v>10</v>
      </c>
      <c r="G1771">
        <f>LOG(382/(10+1))</f>
        <v>1.5406706777534838</v>
      </c>
      <c r="H1771">
        <f>0.0114942528735632*3.5475253358082</f>
        <v>4.0776153285151655E-2</v>
      </c>
      <c r="I1771">
        <v>4.077615328515178E-2</v>
      </c>
    </row>
    <row r="1772" spans="1:9" x14ac:dyDescent="0.25">
      <c r="A1772">
        <v>249</v>
      </c>
      <c r="B1772" t="s">
        <v>990</v>
      </c>
      <c r="C1772" t="s">
        <v>10</v>
      </c>
      <c r="D1772" t="s">
        <v>207</v>
      </c>
      <c r="E1772">
        <f t="shared" si="78"/>
        <v>1.1494252873563218E-2</v>
      </c>
      <c r="F1772">
        <v>21</v>
      </c>
      <c r="G1772">
        <f>LOG(382/(21+1))</f>
        <v>1.2396406820895025</v>
      </c>
      <c r="H1772">
        <f>0.0114942528735632*2.85437815524825</f>
        <v>3.2808944313198217E-2</v>
      </c>
      <c r="I1772">
        <v>3.2808944313198377E-2</v>
      </c>
    </row>
    <row r="1773" spans="1:9" x14ac:dyDescent="0.25">
      <c r="A1773">
        <v>249</v>
      </c>
      <c r="B1773" t="s">
        <v>990</v>
      </c>
      <c r="C1773" t="s">
        <v>10</v>
      </c>
      <c r="D1773" t="s">
        <v>363</v>
      </c>
      <c r="E1773">
        <f t="shared" si="78"/>
        <v>1.1494252873563218E-2</v>
      </c>
      <c r="F1773">
        <v>36</v>
      </c>
      <c r="G1773">
        <f>LOG(382/(36+1))</f>
        <v>1.0138616388447137</v>
      </c>
      <c r="H1773">
        <f>0.0114942528735632*2.33450269596235</f>
        <v>2.6833364321406279E-2</v>
      </c>
      <c r="I1773">
        <v>2.6833364321406331E-2</v>
      </c>
    </row>
    <row r="1774" spans="1:9" x14ac:dyDescent="0.25">
      <c r="A1774">
        <v>249</v>
      </c>
      <c r="B1774" t="s">
        <v>990</v>
      </c>
      <c r="C1774" t="s">
        <v>10</v>
      </c>
      <c r="D1774" t="s">
        <v>243</v>
      </c>
      <c r="E1774">
        <f t="shared" si="78"/>
        <v>1.1494252873563218E-2</v>
      </c>
      <c r="F1774">
        <v>131</v>
      </c>
      <c r="G1774">
        <f>LOG(382/(131+1))</f>
        <v>0.46148943170585888</v>
      </c>
      <c r="H1774">
        <f>0.0114942528735632*1.0626186860202</f>
        <v>1.2214007885289636E-2</v>
      </c>
      <c r="I1774">
        <v>1.22140078852897E-2</v>
      </c>
    </row>
    <row r="1775" spans="1:9" x14ac:dyDescent="0.25">
      <c r="A1775">
        <v>249</v>
      </c>
      <c r="B1775" t="s">
        <v>990</v>
      </c>
      <c r="C1775" t="s">
        <v>10</v>
      </c>
      <c r="D1775" t="s">
        <v>237</v>
      </c>
      <c r="E1775">
        <f t="shared" si="78"/>
        <v>1.1494252873563218E-2</v>
      </c>
      <c r="F1775">
        <v>138</v>
      </c>
      <c r="G1775">
        <f>LOG(382/(138+1))</f>
        <v>0.43904856265761361</v>
      </c>
      <c r="H1775">
        <f>0.0114942528735632*1.01094667547588</f>
        <v>1.1620076729607796E-2</v>
      </c>
      <c r="I1775">
        <v>1.162007672960786E-2</v>
      </c>
    </row>
    <row r="1776" spans="1:9" x14ac:dyDescent="0.25">
      <c r="A1776">
        <v>249</v>
      </c>
      <c r="B1776" t="s">
        <v>990</v>
      </c>
      <c r="C1776" t="s">
        <v>10</v>
      </c>
      <c r="D1776" t="s">
        <v>458</v>
      </c>
      <c r="E1776">
        <f t="shared" si="78"/>
        <v>1.1494252873563218E-2</v>
      </c>
      <c r="F1776">
        <v>34</v>
      </c>
      <c r="G1776">
        <f>LOG(382/(34+1))</f>
        <v>1.037995318561433</v>
      </c>
      <c r="H1776">
        <f>0.0114942528735632*2.39007254711716</f>
        <v>2.747209824272593E-2</v>
      </c>
      <c r="I1776">
        <v>2.7472098242725989E-2</v>
      </c>
    </row>
    <row r="1777" spans="1:9" x14ac:dyDescent="0.25">
      <c r="A1777">
        <v>249</v>
      </c>
      <c r="B1777" t="s">
        <v>990</v>
      </c>
      <c r="C1777" t="s">
        <v>10</v>
      </c>
      <c r="D1777" t="s">
        <v>263</v>
      </c>
      <c r="E1777">
        <f t="shared" si="78"/>
        <v>1.1494252873563218E-2</v>
      </c>
      <c r="F1777">
        <v>41</v>
      </c>
      <c r="G1777">
        <f>LOG(382/(41+1))</f>
        <v>0.95881407251380824</v>
      </c>
      <c r="H1777">
        <f>0.0114942528735632*2.2077509903232</f>
        <v>2.5376448164634444E-2</v>
      </c>
      <c r="I1777">
        <v>2.5376448164634559E-2</v>
      </c>
    </row>
    <row r="1778" spans="1:9" x14ac:dyDescent="0.25">
      <c r="A1778">
        <v>249</v>
      </c>
      <c r="B1778" t="s">
        <v>990</v>
      </c>
      <c r="C1778" t="s">
        <v>10</v>
      </c>
      <c r="D1778" t="s">
        <v>471</v>
      </c>
      <c r="E1778">
        <f t="shared" si="78"/>
        <v>1.1494252873563218E-2</v>
      </c>
      <c r="F1778">
        <v>7</v>
      </c>
      <c r="G1778">
        <f>LOG(382/(7+1))</f>
        <v>1.6789733759197651</v>
      </c>
      <c r="H1778">
        <f>0.0114942528735632*3.86597906692673</f>
        <v>4.4436540999157746E-2</v>
      </c>
      <c r="I1778">
        <v>4.443654099915792E-2</v>
      </c>
    </row>
    <row r="1779" spans="1:9" x14ac:dyDescent="0.25">
      <c r="A1779">
        <v>249</v>
      </c>
      <c r="B1779" t="s">
        <v>990</v>
      </c>
      <c r="C1779" t="s">
        <v>10</v>
      </c>
      <c r="D1779" t="s">
        <v>1009</v>
      </c>
      <c r="E1779">
        <f t="shared" si="78"/>
        <v>1.1494252873563218E-2</v>
      </c>
      <c r="F1779">
        <v>1</v>
      </c>
      <c r="G1779">
        <f>LOG(382/(1+1))</f>
        <v>2.2810333672477277</v>
      </c>
      <c r="H1779">
        <f>0.0114942528735632*5.25227342804663</f>
        <v>6.0370958943064608E-2</v>
      </c>
      <c r="I1779">
        <v>6.0370958943064712E-2</v>
      </c>
    </row>
    <row r="1780" spans="1:9" x14ac:dyDescent="0.25">
      <c r="A1780">
        <v>249</v>
      </c>
      <c r="B1780" t="s">
        <v>990</v>
      </c>
      <c r="C1780" t="s">
        <v>10</v>
      </c>
      <c r="D1780" t="s">
        <v>183</v>
      </c>
      <c r="E1780">
        <f t="shared" si="78"/>
        <v>1.1494252873563218E-2</v>
      </c>
      <c r="F1780">
        <v>46</v>
      </c>
      <c r="G1780">
        <f>LOG(382/(46+1))</f>
        <v>0.90996550497599127</v>
      </c>
      <c r="H1780">
        <f>0.0114942528735632*2.09527300689651</f>
        <v>2.4083597780419616E-2</v>
      </c>
      <c r="I1780">
        <v>2.4083597780419731E-2</v>
      </c>
    </row>
    <row r="1781" spans="1:9" x14ac:dyDescent="0.25">
      <c r="A1781">
        <v>250</v>
      </c>
      <c r="B1781" t="s">
        <v>1010</v>
      </c>
      <c r="C1781" t="s">
        <v>48</v>
      </c>
      <c r="D1781" t="s">
        <v>179</v>
      </c>
      <c r="E1781">
        <f>3/74</f>
        <v>4.0540540540540543E-2</v>
      </c>
      <c r="F1781">
        <v>15</v>
      </c>
      <c r="G1781">
        <f>LOG(382/(15+1))</f>
        <v>1.3779433802557839</v>
      </c>
      <c r="H1781">
        <f>0.0405405405405405*3.17283188636679</f>
        <v>0.12862831971757244</v>
      </c>
      <c r="I1781">
        <v>0.12862831971757269</v>
      </c>
    </row>
    <row r="1782" spans="1:9" x14ac:dyDescent="0.25">
      <c r="A1782">
        <v>250</v>
      </c>
      <c r="B1782" t="s">
        <v>1010</v>
      </c>
      <c r="C1782" t="s">
        <v>48</v>
      </c>
      <c r="D1782" t="s">
        <v>104</v>
      </c>
      <c r="E1782">
        <f>5/74</f>
        <v>6.7567567567567571E-2</v>
      </c>
      <c r="F1782">
        <v>49</v>
      </c>
      <c r="G1782">
        <f>LOG(382/(49+1))</f>
        <v>0.88309335857568994</v>
      </c>
      <c r="H1782">
        <f>0.0675675675675675*2.03339760317842</f>
        <v>0.1373917299444877</v>
      </c>
      <c r="I1782">
        <v>0.13739172994448839</v>
      </c>
    </row>
    <row r="1783" spans="1:9" x14ac:dyDescent="0.25">
      <c r="A1783">
        <v>250</v>
      </c>
      <c r="B1783" t="s">
        <v>1010</v>
      </c>
      <c r="C1783" t="s">
        <v>48</v>
      </c>
      <c r="D1783" t="s">
        <v>606</v>
      </c>
      <c r="E1783">
        <f>7/74</f>
        <v>9.45945945945946E-2</v>
      </c>
      <c r="F1783">
        <v>3</v>
      </c>
      <c r="G1783">
        <f>LOG(382/(3+1))</f>
        <v>1.9800033715837464</v>
      </c>
      <c r="H1783">
        <f>0.0945945945945946*4.55912624748668</f>
        <v>0.43126869908657789</v>
      </c>
      <c r="I1783">
        <v>0.43126869908657828</v>
      </c>
    </row>
    <row r="1784" spans="1:9" x14ac:dyDescent="0.25">
      <c r="A1784">
        <v>250</v>
      </c>
      <c r="B1784" t="s">
        <v>1010</v>
      </c>
      <c r="C1784" t="s">
        <v>48</v>
      </c>
      <c r="D1784" t="s">
        <v>1011</v>
      </c>
      <c r="E1784">
        <f>1/74</f>
        <v>1.3513513513513514E-2</v>
      </c>
      <c r="F1784">
        <v>2</v>
      </c>
      <c r="G1784">
        <f>LOG(382/(2+1))</f>
        <v>2.1049421081920463</v>
      </c>
      <c r="H1784">
        <f>0.0135135135135135*4.84680831993846</f>
        <v>6.5497409728898046E-2</v>
      </c>
      <c r="I1784">
        <v>6.5497409728898184E-2</v>
      </c>
    </row>
    <row r="1785" spans="1:9" x14ac:dyDescent="0.25">
      <c r="A1785">
        <v>250</v>
      </c>
      <c r="B1785" t="s">
        <v>1010</v>
      </c>
      <c r="C1785" t="s">
        <v>48</v>
      </c>
      <c r="D1785" t="s">
        <v>781</v>
      </c>
      <c r="E1785">
        <f>2/74</f>
        <v>2.7027027027027029E-2</v>
      </c>
      <c r="F1785">
        <v>8</v>
      </c>
      <c r="G1785">
        <f>LOG(382/(8+1))</f>
        <v>1.6278208534723839</v>
      </c>
      <c r="H1785">
        <f>0.027027027027027*3.74819603127035</f>
        <v>0.10130259543973909</v>
      </c>
      <c r="I1785">
        <v>0.10130259543973941</v>
      </c>
    </row>
    <row r="1786" spans="1:9" x14ac:dyDescent="0.25">
      <c r="A1786">
        <v>250</v>
      </c>
      <c r="B1786" t="s">
        <v>1010</v>
      </c>
      <c r="C1786" t="s">
        <v>48</v>
      </c>
      <c r="D1786" t="s">
        <v>58</v>
      </c>
      <c r="E1786">
        <f>1/74</f>
        <v>1.3513513513513514E-2</v>
      </c>
      <c r="F1786">
        <v>18</v>
      </c>
      <c r="G1786">
        <f>LOG(382/(18+1))</f>
        <v>1.3033097619588798</v>
      </c>
      <c r="H1786">
        <f>0.0135135135135135*3.00098162944013</f>
        <v>4.0553805803244962E-2</v>
      </c>
      <c r="I1786">
        <v>4.0553805803245073E-2</v>
      </c>
    </row>
    <row r="1787" spans="1:9" x14ac:dyDescent="0.25">
      <c r="A1787">
        <v>250</v>
      </c>
      <c r="B1787" t="s">
        <v>1010</v>
      </c>
      <c r="C1787" t="s">
        <v>48</v>
      </c>
      <c r="D1787" t="s">
        <v>650</v>
      </c>
      <c r="E1787">
        <f>2/74</f>
        <v>2.7027027027027029E-2</v>
      </c>
      <c r="F1787">
        <v>9</v>
      </c>
      <c r="G1787">
        <f>LOG(382/(9+1))</f>
        <v>1.5820633629117087</v>
      </c>
      <c r="H1787">
        <f>0.027027027027027*3.64283551561252</f>
        <v>9.8455013935473415E-2</v>
      </c>
      <c r="I1787">
        <v>9.8455013935473776E-2</v>
      </c>
    </row>
    <row r="1788" spans="1:9" x14ac:dyDescent="0.25">
      <c r="A1788">
        <v>250</v>
      </c>
      <c r="B1788" t="s">
        <v>1010</v>
      </c>
      <c r="C1788" t="s">
        <v>48</v>
      </c>
      <c r="D1788" t="s">
        <v>607</v>
      </c>
      <c r="E1788">
        <f>1/74</f>
        <v>1.3513513513513514E-2</v>
      </c>
      <c r="F1788">
        <v>6</v>
      </c>
      <c r="G1788">
        <f>LOG(382/(6+1))</f>
        <v>1.736965322897452</v>
      </c>
      <c r="H1788">
        <f>0.0135135135135135*3.99951045955126</f>
        <v>5.4047438642584544E-2</v>
      </c>
      <c r="I1788">
        <v>5.4047438642584621E-2</v>
      </c>
    </row>
    <row r="1789" spans="1:9" x14ac:dyDescent="0.25">
      <c r="A1789">
        <v>250</v>
      </c>
      <c r="B1789" t="s">
        <v>1010</v>
      </c>
      <c r="C1789" t="s">
        <v>48</v>
      </c>
      <c r="D1789" t="s">
        <v>52</v>
      </c>
      <c r="E1789">
        <f>2/74</f>
        <v>2.7027027027027029E-2</v>
      </c>
      <c r="F1789">
        <v>35</v>
      </c>
      <c r="G1789">
        <f>LOG(382/(35+1))</f>
        <v>1.0257608621444214</v>
      </c>
      <c r="H1789">
        <f>0.027027027027027*2.36190167015046</f>
        <v>6.3835180274336698E-2</v>
      </c>
      <c r="I1789">
        <v>6.3835180274336892E-2</v>
      </c>
    </row>
    <row r="1790" spans="1:9" x14ac:dyDescent="0.25">
      <c r="A1790">
        <v>250</v>
      </c>
      <c r="B1790" t="s">
        <v>1010</v>
      </c>
      <c r="C1790" t="s">
        <v>48</v>
      </c>
      <c r="D1790" t="s">
        <v>131</v>
      </c>
      <c r="E1790">
        <f>3/74</f>
        <v>4.0540540540540543E-2</v>
      </c>
      <c r="F1790">
        <v>38</v>
      </c>
      <c r="G1790">
        <f>LOG(382/(38+1))</f>
        <v>0.99099875588520958</v>
      </c>
      <c r="H1790">
        <f>0.0405405405405405*2.28185896247692</f>
        <v>9.2507795776091264E-2</v>
      </c>
      <c r="I1790">
        <v>9.2507795776091722E-2</v>
      </c>
    </row>
    <row r="1791" spans="1:9" x14ac:dyDescent="0.25">
      <c r="A1791">
        <v>250</v>
      </c>
      <c r="B1791" t="s">
        <v>1010</v>
      </c>
      <c r="C1791" t="s">
        <v>48</v>
      </c>
      <c r="D1791" t="s">
        <v>50</v>
      </c>
      <c r="E1791">
        <f>4/74</f>
        <v>5.4054054054054057E-2</v>
      </c>
      <c r="F1791">
        <v>109</v>
      </c>
      <c r="G1791">
        <f>LOG(382/(109+1))</f>
        <v>0.54067067775348365</v>
      </c>
      <c r="H1791">
        <f>0.054054054054054*1.24494024281415</f>
        <v>6.7294067179143185E-2</v>
      </c>
      <c r="I1791">
        <v>6.7294067179143727E-2</v>
      </c>
    </row>
    <row r="1792" spans="1:9" x14ac:dyDescent="0.25">
      <c r="A1792">
        <v>250</v>
      </c>
      <c r="B1792" t="s">
        <v>1010</v>
      </c>
      <c r="C1792" t="s">
        <v>48</v>
      </c>
      <c r="D1792" t="s">
        <v>41</v>
      </c>
      <c r="E1792">
        <f>3/74</f>
        <v>4.0540540540540543E-2</v>
      </c>
      <c r="F1792">
        <v>195</v>
      </c>
      <c r="G1792">
        <f>LOG(382/(195+1))</f>
        <v>0.28980729155523272</v>
      </c>
      <c r="H1792">
        <f>0.0405405405405405*0.667305949376058</f>
        <v>2.7052943893623949E-2</v>
      </c>
      <c r="I1792">
        <v>2.705294389362398E-2</v>
      </c>
    </row>
    <row r="1793" spans="1:9" x14ac:dyDescent="0.25">
      <c r="A1793">
        <v>250</v>
      </c>
      <c r="B1793" t="s">
        <v>1010</v>
      </c>
      <c r="C1793" t="s">
        <v>48</v>
      </c>
      <c r="D1793" t="s">
        <v>1012</v>
      </c>
      <c r="E1793">
        <f t="shared" ref="E1793:E1798" si="79">1/74</f>
        <v>1.3513513513513514E-2</v>
      </c>
      <c r="F1793">
        <v>17</v>
      </c>
      <c r="G1793">
        <f>LOG(382/(17+1))</f>
        <v>1.3267908578084027</v>
      </c>
      <c r="H1793">
        <f>0.0135135135135135*3.05504885071041</f>
        <v>4.1284443928519016E-2</v>
      </c>
      <c r="I1793">
        <v>4.1284443928519057E-2</v>
      </c>
    </row>
    <row r="1794" spans="1:9" x14ac:dyDescent="0.25">
      <c r="A1794">
        <v>250</v>
      </c>
      <c r="B1794" t="s">
        <v>1010</v>
      </c>
      <c r="C1794" t="s">
        <v>48</v>
      </c>
      <c r="D1794" t="s">
        <v>42</v>
      </c>
      <c r="E1794">
        <f t="shared" si="79"/>
        <v>1.3513513513513514E-2</v>
      </c>
      <c r="F1794">
        <v>251</v>
      </c>
      <c r="G1794">
        <f>LOG(382/(251+1))</f>
        <v>0.18066282213016463</v>
      </c>
      <c r="H1794">
        <f>0.0135135135135135*0.415991521095151</f>
        <v>5.6215070418263588E-3</v>
      </c>
      <c r="I1794">
        <v>5.621507041826377E-3</v>
      </c>
    </row>
    <row r="1795" spans="1:9" x14ac:dyDescent="0.25">
      <c r="A1795">
        <v>250</v>
      </c>
      <c r="B1795" t="s">
        <v>1010</v>
      </c>
      <c r="C1795" t="s">
        <v>48</v>
      </c>
      <c r="D1795" t="s">
        <v>1013</v>
      </c>
      <c r="E1795">
        <f t="shared" si="79"/>
        <v>1.3513513513513514E-2</v>
      </c>
      <c r="F1795">
        <v>1</v>
      </c>
      <c r="G1795">
        <f>LOG(382/(1+1))</f>
        <v>2.2810333672477277</v>
      </c>
      <c r="H1795">
        <f>0.0135135135135135*5.25227342804663</f>
        <v>7.0976667946576005E-2</v>
      </c>
      <c r="I1795">
        <v>7.0976667946576089E-2</v>
      </c>
    </row>
    <row r="1796" spans="1:9" x14ac:dyDescent="0.25">
      <c r="A1796">
        <v>250</v>
      </c>
      <c r="B1796" t="s">
        <v>1010</v>
      </c>
      <c r="C1796" t="s">
        <v>48</v>
      </c>
      <c r="D1796" t="s">
        <v>1014</v>
      </c>
      <c r="E1796">
        <f t="shared" si="79"/>
        <v>1.3513513513513514E-2</v>
      </c>
      <c r="F1796">
        <v>1</v>
      </c>
      <c r="G1796">
        <f>LOG(382/(1+1))</f>
        <v>2.2810333672477277</v>
      </c>
      <c r="H1796">
        <f>0.0135135135135135*5.25227342804663</f>
        <v>7.0976667946576005E-2</v>
      </c>
      <c r="I1796">
        <v>7.0976667946576089E-2</v>
      </c>
    </row>
    <row r="1797" spans="1:9" x14ac:dyDescent="0.25">
      <c r="A1797">
        <v>250</v>
      </c>
      <c r="B1797" t="s">
        <v>1010</v>
      </c>
      <c r="C1797" t="s">
        <v>48</v>
      </c>
      <c r="D1797" t="s">
        <v>1015</v>
      </c>
      <c r="E1797">
        <f t="shared" si="79"/>
        <v>1.3513513513513514E-2</v>
      </c>
      <c r="F1797">
        <v>8</v>
      </c>
      <c r="G1797">
        <f>LOG(382/(8+1))</f>
        <v>1.6278208534723839</v>
      </c>
      <c r="H1797">
        <f>0.0135135135135135*3.74819603127035</f>
        <v>5.0651297719869544E-2</v>
      </c>
      <c r="I1797">
        <v>5.0651297719869683E-2</v>
      </c>
    </row>
    <row r="1798" spans="1:9" x14ac:dyDescent="0.25">
      <c r="A1798">
        <v>250</v>
      </c>
      <c r="B1798" t="s">
        <v>1010</v>
      </c>
      <c r="C1798" t="s">
        <v>48</v>
      </c>
      <c r="D1798" t="s">
        <v>552</v>
      </c>
      <c r="E1798">
        <f t="shared" si="79"/>
        <v>1.3513513513513514E-2</v>
      </c>
      <c r="F1798">
        <v>14</v>
      </c>
      <c r="G1798">
        <f>LOG(382/(14+1))</f>
        <v>1.4059721038560276</v>
      </c>
      <c r="H1798">
        <f>0.0135135135135135*3.23737040750436</f>
        <v>4.3748248750058873E-2</v>
      </c>
      <c r="I1798">
        <v>4.3748248750058991E-2</v>
      </c>
    </row>
    <row r="1799" spans="1:9" x14ac:dyDescent="0.25">
      <c r="A1799">
        <v>250</v>
      </c>
      <c r="B1799" t="s">
        <v>1010</v>
      </c>
      <c r="C1799" t="s">
        <v>48</v>
      </c>
      <c r="D1799" t="s">
        <v>920</v>
      </c>
      <c r="E1799">
        <f>2/74</f>
        <v>2.7027027027027029E-2</v>
      </c>
      <c r="F1799">
        <v>30</v>
      </c>
      <c r="G1799">
        <f>LOG(382/(30+1))</f>
        <v>1.090701669077436</v>
      </c>
      <c r="H1799">
        <f>0.027027027027027*2.51143340412142</f>
        <v>6.7876578489768052E-2</v>
      </c>
      <c r="I1799">
        <v>6.7876578489768358E-2</v>
      </c>
    </row>
    <row r="1800" spans="1:9" x14ac:dyDescent="0.25">
      <c r="A1800">
        <v>250</v>
      </c>
      <c r="B1800" t="s">
        <v>1010</v>
      </c>
      <c r="C1800" t="s">
        <v>48</v>
      </c>
      <c r="D1800" t="s">
        <v>17</v>
      </c>
      <c r="E1800">
        <f t="shared" ref="E1800:E1809" si="80">1/74</f>
        <v>1.3513513513513514E-2</v>
      </c>
      <c r="F1800">
        <v>169</v>
      </c>
      <c r="G1800">
        <f>LOG(382/(169+1))</f>
        <v>0.3516144415334348</v>
      </c>
      <c r="H1800">
        <f>0.0135135135135135*0.809622171556313</f>
        <v>1.094084015616638E-2</v>
      </c>
      <c r="I1800">
        <v>1.09408401561664E-2</v>
      </c>
    </row>
    <row r="1801" spans="1:9" x14ac:dyDescent="0.25">
      <c r="A1801">
        <v>250</v>
      </c>
      <c r="B1801" t="s">
        <v>1010</v>
      </c>
      <c r="C1801" t="s">
        <v>48</v>
      </c>
      <c r="D1801" t="s">
        <v>19</v>
      </c>
      <c r="E1801">
        <f t="shared" si="80"/>
        <v>1.3513513513513514E-2</v>
      </c>
      <c r="F1801">
        <v>220</v>
      </c>
      <c r="G1801">
        <f>LOG(382/(220+1))</f>
        <v>0.23767108922659805</v>
      </c>
      <c r="H1801">
        <f>0.0135135135135135*0.547257907088822</f>
        <v>7.3953771228219122E-3</v>
      </c>
      <c r="I1801">
        <v>7.3953771228219244E-3</v>
      </c>
    </row>
    <row r="1802" spans="1:9" x14ac:dyDescent="0.25">
      <c r="A1802">
        <v>250</v>
      </c>
      <c r="B1802" t="s">
        <v>1010</v>
      </c>
      <c r="C1802" t="s">
        <v>48</v>
      </c>
      <c r="D1802" t="s">
        <v>44</v>
      </c>
      <c r="E1802">
        <f t="shared" si="80"/>
        <v>1.3513513513513514E-2</v>
      </c>
      <c r="F1802">
        <v>151</v>
      </c>
      <c r="G1802">
        <f>LOG(382/(151+1))</f>
        <v>0.40021977496693617</v>
      </c>
      <c r="H1802">
        <f>0.0135135135135135*0.921540087760298</f>
        <v>1.2453244429193204E-2</v>
      </c>
      <c r="I1802">
        <v>1.245324442919323E-2</v>
      </c>
    </row>
    <row r="1803" spans="1:9" x14ac:dyDescent="0.25">
      <c r="A1803">
        <v>250</v>
      </c>
      <c r="B1803" t="s">
        <v>1010</v>
      </c>
      <c r="C1803" t="s">
        <v>48</v>
      </c>
      <c r="D1803" t="s">
        <v>22</v>
      </c>
      <c r="E1803">
        <f t="shared" si="80"/>
        <v>1.3513513513513514E-2</v>
      </c>
      <c r="F1803">
        <v>259</v>
      </c>
      <c r="G1803">
        <f>LOG(382/(259+1))</f>
        <v>0.16709001494089079</v>
      </c>
      <c r="H1803">
        <f>0.0135135135135135*0.384738977591047</f>
        <v>5.1991753728519814E-3</v>
      </c>
      <c r="I1803">
        <v>5.1991753728519944E-3</v>
      </c>
    </row>
    <row r="1804" spans="1:9" x14ac:dyDescent="0.25">
      <c r="A1804">
        <v>250</v>
      </c>
      <c r="B1804" t="s">
        <v>1010</v>
      </c>
      <c r="C1804" t="s">
        <v>48</v>
      </c>
      <c r="D1804" t="s">
        <v>23</v>
      </c>
      <c r="E1804">
        <f t="shared" si="80"/>
        <v>1.3513513513513514E-2</v>
      </c>
      <c r="F1804">
        <v>275</v>
      </c>
      <c r="G1804">
        <f>LOG(382/(275+1))</f>
        <v>0.14115428084649101</v>
      </c>
      <c r="H1804">
        <f>0.0135135135135135*0.325019742889425</f>
        <v>4.3921586876949281E-3</v>
      </c>
      <c r="I1804">
        <v>4.392158687694935E-3</v>
      </c>
    </row>
    <row r="1805" spans="1:9" x14ac:dyDescent="0.25">
      <c r="A1805">
        <v>250</v>
      </c>
      <c r="B1805" t="s">
        <v>1010</v>
      </c>
      <c r="C1805" t="s">
        <v>48</v>
      </c>
      <c r="D1805" t="s">
        <v>511</v>
      </c>
      <c r="E1805">
        <f t="shared" si="80"/>
        <v>1.3513513513513514E-2</v>
      </c>
      <c r="F1805">
        <v>2</v>
      </c>
      <c r="G1805">
        <f>LOG(382/(2+1))</f>
        <v>2.1049421081920463</v>
      </c>
      <c r="H1805">
        <f>0.0135135135135135*4.84680831993846</f>
        <v>6.5497409728898046E-2</v>
      </c>
      <c r="I1805">
        <v>6.5497409728898184E-2</v>
      </c>
    </row>
    <row r="1806" spans="1:9" x14ac:dyDescent="0.25">
      <c r="A1806">
        <v>250</v>
      </c>
      <c r="B1806" t="s">
        <v>1010</v>
      </c>
      <c r="C1806" t="s">
        <v>48</v>
      </c>
      <c r="D1806" t="s">
        <v>1016</v>
      </c>
      <c r="E1806">
        <f t="shared" si="80"/>
        <v>1.3513513513513514E-2</v>
      </c>
      <c r="F1806">
        <v>1</v>
      </c>
      <c r="G1806">
        <f>LOG(382/(1+1))</f>
        <v>2.2810333672477277</v>
      </c>
      <c r="H1806">
        <f>0.0135135135135135*5.25227342804663</f>
        <v>7.0976667946576005E-2</v>
      </c>
      <c r="I1806">
        <v>7.0976667946576089E-2</v>
      </c>
    </row>
    <row r="1807" spans="1:9" x14ac:dyDescent="0.25">
      <c r="A1807">
        <v>250</v>
      </c>
      <c r="B1807" t="s">
        <v>1010</v>
      </c>
      <c r="C1807" t="s">
        <v>48</v>
      </c>
      <c r="D1807" t="s">
        <v>105</v>
      </c>
      <c r="E1807">
        <f t="shared" si="80"/>
        <v>1.3513513513513514E-2</v>
      </c>
      <c r="F1807">
        <v>122</v>
      </c>
      <c r="G1807">
        <f>LOG(382/(122+1))</f>
        <v>0.49215825147231079</v>
      </c>
      <c r="H1807">
        <f>0.0135135135135135*1.13323625323415</f>
        <v>1.5314003422083094E-2</v>
      </c>
      <c r="I1807">
        <v>1.531400342208321E-2</v>
      </c>
    </row>
    <row r="1808" spans="1:9" x14ac:dyDescent="0.25">
      <c r="A1808">
        <v>250</v>
      </c>
      <c r="B1808" t="s">
        <v>1010</v>
      </c>
      <c r="C1808" t="s">
        <v>48</v>
      </c>
      <c r="D1808" t="s">
        <v>1017</v>
      </c>
      <c r="E1808">
        <f t="shared" si="80"/>
        <v>1.3513513513513514E-2</v>
      </c>
      <c r="F1808">
        <v>1</v>
      </c>
      <c r="G1808">
        <f>LOG(382/(1+1))</f>
        <v>2.2810333672477277</v>
      </c>
      <c r="H1808">
        <f>0.0135135135135135*5.25227342804663</f>
        <v>7.0976667946576005E-2</v>
      </c>
      <c r="I1808">
        <v>7.0976667946576089E-2</v>
      </c>
    </row>
    <row r="1809" spans="1:9" x14ac:dyDescent="0.25">
      <c r="A1809">
        <v>250</v>
      </c>
      <c r="B1809" t="s">
        <v>1010</v>
      </c>
      <c r="C1809" t="s">
        <v>48</v>
      </c>
      <c r="D1809" t="s">
        <v>188</v>
      </c>
      <c r="E1809">
        <f t="shared" si="80"/>
        <v>1.3513513513513514E-2</v>
      </c>
      <c r="F1809">
        <v>19</v>
      </c>
      <c r="G1809">
        <f>LOG(382/(19+1))</f>
        <v>1.2810333672477277</v>
      </c>
      <c r="H1809">
        <f>0.0135135135135135*2.94968833505258</f>
        <v>3.9860653176386179E-2</v>
      </c>
      <c r="I1809">
        <v>3.9860653176386283E-2</v>
      </c>
    </row>
    <row r="1810" spans="1:9" x14ac:dyDescent="0.25">
      <c r="A1810">
        <v>250</v>
      </c>
      <c r="B1810" t="s">
        <v>1010</v>
      </c>
      <c r="C1810" t="s">
        <v>48</v>
      </c>
      <c r="D1810" t="s">
        <v>189</v>
      </c>
      <c r="E1810">
        <f>3/74</f>
        <v>4.0540540540540543E-2</v>
      </c>
      <c r="F1810">
        <v>27</v>
      </c>
      <c r="G1810">
        <f>LOG(382/(27+1))</f>
        <v>1.1349053315694895</v>
      </c>
      <c r="H1810">
        <f>0.0405405405405405*2.61321609843137</f>
        <v>0.10594119317965003</v>
      </c>
      <c r="I1810">
        <v>0.1059411931796502</v>
      </c>
    </row>
    <row r="1811" spans="1:9" x14ac:dyDescent="0.25">
      <c r="A1811">
        <v>250</v>
      </c>
      <c r="B1811" t="s">
        <v>1010</v>
      </c>
      <c r="C1811" t="s">
        <v>48</v>
      </c>
      <c r="D1811" t="s">
        <v>94</v>
      </c>
      <c r="E1811">
        <f t="shared" ref="E1811:E1829" si="81">1/74</f>
        <v>1.3513513513513514E-2</v>
      </c>
      <c r="F1811">
        <v>12</v>
      </c>
      <c r="G1811">
        <f>LOG(382/(12+1))</f>
        <v>1.468120010604872</v>
      </c>
      <c r="H1811">
        <f>0.0135135135135135*3.38047125114503</f>
        <v>4.5682043934392257E-2</v>
      </c>
      <c r="I1811">
        <v>4.5682043934392423E-2</v>
      </c>
    </row>
    <row r="1812" spans="1:9" x14ac:dyDescent="0.25">
      <c r="A1812">
        <v>250</v>
      </c>
      <c r="B1812" t="s">
        <v>1010</v>
      </c>
      <c r="C1812" t="s">
        <v>48</v>
      </c>
      <c r="D1812" t="s">
        <v>25</v>
      </c>
      <c r="E1812">
        <f t="shared" si="81"/>
        <v>1.3513513513513514E-2</v>
      </c>
      <c r="F1812">
        <v>106</v>
      </c>
      <c r="G1812">
        <f>LOG(382/(106+1))</f>
        <v>0.55267958522649907</v>
      </c>
      <c r="H1812">
        <f>0.0135135135135135*1.27259177414466</f>
        <v>1.7197186137089981E-2</v>
      </c>
      <c r="I1812">
        <v>1.719718613709012E-2</v>
      </c>
    </row>
    <row r="1813" spans="1:9" x14ac:dyDescent="0.25">
      <c r="A1813">
        <v>250</v>
      </c>
      <c r="B1813" t="s">
        <v>1010</v>
      </c>
      <c r="C1813" t="s">
        <v>48</v>
      </c>
      <c r="D1813" t="s">
        <v>1018</v>
      </c>
      <c r="E1813">
        <f t="shared" si="81"/>
        <v>1.3513513513513514E-2</v>
      </c>
      <c r="F1813">
        <v>6</v>
      </c>
      <c r="G1813">
        <f>LOG(382/(6+1))</f>
        <v>1.736965322897452</v>
      </c>
      <c r="H1813">
        <f>0.0135135135135135*3.99951045955126</f>
        <v>5.4047438642584544E-2</v>
      </c>
      <c r="I1813">
        <v>5.4047438642584621E-2</v>
      </c>
    </row>
    <row r="1814" spans="1:9" x14ac:dyDescent="0.25">
      <c r="A1814">
        <v>250</v>
      </c>
      <c r="B1814" t="s">
        <v>1010</v>
      </c>
      <c r="C1814" t="s">
        <v>48</v>
      </c>
      <c r="D1814" t="s">
        <v>198</v>
      </c>
      <c r="E1814">
        <f t="shared" si="81"/>
        <v>1.3513513513513514E-2</v>
      </c>
      <c r="F1814">
        <v>11</v>
      </c>
      <c r="G1814">
        <f>LOG(382/(11+1))</f>
        <v>1.5028821168640838</v>
      </c>
      <c r="H1814">
        <f>0.0135135135135135*3.46051395881857</f>
        <v>4.6763702146196851E-2</v>
      </c>
      <c r="I1814">
        <v>4.6763702146196962E-2</v>
      </c>
    </row>
    <row r="1815" spans="1:9" x14ac:dyDescent="0.25">
      <c r="A1815">
        <v>250</v>
      </c>
      <c r="B1815" t="s">
        <v>1010</v>
      </c>
      <c r="C1815" t="s">
        <v>48</v>
      </c>
      <c r="D1815" t="s">
        <v>53</v>
      </c>
      <c r="E1815">
        <f t="shared" si="81"/>
        <v>1.3513513513513514E-2</v>
      </c>
      <c r="F1815">
        <v>57</v>
      </c>
      <c r="G1815">
        <f>LOG(382/(57+1))</f>
        <v>0.81863536934877146</v>
      </c>
      <c r="H1815">
        <f>0.0135135135135135*1.88497759806015</f>
        <v>2.5472670244056056E-2</v>
      </c>
      <c r="I1815">
        <v>2.547267024405616E-2</v>
      </c>
    </row>
    <row r="1816" spans="1:9" x14ac:dyDescent="0.25">
      <c r="A1816">
        <v>250</v>
      </c>
      <c r="B1816" t="s">
        <v>1010</v>
      </c>
      <c r="C1816" t="s">
        <v>48</v>
      </c>
      <c r="D1816" t="s">
        <v>1019</v>
      </c>
      <c r="E1816">
        <f t="shared" si="81"/>
        <v>1.3513513513513514E-2</v>
      </c>
      <c r="F1816">
        <v>7</v>
      </c>
      <c r="G1816">
        <f>LOG(382/(7+1))</f>
        <v>1.6789733759197651</v>
      </c>
      <c r="H1816">
        <f>0.0135135135135135*3.86597906692673</f>
        <v>5.2242960363874678E-2</v>
      </c>
      <c r="I1816">
        <v>5.2242960363874859E-2</v>
      </c>
    </row>
    <row r="1817" spans="1:9" x14ac:dyDescent="0.25">
      <c r="A1817">
        <v>250</v>
      </c>
      <c r="B1817" t="s">
        <v>1010</v>
      </c>
      <c r="C1817" t="s">
        <v>48</v>
      </c>
      <c r="D1817" t="s">
        <v>1020</v>
      </c>
      <c r="E1817">
        <f t="shared" si="81"/>
        <v>1.3513513513513514E-2</v>
      </c>
      <c r="F1817">
        <v>1</v>
      </c>
      <c r="G1817">
        <f>LOG(382/(1+1))</f>
        <v>2.2810333672477277</v>
      </c>
      <c r="H1817">
        <f>0.0135135135135135*5.25227342804663</f>
        <v>7.0976667946576005E-2</v>
      </c>
      <c r="I1817">
        <v>7.0976667946576089E-2</v>
      </c>
    </row>
    <row r="1818" spans="1:9" x14ac:dyDescent="0.25">
      <c r="A1818">
        <v>250</v>
      </c>
      <c r="B1818" t="s">
        <v>1010</v>
      </c>
      <c r="C1818" t="s">
        <v>48</v>
      </c>
      <c r="D1818" t="s">
        <v>1021</v>
      </c>
      <c r="E1818">
        <f t="shared" si="81"/>
        <v>1.3513513513513514E-2</v>
      </c>
      <c r="F1818">
        <v>6</v>
      </c>
      <c r="G1818">
        <f>LOG(382/(6+1))</f>
        <v>1.736965322897452</v>
      </c>
      <c r="H1818">
        <f>0.0135135135135135*3.99951045955126</f>
        <v>5.4047438642584544E-2</v>
      </c>
      <c r="I1818">
        <v>5.4047438642584621E-2</v>
      </c>
    </row>
    <row r="1819" spans="1:9" x14ac:dyDescent="0.25">
      <c r="A1819">
        <v>250</v>
      </c>
      <c r="B1819" t="s">
        <v>1010</v>
      </c>
      <c r="C1819" t="s">
        <v>48</v>
      </c>
      <c r="D1819" t="s">
        <v>695</v>
      </c>
      <c r="E1819">
        <f t="shared" si="81"/>
        <v>1.3513513513513514E-2</v>
      </c>
      <c r="F1819">
        <v>13</v>
      </c>
      <c r="G1819">
        <f>LOG(382/(13+1))</f>
        <v>1.4359353272334707</v>
      </c>
      <c r="H1819">
        <f>0.0135135135135135*3.30636327899131</f>
        <v>4.4680584851233877E-2</v>
      </c>
      <c r="I1819">
        <v>4.4680584851234009E-2</v>
      </c>
    </row>
    <row r="1820" spans="1:9" x14ac:dyDescent="0.25">
      <c r="A1820">
        <v>250</v>
      </c>
      <c r="B1820" t="s">
        <v>1010</v>
      </c>
      <c r="C1820" t="s">
        <v>48</v>
      </c>
      <c r="D1820" t="s">
        <v>1022</v>
      </c>
      <c r="E1820">
        <f t="shared" si="81"/>
        <v>1.3513513513513514E-2</v>
      </c>
      <c r="F1820">
        <v>3</v>
      </c>
      <c r="G1820">
        <f>LOG(382/(3+1))</f>
        <v>1.9800033715837464</v>
      </c>
      <c r="H1820">
        <f>0.0135135135135135*4.55912624748668</f>
        <v>6.1609814155225345E-2</v>
      </c>
      <c r="I1820">
        <v>6.160981415522547E-2</v>
      </c>
    </row>
    <row r="1821" spans="1:9" x14ac:dyDescent="0.25">
      <c r="A1821">
        <v>250</v>
      </c>
      <c r="B1821" t="s">
        <v>1010</v>
      </c>
      <c r="C1821" t="s">
        <v>48</v>
      </c>
      <c r="D1821" t="s">
        <v>1023</v>
      </c>
      <c r="E1821">
        <f t="shared" si="81"/>
        <v>1.3513513513513514E-2</v>
      </c>
      <c r="F1821">
        <v>2</v>
      </c>
      <c r="G1821">
        <f>LOG(382/(2+1))</f>
        <v>2.1049421081920463</v>
      </c>
      <c r="H1821">
        <f>0.0135135135135135*4.84680831993846</f>
        <v>6.5497409728898046E-2</v>
      </c>
      <c r="I1821">
        <v>6.5497409728898184E-2</v>
      </c>
    </row>
    <row r="1822" spans="1:9" x14ac:dyDescent="0.25">
      <c r="A1822">
        <v>250</v>
      </c>
      <c r="B1822" t="s">
        <v>1010</v>
      </c>
      <c r="C1822" t="s">
        <v>48</v>
      </c>
      <c r="D1822" t="s">
        <v>187</v>
      </c>
      <c r="E1822">
        <f t="shared" si="81"/>
        <v>1.3513513513513514E-2</v>
      </c>
      <c r="F1822">
        <v>21</v>
      </c>
      <c r="G1822">
        <f>LOG(382/(21+1))</f>
        <v>1.2396406820895025</v>
      </c>
      <c r="H1822">
        <f>0.0135135135135135*2.85437815524825</f>
        <v>3.8572677773624962E-2</v>
      </c>
      <c r="I1822">
        <v>3.8572677773625129E-2</v>
      </c>
    </row>
    <row r="1823" spans="1:9" x14ac:dyDescent="0.25">
      <c r="A1823">
        <v>250</v>
      </c>
      <c r="B1823" t="s">
        <v>1010</v>
      </c>
      <c r="C1823" t="s">
        <v>48</v>
      </c>
      <c r="D1823" t="s">
        <v>243</v>
      </c>
      <c r="E1823">
        <f t="shared" si="81"/>
        <v>1.3513513513513514E-2</v>
      </c>
      <c r="F1823">
        <v>131</v>
      </c>
      <c r="G1823">
        <f>LOG(382/(131+1))</f>
        <v>0.46148943170585888</v>
      </c>
      <c r="H1823">
        <f>0.0135135135135135*1.0626186860202</f>
        <v>1.4359711973245932E-2</v>
      </c>
      <c r="I1823">
        <v>1.4359711973246E-2</v>
      </c>
    </row>
    <row r="1824" spans="1:9" x14ac:dyDescent="0.25">
      <c r="A1824">
        <v>250</v>
      </c>
      <c r="B1824" t="s">
        <v>1010</v>
      </c>
      <c r="C1824" t="s">
        <v>48</v>
      </c>
      <c r="D1824" t="s">
        <v>1024</v>
      </c>
      <c r="E1824">
        <f t="shared" si="81"/>
        <v>1.3513513513513514E-2</v>
      </c>
      <c r="F1824">
        <v>1</v>
      </c>
      <c r="G1824">
        <f>LOG(382/(1+1))</f>
        <v>2.2810333672477277</v>
      </c>
      <c r="H1824">
        <f>0.0135135135135135*5.25227342804663</f>
        <v>7.0976667946576005E-2</v>
      </c>
      <c r="I1824">
        <v>7.0976667946576089E-2</v>
      </c>
    </row>
    <row r="1825" spans="1:9" x14ac:dyDescent="0.25">
      <c r="A1825">
        <v>250</v>
      </c>
      <c r="B1825" t="s">
        <v>1010</v>
      </c>
      <c r="C1825" t="s">
        <v>48</v>
      </c>
      <c r="D1825" t="s">
        <v>237</v>
      </c>
      <c r="E1825">
        <f t="shared" si="81"/>
        <v>1.3513513513513514E-2</v>
      </c>
      <c r="F1825">
        <v>138</v>
      </c>
      <c r="G1825">
        <f>LOG(382/(138+1))</f>
        <v>0.43904856265761361</v>
      </c>
      <c r="H1825">
        <f>0.0135135135135135*1.01094667547588</f>
        <v>1.3661441560484851E-2</v>
      </c>
      <c r="I1825">
        <v>1.366144156048491E-2</v>
      </c>
    </row>
    <row r="1826" spans="1:9" x14ac:dyDescent="0.25">
      <c r="A1826">
        <v>250</v>
      </c>
      <c r="B1826" t="s">
        <v>1010</v>
      </c>
      <c r="C1826" t="s">
        <v>48</v>
      </c>
      <c r="D1826" t="s">
        <v>881</v>
      </c>
      <c r="E1826">
        <f t="shared" si="81"/>
        <v>1.3513513513513514E-2</v>
      </c>
      <c r="F1826">
        <v>15</v>
      </c>
      <c r="G1826">
        <f>LOG(382/(15+1))</f>
        <v>1.3779433802557839</v>
      </c>
      <c r="H1826">
        <f>0.0135135135135135*3.17283188636679</f>
        <v>4.287610657252415E-2</v>
      </c>
      <c r="I1826">
        <v>4.2876106572524247E-2</v>
      </c>
    </row>
    <row r="1827" spans="1:9" x14ac:dyDescent="0.25">
      <c r="A1827">
        <v>250</v>
      </c>
      <c r="B1827" t="s">
        <v>1010</v>
      </c>
      <c r="C1827" t="s">
        <v>48</v>
      </c>
      <c r="D1827" t="s">
        <v>1025</v>
      </c>
      <c r="E1827">
        <f t="shared" si="81"/>
        <v>1.3513513513513514E-2</v>
      </c>
      <c r="F1827">
        <v>7</v>
      </c>
      <c r="G1827">
        <f>LOG(382/(7+1))</f>
        <v>1.6789733759197651</v>
      </c>
      <c r="H1827">
        <f>0.0135135135135135*3.86597906692673</f>
        <v>5.2242960363874678E-2</v>
      </c>
      <c r="I1827">
        <v>5.2242960363874859E-2</v>
      </c>
    </row>
    <row r="1828" spans="1:9" x14ac:dyDescent="0.25">
      <c r="A1828">
        <v>250</v>
      </c>
      <c r="B1828" t="s">
        <v>1010</v>
      </c>
      <c r="C1828" t="s">
        <v>48</v>
      </c>
      <c r="D1828" t="s">
        <v>263</v>
      </c>
      <c r="E1828">
        <f t="shared" si="81"/>
        <v>1.3513513513513514E-2</v>
      </c>
      <c r="F1828">
        <v>41</v>
      </c>
      <c r="G1828">
        <f>LOG(382/(41+1))</f>
        <v>0.95881407251380824</v>
      </c>
      <c r="H1828">
        <f>0.0135135135135135*2.2077509903232</f>
        <v>2.9834472842205379E-2</v>
      </c>
      <c r="I1828">
        <v>2.9834472842205501E-2</v>
      </c>
    </row>
    <row r="1829" spans="1:9" x14ac:dyDescent="0.25">
      <c r="A1829">
        <v>250</v>
      </c>
      <c r="B1829" t="s">
        <v>1010</v>
      </c>
      <c r="C1829" t="s">
        <v>48</v>
      </c>
      <c r="D1829" t="s">
        <v>1026</v>
      </c>
      <c r="E1829">
        <f t="shared" si="81"/>
        <v>1.3513513513513514E-2</v>
      </c>
      <c r="F1829">
        <v>1</v>
      </c>
      <c r="G1829">
        <f>LOG(382/(1+1))</f>
        <v>2.2810333672477277</v>
      </c>
      <c r="H1829">
        <f>0.0135135135135135*5.25227342804663</f>
        <v>7.0976667946576005E-2</v>
      </c>
      <c r="I1829">
        <v>7.0976667946576089E-2</v>
      </c>
    </row>
    <row r="1830" spans="1:9" x14ac:dyDescent="0.25">
      <c r="A1830">
        <v>252</v>
      </c>
      <c r="B1830" t="s">
        <v>1027</v>
      </c>
      <c r="C1830" t="s">
        <v>48</v>
      </c>
      <c r="D1830" t="s">
        <v>1028</v>
      </c>
      <c r="E1830">
        <f>4/32</f>
        <v>0.125</v>
      </c>
      <c r="F1830">
        <v>2</v>
      </c>
      <c r="G1830">
        <f>LOG(382/(2+1))</f>
        <v>2.1049421081920463</v>
      </c>
      <c r="H1830">
        <f>0.125*4.84680831993846</f>
        <v>0.60585103999230749</v>
      </c>
      <c r="I1830">
        <v>0.60585103999230816</v>
      </c>
    </row>
    <row r="1831" spans="1:9" x14ac:dyDescent="0.25">
      <c r="A1831">
        <v>252</v>
      </c>
      <c r="B1831" t="s">
        <v>1027</v>
      </c>
      <c r="C1831" t="s">
        <v>48</v>
      </c>
      <c r="D1831" t="s">
        <v>259</v>
      </c>
      <c r="E1831">
        <f>1/32</f>
        <v>3.125E-2</v>
      </c>
      <c r="F1831">
        <v>11</v>
      </c>
      <c r="G1831">
        <f>LOG(382/(11+1))</f>
        <v>1.5028821168640838</v>
      </c>
      <c r="H1831">
        <f>0.03125*3.46051395881857</f>
        <v>0.10814106121308031</v>
      </c>
      <c r="I1831">
        <v>0.10814106121308049</v>
      </c>
    </row>
    <row r="1832" spans="1:9" x14ac:dyDescent="0.25">
      <c r="A1832">
        <v>252</v>
      </c>
      <c r="B1832" t="s">
        <v>1027</v>
      </c>
      <c r="C1832" t="s">
        <v>48</v>
      </c>
      <c r="D1832" t="s">
        <v>50</v>
      </c>
      <c r="E1832">
        <f>2/32</f>
        <v>6.25E-2</v>
      </c>
      <c r="F1832">
        <v>109</v>
      </c>
      <c r="G1832">
        <f>LOG(382/(109+1))</f>
        <v>0.54067067775348365</v>
      </c>
      <c r="H1832">
        <f>0.0625*1.24494024281415</f>
        <v>7.7808765175884378E-2</v>
      </c>
      <c r="I1832">
        <v>7.7808765175884934E-2</v>
      </c>
    </row>
    <row r="1833" spans="1:9" x14ac:dyDescent="0.25">
      <c r="A1833">
        <v>252</v>
      </c>
      <c r="B1833" t="s">
        <v>1027</v>
      </c>
      <c r="C1833" t="s">
        <v>48</v>
      </c>
      <c r="E1833">
        <f>2/32</f>
        <v>6.25E-2</v>
      </c>
      <c r="F1833">
        <v>20</v>
      </c>
      <c r="G1833">
        <f>LOG(382/(20+1))</f>
        <v>1.2598440681777894</v>
      </c>
      <c r="H1833">
        <f>0.0625*2.90089817088315</f>
        <v>0.18130613568019688</v>
      </c>
      <c r="I1833">
        <v>0.18130613568019699</v>
      </c>
    </row>
    <row r="1834" spans="1:9" x14ac:dyDescent="0.25">
      <c r="A1834">
        <v>252</v>
      </c>
      <c r="B1834" t="s">
        <v>1027</v>
      </c>
      <c r="C1834" t="s">
        <v>48</v>
      </c>
      <c r="D1834" t="s">
        <v>38</v>
      </c>
      <c r="E1834">
        <f>1/32</f>
        <v>3.125E-2</v>
      </c>
      <c r="F1834">
        <v>86</v>
      </c>
      <c r="G1834">
        <f>LOG(382/(86+1))</f>
        <v>0.64254411029309022</v>
      </c>
      <c r="H1834">
        <f>0.03125*1.47951248995199</f>
        <v>4.6234765310999688E-2</v>
      </c>
      <c r="I1834">
        <v>4.623476531099973E-2</v>
      </c>
    </row>
    <row r="1835" spans="1:9" x14ac:dyDescent="0.25">
      <c r="A1835">
        <v>252</v>
      </c>
      <c r="B1835" t="s">
        <v>1027</v>
      </c>
      <c r="C1835" t="s">
        <v>48</v>
      </c>
      <c r="D1835" t="s">
        <v>189</v>
      </c>
      <c r="E1835">
        <f>2/32</f>
        <v>6.25E-2</v>
      </c>
      <c r="F1835">
        <v>27</v>
      </c>
      <c r="G1835">
        <f>LOG(382/(27+1))</f>
        <v>1.1349053315694895</v>
      </c>
      <c r="H1835">
        <f>0.0625*2.61321609843137</f>
        <v>0.16332600615196063</v>
      </c>
      <c r="I1835">
        <v>0.16332600615196069</v>
      </c>
    </row>
    <row r="1836" spans="1:9" x14ac:dyDescent="0.25">
      <c r="A1836">
        <v>252</v>
      </c>
      <c r="B1836" t="s">
        <v>1027</v>
      </c>
      <c r="C1836" t="s">
        <v>48</v>
      </c>
      <c r="D1836" t="s">
        <v>41</v>
      </c>
      <c r="E1836">
        <f>2/32</f>
        <v>6.25E-2</v>
      </c>
      <c r="F1836">
        <v>195</v>
      </c>
      <c r="G1836">
        <f>LOG(382/(195+1))</f>
        <v>0.28980729155523272</v>
      </c>
      <c r="H1836">
        <f>0.0625*0.667305949376058</f>
        <v>4.1706621836003627E-2</v>
      </c>
      <c r="I1836">
        <v>4.1706621836003627E-2</v>
      </c>
    </row>
    <row r="1837" spans="1:9" x14ac:dyDescent="0.25">
      <c r="A1837">
        <v>252</v>
      </c>
      <c r="B1837" t="s">
        <v>1027</v>
      </c>
      <c r="C1837" t="s">
        <v>48</v>
      </c>
      <c r="D1837" t="s">
        <v>190</v>
      </c>
      <c r="E1837">
        <f>2/32</f>
        <v>6.25E-2</v>
      </c>
      <c r="F1837">
        <v>23</v>
      </c>
      <c r="G1837">
        <f>LOG(382/(23+1))</f>
        <v>1.2018521212001028</v>
      </c>
      <c r="H1837">
        <f>0.0625*2.76736677825862</f>
        <v>0.17296042364116376</v>
      </c>
      <c r="I1837">
        <v>0.17296042364116429</v>
      </c>
    </row>
    <row r="1838" spans="1:9" x14ac:dyDescent="0.25">
      <c r="A1838">
        <v>252</v>
      </c>
      <c r="B1838" t="s">
        <v>1027</v>
      </c>
      <c r="C1838" t="s">
        <v>48</v>
      </c>
      <c r="D1838" t="s">
        <v>345</v>
      </c>
      <c r="E1838">
        <f>1/32</f>
        <v>3.125E-2</v>
      </c>
      <c r="F1838">
        <v>8</v>
      </c>
      <c r="G1838">
        <f>LOG(382/(8+1))</f>
        <v>1.6278208534723839</v>
      </c>
      <c r="H1838">
        <f>0.03125*3.74819603127035</f>
        <v>0.11713112597719844</v>
      </c>
      <c r="I1838">
        <v>0.1171311259771986</v>
      </c>
    </row>
    <row r="1839" spans="1:9" x14ac:dyDescent="0.25">
      <c r="A1839">
        <v>252</v>
      </c>
      <c r="B1839" t="s">
        <v>1027</v>
      </c>
      <c r="C1839" t="s">
        <v>48</v>
      </c>
      <c r="D1839" t="s">
        <v>168</v>
      </c>
      <c r="E1839">
        <f>1/32</f>
        <v>3.125E-2</v>
      </c>
      <c r="F1839">
        <v>34</v>
      </c>
      <c r="G1839">
        <f>LOG(382/(34+1))</f>
        <v>1.037995318561433</v>
      </c>
      <c r="H1839">
        <f>0.03125*2.39007254711716</f>
        <v>7.468976709741125E-2</v>
      </c>
      <c r="I1839">
        <v>7.4689767097411291E-2</v>
      </c>
    </row>
    <row r="1840" spans="1:9" x14ac:dyDescent="0.25">
      <c r="A1840">
        <v>252</v>
      </c>
      <c r="B1840" t="s">
        <v>1027</v>
      </c>
      <c r="C1840" t="s">
        <v>48</v>
      </c>
      <c r="D1840" t="s">
        <v>188</v>
      </c>
      <c r="E1840">
        <f>1/32</f>
        <v>3.125E-2</v>
      </c>
      <c r="F1840">
        <v>19</v>
      </c>
      <c r="G1840">
        <f>LOG(382/(19+1))</f>
        <v>1.2810333672477277</v>
      </c>
      <c r="H1840">
        <f>0.03125*2.94968833505258</f>
        <v>9.2177760470393125E-2</v>
      </c>
      <c r="I1840">
        <v>9.2177760470393263E-2</v>
      </c>
    </row>
    <row r="1841" spans="1:9" x14ac:dyDescent="0.25">
      <c r="A1841">
        <v>252</v>
      </c>
      <c r="B1841" t="s">
        <v>1027</v>
      </c>
      <c r="C1841" t="s">
        <v>48</v>
      </c>
      <c r="D1841" t="s">
        <v>104</v>
      </c>
      <c r="E1841">
        <f>3/32</f>
        <v>9.375E-2</v>
      </c>
      <c r="F1841">
        <v>49</v>
      </c>
      <c r="G1841">
        <f>LOG(382/(49+1))</f>
        <v>0.88309335857568994</v>
      </c>
      <c r="H1841">
        <f>0.09375*2.03339760317842</f>
        <v>0.19063102529797687</v>
      </c>
      <c r="I1841">
        <v>0.19063102529797771</v>
      </c>
    </row>
    <row r="1842" spans="1:9" x14ac:dyDescent="0.25">
      <c r="A1842">
        <v>252</v>
      </c>
      <c r="B1842" t="s">
        <v>1027</v>
      </c>
      <c r="C1842" t="s">
        <v>48</v>
      </c>
      <c r="D1842" t="s">
        <v>187</v>
      </c>
      <c r="E1842">
        <f t="shared" ref="E1842:E1851" si="82">1/32</f>
        <v>3.125E-2</v>
      </c>
      <c r="F1842">
        <v>21</v>
      </c>
      <c r="G1842">
        <f>LOG(382/(21+1))</f>
        <v>1.2396406820895025</v>
      </c>
      <c r="H1842">
        <f>0.03125*2.85437815524825</f>
        <v>8.9199317351507809E-2</v>
      </c>
      <c r="I1842">
        <v>8.9199317351508101E-2</v>
      </c>
    </row>
    <row r="1843" spans="1:9" x14ac:dyDescent="0.25">
      <c r="A1843">
        <v>252</v>
      </c>
      <c r="B1843" t="s">
        <v>1027</v>
      </c>
      <c r="C1843" t="s">
        <v>48</v>
      </c>
      <c r="D1843" t="s">
        <v>1029</v>
      </c>
      <c r="E1843">
        <f t="shared" si="82"/>
        <v>3.125E-2</v>
      </c>
      <c r="F1843">
        <v>1</v>
      </c>
      <c r="G1843">
        <f>LOG(382/(1+1))</f>
        <v>2.2810333672477277</v>
      </c>
      <c r="H1843">
        <f>0.03125*5.25227342804663</f>
        <v>0.16413354462645718</v>
      </c>
      <c r="I1843">
        <v>0.16413354462645721</v>
      </c>
    </row>
    <row r="1844" spans="1:9" x14ac:dyDescent="0.25">
      <c r="A1844">
        <v>252</v>
      </c>
      <c r="B1844" t="s">
        <v>1027</v>
      </c>
      <c r="C1844" t="s">
        <v>48</v>
      </c>
      <c r="D1844" t="s">
        <v>1030</v>
      </c>
      <c r="E1844">
        <f t="shared" si="82"/>
        <v>3.125E-2</v>
      </c>
      <c r="F1844">
        <v>6</v>
      </c>
      <c r="G1844">
        <f>LOG(382/(6+1))</f>
        <v>1.736965322897452</v>
      </c>
      <c r="H1844">
        <f>0.03125*3.99951045955126</f>
        <v>0.12498470186097688</v>
      </c>
      <c r="I1844">
        <v>0.1249847018609769</v>
      </c>
    </row>
    <row r="1845" spans="1:9" x14ac:dyDescent="0.25">
      <c r="A1845">
        <v>252</v>
      </c>
      <c r="B1845" t="s">
        <v>1027</v>
      </c>
      <c r="C1845" t="s">
        <v>48</v>
      </c>
      <c r="D1845" t="s">
        <v>368</v>
      </c>
      <c r="E1845">
        <f t="shared" si="82"/>
        <v>3.125E-2</v>
      </c>
      <c r="F1845">
        <v>17</v>
      </c>
      <c r="G1845">
        <f>LOG(382/(17+1))</f>
        <v>1.3267908578084027</v>
      </c>
      <c r="H1845">
        <f>0.03125*3.05504885071041</f>
        <v>9.5470276584700309E-2</v>
      </c>
      <c r="I1845">
        <v>9.5470276584700323E-2</v>
      </c>
    </row>
    <row r="1846" spans="1:9" x14ac:dyDescent="0.25">
      <c r="A1846">
        <v>252</v>
      </c>
      <c r="B1846" t="s">
        <v>1027</v>
      </c>
      <c r="C1846" t="s">
        <v>48</v>
      </c>
      <c r="D1846" t="s">
        <v>958</v>
      </c>
      <c r="E1846">
        <f t="shared" si="82"/>
        <v>3.125E-2</v>
      </c>
      <c r="F1846">
        <v>2</v>
      </c>
      <c r="G1846">
        <f>LOG(382/(2+1))</f>
        <v>2.1049421081920463</v>
      </c>
      <c r="H1846">
        <f>0.03125*4.84680831993846</f>
        <v>0.15146275999807687</v>
      </c>
      <c r="I1846">
        <v>0.15146275999807701</v>
      </c>
    </row>
    <row r="1847" spans="1:9" x14ac:dyDescent="0.25">
      <c r="A1847">
        <v>252</v>
      </c>
      <c r="B1847" t="s">
        <v>1027</v>
      </c>
      <c r="C1847" t="s">
        <v>48</v>
      </c>
      <c r="D1847" t="s">
        <v>276</v>
      </c>
      <c r="E1847">
        <f t="shared" si="82"/>
        <v>3.125E-2</v>
      </c>
      <c r="F1847">
        <v>10</v>
      </c>
      <c r="G1847">
        <f>LOG(382/(10+1))</f>
        <v>1.5406706777534838</v>
      </c>
      <c r="H1847">
        <f>0.03125*3.5475253358082</f>
        <v>0.11086016674400626</v>
      </c>
      <c r="I1847">
        <v>0.11086016674400639</v>
      </c>
    </row>
    <row r="1848" spans="1:9" x14ac:dyDescent="0.25">
      <c r="A1848">
        <v>252</v>
      </c>
      <c r="B1848" t="s">
        <v>1027</v>
      </c>
      <c r="C1848" t="s">
        <v>48</v>
      </c>
      <c r="D1848" t="s">
        <v>293</v>
      </c>
      <c r="E1848">
        <f t="shared" si="82"/>
        <v>3.125E-2</v>
      </c>
      <c r="F1848">
        <v>8</v>
      </c>
      <c r="G1848">
        <f>LOG(382/(8+1))</f>
        <v>1.6278208534723839</v>
      </c>
      <c r="H1848">
        <f>0.03125*3.74819603127035</f>
        <v>0.11713112597719844</v>
      </c>
      <c r="I1848">
        <v>0.1171311259771986</v>
      </c>
    </row>
    <row r="1849" spans="1:9" x14ac:dyDescent="0.25">
      <c r="A1849">
        <v>252</v>
      </c>
      <c r="B1849" t="s">
        <v>1027</v>
      </c>
      <c r="C1849" t="s">
        <v>48</v>
      </c>
      <c r="D1849" t="s">
        <v>1031</v>
      </c>
      <c r="E1849">
        <f t="shared" si="82"/>
        <v>3.125E-2</v>
      </c>
      <c r="F1849">
        <v>1</v>
      </c>
      <c r="G1849">
        <f>LOG(382/(1+1))</f>
        <v>2.2810333672477277</v>
      </c>
      <c r="H1849">
        <f>0.03125*5.25227342804663</f>
        <v>0.16413354462645718</v>
      </c>
      <c r="I1849">
        <v>0.16413354462645721</v>
      </c>
    </row>
    <row r="1850" spans="1:9" x14ac:dyDescent="0.25">
      <c r="A1850">
        <v>252</v>
      </c>
      <c r="B1850" t="s">
        <v>1027</v>
      </c>
      <c r="C1850" t="s">
        <v>48</v>
      </c>
      <c r="D1850" t="s">
        <v>1032</v>
      </c>
      <c r="E1850">
        <f t="shared" si="82"/>
        <v>3.125E-2</v>
      </c>
      <c r="F1850">
        <v>1</v>
      </c>
      <c r="G1850">
        <f>LOG(382/(1+1))</f>
        <v>2.2810333672477277</v>
      </c>
      <c r="H1850">
        <f>0.03125*5.25227342804663</f>
        <v>0.16413354462645718</v>
      </c>
      <c r="I1850">
        <v>0.16413354462645721</v>
      </c>
    </row>
    <row r="1851" spans="1:9" x14ac:dyDescent="0.25">
      <c r="A1851">
        <v>252</v>
      </c>
      <c r="B1851" t="s">
        <v>1027</v>
      </c>
      <c r="C1851" t="s">
        <v>48</v>
      </c>
      <c r="D1851" t="s">
        <v>1033</v>
      </c>
      <c r="E1851">
        <f t="shared" si="82"/>
        <v>3.125E-2</v>
      </c>
      <c r="F1851">
        <v>1</v>
      </c>
      <c r="G1851">
        <f>LOG(382/(1+1))</f>
        <v>2.2810333672477277</v>
      </c>
      <c r="H1851">
        <f>0.03125*5.25227342804663</f>
        <v>0.16413354462645718</v>
      </c>
      <c r="I1851">
        <v>0.16413354462645721</v>
      </c>
    </row>
    <row r="1852" spans="1:9" x14ac:dyDescent="0.25">
      <c r="A1852">
        <v>254</v>
      </c>
      <c r="B1852" t="s">
        <v>1034</v>
      </c>
      <c r="C1852" t="s">
        <v>48</v>
      </c>
      <c r="D1852" t="s">
        <v>104</v>
      </c>
      <c r="E1852">
        <f>1/9</f>
        <v>0.1111111111111111</v>
      </c>
      <c r="F1852">
        <v>49</v>
      </c>
      <c r="G1852">
        <f>LOG(382/(49+1))</f>
        <v>0.88309335857568994</v>
      </c>
      <c r="H1852">
        <f>0.111111111111111*2.03339760317842</f>
        <v>0.22593306701982421</v>
      </c>
      <c r="I1852">
        <v>0.22593306701982541</v>
      </c>
    </row>
    <row r="1853" spans="1:9" x14ac:dyDescent="0.25">
      <c r="A1853">
        <v>254</v>
      </c>
      <c r="B1853" t="s">
        <v>1034</v>
      </c>
      <c r="C1853" t="s">
        <v>48</v>
      </c>
      <c r="D1853" t="s">
        <v>1035</v>
      </c>
      <c r="E1853">
        <f>1/9</f>
        <v>0.1111111111111111</v>
      </c>
      <c r="F1853">
        <v>1</v>
      </c>
      <c r="G1853">
        <f>LOG(382/(1+1))</f>
        <v>2.2810333672477277</v>
      </c>
      <c r="H1853">
        <f>0.111111111111111*5.25227342804663</f>
        <v>0.58358593644962498</v>
      </c>
      <c r="I1853">
        <v>0.58358593644962553</v>
      </c>
    </row>
    <row r="1854" spans="1:9" x14ac:dyDescent="0.25">
      <c r="A1854">
        <v>254</v>
      </c>
      <c r="B1854" t="s">
        <v>1034</v>
      </c>
      <c r="C1854" t="s">
        <v>48</v>
      </c>
      <c r="D1854" t="s">
        <v>38</v>
      </c>
      <c r="E1854">
        <f>1/9</f>
        <v>0.1111111111111111</v>
      </c>
      <c r="F1854">
        <v>86</v>
      </c>
      <c r="G1854">
        <f>LOG(382/(86+1))</f>
        <v>0.64254411029309022</v>
      </c>
      <c r="H1854">
        <f>0.111111111111111*1.47951248995199</f>
        <v>0.16439027666133205</v>
      </c>
      <c r="I1854">
        <v>0.16439027666133241</v>
      </c>
    </row>
    <row r="1855" spans="1:9" x14ac:dyDescent="0.25">
      <c r="A1855">
        <v>254</v>
      </c>
      <c r="B1855" t="s">
        <v>1034</v>
      </c>
      <c r="C1855" t="s">
        <v>48</v>
      </c>
      <c r="D1855" t="s">
        <v>1036</v>
      </c>
      <c r="E1855">
        <f>1/9</f>
        <v>0.1111111111111111</v>
      </c>
      <c r="F1855">
        <v>1</v>
      </c>
      <c r="G1855">
        <f>LOG(382/(1+1))</f>
        <v>2.2810333672477277</v>
      </c>
      <c r="H1855">
        <f>0.111111111111111*5.25227342804663</f>
        <v>0.58358593644962498</v>
      </c>
      <c r="I1855">
        <v>0.58358593644962553</v>
      </c>
    </row>
    <row r="1856" spans="1:9" x14ac:dyDescent="0.25">
      <c r="A1856">
        <v>254</v>
      </c>
      <c r="B1856" t="s">
        <v>1034</v>
      </c>
      <c r="C1856" t="s">
        <v>48</v>
      </c>
      <c r="D1856" t="s">
        <v>189</v>
      </c>
      <c r="E1856">
        <f>1/9</f>
        <v>0.1111111111111111</v>
      </c>
      <c r="F1856">
        <v>27</v>
      </c>
      <c r="G1856">
        <f>LOG(382/(27+1))</f>
        <v>1.1349053315694895</v>
      </c>
      <c r="H1856">
        <f>0.111111111111111*2.61321609843137</f>
        <v>0.29035734427015192</v>
      </c>
      <c r="I1856">
        <v>0.29035734427015231</v>
      </c>
    </row>
    <row r="1857" spans="1:9" x14ac:dyDescent="0.25">
      <c r="A1857">
        <v>254</v>
      </c>
      <c r="B1857" t="s">
        <v>1034</v>
      </c>
      <c r="C1857" t="s">
        <v>48</v>
      </c>
      <c r="D1857" t="s">
        <v>50</v>
      </c>
      <c r="E1857">
        <f>2/9</f>
        <v>0.22222222222222221</v>
      </c>
      <c r="F1857">
        <v>109</v>
      </c>
      <c r="G1857">
        <f>LOG(382/(109+1))</f>
        <v>0.54067067775348365</v>
      </c>
      <c r="H1857">
        <f>0.222222222222222*1.24494024281415</f>
        <v>0.27665338729203304</v>
      </c>
      <c r="I1857">
        <v>0.27665338729203531</v>
      </c>
    </row>
    <row r="1858" spans="1:9" x14ac:dyDescent="0.25">
      <c r="A1858">
        <v>254</v>
      </c>
      <c r="B1858" t="s">
        <v>1034</v>
      </c>
      <c r="C1858" t="s">
        <v>48</v>
      </c>
      <c r="D1858" t="s">
        <v>61</v>
      </c>
      <c r="E1858">
        <f>1/9</f>
        <v>0.1111111111111111</v>
      </c>
      <c r="F1858">
        <v>6</v>
      </c>
      <c r="G1858">
        <f>LOG(382/(6+1))</f>
        <v>1.736965322897452</v>
      </c>
      <c r="H1858">
        <f>0.111111111111111*3.99951045955126</f>
        <v>0.44439005106125062</v>
      </c>
      <c r="I1858">
        <v>0.44439005106125129</v>
      </c>
    </row>
    <row r="1859" spans="1:9" x14ac:dyDescent="0.25">
      <c r="A1859">
        <v>254</v>
      </c>
      <c r="B1859" t="s">
        <v>1034</v>
      </c>
      <c r="C1859" t="s">
        <v>48</v>
      </c>
      <c r="D1859" t="s">
        <v>1037</v>
      </c>
      <c r="E1859">
        <f>1/9</f>
        <v>0.1111111111111111</v>
      </c>
      <c r="F1859">
        <v>2</v>
      </c>
      <c r="G1859">
        <f>LOG(382/(2+1))</f>
        <v>2.1049421081920463</v>
      </c>
      <c r="H1859">
        <f>0.111111111111111*4.84680831993846</f>
        <v>0.53853425777093944</v>
      </c>
      <c r="I1859">
        <v>0.53853425777094055</v>
      </c>
    </row>
    <row r="1860" spans="1:9" x14ac:dyDescent="0.25">
      <c r="A1860">
        <v>255</v>
      </c>
      <c r="B1860" t="s">
        <v>1038</v>
      </c>
      <c r="C1860" t="s">
        <v>48</v>
      </c>
      <c r="D1860" t="s">
        <v>179</v>
      </c>
      <c r="E1860">
        <f>6/43</f>
        <v>0.13953488372093023</v>
      </c>
      <c r="F1860">
        <v>15</v>
      </c>
      <c r="G1860">
        <f>LOG(382/(15+1))</f>
        <v>1.3779433802557839</v>
      </c>
      <c r="H1860">
        <f>0.13953488372093*3.17283188636679</f>
        <v>0.44272072833024906</v>
      </c>
      <c r="I1860">
        <v>0.44272072833025028</v>
      </c>
    </row>
    <row r="1861" spans="1:9" x14ac:dyDescent="0.25">
      <c r="A1861">
        <v>255</v>
      </c>
      <c r="B1861" t="s">
        <v>1038</v>
      </c>
      <c r="C1861" t="s">
        <v>48</v>
      </c>
      <c r="D1861" t="s">
        <v>104</v>
      </c>
      <c r="E1861">
        <f>3/43</f>
        <v>6.9767441860465115E-2</v>
      </c>
      <c r="F1861">
        <v>49</v>
      </c>
      <c r="G1861">
        <f>LOG(382/(49+1))</f>
        <v>0.88309335857568994</v>
      </c>
      <c r="H1861">
        <f>0.0697674418604651*2.03339760317842</f>
        <v>0.14186494905895949</v>
      </c>
      <c r="I1861">
        <v>0.14186494905896019</v>
      </c>
    </row>
    <row r="1862" spans="1:9" x14ac:dyDescent="0.25">
      <c r="A1862">
        <v>255</v>
      </c>
      <c r="B1862" t="s">
        <v>1038</v>
      </c>
      <c r="C1862" t="s">
        <v>48</v>
      </c>
      <c r="D1862" t="s">
        <v>1039</v>
      </c>
      <c r="E1862">
        <f>2/43</f>
        <v>4.6511627906976744E-2</v>
      </c>
      <c r="F1862">
        <v>1</v>
      </c>
      <c r="G1862">
        <f>LOG(382/(1+1))</f>
        <v>2.2810333672477277</v>
      </c>
      <c r="H1862">
        <f>0.0465116279069767*5.25227342804663</f>
        <v>0.24429178735100582</v>
      </c>
      <c r="I1862">
        <v>0.24429178735100601</v>
      </c>
    </row>
    <row r="1863" spans="1:9" x14ac:dyDescent="0.25">
      <c r="A1863">
        <v>255</v>
      </c>
      <c r="B1863" t="s">
        <v>1038</v>
      </c>
      <c r="C1863" t="s">
        <v>48</v>
      </c>
      <c r="D1863" t="s">
        <v>60</v>
      </c>
      <c r="E1863">
        <f>1/43</f>
        <v>2.3255813953488372E-2</v>
      </c>
      <c r="F1863">
        <v>24</v>
      </c>
      <c r="G1863">
        <f>LOG(382/(24+1))</f>
        <v>1.1841233542396712</v>
      </c>
      <c r="H1863">
        <f>0.0232558139534883*2.72654478373837</f>
        <v>6.3408018226473517E-2</v>
      </c>
      <c r="I1863">
        <v>6.3408018226473822E-2</v>
      </c>
    </row>
    <row r="1864" spans="1:9" x14ac:dyDescent="0.25">
      <c r="A1864">
        <v>255</v>
      </c>
      <c r="B1864" t="s">
        <v>1038</v>
      </c>
      <c r="C1864" t="s">
        <v>48</v>
      </c>
      <c r="D1864" t="s">
        <v>171</v>
      </c>
      <c r="E1864">
        <f>1/43</f>
        <v>2.3255813953488372E-2</v>
      </c>
      <c r="F1864">
        <v>6</v>
      </c>
      <c r="G1864">
        <f>LOG(382/(6+1))</f>
        <v>1.736965322897452</v>
      </c>
      <c r="H1864">
        <f>0.0232558139534883*3.99951045955126</f>
        <v>9.3011871152354597E-2</v>
      </c>
      <c r="I1864">
        <v>9.301187115235493E-2</v>
      </c>
    </row>
    <row r="1865" spans="1:9" x14ac:dyDescent="0.25">
      <c r="A1865">
        <v>255</v>
      </c>
      <c r="B1865" t="s">
        <v>1038</v>
      </c>
      <c r="C1865" t="s">
        <v>48</v>
      </c>
      <c r="D1865" t="s">
        <v>189</v>
      </c>
      <c r="E1865">
        <f>2/43</f>
        <v>4.6511627906976744E-2</v>
      </c>
      <c r="F1865">
        <v>27</v>
      </c>
      <c r="G1865">
        <f>LOG(382/(27+1))</f>
        <v>1.1349053315694895</v>
      </c>
      <c r="H1865">
        <f>0.0465116279069767*2.61321609843137</f>
        <v>0.1215449348107613</v>
      </c>
      <c r="I1865">
        <v>0.1215449348107614</v>
      </c>
    </row>
    <row r="1866" spans="1:9" x14ac:dyDescent="0.25">
      <c r="A1866">
        <v>255</v>
      </c>
      <c r="B1866" t="s">
        <v>1038</v>
      </c>
      <c r="C1866" t="s">
        <v>48</v>
      </c>
      <c r="D1866" t="s">
        <v>1040</v>
      </c>
      <c r="E1866">
        <f>2/43</f>
        <v>4.6511627906976744E-2</v>
      </c>
      <c r="F1866">
        <v>1</v>
      </c>
      <c r="G1866">
        <f>LOG(382/(1+1))</f>
        <v>2.2810333672477277</v>
      </c>
      <c r="H1866">
        <f>0.0465116279069767*5.25227342804663</f>
        <v>0.24429178735100582</v>
      </c>
      <c r="I1866">
        <v>0.24429178735100601</v>
      </c>
    </row>
    <row r="1867" spans="1:9" x14ac:dyDescent="0.25">
      <c r="A1867">
        <v>255</v>
      </c>
      <c r="B1867" t="s">
        <v>1038</v>
      </c>
      <c r="C1867" t="s">
        <v>48</v>
      </c>
      <c r="D1867" t="s">
        <v>695</v>
      </c>
      <c r="E1867">
        <f>1/43</f>
        <v>2.3255813953488372E-2</v>
      </c>
      <c r="F1867">
        <v>13</v>
      </c>
      <c r="G1867">
        <f>LOG(382/(13+1))</f>
        <v>1.4359353272334707</v>
      </c>
      <c r="H1867">
        <f>0.0232558139534883*3.30636327899131</f>
        <v>7.6892169278867439E-2</v>
      </c>
      <c r="I1867">
        <v>7.6892169278867828E-2</v>
      </c>
    </row>
    <row r="1868" spans="1:9" x14ac:dyDescent="0.25">
      <c r="A1868">
        <v>255</v>
      </c>
      <c r="B1868" t="s">
        <v>1038</v>
      </c>
      <c r="C1868" t="s">
        <v>48</v>
      </c>
      <c r="D1868" t="s">
        <v>262</v>
      </c>
      <c r="E1868">
        <f>1/43</f>
        <v>2.3255813953488372E-2</v>
      </c>
      <c r="F1868">
        <v>13</v>
      </c>
      <c r="G1868">
        <f>LOG(382/(13+1))</f>
        <v>1.4359353272334707</v>
      </c>
      <c r="H1868">
        <f>0.0232558139534883*3.30636327899131</f>
        <v>7.6892169278867439E-2</v>
      </c>
      <c r="I1868">
        <v>7.6892169278867828E-2</v>
      </c>
    </row>
    <row r="1869" spans="1:9" x14ac:dyDescent="0.25">
      <c r="A1869">
        <v>255</v>
      </c>
      <c r="B1869" t="s">
        <v>1038</v>
      </c>
      <c r="C1869" t="s">
        <v>48</v>
      </c>
      <c r="D1869" t="s">
        <v>42</v>
      </c>
      <c r="E1869">
        <f>1/43</f>
        <v>2.3255813953488372E-2</v>
      </c>
      <c r="F1869">
        <v>251</v>
      </c>
      <c r="G1869">
        <f>LOG(382/(251+1))</f>
        <v>0.18066282213016463</v>
      </c>
      <c r="H1869">
        <f>0.0232558139534883*0.415991521095151</f>
        <v>9.6742214208174332E-3</v>
      </c>
      <c r="I1869">
        <v>9.6742214208174852E-3</v>
      </c>
    </row>
    <row r="1870" spans="1:9" x14ac:dyDescent="0.25">
      <c r="A1870">
        <v>255</v>
      </c>
      <c r="B1870" t="s">
        <v>1038</v>
      </c>
      <c r="C1870" t="s">
        <v>48</v>
      </c>
      <c r="D1870" t="s">
        <v>15</v>
      </c>
      <c r="E1870">
        <f>1/43</f>
        <v>2.3255813953488372E-2</v>
      </c>
      <c r="F1870">
        <v>112</v>
      </c>
      <c r="G1870">
        <f>LOG(382/(112+1))</f>
        <v>0.52898491942828896</v>
      </c>
      <c r="H1870">
        <f>0.0232558139534883*1.21803278989423</f>
        <v>2.8326343951028517E-2</v>
      </c>
      <c r="I1870">
        <v>2.8326343951028711E-2</v>
      </c>
    </row>
    <row r="1871" spans="1:9" x14ac:dyDescent="0.25">
      <c r="A1871">
        <v>255</v>
      </c>
      <c r="B1871" t="s">
        <v>1038</v>
      </c>
      <c r="C1871" t="s">
        <v>48</v>
      </c>
      <c r="D1871" t="s">
        <v>115</v>
      </c>
      <c r="E1871">
        <f>1/43</f>
        <v>2.3255813953488372E-2</v>
      </c>
      <c r="F1871">
        <v>17</v>
      </c>
      <c r="G1871">
        <f>LOG(382/(17+1))</f>
        <v>1.3267908578084027</v>
      </c>
      <c r="H1871">
        <f>0.0232558139534883*3.05504885071041</f>
        <v>7.1047647690939547E-2</v>
      </c>
      <c r="I1871">
        <v>7.1047647690939769E-2</v>
      </c>
    </row>
    <row r="1872" spans="1:9" x14ac:dyDescent="0.25">
      <c r="A1872">
        <v>255</v>
      </c>
      <c r="B1872" t="s">
        <v>1038</v>
      </c>
      <c r="C1872" t="s">
        <v>48</v>
      </c>
      <c r="D1872" t="s">
        <v>116</v>
      </c>
      <c r="E1872">
        <f>2/43</f>
        <v>4.6511627906976744E-2</v>
      </c>
      <c r="F1872">
        <v>3</v>
      </c>
      <c r="G1872">
        <f>LOG(382/(3+1))</f>
        <v>1.9800033715837464</v>
      </c>
      <c r="H1872">
        <f>0.0465116279069767*4.55912624748668</f>
        <v>0.21205238360403145</v>
      </c>
      <c r="I1872">
        <v>0.21205238360403181</v>
      </c>
    </row>
    <row r="1873" spans="1:9" x14ac:dyDescent="0.25">
      <c r="A1873">
        <v>255</v>
      </c>
      <c r="B1873" t="s">
        <v>1038</v>
      </c>
      <c r="C1873" t="s">
        <v>48</v>
      </c>
      <c r="D1873" t="s">
        <v>111</v>
      </c>
      <c r="E1873">
        <f t="shared" ref="E1873:E1891" si="83">1/43</f>
        <v>2.3255813953488372E-2</v>
      </c>
      <c r="F1873">
        <v>33</v>
      </c>
      <c r="G1873">
        <f>LOG(382/(33+1))</f>
        <v>1.0505844458694535</v>
      </c>
      <c r="H1873">
        <f>0.0232558139534883*2.41906008399041</f>
        <v>5.6257211255590758E-2</v>
      </c>
      <c r="I1873">
        <v>5.6257211255591022E-2</v>
      </c>
    </row>
    <row r="1874" spans="1:9" x14ac:dyDescent="0.25">
      <c r="A1874">
        <v>255</v>
      </c>
      <c r="B1874" t="s">
        <v>1038</v>
      </c>
      <c r="C1874" t="s">
        <v>48</v>
      </c>
      <c r="D1874" t="s">
        <v>17</v>
      </c>
      <c r="E1874">
        <f t="shared" si="83"/>
        <v>2.3255813953488372E-2</v>
      </c>
      <c r="F1874">
        <v>169</v>
      </c>
      <c r="G1874">
        <f>LOG(382/(169+1))</f>
        <v>0.3516144415334348</v>
      </c>
      <c r="H1874">
        <f>0.0232558139534883*0.809622171556313</f>
        <v>1.8828422594332803E-2</v>
      </c>
      <c r="I1874">
        <v>1.8828422594332869E-2</v>
      </c>
    </row>
    <row r="1875" spans="1:9" x14ac:dyDescent="0.25">
      <c r="A1875">
        <v>255</v>
      </c>
      <c r="B1875" t="s">
        <v>1038</v>
      </c>
      <c r="C1875" t="s">
        <v>48</v>
      </c>
      <c r="D1875" t="s">
        <v>920</v>
      </c>
      <c r="E1875">
        <f t="shared" si="83"/>
        <v>2.3255813953488372E-2</v>
      </c>
      <c r="F1875">
        <v>30</v>
      </c>
      <c r="G1875">
        <f>LOG(382/(30+1))</f>
        <v>1.090701669077436</v>
      </c>
      <c r="H1875">
        <f>0.0232558139534883*2.51143340412142</f>
        <v>5.8405428002823542E-2</v>
      </c>
      <c r="I1875">
        <v>5.8405428002823931E-2</v>
      </c>
    </row>
    <row r="1876" spans="1:9" x14ac:dyDescent="0.25">
      <c r="A1876">
        <v>255</v>
      </c>
      <c r="B1876" t="s">
        <v>1038</v>
      </c>
      <c r="C1876" t="s">
        <v>48</v>
      </c>
      <c r="D1876" t="s">
        <v>19</v>
      </c>
      <c r="E1876">
        <f t="shared" si="83"/>
        <v>2.3255813953488372E-2</v>
      </c>
      <c r="F1876">
        <v>220</v>
      </c>
      <c r="G1876">
        <f>LOG(382/(220+1))</f>
        <v>0.23767108922659805</v>
      </c>
      <c r="H1876">
        <f>0.0232558139534883*0.547257907088822</f>
        <v>1.2726928071833031E-2</v>
      </c>
      <c r="I1876">
        <v>1.272692807183308E-2</v>
      </c>
    </row>
    <row r="1877" spans="1:9" x14ac:dyDescent="0.25">
      <c r="A1877">
        <v>255</v>
      </c>
      <c r="B1877" t="s">
        <v>1038</v>
      </c>
      <c r="C1877" t="s">
        <v>48</v>
      </c>
      <c r="D1877" t="s">
        <v>44</v>
      </c>
      <c r="E1877">
        <f t="shared" si="83"/>
        <v>2.3255813953488372E-2</v>
      </c>
      <c r="F1877">
        <v>151</v>
      </c>
      <c r="G1877">
        <f>LOG(382/(151+1))</f>
        <v>0.40021977496693617</v>
      </c>
      <c r="H1877">
        <f>0.0232558139534883*0.921540087760298</f>
        <v>2.1431164831634771E-2</v>
      </c>
      <c r="I1877">
        <v>2.143116483163485E-2</v>
      </c>
    </row>
    <row r="1878" spans="1:9" x14ac:dyDescent="0.25">
      <c r="A1878">
        <v>255</v>
      </c>
      <c r="B1878" t="s">
        <v>1038</v>
      </c>
      <c r="C1878" t="s">
        <v>48</v>
      </c>
      <c r="D1878" t="s">
        <v>243</v>
      </c>
      <c r="E1878">
        <f t="shared" si="83"/>
        <v>2.3255813953488372E-2</v>
      </c>
      <c r="F1878">
        <v>131</v>
      </c>
      <c r="G1878">
        <f>LOG(382/(131+1))</f>
        <v>0.46148943170585888</v>
      </c>
      <c r="H1878">
        <f>0.0232558139534883*1.0626186860202</f>
        <v>2.4712062465585969E-2</v>
      </c>
      <c r="I1878">
        <v>2.4712062465586149E-2</v>
      </c>
    </row>
    <row r="1879" spans="1:9" x14ac:dyDescent="0.25">
      <c r="A1879">
        <v>255</v>
      </c>
      <c r="B1879" t="s">
        <v>1038</v>
      </c>
      <c r="C1879" t="s">
        <v>48</v>
      </c>
      <c r="D1879" t="s">
        <v>58</v>
      </c>
      <c r="E1879">
        <f t="shared" si="83"/>
        <v>2.3255813953488372E-2</v>
      </c>
      <c r="F1879">
        <v>18</v>
      </c>
      <c r="G1879">
        <f>LOG(382/(18+1))</f>
        <v>1.3033097619588798</v>
      </c>
      <c r="H1879">
        <f>0.0232558139534883*3.00098162944013</f>
        <v>6.9790270452095834E-2</v>
      </c>
      <c r="I1879">
        <v>6.9790270452096154E-2</v>
      </c>
    </row>
    <row r="1880" spans="1:9" x14ac:dyDescent="0.25">
      <c r="A1880">
        <v>255</v>
      </c>
      <c r="B1880" t="s">
        <v>1038</v>
      </c>
      <c r="C1880" t="s">
        <v>48</v>
      </c>
      <c r="D1880" t="s">
        <v>1041</v>
      </c>
      <c r="E1880">
        <f t="shared" si="83"/>
        <v>2.3255813953488372E-2</v>
      </c>
      <c r="F1880">
        <v>1</v>
      </c>
      <c r="G1880">
        <f>LOG(382/(1+1))</f>
        <v>2.2810333672477277</v>
      </c>
      <c r="H1880">
        <f>0.0232558139534883*5.25227342804663</f>
        <v>0.12214589367550263</v>
      </c>
      <c r="I1880">
        <v>0.12214589367550301</v>
      </c>
    </row>
    <row r="1881" spans="1:9" x14ac:dyDescent="0.25">
      <c r="A1881">
        <v>255</v>
      </c>
      <c r="B1881" t="s">
        <v>1038</v>
      </c>
      <c r="C1881" t="s">
        <v>48</v>
      </c>
      <c r="D1881" t="s">
        <v>263</v>
      </c>
      <c r="E1881">
        <f t="shared" si="83"/>
        <v>2.3255813953488372E-2</v>
      </c>
      <c r="F1881">
        <v>41</v>
      </c>
      <c r="G1881">
        <f>LOG(382/(41+1))</f>
        <v>0.95881407251380824</v>
      </c>
      <c r="H1881">
        <f>0.0232558139534883*2.2077509903232</f>
        <v>5.134304628658589E-2</v>
      </c>
      <c r="I1881">
        <v>5.1343046286586203E-2</v>
      </c>
    </row>
    <row r="1882" spans="1:9" x14ac:dyDescent="0.25">
      <c r="A1882">
        <v>255</v>
      </c>
      <c r="B1882" t="s">
        <v>1038</v>
      </c>
      <c r="C1882" t="s">
        <v>48</v>
      </c>
      <c r="D1882" t="s">
        <v>1042</v>
      </c>
      <c r="E1882">
        <f t="shared" si="83"/>
        <v>2.3255813953488372E-2</v>
      </c>
      <c r="F1882">
        <v>3</v>
      </c>
      <c r="G1882">
        <f>LOG(382/(3+1))</f>
        <v>1.9800033715837464</v>
      </c>
      <c r="H1882">
        <f>0.0232558139534883*4.55912624748668</f>
        <v>0.10602619180201549</v>
      </c>
      <c r="I1882">
        <v>0.1060261918020159</v>
      </c>
    </row>
    <row r="1883" spans="1:9" x14ac:dyDescent="0.25">
      <c r="A1883">
        <v>255</v>
      </c>
      <c r="B1883" t="s">
        <v>1038</v>
      </c>
      <c r="C1883" t="s">
        <v>48</v>
      </c>
      <c r="D1883" t="s">
        <v>1043</v>
      </c>
      <c r="E1883">
        <f t="shared" si="83"/>
        <v>2.3255813953488372E-2</v>
      </c>
      <c r="F1883">
        <v>3</v>
      </c>
      <c r="G1883">
        <f>LOG(382/(3+1))</f>
        <v>1.9800033715837464</v>
      </c>
      <c r="H1883">
        <f>0.0232558139534883*4.55912624748668</f>
        <v>0.10602619180201549</v>
      </c>
      <c r="I1883">
        <v>0.1060261918020159</v>
      </c>
    </row>
    <row r="1884" spans="1:9" x14ac:dyDescent="0.25">
      <c r="A1884">
        <v>255</v>
      </c>
      <c r="B1884" t="s">
        <v>1038</v>
      </c>
      <c r="C1884" t="s">
        <v>48</v>
      </c>
      <c r="D1884" t="s">
        <v>1044</v>
      </c>
      <c r="E1884">
        <f t="shared" si="83"/>
        <v>2.3255813953488372E-2</v>
      </c>
      <c r="F1884">
        <v>3</v>
      </c>
      <c r="G1884">
        <f>LOG(382/(3+1))</f>
        <v>1.9800033715837464</v>
      </c>
      <c r="H1884">
        <f>0.0232558139534883*4.55912624748668</f>
        <v>0.10602619180201549</v>
      </c>
      <c r="I1884">
        <v>0.1060261918020159</v>
      </c>
    </row>
    <row r="1885" spans="1:9" x14ac:dyDescent="0.25">
      <c r="A1885">
        <v>255</v>
      </c>
      <c r="B1885" t="s">
        <v>1038</v>
      </c>
      <c r="C1885" t="s">
        <v>48</v>
      </c>
      <c r="D1885" t="s">
        <v>1045</v>
      </c>
      <c r="E1885">
        <f t="shared" si="83"/>
        <v>2.3255813953488372E-2</v>
      </c>
      <c r="F1885">
        <v>2</v>
      </c>
      <c r="G1885">
        <f>LOG(382/(2+1))</f>
        <v>2.1049421081920463</v>
      </c>
      <c r="H1885">
        <f>0.0232558139534883*4.84680831993846</f>
        <v>0.11271647255670801</v>
      </c>
      <c r="I1885">
        <v>0.1127164725567085</v>
      </c>
    </row>
    <row r="1886" spans="1:9" x14ac:dyDescent="0.25">
      <c r="A1886">
        <v>255</v>
      </c>
      <c r="B1886" t="s">
        <v>1038</v>
      </c>
      <c r="C1886" t="s">
        <v>48</v>
      </c>
      <c r="D1886" t="s">
        <v>184</v>
      </c>
      <c r="E1886">
        <f t="shared" si="83"/>
        <v>2.3255813953488372E-2</v>
      </c>
      <c r="F1886">
        <v>7</v>
      </c>
      <c r="G1886">
        <f>LOG(382/(7+1))</f>
        <v>1.6789733759197651</v>
      </c>
      <c r="H1886">
        <f>0.0232558139534883*3.86597906692673</f>
        <v>8.990648992852833E-2</v>
      </c>
      <c r="I1886">
        <v>8.9906489928528815E-2</v>
      </c>
    </row>
    <row r="1887" spans="1:9" x14ac:dyDescent="0.25">
      <c r="A1887">
        <v>255</v>
      </c>
      <c r="B1887" t="s">
        <v>1038</v>
      </c>
      <c r="C1887" t="s">
        <v>48</v>
      </c>
      <c r="D1887" t="s">
        <v>276</v>
      </c>
      <c r="E1887">
        <f t="shared" si="83"/>
        <v>2.3255813953488372E-2</v>
      </c>
      <c r="F1887">
        <v>10</v>
      </c>
      <c r="G1887">
        <f>LOG(382/(10+1))</f>
        <v>1.5406706777534838</v>
      </c>
      <c r="H1887">
        <f>0.0232558139534883*3.5475253358082</f>
        <v>8.2500589204841601E-2</v>
      </c>
      <c r="I1887">
        <v>8.2500589204841962E-2</v>
      </c>
    </row>
    <row r="1888" spans="1:9" x14ac:dyDescent="0.25">
      <c r="A1888">
        <v>255</v>
      </c>
      <c r="B1888" t="s">
        <v>1038</v>
      </c>
      <c r="C1888" t="s">
        <v>48</v>
      </c>
      <c r="D1888" t="s">
        <v>61</v>
      </c>
      <c r="E1888">
        <f t="shared" si="83"/>
        <v>2.3255813953488372E-2</v>
      </c>
      <c r="F1888">
        <v>6</v>
      </c>
      <c r="G1888">
        <f>LOG(382/(6+1))</f>
        <v>1.736965322897452</v>
      </c>
      <c r="H1888">
        <f>0.0232558139534883*3.99951045955126</f>
        <v>9.3011871152354597E-2</v>
      </c>
      <c r="I1888">
        <v>9.301187115235493E-2</v>
      </c>
    </row>
    <row r="1889" spans="1:9" x14ac:dyDescent="0.25">
      <c r="A1889">
        <v>255</v>
      </c>
      <c r="B1889" t="s">
        <v>1038</v>
      </c>
      <c r="C1889" t="s">
        <v>48</v>
      </c>
      <c r="D1889" t="s">
        <v>306</v>
      </c>
      <c r="E1889">
        <f t="shared" si="83"/>
        <v>2.3255813953488372E-2</v>
      </c>
      <c r="F1889">
        <v>5</v>
      </c>
      <c r="G1889">
        <f>LOG(382/(5+1))</f>
        <v>1.803912112528065</v>
      </c>
      <c r="H1889">
        <f>0.0232558139534883*4.15366113937852</f>
        <v>9.6596770683221089E-2</v>
      </c>
      <c r="I1889">
        <v>9.6596770683221395E-2</v>
      </c>
    </row>
    <row r="1890" spans="1:9" x14ac:dyDescent="0.25">
      <c r="A1890">
        <v>255</v>
      </c>
      <c r="B1890" t="s">
        <v>1038</v>
      </c>
      <c r="C1890" t="s">
        <v>48</v>
      </c>
      <c r="D1890" t="s">
        <v>1037</v>
      </c>
      <c r="E1890">
        <f t="shared" si="83"/>
        <v>2.3255813953488372E-2</v>
      </c>
      <c r="F1890">
        <v>2</v>
      </c>
      <c r="G1890">
        <f>LOG(382/(2+1))</f>
        <v>2.1049421081920463</v>
      </c>
      <c r="H1890">
        <f>0.0232558139534883*4.84680831993846</f>
        <v>0.11271647255670801</v>
      </c>
      <c r="I1890">
        <v>0.1127164725567085</v>
      </c>
    </row>
    <row r="1891" spans="1:9" x14ac:dyDescent="0.25">
      <c r="A1891">
        <v>255</v>
      </c>
      <c r="B1891" t="s">
        <v>1038</v>
      </c>
      <c r="C1891" t="s">
        <v>48</v>
      </c>
      <c r="D1891" t="s">
        <v>50</v>
      </c>
      <c r="E1891">
        <f t="shared" si="83"/>
        <v>2.3255813953488372E-2</v>
      </c>
      <c r="F1891">
        <v>109</v>
      </c>
      <c r="G1891">
        <f>LOG(382/(109+1))</f>
        <v>0.54067067775348365</v>
      </c>
      <c r="H1891">
        <f>0.0232558139534883*1.24494024281415</f>
        <v>2.8952098670096422E-2</v>
      </c>
      <c r="I1891">
        <v>2.895209867009672E-2</v>
      </c>
    </row>
    <row r="1892" spans="1:9" x14ac:dyDescent="0.25">
      <c r="A1892">
        <v>256</v>
      </c>
      <c r="B1892" t="s">
        <v>1046</v>
      </c>
      <c r="C1892" t="s">
        <v>48</v>
      </c>
      <c r="D1892" t="s">
        <v>1047</v>
      </c>
      <c r="E1892">
        <f>3/26</f>
        <v>0.11538461538461539</v>
      </c>
      <c r="F1892">
        <v>1</v>
      </c>
      <c r="G1892">
        <f>LOG(382/(1+1))</f>
        <v>2.2810333672477277</v>
      </c>
      <c r="H1892">
        <f>0.115384615384615*5.25227342804663</f>
        <v>0.60603154938999371</v>
      </c>
      <c r="I1892">
        <v>0.60603154938999582</v>
      </c>
    </row>
    <row r="1893" spans="1:9" x14ac:dyDescent="0.25">
      <c r="A1893">
        <v>256</v>
      </c>
      <c r="B1893" t="s">
        <v>1046</v>
      </c>
      <c r="C1893" t="s">
        <v>48</v>
      </c>
      <c r="D1893" t="s">
        <v>259</v>
      </c>
      <c r="E1893">
        <f>1/26</f>
        <v>3.8461538461538464E-2</v>
      </c>
      <c r="F1893">
        <v>11</v>
      </c>
      <c r="G1893">
        <f>LOG(382/(11+1))</f>
        <v>1.5028821168640838</v>
      </c>
      <c r="H1893">
        <f>0.0384615384615384*3.46051395881857</f>
        <v>0.13309669072379093</v>
      </c>
      <c r="I1893">
        <v>0.13309669072379129</v>
      </c>
    </row>
    <row r="1894" spans="1:9" x14ac:dyDescent="0.25">
      <c r="A1894">
        <v>256</v>
      </c>
      <c r="B1894" t="s">
        <v>1046</v>
      </c>
      <c r="C1894" t="s">
        <v>48</v>
      </c>
      <c r="D1894" t="s">
        <v>50</v>
      </c>
      <c r="E1894">
        <f>2/26</f>
        <v>7.6923076923076927E-2</v>
      </c>
      <c r="F1894">
        <v>109</v>
      </c>
      <c r="G1894">
        <f>LOG(382/(109+1))</f>
        <v>0.54067067775348365</v>
      </c>
      <c r="H1894">
        <f>0.0769230769230769*1.24494024281415</f>
        <v>9.5764634062626905E-2</v>
      </c>
      <c r="I1894">
        <v>9.5764634062627613E-2</v>
      </c>
    </row>
    <row r="1895" spans="1:9" x14ac:dyDescent="0.25">
      <c r="A1895">
        <v>256</v>
      </c>
      <c r="B1895" t="s">
        <v>1046</v>
      </c>
      <c r="C1895" t="s">
        <v>48</v>
      </c>
      <c r="E1895">
        <f>1/26</f>
        <v>3.8461538461538464E-2</v>
      </c>
      <c r="F1895">
        <v>20</v>
      </c>
      <c r="G1895">
        <f>LOG(382/(20+1))</f>
        <v>1.2598440681777894</v>
      </c>
      <c r="H1895">
        <f>0.0384615384615384*2.90089817088315</f>
        <v>0.11157300657242868</v>
      </c>
      <c r="I1895">
        <v>0.1115730065724289</v>
      </c>
    </row>
    <row r="1896" spans="1:9" x14ac:dyDescent="0.25">
      <c r="A1896">
        <v>256</v>
      </c>
      <c r="B1896" t="s">
        <v>1046</v>
      </c>
      <c r="C1896" t="s">
        <v>48</v>
      </c>
      <c r="D1896" t="s">
        <v>105</v>
      </c>
      <c r="E1896">
        <f>1/26</f>
        <v>3.8461538461538464E-2</v>
      </c>
      <c r="F1896">
        <v>122</v>
      </c>
      <c r="G1896">
        <f>LOG(382/(122+1))</f>
        <v>0.49215825147231079</v>
      </c>
      <c r="H1896">
        <f>0.0384615384615384*1.13323625323415</f>
        <v>4.3586009739774931E-2</v>
      </c>
      <c r="I1896">
        <v>4.3586009739775292E-2</v>
      </c>
    </row>
    <row r="1897" spans="1:9" x14ac:dyDescent="0.25">
      <c r="A1897">
        <v>256</v>
      </c>
      <c r="B1897" t="s">
        <v>1046</v>
      </c>
      <c r="C1897" t="s">
        <v>48</v>
      </c>
      <c r="D1897" t="s">
        <v>815</v>
      </c>
      <c r="E1897">
        <f>3/26</f>
        <v>0.11538461538461539</v>
      </c>
      <c r="F1897">
        <v>5</v>
      </c>
      <c r="G1897">
        <f>LOG(382/(5+1))</f>
        <v>1.803912112528065</v>
      </c>
      <c r="H1897">
        <f>0.115384615384615*4.15366113937852</f>
        <v>0.47926859300521224</v>
      </c>
      <c r="I1897">
        <v>0.47926859300521379</v>
      </c>
    </row>
    <row r="1898" spans="1:9" x14ac:dyDescent="0.25">
      <c r="A1898">
        <v>256</v>
      </c>
      <c r="B1898" t="s">
        <v>1046</v>
      </c>
      <c r="C1898" t="s">
        <v>48</v>
      </c>
      <c r="D1898" t="s">
        <v>1048</v>
      </c>
      <c r="E1898">
        <f>1/26</f>
        <v>3.8461538461538464E-2</v>
      </c>
      <c r="F1898">
        <v>1</v>
      </c>
      <c r="G1898">
        <f>LOG(382/(1+1))</f>
        <v>2.2810333672477277</v>
      </c>
      <c r="H1898">
        <f>0.0384615384615384*5.25227342804663</f>
        <v>0.2020105164633316</v>
      </c>
      <c r="I1898">
        <v>0.2020105164633319</v>
      </c>
    </row>
    <row r="1899" spans="1:9" x14ac:dyDescent="0.25">
      <c r="A1899">
        <v>256</v>
      </c>
      <c r="B1899" t="s">
        <v>1046</v>
      </c>
      <c r="C1899" t="s">
        <v>48</v>
      </c>
      <c r="D1899" t="s">
        <v>38</v>
      </c>
      <c r="E1899">
        <f>1/26</f>
        <v>3.8461538461538464E-2</v>
      </c>
      <c r="F1899">
        <v>86</v>
      </c>
      <c r="G1899">
        <f>LOG(382/(86+1))</f>
        <v>0.64254411029309022</v>
      </c>
      <c r="H1899">
        <f>0.0384615384615384*1.47951248995199</f>
        <v>5.690432653661491E-2</v>
      </c>
      <c r="I1899">
        <v>5.6904326536615063E-2</v>
      </c>
    </row>
    <row r="1900" spans="1:9" x14ac:dyDescent="0.25">
      <c r="A1900">
        <v>256</v>
      </c>
      <c r="B1900" t="s">
        <v>1046</v>
      </c>
      <c r="C1900" t="s">
        <v>48</v>
      </c>
      <c r="D1900" t="s">
        <v>189</v>
      </c>
      <c r="E1900">
        <f>4/26</f>
        <v>0.15384615384615385</v>
      </c>
      <c r="F1900">
        <v>27</v>
      </c>
      <c r="G1900">
        <f>LOG(382/(27+1))</f>
        <v>1.1349053315694895</v>
      </c>
      <c r="H1900">
        <f>0.153846153846153*2.61321609843137</f>
        <v>0.40203324591251627</v>
      </c>
      <c r="I1900">
        <v>0.40203324591251871</v>
      </c>
    </row>
    <row r="1901" spans="1:9" x14ac:dyDescent="0.25">
      <c r="A1901">
        <v>256</v>
      </c>
      <c r="B1901" t="s">
        <v>1046</v>
      </c>
      <c r="C1901" t="s">
        <v>48</v>
      </c>
      <c r="D1901" t="s">
        <v>195</v>
      </c>
      <c r="E1901">
        <f>2/26</f>
        <v>7.6923076923076927E-2</v>
      </c>
      <c r="F1901">
        <v>55</v>
      </c>
      <c r="G1901">
        <f>LOG(382/(55+1))</f>
        <v>0.83387533590550833</v>
      </c>
      <c r="H1901">
        <f>0.0769230769230769*1.92006891787142</f>
        <v>0.14769760906703228</v>
      </c>
      <c r="I1901">
        <v>0.1476976090670328</v>
      </c>
    </row>
    <row r="1902" spans="1:9" x14ac:dyDescent="0.25">
      <c r="A1902">
        <v>256</v>
      </c>
      <c r="B1902" t="s">
        <v>1046</v>
      </c>
      <c r="C1902" t="s">
        <v>48</v>
      </c>
      <c r="D1902" t="s">
        <v>190</v>
      </c>
      <c r="E1902">
        <f>1/26</f>
        <v>3.8461538461538464E-2</v>
      </c>
      <c r="F1902">
        <v>23</v>
      </c>
      <c r="G1902">
        <f>LOG(382/(23+1))</f>
        <v>1.2018521212001028</v>
      </c>
      <c r="H1902">
        <f>0.0384615384615384*2.76736677825862</f>
        <v>0.10643718377917753</v>
      </c>
      <c r="I1902">
        <v>0.1064371837791781</v>
      </c>
    </row>
    <row r="1903" spans="1:9" x14ac:dyDescent="0.25">
      <c r="A1903">
        <v>256</v>
      </c>
      <c r="B1903" t="s">
        <v>1046</v>
      </c>
      <c r="C1903" t="s">
        <v>48</v>
      </c>
      <c r="D1903" t="s">
        <v>260</v>
      </c>
      <c r="E1903">
        <f>1/26</f>
        <v>3.8461538461538464E-2</v>
      </c>
      <c r="F1903">
        <v>31</v>
      </c>
      <c r="G1903">
        <f>LOG(382/(31+1))</f>
        <v>1.0769133845918029</v>
      </c>
      <c r="H1903">
        <f>0.0384615384615384*2.47968470580684</f>
        <v>9.5372488684878312E-2</v>
      </c>
      <c r="I1903">
        <v>9.5372488684878798E-2</v>
      </c>
    </row>
    <row r="1904" spans="1:9" x14ac:dyDescent="0.25">
      <c r="A1904">
        <v>256</v>
      </c>
      <c r="B1904" t="s">
        <v>1046</v>
      </c>
      <c r="C1904" t="s">
        <v>48</v>
      </c>
      <c r="D1904" t="s">
        <v>1049</v>
      </c>
      <c r="E1904">
        <f>1/26</f>
        <v>3.8461538461538464E-2</v>
      </c>
      <c r="F1904">
        <v>1</v>
      </c>
      <c r="G1904">
        <f>LOG(382/(1+1))</f>
        <v>2.2810333672477277</v>
      </c>
      <c r="H1904">
        <f>0.0384615384615384*5.25227342804663</f>
        <v>0.2020105164633316</v>
      </c>
      <c r="I1904">
        <v>0.2020105164633319</v>
      </c>
    </row>
    <row r="1905" spans="1:9" x14ac:dyDescent="0.25">
      <c r="A1905">
        <v>256</v>
      </c>
      <c r="B1905" t="s">
        <v>1046</v>
      </c>
      <c r="C1905" t="s">
        <v>48</v>
      </c>
      <c r="D1905" t="s">
        <v>187</v>
      </c>
      <c r="E1905">
        <f>2/26</f>
        <v>7.6923076923076927E-2</v>
      </c>
      <c r="F1905">
        <v>21</v>
      </c>
      <c r="G1905">
        <f>LOG(382/(21+1))</f>
        <v>1.2396406820895025</v>
      </c>
      <c r="H1905">
        <f>0.0769230769230769*2.85437815524825</f>
        <v>0.21956755040371145</v>
      </c>
      <c r="I1905">
        <v>0.21956755040371231</v>
      </c>
    </row>
    <row r="1906" spans="1:9" x14ac:dyDescent="0.25">
      <c r="A1906">
        <v>256</v>
      </c>
      <c r="B1906" t="s">
        <v>1046</v>
      </c>
      <c r="C1906" t="s">
        <v>48</v>
      </c>
      <c r="D1906" t="s">
        <v>272</v>
      </c>
      <c r="E1906">
        <f>2/26</f>
        <v>7.6923076923076927E-2</v>
      </c>
      <c r="F1906">
        <v>17</v>
      </c>
      <c r="G1906">
        <f>LOG(382/(17+1))</f>
        <v>1.3267908578084027</v>
      </c>
      <c r="H1906">
        <f>0.0769230769230769*3.05504885071041</f>
        <v>0.23500375774695453</v>
      </c>
      <c r="I1906">
        <v>0.23500375774695459</v>
      </c>
    </row>
    <row r="1907" spans="1:9" x14ac:dyDescent="0.25">
      <c r="A1907">
        <v>257</v>
      </c>
      <c r="B1907" t="s">
        <v>1050</v>
      </c>
      <c r="C1907" t="s">
        <v>48</v>
      </c>
      <c r="D1907" t="s">
        <v>179</v>
      </c>
      <c r="E1907">
        <f>4/33</f>
        <v>0.12121212121212122</v>
      </c>
      <c r="F1907">
        <v>15</v>
      </c>
      <c r="G1907">
        <f>LOG(382/(15+1))</f>
        <v>1.3779433802557839</v>
      </c>
      <c r="H1907">
        <f>0.121212121212121*3.17283188636679</f>
        <v>0.38458568319597386</v>
      </c>
      <c r="I1907">
        <v>0.38458568319597508</v>
      </c>
    </row>
    <row r="1908" spans="1:9" x14ac:dyDescent="0.25">
      <c r="A1908">
        <v>257</v>
      </c>
      <c r="B1908" t="s">
        <v>1050</v>
      </c>
      <c r="C1908" t="s">
        <v>48</v>
      </c>
      <c r="D1908" t="s">
        <v>189</v>
      </c>
      <c r="E1908">
        <f>2/33</f>
        <v>6.0606060606060608E-2</v>
      </c>
      <c r="F1908">
        <v>27</v>
      </c>
      <c r="G1908">
        <f>LOG(382/(27+1))</f>
        <v>1.1349053315694895</v>
      </c>
      <c r="H1908">
        <f>0.0606060606060606*2.61321609843137</f>
        <v>0.15837673323826484</v>
      </c>
      <c r="I1908">
        <v>0.1583767332382649</v>
      </c>
    </row>
    <row r="1909" spans="1:9" x14ac:dyDescent="0.25">
      <c r="A1909">
        <v>257</v>
      </c>
      <c r="B1909" t="s">
        <v>1050</v>
      </c>
      <c r="C1909" t="s">
        <v>48</v>
      </c>
      <c r="D1909" t="s">
        <v>1051</v>
      </c>
      <c r="E1909">
        <f>3/33</f>
        <v>9.0909090909090912E-2</v>
      </c>
      <c r="F1909">
        <v>1</v>
      </c>
      <c r="G1909">
        <f>LOG(382/(1+1))</f>
        <v>2.2810333672477277</v>
      </c>
      <c r="H1909">
        <f>0.0909090909090909*5.25227342804663</f>
        <v>0.47747940254969357</v>
      </c>
      <c r="I1909">
        <v>0.47747940254969362</v>
      </c>
    </row>
    <row r="1910" spans="1:9" x14ac:dyDescent="0.25">
      <c r="A1910">
        <v>257</v>
      </c>
      <c r="B1910" t="s">
        <v>1050</v>
      </c>
      <c r="C1910" t="s">
        <v>48</v>
      </c>
      <c r="D1910" t="s">
        <v>695</v>
      </c>
      <c r="E1910">
        <f>1/33</f>
        <v>3.0303030303030304E-2</v>
      </c>
      <c r="F1910">
        <v>13</v>
      </c>
      <c r="G1910">
        <f>LOG(382/(13+1))</f>
        <v>1.4359353272334707</v>
      </c>
      <c r="H1910">
        <f>0.0303030303030303*3.30636327899131</f>
        <v>0.1001928266361003</v>
      </c>
      <c r="I1910">
        <v>0.1001928266361005</v>
      </c>
    </row>
    <row r="1911" spans="1:9" x14ac:dyDescent="0.25">
      <c r="A1911">
        <v>257</v>
      </c>
      <c r="B1911" t="s">
        <v>1050</v>
      </c>
      <c r="C1911" t="s">
        <v>48</v>
      </c>
      <c r="D1911" t="s">
        <v>262</v>
      </c>
      <c r="E1911">
        <f>1/33</f>
        <v>3.0303030303030304E-2</v>
      </c>
      <c r="F1911">
        <v>13</v>
      </c>
      <c r="G1911">
        <f>LOG(382/(13+1))</f>
        <v>1.4359353272334707</v>
      </c>
      <c r="H1911">
        <f>0.0303030303030303*3.30636327899131</f>
        <v>0.1001928266361003</v>
      </c>
      <c r="I1911">
        <v>0.1001928266361005</v>
      </c>
    </row>
    <row r="1912" spans="1:9" x14ac:dyDescent="0.25">
      <c r="A1912">
        <v>257</v>
      </c>
      <c r="B1912" t="s">
        <v>1050</v>
      </c>
      <c r="C1912" t="s">
        <v>48</v>
      </c>
      <c r="D1912" t="s">
        <v>187</v>
      </c>
      <c r="E1912">
        <f>1/33</f>
        <v>3.0303030303030304E-2</v>
      </c>
      <c r="F1912">
        <v>21</v>
      </c>
      <c r="G1912">
        <f>LOG(382/(21+1))</f>
        <v>1.2396406820895025</v>
      </c>
      <c r="H1912">
        <f>0.0303030303030303*2.85437815524825</f>
        <v>8.6496307734795441E-2</v>
      </c>
      <c r="I1912">
        <v>8.6496307734795733E-2</v>
      </c>
    </row>
    <row r="1913" spans="1:9" x14ac:dyDescent="0.25">
      <c r="A1913">
        <v>257</v>
      </c>
      <c r="B1913" t="s">
        <v>1050</v>
      </c>
      <c r="C1913" t="s">
        <v>48</v>
      </c>
      <c r="D1913" t="s">
        <v>58</v>
      </c>
      <c r="E1913">
        <f>2/33</f>
        <v>6.0606060606060608E-2</v>
      </c>
      <c r="F1913">
        <v>18</v>
      </c>
      <c r="G1913">
        <f>LOG(382/(18+1))</f>
        <v>1.3033097619588798</v>
      </c>
      <c r="H1913">
        <f>0.0606060606060606*3.00098162944013</f>
        <v>0.18187767451152304</v>
      </c>
      <c r="I1913">
        <v>0.18187767451152331</v>
      </c>
    </row>
    <row r="1914" spans="1:9" x14ac:dyDescent="0.25">
      <c r="A1914">
        <v>257</v>
      </c>
      <c r="B1914" t="s">
        <v>1050</v>
      </c>
      <c r="C1914" t="s">
        <v>48</v>
      </c>
      <c r="D1914" t="s">
        <v>1052</v>
      </c>
      <c r="E1914">
        <f t="shared" ref="E1914:E1919" si="84">1/33</f>
        <v>3.0303030303030304E-2</v>
      </c>
      <c r="F1914">
        <v>4</v>
      </c>
      <c r="G1914">
        <f>LOG(382/(4+1))</f>
        <v>1.8830933585756899</v>
      </c>
      <c r="H1914">
        <f>0.0303030303030303*4.33598269617247</f>
        <v>0.1313934150355294</v>
      </c>
      <c r="I1914">
        <v>0.13139341503552951</v>
      </c>
    </row>
    <row r="1915" spans="1:9" x14ac:dyDescent="0.25">
      <c r="A1915">
        <v>257</v>
      </c>
      <c r="B1915" t="s">
        <v>1050</v>
      </c>
      <c r="C1915" t="s">
        <v>48</v>
      </c>
      <c r="D1915" t="s">
        <v>44</v>
      </c>
      <c r="E1915">
        <f t="shared" si="84"/>
        <v>3.0303030303030304E-2</v>
      </c>
      <c r="F1915">
        <v>151</v>
      </c>
      <c r="G1915">
        <f>LOG(382/(151+1))</f>
        <v>0.40021977496693617</v>
      </c>
      <c r="H1915">
        <f>0.0303030303030303*0.921540087760298</f>
        <v>2.7925457204857514E-2</v>
      </c>
      <c r="I1915">
        <v>2.7925457204857541E-2</v>
      </c>
    </row>
    <row r="1916" spans="1:9" x14ac:dyDescent="0.25">
      <c r="A1916">
        <v>257</v>
      </c>
      <c r="B1916" t="s">
        <v>1050</v>
      </c>
      <c r="C1916" t="s">
        <v>48</v>
      </c>
      <c r="D1916" t="s">
        <v>263</v>
      </c>
      <c r="E1916">
        <f t="shared" si="84"/>
        <v>3.0303030303030304E-2</v>
      </c>
      <c r="F1916">
        <v>41</v>
      </c>
      <c r="G1916">
        <f>LOG(382/(41+1))</f>
        <v>0.95881407251380824</v>
      </c>
      <c r="H1916">
        <f>0.0303030303030303*2.2077509903232</f>
        <v>6.6901545161309098E-2</v>
      </c>
      <c r="I1916">
        <v>6.6901545161309306E-2</v>
      </c>
    </row>
    <row r="1917" spans="1:9" x14ac:dyDescent="0.25">
      <c r="A1917">
        <v>257</v>
      </c>
      <c r="B1917" t="s">
        <v>1050</v>
      </c>
      <c r="C1917" t="s">
        <v>48</v>
      </c>
      <c r="D1917" t="s">
        <v>1053</v>
      </c>
      <c r="E1917">
        <f t="shared" si="84"/>
        <v>3.0303030303030304E-2</v>
      </c>
      <c r="F1917">
        <v>1</v>
      </c>
      <c r="G1917">
        <f>LOG(382/(1+1))</f>
        <v>2.2810333672477277</v>
      </c>
      <c r="H1917">
        <f>0.0303030303030303*5.25227342804663</f>
        <v>0.15915980084989786</v>
      </c>
      <c r="I1917">
        <v>0.15915980084989789</v>
      </c>
    </row>
    <row r="1918" spans="1:9" x14ac:dyDescent="0.25">
      <c r="A1918">
        <v>257</v>
      </c>
      <c r="B1918" t="s">
        <v>1050</v>
      </c>
      <c r="C1918" t="s">
        <v>48</v>
      </c>
      <c r="D1918" t="s">
        <v>458</v>
      </c>
      <c r="E1918">
        <f t="shared" si="84"/>
        <v>3.0303030303030304E-2</v>
      </c>
      <c r="F1918">
        <v>34</v>
      </c>
      <c r="G1918">
        <f>LOG(382/(34+1))</f>
        <v>1.037995318561433</v>
      </c>
      <c r="H1918">
        <f>0.0303030303030303*2.39007254711716</f>
        <v>7.2426440821732121E-2</v>
      </c>
      <c r="I1918">
        <v>7.2426440821732163E-2</v>
      </c>
    </row>
    <row r="1919" spans="1:9" x14ac:dyDescent="0.25">
      <c r="A1919">
        <v>257</v>
      </c>
      <c r="B1919" t="s">
        <v>1050</v>
      </c>
      <c r="C1919" t="s">
        <v>48</v>
      </c>
      <c r="D1919" t="s">
        <v>53</v>
      </c>
      <c r="E1919">
        <f t="shared" si="84"/>
        <v>3.0303030303030304E-2</v>
      </c>
      <c r="F1919">
        <v>57</v>
      </c>
      <c r="G1919">
        <f>LOG(382/(57+1))</f>
        <v>0.81863536934877146</v>
      </c>
      <c r="H1919">
        <f>0.0303030303030303*1.88497759806015</f>
        <v>5.7120533274549995E-2</v>
      </c>
      <c r="I1919">
        <v>5.7120533274550182E-2</v>
      </c>
    </row>
    <row r="1920" spans="1:9" x14ac:dyDescent="0.25">
      <c r="A1920">
        <v>257</v>
      </c>
      <c r="B1920" t="s">
        <v>1050</v>
      </c>
      <c r="C1920" t="s">
        <v>48</v>
      </c>
      <c r="D1920" t="s">
        <v>50</v>
      </c>
      <c r="E1920">
        <f>2/33</f>
        <v>6.0606060606060608E-2</v>
      </c>
      <c r="F1920">
        <v>109</v>
      </c>
      <c r="G1920">
        <f>LOG(382/(109+1))</f>
        <v>0.54067067775348365</v>
      </c>
      <c r="H1920">
        <f>0.0606060606060606*1.24494024281415</f>
        <v>7.5450923806918174E-2</v>
      </c>
      <c r="I1920">
        <v>7.5450923806918729E-2</v>
      </c>
    </row>
    <row r="1921" spans="1:9" x14ac:dyDescent="0.25">
      <c r="A1921">
        <v>257</v>
      </c>
      <c r="B1921" t="s">
        <v>1050</v>
      </c>
      <c r="C1921" t="s">
        <v>48</v>
      </c>
      <c r="D1921" t="s">
        <v>41</v>
      </c>
      <c r="E1921">
        <f>2/33</f>
        <v>6.0606060606060608E-2</v>
      </c>
      <c r="F1921">
        <v>195</v>
      </c>
      <c r="G1921">
        <f>LOG(382/(195+1))</f>
        <v>0.28980729155523272</v>
      </c>
      <c r="H1921">
        <f>0.0606060606060606*0.667305949376058</f>
        <v>4.0442784810670179E-2</v>
      </c>
      <c r="I1921">
        <v>4.0442784810670193E-2</v>
      </c>
    </row>
    <row r="1922" spans="1:9" x14ac:dyDescent="0.25">
      <c r="A1922">
        <v>257</v>
      </c>
      <c r="B1922" t="s">
        <v>1050</v>
      </c>
      <c r="C1922" t="s">
        <v>48</v>
      </c>
      <c r="D1922" t="s">
        <v>1054</v>
      </c>
      <c r="E1922">
        <f>1/33</f>
        <v>3.0303030303030304E-2</v>
      </c>
      <c r="F1922">
        <v>1</v>
      </c>
      <c r="G1922">
        <f>LOG(382/(1+1))</f>
        <v>2.2810333672477277</v>
      </c>
      <c r="H1922">
        <f>0.0303030303030303*5.25227342804663</f>
        <v>0.15915980084989786</v>
      </c>
      <c r="I1922">
        <v>0.15915980084989789</v>
      </c>
    </row>
    <row r="1923" spans="1:9" x14ac:dyDescent="0.25">
      <c r="A1923">
        <v>257</v>
      </c>
      <c r="B1923" t="s">
        <v>1050</v>
      </c>
      <c r="C1923" t="s">
        <v>48</v>
      </c>
      <c r="D1923" t="s">
        <v>1055</v>
      </c>
      <c r="E1923">
        <f>1/33</f>
        <v>3.0303030303030304E-2</v>
      </c>
      <c r="F1923">
        <v>1</v>
      </c>
      <c r="G1923">
        <f>LOG(382/(1+1))</f>
        <v>2.2810333672477277</v>
      </c>
      <c r="H1923">
        <f>0.0303030303030303*5.25227342804663</f>
        <v>0.15915980084989786</v>
      </c>
      <c r="I1923">
        <v>0.15915980084989789</v>
      </c>
    </row>
    <row r="1924" spans="1:9" x14ac:dyDescent="0.25">
      <c r="A1924">
        <v>257</v>
      </c>
      <c r="B1924" t="s">
        <v>1050</v>
      </c>
      <c r="C1924" t="s">
        <v>48</v>
      </c>
      <c r="D1924" t="s">
        <v>273</v>
      </c>
      <c r="E1924">
        <f>1/33</f>
        <v>3.0303030303030304E-2</v>
      </c>
      <c r="F1924">
        <v>6</v>
      </c>
      <c r="G1924">
        <f>LOG(382/(6+1))</f>
        <v>1.736965322897452</v>
      </c>
      <c r="H1924">
        <f>0.0303030303030303*3.99951045955126</f>
        <v>0.12119728665306848</v>
      </c>
      <c r="I1924">
        <v>0.1211972866530685</v>
      </c>
    </row>
    <row r="1925" spans="1:9" x14ac:dyDescent="0.25">
      <c r="A1925">
        <v>257</v>
      </c>
      <c r="B1925" t="s">
        <v>1050</v>
      </c>
      <c r="C1925" t="s">
        <v>48</v>
      </c>
      <c r="D1925" t="s">
        <v>272</v>
      </c>
      <c r="E1925">
        <f>1/33</f>
        <v>3.0303030303030304E-2</v>
      </c>
      <c r="F1925">
        <v>17</v>
      </c>
      <c r="G1925">
        <f>LOG(382/(17+1))</f>
        <v>1.3267908578084027</v>
      </c>
      <c r="H1925">
        <f>0.0303030303030303*3.05504885071041</f>
        <v>9.257723790031544E-2</v>
      </c>
      <c r="I1925">
        <v>9.2577237900315468E-2</v>
      </c>
    </row>
    <row r="1926" spans="1:9" x14ac:dyDescent="0.25">
      <c r="A1926">
        <v>257</v>
      </c>
      <c r="B1926" t="s">
        <v>1050</v>
      </c>
      <c r="C1926" t="s">
        <v>48</v>
      </c>
      <c r="D1926" t="s">
        <v>482</v>
      </c>
      <c r="E1926">
        <f>2/33</f>
        <v>6.0606060606060608E-2</v>
      </c>
      <c r="F1926">
        <v>16</v>
      </c>
      <c r="G1926">
        <f>LOG(382/(16+1))</f>
        <v>1.3516144415334348</v>
      </c>
      <c r="H1926">
        <f>0.0606060606060606*3.11220726455035</f>
        <v>0.18861862209396058</v>
      </c>
      <c r="I1926">
        <v>0.18861862209396121</v>
      </c>
    </row>
    <row r="1927" spans="1:9" x14ac:dyDescent="0.25">
      <c r="A1927">
        <v>257</v>
      </c>
      <c r="B1927" t="s">
        <v>1050</v>
      </c>
      <c r="C1927" t="s">
        <v>48</v>
      </c>
      <c r="D1927" t="s">
        <v>1056</v>
      </c>
      <c r="E1927">
        <f>1/33</f>
        <v>3.0303030303030304E-2</v>
      </c>
      <c r="F1927">
        <v>3</v>
      </c>
      <c r="G1927">
        <f>LOG(382/(3+1))</f>
        <v>1.9800033715837464</v>
      </c>
      <c r="H1927">
        <f>0.0303030303030303*4.55912624748668</f>
        <v>0.13815534083292969</v>
      </c>
      <c r="I1927">
        <v>0.1381553408329298</v>
      </c>
    </row>
    <row r="1928" spans="1:9" x14ac:dyDescent="0.25">
      <c r="A1928">
        <v>257</v>
      </c>
      <c r="B1928" t="s">
        <v>1050</v>
      </c>
      <c r="C1928" t="s">
        <v>48</v>
      </c>
      <c r="D1928" t="s">
        <v>184</v>
      </c>
      <c r="E1928">
        <f>1/33</f>
        <v>3.0303030303030304E-2</v>
      </c>
      <c r="F1928">
        <v>7</v>
      </c>
      <c r="G1928">
        <f>LOG(382/(7+1))</f>
        <v>1.6789733759197651</v>
      </c>
      <c r="H1928">
        <f>0.0303030303030303*3.86597906692673</f>
        <v>0.11715088081596151</v>
      </c>
      <c r="I1928">
        <v>0.1171508808159618</v>
      </c>
    </row>
    <row r="1929" spans="1:9" x14ac:dyDescent="0.25">
      <c r="A1929">
        <v>257</v>
      </c>
      <c r="B1929" t="s">
        <v>1050</v>
      </c>
      <c r="C1929" t="s">
        <v>48</v>
      </c>
      <c r="D1929" t="s">
        <v>1057</v>
      </c>
      <c r="E1929">
        <f>1/33</f>
        <v>3.0303030303030304E-2</v>
      </c>
      <c r="F1929">
        <v>2</v>
      </c>
      <c r="G1929">
        <f>LOG(382/(2+1))</f>
        <v>2.1049421081920463</v>
      </c>
      <c r="H1929">
        <f>0.0303030303030303*4.84680831993846</f>
        <v>0.14687297939207453</v>
      </c>
      <c r="I1929">
        <v>0.14687297939207469</v>
      </c>
    </row>
    <row r="1930" spans="1:9" x14ac:dyDescent="0.25">
      <c r="A1930">
        <v>258</v>
      </c>
      <c r="B1930" t="s">
        <v>1058</v>
      </c>
      <c r="C1930" t="s">
        <v>48</v>
      </c>
      <c r="D1930" t="s">
        <v>818</v>
      </c>
      <c r="E1930">
        <f>1/28</f>
        <v>3.5714285714285712E-2</v>
      </c>
      <c r="F1930">
        <v>7</v>
      </c>
      <c r="G1930">
        <f>LOG(382/(7+1))</f>
        <v>1.6789733759197651</v>
      </c>
      <c r="H1930">
        <f>0.0357142857142857*3.86597906692673</f>
        <v>0.13807068096166888</v>
      </c>
      <c r="I1930">
        <v>0.13807068096166919</v>
      </c>
    </row>
    <row r="1931" spans="1:9" x14ac:dyDescent="0.25">
      <c r="A1931">
        <v>258</v>
      </c>
      <c r="B1931" t="s">
        <v>1058</v>
      </c>
      <c r="C1931" t="s">
        <v>48</v>
      </c>
      <c r="D1931" t="s">
        <v>104</v>
      </c>
      <c r="E1931">
        <f>4/28</f>
        <v>0.14285714285714285</v>
      </c>
      <c r="F1931">
        <v>49</v>
      </c>
      <c r="G1931">
        <f>LOG(382/(49+1))</f>
        <v>0.88309335857568994</v>
      </c>
      <c r="H1931">
        <f>0.142857142857142*2.03339760317842</f>
        <v>0.29048537188262968</v>
      </c>
      <c r="I1931">
        <v>0.29048537188263268</v>
      </c>
    </row>
    <row r="1932" spans="1:9" x14ac:dyDescent="0.25">
      <c r="A1932">
        <v>258</v>
      </c>
      <c r="B1932" t="s">
        <v>1058</v>
      </c>
      <c r="C1932" t="s">
        <v>48</v>
      </c>
      <c r="D1932" t="s">
        <v>1059</v>
      </c>
      <c r="E1932">
        <f>3/28</f>
        <v>0.10714285714285714</v>
      </c>
      <c r="F1932">
        <v>16</v>
      </c>
      <c r="G1932">
        <f>LOG(382/(16+1))</f>
        <v>1.3516144415334348</v>
      </c>
      <c r="H1932">
        <f>0.107142857142857*3.11220726455035</f>
        <v>0.3334507783446799</v>
      </c>
      <c r="I1932">
        <v>0.33345077834468129</v>
      </c>
    </row>
    <row r="1933" spans="1:9" x14ac:dyDescent="0.25">
      <c r="A1933">
        <v>258</v>
      </c>
      <c r="B1933" t="s">
        <v>1058</v>
      </c>
      <c r="C1933" t="s">
        <v>48</v>
      </c>
      <c r="D1933" t="s">
        <v>183</v>
      </c>
      <c r="E1933">
        <f>1/28</f>
        <v>3.5714285714285712E-2</v>
      </c>
      <c r="F1933">
        <v>46</v>
      </c>
      <c r="G1933">
        <f>LOG(382/(46+1))</f>
        <v>0.90996550497599127</v>
      </c>
      <c r="H1933">
        <f>0.0357142857142857*2.09527300689651</f>
        <v>7.4831178817732477E-2</v>
      </c>
      <c r="I1933">
        <v>7.4831178817732727E-2</v>
      </c>
    </row>
    <row r="1934" spans="1:9" x14ac:dyDescent="0.25">
      <c r="A1934">
        <v>258</v>
      </c>
      <c r="B1934" t="s">
        <v>1058</v>
      </c>
      <c r="C1934" t="s">
        <v>48</v>
      </c>
      <c r="D1934" t="s">
        <v>458</v>
      </c>
      <c r="E1934">
        <f>2/28</f>
        <v>7.1428571428571425E-2</v>
      </c>
      <c r="F1934">
        <v>34</v>
      </c>
      <c r="G1934">
        <f>LOG(382/(34+1))</f>
        <v>1.037995318561433</v>
      </c>
      <c r="H1934">
        <f>0.0714285714285714*2.39007254711716</f>
        <v>0.17071946765122564</v>
      </c>
      <c r="I1934">
        <v>0.17071946765122581</v>
      </c>
    </row>
    <row r="1935" spans="1:9" x14ac:dyDescent="0.25">
      <c r="A1935">
        <v>258</v>
      </c>
      <c r="B1935" t="s">
        <v>1058</v>
      </c>
      <c r="C1935" t="s">
        <v>48</v>
      </c>
      <c r="D1935" t="s">
        <v>60</v>
      </c>
      <c r="E1935">
        <f>1/28</f>
        <v>3.5714285714285712E-2</v>
      </c>
      <c r="F1935">
        <v>24</v>
      </c>
      <c r="G1935">
        <f>LOG(382/(24+1))</f>
        <v>1.1841233542396712</v>
      </c>
      <c r="H1935">
        <f>0.0357142857142857*2.72654478373837</f>
        <v>9.7376599419227453E-2</v>
      </c>
      <c r="I1935">
        <v>9.7376599419227647E-2</v>
      </c>
    </row>
    <row r="1936" spans="1:9" x14ac:dyDescent="0.25">
      <c r="A1936">
        <v>258</v>
      </c>
      <c r="B1936" t="s">
        <v>1058</v>
      </c>
      <c r="C1936" t="s">
        <v>48</v>
      </c>
      <c r="D1936" t="s">
        <v>52</v>
      </c>
      <c r="E1936">
        <f>2/28</f>
        <v>7.1428571428571425E-2</v>
      </c>
      <c r="F1936">
        <v>35</v>
      </c>
      <c r="G1936">
        <f>LOG(382/(35+1))</f>
        <v>1.0257608621444214</v>
      </c>
      <c r="H1936">
        <f>0.0714285714285714*2.36190167015046</f>
        <v>0.16870726215360421</v>
      </c>
      <c r="I1936">
        <v>0.1687072621536046</v>
      </c>
    </row>
    <row r="1937" spans="1:9" x14ac:dyDescent="0.25">
      <c r="A1937">
        <v>258</v>
      </c>
      <c r="B1937" t="s">
        <v>1058</v>
      </c>
      <c r="C1937" t="s">
        <v>48</v>
      </c>
      <c r="D1937" t="s">
        <v>105</v>
      </c>
      <c r="E1937">
        <f t="shared" ref="E1937:E1950" si="85">1/28</f>
        <v>3.5714285714285712E-2</v>
      </c>
      <c r="F1937">
        <v>122</v>
      </c>
      <c r="G1937">
        <f>LOG(382/(122+1))</f>
        <v>0.49215825147231079</v>
      </c>
      <c r="H1937">
        <f>0.0357142857142857*1.13323625323415</f>
        <v>4.0472723329791051E-2</v>
      </c>
      <c r="I1937">
        <v>4.0472723329791342E-2</v>
      </c>
    </row>
    <row r="1938" spans="1:9" x14ac:dyDescent="0.25">
      <c r="A1938">
        <v>258</v>
      </c>
      <c r="B1938" t="s">
        <v>1058</v>
      </c>
      <c r="C1938" t="s">
        <v>48</v>
      </c>
      <c r="D1938" t="s">
        <v>533</v>
      </c>
      <c r="E1938">
        <f t="shared" si="85"/>
        <v>3.5714285714285712E-2</v>
      </c>
      <c r="F1938">
        <v>8</v>
      </c>
      <c r="G1938">
        <f>LOG(382/(8+1))</f>
        <v>1.6278208534723839</v>
      </c>
      <c r="H1938">
        <f>0.0357142857142857*3.74819603127035</f>
        <v>0.133864143973941</v>
      </c>
      <c r="I1938">
        <v>0.13386414397394131</v>
      </c>
    </row>
    <row r="1939" spans="1:9" x14ac:dyDescent="0.25">
      <c r="A1939">
        <v>258</v>
      </c>
      <c r="B1939" t="s">
        <v>1058</v>
      </c>
      <c r="C1939" t="s">
        <v>48</v>
      </c>
      <c r="D1939" t="s">
        <v>1060</v>
      </c>
      <c r="E1939">
        <f t="shared" si="85"/>
        <v>3.5714285714285712E-2</v>
      </c>
      <c r="F1939">
        <v>15</v>
      </c>
      <c r="G1939">
        <f>LOG(382/(15+1))</f>
        <v>1.3779433802557839</v>
      </c>
      <c r="H1939">
        <f>0.0357142857142857*3.17283188636679</f>
        <v>0.1133154245130996</v>
      </c>
      <c r="I1939">
        <v>0.1133154245130998</v>
      </c>
    </row>
    <row r="1940" spans="1:9" x14ac:dyDescent="0.25">
      <c r="A1940">
        <v>258</v>
      </c>
      <c r="B1940" t="s">
        <v>1058</v>
      </c>
      <c r="C1940" t="s">
        <v>48</v>
      </c>
      <c r="D1940" t="s">
        <v>1061</v>
      </c>
      <c r="E1940">
        <f t="shared" si="85"/>
        <v>3.5714285714285712E-2</v>
      </c>
      <c r="F1940">
        <v>2</v>
      </c>
      <c r="G1940">
        <f>LOG(382/(2+1))</f>
        <v>2.1049421081920463</v>
      </c>
      <c r="H1940">
        <f>0.0357142857142857*4.84680831993846</f>
        <v>0.17310029714065922</v>
      </c>
      <c r="I1940">
        <v>0.1731002971406595</v>
      </c>
    </row>
    <row r="1941" spans="1:9" x14ac:dyDescent="0.25">
      <c r="A1941">
        <v>258</v>
      </c>
      <c r="B1941" t="s">
        <v>1058</v>
      </c>
      <c r="C1941" t="s">
        <v>48</v>
      </c>
      <c r="D1941" t="s">
        <v>144</v>
      </c>
      <c r="E1941">
        <f t="shared" si="85"/>
        <v>3.5714285714285712E-2</v>
      </c>
      <c r="F1941">
        <v>105</v>
      </c>
      <c r="G1941">
        <f>LOG(382/(105+1))</f>
        <v>0.55675749764693849</v>
      </c>
      <c r="H1941">
        <f>0.0357142857142857*1.2819815144945</f>
        <v>4.5785054089089262E-2</v>
      </c>
      <c r="I1941">
        <v>4.5785054089089568E-2</v>
      </c>
    </row>
    <row r="1942" spans="1:9" x14ac:dyDescent="0.25">
      <c r="A1942">
        <v>258</v>
      </c>
      <c r="B1942" t="s">
        <v>1058</v>
      </c>
      <c r="C1942" t="s">
        <v>48</v>
      </c>
      <c r="D1942" t="s">
        <v>1062</v>
      </c>
      <c r="E1942">
        <f t="shared" si="85"/>
        <v>3.5714285714285712E-2</v>
      </c>
      <c r="F1942">
        <v>5</v>
      </c>
      <c r="G1942">
        <f>LOG(382/(5+1))</f>
        <v>1.803912112528065</v>
      </c>
      <c r="H1942">
        <f>0.0357142857142857*4.15366113937852</f>
        <v>0.14834504069208992</v>
      </c>
      <c r="I1942">
        <v>0.14834504069209001</v>
      </c>
    </row>
    <row r="1943" spans="1:9" x14ac:dyDescent="0.25">
      <c r="A1943">
        <v>258</v>
      </c>
      <c r="B1943" t="s">
        <v>1058</v>
      </c>
      <c r="C1943" t="s">
        <v>48</v>
      </c>
      <c r="D1943" t="s">
        <v>115</v>
      </c>
      <c r="E1943">
        <f t="shared" si="85"/>
        <v>3.5714285714285712E-2</v>
      </c>
      <c r="F1943">
        <v>17</v>
      </c>
      <c r="G1943">
        <f>LOG(382/(17+1))</f>
        <v>1.3267908578084027</v>
      </c>
      <c r="H1943">
        <f>0.0357142857142857*3.05504885071041</f>
        <v>0.10910888752537173</v>
      </c>
      <c r="I1943">
        <v>0.1091088875253718</v>
      </c>
    </row>
    <row r="1944" spans="1:9" x14ac:dyDescent="0.25">
      <c r="A1944">
        <v>258</v>
      </c>
      <c r="B1944" t="s">
        <v>1058</v>
      </c>
      <c r="C1944" t="s">
        <v>48</v>
      </c>
      <c r="D1944" t="s">
        <v>15</v>
      </c>
      <c r="E1944">
        <f t="shared" si="85"/>
        <v>3.5714285714285712E-2</v>
      </c>
      <c r="F1944">
        <v>112</v>
      </c>
      <c r="G1944">
        <f>LOG(382/(112+1))</f>
        <v>0.52898491942828896</v>
      </c>
      <c r="H1944">
        <f>0.0357142857142857*1.21803278989423</f>
        <v>4.3501171067651057E-2</v>
      </c>
      <c r="I1944">
        <v>4.3501171067651237E-2</v>
      </c>
    </row>
    <row r="1945" spans="1:9" x14ac:dyDescent="0.25">
      <c r="A1945">
        <v>258</v>
      </c>
      <c r="B1945" t="s">
        <v>1058</v>
      </c>
      <c r="C1945" t="s">
        <v>48</v>
      </c>
      <c r="D1945" t="s">
        <v>1063</v>
      </c>
      <c r="E1945">
        <f t="shared" si="85"/>
        <v>3.5714285714285712E-2</v>
      </c>
      <c r="F1945">
        <v>3</v>
      </c>
      <c r="G1945">
        <f>LOG(382/(3+1))</f>
        <v>1.9800033715837464</v>
      </c>
      <c r="H1945">
        <f>0.0357142857142857*4.55912624748668</f>
        <v>0.16282593741023851</v>
      </c>
      <c r="I1945">
        <v>0.16282593741023871</v>
      </c>
    </row>
    <row r="1946" spans="1:9" x14ac:dyDescent="0.25">
      <c r="A1946">
        <v>258</v>
      </c>
      <c r="B1946" t="s">
        <v>1058</v>
      </c>
      <c r="C1946" t="s">
        <v>48</v>
      </c>
      <c r="D1946" t="s">
        <v>17</v>
      </c>
      <c r="E1946">
        <f t="shared" si="85"/>
        <v>3.5714285714285712E-2</v>
      </c>
      <c r="F1946">
        <v>169</v>
      </c>
      <c r="G1946">
        <f>LOG(382/(169+1))</f>
        <v>0.3516144415334348</v>
      </c>
      <c r="H1946">
        <f>0.0357142857142857*0.809622171556313</f>
        <v>2.8915077555582595E-2</v>
      </c>
      <c r="I1946">
        <v>2.8915077555582619E-2</v>
      </c>
    </row>
    <row r="1947" spans="1:9" x14ac:dyDescent="0.25">
      <c r="A1947">
        <v>258</v>
      </c>
      <c r="B1947" t="s">
        <v>1058</v>
      </c>
      <c r="C1947" t="s">
        <v>48</v>
      </c>
      <c r="D1947" t="s">
        <v>1064</v>
      </c>
      <c r="E1947">
        <f t="shared" si="85"/>
        <v>3.5714285714285712E-2</v>
      </c>
      <c r="F1947">
        <v>7</v>
      </c>
      <c r="G1947">
        <f>LOG(382/(7+1))</f>
        <v>1.6789733759197651</v>
      </c>
      <c r="H1947">
        <f>0.0357142857142857*3.86597906692673</f>
        <v>0.13807068096166888</v>
      </c>
      <c r="I1947">
        <v>0.13807068096166919</v>
      </c>
    </row>
    <row r="1948" spans="1:9" x14ac:dyDescent="0.25">
      <c r="A1948">
        <v>258</v>
      </c>
      <c r="B1948" t="s">
        <v>1058</v>
      </c>
      <c r="C1948" t="s">
        <v>48</v>
      </c>
      <c r="D1948" t="s">
        <v>19</v>
      </c>
      <c r="E1948">
        <f t="shared" si="85"/>
        <v>3.5714285714285712E-2</v>
      </c>
      <c r="F1948">
        <v>220</v>
      </c>
      <c r="G1948">
        <f>LOG(382/(220+1))</f>
        <v>0.23767108922659805</v>
      </c>
      <c r="H1948">
        <f>0.0357142857142857*0.547257907088822</f>
        <v>1.9544925253172207E-2</v>
      </c>
      <c r="I1948">
        <v>1.9544925253172231E-2</v>
      </c>
    </row>
    <row r="1949" spans="1:9" x14ac:dyDescent="0.25">
      <c r="A1949">
        <v>258</v>
      </c>
      <c r="B1949" t="s">
        <v>1058</v>
      </c>
      <c r="C1949" t="s">
        <v>48</v>
      </c>
      <c r="D1949" t="s">
        <v>808</v>
      </c>
      <c r="E1949">
        <f t="shared" si="85"/>
        <v>3.5714285714285712E-2</v>
      </c>
      <c r="F1949">
        <v>20</v>
      </c>
      <c r="G1949">
        <f>LOG(382/(20+1))</f>
        <v>1.2598440681777894</v>
      </c>
      <c r="H1949">
        <f>0.0357142857142857*2.90089817088315</f>
        <v>0.1036035061029696</v>
      </c>
      <c r="I1949">
        <v>0.1036035061029697</v>
      </c>
    </row>
    <row r="1950" spans="1:9" x14ac:dyDescent="0.25">
      <c r="A1950">
        <v>258</v>
      </c>
      <c r="B1950" t="s">
        <v>1058</v>
      </c>
      <c r="C1950" t="s">
        <v>48</v>
      </c>
      <c r="D1950" t="s">
        <v>809</v>
      </c>
      <c r="E1950">
        <f t="shared" si="85"/>
        <v>3.5714285714285712E-2</v>
      </c>
      <c r="F1950">
        <v>19</v>
      </c>
      <c r="G1950">
        <f>LOG(382/(19+1))</f>
        <v>1.2810333672477277</v>
      </c>
      <c r="H1950">
        <f>0.0357142857142857*2.94968833505258</f>
        <v>0.10534601196616353</v>
      </c>
      <c r="I1950">
        <v>0.10534601196616369</v>
      </c>
    </row>
    <row r="1951" spans="1:9" x14ac:dyDescent="0.25">
      <c r="A1951">
        <v>259</v>
      </c>
      <c r="B1951" t="s">
        <v>1065</v>
      </c>
      <c r="C1951" t="s">
        <v>10</v>
      </c>
      <c r="D1951" t="s">
        <v>44</v>
      </c>
      <c r="E1951">
        <f>5/100</f>
        <v>0.05</v>
      </c>
      <c r="F1951">
        <v>151</v>
      </c>
      <c r="G1951">
        <f>LOG(382/(151+1))</f>
        <v>0.40021977496693617</v>
      </c>
      <c r="H1951">
        <f>0.05*0.921540087760298</f>
        <v>4.6077004388014903E-2</v>
      </c>
      <c r="I1951">
        <v>4.6077004388014937E-2</v>
      </c>
    </row>
    <row r="1952" spans="1:9" x14ac:dyDescent="0.25">
      <c r="A1952">
        <v>259</v>
      </c>
      <c r="B1952" t="s">
        <v>1065</v>
      </c>
      <c r="C1952" t="s">
        <v>10</v>
      </c>
      <c r="D1952" t="s">
        <v>1066</v>
      </c>
      <c r="E1952">
        <f>1/100</f>
        <v>0.01</v>
      </c>
      <c r="F1952">
        <v>3</v>
      </c>
      <c r="G1952">
        <f>LOG(382/(3+1))</f>
        <v>1.9800033715837464</v>
      </c>
      <c r="H1952">
        <f>0.01*4.55912624748668</f>
        <v>4.5591262474866799E-2</v>
      </c>
      <c r="I1952">
        <v>4.5591262474866848E-2</v>
      </c>
    </row>
    <row r="1953" spans="1:9" x14ac:dyDescent="0.25">
      <c r="A1953">
        <v>259</v>
      </c>
      <c r="B1953" t="s">
        <v>1065</v>
      </c>
      <c r="C1953" t="s">
        <v>10</v>
      </c>
      <c r="D1953" t="s">
        <v>275</v>
      </c>
      <c r="E1953">
        <f>1/100</f>
        <v>0.01</v>
      </c>
      <c r="F1953">
        <v>6</v>
      </c>
      <c r="G1953">
        <f>LOG(382/(6+1))</f>
        <v>1.736965322897452</v>
      </c>
      <c r="H1953">
        <f>0.01*3.99951045955126</f>
        <v>3.9995104595512601E-2</v>
      </c>
      <c r="I1953">
        <v>3.9995104595512622E-2</v>
      </c>
    </row>
    <row r="1954" spans="1:9" x14ac:dyDescent="0.25">
      <c r="A1954">
        <v>259</v>
      </c>
      <c r="B1954" t="s">
        <v>1065</v>
      </c>
      <c r="C1954" t="s">
        <v>10</v>
      </c>
      <c r="D1954" t="s">
        <v>144</v>
      </c>
      <c r="E1954">
        <f>1/100</f>
        <v>0.01</v>
      </c>
      <c r="F1954">
        <v>105</v>
      </c>
      <c r="G1954">
        <f>LOG(382/(105+1))</f>
        <v>0.55675749764693849</v>
      </c>
      <c r="H1954">
        <f>0.01*1.2819815144945</f>
        <v>1.2819815144944999E-2</v>
      </c>
      <c r="I1954">
        <v>1.281981514494508E-2</v>
      </c>
    </row>
    <row r="1955" spans="1:9" x14ac:dyDescent="0.25">
      <c r="A1955">
        <v>259</v>
      </c>
      <c r="B1955" t="s">
        <v>1065</v>
      </c>
      <c r="C1955" t="s">
        <v>10</v>
      </c>
      <c r="D1955" t="s">
        <v>68</v>
      </c>
      <c r="E1955">
        <f>3/100</f>
        <v>0.03</v>
      </c>
      <c r="F1955">
        <v>43</v>
      </c>
      <c r="G1955">
        <f>LOG(382/(43+1))</f>
        <v>0.93861068642552126</v>
      </c>
      <c r="H1955">
        <f>0.03*2.16123097468831</f>
        <v>6.4836929240649294E-2</v>
      </c>
      <c r="I1955">
        <v>6.4836929240649419E-2</v>
      </c>
    </row>
    <row r="1956" spans="1:9" x14ac:dyDescent="0.25">
      <c r="A1956">
        <v>259</v>
      </c>
      <c r="B1956" t="s">
        <v>1065</v>
      </c>
      <c r="C1956" t="s">
        <v>10</v>
      </c>
      <c r="D1956" t="s">
        <v>204</v>
      </c>
      <c r="E1956">
        <f>6/100</f>
        <v>0.06</v>
      </c>
      <c r="F1956">
        <v>166</v>
      </c>
      <c r="G1956">
        <f>LOG(382/(166+1))</f>
        <v>0.35934689176412549</v>
      </c>
      <c r="H1956">
        <f>0.06*0.82742679618982</f>
        <v>4.9645607771389197E-2</v>
      </c>
      <c r="I1956">
        <v>4.9645607771389197E-2</v>
      </c>
    </row>
    <row r="1957" spans="1:9" x14ac:dyDescent="0.25">
      <c r="A1957">
        <v>259</v>
      </c>
      <c r="B1957" t="s">
        <v>1065</v>
      </c>
      <c r="C1957" t="s">
        <v>10</v>
      </c>
      <c r="D1957" t="s">
        <v>76</v>
      </c>
      <c r="E1957">
        <f>7/100</f>
        <v>7.0000000000000007E-2</v>
      </c>
      <c r="F1957">
        <v>140</v>
      </c>
      <c r="G1957">
        <f>LOG(382/(140+1))</f>
        <v>0.43284425025632883</v>
      </c>
      <c r="H1957">
        <f>0.07*0.996660718228407</f>
        <v>6.9766250275988498E-2</v>
      </c>
      <c r="I1957">
        <v>6.9766250275988498E-2</v>
      </c>
    </row>
    <row r="1958" spans="1:9" x14ac:dyDescent="0.25">
      <c r="A1958">
        <v>259</v>
      </c>
      <c r="B1958" t="s">
        <v>1065</v>
      </c>
      <c r="C1958" t="s">
        <v>10</v>
      </c>
      <c r="D1958" t="s">
        <v>77</v>
      </c>
      <c r="E1958">
        <f>4/100</f>
        <v>0.04</v>
      </c>
      <c r="F1958">
        <v>148</v>
      </c>
      <c r="G1958">
        <f>LOG(382/(148+1))</f>
        <v>0.40887709449943471</v>
      </c>
      <c r="H1958">
        <f>0.04*0.941474302661116</f>
        <v>3.7658972106444637E-2</v>
      </c>
      <c r="I1958">
        <v>3.7658972106444637E-2</v>
      </c>
    </row>
    <row r="1959" spans="1:9" x14ac:dyDescent="0.25">
      <c r="A1959">
        <v>259</v>
      </c>
      <c r="B1959" t="s">
        <v>1065</v>
      </c>
      <c r="C1959" t="s">
        <v>10</v>
      </c>
      <c r="D1959" t="s">
        <v>487</v>
      </c>
      <c r="E1959">
        <f>2/100</f>
        <v>0.02</v>
      </c>
      <c r="F1959">
        <v>32</v>
      </c>
      <c r="G1959">
        <f>LOG(382/(32+1))</f>
        <v>1.0635494230338212</v>
      </c>
      <c r="H1959">
        <f>0.02*2.44891304714009</f>
        <v>4.8978260942801805E-2</v>
      </c>
      <c r="I1959">
        <v>4.8978260942801902E-2</v>
      </c>
    </row>
    <row r="1960" spans="1:9" x14ac:dyDescent="0.25">
      <c r="A1960">
        <v>259</v>
      </c>
      <c r="B1960" t="s">
        <v>1065</v>
      </c>
      <c r="C1960" t="s">
        <v>10</v>
      </c>
      <c r="D1960" t="s">
        <v>752</v>
      </c>
      <c r="E1960">
        <f>2/100</f>
        <v>0.02</v>
      </c>
      <c r="F1960">
        <v>34</v>
      </c>
      <c r="G1960">
        <f>LOG(382/(34+1))</f>
        <v>1.037995318561433</v>
      </c>
      <c r="H1960">
        <f>0.02*2.39007254711716</f>
        <v>4.7801450942343199E-2</v>
      </c>
      <c r="I1960">
        <v>4.7801450942343227E-2</v>
      </c>
    </row>
    <row r="1961" spans="1:9" x14ac:dyDescent="0.25">
      <c r="A1961">
        <v>259</v>
      </c>
      <c r="B1961" t="s">
        <v>1065</v>
      </c>
      <c r="C1961" t="s">
        <v>10</v>
      </c>
      <c r="D1961" t="s">
        <v>40</v>
      </c>
      <c r="E1961">
        <f>6/100</f>
        <v>0.06</v>
      </c>
      <c r="F1961">
        <v>159</v>
      </c>
      <c r="G1961">
        <f>LOG(382/(159+1))</f>
        <v>0.377943380255784</v>
      </c>
      <c r="H1961">
        <f>0.06*0.870246793372748</f>
        <v>5.2214807602364882E-2</v>
      </c>
      <c r="I1961">
        <v>5.2214807602364903E-2</v>
      </c>
    </row>
    <row r="1962" spans="1:9" x14ac:dyDescent="0.25">
      <c r="A1962">
        <v>259</v>
      </c>
      <c r="B1962" t="s">
        <v>1065</v>
      </c>
      <c r="C1962" t="s">
        <v>10</v>
      </c>
      <c r="D1962" t="s">
        <v>41</v>
      </c>
      <c r="E1962">
        <f>6/100</f>
        <v>0.06</v>
      </c>
      <c r="F1962">
        <v>195</v>
      </c>
      <c r="G1962">
        <f>LOG(382/(195+1))</f>
        <v>0.28980729155523272</v>
      </c>
      <c r="H1962">
        <f>0.06*0.667305949376058</f>
        <v>4.0038356962563477E-2</v>
      </c>
      <c r="I1962">
        <v>4.0038356962563477E-2</v>
      </c>
    </row>
    <row r="1963" spans="1:9" x14ac:dyDescent="0.25">
      <c r="A1963">
        <v>259</v>
      </c>
      <c r="B1963" t="s">
        <v>1065</v>
      </c>
      <c r="C1963" t="s">
        <v>10</v>
      </c>
      <c r="D1963" t="s">
        <v>42</v>
      </c>
      <c r="E1963">
        <f>2/100</f>
        <v>0.02</v>
      </c>
      <c r="F1963">
        <v>251</v>
      </c>
      <c r="G1963">
        <f>LOG(382/(251+1))</f>
        <v>0.18066282213016463</v>
      </c>
      <c r="H1963">
        <f>0.02*0.415991521095151</f>
        <v>8.3198304219030197E-3</v>
      </c>
      <c r="I1963">
        <v>8.3198304219030371E-3</v>
      </c>
    </row>
    <row r="1964" spans="1:9" x14ac:dyDescent="0.25">
      <c r="A1964">
        <v>259</v>
      </c>
      <c r="B1964" t="s">
        <v>1065</v>
      </c>
      <c r="C1964" t="s">
        <v>10</v>
      </c>
      <c r="D1964" t="s">
        <v>22</v>
      </c>
      <c r="E1964">
        <f>1/100</f>
        <v>0.01</v>
      </c>
      <c r="F1964">
        <v>259</v>
      </c>
      <c r="G1964">
        <f>LOG(382/(259+1))</f>
        <v>0.16709001494089079</v>
      </c>
      <c r="H1964">
        <f>0.01*0.384738977591047</f>
        <v>3.8473897759104705E-3</v>
      </c>
      <c r="I1964">
        <v>3.8473897759104749E-3</v>
      </c>
    </row>
    <row r="1965" spans="1:9" x14ac:dyDescent="0.25">
      <c r="A1965">
        <v>259</v>
      </c>
      <c r="B1965" t="s">
        <v>1065</v>
      </c>
      <c r="C1965" t="s">
        <v>10</v>
      </c>
      <c r="D1965" t="s">
        <v>23</v>
      </c>
      <c r="E1965">
        <f>1/100</f>
        <v>0.01</v>
      </c>
      <c r="F1965">
        <v>275</v>
      </c>
      <c r="G1965">
        <f>LOG(382/(275+1))</f>
        <v>0.14115428084649101</v>
      </c>
      <c r="H1965">
        <f>0.01*0.325019742889425</f>
        <v>3.2501974288942498E-3</v>
      </c>
      <c r="I1965">
        <v>3.250197428894252E-3</v>
      </c>
    </row>
    <row r="1966" spans="1:9" x14ac:dyDescent="0.25">
      <c r="A1966">
        <v>259</v>
      </c>
      <c r="B1966" t="s">
        <v>1065</v>
      </c>
      <c r="C1966" t="s">
        <v>10</v>
      </c>
      <c r="D1966" t="s">
        <v>24</v>
      </c>
      <c r="E1966">
        <f>1/100</f>
        <v>0.01</v>
      </c>
      <c r="F1966">
        <v>59</v>
      </c>
      <c r="G1966">
        <f>LOG(382/(59+1))</f>
        <v>0.80391211252806505</v>
      </c>
      <c r="H1966">
        <f>0.01*1.85107604638447</f>
        <v>1.85107604638447E-2</v>
      </c>
      <c r="I1966">
        <v>1.8510760463844741E-2</v>
      </c>
    </row>
    <row r="1967" spans="1:9" x14ac:dyDescent="0.25">
      <c r="A1967">
        <v>259</v>
      </c>
      <c r="B1967" t="s">
        <v>1065</v>
      </c>
      <c r="C1967" t="s">
        <v>10</v>
      </c>
      <c r="D1967" t="s">
        <v>105</v>
      </c>
      <c r="E1967">
        <f>1/100</f>
        <v>0.01</v>
      </c>
      <c r="F1967">
        <v>122</v>
      </c>
      <c r="G1967">
        <f>LOG(382/(122+1))</f>
        <v>0.49215825147231079</v>
      </c>
      <c r="H1967">
        <f>0.01*1.13323625323415</f>
        <v>1.1332362532341501E-2</v>
      </c>
      <c r="I1967">
        <v>1.1332362532341579E-2</v>
      </c>
    </row>
    <row r="1968" spans="1:9" x14ac:dyDescent="0.25">
      <c r="A1968">
        <v>259</v>
      </c>
      <c r="B1968" t="s">
        <v>1065</v>
      </c>
      <c r="C1968" t="s">
        <v>10</v>
      </c>
      <c r="D1968" t="s">
        <v>331</v>
      </c>
      <c r="E1968">
        <f>2/100</f>
        <v>0.02</v>
      </c>
      <c r="F1968">
        <v>130</v>
      </c>
      <c r="G1968">
        <f>LOG(382/(130+1))</f>
        <v>0.46479206725594452</v>
      </c>
      <c r="H1968">
        <f>0.02*1.07022328540542</f>
        <v>2.1404465708108403E-2</v>
      </c>
      <c r="I1968">
        <v>2.1404465708108469E-2</v>
      </c>
    </row>
    <row r="1969" spans="1:9" x14ac:dyDescent="0.25">
      <c r="A1969">
        <v>259</v>
      </c>
      <c r="B1969" t="s">
        <v>1065</v>
      </c>
      <c r="C1969" t="s">
        <v>10</v>
      </c>
      <c r="D1969" t="s">
        <v>939</v>
      </c>
      <c r="E1969">
        <f t="shared" ref="E1969:E1975" si="86">1/100</f>
        <v>0.01</v>
      </c>
      <c r="F1969">
        <v>35</v>
      </c>
      <c r="G1969">
        <f>LOG(382/(35+1))</f>
        <v>1.0257608621444214</v>
      </c>
      <c r="H1969">
        <f>0.01*2.36190167015046</f>
        <v>2.3619016701504601E-2</v>
      </c>
      <c r="I1969">
        <v>2.3619016701504649E-2</v>
      </c>
    </row>
    <row r="1970" spans="1:9" x14ac:dyDescent="0.25">
      <c r="A1970">
        <v>259</v>
      </c>
      <c r="B1970" t="s">
        <v>1065</v>
      </c>
      <c r="C1970" t="s">
        <v>10</v>
      </c>
      <c r="D1970" t="s">
        <v>1067</v>
      </c>
      <c r="E1970">
        <f t="shared" si="86"/>
        <v>0.01</v>
      </c>
      <c r="F1970">
        <v>9</v>
      </c>
      <c r="G1970">
        <f>LOG(382/(9+1))</f>
        <v>1.5820633629117087</v>
      </c>
      <c r="H1970">
        <f>0.01*3.64283551561252</f>
        <v>3.6428355156125199E-2</v>
      </c>
      <c r="I1970">
        <v>3.6428355156125303E-2</v>
      </c>
    </row>
    <row r="1971" spans="1:9" x14ac:dyDescent="0.25">
      <c r="A1971">
        <v>259</v>
      </c>
      <c r="B1971" t="s">
        <v>1065</v>
      </c>
      <c r="C1971" t="s">
        <v>10</v>
      </c>
      <c r="D1971" t="s">
        <v>1068</v>
      </c>
      <c r="E1971">
        <f t="shared" si="86"/>
        <v>0.01</v>
      </c>
      <c r="F1971">
        <v>5</v>
      </c>
      <c r="G1971">
        <f>LOG(382/(5+1))</f>
        <v>1.803912112528065</v>
      </c>
      <c r="H1971">
        <f>0.01*4.15366113937852</f>
        <v>4.15366113937852E-2</v>
      </c>
      <c r="I1971">
        <v>4.15366113937852E-2</v>
      </c>
    </row>
    <row r="1972" spans="1:9" x14ac:dyDescent="0.25">
      <c r="A1972">
        <v>259</v>
      </c>
      <c r="B1972" t="s">
        <v>1065</v>
      </c>
      <c r="C1972" t="s">
        <v>10</v>
      </c>
      <c r="D1972" t="s">
        <v>1069</v>
      </c>
      <c r="E1972">
        <f t="shared" si="86"/>
        <v>0.01</v>
      </c>
      <c r="F1972">
        <v>1</v>
      </c>
      <c r="G1972">
        <f>LOG(382/(1+1))</f>
        <v>2.2810333672477277</v>
      </c>
      <c r="H1972">
        <f>0.01*5.25227342804663</f>
        <v>5.2522734280466297E-2</v>
      </c>
      <c r="I1972">
        <v>5.2522734280466297E-2</v>
      </c>
    </row>
    <row r="1973" spans="1:9" x14ac:dyDescent="0.25">
      <c r="A1973">
        <v>259</v>
      </c>
      <c r="B1973" t="s">
        <v>1065</v>
      </c>
      <c r="C1973" t="s">
        <v>10</v>
      </c>
      <c r="D1973" t="s">
        <v>1070</v>
      </c>
      <c r="E1973">
        <f t="shared" si="86"/>
        <v>0.01</v>
      </c>
      <c r="F1973">
        <v>1</v>
      </c>
      <c r="G1973">
        <f>LOG(382/(1+1))</f>
        <v>2.2810333672477277</v>
      </c>
      <c r="H1973">
        <f>0.01*5.25227342804663</f>
        <v>5.2522734280466297E-2</v>
      </c>
      <c r="I1973">
        <v>5.2522734280466297E-2</v>
      </c>
    </row>
    <row r="1974" spans="1:9" x14ac:dyDescent="0.25">
      <c r="A1974">
        <v>259</v>
      </c>
      <c r="B1974" t="s">
        <v>1065</v>
      </c>
      <c r="C1974" t="s">
        <v>10</v>
      </c>
      <c r="D1974" t="s">
        <v>1071</v>
      </c>
      <c r="E1974">
        <f t="shared" si="86"/>
        <v>0.01</v>
      </c>
      <c r="F1974">
        <v>5</v>
      </c>
      <c r="G1974">
        <f>LOG(382/(5+1))</f>
        <v>1.803912112528065</v>
      </c>
      <c r="H1974">
        <f>0.01*4.15366113937852</f>
        <v>4.15366113937852E-2</v>
      </c>
      <c r="I1974">
        <v>4.15366113937852E-2</v>
      </c>
    </row>
    <row r="1975" spans="1:9" x14ac:dyDescent="0.25">
      <c r="A1975">
        <v>259</v>
      </c>
      <c r="B1975" t="s">
        <v>1065</v>
      </c>
      <c r="C1975" t="s">
        <v>10</v>
      </c>
      <c r="D1975" t="s">
        <v>1072</v>
      </c>
      <c r="E1975">
        <f t="shared" si="86"/>
        <v>0.01</v>
      </c>
      <c r="F1975">
        <v>1</v>
      </c>
      <c r="G1975">
        <f>LOG(382/(1+1))</f>
        <v>2.2810333672477277</v>
      </c>
      <c r="H1975">
        <f>0.01*5.25227342804663</f>
        <v>5.2522734280466297E-2</v>
      </c>
      <c r="I1975">
        <v>5.2522734280466297E-2</v>
      </c>
    </row>
    <row r="1976" spans="1:9" x14ac:dyDescent="0.25">
      <c r="A1976">
        <v>259</v>
      </c>
      <c r="B1976" t="s">
        <v>1065</v>
      </c>
      <c r="C1976" t="s">
        <v>10</v>
      </c>
      <c r="D1976" t="s">
        <v>36</v>
      </c>
      <c r="E1976">
        <f>4/100</f>
        <v>0.04</v>
      </c>
      <c r="F1976">
        <v>58</v>
      </c>
      <c r="G1976">
        <f>LOG(382/(58+1))</f>
        <v>0.81121135126956456</v>
      </c>
      <c r="H1976">
        <f>0.04*1.86788316470085</f>
        <v>7.4715326588034009E-2</v>
      </c>
      <c r="I1976">
        <v>7.4715326588034231E-2</v>
      </c>
    </row>
    <row r="1977" spans="1:9" x14ac:dyDescent="0.25">
      <c r="A1977">
        <v>259</v>
      </c>
      <c r="B1977" t="s">
        <v>1065</v>
      </c>
      <c r="C1977" t="s">
        <v>10</v>
      </c>
      <c r="D1977" t="s">
        <v>485</v>
      </c>
      <c r="E1977">
        <f>1/100</f>
        <v>0.01</v>
      </c>
      <c r="F1977">
        <v>74</v>
      </c>
      <c r="G1977">
        <f>LOG(382/(74+1))</f>
        <v>0.7070020995200087</v>
      </c>
      <c r="H1977">
        <f>0.01*1.62793249507026</f>
        <v>1.6279324950702601E-2</v>
      </c>
      <c r="I1977">
        <v>1.627932495070265E-2</v>
      </c>
    </row>
    <row r="1978" spans="1:9" x14ac:dyDescent="0.25">
      <c r="A1978">
        <v>259</v>
      </c>
      <c r="B1978" t="s">
        <v>1065</v>
      </c>
      <c r="C1978" t="s">
        <v>10</v>
      </c>
      <c r="D1978" t="s">
        <v>237</v>
      </c>
      <c r="E1978">
        <f>1/100</f>
        <v>0.01</v>
      </c>
      <c r="F1978">
        <v>138</v>
      </c>
      <c r="G1978">
        <f>LOG(382/(138+1))</f>
        <v>0.43904856265761361</v>
      </c>
      <c r="H1978">
        <f>0.01*1.01094667547588</f>
        <v>1.01094667547588E-2</v>
      </c>
      <c r="I1978">
        <v>1.0109466754758829E-2</v>
      </c>
    </row>
    <row r="1979" spans="1:9" x14ac:dyDescent="0.25">
      <c r="A1979">
        <v>259</v>
      </c>
      <c r="B1979" t="s">
        <v>1065</v>
      </c>
      <c r="C1979" t="s">
        <v>10</v>
      </c>
      <c r="D1979" t="s">
        <v>133</v>
      </c>
      <c r="E1979">
        <f>4/100</f>
        <v>0.04</v>
      </c>
      <c r="F1979">
        <v>142</v>
      </c>
      <c r="G1979">
        <f>LOG(382/(142+1))</f>
        <v>0.42672732544664693</v>
      </c>
      <c r="H1979">
        <f>0.04*0.982575978346667</f>
        <v>3.930303913386668E-2</v>
      </c>
      <c r="I1979">
        <v>3.9303039133866707E-2</v>
      </c>
    </row>
    <row r="1980" spans="1:9" x14ac:dyDescent="0.25">
      <c r="A1980">
        <v>259</v>
      </c>
      <c r="B1980" t="s">
        <v>1065</v>
      </c>
      <c r="C1980" t="s">
        <v>10</v>
      </c>
      <c r="D1980" t="s">
        <v>26</v>
      </c>
      <c r="E1980">
        <f>2/100</f>
        <v>0.02</v>
      </c>
      <c r="F1980">
        <v>40</v>
      </c>
      <c r="G1980">
        <f>LOG(382/(40+1))</f>
        <v>0.96927950619197323</v>
      </c>
      <c r="H1980">
        <f>0.02*2.23184854190226</f>
        <v>4.4636970838045194E-2</v>
      </c>
      <c r="I1980">
        <v>4.4636970838045353E-2</v>
      </c>
    </row>
    <row r="1981" spans="1:9" x14ac:dyDescent="0.25">
      <c r="A1981">
        <v>259</v>
      </c>
      <c r="B1981" t="s">
        <v>1065</v>
      </c>
      <c r="C1981" t="s">
        <v>10</v>
      </c>
      <c r="D1981" t="s">
        <v>1073</v>
      </c>
      <c r="E1981">
        <f t="shared" ref="E1981:E1991" si="87">1/100</f>
        <v>0.01</v>
      </c>
      <c r="F1981">
        <v>25</v>
      </c>
      <c r="G1981">
        <f>LOG(382/(25+1))</f>
        <v>1.1670900149408907</v>
      </c>
      <c r="H1981">
        <f>0.01*2.68732407058509</f>
        <v>2.6873240705850902E-2</v>
      </c>
      <c r="I1981">
        <v>2.6873240705850929E-2</v>
      </c>
    </row>
    <row r="1982" spans="1:9" x14ac:dyDescent="0.25">
      <c r="A1982">
        <v>259</v>
      </c>
      <c r="B1982" t="s">
        <v>1065</v>
      </c>
      <c r="C1982" t="s">
        <v>10</v>
      </c>
      <c r="D1982" t="s">
        <v>445</v>
      </c>
      <c r="E1982">
        <f t="shared" si="87"/>
        <v>0.01</v>
      </c>
      <c r="F1982">
        <v>35</v>
      </c>
      <c r="G1982">
        <f>LOG(382/(35+1))</f>
        <v>1.0257608621444214</v>
      </c>
      <c r="H1982">
        <f>0.01*2.36190167015046</f>
        <v>2.3619016701504601E-2</v>
      </c>
      <c r="I1982">
        <v>2.3619016701504649E-2</v>
      </c>
    </row>
    <row r="1983" spans="1:9" x14ac:dyDescent="0.25">
      <c r="A1983">
        <v>259</v>
      </c>
      <c r="B1983" t="s">
        <v>1065</v>
      </c>
      <c r="C1983" t="s">
        <v>10</v>
      </c>
      <c r="D1983" t="s">
        <v>1074</v>
      </c>
      <c r="E1983">
        <f t="shared" si="87"/>
        <v>0.01</v>
      </c>
      <c r="F1983">
        <v>1</v>
      </c>
      <c r="G1983">
        <f>LOG(382/(1+1))</f>
        <v>2.2810333672477277</v>
      </c>
      <c r="H1983">
        <f>0.01*5.25227342804663</f>
        <v>5.2522734280466297E-2</v>
      </c>
      <c r="I1983">
        <v>5.2522734280466297E-2</v>
      </c>
    </row>
    <row r="1984" spans="1:9" x14ac:dyDescent="0.25">
      <c r="A1984">
        <v>259</v>
      </c>
      <c r="B1984" t="s">
        <v>1065</v>
      </c>
      <c r="C1984" t="s">
        <v>10</v>
      </c>
      <c r="D1984" t="s">
        <v>1075</v>
      </c>
      <c r="E1984">
        <f t="shared" si="87"/>
        <v>0.01</v>
      </c>
      <c r="F1984">
        <v>1</v>
      </c>
      <c r="G1984">
        <f>LOG(382/(1+1))</f>
        <v>2.2810333672477277</v>
      </c>
      <c r="H1984">
        <f>0.01*5.25227342804663</f>
        <v>5.2522734280466297E-2</v>
      </c>
      <c r="I1984">
        <v>5.2522734280466297E-2</v>
      </c>
    </row>
    <row r="1985" spans="1:9" x14ac:dyDescent="0.25">
      <c r="A1985">
        <v>259</v>
      </c>
      <c r="B1985" t="s">
        <v>1065</v>
      </c>
      <c r="C1985" t="s">
        <v>10</v>
      </c>
      <c r="D1985" t="s">
        <v>1076</v>
      </c>
      <c r="E1985">
        <f t="shared" si="87"/>
        <v>0.01</v>
      </c>
      <c r="F1985">
        <v>13</v>
      </c>
      <c r="G1985">
        <f>LOG(382/(13+1))</f>
        <v>1.4359353272334707</v>
      </c>
      <c r="H1985">
        <f>0.01*3.30636327899131</f>
        <v>3.3063632789913103E-2</v>
      </c>
      <c r="I1985">
        <v>3.3063632789913172E-2</v>
      </c>
    </row>
    <row r="1986" spans="1:9" x14ac:dyDescent="0.25">
      <c r="A1986">
        <v>259</v>
      </c>
      <c r="B1986" t="s">
        <v>1065</v>
      </c>
      <c r="C1986" t="s">
        <v>10</v>
      </c>
      <c r="D1986" t="s">
        <v>1077</v>
      </c>
      <c r="E1986">
        <f t="shared" si="87"/>
        <v>0.01</v>
      </c>
      <c r="F1986">
        <v>5</v>
      </c>
      <c r="G1986">
        <f>LOG(382/(5+1))</f>
        <v>1.803912112528065</v>
      </c>
      <c r="H1986">
        <f>0.01*4.15366113937852</f>
        <v>4.15366113937852E-2</v>
      </c>
      <c r="I1986">
        <v>4.15366113937852E-2</v>
      </c>
    </row>
    <row r="1987" spans="1:9" x14ac:dyDescent="0.25">
      <c r="A1987">
        <v>259</v>
      </c>
      <c r="B1987" t="s">
        <v>1065</v>
      </c>
      <c r="C1987" t="s">
        <v>10</v>
      </c>
      <c r="D1987" t="s">
        <v>469</v>
      </c>
      <c r="E1987">
        <f t="shared" si="87"/>
        <v>0.01</v>
      </c>
      <c r="F1987">
        <v>13</v>
      </c>
      <c r="G1987">
        <f>LOG(382/(13+1))</f>
        <v>1.4359353272334707</v>
      </c>
      <c r="H1987">
        <f>0.01*3.30636327899131</f>
        <v>3.3063632789913103E-2</v>
      </c>
      <c r="I1987">
        <v>3.3063632789913172E-2</v>
      </c>
    </row>
    <row r="1988" spans="1:9" x14ac:dyDescent="0.25">
      <c r="A1988">
        <v>259</v>
      </c>
      <c r="B1988" t="s">
        <v>1065</v>
      </c>
      <c r="C1988" t="s">
        <v>10</v>
      </c>
      <c r="D1988" t="s">
        <v>161</v>
      </c>
      <c r="E1988">
        <f t="shared" si="87"/>
        <v>0.01</v>
      </c>
      <c r="F1988">
        <v>33</v>
      </c>
      <c r="G1988">
        <f>LOG(382/(33+1))</f>
        <v>1.0505844458694535</v>
      </c>
      <c r="H1988">
        <f>0.01*2.41906008399041</f>
        <v>2.4190600839904101E-2</v>
      </c>
      <c r="I1988">
        <v>2.4190600839904139E-2</v>
      </c>
    </row>
    <row r="1989" spans="1:9" x14ac:dyDescent="0.25">
      <c r="A1989">
        <v>259</v>
      </c>
      <c r="B1989" t="s">
        <v>1065</v>
      </c>
      <c r="C1989" t="s">
        <v>10</v>
      </c>
      <c r="D1989" t="s">
        <v>1078</v>
      </c>
      <c r="E1989">
        <f t="shared" si="87"/>
        <v>0.01</v>
      </c>
      <c r="F1989">
        <v>5</v>
      </c>
      <c r="G1989">
        <f>LOG(382/(5+1))</f>
        <v>1.803912112528065</v>
      </c>
      <c r="H1989">
        <f>0.01*4.15366113937852</f>
        <v>4.15366113937852E-2</v>
      </c>
      <c r="I1989">
        <v>4.15366113937852E-2</v>
      </c>
    </row>
    <row r="1990" spans="1:9" x14ac:dyDescent="0.25">
      <c r="A1990">
        <v>259</v>
      </c>
      <c r="B1990" t="s">
        <v>1065</v>
      </c>
      <c r="C1990" t="s">
        <v>10</v>
      </c>
      <c r="D1990" t="s">
        <v>1079</v>
      </c>
      <c r="E1990">
        <f t="shared" si="87"/>
        <v>0.01</v>
      </c>
      <c r="F1990">
        <v>34</v>
      </c>
      <c r="G1990">
        <f>LOG(382/(34+1))</f>
        <v>1.037995318561433</v>
      </c>
      <c r="H1990">
        <f>0.01*2.39007254711716</f>
        <v>2.3900725471171599E-2</v>
      </c>
      <c r="I1990">
        <v>2.390072547117161E-2</v>
      </c>
    </row>
    <row r="1991" spans="1:9" x14ac:dyDescent="0.25">
      <c r="A1991">
        <v>259</v>
      </c>
      <c r="B1991" t="s">
        <v>1065</v>
      </c>
      <c r="C1991" t="s">
        <v>10</v>
      </c>
      <c r="D1991" t="s">
        <v>1080</v>
      </c>
      <c r="E1991">
        <f t="shared" si="87"/>
        <v>0.01</v>
      </c>
      <c r="F1991">
        <v>26</v>
      </c>
      <c r="G1991">
        <f>LOG(382/(26+1))</f>
        <v>1.1506995987527215</v>
      </c>
      <c r="H1991">
        <f>0.01*2.64958374260224</f>
        <v>2.6495837426022399E-2</v>
      </c>
      <c r="I1991">
        <v>2.6495837426022462E-2</v>
      </c>
    </row>
    <row r="1992" spans="1:9" x14ac:dyDescent="0.25">
      <c r="A1992">
        <v>259</v>
      </c>
      <c r="B1992" t="s">
        <v>1065</v>
      </c>
      <c r="C1992" t="s">
        <v>10</v>
      </c>
      <c r="D1992" t="s">
        <v>315</v>
      </c>
      <c r="E1992">
        <f>4/100</f>
        <v>0.04</v>
      </c>
      <c r="F1992">
        <v>55</v>
      </c>
      <c r="G1992">
        <f>LOG(382/(55+1))</f>
        <v>0.83387533590550833</v>
      </c>
      <c r="H1992">
        <f>0.04*1.92006891787142</f>
        <v>7.6802756714856799E-2</v>
      </c>
      <c r="I1992">
        <v>7.6802756714857034E-2</v>
      </c>
    </row>
    <row r="1993" spans="1:9" x14ac:dyDescent="0.25">
      <c r="A1993">
        <v>259</v>
      </c>
      <c r="B1993" t="s">
        <v>1065</v>
      </c>
      <c r="C1993" t="s">
        <v>10</v>
      </c>
      <c r="D1993" t="s">
        <v>1081</v>
      </c>
      <c r="E1993">
        <f>2/100</f>
        <v>0.02</v>
      </c>
      <c r="F1993">
        <v>27</v>
      </c>
      <c r="G1993">
        <f>LOG(382/(27+1))</f>
        <v>1.1349053315694895</v>
      </c>
      <c r="H1993">
        <f>0.02*2.61321609843137</f>
        <v>5.2264321968627403E-2</v>
      </c>
      <c r="I1993">
        <v>5.2264321968627417E-2</v>
      </c>
    </row>
    <row r="1994" spans="1:9" x14ac:dyDescent="0.25">
      <c r="A1994">
        <v>259</v>
      </c>
      <c r="B1994" t="s">
        <v>1065</v>
      </c>
      <c r="C1994" t="s">
        <v>10</v>
      </c>
      <c r="D1994" t="s">
        <v>152</v>
      </c>
      <c r="E1994">
        <f>2/100</f>
        <v>0.02</v>
      </c>
      <c r="F1994">
        <v>31</v>
      </c>
      <c r="G1994">
        <f>LOG(382/(31+1))</f>
        <v>1.0769133845918029</v>
      </c>
      <c r="H1994">
        <f>0.02*2.47968470580684</f>
        <v>4.9593694116136795E-2</v>
      </c>
      <c r="I1994">
        <v>4.9593694116136983E-2</v>
      </c>
    </row>
    <row r="1995" spans="1:9" x14ac:dyDescent="0.25">
      <c r="A1995">
        <v>259</v>
      </c>
      <c r="B1995" t="s">
        <v>1065</v>
      </c>
      <c r="C1995" t="s">
        <v>10</v>
      </c>
      <c r="D1995" t="s">
        <v>1082</v>
      </c>
      <c r="E1995">
        <f t="shared" ref="E1995:E2004" si="88">1/100</f>
        <v>0.01</v>
      </c>
      <c r="F1995">
        <v>8</v>
      </c>
      <c r="G1995">
        <f>LOG(382/(8+1))</f>
        <v>1.6278208534723839</v>
      </c>
      <c r="H1995">
        <f>0.01*3.74819603127035</f>
        <v>3.7481960312703504E-2</v>
      </c>
      <c r="I1995">
        <v>3.7481960312703559E-2</v>
      </c>
    </row>
    <row r="1996" spans="1:9" x14ac:dyDescent="0.25">
      <c r="A1996">
        <v>259</v>
      </c>
      <c r="B1996" t="s">
        <v>1065</v>
      </c>
      <c r="C1996" t="s">
        <v>10</v>
      </c>
      <c r="D1996" t="s">
        <v>764</v>
      </c>
      <c r="E1996">
        <f t="shared" si="88"/>
        <v>0.01</v>
      </c>
      <c r="F1996">
        <v>57</v>
      </c>
      <c r="G1996">
        <f>LOG(382/(57+1))</f>
        <v>0.81863536934877146</v>
      </c>
      <c r="H1996">
        <f>0.01*1.88497759806015</f>
        <v>1.8849775980601498E-2</v>
      </c>
      <c r="I1996">
        <v>1.8849775980601561E-2</v>
      </c>
    </row>
    <row r="1997" spans="1:9" x14ac:dyDescent="0.25">
      <c r="A1997">
        <v>259</v>
      </c>
      <c r="B1997" t="s">
        <v>1065</v>
      </c>
      <c r="C1997" t="s">
        <v>10</v>
      </c>
      <c r="D1997" t="s">
        <v>1083</v>
      </c>
      <c r="E1997">
        <f t="shared" si="88"/>
        <v>0.01</v>
      </c>
      <c r="F1997">
        <v>51</v>
      </c>
      <c r="G1997">
        <f>LOG(382/(51+1))</f>
        <v>0.86606001927690957</v>
      </c>
      <c r="H1997">
        <f>0.01*1.99417689002514</f>
        <v>1.99417689002514E-2</v>
      </c>
      <c r="I1997">
        <v>1.994176890025148E-2</v>
      </c>
    </row>
    <row r="1998" spans="1:9" x14ac:dyDescent="0.25">
      <c r="A1998">
        <v>259</v>
      </c>
      <c r="B1998" t="s">
        <v>1065</v>
      </c>
      <c r="C1998" t="s">
        <v>10</v>
      </c>
      <c r="D1998" t="s">
        <v>636</v>
      </c>
      <c r="E1998">
        <f t="shared" si="88"/>
        <v>0.01</v>
      </c>
      <c r="F1998">
        <v>31</v>
      </c>
      <c r="G1998">
        <f>LOG(382/(31+1))</f>
        <v>1.0769133845918029</v>
      </c>
      <c r="H1998">
        <f>0.01*2.47968470580684</f>
        <v>2.4796847058068398E-2</v>
      </c>
      <c r="I1998">
        <v>2.4796847058068491E-2</v>
      </c>
    </row>
    <row r="1999" spans="1:9" x14ac:dyDescent="0.25">
      <c r="A1999">
        <v>259</v>
      </c>
      <c r="B1999" t="s">
        <v>1065</v>
      </c>
      <c r="C1999" t="s">
        <v>10</v>
      </c>
      <c r="D1999" t="s">
        <v>637</v>
      </c>
      <c r="E1999">
        <f t="shared" si="88"/>
        <v>0.01</v>
      </c>
      <c r="F1999">
        <v>29</v>
      </c>
      <c r="G1999">
        <f>LOG(382/(29+1))</f>
        <v>1.1049421081920463</v>
      </c>
      <c r="H1999">
        <f>0.01*2.54422322694442</f>
        <v>2.5442232269444198E-2</v>
      </c>
      <c r="I1999">
        <v>2.5442232269444202E-2</v>
      </c>
    </row>
    <row r="2000" spans="1:9" x14ac:dyDescent="0.25">
      <c r="A2000">
        <v>259</v>
      </c>
      <c r="B2000" t="s">
        <v>1065</v>
      </c>
      <c r="C2000" t="s">
        <v>10</v>
      </c>
      <c r="D2000" t="s">
        <v>78</v>
      </c>
      <c r="E2000">
        <f t="shared" si="88"/>
        <v>0.01</v>
      </c>
      <c r="F2000">
        <v>122</v>
      </c>
      <c r="G2000">
        <f>LOG(382/(122+1))</f>
        <v>0.49215825147231079</v>
      </c>
      <c r="H2000">
        <f>0.01*1.13323625323415</f>
        <v>1.1332362532341501E-2</v>
      </c>
      <c r="I2000">
        <v>1.1332362532341579E-2</v>
      </c>
    </row>
    <row r="2001" spans="1:9" x14ac:dyDescent="0.25">
      <c r="A2001">
        <v>259</v>
      </c>
      <c r="B2001" t="s">
        <v>1065</v>
      </c>
      <c r="C2001" t="s">
        <v>10</v>
      </c>
      <c r="D2001" t="s">
        <v>483</v>
      </c>
      <c r="E2001">
        <f t="shared" si="88"/>
        <v>0.01</v>
      </c>
      <c r="F2001">
        <v>61</v>
      </c>
      <c r="G2001">
        <f>LOG(382/(61+1))</f>
        <v>0.7896716734134549</v>
      </c>
      <c r="H2001">
        <f>0.01*1.81828622356148</f>
        <v>1.81828622356148E-2</v>
      </c>
      <c r="I2001">
        <v>1.8182862235614841E-2</v>
      </c>
    </row>
    <row r="2002" spans="1:9" x14ac:dyDescent="0.25">
      <c r="A2002">
        <v>259</v>
      </c>
      <c r="B2002" t="s">
        <v>1065</v>
      </c>
      <c r="C2002" t="s">
        <v>10</v>
      </c>
      <c r="D2002" t="s">
        <v>1084</v>
      </c>
      <c r="E2002">
        <f t="shared" si="88"/>
        <v>0.01</v>
      </c>
      <c r="F2002">
        <v>6</v>
      </c>
      <c r="G2002">
        <f>LOG(382/(6+1))</f>
        <v>1.736965322897452</v>
      </c>
      <c r="H2002">
        <f>0.01*3.99951045955126</f>
        <v>3.9995104595512601E-2</v>
      </c>
      <c r="I2002">
        <v>3.9995104595512622E-2</v>
      </c>
    </row>
    <row r="2003" spans="1:9" x14ac:dyDescent="0.25">
      <c r="A2003">
        <v>259</v>
      </c>
      <c r="B2003" t="s">
        <v>1065</v>
      </c>
      <c r="C2003" t="s">
        <v>10</v>
      </c>
      <c r="D2003" t="s">
        <v>327</v>
      </c>
      <c r="E2003">
        <f t="shared" si="88"/>
        <v>0.01</v>
      </c>
      <c r="F2003">
        <v>46</v>
      </c>
      <c r="G2003">
        <f>LOG(382/(46+1))</f>
        <v>0.90996550497599127</v>
      </c>
      <c r="H2003">
        <f>0.01*2.09527300689651</f>
        <v>2.0952730068965104E-2</v>
      </c>
      <c r="I2003">
        <v>2.095273006896517E-2</v>
      </c>
    </row>
    <row r="2004" spans="1:9" x14ac:dyDescent="0.25">
      <c r="A2004">
        <v>259</v>
      </c>
      <c r="B2004" t="s">
        <v>1065</v>
      </c>
      <c r="C2004" t="s">
        <v>10</v>
      </c>
      <c r="D2004" t="s">
        <v>1085</v>
      </c>
      <c r="E2004">
        <f t="shared" si="88"/>
        <v>0.01</v>
      </c>
      <c r="F2004">
        <v>16</v>
      </c>
      <c r="G2004">
        <f>LOG(382/(16+1))</f>
        <v>1.3516144415334348</v>
      </c>
      <c r="H2004">
        <f>0.01*3.11220726455035</f>
        <v>3.1122072645503499E-2</v>
      </c>
      <c r="I2004">
        <v>3.1122072645503589E-2</v>
      </c>
    </row>
    <row r="2005" spans="1:9" x14ac:dyDescent="0.25">
      <c r="A2005">
        <v>261</v>
      </c>
      <c r="B2005" t="s">
        <v>1086</v>
      </c>
      <c r="C2005" t="s">
        <v>48</v>
      </c>
      <c r="D2005" t="s">
        <v>1087</v>
      </c>
      <c r="E2005">
        <f>3/88</f>
        <v>3.4090909090909088E-2</v>
      </c>
      <c r="F2005">
        <v>1</v>
      </c>
      <c r="G2005">
        <f>LOG(382/(1+1))</f>
        <v>2.2810333672477277</v>
      </c>
      <c r="H2005">
        <f>0.034090909090909*5.25227342804663</f>
        <v>0.17905477595613462</v>
      </c>
      <c r="I2005">
        <v>0.17905477595613509</v>
      </c>
    </row>
    <row r="2006" spans="1:9" x14ac:dyDescent="0.25">
      <c r="A2006">
        <v>261</v>
      </c>
      <c r="B2006" t="s">
        <v>1086</v>
      </c>
      <c r="C2006" t="s">
        <v>48</v>
      </c>
      <c r="D2006" t="s">
        <v>244</v>
      </c>
      <c r="E2006">
        <f>6/88</f>
        <v>6.8181818181818177E-2</v>
      </c>
      <c r="F2006">
        <v>8</v>
      </c>
      <c r="G2006">
        <f>LOG(382/(8+1))</f>
        <v>1.6278208534723839</v>
      </c>
      <c r="H2006">
        <f>0.0681818181818181*3.74819603127035</f>
        <v>0.25555882031388716</v>
      </c>
      <c r="I2006">
        <v>0.25555882031388788</v>
      </c>
    </row>
    <row r="2007" spans="1:9" x14ac:dyDescent="0.25">
      <c r="A2007">
        <v>261</v>
      </c>
      <c r="B2007" t="s">
        <v>1086</v>
      </c>
      <c r="C2007" t="s">
        <v>48</v>
      </c>
      <c r="D2007" t="s">
        <v>245</v>
      </c>
      <c r="E2007">
        <f>4/88</f>
        <v>4.5454545454545456E-2</v>
      </c>
      <c r="F2007">
        <v>11</v>
      </c>
      <c r="G2007">
        <f>LOG(382/(11+1))</f>
        <v>1.5028821168640838</v>
      </c>
      <c r="H2007">
        <f>0.0454545454545454*3.46051395881857</f>
        <v>0.15729608903720754</v>
      </c>
      <c r="I2007">
        <v>0.15729608903720799</v>
      </c>
    </row>
    <row r="2008" spans="1:9" x14ac:dyDescent="0.25">
      <c r="A2008">
        <v>261</v>
      </c>
      <c r="B2008" t="s">
        <v>1086</v>
      </c>
      <c r="C2008" t="s">
        <v>48</v>
      </c>
      <c r="D2008" t="s">
        <v>41</v>
      </c>
      <c r="E2008">
        <f>6/88</f>
        <v>6.8181818181818177E-2</v>
      </c>
      <c r="F2008">
        <v>195</v>
      </c>
      <c r="G2008">
        <f>LOG(382/(195+1))</f>
        <v>0.28980729155523272</v>
      </c>
      <c r="H2008">
        <f>0.0681818181818181*0.667305949376058</f>
        <v>4.54981329120039E-2</v>
      </c>
      <c r="I2008">
        <v>4.5498132912003962E-2</v>
      </c>
    </row>
    <row r="2009" spans="1:9" x14ac:dyDescent="0.25">
      <c r="A2009">
        <v>261</v>
      </c>
      <c r="B2009" t="s">
        <v>1086</v>
      </c>
      <c r="C2009" t="s">
        <v>48</v>
      </c>
      <c r="D2009" t="s">
        <v>275</v>
      </c>
      <c r="E2009">
        <f>1/88</f>
        <v>1.1363636363636364E-2</v>
      </c>
      <c r="F2009">
        <v>6</v>
      </c>
      <c r="G2009">
        <f>LOG(382/(6+1))</f>
        <v>1.736965322897452</v>
      </c>
      <c r="H2009">
        <f>0.0113636363636363*3.99951045955126</f>
        <v>4.5448982494900425E-2</v>
      </c>
      <c r="I2009">
        <v>4.5448982494900703E-2</v>
      </c>
    </row>
    <row r="2010" spans="1:9" x14ac:dyDescent="0.25">
      <c r="A2010">
        <v>261</v>
      </c>
      <c r="B2010" t="s">
        <v>1086</v>
      </c>
      <c r="C2010" t="s">
        <v>48</v>
      </c>
      <c r="D2010" t="s">
        <v>1088</v>
      </c>
      <c r="E2010">
        <f>2/88</f>
        <v>2.2727272727272728E-2</v>
      </c>
      <c r="F2010">
        <v>4</v>
      </c>
      <c r="G2010">
        <f>LOG(382/(4+1))</f>
        <v>1.8830933585756899</v>
      </c>
      <c r="H2010">
        <f>0.0227272727272727*4.33598269617247</f>
        <v>9.8545061276646931E-2</v>
      </c>
      <c r="I2010">
        <v>9.8545061276647153E-2</v>
      </c>
    </row>
    <row r="2011" spans="1:9" x14ac:dyDescent="0.25">
      <c r="A2011">
        <v>261</v>
      </c>
      <c r="B2011" t="s">
        <v>1086</v>
      </c>
      <c r="C2011" t="s">
        <v>48</v>
      </c>
      <c r="D2011" t="s">
        <v>243</v>
      </c>
      <c r="E2011">
        <f>4/88</f>
        <v>4.5454545454545456E-2</v>
      </c>
      <c r="F2011">
        <v>131</v>
      </c>
      <c r="G2011">
        <f>LOG(382/(131+1))</f>
        <v>0.46148943170585888</v>
      </c>
      <c r="H2011">
        <f>0.0454545454545454*1.0626186860202</f>
        <v>4.8300849364554491E-2</v>
      </c>
      <c r="I2011">
        <v>4.830084936455474E-2</v>
      </c>
    </row>
    <row r="2012" spans="1:9" x14ac:dyDescent="0.25">
      <c r="A2012">
        <v>261</v>
      </c>
      <c r="B2012" t="s">
        <v>1086</v>
      </c>
      <c r="C2012" t="s">
        <v>48</v>
      </c>
      <c r="D2012" t="s">
        <v>401</v>
      </c>
      <c r="E2012">
        <f>1/88</f>
        <v>1.1363636363636364E-2</v>
      </c>
      <c r="F2012">
        <v>5</v>
      </c>
      <c r="G2012">
        <f>LOG(382/(5+1))</f>
        <v>1.803912112528065</v>
      </c>
      <c r="H2012">
        <f>0.0113636363636363*4.15366113937852</f>
        <v>4.7200694765664734E-2</v>
      </c>
      <c r="I2012">
        <v>4.7200694765664998E-2</v>
      </c>
    </row>
    <row r="2013" spans="1:9" x14ac:dyDescent="0.25">
      <c r="A2013">
        <v>261</v>
      </c>
      <c r="B2013" t="s">
        <v>1086</v>
      </c>
      <c r="C2013" t="s">
        <v>48</v>
      </c>
      <c r="D2013" t="s">
        <v>1089</v>
      </c>
      <c r="E2013">
        <f>1/88</f>
        <v>1.1363636363636364E-2</v>
      </c>
      <c r="F2013">
        <v>1</v>
      </c>
      <c r="G2013">
        <f>LOG(382/(1+1))</f>
        <v>2.2810333672477277</v>
      </c>
      <c r="H2013">
        <f>0.0113636363636363*5.25227342804663</f>
        <v>5.968492531871137E-2</v>
      </c>
      <c r="I2013">
        <v>5.9684925318711703E-2</v>
      </c>
    </row>
    <row r="2014" spans="1:9" x14ac:dyDescent="0.25">
      <c r="A2014">
        <v>261</v>
      </c>
      <c r="B2014" t="s">
        <v>1086</v>
      </c>
      <c r="C2014" t="s">
        <v>48</v>
      </c>
      <c r="D2014" t="s">
        <v>144</v>
      </c>
      <c r="E2014">
        <f>2/88</f>
        <v>2.2727272727272728E-2</v>
      </c>
      <c r="F2014">
        <v>105</v>
      </c>
      <c r="G2014">
        <f>LOG(382/(105+1))</f>
        <v>0.55675749764693849</v>
      </c>
      <c r="H2014">
        <f>0.0227272727272727*1.2819815144945</f>
        <v>2.9135943511238601E-2</v>
      </c>
      <c r="I2014">
        <v>2.913594351123882E-2</v>
      </c>
    </row>
    <row r="2015" spans="1:9" x14ac:dyDescent="0.25">
      <c r="A2015">
        <v>261</v>
      </c>
      <c r="B2015" t="s">
        <v>1086</v>
      </c>
      <c r="C2015" t="s">
        <v>48</v>
      </c>
      <c r="D2015" t="s">
        <v>42</v>
      </c>
      <c r="E2015">
        <f t="shared" ref="E2015:E2023" si="89">1/88</f>
        <v>1.1363636363636364E-2</v>
      </c>
      <c r="F2015">
        <v>251</v>
      </c>
      <c r="G2015">
        <f>LOG(382/(251+1))</f>
        <v>0.18066282213016463</v>
      </c>
      <c r="H2015">
        <f>0.0113636363636363*0.415991521095151</f>
        <v>4.7271763760812343E-3</v>
      </c>
      <c r="I2015">
        <v>4.7271763760812716E-3</v>
      </c>
    </row>
    <row r="2016" spans="1:9" x14ac:dyDescent="0.25">
      <c r="A2016">
        <v>261</v>
      </c>
      <c r="B2016" t="s">
        <v>1086</v>
      </c>
      <c r="C2016" t="s">
        <v>48</v>
      </c>
      <c r="D2016" t="s">
        <v>22</v>
      </c>
      <c r="E2016">
        <f t="shared" si="89"/>
        <v>1.1363636363636364E-2</v>
      </c>
      <c r="F2016">
        <v>259</v>
      </c>
      <c r="G2016">
        <f>LOG(382/(259+1))</f>
        <v>0.16709001494089079</v>
      </c>
      <c r="H2016">
        <f>0.0113636363636363*0.384738977591047</f>
        <v>4.3720338362618731E-3</v>
      </c>
      <c r="I2016">
        <v>4.3720338362619026E-3</v>
      </c>
    </row>
    <row r="2017" spans="1:9" x14ac:dyDescent="0.25">
      <c r="A2017">
        <v>261</v>
      </c>
      <c r="B2017" t="s">
        <v>1086</v>
      </c>
      <c r="C2017" t="s">
        <v>48</v>
      </c>
      <c r="D2017" t="s">
        <v>23</v>
      </c>
      <c r="E2017">
        <f t="shared" si="89"/>
        <v>1.1363636363636364E-2</v>
      </c>
      <c r="F2017">
        <v>275</v>
      </c>
      <c r="G2017">
        <f>LOG(382/(275+1))</f>
        <v>0.14115428084649101</v>
      </c>
      <c r="H2017">
        <f>0.0113636363636363*0.325019742889425</f>
        <v>3.6934061691979905E-3</v>
      </c>
      <c r="I2017">
        <v>3.693406169198013E-3</v>
      </c>
    </row>
    <row r="2018" spans="1:9" x14ac:dyDescent="0.25">
      <c r="A2018">
        <v>261</v>
      </c>
      <c r="B2018" t="s">
        <v>1086</v>
      </c>
      <c r="C2018" t="s">
        <v>48</v>
      </c>
      <c r="D2018" t="s">
        <v>24</v>
      </c>
      <c r="E2018">
        <f t="shared" si="89"/>
        <v>1.1363636363636364E-2</v>
      </c>
      <c r="F2018">
        <v>59</v>
      </c>
      <c r="G2018">
        <f>LOG(382/(59+1))</f>
        <v>0.80391211252806505</v>
      </c>
      <c r="H2018">
        <f>0.0113636363636363*1.85107604638447</f>
        <v>2.1034955072550678E-2</v>
      </c>
      <c r="I2018">
        <v>2.1034955072550841E-2</v>
      </c>
    </row>
    <row r="2019" spans="1:9" x14ac:dyDescent="0.25">
      <c r="A2019">
        <v>261</v>
      </c>
      <c r="B2019" t="s">
        <v>1086</v>
      </c>
      <c r="C2019" t="s">
        <v>48</v>
      </c>
      <c r="D2019" t="s">
        <v>709</v>
      </c>
      <c r="E2019">
        <f t="shared" si="89"/>
        <v>1.1363636363636364E-2</v>
      </c>
      <c r="F2019">
        <v>5</v>
      </c>
      <c r="G2019">
        <f>LOG(382/(5+1))</f>
        <v>1.803912112528065</v>
      </c>
      <c r="H2019">
        <f>0.0113636363636363*4.15366113937852</f>
        <v>4.7200694765664734E-2</v>
      </c>
      <c r="I2019">
        <v>4.7200694765664998E-2</v>
      </c>
    </row>
    <row r="2020" spans="1:9" x14ac:dyDescent="0.25">
      <c r="A2020">
        <v>261</v>
      </c>
      <c r="B2020" t="s">
        <v>1086</v>
      </c>
      <c r="C2020" t="s">
        <v>48</v>
      </c>
      <c r="D2020" t="s">
        <v>1090</v>
      </c>
      <c r="E2020">
        <f t="shared" si="89"/>
        <v>1.1363636363636364E-2</v>
      </c>
      <c r="F2020">
        <v>4</v>
      </c>
      <c r="G2020">
        <f>LOG(382/(4+1))</f>
        <v>1.8830933585756899</v>
      </c>
      <c r="H2020">
        <f>0.0113636363636363*4.33598269617247</f>
        <v>4.927253063832325E-2</v>
      </c>
      <c r="I2020">
        <v>4.9272530638323583E-2</v>
      </c>
    </row>
    <row r="2021" spans="1:9" x14ac:dyDescent="0.25">
      <c r="A2021">
        <v>261</v>
      </c>
      <c r="B2021" t="s">
        <v>1086</v>
      </c>
      <c r="C2021" t="s">
        <v>48</v>
      </c>
      <c r="D2021" t="s">
        <v>1091</v>
      </c>
      <c r="E2021">
        <f t="shared" si="89"/>
        <v>1.1363636363636364E-2</v>
      </c>
      <c r="F2021">
        <v>1</v>
      </c>
      <c r="G2021">
        <f>LOG(382/(1+1))</f>
        <v>2.2810333672477277</v>
      </c>
      <c r="H2021">
        <f>0.0113636363636363*5.25227342804663</f>
        <v>5.968492531871137E-2</v>
      </c>
      <c r="I2021">
        <v>5.9684925318711703E-2</v>
      </c>
    </row>
    <row r="2022" spans="1:9" x14ac:dyDescent="0.25">
      <c r="A2022">
        <v>261</v>
      </c>
      <c r="B2022" t="s">
        <v>1086</v>
      </c>
      <c r="C2022" t="s">
        <v>48</v>
      </c>
      <c r="D2022" t="s">
        <v>234</v>
      </c>
      <c r="E2022">
        <f t="shared" si="89"/>
        <v>1.1363636363636364E-2</v>
      </c>
      <c r="F2022">
        <v>6</v>
      </c>
      <c r="G2022">
        <f>LOG(382/(6+1))</f>
        <v>1.736965322897452</v>
      </c>
      <c r="H2022">
        <f>0.0113636363636363*3.99951045955126</f>
        <v>4.5448982494900425E-2</v>
      </c>
      <c r="I2022">
        <v>4.5448982494900703E-2</v>
      </c>
    </row>
    <row r="2023" spans="1:9" x14ac:dyDescent="0.25">
      <c r="A2023">
        <v>261</v>
      </c>
      <c r="B2023" t="s">
        <v>1086</v>
      </c>
      <c r="C2023" t="s">
        <v>48</v>
      </c>
      <c r="D2023" t="s">
        <v>1092</v>
      </c>
      <c r="E2023">
        <f t="shared" si="89"/>
        <v>1.1363636363636364E-2</v>
      </c>
      <c r="F2023">
        <v>1</v>
      </c>
      <c r="G2023">
        <f>LOG(382/(1+1))</f>
        <v>2.2810333672477277</v>
      </c>
      <c r="H2023">
        <f>0.0113636363636363*5.25227342804663</f>
        <v>5.968492531871137E-2</v>
      </c>
      <c r="I2023">
        <v>5.9684925318711703E-2</v>
      </c>
    </row>
    <row r="2024" spans="1:9" x14ac:dyDescent="0.25">
      <c r="A2024">
        <v>261</v>
      </c>
      <c r="B2024" t="s">
        <v>1086</v>
      </c>
      <c r="C2024" t="s">
        <v>48</v>
      </c>
      <c r="D2024" t="s">
        <v>458</v>
      </c>
      <c r="E2024">
        <f>2/88</f>
        <v>2.2727272727272728E-2</v>
      </c>
      <c r="F2024">
        <v>34</v>
      </c>
      <c r="G2024">
        <f>LOG(382/(34+1))</f>
        <v>1.037995318561433</v>
      </c>
      <c r="H2024">
        <f>0.0227272727272727*2.39007254711716</f>
        <v>5.4319830616299025E-2</v>
      </c>
      <c r="I2024">
        <v>5.4319830616299122E-2</v>
      </c>
    </row>
    <row r="2025" spans="1:9" x14ac:dyDescent="0.25">
      <c r="A2025">
        <v>261</v>
      </c>
      <c r="B2025" t="s">
        <v>1086</v>
      </c>
      <c r="C2025" t="s">
        <v>48</v>
      </c>
      <c r="D2025" t="s">
        <v>400</v>
      </c>
      <c r="E2025">
        <f>1/88</f>
        <v>1.1363636363636364E-2</v>
      </c>
      <c r="F2025">
        <v>2</v>
      </c>
      <c r="G2025">
        <f>LOG(382/(2+1))</f>
        <v>2.1049421081920463</v>
      </c>
      <c r="H2025">
        <f>0.0113636363636363*4.84680831993846</f>
        <v>5.5077367272027646E-2</v>
      </c>
      <c r="I2025">
        <v>5.5077367272028013E-2</v>
      </c>
    </row>
    <row r="2026" spans="1:9" x14ac:dyDescent="0.25">
      <c r="A2026">
        <v>261</v>
      </c>
      <c r="B2026" t="s">
        <v>1086</v>
      </c>
      <c r="C2026" t="s">
        <v>48</v>
      </c>
      <c r="D2026" t="s">
        <v>699</v>
      </c>
      <c r="E2026">
        <f>4/88</f>
        <v>4.5454545454545456E-2</v>
      </c>
      <c r="F2026">
        <v>4</v>
      </c>
      <c r="G2026">
        <f>LOG(382/(4+1))</f>
        <v>1.8830933585756899</v>
      </c>
      <c r="H2026">
        <f>0.0454545454545454*4.33598269617247</f>
        <v>0.19709012255329386</v>
      </c>
      <c r="I2026">
        <v>0.19709012255329431</v>
      </c>
    </row>
    <row r="2027" spans="1:9" x14ac:dyDescent="0.25">
      <c r="A2027">
        <v>261</v>
      </c>
      <c r="B2027" t="s">
        <v>1086</v>
      </c>
      <c r="C2027" t="s">
        <v>48</v>
      </c>
      <c r="D2027" t="s">
        <v>53</v>
      </c>
      <c r="E2027">
        <f>1/88</f>
        <v>1.1363636363636364E-2</v>
      </c>
      <c r="F2027">
        <v>57</v>
      </c>
      <c r="G2027">
        <f>LOG(382/(57+1))</f>
        <v>0.81863536934877146</v>
      </c>
      <c r="H2027">
        <f>0.0113636363636363*1.88497759806015</f>
        <v>2.142019997795613E-2</v>
      </c>
      <c r="I2027">
        <v>2.1420199977956321E-2</v>
      </c>
    </row>
    <row r="2028" spans="1:9" x14ac:dyDescent="0.25">
      <c r="A2028">
        <v>261</v>
      </c>
      <c r="B2028" t="s">
        <v>1086</v>
      </c>
      <c r="C2028" t="s">
        <v>48</v>
      </c>
      <c r="D2028" t="s">
        <v>1093</v>
      </c>
      <c r="E2028">
        <f>1/88</f>
        <v>1.1363636363636364E-2</v>
      </c>
      <c r="F2028">
        <v>2</v>
      </c>
      <c r="G2028">
        <f>LOG(382/(2+1))</f>
        <v>2.1049421081920463</v>
      </c>
      <c r="H2028">
        <f>0.0113636363636363*4.84680831993846</f>
        <v>5.5077367272027646E-2</v>
      </c>
      <c r="I2028">
        <v>5.5077367272028013E-2</v>
      </c>
    </row>
    <row r="2029" spans="1:9" x14ac:dyDescent="0.25">
      <c r="A2029">
        <v>261</v>
      </c>
      <c r="B2029" t="s">
        <v>1086</v>
      </c>
      <c r="C2029" t="s">
        <v>48</v>
      </c>
      <c r="D2029" t="s">
        <v>1094</v>
      </c>
      <c r="E2029">
        <f>1/88</f>
        <v>1.1363636363636364E-2</v>
      </c>
      <c r="F2029">
        <v>7</v>
      </c>
      <c r="G2029">
        <f>LOG(382/(7+1))</f>
        <v>1.6789733759197651</v>
      </c>
      <c r="H2029">
        <f>0.0113636363636363*3.86597906692673</f>
        <v>4.3931580305985325E-2</v>
      </c>
      <c r="I2029">
        <v>4.3931580305985672E-2</v>
      </c>
    </row>
    <row r="2030" spans="1:9" x14ac:dyDescent="0.25">
      <c r="A2030">
        <v>261</v>
      </c>
      <c r="B2030" t="s">
        <v>1086</v>
      </c>
      <c r="C2030" t="s">
        <v>48</v>
      </c>
      <c r="D2030" t="s">
        <v>248</v>
      </c>
      <c r="E2030">
        <f>1/88</f>
        <v>1.1363636363636364E-2</v>
      </c>
      <c r="F2030">
        <v>7</v>
      </c>
      <c r="G2030">
        <f>LOG(382/(7+1))</f>
        <v>1.6789733759197651</v>
      </c>
      <c r="H2030">
        <f>0.0113636363636363*3.86597906692673</f>
        <v>4.3931580305985325E-2</v>
      </c>
      <c r="I2030">
        <v>4.3931580305985672E-2</v>
      </c>
    </row>
    <row r="2031" spans="1:9" x14ac:dyDescent="0.25">
      <c r="A2031">
        <v>261</v>
      </c>
      <c r="B2031" t="s">
        <v>1086</v>
      </c>
      <c r="C2031" t="s">
        <v>48</v>
      </c>
      <c r="D2031" t="s">
        <v>237</v>
      </c>
      <c r="E2031">
        <f>2/88</f>
        <v>2.2727272727272728E-2</v>
      </c>
      <c r="F2031">
        <v>138</v>
      </c>
      <c r="G2031">
        <f>LOG(382/(138+1))</f>
        <v>0.43904856265761361</v>
      </c>
      <c r="H2031">
        <f>0.0227272727272727*1.01094667547588</f>
        <v>2.2976060806269974E-2</v>
      </c>
      <c r="I2031">
        <v>2.2976060806270081E-2</v>
      </c>
    </row>
    <row r="2032" spans="1:9" x14ac:dyDescent="0.25">
      <c r="A2032">
        <v>261</v>
      </c>
      <c r="B2032" t="s">
        <v>1086</v>
      </c>
      <c r="C2032" t="s">
        <v>48</v>
      </c>
      <c r="D2032" t="s">
        <v>626</v>
      </c>
      <c r="E2032">
        <f>1/88</f>
        <v>1.1363636363636364E-2</v>
      </c>
      <c r="F2032">
        <v>12</v>
      </c>
      <c r="G2032">
        <f>LOG(382/(12+1))</f>
        <v>1.468120010604872</v>
      </c>
      <c r="H2032">
        <f>0.0113636363636363*3.38047125114503</f>
        <v>3.8414446035738764E-2</v>
      </c>
      <c r="I2032">
        <v>3.8414446035739083E-2</v>
      </c>
    </row>
    <row r="2033" spans="1:9" x14ac:dyDescent="0.25">
      <c r="A2033">
        <v>261</v>
      </c>
      <c r="B2033" t="s">
        <v>1086</v>
      </c>
      <c r="C2033" t="s">
        <v>48</v>
      </c>
      <c r="D2033" t="s">
        <v>52</v>
      </c>
      <c r="E2033">
        <f>2/88</f>
        <v>2.2727272727272728E-2</v>
      </c>
      <c r="F2033">
        <v>35</v>
      </c>
      <c r="G2033">
        <f>LOG(382/(35+1))</f>
        <v>1.0257608621444214</v>
      </c>
      <c r="H2033">
        <f>0.0227272727272727*2.36190167015046</f>
        <v>5.367958341251039E-2</v>
      </c>
      <c r="I2033">
        <v>5.367958341251057E-2</v>
      </c>
    </row>
    <row r="2034" spans="1:9" x14ac:dyDescent="0.25">
      <c r="A2034">
        <v>261</v>
      </c>
      <c r="B2034" t="s">
        <v>1086</v>
      </c>
      <c r="C2034" t="s">
        <v>48</v>
      </c>
      <c r="D2034" t="s">
        <v>429</v>
      </c>
      <c r="E2034">
        <f t="shared" ref="E2034:E2042" si="90">1/88</f>
        <v>1.1363636363636364E-2</v>
      </c>
      <c r="F2034">
        <v>11</v>
      </c>
      <c r="G2034">
        <f>LOG(382/(11+1))</f>
        <v>1.5028821168640838</v>
      </c>
      <c r="H2034">
        <f>0.0113636363636363*3.46051395881857</f>
        <v>3.9324022259301712E-2</v>
      </c>
      <c r="I2034">
        <v>3.932402225930199E-2</v>
      </c>
    </row>
    <row r="2035" spans="1:9" x14ac:dyDescent="0.25">
      <c r="A2035">
        <v>261</v>
      </c>
      <c r="B2035" t="s">
        <v>1086</v>
      </c>
      <c r="C2035" t="s">
        <v>48</v>
      </c>
      <c r="D2035" t="s">
        <v>260</v>
      </c>
      <c r="E2035">
        <f t="shared" si="90"/>
        <v>1.1363636363636364E-2</v>
      </c>
      <c r="F2035">
        <v>31</v>
      </c>
      <c r="G2035">
        <f>LOG(382/(31+1))</f>
        <v>1.0769133845918029</v>
      </c>
      <c r="H2035">
        <f>0.0113636363636363*2.47968470580684</f>
        <v>2.8178235293259385E-2</v>
      </c>
      <c r="I2035">
        <v>2.8178235293259649E-2</v>
      </c>
    </row>
    <row r="2036" spans="1:9" x14ac:dyDescent="0.25">
      <c r="A2036">
        <v>261</v>
      </c>
      <c r="B2036" t="s">
        <v>1086</v>
      </c>
      <c r="C2036" t="s">
        <v>48</v>
      </c>
      <c r="D2036" t="s">
        <v>716</v>
      </c>
      <c r="E2036">
        <f t="shared" si="90"/>
        <v>1.1363636363636364E-2</v>
      </c>
      <c r="F2036">
        <v>13</v>
      </c>
      <c r="G2036">
        <f>LOG(382/(13+1))</f>
        <v>1.4359353272334707</v>
      </c>
      <c r="H2036">
        <f>0.0113636363636363*3.30636327899131</f>
        <v>3.7572309988537403E-2</v>
      </c>
      <c r="I2036">
        <v>3.7572309988537687E-2</v>
      </c>
    </row>
    <row r="2037" spans="1:9" x14ac:dyDescent="0.25">
      <c r="A2037">
        <v>261</v>
      </c>
      <c r="B2037" t="s">
        <v>1086</v>
      </c>
      <c r="C2037" t="s">
        <v>48</v>
      </c>
      <c r="D2037" t="s">
        <v>1095</v>
      </c>
      <c r="E2037">
        <f t="shared" si="90"/>
        <v>1.1363636363636364E-2</v>
      </c>
      <c r="F2037">
        <v>4</v>
      </c>
      <c r="G2037">
        <f>LOG(382/(4+1))</f>
        <v>1.8830933585756899</v>
      </c>
      <c r="H2037">
        <f>0.0113636363636363*4.33598269617247</f>
        <v>4.927253063832325E-2</v>
      </c>
      <c r="I2037">
        <v>4.9272530638323583E-2</v>
      </c>
    </row>
    <row r="2038" spans="1:9" x14ac:dyDescent="0.25">
      <c r="A2038">
        <v>261</v>
      </c>
      <c r="B2038" t="s">
        <v>1086</v>
      </c>
      <c r="C2038" t="s">
        <v>48</v>
      </c>
      <c r="D2038" t="s">
        <v>1096</v>
      </c>
      <c r="E2038">
        <f t="shared" si="90"/>
        <v>1.1363636363636364E-2</v>
      </c>
      <c r="F2038">
        <v>5</v>
      </c>
      <c r="G2038">
        <f>LOG(382/(5+1))</f>
        <v>1.803912112528065</v>
      </c>
      <c r="H2038">
        <f>0.0113636363636363*4.15366113937852</f>
        <v>4.7200694765664734E-2</v>
      </c>
      <c r="I2038">
        <v>4.7200694765664998E-2</v>
      </c>
    </row>
    <row r="2039" spans="1:9" x14ac:dyDescent="0.25">
      <c r="A2039">
        <v>261</v>
      </c>
      <c r="B2039" t="s">
        <v>1086</v>
      </c>
      <c r="C2039" t="s">
        <v>48</v>
      </c>
      <c r="D2039" t="s">
        <v>1097</v>
      </c>
      <c r="E2039">
        <f t="shared" si="90"/>
        <v>1.1363636363636364E-2</v>
      </c>
      <c r="F2039">
        <v>2</v>
      </c>
      <c r="G2039">
        <f>LOG(382/(2+1))</f>
        <v>2.1049421081920463</v>
      </c>
      <c r="H2039">
        <f>0.0113636363636363*4.84680831993846</f>
        <v>5.5077367272027646E-2</v>
      </c>
      <c r="I2039">
        <v>5.5077367272028013E-2</v>
      </c>
    </row>
    <row r="2040" spans="1:9" x14ac:dyDescent="0.25">
      <c r="A2040">
        <v>261</v>
      </c>
      <c r="B2040" t="s">
        <v>1086</v>
      </c>
      <c r="C2040" t="s">
        <v>48</v>
      </c>
      <c r="D2040" t="s">
        <v>201</v>
      </c>
      <c r="E2040">
        <f t="shared" si="90"/>
        <v>1.1363636363636364E-2</v>
      </c>
      <c r="F2040">
        <v>72</v>
      </c>
      <c r="G2040">
        <f>LOG(382/(72+1))</f>
        <v>0.71874050279125279</v>
      </c>
      <c r="H2040">
        <f>0.0113636363636363*1.65496116745818</f>
        <v>1.8806376902933755E-2</v>
      </c>
      <c r="I2040">
        <v>1.8806376902933911E-2</v>
      </c>
    </row>
    <row r="2041" spans="1:9" x14ac:dyDescent="0.25">
      <c r="A2041">
        <v>261</v>
      </c>
      <c r="B2041" t="s">
        <v>1086</v>
      </c>
      <c r="C2041" t="s">
        <v>48</v>
      </c>
      <c r="D2041" t="s">
        <v>197</v>
      </c>
      <c r="E2041">
        <f t="shared" si="90"/>
        <v>1.1363636363636364E-2</v>
      </c>
      <c r="F2041">
        <v>18</v>
      </c>
      <c r="G2041">
        <f>LOG(382/(18+1))</f>
        <v>1.3033097619588798</v>
      </c>
      <c r="H2041">
        <f>0.0113636363636363*3.00098162944013</f>
        <v>3.4102063970910375E-2</v>
      </c>
      <c r="I2041">
        <v>3.4102063970910618E-2</v>
      </c>
    </row>
    <row r="2042" spans="1:9" x14ac:dyDescent="0.25">
      <c r="A2042">
        <v>261</v>
      </c>
      <c r="B2042" t="s">
        <v>1086</v>
      </c>
      <c r="C2042" t="s">
        <v>48</v>
      </c>
      <c r="D2042" t="s">
        <v>1098</v>
      </c>
      <c r="E2042">
        <f t="shared" si="90"/>
        <v>1.1363636363636364E-2</v>
      </c>
      <c r="F2042">
        <v>19</v>
      </c>
      <c r="G2042">
        <f>LOG(382/(19+1))</f>
        <v>1.2810333672477277</v>
      </c>
      <c r="H2042">
        <f>0.0113636363636363*2.94968833505258</f>
        <v>3.351918562559731E-2</v>
      </c>
      <c r="I2042">
        <v>3.3519185625597553E-2</v>
      </c>
    </row>
    <row r="2043" spans="1:9" x14ac:dyDescent="0.25">
      <c r="A2043">
        <v>261</v>
      </c>
      <c r="B2043" t="s">
        <v>1086</v>
      </c>
      <c r="C2043" t="s">
        <v>48</v>
      </c>
      <c r="D2043" t="s">
        <v>38</v>
      </c>
      <c r="E2043">
        <f>2/88</f>
        <v>2.2727272727272728E-2</v>
      </c>
      <c r="F2043">
        <v>86</v>
      </c>
      <c r="G2043">
        <f>LOG(382/(86+1))</f>
        <v>0.64254411029309022</v>
      </c>
      <c r="H2043">
        <f>0.0227272727272727*1.47951248995199</f>
        <v>3.3625283862545187E-2</v>
      </c>
      <c r="I2043">
        <v>3.3625283862545263E-2</v>
      </c>
    </row>
    <row r="2044" spans="1:9" x14ac:dyDescent="0.25">
      <c r="A2044">
        <v>261</v>
      </c>
      <c r="B2044" t="s">
        <v>1086</v>
      </c>
      <c r="C2044" t="s">
        <v>48</v>
      </c>
      <c r="D2044" t="s">
        <v>1099</v>
      </c>
      <c r="E2044">
        <f t="shared" ref="E2044:E2065" si="91">1/88</f>
        <v>1.1363636363636364E-2</v>
      </c>
      <c r="F2044">
        <v>3</v>
      </c>
      <c r="G2044">
        <f>LOG(382/(3+1))</f>
        <v>1.9800033715837464</v>
      </c>
      <c r="H2044">
        <f>0.0113636363636363*4.55912624748668</f>
        <v>5.1808252812348347E-2</v>
      </c>
      <c r="I2044">
        <v>5.1808252812348687E-2</v>
      </c>
    </row>
    <row r="2045" spans="1:9" x14ac:dyDescent="0.25">
      <c r="A2045">
        <v>261</v>
      </c>
      <c r="B2045" t="s">
        <v>1086</v>
      </c>
      <c r="C2045" t="s">
        <v>48</v>
      </c>
      <c r="D2045" t="s">
        <v>739</v>
      </c>
      <c r="E2045">
        <f t="shared" si="91"/>
        <v>1.1363636363636364E-2</v>
      </c>
      <c r="F2045">
        <v>24</v>
      </c>
      <c r="G2045">
        <f>LOG(382/(24+1))</f>
        <v>1.1841233542396712</v>
      </c>
      <c r="H2045">
        <f>0.0113636363636363*2.72654478373837</f>
        <v>3.0983463451572209E-2</v>
      </c>
      <c r="I2045">
        <v>3.0983463451572432E-2</v>
      </c>
    </row>
    <row r="2046" spans="1:9" x14ac:dyDescent="0.25">
      <c r="A2046">
        <v>261</v>
      </c>
      <c r="B2046" t="s">
        <v>1086</v>
      </c>
      <c r="C2046" t="s">
        <v>48</v>
      </c>
      <c r="D2046" t="s">
        <v>1100</v>
      </c>
      <c r="E2046">
        <f t="shared" si="91"/>
        <v>1.1363636363636364E-2</v>
      </c>
      <c r="F2046">
        <v>1</v>
      </c>
      <c r="G2046">
        <f>LOG(382/(1+1))</f>
        <v>2.2810333672477277</v>
      </c>
      <c r="H2046">
        <f>0.0113636363636363*5.25227342804663</f>
        <v>5.968492531871137E-2</v>
      </c>
      <c r="I2046">
        <v>5.9684925318711703E-2</v>
      </c>
    </row>
    <row r="2047" spans="1:9" x14ac:dyDescent="0.25">
      <c r="A2047">
        <v>261</v>
      </c>
      <c r="B2047" t="s">
        <v>1086</v>
      </c>
      <c r="C2047" t="s">
        <v>48</v>
      </c>
      <c r="D2047" t="s">
        <v>165</v>
      </c>
      <c r="E2047">
        <f t="shared" si="91"/>
        <v>1.1363636363636364E-2</v>
      </c>
      <c r="F2047">
        <v>2</v>
      </c>
      <c r="G2047">
        <f>LOG(382/(2+1))</f>
        <v>2.1049421081920463</v>
      </c>
      <c r="H2047">
        <f>0.0113636363636363*4.84680831993846</f>
        <v>5.5077367272027646E-2</v>
      </c>
      <c r="I2047">
        <v>5.5077367272028013E-2</v>
      </c>
    </row>
    <row r="2048" spans="1:9" x14ac:dyDescent="0.25">
      <c r="A2048">
        <v>261</v>
      </c>
      <c r="B2048" t="s">
        <v>1086</v>
      </c>
      <c r="C2048" t="s">
        <v>48</v>
      </c>
      <c r="D2048" t="s">
        <v>1101</v>
      </c>
      <c r="E2048">
        <f t="shared" si="91"/>
        <v>1.1363636363636364E-2</v>
      </c>
      <c r="F2048">
        <v>2</v>
      </c>
      <c r="G2048">
        <f>LOG(382/(2+1))</f>
        <v>2.1049421081920463</v>
      </c>
      <c r="H2048">
        <f>0.0113636363636363*4.84680831993846</f>
        <v>5.5077367272027646E-2</v>
      </c>
      <c r="I2048">
        <v>5.5077367272028013E-2</v>
      </c>
    </row>
    <row r="2049" spans="1:9" x14ac:dyDescent="0.25">
      <c r="A2049">
        <v>261</v>
      </c>
      <c r="B2049" t="s">
        <v>1086</v>
      </c>
      <c r="C2049" t="s">
        <v>48</v>
      </c>
      <c r="D2049" t="s">
        <v>1102</v>
      </c>
      <c r="E2049">
        <f t="shared" si="91"/>
        <v>1.1363636363636364E-2</v>
      </c>
      <c r="F2049">
        <v>4</v>
      </c>
      <c r="G2049">
        <f>LOG(382/(4+1))</f>
        <v>1.8830933585756899</v>
      </c>
      <c r="H2049">
        <f>0.0113636363636363*4.33598269617247</f>
        <v>4.927253063832325E-2</v>
      </c>
      <c r="I2049">
        <v>4.9272530638323583E-2</v>
      </c>
    </row>
    <row r="2050" spans="1:9" x14ac:dyDescent="0.25">
      <c r="A2050">
        <v>261</v>
      </c>
      <c r="B2050" t="s">
        <v>1086</v>
      </c>
      <c r="C2050" t="s">
        <v>48</v>
      </c>
      <c r="D2050" t="s">
        <v>543</v>
      </c>
      <c r="E2050">
        <f t="shared" si="91"/>
        <v>1.1363636363636364E-2</v>
      </c>
      <c r="F2050">
        <v>6</v>
      </c>
      <c r="G2050">
        <f>LOG(382/(6+1))</f>
        <v>1.736965322897452</v>
      </c>
      <c r="H2050">
        <f>0.0113636363636363*3.99951045955126</f>
        <v>4.5448982494900425E-2</v>
      </c>
      <c r="I2050">
        <v>4.5448982494900703E-2</v>
      </c>
    </row>
    <row r="2051" spans="1:9" x14ac:dyDescent="0.25">
      <c r="A2051">
        <v>261</v>
      </c>
      <c r="B2051" t="s">
        <v>1086</v>
      </c>
      <c r="C2051" t="s">
        <v>48</v>
      </c>
      <c r="D2051" t="s">
        <v>465</v>
      </c>
      <c r="E2051">
        <f t="shared" si="91"/>
        <v>1.1363636363636364E-2</v>
      </c>
      <c r="F2051">
        <v>36</v>
      </c>
      <c r="G2051">
        <f>LOG(382/(36+1))</f>
        <v>1.0138616388447137</v>
      </c>
      <c r="H2051">
        <f>0.0113636363636363*2.33450269596235</f>
        <v>2.6528439726844738E-2</v>
      </c>
      <c r="I2051">
        <v>2.6528439726844901E-2</v>
      </c>
    </row>
    <row r="2052" spans="1:9" x14ac:dyDescent="0.25">
      <c r="A2052">
        <v>261</v>
      </c>
      <c r="B2052" t="s">
        <v>1086</v>
      </c>
      <c r="C2052" t="s">
        <v>48</v>
      </c>
      <c r="D2052" t="s">
        <v>1103</v>
      </c>
      <c r="E2052">
        <f t="shared" si="91"/>
        <v>1.1363636363636364E-2</v>
      </c>
      <c r="F2052">
        <v>1</v>
      </c>
      <c r="G2052">
        <f>LOG(382/(1+1))</f>
        <v>2.2810333672477277</v>
      </c>
      <c r="H2052">
        <f>0.0113636363636363*5.25227342804663</f>
        <v>5.968492531871137E-2</v>
      </c>
      <c r="I2052">
        <v>5.9684925318711703E-2</v>
      </c>
    </row>
    <row r="2053" spans="1:9" x14ac:dyDescent="0.25">
      <c r="A2053">
        <v>261</v>
      </c>
      <c r="B2053" t="s">
        <v>1086</v>
      </c>
      <c r="C2053" t="s">
        <v>48</v>
      </c>
      <c r="D2053" t="s">
        <v>1104</v>
      </c>
      <c r="E2053">
        <f t="shared" si="91"/>
        <v>1.1363636363636364E-2</v>
      </c>
      <c r="F2053">
        <v>3</v>
      </c>
      <c r="G2053">
        <f>LOG(382/(3+1))</f>
        <v>1.9800033715837464</v>
      </c>
      <c r="H2053">
        <f>0.0113636363636363*4.55912624748668</f>
        <v>5.1808252812348347E-2</v>
      </c>
      <c r="I2053">
        <v>5.1808252812348687E-2</v>
      </c>
    </row>
    <row r="2054" spans="1:9" x14ac:dyDescent="0.25">
      <c r="A2054">
        <v>261</v>
      </c>
      <c r="B2054" t="s">
        <v>1086</v>
      </c>
      <c r="C2054" t="s">
        <v>48</v>
      </c>
      <c r="D2054" t="s">
        <v>263</v>
      </c>
      <c r="E2054">
        <f t="shared" si="91"/>
        <v>1.1363636363636364E-2</v>
      </c>
      <c r="F2054">
        <v>41</v>
      </c>
      <c r="G2054">
        <f>LOG(382/(41+1))</f>
        <v>0.95881407251380824</v>
      </c>
      <c r="H2054">
        <f>0.0113636363636363*2.2077509903232</f>
        <v>2.5088079435490771E-2</v>
      </c>
      <c r="I2054">
        <v>2.508807943549099E-2</v>
      </c>
    </row>
    <row r="2055" spans="1:9" x14ac:dyDescent="0.25">
      <c r="A2055">
        <v>261</v>
      </c>
      <c r="B2055" t="s">
        <v>1086</v>
      </c>
      <c r="C2055" t="s">
        <v>48</v>
      </c>
      <c r="D2055" t="s">
        <v>1105</v>
      </c>
      <c r="E2055">
        <f t="shared" si="91"/>
        <v>1.1363636363636364E-2</v>
      </c>
      <c r="F2055">
        <v>1</v>
      </c>
      <c r="G2055">
        <f>LOG(382/(1+1))</f>
        <v>2.2810333672477277</v>
      </c>
      <c r="H2055">
        <f>0.0113636363636363*5.25227342804663</f>
        <v>5.968492531871137E-2</v>
      </c>
      <c r="I2055">
        <v>5.9684925318711703E-2</v>
      </c>
    </row>
    <row r="2056" spans="1:9" x14ac:dyDescent="0.25">
      <c r="A2056">
        <v>261</v>
      </c>
      <c r="B2056" t="s">
        <v>1086</v>
      </c>
      <c r="C2056" t="s">
        <v>48</v>
      </c>
      <c r="D2056" t="s">
        <v>342</v>
      </c>
      <c r="E2056">
        <f t="shared" si="91"/>
        <v>1.1363636363636364E-2</v>
      </c>
      <c r="F2056">
        <v>35</v>
      </c>
      <c r="G2056">
        <f>LOG(382/(35+1))</f>
        <v>1.0257608621444214</v>
      </c>
      <c r="H2056">
        <f>0.0113636363636363*2.36190167015046</f>
        <v>2.6839791706255077E-2</v>
      </c>
      <c r="I2056">
        <v>2.6839791706255289E-2</v>
      </c>
    </row>
    <row r="2057" spans="1:9" x14ac:dyDescent="0.25">
      <c r="A2057">
        <v>261</v>
      </c>
      <c r="B2057" t="s">
        <v>1086</v>
      </c>
      <c r="C2057" t="s">
        <v>48</v>
      </c>
      <c r="D2057" t="s">
        <v>77</v>
      </c>
      <c r="E2057">
        <f t="shared" si="91"/>
        <v>1.1363636363636364E-2</v>
      </c>
      <c r="F2057">
        <v>148</v>
      </c>
      <c r="G2057">
        <f>LOG(382/(148+1))</f>
        <v>0.40887709449943471</v>
      </c>
      <c r="H2057">
        <f>0.0113636363636363*0.941474302661116</f>
        <v>1.0698571621148985E-2</v>
      </c>
      <c r="I2057">
        <v>1.0698571621149049E-2</v>
      </c>
    </row>
    <row r="2058" spans="1:9" x14ac:dyDescent="0.25">
      <c r="A2058">
        <v>261</v>
      </c>
      <c r="B2058" t="s">
        <v>1086</v>
      </c>
      <c r="C2058" t="s">
        <v>48</v>
      </c>
      <c r="D2058" t="s">
        <v>331</v>
      </c>
      <c r="E2058">
        <f t="shared" si="91"/>
        <v>1.1363636363636364E-2</v>
      </c>
      <c r="F2058">
        <v>130</v>
      </c>
      <c r="G2058">
        <f>LOG(382/(130+1))</f>
        <v>0.46479206725594452</v>
      </c>
      <c r="H2058">
        <f>0.0113636363636363*1.07022328540542</f>
        <v>1.2161628243243343E-2</v>
      </c>
      <c r="I2058">
        <v>1.216162824324345E-2</v>
      </c>
    </row>
    <row r="2059" spans="1:9" x14ac:dyDescent="0.25">
      <c r="A2059">
        <v>261</v>
      </c>
      <c r="B2059" t="s">
        <v>1086</v>
      </c>
      <c r="C2059" t="s">
        <v>48</v>
      </c>
      <c r="D2059" t="s">
        <v>1106</v>
      </c>
      <c r="E2059">
        <f t="shared" si="91"/>
        <v>1.1363636363636364E-2</v>
      </c>
      <c r="F2059">
        <v>7</v>
      </c>
      <c r="G2059">
        <f>LOG(382/(7+1))</f>
        <v>1.6789733759197651</v>
      </c>
      <c r="H2059">
        <f>0.0113636363636363*3.86597906692673</f>
        <v>4.3931580305985325E-2</v>
      </c>
      <c r="I2059">
        <v>4.3931580305985672E-2</v>
      </c>
    </row>
    <row r="2060" spans="1:9" x14ac:dyDescent="0.25">
      <c r="A2060">
        <v>261</v>
      </c>
      <c r="B2060" t="s">
        <v>1086</v>
      </c>
      <c r="C2060" t="s">
        <v>48</v>
      </c>
      <c r="D2060" t="s">
        <v>1107</v>
      </c>
      <c r="E2060">
        <f t="shared" si="91"/>
        <v>1.1363636363636364E-2</v>
      </c>
      <c r="F2060">
        <v>1</v>
      </c>
      <c r="G2060">
        <f>LOG(382/(1+1))</f>
        <v>2.2810333672477277</v>
      </c>
      <c r="H2060">
        <f>0.0113636363636363*5.25227342804663</f>
        <v>5.968492531871137E-2</v>
      </c>
      <c r="I2060">
        <v>5.9684925318711703E-2</v>
      </c>
    </row>
    <row r="2061" spans="1:9" x14ac:dyDescent="0.25">
      <c r="A2061">
        <v>261</v>
      </c>
      <c r="B2061" t="s">
        <v>1086</v>
      </c>
      <c r="C2061" t="s">
        <v>48</v>
      </c>
      <c r="D2061" t="s">
        <v>1060</v>
      </c>
      <c r="E2061">
        <f t="shared" si="91"/>
        <v>1.1363636363636364E-2</v>
      </c>
      <c r="F2061">
        <v>15</v>
      </c>
      <c r="G2061">
        <f>LOG(382/(15+1))</f>
        <v>1.3779433802557839</v>
      </c>
      <c r="H2061">
        <f>0.0113636363636363*3.17283188636679</f>
        <v>3.6054907799622414E-2</v>
      </c>
      <c r="I2061">
        <v>3.6054907799622657E-2</v>
      </c>
    </row>
    <row r="2062" spans="1:9" x14ac:dyDescent="0.25">
      <c r="A2062">
        <v>261</v>
      </c>
      <c r="B2062" t="s">
        <v>1086</v>
      </c>
      <c r="C2062" t="s">
        <v>48</v>
      </c>
      <c r="D2062" t="s">
        <v>1108</v>
      </c>
      <c r="E2062">
        <f t="shared" si="91"/>
        <v>1.1363636363636364E-2</v>
      </c>
      <c r="F2062">
        <v>1</v>
      </c>
      <c r="G2062">
        <f>LOG(382/(1+1))</f>
        <v>2.2810333672477277</v>
      </c>
      <c r="H2062">
        <f>0.0113636363636363*5.25227342804663</f>
        <v>5.968492531871137E-2</v>
      </c>
      <c r="I2062">
        <v>5.9684925318711703E-2</v>
      </c>
    </row>
    <row r="2063" spans="1:9" x14ac:dyDescent="0.25">
      <c r="A2063">
        <v>261</v>
      </c>
      <c r="B2063" t="s">
        <v>1086</v>
      </c>
      <c r="C2063" t="s">
        <v>48</v>
      </c>
      <c r="D2063" t="s">
        <v>1109</v>
      </c>
      <c r="E2063">
        <f t="shared" si="91"/>
        <v>1.1363636363636364E-2</v>
      </c>
      <c r="F2063">
        <v>2</v>
      </c>
      <c r="G2063">
        <f>LOG(382/(2+1))</f>
        <v>2.1049421081920463</v>
      </c>
      <c r="H2063">
        <f>0.0113636363636363*4.84680831993846</f>
        <v>5.5077367272027646E-2</v>
      </c>
      <c r="I2063">
        <v>5.5077367272028013E-2</v>
      </c>
    </row>
    <row r="2064" spans="1:9" x14ac:dyDescent="0.25">
      <c r="A2064">
        <v>261</v>
      </c>
      <c r="B2064" t="s">
        <v>1086</v>
      </c>
      <c r="C2064" t="s">
        <v>48</v>
      </c>
      <c r="D2064" t="s">
        <v>1110</v>
      </c>
      <c r="E2064">
        <f t="shared" si="91"/>
        <v>1.1363636363636364E-2</v>
      </c>
      <c r="F2064">
        <v>2</v>
      </c>
      <c r="G2064">
        <f>LOG(382/(2+1))</f>
        <v>2.1049421081920463</v>
      </c>
      <c r="H2064">
        <f>0.0113636363636363*4.84680831993846</f>
        <v>5.5077367272027646E-2</v>
      </c>
      <c r="I2064">
        <v>5.5077367272028013E-2</v>
      </c>
    </row>
    <row r="2065" spans="1:9" x14ac:dyDescent="0.25">
      <c r="A2065">
        <v>261</v>
      </c>
      <c r="B2065" t="s">
        <v>1086</v>
      </c>
      <c r="C2065" t="s">
        <v>48</v>
      </c>
      <c r="D2065" t="s">
        <v>1111</v>
      </c>
      <c r="E2065">
        <f t="shared" si="91"/>
        <v>1.1363636363636364E-2</v>
      </c>
      <c r="F2065">
        <v>1</v>
      </c>
      <c r="G2065">
        <f>LOG(382/(1+1))</f>
        <v>2.2810333672477277</v>
      </c>
      <c r="H2065">
        <f>0.0113636363636363*5.25227342804663</f>
        <v>5.968492531871137E-2</v>
      </c>
      <c r="I2065">
        <v>5.9684925318711703E-2</v>
      </c>
    </row>
    <row r="2066" spans="1:9" x14ac:dyDescent="0.25">
      <c r="A2066">
        <v>262</v>
      </c>
      <c r="B2066" t="s">
        <v>1112</v>
      </c>
      <c r="C2066" t="s">
        <v>48</v>
      </c>
      <c r="D2066" t="s">
        <v>1113</v>
      </c>
      <c r="E2066">
        <f>1/18</f>
        <v>5.5555555555555552E-2</v>
      </c>
      <c r="F2066">
        <v>1</v>
      </c>
      <c r="G2066">
        <f>LOG(382/(1+1))</f>
        <v>2.2810333672477277</v>
      </c>
      <c r="H2066">
        <f>0.0555555555555555*5.25227342804663</f>
        <v>0.29179296822481249</v>
      </c>
      <c r="I2066">
        <v>0.29179296822481282</v>
      </c>
    </row>
    <row r="2067" spans="1:9" x14ac:dyDescent="0.25">
      <c r="A2067">
        <v>262</v>
      </c>
      <c r="B2067" t="s">
        <v>1112</v>
      </c>
      <c r="C2067" t="s">
        <v>48</v>
      </c>
      <c r="D2067" t="s">
        <v>38</v>
      </c>
      <c r="E2067">
        <f>1/18</f>
        <v>5.5555555555555552E-2</v>
      </c>
      <c r="F2067">
        <v>86</v>
      </c>
      <c r="G2067">
        <f>LOG(382/(86+1))</f>
        <v>0.64254411029309022</v>
      </c>
      <c r="H2067">
        <f>0.0555555555555555*1.47951248995199</f>
        <v>8.2195138330666023E-2</v>
      </c>
      <c r="I2067">
        <v>8.2195138330666176E-2</v>
      </c>
    </row>
    <row r="2068" spans="1:9" x14ac:dyDescent="0.25">
      <c r="A2068">
        <v>262</v>
      </c>
      <c r="B2068" t="s">
        <v>1112</v>
      </c>
      <c r="C2068" t="s">
        <v>48</v>
      </c>
      <c r="D2068" t="s">
        <v>189</v>
      </c>
      <c r="E2068">
        <f>4/18</f>
        <v>0.22222222222222221</v>
      </c>
      <c r="F2068">
        <v>27</v>
      </c>
      <c r="G2068">
        <f>LOG(382/(27+1))</f>
        <v>1.1349053315694895</v>
      </c>
      <c r="H2068">
        <f>0.222222222222222*2.61321609843137</f>
        <v>0.58071468854030384</v>
      </c>
      <c r="I2068">
        <v>0.58071468854030461</v>
      </c>
    </row>
    <row r="2069" spans="1:9" x14ac:dyDescent="0.25">
      <c r="A2069">
        <v>262</v>
      </c>
      <c r="B2069" t="s">
        <v>1112</v>
      </c>
      <c r="C2069" t="s">
        <v>48</v>
      </c>
      <c r="D2069" t="s">
        <v>50</v>
      </c>
      <c r="E2069">
        <f>1/18</f>
        <v>5.5555555555555552E-2</v>
      </c>
      <c r="F2069">
        <v>109</v>
      </c>
      <c r="G2069">
        <f>LOG(382/(109+1))</f>
        <v>0.54067067775348365</v>
      </c>
      <c r="H2069">
        <f>0.0555555555555555*1.24494024281415</f>
        <v>6.9163346823008259E-2</v>
      </c>
      <c r="I2069">
        <v>6.9163346823008828E-2</v>
      </c>
    </row>
    <row r="2070" spans="1:9" x14ac:dyDescent="0.25">
      <c r="A2070">
        <v>262</v>
      </c>
      <c r="B2070" t="s">
        <v>1112</v>
      </c>
      <c r="C2070" t="s">
        <v>48</v>
      </c>
      <c r="D2070" t="s">
        <v>195</v>
      </c>
      <c r="E2070">
        <f>3/18</f>
        <v>0.16666666666666666</v>
      </c>
      <c r="F2070">
        <v>55</v>
      </c>
      <c r="G2070">
        <f>LOG(382/(55+1))</f>
        <v>0.83387533590550833</v>
      </c>
      <c r="H2070">
        <f>0.166666666666666*1.92006891787142</f>
        <v>0.32001148631190207</v>
      </c>
      <c r="I2070">
        <v>0.32001148631190429</v>
      </c>
    </row>
    <row r="2071" spans="1:9" x14ac:dyDescent="0.25">
      <c r="A2071">
        <v>262</v>
      </c>
      <c r="B2071" t="s">
        <v>1112</v>
      </c>
      <c r="C2071" t="s">
        <v>48</v>
      </c>
      <c r="D2071" t="s">
        <v>1114</v>
      </c>
      <c r="E2071">
        <f t="shared" ref="E2071:E2078" si="92">1/18</f>
        <v>5.5555555555555552E-2</v>
      </c>
      <c r="F2071">
        <v>3</v>
      </c>
      <c r="G2071">
        <f>LOG(382/(3+1))</f>
        <v>1.9800033715837464</v>
      </c>
      <c r="H2071">
        <f>0.0555555555555555*4.55912624748668</f>
        <v>0.25328479152703753</v>
      </c>
      <c r="I2071">
        <v>0.25328479152703798</v>
      </c>
    </row>
    <row r="2072" spans="1:9" x14ac:dyDescent="0.25">
      <c r="A2072">
        <v>262</v>
      </c>
      <c r="B2072" t="s">
        <v>1112</v>
      </c>
      <c r="C2072" t="s">
        <v>48</v>
      </c>
      <c r="D2072" t="s">
        <v>1115</v>
      </c>
      <c r="E2072">
        <f t="shared" si="92"/>
        <v>5.5555555555555552E-2</v>
      </c>
      <c r="F2072">
        <v>2</v>
      </c>
      <c r="G2072">
        <f>LOG(382/(2+1))</f>
        <v>2.1049421081920463</v>
      </c>
      <c r="H2072">
        <f>0.0555555555555555*4.84680831993846</f>
        <v>0.26926712888546972</v>
      </c>
      <c r="I2072">
        <v>0.26926712888547027</v>
      </c>
    </row>
    <row r="2073" spans="1:9" x14ac:dyDescent="0.25">
      <c r="A2073">
        <v>262</v>
      </c>
      <c r="B2073" t="s">
        <v>1112</v>
      </c>
      <c r="C2073" t="s">
        <v>48</v>
      </c>
      <c r="D2073" t="s">
        <v>1116</v>
      </c>
      <c r="E2073">
        <f t="shared" si="92"/>
        <v>5.5555555555555552E-2</v>
      </c>
      <c r="F2073">
        <v>1</v>
      </c>
      <c r="G2073">
        <f>LOG(382/(1+1))</f>
        <v>2.2810333672477277</v>
      </c>
      <c r="H2073">
        <f>0.0555555555555555*5.25227342804663</f>
        <v>0.29179296822481249</v>
      </c>
      <c r="I2073">
        <v>0.29179296822481282</v>
      </c>
    </row>
    <row r="2074" spans="1:9" x14ac:dyDescent="0.25">
      <c r="A2074">
        <v>262</v>
      </c>
      <c r="B2074" t="s">
        <v>1112</v>
      </c>
      <c r="C2074" t="s">
        <v>48</v>
      </c>
      <c r="D2074" t="s">
        <v>1117</v>
      </c>
      <c r="E2074">
        <f t="shared" si="92"/>
        <v>5.5555555555555552E-2</v>
      </c>
      <c r="F2074">
        <v>4</v>
      </c>
      <c r="G2074">
        <f>LOG(382/(4+1))</f>
        <v>1.8830933585756899</v>
      </c>
      <c r="H2074">
        <f>0.0555555555555555*4.33598269617247</f>
        <v>0.24088792756513699</v>
      </c>
      <c r="I2074">
        <v>0.24088792756513749</v>
      </c>
    </row>
    <row r="2075" spans="1:9" x14ac:dyDescent="0.25">
      <c r="A2075">
        <v>262</v>
      </c>
      <c r="B2075" t="s">
        <v>1112</v>
      </c>
      <c r="C2075" t="s">
        <v>48</v>
      </c>
      <c r="D2075" t="s">
        <v>1118</v>
      </c>
      <c r="E2075">
        <f t="shared" si="92"/>
        <v>5.5555555555555552E-2</v>
      </c>
      <c r="F2075">
        <v>2</v>
      </c>
      <c r="G2075">
        <f>LOG(382/(2+1))</f>
        <v>2.1049421081920463</v>
      </c>
      <c r="H2075">
        <f>0.0555555555555555*4.84680831993846</f>
        <v>0.26926712888546972</v>
      </c>
      <c r="I2075">
        <v>0.26926712888547027</v>
      </c>
    </row>
    <row r="2076" spans="1:9" x14ac:dyDescent="0.25">
      <c r="A2076">
        <v>262</v>
      </c>
      <c r="B2076" t="s">
        <v>1112</v>
      </c>
      <c r="C2076" t="s">
        <v>48</v>
      </c>
      <c r="D2076" t="s">
        <v>190</v>
      </c>
      <c r="E2076">
        <f t="shared" si="92"/>
        <v>5.5555555555555552E-2</v>
      </c>
      <c r="F2076">
        <v>23</v>
      </c>
      <c r="G2076">
        <f>LOG(382/(23+1))</f>
        <v>1.2018521212001028</v>
      </c>
      <c r="H2076">
        <f>0.0555555555555555*2.76736677825862</f>
        <v>0.15374259879214541</v>
      </c>
      <c r="I2076">
        <v>0.15374259879214611</v>
      </c>
    </row>
    <row r="2077" spans="1:9" x14ac:dyDescent="0.25">
      <c r="A2077">
        <v>262</v>
      </c>
      <c r="B2077" t="s">
        <v>1112</v>
      </c>
      <c r="C2077" t="s">
        <v>48</v>
      </c>
      <c r="D2077" t="s">
        <v>104</v>
      </c>
      <c r="E2077">
        <f t="shared" si="92"/>
        <v>5.5555555555555552E-2</v>
      </c>
      <c r="F2077">
        <v>49</v>
      </c>
      <c r="G2077">
        <f>LOG(382/(49+1))</f>
        <v>0.88309335857568994</v>
      </c>
      <c r="H2077">
        <f>0.0555555555555555*2.03339760317842</f>
        <v>0.11296653350991211</v>
      </c>
      <c r="I2077">
        <v>0.1129665335099127</v>
      </c>
    </row>
    <row r="2078" spans="1:9" x14ac:dyDescent="0.25">
      <c r="A2078">
        <v>262</v>
      </c>
      <c r="B2078" t="s">
        <v>1112</v>
      </c>
      <c r="C2078" t="s">
        <v>48</v>
      </c>
      <c r="D2078" t="s">
        <v>953</v>
      </c>
      <c r="E2078">
        <f t="shared" si="92"/>
        <v>5.5555555555555552E-2</v>
      </c>
      <c r="F2078">
        <v>16</v>
      </c>
      <c r="G2078">
        <f>LOG(382/(16+1))</f>
        <v>1.3516144415334348</v>
      </c>
      <c r="H2078">
        <f>0.0555555555555555*3.11220726455035</f>
        <v>0.17290040358613037</v>
      </c>
      <c r="I2078">
        <v>0.17290040358613101</v>
      </c>
    </row>
    <row r="2079" spans="1:9" x14ac:dyDescent="0.25">
      <c r="A2079">
        <v>263</v>
      </c>
      <c r="B2079" t="s">
        <v>1119</v>
      </c>
      <c r="C2079" t="s">
        <v>48</v>
      </c>
      <c r="D2079" t="s">
        <v>15</v>
      </c>
      <c r="E2079">
        <f>9/214</f>
        <v>4.2056074766355138E-2</v>
      </c>
      <c r="F2079">
        <v>112</v>
      </c>
      <c r="G2079">
        <f>LOG(382/(112+1))</f>
        <v>0.52898491942828896</v>
      </c>
      <c r="H2079">
        <f>0.0420560747663551*1.21803278989423</f>
        <v>5.1225678079663835E-2</v>
      </c>
      <c r="I2079">
        <v>5.1225678079664071E-2</v>
      </c>
    </row>
    <row r="2080" spans="1:9" x14ac:dyDescent="0.25">
      <c r="A2080">
        <v>263</v>
      </c>
      <c r="B2080" t="s">
        <v>1119</v>
      </c>
      <c r="C2080" t="s">
        <v>48</v>
      </c>
      <c r="D2080" t="s">
        <v>54</v>
      </c>
      <c r="E2080">
        <f>12/214</f>
        <v>5.6074766355140186E-2</v>
      </c>
      <c r="F2080">
        <v>25</v>
      </c>
      <c r="G2080">
        <f>LOG(382/(25+1))</f>
        <v>1.1670900149408907</v>
      </c>
      <c r="H2080">
        <f>0.0560747663551401*2.68732407058509</f>
        <v>0.15069106937860297</v>
      </c>
      <c r="I2080">
        <v>0.15069106937860341</v>
      </c>
    </row>
    <row r="2081" spans="1:9" x14ac:dyDescent="0.25">
      <c r="A2081">
        <v>263</v>
      </c>
      <c r="B2081" t="s">
        <v>1119</v>
      </c>
      <c r="C2081" t="s">
        <v>48</v>
      </c>
      <c r="D2081" t="s">
        <v>1120</v>
      </c>
      <c r="E2081">
        <f>4/214</f>
        <v>1.8691588785046728E-2</v>
      </c>
      <c r="F2081">
        <v>1</v>
      </c>
      <c r="G2081">
        <f>LOG(382/(1+1))</f>
        <v>2.2810333672477277</v>
      </c>
      <c r="H2081">
        <f>0.0186915887850467*5.25227342804663</f>
        <v>9.8173335103675166E-2</v>
      </c>
      <c r="I2081">
        <v>9.8173335103675319E-2</v>
      </c>
    </row>
    <row r="2082" spans="1:9" x14ac:dyDescent="0.25">
      <c r="A2082">
        <v>263</v>
      </c>
      <c r="B2082" t="s">
        <v>1119</v>
      </c>
      <c r="C2082" t="s">
        <v>48</v>
      </c>
      <c r="D2082" t="s">
        <v>1121</v>
      </c>
      <c r="E2082">
        <f>4/214</f>
        <v>1.8691588785046728E-2</v>
      </c>
      <c r="F2082">
        <v>2</v>
      </c>
      <c r="G2082">
        <f>LOG(382/(2+1))</f>
        <v>2.1049421081920463</v>
      </c>
      <c r="H2082">
        <f>0.0186915887850467*4.84680831993846</f>
        <v>9.059454803623275E-2</v>
      </c>
      <c r="I2082">
        <v>9.0594548036232986E-2</v>
      </c>
    </row>
    <row r="2083" spans="1:9" x14ac:dyDescent="0.25">
      <c r="A2083">
        <v>263</v>
      </c>
      <c r="B2083" t="s">
        <v>1119</v>
      </c>
      <c r="C2083" t="s">
        <v>48</v>
      </c>
      <c r="D2083" t="s">
        <v>1122</v>
      </c>
      <c r="E2083">
        <f>3/214</f>
        <v>1.4018691588785047E-2</v>
      </c>
      <c r="F2083">
        <v>4</v>
      </c>
      <c r="G2083">
        <f>LOG(382/(4+1))</f>
        <v>1.8830933585756899</v>
      </c>
      <c r="H2083">
        <f>0.014018691588785*4.33598269617247</f>
        <v>6.0784804151950318E-2</v>
      </c>
      <c r="I2083">
        <v>6.0784804151950582E-2</v>
      </c>
    </row>
    <row r="2084" spans="1:9" x14ac:dyDescent="0.25">
      <c r="A2084">
        <v>263</v>
      </c>
      <c r="B2084" t="s">
        <v>1119</v>
      </c>
      <c r="C2084" t="s">
        <v>48</v>
      </c>
      <c r="D2084" t="s">
        <v>247</v>
      </c>
      <c r="E2084">
        <f>1/214</f>
        <v>4.6728971962616819E-3</v>
      </c>
      <c r="F2084">
        <v>121</v>
      </c>
      <c r="G2084">
        <f>LOG(382/(121+1))</f>
        <v>0.49570353223696051</v>
      </c>
      <c r="H2084">
        <f>0.00467289719626168*1.14139956387331</f>
        <v>5.333642821837895E-3</v>
      </c>
      <c r="I2084">
        <v>5.3336428218379384E-3</v>
      </c>
    </row>
    <row r="2085" spans="1:9" x14ac:dyDescent="0.25">
      <c r="A2085">
        <v>263</v>
      </c>
      <c r="B2085" t="s">
        <v>1119</v>
      </c>
      <c r="C2085" t="s">
        <v>48</v>
      </c>
      <c r="D2085" t="s">
        <v>39</v>
      </c>
      <c r="E2085">
        <f>1/214</f>
        <v>4.6728971962616819E-3</v>
      </c>
      <c r="F2085">
        <v>145</v>
      </c>
      <c r="G2085">
        <f>LOG(382/(145+1))</f>
        <v>0.41771050712727159</v>
      </c>
      <c r="H2085">
        <f>0.00467289719626168*0.961813986898238</f>
        <v>4.4944578827020446E-3</v>
      </c>
      <c r="I2085">
        <v>4.4944578827020498E-3</v>
      </c>
    </row>
    <row r="2086" spans="1:9" x14ac:dyDescent="0.25">
      <c r="A2086">
        <v>263</v>
      </c>
      <c r="B2086" t="s">
        <v>1119</v>
      </c>
      <c r="C2086" t="s">
        <v>48</v>
      </c>
      <c r="D2086" t="s">
        <v>40</v>
      </c>
      <c r="E2086">
        <f>1/214</f>
        <v>4.6728971962616819E-3</v>
      </c>
      <c r="F2086">
        <v>159</v>
      </c>
      <c r="G2086">
        <f>LOG(382/(159+1))</f>
        <v>0.377943380255784</v>
      </c>
      <c r="H2086">
        <f>0.00467289719626168*0.870246793372748</f>
        <v>4.0665738008072317E-3</v>
      </c>
      <c r="I2086">
        <v>4.0665738008072352E-3</v>
      </c>
    </row>
    <row r="2087" spans="1:9" x14ac:dyDescent="0.25">
      <c r="A2087">
        <v>263</v>
      </c>
      <c r="B2087" t="s">
        <v>1119</v>
      </c>
      <c r="C2087" t="s">
        <v>48</v>
      </c>
      <c r="D2087" t="s">
        <v>41</v>
      </c>
      <c r="E2087">
        <f>2/214</f>
        <v>9.3457943925233638E-3</v>
      </c>
      <c r="F2087">
        <v>195</v>
      </c>
      <c r="G2087">
        <f>LOG(382/(195+1))</f>
        <v>0.28980729155523272</v>
      </c>
      <c r="H2087">
        <f>0.00934579439252336*0.667305949376058</f>
        <v>6.2365041997762402E-3</v>
      </c>
      <c r="I2087">
        <v>6.2365041997762428E-3</v>
      </c>
    </row>
    <row r="2088" spans="1:9" x14ac:dyDescent="0.25">
      <c r="A2088">
        <v>263</v>
      </c>
      <c r="B2088" t="s">
        <v>1119</v>
      </c>
      <c r="C2088" t="s">
        <v>48</v>
      </c>
      <c r="D2088" t="s">
        <v>1123</v>
      </c>
      <c r="E2088">
        <f>1/214</f>
        <v>4.6728971962616819E-3</v>
      </c>
      <c r="F2088">
        <v>4</v>
      </c>
      <c r="G2088">
        <f>LOG(382/(4+1))</f>
        <v>1.8830933585756899</v>
      </c>
      <c r="H2088">
        <f>0.00467289719626168*4.33598269617247</f>
        <v>2.0261601383983498E-2</v>
      </c>
      <c r="I2088">
        <v>2.026160138398353E-2</v>
      </c>
    </row>
    <row r="2089" spans="1:9" x14ac:dyDescent="0.25">
      <c r="A2089">
        <v>263</v>
      </c>
      <c r="B2089" t="s">
        <v>1119</v>
      </c>
      <c r="C2089" t="s">
        <v>48</v>
      </c>
      <c r="D2089" t="s">
        <v>204</v>
      </c>
      <c r="E2089">
        <f>1/214</f>
        <v>4.6728971962616819E-3</v>
      </c>
      <c r="F2089">
        <v>166</v>
      </c>
      <c r="G2089">
        <f>LOG(382/(166+1))</f>
        <v>0.35934689176412549</v>
      </c>
      <c r="H2089">
        <f>0.00467289719626168*0.82742679618982</f>
        <v>3.8664803560271945E-3</v>
      </c>
      <c r="I2089">
        <v>3.8664803560271958E-3</v>
      </c>
    </row>
    <row r="2090" spans="1:9" x14ac:dyDescent="0.25">
      <c r="A2090">
        <v>263</v>
      </c>
      <c r="B2090" t="s">
        <v>1119</v>
      </c>
      <c r="C2090" t="s">
        <v>48</v>
      </c>
      <c r="D2090" t="s">
        <v>331</v>
      </c>
      <c r="E2090">
        <f>2/214</f>
        <v>9.3457943925233638E-3</v>
      </c>
      <c r="F2090">
        <v>130</v>
      </c>
      <c r="G2090">
        <f>LOG(382/(130+1))</f>
        <v>0.46479206725594452</v>
      </c>
      <c r="H2090">
        <f>0.00934579439252336*1.07022328540542</f>
        <v>1.0002086779489903E-2</v>
      </c>
      <c r="I2090">
        <v>1.000208677948994E-2</v>
      </c>
    </row>
    <row r="2091" spans="1:9" x14ac:dyDescent="0.25">
      <c r="A2091">
        <v>263</v>
      </c>
      <c r="B2091" t="s">
        <v>1119</v>
      </c>
      <c r="C2091" t="s">
        <v>48</v>
      </c>
      <c r="D2091" t="s">
        <v>53</v>
      </c>
      <c r="E2091">
        <f>13/214</f>
        <v>6.0747663551401869E-2</v>
      </c>
      <c r="F2091">
        <v>57</v>
      </c>
      <c r="G2091">
        <f>LOG(382/(57+1))</f>
        <v>0.81863536934877146</v>
      </c>
      <c r="H2091">
        <f>0.0607476635514018*1.88497759806015</f>
        <v>0.11450798492888749</v>
      </c>
      <c r="I2091">
        <v>0.114507984928888</v>
      </c>
    </row>
    <row r="2092" spans="1:9" x14ac:dyDescent="0.25">
      <c r="A2092">
        <v>263</v>
      </c>
      <c r="B2092" t="s">
        <v>1119</v>
      </c>
      <c r="C2092" t="s">
        <v>48</v>
      </c>
      <c r="D2092" t="s">
        <v>50</v>
      </c>
      <c r="E2092">
        <f>17/214</f>
        <v>7.9439252336448593E-2</v>
      </c>
      <c r="F2092">
        <v>109</v>
      </c>
      <c r="G2092">
        <f>LOG(382/(109+1))</f>
        <v>0.54067067775348365</v>
      </c>
      <c r="H2092">
        <f>0.0794392523364486*1.24494024281415</f>
        <v>9.8897122092712855E-2</v>
      </c>
      <c r="I2092">
        <v>9.8897122092713549E-2</v>
      </c>
    </row>
    <row r="2093" spans="1:9" x14ac:dyDescent="0.25">
      <c r="A2093">
        <v>263</v>
      </c>
      <c r="B2093" t="s">
        <v>1119</v>
      </c>
      <c r="C2093" t="s">
        <v>48</v>
      </c>
      <c r="D2093" t="s">
        <v>240</v>
      </c>
      <c r="E2093">
        <f>3/214</f>
        <v>1.4018691588785047E-2</v>
      </c>
      <c r="F2093">
        <v>15</v>
      </c>
      <c r="G2093">
        <f>LOG(382/(15+1))</f>
        <v>1.3779433802557839</v>
      </c>
      <c r="H2093">
        <f>0.014018691588785*3.17283188636679</f>
        <v>4.4478951678038968E-2</v>
      </c>
      <c r="I2093">
        <v>4.4478951678039169E-2</v>
      </c>
    </row>
    <row r="2094" spans="1:9" x14ac:dyDescent="0.25">
      <c r="A2094">
        <v>263</v>
      </c>
      <c r="B2094" t="s">
        <v>1119</v>
      </c>
      <c r="C2094" t="s">
        <v>48</v>
      </c>
      <c r="D2094" t="s">
        <v>1124</v>
      </c>
      <c r="E2094">
        <f>1/214</f>
        <v>4.6728971962616819E-3</v>
      </c>
      <c r="F2094">
        <v>1</v>
      </c>
      <c r="G2094">
        <f>LOG(382/(1+1))</f>
        <v>2.2810333672477277</v>
      </c>
      <c r="H2094">
        <f>0.00467289719626168*5.25227342804663</f>
        <v>2.4543333775918819E-2</v>
      </c>
      <c r="I2094">
        <v>2.454333377591883E-2</v>
      </c>
    </row>
    <row r="2095" spans="1:9" x14ac:dyDescent="0.25">
      <c r="A2095">
        <v>263</v>
      </c>
      <c r="B2095" t="s">
        <v>1119</v>
      </c>
      <c r="C2095" t="s">
        <v>48</v>
      </c>
      <c r="D2095" t="s">
        <v>237</v>
      </c>
      <c r="E2095">
        <f>2/214</f>
        <v>9.3457943925233638E-3</v>
      </c>
      <c r="F2095">
        <v>138</v>
      </c>
      <c r="G2095">
        <f>LOG(382/(138+1))</f>
        <v>0.43904856265761361</v>
      </c>
      <c r="H2095">
        <f>0.00934579439252336*1.01094667547588</f>
        <v>9.4480997708026124E-3</v>
      </c>
      <c r="I2095">
        <v>9.4480997708026471E-3</v>
      </c>
    </row>
    <row r="2096" spans="1:9" x14ac:dyDescent="0.25">
      <c r="A2096">
        <v>263</v>
      </c>
      <c r="B2096" t="s">
        <v>1119</v>
      </c>
      <c r="C2096" t="s">
        <v>48</v>
      </c>
      <c r="D2096" t="s">
        <v>217</v>
      </c>
      <c r="E2096">
        <f>4/214</f>
        <v>1.8691588785046728E-2</v>
      </c>
      <c r="F2096">
        <v>12</v>
      </c>
      <c r="G2096">
        <f>LOG(382/(12+1))</f>
        <v>1.468120010604872</v>
      </c>
      <c r="H2096">
        <f>0.0186915887850467*3.38047125114503</f>
        <v>6.3186378526075226E-2</v>
      </c>
      <c r="I2096">
        <v>6.3186378526075476E-2</v>
      </c>
    </row>
    <row r="2097" spans="1:9" x14ac:dyDescent="0.25">
      <c r="A2097">
        <v>263</v>
      </c>
      <c r="B2097" t="s">
        <v>1119</v>
      </c>
      <c r="C2097" t="s">
        <v>48</v>
      </c>
      <c r="D2097" t="s">
        <v>207</v>
      </c>
      <c r="E2097">
        <f>1/214</f>
        <v>4.6728971962616819E-3</v>
      </c>
      <c r="F2097">
        <v>21</v>
      </c>
      <c r="G2097">
        <f>LOG(382/(21+1))</f>
        <v>1.2396406820895025</v>
      </c>
      <c r="H2097">
        <f>0.00467289719626168*2.85437815524825</f>
        <v>1.3338215678730133E-2</v>
      </c>
      <c r="I2097">
        <v>1.333821567873018E-2</v>
      </c>
    </row>
    <row r="2098" spans="1:9" x14ac:dyDescent="0.25">
      <c r="A2098">
        <v>263</v>
      </c>
      <c r="B2098" t="s">
        <v>1119</v>
      </c>
      <c r="C2098" t="s">
        <v>48</v>
      </c>
      <c r="D2098" t="s">
        <v>1125</v>
      </c>
      <c r="E2098">
        <f>2/214</f>
        <v>9.3457943925233638E-3</v>
      </c>
      <c r="F2098">
        <v>19</v>
      </c>
      <c r="G2098">
        <f>LOG(382/(19+1))</f>
        <v>1.2810333672477277</v>
      </c>
      <c r="H2098">
        <f>0.00934579439252336*2.94968833505258</f>
        <v>2.756718070142597E-2</v>
      </c>
      <c r="I2098">
        <v>2.7567180701426022E-2</v>
      </c>
    </row>
    <row r="2099" spans="1:9" x14ac:dyDescent="0.25">
      <c r="A2099">
        <v>263</v>
      </c>
      <c r="B2099" t="s">
        <v>1119</v>
      </c>
      <c r="C2099" t="s">
        <v>48</v>
      </c>
      <c r="D2099" t="s">
        <v>406</v>
      </c>
      <c r="E2099">
        <f>5/214</f>
        <v>2.336448598130841E-2</v>
      </c>
      <c r="F2099">
        <v>10</v>
      </c>
      <c r="G2099">
        <f>LOG(382/(10+1))</f>
        <v>1.5406706777534838</v>
      </c>
      <c r="H2099">
        <f>0.0233644859813084*3.5475253358082</f>
        <v>8.2886105976827065E-2</v>
      </c>
      <c r="I2099">
        <v>8.2886105976827204E-2</v>
      </c>
    </row>
    <row r="2100" spans="1:9" x14ac:dyDescent="0.25">
      <c r="A2100">
        <v>263</v>
      </c>
      <c r="B2100" t="s">
        <v>1119</v>
      </c>
      <c r="C2100" t="s">
        <v>48</v>
      </c>
      <c r="D2100" t="s">
        <v>513</v>
      </c>
      <c r="E2100">
        <f>4/214</f>
        <v>1.8691588785046728E-2</v>
      </c>
      <c r="F2100">
        <v>3</v>
      </c>
      <c r="G2100">
        <f>LOG(382/(3+1))</f>
        <v>1.9800033715837464</v>
      </c>
      <c r="H2100">
        <f>0.0186915887850467*4.55912624748668</f>
        <v>8.5217313037134076E-2</v>
      </c>
      <c r="I2100">
        <v>8.5217313037134285E-2</v>
      </c>
    </row>
    <row r="2101" spans="1:9" x14ac:dyDescent="0.25">
      <c r="A2101">
        <v>263</v>
      </c>
      <c r="B2101" t="s">
        <v>1119</v>
      </c>
      <c r="C2101" t="s">
        <v>48</v>
      </c>
      <c r="D2101" t="s">
        <v>961</v>
      </c>
      <c r="E2101">
        <f>5/214</f>
        <v>2.336448598130841E-2</v>
      </c>
      <c r="F2101">
        <v>5</v>
      </c>
      <c r="G2101">
        <f>LOG(382/(5+1))</f>
        <v>1.803912112528065</v>
      </c>
      <c r="H2101">
        <f>0.0233644859813084*4.15366113937852</f>
        <v>9.7048157462114898E-2</v>
      </c>
      <c r="I2101">
        <v>9.7048157462114953E-2</v>
      </c>
    </row>
    <row r="2102" spans="1:9" x14ac:dyDescent="0.25">
      <c r="A2102">
        <v>263</v>
      </c>
      <c r="B2102" t="s">
        <v>1119</v>
      </c>
      <c r="C2102" t="s">
        <v>48</v>
      </c>
      <c r="D2102" t="s">
        <v>1126</v>
      </c>
      <c r="E2102">
        <f>2/214</f>
        <v>9.3457943925233638E-3</v>
      </c>
      <c r="F2102">
        <v>1</v>
      </c>
      <c r="G2102">
        <f>LOG(382/(1+1))</f>
        <v>2.2810333672477277</v>
      </c>
      <c r="H2102">
        <f>0.00934579439252336*5.25227342804663</f>
        <v>4.9086667551837639E-2</v>
      </c>
      <c r="I2102">
        <v>4.9086667551837659E-2</v>
      </c>
    </row>
    <row r="2103" spans="1:9" x14ac:dyDescent="0.25">
      <c r="A2103">
        <v>263</v>
      </c>
      <c r="B2103" t="s">
        <v>1119</v>
      </c>
      <c r="C2103" t="s">
        <v>48</v>
      </c>
      <c r="D2103" t="s">
        <v>1127</v>
      </c>
      <c r="E2103">
        <f>4/214</f>
        <v>1.8691588785046728E-2</v>
      </c>
      <c r="F2103">
        <v>18</v>
      </c>
      <c r="G2103">
        <f>LOG(382/(18+1))</f>
        <v>1.3033097619588798</v>
      </c>
      <c r="H2103">
        <f>0.0186915887850467*3.00098162944013</f>
        <v>5.6093114568974305E-2</v>
      </c>
      <c r="I2103">
        <v>5.6093114568974471E-2</v>
      </c>
    </row>
    <row r="2104" spans="1:9" x14ac:dyDescent="0.25">
      <c r="A2104">
        <v>263</v>
      </c>
      <c r="B2104" t="s">
        <v>1119</v>
      </c>
      <c r="C2104" t="s">
        <v>48</v>
      </c>
      <c r="D2104" t="s">
        <v>131</v>
      </c>
      <c r="E2104">
        <f>4/214</f>
        <v>1.8691588785046728E-2</v>
      </c>
      <c r="F2104">
        <v>38</v>
      </c>
      <c r="G2104">
        <f>LOG(382/(38+1))</f>
        <v>0.99099875588520958</v>
      </c>
      <c r="H2104">
        <f>0.0186915887850467*2.28185896247692</f>
        <v>4.2651569392091901E-2</v>
      </c>
      <c r="I2104">
        <v>4.265156939209213E-2</v>
      </c>
    </row>
    <row r="2105" spans="1:9" x14ac:dyDescent="0.25">
      <c r="A2105">
        <v>263</v>
      </c>
      <c r="B2105" t="s">
        <v>1119</v>
      </c>
      <c r="C2105" t="s">
        <v>48</v>
      </c>
      <c r="D2105" t="s">
        <v>720</v>
      </c>
      <c r="E2105">
        <f>1/214</f>
        <v>4.6728971962616819E-3</v>
      </c>
      <c r="F2105">
        <v>9</v>
      </c>
      <c r="G2105">
        <f>LOG(382/(9+1))</f>
        <v>1.5820633629117087</v>
      </c>
      <c r="H2105">
        <f>0.00467289719626168*3.64283551561252</f>
        <v>1.7022595867348216E-2</v>
      </c>
      <c r="I2105">
        <v>1.7022595867348271E-2</v>
      </c>
    </row>
    <row r="2106" spans="1:9" x14ac:dyDescent="0.25">
      <c r="A2106">
        <v>263</v>
      </c>
      <c r="B2106" t="s">
        <v>1119</v>
      </c>
      <c r="C2106" t="s">
        <v>48</v>
      </c>
      <c r="D2106" t="s">
        <v>219</v>
      </c>
      <c r="E2106">
        <f>1/214</f>
        <v>4.6728971962616819E-3</v>
      </c>
      <c r="F2106">
        <v>19</v>
      </c>
      <c r="G2106">
        <f>LOG(382/(19+1))</f>
        <v>1.2810333672477277</v>
      </c>
      <c r="H2106">
        <f>0.00467289719626168*2.94968833505258</f>
        <v>1.3783590350712985E-2</v>
      </c>
      <c r="I2106">
        <v>1.3783590350713011E-2</v>
      </c>
    </row>
    <row r="2107" spans="1:9" x14ac:dyDescent="0.25">
      <c r="A2107">
        <v>263</v>
      </c>
      <c r="B2107" t="s">
        <v>1119</v>
      </c>
      <c r="C2107" t="s">
        <v>48</v>
      </c>
      <c r="D2107" t="s">
        <v>51</v>
      </c>
      <c r="E2107">
        <f>1/214</f>
        <v>4.6728971962616819E-3</v>
      </c>
      <c r="F2107">
        <v>8</v>
      </c>
      <c r="G2107">
        <f>LOG(382/(8+1))</f>
        <v>1.6278208534723839</v>
      </c>
      <c r="H2107">
        <f>0.00467289719626168*3.74819603127035</f>
        <v>1.7514934725562373E-2</v>
      </c>
      <c r="I2107">
        <v>1.7514934725562412E-2</v>
      </c>
    </row>
    <row r="2108" spans="1:9" x14ac:dyDescent="0.25">
      <c r="A2108">
        <v>263</v>
      </c>
      <c r="B2108" t="s">
        <v>1119</v>
      </c>
      <c r="C2108" t="s">
        <v>48</v>
      </c>
      <c r="D2108" t="s">
        <v>856</v>
      </c>
      <c r="E2108">
        <f>1/214</f>
        <v>4.6728971962616819E-3</v>
      </c>
      <c r="F2108">
        <v>3</v>
      </c>
      <c r="G2108">
        <f>LOG(382/(3+1))</f>
        <v>1.9800033715837464</v>
      </c>
      <c r="H2108">
        <f>0.00467289719626168*4.55912624748668</f>
        <v>2.1304328259283543E-2</v>
      </c>
      <c r="I2108">
        <v>2.1304328259283571E-2</v>
      </c>
    </row>
    <row r="2109" spans="1:9" x14ac:dyDescent="0.25">
      <c r="A2109">
        <v>263</v>
      </c>
      <c r="B2109" t="s">
        <v>1119</v>
      </c>
      <c r="C2109" t="s">
        <v>48</v>
      </c>
      <c r="D2109" t="s">
        <v>241</v>
      </c>
      <c r="E2109">
        <f>2/214</f>
        <v>9.3457943925233638E-3</v>
      </c>
      <c r="F2109">
        <v>19</v>
      </c>
      <c r="G2109">
        <f>LOG(382/(19+1))</f>
        <v>1.2810333672477277</v>
      </c>
      <c r="H2109">
        <f>0.00934579439252336*2.94968833505258</f>
        <v>2.756718070142597E-2</v>
      </c>
      <c r="I2109">
        <v>2.7567180701426022E-2</v>
      </c>
    </row>
    <row r="2110" spans="1:9" x14ac:dyDescent="0.25">
      <c r="A2110">
        <v>263</v>
      </c>
      <c r="B2110" t="s">
        <v>1119</v>
      </c>
      <c r="C2110" t="s">
        <v>48</v>
      </c>
      <c r="D2110" t="s">
        <v>120</v>
      </c>
      <c r="E2110">
        <f>3/214</f>
        <v>1.4018691588785047E-2</v>
      </c>
      <c r="F2110">
        <v>8</v>
      </c>
      <c r="G2110">
        <f>LOG(382/(8+1))</f>
        <v>1.6278208534723839</v>
      </c>
      <c r="H2110">
        <f>0.014018691588785*3.74819603127035</f>
        <v>5.2544804176686971E-2</v>
      </c>
      <c r="I2110">
        <v>5.2544804176687228E-2</v>
      </c>
    </row>
    <row r="2111" spans="1:9" x14ac:dyDescent="0.25">
      <c r="A2111">
        <v>263</v>
      </c>
      <c r="B2111" t="s">
        <v>1119</v>
      </c>
      <c r="C2111" t="s">
        <v>48</v>
      </c>
      <c r="D2111" t="s">
        <v>1128</v>
      </c>
      <c r="E2111">
        <f>1/214</f>
        <v>4.6728971962616819E-3</v>
      </c>
      <c r="F2111">
        <v>1</v>
      </c>
      <c r="G2111">
        <f>LOG(382/(1+1))</f>
        <v>2.2810333672477277</v>
      </c>
      <c r="H2111">
        <f>0.00467289719626168*5.25227342804663</f>
        <v>2.4543333775918819E-2</v>
      </c>
      <c r="I2111">
        <v>2.454333377591883E-2</v>
      </c>
    </row>
    <row r="2112" spans="1:9" x14ac:dyDescent="0.25">
      <c r="A2112">
        <v>263</v>
      </c>
      <c r="B2112" t="s">
        <v>1119</v>
      </c>
      <c r="C2112" t="s">
        <v>48</v>
      </c>
      <c r="D2112" t="s">
        <v>1129</v>
      </c>
      <c r="E2112">
        <f>1/214</f>
        <v>4.6728971962616819E-3</v>
      </c>
      <c r="F2112">
        <v>4</v>
      </c>
      <c r="G2112">
        <f>LOG(382/(4+1))</f>
        <v>1.8830933585756899</v>
      </c>
      <c r="H2112">
        <f>0.00467289719626168*4.33598269617247</f>
        <v>2.0261601383983498E-2</v>
      </c>
      <c r="I2112">
        <v>2.026160138398353E-2</v>
      </c>
    </row>
    <row r="2113" spans="1:9" x14ac:dyDescent="0.25">
      <c r="A2113">
        <v>263</v>
      </c>
      <c r="B2113" t="s">
        <v>1119</v>
      </c>
      <c r="C2113" t="s">
        <v>48</v>
      </c>
      <c r="D2113" t="s">
        <v>295</v>
      </c>
      <c r="E2113">
        <f>1/214</f>
        <v>4.6728971962616819E-3</v>
      </c>
      <c r="F2113">
        <v>5</v>
      </c>
      <c r="G2113">
        <f>LOG(382/(5+1))</f>
        <v>1.803912112528065</v>
      </c>
      <c r="H2113">
        <f>0.00467289719626168*4.15366113937852</f>
        <v>1.9409631492422981E-2</v>
      </c>
      <c r="I2113">
        <v>1.9409631492422991E-2</v>
      </c>
    </row>
    <row r="2114" spans="1:9" x14ac:dyDescent="0.25">
      <c r="A2114">
        <v>263</v>
      </c>
      <c r="B2114" t="s">
        <v>1119</v>
      </c>
      <c r="C2114" t="s">
        <v>48</v>
      </c>
      <c r="D2114" t="s">
        <v>197</v>
      </c>
      <c r="E2114">
        <f>1/214</f>
        <v>4.6728971962616819E-3</v>
      </c>
      <c r="F2114">
        <v>18</v>
      </c>
      <c r="G2114">
        <f>LOG(382/(18+1))</f>
        <v>1.3033097619588798</v>
      </c>
      <c r="H2114">
        <f>0.00467289719626168*3.00098162944013</f>
        <v>1.4023278642243592E-2</v>
      </c>
      <c r="I2114">
        <v>1.402327864224362E-2</v>
      </c>
    </row>
    <row r="2115" spans="1:9" x14ac:dyDescent="0.25">
      <c r="A2115">
        <v>263</v>
      </c>
      <c r="B2115" t="s">
        <v>1119</v>
      </c>
      <c r="C2115" t="s">
        <v>48</v>
      </c>
      <c r="D2115" t="s">
        <v>426</v>
      </c>
      <c r="E2115">
        <f>4/214</f>
        <v>1.8691588785046728E-2</v>
      </c>
      <c r="F2115">
        <v>10</v>
      </c>
      <c r="G2115">
        <f>LOG(382/(10+1))</f>
        <v>1.5406706777534838</v>
      </c>
      <c r="H2115">
        <f>0.0186915887850467*3.5475253358082</f>
        <v>6.6308884781461588E-2</v>
      </c>
      <c r="I2115">
        <v>6.6308884781461769E-2</v>
      </c>
    </row>
    <row r="2116" spans="1:9" x14ac:dyDescent="0.25">
      <c r="A2116">
        <v>263</v>
      </c>
      <c r="B2116" t="s">
        <v>1119</v>
      </c>
      <c r="C2116" t="s">
        <v>48</v>
      </c>
      <c r="D2116" t="s">
        <v>705</v>
      </c>
      <c r="E2116">
        <f>1/214</f>
        <v>4.6728971962616819E-3</v>
      </c>
      <c r="F2116">
        <v>8</v>
      </c>
      <c r="G2116">
        <f>LOG(382/(8+1))</f>
        <v>1.6278208534723839</v>
      </c>
      <c r="H2116">
        <f>0.00467289719626168*3.74819603127035</f>
        <v>1.7514934725562373E-2</v>
      </c>
      <c r="I2116">
        <v>1.7514934725562412E-2</v>
      </c>
    </row>
    <row r="2117" spans="1:9" x14ac:dyDescent="0.25">
      <c r="A2117">
        <v>263</v>
      </c>
      <c r="B2117" t="s">
        <v>1119</v>
      </c>
      <c r="C2117" t="s">
        <v>48</v>
      </c>
      <c r="D2117" t="s">
        <v>811</v>
      </c>
      <c r="E2117">
        <f>1/214</f>
        <v>4.6728971962616819E-3</v>
      </c>
      <c r="F2117">
        <v>27</v>
      </c>
      <c r="G2117">
        <f>LOG(382/(27+1))</f>
        <v>1.1349053315694895</v>
      </c>
      <c r="H2117">
        <f>0.00467289719626168*2.61321609843137</f>
        <v>1.2211290179585837E-2</v>
      </c>
      <c r="I2117">
        <v>1.2211290179585849E-2</v>
      </c>
    </row>
    <row r="2118" spans="1:9" x14ac:dyDescent="0.25">
      <c r="A2118">
        <v>263</v>
      </c>
      <c r="B2118" t="s">
        <v>1119</v>
      </c>
      <c r="C2118" t="s">
        <v>48</v>
      </c>
      <c r="D2118" t="s">
        <v>100</v>
      </c>
      <c r="E2118">
        <f>4/214</f>
        <v>1.8691588785046728E-2</v>
      </c>
      <c r="F2118">
        <v>9</v>
      </c>
      <c r="G2118">
        <f>LOG(382/(9+1))</f>
        <v>1.5820633629117087</v>
      </c>
      <c r="H2118">
        <f>0.0186915887850467*3.64283551561252</f>
        <v>6.8090383469392793E-2</v>
      </c>
      <c r="I2118">
        <v>6.809038346939307E-2</v>
      </c>
    </row>
    <row r="2119" spans="1:9" x14ac:dyDescent="0.25">
      <c r="A2119">
        <v>263</v>
      </c>
      <c r="B2119" t="s">
        <v>1119</v>
      </c>
      <c r="C2119" t="s">
        <v>48</v>
      </c>
      <c r="D2119" t="s">
        <v>99</v>
      </c>
      <c r="E2119">
        <f>1/214</f>
        <v>4.6728971962616819E-3</v>
      </c>
      <c r="F2119">
        <v>4</v>
      </c>
      <c r="G2119">
        <f>LOG(382/(4+1))</f>
        <v>1.8830933585756899</v>
      </c>
      <c r="H2119">
        <f>0.00467289719626168*4.33598269617247</f>
        <v>2.0261601383983498E-2</v>
      </c>
      <c r="I2119">
        <v>2.026160138398353E-2</v>
      </c>
    </row>
    <row r="2120" spans="1:9" x14ac:dyDescent="0.25">
      <c r="A2120">
        <v>263</v>
      </c>
      <c r="B2120" t="s">
        <v>1119</v>
      </c>
      <c r="C2120" t="s">
        <v>48</v>
      </c>
      <c r="D2120" t="s">
        <v>98</v>
      </c>
      <c r="E2120">
        <f>6/214</f>
        <v>2.8037383177570093E-2</v>
      </c>
      <c r="F2120">
        <v>56</v>
      </c>
      <c r="G2120">
        <f>LOG(382/(56+1))</f>
        <v>0.82618850723921733</v>
      </c>
      <c r="H2120">
        <f>0.02803738317757*1.90236934077202</f>
        <v>5.3337458152486361E-2</v>
      </c>
      <c r="I2120">
        <v>5.333745815248668E-2</v>
      </c>
    </row>
    <row r="2121" spans="1:9" x14ac:dyDescent="0.25">
      <c r="A2121">
        <v>263</v>
      </c>
      <c r="B2121" t="s">
        <v>1119</v>
      </c>
      <c r="C2121" t="s">
        <v>48</v>
      </c>
      <c r="D2121" t="s">
        <v>1130</v>
      </c>
      <c r="E2121">
        <f>3/214</f>
        <v>1.4018691588785047E-2</v>
      </c>
      <c r="F2121">
        <v>12</v>
      </c>
      <c r="G2121">
        <f>LOG(382/(12+1))</f>
        <v>1.468120010604872</v>
      </c>
      <c r="H2121">
        <f>0.014018691588785*3.38047125114503</f>
        <v>4.7389783894556337E-2</v>
      </c>
      <c r="I2121">
        <v>4.7389783894556607E-2</v>
      </c>
    </row>
    <row r="2122" spans="1:9" x14ac:dyDescent="0.25">
      <c r="A2122">
        <v>263</v>
      </c>
      <c r="B2122" t="s">
        <v>1119</v>
      </c>
      <c r="C2122" t="s">
        <v>48</v>
      </c>
      <c r="D2122" t="s">
        <v>1131</v>
      </c>
      <c r="E2122">
        <f>2/214</f>
        <v>9.3457943925233638E-3</v>
      </c>
      <c r="F2122">
        <v>6</v>
      </c>
      <c r="G2122">
        <f>LOG(382/(6+1))</f>
        <v>1.736965322897452</v>
      </c>
      <c r="H2122">
        <f>0.00934579439252336*3.99951045955126</f>
        <v>3.7378602425712691E-2</v>
      </c>
      <c r="I2122">
        <v>3.7378602425712733E-2</v>
      </c>
    </row>
    <row r="2123" spans="1:9" x14ac:dyDescent="0.25">
      <c r="A2123">
        <v>263</v>
      </c>
      <c r="B2123" t="s">
        <v>1119</v>
      </c>
      <c r="C2123" t="s">
        <v>48</v>
      </c>
      <c r="D2123" t="s">
        <v>1132</v>
      </c>
      <c r="E2123">
        <f>1/214</f>
        <v>4.6728971962616819E-3</v>
      </c>
      <c r="F2123">
        <v>1</v>
      </c>
      <c r="G2123">
        <f>LOG(382/(1+1))</f>
        <v>2.2810333672477277</v>
      </c>
      <c r="H2123">
        <f>0.00467289719626168*5.25227342804663</f>
        <v>2.4543333775918819E-2</v>
      </c>
      <c r="I2123">
        <v>2.454333377591883E-2</v>
      </c>
    </row>
    <row r="2124" spans="1:9" x14ac:dyDescent="0.25">
      <c r="A2124">
        <v>263</v>
      </c>
      <c r="B2124" t="s">
        <v>1119</v>
      </c>
      <c r="C2124" t="s">
        <v>48</v>
      </c>
      <c r="D2124" t="s">
        <v>1133</v>
      </c>
      <c r="E2124">
        <f>1/214</f>
        <v>4.6728971962616819E-3</v>
      </c>
      <c r="F2124">
        <v>5</v>
      </c>
      <c r="G2124">
        <f>LOG(382/(5+1))</f>
        <v>1.803912112528065</v>
      </c>
      <c r="H2124">
        <f>0.00467289719626168*4.15366113937852</f>
        <v>1.9409631492422981E-2</v>
      </c>
      <c r="I2124">
        <v>1.9409631492422991E-2</v>
      </c>
    </row>
    <row r="2125" spans="1:9" x14ac:dyDescent="0.25">
      <c r="A2125">
        <v>263</v>
      </c>
      <c r="B2125" t="s">
        <v>1119</v>
      </c>
      <c r="C2125" t="s">
        <v>48</v>
      </c>
      <c r="D2125" t="s">
        <v>292</v>
      </c>
      <c r="E2125">
        <f>1/214</f>
        <v>4.6728971962616819E-3</v>
      </c>
      <c r="F2125">
        <v>3</v>
      </c>
      <c r="G2125">
        <f>LOG(382/(3+1))</f>
        <v>1.9800033715837464</v>
      </c>
      <c r="H2125">
        <f>0.00467289719626168*4.55912624748668</f>
        <v>2.1304328259283543E-2</v>
      </c>
      <c r="I2125">
        <v>2.1304328259283571E-2</v>
      </c>
    </row>
    <row r="2126" spans="1:9" x14ac:dyDescent="0.25">
      <c r="A2126">
        <v>263</v>
      </c>
      <c r="B2126" t="s">
        <v>1119</v>
      </c>
      <c r="C2126" t="s">
        <v>48</v>
      </c>
      <c r="D2126" t="s">
        <v>221</v>
      </c>
      <c r="E2126">
        <f>1/214</f>
        <v>4.6728971962616819E-3</v>
      </c>
      <c r="F2126">
        <v>2</v>
      </c>
      <c r="G2126">
        <f>LOG(382/(2+1))</f>
        <v>2.1049421081920463</v>
      </c>
      <c r="H2126">
        <f>0.00467289719626168*4.84680831993846</f>
        <v>2.2648637009058215E-2</v>
      </c>
      <c r="I2126">
        <v>2.264863700905825E-2</v>
      </c>
    </row>
    <row r="2127" spans="1:9" x14ac:dyDescent="0.25">
      <c r="A2127">
        <v>263</v>
      </c>
      <c r="B2127" t="s">
        <v>1119</v>
      </c>
      <c r="C2127" t="s">
        <v>48</v>
      </c>
      <c r="D2127" t="s">
        <v>118</v>
      </c>
      <c r="E2127">
        <f>2/214</f>
        <v>9.3457943925233638E-3</v>
      </c>
      <c r="F2127">
        <v>8</v>
      </c>
      <c r="G2127">
        <f>LOG(382/(8+1))</f>
        <v>1.6278208534723839</v>
      </c>
      <c r="H2127">
        <f>0.00934579439252336*3.74819603127035</f>
        <v>3.5029869451124747E-2</v>
      </c>
      <c r="I2127">
        <v>3.5029869451124823E-2</v>
      </c>
    </row>
    <row r="2128" spans="1:9" x14ac:dyDescent="0.25">
      <c r="A2128">
        <v>263</v>
      </c>
      <c r="B2128" t="s">
        <v>1119</v>
      </c>
      <c r="C2128" t="s">
        <v>48</v>
      </c>
      <c r="D2128" t="s">
        <v>451</v>
      </c>
      <c r="E2128">
        <f>1/214</f>
        <v>4.6728971962616819E-3</v>
      </c>
      <c r="F2128">
        <v>15</v>
      </c>
      <c r="G2128">
        <f>LOG(382/(15+1))</f>
        <v>1.3779433802557839</v>
      </c>
      <c r="H2128">
        <f>0.00467289719626168*3.17283188636679</f>
        <v>1.4826317226013032E-2</v>
      </c>
      <c r="I2128">
        <v>1.4826317226013059E-2</v>
      </c>
    </row>
    <row r="2129" spans="1:9" x14ac:dyDescent="0.25">
      <c r="A2129">
        <v>263</v>
      </c>
      <c r="B2129" t="s">
        <v>1119</v>
      </c>
      <c r="C2129" t="s">
        <v>48</v>
      </c>
      <c r="D2129" t="s">
        <v>1134</v>
      </c>
      <c r="E2129">
        <f>1/214</f>
        <v>4.6728971962616819E-3</v>
      </c>
      <c r="F2129">
        <v>3</v>
      </c>
      <c r="G2129">
        <f>LOG(382/(3+1))</f>
        <v>1.9800033715837464</v>
      </c>
      <c r="H2129">
        <f>0.00467289719626168*4.55912624748668</f>
        <v>2.1304328259283543E-2</v>
      </c>
      <c r="I2129">
        <v>2.1304328259283571E-2</v>
      </c>
    </row>
    <row r="2130" spans="1:9" x14ac:dyDescent="0.25">
      <c r="A2130">
        <v>263</v>
      </c>
      <c r="B2130" t="s">
        <v>1119</v>
      </c>
      <c r="C2130" t="s">
        <v>48</v>
      </c>
      <c r="D2130" t="s">
        <v>737</v>
      </c>
      <c r="E2130">
        <f>1/214</f>
        <v>4.6728971962616819E-3</v>
      </c>
      <c r="F2130">
        <v>11</v>
      </c>
      <c r="G2130">
        <f>LOG(382/(11+1))</f>
        <v>1.5028821168640838</v>
      </c>
      <c r="H2130">
        <f>0.00467289719626168*3.46051395881857</f>
        <v>1.6170625975787702E-2</v>
      </c>
      <c r="I2130">
        <v>1.6170625975787729E-2</v>
      </c>
    </row>
    <row r="2131" spans="1:9" x14ac:dyDescent="0.25">
      <c r="A2131">
        <v>263</v>
      </c>
      <c r="B2131" t="s">
        <v>1119</v>
      </c>
      <c r="C2131" t="s">
        <v>48</v>
      </c>
      <c r="D2131" t="s">
        <v>755</v>
      </c>
      <c r="E2131">
        <f>3/214</f>
        <v>1.4018691588785047E-2</v>
      </c>
      <c r="F2131">
        <v>19</v>
      </c>
      <c r="G2131">
        <f>LOG(382/(19+1))</f>
        <v>1.2810333672477277</v>
      </c>
      <c r="H2131">
        <f>0.014018691588785*2.94968833505258</f>
        <v>4.1350771052138836E-2</v>
      </c>
      <c r="I2131">
        <v>4.1350771052139031E-2</v>
      </c>
    </row>
    <row r="2132" spans="1:9" x14ac:dyDescent="0.25">
      <c r="A2132">
        <v>263</v>
      </c>
      <c r="B2132" t="s">
        <v>1119</v>
      </c>
      <c r="C2132" t="s">
        <v>48</v>
      </c>
      <c r="D2132" t="s">
        <v>112</v>
      </c>
      <c r="E2132">
        <f>3/214</f>
        <v>1.4018691588785047E-2</v>
      </c>
      <c r="F2132">
        <v>52</v>
      </c>
      <c r="G2132">
        <f>LOG(382/(52+1))</f>
        <v>0.85778749331091964</v>
      </c>
      <c r="H2132">
        <f>0.014018691588785*1.97512869505445</f>
        <v>2.768872002412771E-2</v>
      </c>
      <c r="I2132">
        <v>2.7688720024127849E-2</v>
      </c>
    </row>
    <row r="2133" spans="1:9" x14ac:dyDescent="0.25">
      <c r="A2133">
        <v>263</v>
      </c>
      <c r="B2133" t="s">
        <v>1119</v>
      </c>
      <c r="C2133" t="s">
        <v>48</v>
      </c>
      <c r="D2133" t="s">
        <v>1135</v>
      </c>
      <c r="E2133">
        <f>1/214</f>
        <v>4.6728971962616819E-3</v>
      </c>
      <c r="F2133">
        <v>7</v>
      </c>
      <c r="G2133">
        <f>LOG(382/(7+1))</f>
        <v>1.6789733759197651</v>
      </c>
      <c r="H2133">
        <f>0.00467289719626168*3.86597906692673</f>
        <v>1.8065322742648264E-2</v>
      </c>
      <c r="I2133">
        <v>1.8065322742648309E-2</v>
      </c>
    </row>
    <row r="2134" spans="1:9" x14ac:dyDescent="0.25">
      <c r="A2134">
        <v>263</v>
      </c>
      <c r="B2134" t="s">
        <v>1119</v>
      </c>
      <c r="C2134" t="s">
        <v>48</v>
      </c>
      <c r="D2134" t="s">
        <v>1136</v>
      </c>
      <c r="E2134">
        <f>1/214</f>
        <v>4.6728971962616819E-3</v>
      </c>
      <c r="F2134">
        <v>4</v>
      </c>
      <c r="G2134">
        <f>LOG(382/(4+1))</f>
        <v>1.8830933585756899</v>
      </c>
      <c r="H2134">
        <f>0.00467289719626168*4.33598269617247</f>
        <v>2.0261601383983498E-2</v>
      </c>
      <c r="I2134">
        <v>2.026160138398353E-2</v>
      </c>
    </row>
    <row r="2135" spans="1:9" x14ac:dyDescent="0.25">
      <c r="A2135">
        <v>263</v>
      </c>
      <c r="B2135" t="s">
        <v>1119</v>
      </c>
      <c r="C2135" t="s">
        <v>48</v>
      </c>
      <c r="D2135" t="s">
        <v>216</v>
      </c>
      <c r="E2135">
        <f>2/214</f>
        <v>9.3457943925233638E-3</v>
      </c>
      <c r="F2135">
        <v>63</v>
      </c>
      <c r="G2135">
        <f>LOG(382/(63+1))</f>
        <v>0.7758833889278216</v>
      </c>
      <c r="H2135">
        <f>0.00934579439252336*1.7865375252469</f>
        <v>1.6696612385485039E-2</v>
      </c>
      <c r="I2135">
        <v>1.6696612385485081E-2</v>
      </c>
    </row>
    <row r="2136" spans="1:9" x14ac:dyDescent="0.25">
      <c r="A2136">
        <v>263</v>
      </c>
      <c r="B2136" t="s">
        <v>1119</v>
      </c>
      <c r="C2136" t="s">
        <v>48</v>
      </c>
      <c r="D2136" t="s">
        <v>1137</v>
      </c>
      <c r="E2136">
        <f t="shared" ref="E2136:E2142" si="93">1/214</f>
        <v>4.6728971962616819E-3</v>
      </c>
      <c r="F2136">
        <v>1</v>
      </c>
      <c r="G2136">
        <f>LOG(382/(1+1))</f>
        <v>2.2810333672477277</v>
      </c>
      <c r="H2136">
        <f>0.00467289719626168*5.25227342804663</f>
        <v>2.4543333775918819E-2</v>
      </c>
      <c r="I2136">
        <v>2.454333377591883E-2</v>
      </c>
    </row>
    <row r="2137" spans="1:9" x14ac:dyDescent="0.25">
      <c r="A2137">
        <v>263</v>
      </c>
      <c r="B2137" t="s">
        <v>1119</v>
      </c>
      <c r="C2137" t="s">
        <v>48</v>
      </c>
      <c r="D2137" t="s">
        <v>1138</v>
      </c>
      <c r="E2137">
        <f t="shared" si="93"/>
        <v>4.6728971962616819E-3</v>
      </c>
      <c r="F2137">
        <v>1</v>
      </c>
      <c r="G2137">
        <f>LOG(382/(1+1))</f>
        <v>2.2810333672477277</v>
      </c>
      <c r="H2137">
        <f>0.00467289719626168*5.25227342804663</f>
        <v>2.4543333775918819E-2</v>
      </c>
      <c r="I2137">
        <v>2.454333377591883E-2</v>
      </c>
    </row>
    <row r="2138" spans="1:9" x14ac:dyDescent="0.25">
      <c r="A2138">
        <v>263</v>
      </c>
      <c r="B2138" t="s">
        <v>1119</v>
      </c>
      <c r="C2138" t="s">
        <v>48</v>
      </c>
      <c r="D2138" t="s">
        <v>1139</v>
      </c>
      <c r="E2138">
        <f t="shared" si="93"/>
        <v>4.6728971962616819E-3</v>
      </c>
      <c r="F2138">
        <v>2</v>
      </c>
      <c r="G2138">
        <f>LOG(382/(2+1))</f>
        <v>2.1049421081920463</v>
      </c>
      <c r="H2138">
        <f>0.00467289719626168*4.84680831993846</f>
        <v>2.2648637009058215E-2</v>
      </c>
      <c r="I2138">
        <v>2.264863700905825E-2</v>
      </c>
    </row>
    <row r="2139" spans="1:9" x14ac:dyDescent="0.25">
      <c r="A2139">
        <v>263</v>
      </c>
      <c r="B2139" t="s">
        <v>1119</v>
      </c>
      <c r="C2139" t="s">
        <v>48</v>
      </c>
      <c r="D2139" t="s">
        <v>1140</v>
      </c>
      <c r="E2139">
        <f t="shared" si="93"/>
        <v>4.6728971962616819E-3</v>
      </c>
      <c r="F2139">
        <v>1</v>
      </c>
      <c r="G2139">
        <f>LOG(382/(1+1))</f>
        <v>2.2810333672477277</v>
      </c>
      <c r="H2139">
        <f>0.00467289719626168*5.25227342804663</f>
        <v>2.4543333775918819E-2</v>
      </c>
      <c r="I2139">
        <v>2.454333377591883E-2</v>
      </c>
    </row>
    <row r="2140" spans="1:9" x14ac:dyDescent="0.25">
      <c r="A2140">
        <v>263</v>
      </c>
      <c r="B2140" t="s">
        <v>1119</v>
      </c>
      <c r="C2140" t="s">
        <v>48</v>
      </c>
      <c r="D2140" t="s">
        <v>188</v>
      </c>
      <c r="E2140">
        <f t="shared" si="93"/>
        <v>4.6728971962616819E-3</v>
      </c>
      <c r="F2140">
        <v>19</v>
      </c>
      <c r="G2140">
        <f>LOG(382/(19+1))</f>
        <v>1.2810333672477277</v>
      </c>
      <c r="H2140">
        <f>0.00467289719626168*2.94968833505258</f>
        <v>1.3783590350712985E-2</v>
      </c>
      <c r="I2140">
        <v>1.3783590350713011E-2</v>
      </c>
    </row>
    <row r="2141" spans="1:9" x14ac:dyDescent="0.25">
      <c r="A2141">
        <v>263</v>
      </c>
      <c r="B2141" t="s">
        <v>1119</v>
      </c>
      <c r="C2141" t="s">
        <v>48</v>
      </c>
      <c r="D2141" t="s">
        <v>1141</v>
      </c>
      <c r="E2141">
        <f t="shared" si="93"/>
        <v>4.6728971962616819E-3</v>
      </c>
      <c r="F2141">
        <v>1</v>
      </c>
      <c r="G2141">
        <f>LOG(382/(1+1))</f>
        <v>2.2810333672477277</v>
      </c>
      <c r="H2141">
        <f>0.00467289719626168*5.25227342804663</f>
        <v>2.4543333775918819E-2</v>
      </c>
      <c r="I2141">
        <v>2.454333377591883E-2</v>
      </c>
    </row>
    <row r="2142" spans="1:9" x14ac:dyDescent="0.25">
      <c r="A2142">
        <v>263</v>
      </c>
      <c r="B2142" t="s">
        <v>1119</v>
      </c>
      <c r="C2142" t="s">
        <v>48</v>
      </c>
      <c r="D2142" t="s">
        <v>108</v>
      </c>
      <c r="E2142">
        <f t="shared" si="93"/>
        <v>4.6728971962616819E-3</v>
      </c>
      <c r="F2142">
        <v>9</v>
      </c>
      <c r="G2142">
        <f>LOG(382/(9+1))</f>
        <v>1.5820633629117087</v>
      </c>
      <c r="H2142">
        <f>0.00467289719626168*3.64283551561252</f>
        <v>1.7022595867348216E-2</v>
      </c>
      <c r="I2142">
        <v>1.7022595867348271E-2</v>
      </c>
    </row>
    <row r="2143" spans="1:9" x14ac:dyDescent="0.25">
      <c r="A2143">
        <v>263</v>
      </c>
      <c r="B2143" t="s">
        <v>1119</v>
      </c>
      <c r="C2143" t="s">
        <v>48</v>
      </c>
      <c r="D2143" t="s">
        <v>31</v>
      </c>
      <c r="E2143">
        <f>2/214</f>
        <v>9.3457943925233638E-3</v>
      </c>
      <c r="F2143">
        <v>31</v>
      </c>
      <c r="G2143">
        <f>LOG(382/(31+1))</f>
        <v>1.0769133845918029</v>
      </c>
      <c r="H2143">
        <f>0.00934579439252336*2.47968470580684</f>
        <v>2.3174623418755501E-2</v>
      </c>
      <c r="I2143">
        <v>2.3174623418755591E-2</v>
      </c>
    </row>
    <row r="2144" spans="1:9" x14ac:dyDescent="0.25">
      <c r="A2144">
        <v>263</v>
      </c>
      <c r="B2144" t="s">
        <v>1119</v>
      </c>
      <c r="C2144" t="s">
        <v>48</v>
      </c>
      <c r="D2144" t="s">
        <v>179</v>
      </c>
      <c r="E2144">
        <f>1/214</f>
        <v>4.6728971962616819E-3</v>
      </c>
      <c r="F2144">
        <v>15</v>
      </c>
      <c r="G2144">
        <f>LOG(382/(15+1))</f>
        <v>1.3779433802557839</v>
      </c>
      <c r="H2144">
        <f>0.00467289719626168*3.17283188636679</f>
        <v>1.4826317226013032E-2</v>
      </c>
      <c r="I2144">
        <v>1.4826317226013059E-2</v>
      </c>
    </row>
    <row r="2145" spans="1:9" x14ac:dyDescent="0.25">
      <c r="A2145">
        <v>263</v>
      </c>
      <c r="B2145" t="s">
        <v>1119</v>
      </c>
      <c r="C2145" t="s">
        <v>48</v>
      </c>
      <c r="D2145" t="s">
        <v>650</v>
      </c>
      <c r="E2145">
        <f>2/214</f>
        <v>9.3457943925233638E-3</v>
      </c>
      <c r="F2145">
        <v>9</v>
      </c>
      <c r="G2145">
        <f>LOG(382/(9+1))</f>
        <v>1.5820633629117087</v>
      </c>
      <c r="H2145">
        <f>0.00934579439252336*3.64283551561252</f>
        <v>3.4045191734696431E-2</v>
      </c>
      <c r="I2145">
        <v>3.4045191734696542E-2</v>
      </c>
    </row>
    <row r="2146" spans="1:9" x14ac:dyDescent="0.25">
      <c r="A2146">
        <v>263</v>
      </c>
      <c r="B2146" t="s">
        <v>1119</v>
      </c>
      <c r="C2146" t="s">
        <v>48</v>
      </c>
      <c r="D2146" t="s">
        <v>358</v>
      </c>
      <c r="E2146">
        <f>1/214</f>
        <v>4.6728971962616819E-3</v>
      </c>
      <c r="F2146">
        <v>3</v>
      </c>
      <c r="G2146">
        <f>LOG(382/(3+1))</f>
        <v>1.9800033715837464</v>
      </c>
      <c r="H2146">
        <f>0.00467289719626168*4.55912624748668</f>
        <v>2.1304328259283543E-2</v>
      </c>
      <c r="I2146">
        <v>2.1304328259283571E-2</v>
      </c>
    </row>
    <row r="2147" spans="1:9" x14ac:dyDescent="0.25">
      <c r="A2147">
        <v>263</v>
      </c>
      <c r="B2147" t="s">
        <v>1119</v>
      </c>
      <c r="C2147" t="s">
        <v>48</v>
      </c>
      <c r="D2147" t="s">
        <v>87</v>
      </c>
      <c r="E2147">
        <f>1/214</f>
        <v>4.6728971962616819E-3</v>
      </c>
      <c r="F2147">
        <v>12</v>
      </c>
      <c r="G2147">
        <f>LOG(382/(12+1))</f>
        <v>1.468120010604872</v>
      </c>
      <c r="H2147">
        <f>0.00467289719626168*3.38047125114503</f>
        <v>1.5796594631518824E-2</v>
      </c>
      <c r="I2147">
        <v>1.5796594631518869E-2</v>
      </c>
    </row>
    <row r="2148" spans="1:9" x14ac:dyDescent="0.25">
      <c r="A2148">
        <v>263</v>
      </c>
      <c r="B2148" t="s">
        <v>1119</v>
      </c>
      <c r="C2148" t="s">
        <v>48</v>
      </c>
      <c r="D2148" t="s">
        <v>1142</v>
      </c>
      <c r="E2148">
        <f>1/214</f>
        <v>4.6728971962616819E-3</v>
      </c>
      <c r="F2148">
        <v>1</v>
      </c>
      <c r="G2148">
        <f>LOG(382/(1+1))</f>
        <v>2.2810333672477277</v>
      </c>
      <c r="H2148">
        <f>0.00467289719626168*5.25227342804663</f>
        <v>2.4543333775918819E-2</v>
      </c>
      <c r="I2148">
        <v>2.454333377591883E-2</v>
      </c>
    </row>
    <row r="2149" spans="1:9" x14ac:dyDescent="0.25">
      <c r="A2149">
        <v>263</v>
      </c>
      <c r="B2149" t="s">
        <v>1119</v>
      </c>
      <c r="C2149" t="s">
        <v>48</v>
      </c>
      <c r="D2149" t="s">
        <v>88</v>
      </c>
      <c r="E2149">
        <f>2/214</f>
        <v>9.3457943925233638E-3</v>
      </c>
      <c r="F2149">
        <v>13</v>
      </c>
      <c r="G2149">
        <f>LOG(382/(13+1))</f>
        <v>1.4359353272334707</v>
      </c>
      <c r="H2149">
        <f>0.00934579439252336*3.30636327899131</f>
        <v>3.0900591392442139E-2</v>
      </c>
      <c r="I2149">
        <v>3.0900591392442209E-2</v>
      </c>
    </row>
    <row r="2150" spans="1:9" x14ac:dyDescent="0.25">
      <c r="A2150">
        <v>263</v>
      </c>
      <c r="B2150" t="s">
        <v>1119</v>
      </c>
      <c r="C2150" t="s">
        <v>48</v>
      </c>
      <c r="D2150" t="s">
        <v>420</v>
      </c>
      <c r="E2150">
        <f>1/214</f>
        <v>4.6728971962616819E-3</v>
      </c>
      <c r="F2150">
        <v>3</v>
      </c>
      <c r="G2150">
        <f>LOG(382/(3+1))</f>
        <v>1.9800033715837464</v>
      </c>
      <c r="H2150">
        <f>0.00467289719626168*4.55912624748668</f>
        <v>2.1304328259283543E-2</v>
      </c>
      <c r="I2150">
        <v>2.1304328259283571E-2</v>
      </c>
    </row>
    <row r="2151" spans="1:9" x14ac:dyDescent="0.25">
      <c r="A2151">
        <v>263</v>
      </c>
      <c r="B2151" t="s">
        <v>1119</v>
      </c>
      <c r="C2151" t="s">
        <v>48</v>
      </c>
      <c r="D2151" t="s">
        <v>1143</v>
      </c>
      <c r="E2151">
        <f>1/214</f>
        <v>4.6728971962616819E-3</v>
      </c>
      <c r="F2151">
        <v>2</v>
      </c>
      <c r="G2151">
        <f>LOG(382/(2+1))</f>
        <v>2.1049421081920463</v>
      </c>
      <c r="H2151">
        <f>0.00467289719626168*4.84680831993846</f>
        <v>2.2648637009058215E-2</v>
      </c>
      <c r="I2151">
        <v>2.264863700905825E-2</v>
      </c>
    </row>
    <row r="2152" spans="1:9" x14ac:dyDescent="0.25">
      <c r="A2152">
        <v>263</v>
      </c>
      <c r="B2152" t="s">
        <v>1119</v>
      </c>
      <c r="C2152" t="s">
        <v>48</v>
      </c>
      <c r="D2152" t="s">
        <v>1144</v>
      </c>
      <c r="E2152">
        <f>1/214</f>
        <v>4.6728971962616819E-3</v>
      </c>
      <c r="F2152">
        <v>3</v>
      </c>
      <c r="G2152">
        <f>LOG(382/(3+1))</f>
        <v>1.9800033715837464</v>
      </c>
      <c r="H2152">
        <f>0.00467289719626168*4.55912624748668</f>
        <v>2.1304328259283543E-2</v>
      </c>
      <c r="I2152">
        <v>2.1304328259283571E-2</v>
      </c>
    </row>
    <row r="2153" spans="1:9" x14ac:dyDescent="0.25">
      <c r="A2153">
        <v>263</v>
      </c>
      <c r="B2153" t="s">
        <v>1119</v>
      </c>
      <c r="C2153" t="s">
        <v>48</v>
      </c>
      <c r="D2153" t="s">
        <v>1145</v>
      </c>
      <c r="E2153">
        <f>1/214</f>
        <v>4.6728971962616819E-3</v>
      </c>
      <c r="F2153">
        <v>1</v>
      </c>
      <c r="G2153">
        <f>LOG(382/(1+1))</f>
        <v>2.2810333672477277</v>
      </c>
      <c r="H2153">
        <f>0.00467289719626168*5.25227342804663</f>
        <v>2.4543333775918819E-2</v>
      </c>
      <c r="I2153">
        <v>2.454333377591883E-2</v>
      </c>
    </row>
    <row r="2154" spans="1:9" x14ac:dyDescent="0.25">
      <c r="A2154">
        <v>263</v>
      </c>
      <c r="B2154" t="s">
        <v>1119</v>
      </c>
      <c r="C2154" t="s">
        <v>48</v>
      </c>
      <c r="D2154" t="s">
        <v>121</v>
      </c>
      <c r="E2154">
        <f>2/214</f>
        <v>9.3457943925233638E-3</v>
      </c>
      <c r="F2154">
        <v>22</v>
      </c>
      <c r="G2154">
        <f>LOG(382/(22+1))</f>
        <v>1.2203355268941158</v>
      </c>
      <c r="H2154">
        <f>0.00934579439252336*2.80992639267742</f>
        <v>2.6260994324088023E-2</v>
      </c>
      <c r="I2154">
        <v>2.6260994324088089E-2</v>
      </c>
    </row>
    <row r="2155" spans="1:9" x14ac:dyDescent="0.25">
      <c r="A2155">
        <v>263</v>
      </c>
      <c r="B2155" t="s">
        <v>1119</v>
      </c>
      <c r="C2155" t="s">
        <v>48</v>
      </c>
      <c r="D2155" t="s">
        <v>1146</v>
      </c>
      <c r="E2155">
        <f t="shared" ref="E2155:E2183" si="94">1/214</f>
        <v>4.6728971962616819E-3</v>
      </c>
      <c r="F2155">
        <v>1</v>
      </c>
      <c r="G2155">
        <f>LOG(382/(1+1))</f>
        <v>2.2810333672477277</v>
      </c>
      <c r="H2155">
        <f>0.00467289719626168*5.25227342804663</f>
        <v>2.4543333775918819E-2</v>
      </c>
      <c r="I2155">
        <v>2.454333377591883E-2</v>
      </c>
    </row>
    <row r="2156" spans="1:9" x14ac:dyDescent="0.25">
      <c r="A2156">
        <v>263</v>
      </c>
      <c r="B2156" t="s">
        <v>1119</v>
      </c>
      <c r="C2156" t="s">
        <v>48</v>
      </c>
      <c r="D2156" t="s">
        <v>193</v>
      </c>
      <c r="E2156">
        <f t="shared" si="94"/>
        <v>4.6728971962616819E-3</v>
      </c>
      <c r="F2156">
        <v>10</v>
      </c>
      <c r="G2156">
        <f>LOG(382/(10+1))</f>
        <v>1.5406706777534838</v>
      </c>
      <c r="H2156">
        <f>0.00467289719626168*3.5475253358082</f>
        <v>1.6577221195365414E-2</v>
      </c>
      <c r="I2156">
        <v>1.6577221195365439E-2</v>
      </c>
    </row>
    <row r="2157" spans="1:9" x14ac:dyDescent="0.25">
      <c r="A2157">
        <v>263</v>
      </c>
      <c r="B2157" t="s">
        <v>1119</v>
      </c>
      <c r="C2157" t="s">
        <v>48</v>
      </c>
      <c r="D2157" t="s">
        <v>1147</v>
      </c>
      <c r="E2157">
        <f t="shared" si="94"/>
        <v>4.6728971962616819E-3</v>
      </c>
      <c r="F2157">
        <v>1</v>
      </c>
      <c r="G2157">
        <f>LOG(382/(1+1))</f>
        <v>2.2810333672477277</v>
      </c>
      <c r="H2157">
        <f>0.00467289719626168*5.25227342804663</f>
        <v>2.4543333775918819E-2</v>
      </c>
      <c r="I2157">
        <v>2.454333377591883E-2</v>
      </c>
    </row>
    <row r="2158" spans="1:9" x14ac:dyDescent="0.25">
      <c r="A2158">
        <v>263</v>
      </c>
      <c r="B2158" t="s">
        <v>1119</v>
      </c>
      <c r="C2158" t="s">
        <v>48</v>
      </c>
      <c r="D2158" t="s">
        <v>351</v>
      </c>
      <c r="E2158">
        <f t="shared" si="94"/>
        <v>4.6728971962616819E-3</v>
      </c>
      <c r="F2158">
        <v>2</v>
      </c>
      <c r="G2158">
        <f>LOG(382/(2+1))</f>
        <v>2.1049421081920463</v>
      </c>
      <c r="H2158">
        <f>0.00467289719626168*4.84680831993846</f>
        <v>2.2648637009058215E-2</v>
      </c>
      <c r="I2158">
        <v>2.264863700905825E-2</v>
      </c>
    </row>
    <row r="2159" spans="1:9" x14ac:dyDescent="0.25">
      <c r="A2159">
        <v>263</v>
      </c>
      <c r="B2159" t="s">
        <v>1119</v>
      </c>
      <c r="C2159" t="s">
        <v>48</v>
      </c>
      <c r="D2159" t="s">
        <v>1148</v>
      </c>
      <c r="E2159">
        <f t="shared" si="94"/>
        <v>4.6728971962616819E-3</v>
      </c>
      <c r="F2159">
        <v>1</v>
      </c>
      <c r="G2159">
        <f>LOG(382/(1+1))</f>
        <v>2.2810333672477277</v>
      </c>
      <c r="H2159">
        <f>0.00467289719626168*5.25227342804663</f>
        <v>2.4543333775918819E-2</v>
      </c>
      <c r="I2159">
        <v>2.454333377591883E-2</v>
      </c>
    </row>
    <row r="2160" spans="1:9" x14ac:dyDescent="0.25">
      <c r="A2160">
        <v>263</v>
      </c>
      <c r="B2160" t="s">
        <v>1119</v>
      </c>
      <c r="C2160" t="s">
        <v>48</v>
      </c>
      <c r="D2160" t="s">
        <v>144</v>
      </c>
      <c r="E2160">
        <f t="shared" si="94"/>
        <v>4.6728971962616819E-3</v>
      </c>
      <c r="F2160">
        <v>105</v>
      </c>
      <c r="G2160">
        <f>LOG(382/(105+1))</f>
        <v>0.55675749764693849</v>
      </c>
      <c r="H2160">
        <f>0.00467289719626168*1.2819815144945</f>
        <v>5.9905678247406512E-3</v>
      </c>
      <c r="I2160">
        <v>5.9905678247406911E-3</v>
      </c>
    </row>
    <row r="2161" spans="1:9" x14ac:dyDescent="0.25">
      <c r="A2161">
        <v>263</v>
      </c>
      <c r="B2161" t="s">
        <v>1119</v>
      </c>
      <c r="C2161" t="s">
        <v>48</v>
      </c>
      <c r="D2161" t="s">
        <v>44</v>
      </c>
      <c r="E2161">
        <f t="shared" si="94"/>
        <v>4.6728971962616819E-3</v>
      </c>
      <c r="F2161">
        <v>151</v>
      </c>
      <c r="G2161">
        <f>LOG(382/(151+1))</f>
        <v>0.40021977496693617</v>
      </c>
      <c r="H2161">
        <f>0.00467289719626168*0.921540087760298</f>
        <v>4.3062620923378396E-3</v>
      </c>
      <c r="I2161">
        <v>4.3062620923378439E-3</v>
      </c>
    </row>
    <row r="2162" spans="1:9" x14ac:dyDescent="0.25">
      <c r="A2162">
        <v>263</v>
      </c>
      <c r="B2162" t="s">
        <v>1119</v>
      </c>
      <c r="C2162" t="s">
        <v>48</v>
      </c>
      <c r="D2162" t="s">
        <v>22</v>
      </c>
      <c r="E2162">
        <f t="shared" si="94"/>
        <v>4.6728971962616819E-3</v>
      </c>
      <c r="F2162">
        <v>259</v>
      </c>
      <c r="G2162">
        <f>LOG(382/(259+1))</f>
        <v>0.16709001494089079</v>
      </c>
      <c r="H2162">
        <f>0.00467289719626168*0.384738977591047</f>
        <v>1.797845689677789E-3</v>
      </c>
      <c r="I2162">
        <v>1.797845689677792E-3</v>
      </c>
    </row>
    <row r="2163" spans="1:9" x14ac:dyDescent="0.25">
      <c r="A2163">
        <v>263</v>
      </c>
      <c r="B2163" t="s">
        <v>1119</v>
      </c>
      <c r="C2163" t="s">
        <v>48</v>
      </c>
      <c r="D2163" t="s">
        <v>23</v>
      </c>
      <c r="E2163">
        <f t="shared" si="94"/>
        <v>4.6728971962616819E-3</v>
      </c>
      <c r="F2163">
        <v>275</v>
      </c>
      <c r="G2163">
        <f>LOG(382/(275+1))</f>
        <v>0.14115428084649101</v>
      </c>
      <c r="H2163">
        <f>0.00467289719626168*0.325019742889425</f>
        <v>1.5187838452776861E-3</v>
      </c>
      <c r="I2163">
        <v>1.518783845277688E-3</v>
      </c>
    </row>
    <row r="2164" spans="1:9" x14ac:dyDescent="0.25">
      <c r="A2164">
        <v>263</v>
      </c>
      <c r="B2164" t="s">
        <v>1119</v>
      </c>
      <c r="C2164" t="s">
        <v>48</v>
      </c>
      <c r="D2164" t="s">
        <v>215</v>
      </c>
      <c r="E2164">
        <f t="shared" si="94"/>
        <v>4.6728971962616819E-3</v>
      </c>
      <c r="F2164">
        <v>25</v>
      </c>
      <c r="G2164">
        <f>LOG(382/(25+1))</f>
        <v>1.1670900149408907</v>
      </c>
      <c r="H2164">
        <f>0.00467289719626168*2.68732407058509</f>
        <v>1.2557589114883593E-2</v>
      </c>
      <c r="I2164">
        <v>1.2557589114883611E-2</v>
      </c>
    </row>
    <row r="2165" spans="1:9" x14ac:dyDescent="0.25">
      <c r="A2165">
        <v>263</v>
      </c>
      <c r="B2165" t="s">
        <v>1119</v>
      </c>
      <c r="C2165" t="s">
        <v>48</v>
      </c>
      <c r="D2165" t="s">
        <v>123</v>
      </c>
      <c r="E2165">
        <f t="shared" si="94"/>
        <v>4.6728971962616819E-3</v>
      </c>
      <c r="F2165">
        <v>74</v>
      </c>
      <c r="G2165">
        <f>LOG(382/(74+1))</f>
        <v>0.7070020995200087</v>
      </c>
      <c r="H2165">
        <f>0.00467289719626168*1.62793249507026</f>
        <v>7.6071611919170997E-3</v>
      </c>
      <c r="I2165">
        <v>7.607161191917124E-3</v>
      </c>
    </row>
    <row r="2166" spans="1:9" x14ac:dyDescent="0.25">
      <c r="A2166">
        <v>263</v>
      </c>
      <c r="B2166" t="s">
        <v>1119</v>
      </c>
      <c r="C2166" t="s">
        <v>48</v>
      </c>
      <c r="D2166" t="s">
        <v>119</v>
      </c>
      <c r="E2166">
        <f t="shared" si="94"/>
        <v>4.6728971962616819E-3</v>
      </c>
      <c r="F2166">
        <v>79</v>
      </c>
      <c r="G2166">
        <f>LOG(382/(79+1))</f>
        <v>0.67897337591976514</v>
      </c>
      <c r="H2166">
        <f>0.00467289719626168*1.56339397393269</f>
        <v>7.3055793174424738E-3</v>
      </c>
      <c r="I2166">
        <v>7.3055793174424928E-3</v>
      </c>
    </row>
    <row r="2167" spans="1:9" x14ac:dyDescent="0.25">
      <c r="A2167">
        <v>263</v>
      </c>
      <c r="B2167" t="s">
        <v>1119</v>
      </c>
      <c r="C2167" t="s">
        <v>48</v>
      </c>
      <c r="D2167" t="s">
        <v>680</v>
      </c>
      <c r="E2167">
        <f t="shared" si="94"/>
        <v>4.6728971962616819E-3</v>
      </c>
      <c r="F2167">
        <v>25</v>
      </c>
      <c r="G2167">
        <f>LOG(382/(25+1))</f>
        <v>1.1670900149408907</v>
      </c>
      <c r="H2167">
        <f>0.00467289719626168*2.68732407058509</f>
        <v>1.2557589114883593E-2</v>
      </c>
      <c r="I2167">
        <v>1.2557589114883611E-2</v>
      </c>
    </row>
    <row r="2168" spans="1:9" x14ac:dyDescent="0.25">
      <c r="A2168">
        <v>263</v>
      </c>
      <c r="B2168" t="s">
        <v>1119</v>
      </c>
      <c r="C2168" t="s">
        <v>48</v>
      </c>
      <c r="D2168" t="s">
        <v>363</v>
      </c>
      <c r="E2168">
        <f t="shared" si="94"/>
        <v>4.6728971962616819E-3</v>
      </c>
      <c r="F2168">
        <v>36</v>
      </c>
      <c r="G2168">
        <f>LOG(382/(36+1))</f>
        <v>1.0138616388447137</v>
      </c>
      <c r="H2168">
        <f>0.00467289719626168*2.33450269596235</f>
        <v>1.0908891102627799E-2</v>
      </c>
      <c r="I2168">
        <v>1.0908891102627809E-2</v>
      </c>
    </row>
    <row r="2169" spans="1:9" x14ac:dyDescent="0.25">
      <c r="A2169">
        <v>263</v>
      </c>
      <c r="B2169" t="s">
        <v>1119</v>
      </c>
      <c r="C2169" t="s">
        <v>48</v>
      </c>
      <c r="D2169" t="s">
        <v>746</v>
      </c>
      <c r="E2169">
        <f t="shared" si="94"/>
        <v>4.6728971962616819E-3</v>
      </c>
      <c r="F2169">
        <v>58</v>
      </c>
      <c r="G2169">
        <f>LOG(382/(58+1))</f>
        <v>0.81121135126956456</v>
      </c>
      <c r="H2169">
        <f>0.00467289719626168*1.86788316470085</f>
        <v>8.7284260032749958E-3</v>
      </c>
      <c r="I2169">
        <v>8.7284260032750253E-3</v>
      </c>
    </row>
    <row r="2170" spans="1:9" x14ac:dyDescent="0.25">
      <c r="A2170">
        <v>263</v>
      </c>
      <c r="B2170" t="s">
        <v>1119</v>
      </c>
      <c r="C2170" t="s">
        <v>48</v>
      </c>
      <c r="D2170" t="s">
        <v>236</v>
      </c>
      <c r="E2170">
        <f t="shared" si="94"/>
        <v>4.6728971962616819E-3</v>
      </c>
      <c r="F2170">
        <v>87</v>
      </c>
      <c r="G2170">
        <f>LOG(382/(87+1))</f>
        <v>0.63758069076154011</v>
      </c>
      <c r="H2170">
        <f>0.00467289719626168*1.46808379412836</f>
        <v>6.8602046454596232E-3</v>
      </c>
      <c r="I2170">
        <v>6.8602046454596657E-3</v>
      </c>
    </row>
    <row r="2171" spans="1:9" x14ac:dyDescent="0.25">
      <c r="A2171">
        <v>263</v>
      </c>
      <c r="B2171" t="s">
        <v>1119</v>
      </c>
      <c r="C2171" t="s">
        <v>48</v>
      </c>
      <c r="D2171" t="s">
        <v>601</v>
      </c>
      <c r="E2171">
        <f t="shared" si="94"/>
        <v>4.6728971962616819E-3</v>
      </c>
      <c r="F2171">
        <v>7</v>
      </c>
      <c r="G2171">
        <f>LOG(382/(7+1))</f>
        <v>1.6789733759197651</v>
      </c>
      <c r="H2171">
        <f>0.00467289719626168*3.86597906692673</f>
        <v>1.8065322742648264E-2</v>
      </c>
      <c r="I2171">
        <v>1.8065322742648309E-2</v>
      </c>
    </row>
    <row r="2172" spans="1:9" x14ac:dyDescent="0.25">
      <c r="A2172">
        <v>263</v>
      </c>
      <c r="B2172" t="s">
        <v>1119</v>
      </c>
      <c r="C2172" t="s">
        <v>48</v>
      </c>
      <c r="D2172" t="s">
        <v>1149</v>
      </c>
      <c r="E2172">
        <f t="shared" si="94"/>
        <v>4.6728971962616819E-3</v>
      </c>
      <c r="F2172">
        <v>3</v>
      </c>
      <c r="G2172">
        <f>LOG(382/(3+1))</f>
        <v>1.9800033715837464</v>
      </c>
      <c r="H2172">
        <f>0.00467289719626168*4.55912624748668</f>
        <v>2.1304328259283543E-2</v>
      </c>
      <c r="I2172">
        <v>2.1304328259283571E-2</v>
      </c>
    </row>
    <row r="2173" spans="1:9" x14ac:dyDescent="0.25">
      <c r="A2173">
        <v>263</v>
      </c>
      <c r="B2173" t="s">
        <v>1119</v>
      </c>
      <c r="C2173" t="s">
        <v>48</v>
      </c>
      <c r="D2173" t="s">
        <v>283</v>
      </c>
      <c r="E2173">
        <f t="shared" si="94"/>
        <v>4.6728971962616819E-3</v>
      </c>
      <c r="F2173">
        <v>16</v>
      </c>
      <c r="G2173">
        <f>LOG(382/(16+1))</f>
        <v>1.3516144415334348</v>
      </c>
      <c r="H2173">
        <f>0.00467289719626168*3.11220726455035</f>
        <v>1.4543024600702562E-2</v>
      </c>
      <c r="I2173">
        <v>1.4543024600702611E-2</v>
      </c>
    </row>
    <row r="2174" spans="1:9" x14ac:dyDescent="0.25">
      <c r="A2174">
        <v>263</v>
      </c>
      <c r="B2174" t="s">
        <v>1119</v>
      </c>
      <c r="C2174" t="s">
        <v>48</v>
      </c>
      <c r="D2174" t="s">
        <v>1150</v>
      </c>
      <c r="E2174">
        <f t="shared" si="94"/>
        <v>4.6728971962616819E-3</v>
      </c>
      <c r="F2174">
        <v>2</v>
      </c>
      <c r="G2174">
        <f>LOG(382/(2+1))</f>
        <v>2.1049421081920463</v>
      </c>
      <c r="H2174">
        <f>0.00467289719626168*4.84680831993846</f>
        <v>2.2648637009058215E-2</v>
      </c>
      <c r="I2174">
        <v>2.264863700905825E-2</v>
      </c>
    </row>
    <row r="2175" spans="1:9" x14ac:dyDescent="0.25">
      <c r="A2175">
        <v>263</v>
      </c>
      <c r="B2175" t="s">
        <v>1119</v>
      </c>
      <c r="C2175" t="s">
        <v>48</v>
      </c>
      <c r="D2175" t="s">
        <v>450</v>
      </c>
      <c r="E2175">
        <f t="shared" si="94"/>
        <v>4.6728971962616819E-3</v>
      </c>
      <c r="F2175">
        <v>17</v>
      </c>
      <c r="G2175">
        <f>LOG(382/(17+1))</f>
        <v>1.3267908578084027</v>
      </c>
      <c r="H2175">
        <f>0.00467289719626168*3.05504885071041</f>
        <v>1.4275929208927143E-2</v>
      </c>
      <c r="I2175">
        <v>1.427592920892715E-2</v>
      </c>
    </row>
    <row r="2176" spans="1:9" x14ac:dyDescent="0.25">
      <c r="A2176">
        <v>263</v>
      </c>
      <c r="B2176" t="s">
        <v>1119</v>
      </c>
      <c r="C2176" t="s">
        <v>48</v>
      </c>
      <c r="D2176" t="s">
        <v>1151</v>
      </c>
      <c r="E2176">
        <f t="shared" si="94"/>
        <v>4.6728971962616819E-3</v>
      </c>
      <c r="F2176">
        <v>1</v>
      </c>
      <c r="G2176">
        <f>LOG(382/(1+1))</f>
        <v>2.2810333672477277</v>
      </c>
      <c r="H2176">
        <f>0.00467289719626168*5.25227342804663</f>
        <v>2.4543333775918819E-2</v>
      </c>
      <c r="I2176">
        <v>2.454333377591883E-2</v>
      </c>
    </row>
    <row r="2177" spans="1:9" x14ac:dyDescent="0.25">
      <c r="A2177">
        <v>263</v>
      </c>
      <c r="B2177" t="s">
        <v>1119</v>
      </c>
      <c r="C2177" t="s">
        <v>48</v>
      </c>
      <c r="D2177" t="s">
        <v>1152</v>
      </c>
      <c r="E2177">
        <f t="shared" si="94"/>
        <v>4.6728971962616819E-3</v>
      </c>
      <c r="F2177">
        <v>6</v>
      </c>
      <c r="G2177">
        <f>LOG(382/(6+1))</f>
        <v>1.736965322897452</v>
      </c>
      <c r="H2177">
        <f>0.00467289719626168*3.99951045955126</f>
        <v>1.8689301212856346E-2</v>
      </c>
      <c r="I2177">
        <v>1.8689301212856359E-2</v>
      </c>
    </row>
    <row r="2178" spans="1:9" x14ac:dyDescent="0.25">
      <c r="A2178">
        <v>263</v>
      </c>
      <c r="B2178" t="s">
        <v>1119</v>
      </c>
      <c r="C2178" t="s">
        <v>48</v>
      </c>
      <c r="D2178" t="s">
        <v>1153</v>
      </c>
      <c r="E2178">
        <f t="shared" si="94"/>
        <v>4.6728971962616819E-3</v>
      </c>
      <c r="F2178">
        <v>4</v>
      </c>
      <c r="G2178">
        <f>LOG(382/(4+1))</f>
        <v>1.8830933585756899</v>
      </c>
      <c r="H2178">
        <f>0.00467289719626168*4.33598269617247</f>
        <v>2.0261601383983498E-2</v>
      </c>
      <c r="I2178">
        <v>2.026160138398353E-2</v>
      </c>
    </row>
    <row r="2179" spans="1:9" x14ac:dyDescent="0.25">
      <c r="A2179">
        <v>263</v>
      </c>
      <c r="B2179" t="s">
        <v>1119</v>
      </c>
      <c r="C2179" t="s">
        <v>48</v>
      </c>
      <c r="D2179" t="s">
        <v>1154</v>
      </c>
      <c r="E2179">
        <f t="shared" si="94"/>
        <v>4.6728971962616819E-3</v>
      </c>
      <c r="F2179">
        <v>2</v>
      </c>
      <c r="G2179">
        <f>LOG(382/(2+1))</f>
        <v>2.1049421081920463</v>
      </c>
      <c r="H2179">
        <f>0.00467289719626168*4.84680831993846</f>
        <v>2.2648637009058215E-2</v>
      </c>
      <c r="I2179">
        <v>2.264863700905825E-2</v>
      </c>
    </row>
    <row r="2180" spans="1:9" x14ac:dyDescent="0.25">
      <c r="A2180">
        <v>263</v>
      </c>
      <c r="B2180" t="s">
        <v>1119</v>
      </c>
      <c r="C2180" t="s">
        <v>48</v>
      </c>
      <c r="D2180" t="s">
        <v>1155</v>
      </c>
      <c r="E2180">
        <f t="shared" si="94"/>
        <v>4.6728971962616819E-3</v>
      </c>
      <c r="F2180">
        <v>4</v>
      </c>
      <c r="G2180">
        <f>LOG(382/(4+1))</f>
        <v>1.8830933585756899</v>
      </c>
      <c r="H2180">
        <f>0.00467289719626168*4.33598269617247</f>
        <v>2.0261601383983498E-2</v>
      </c>
      <c r="I2180">
        <v>2.026160138398353E-2</v>
      </c>
    </row>
    <row r="2181" spans="1:9" x14ac:dyDescent="0.25">
      <c r="A2181">
        <v>263</v>
      </c>
      <c r="B2181" t="s">
        <v>1119</v>
      </c>
      <c r="C2181" t="s">
        <v>48</v>
      </c>
      <c r="D2181" t="s">
        <v>594</v>
      </c>
      <c r="E2181">
        <f t="shared" si="94"/>
        <v>4.6728971962616819E-3</v>
      </c>
      <c r="F2181">
        <v>36</v>
      </c>
      <c r="G2181">
        <f>LOG(382/(36+1))</f>
        <v>1.0138616388447137</v>
      </c>
      <c r="H2181">
        <f>0.00467289719626168*2.33450269596235</f>
        <v>1.0908891102627799E-2</v>
      </c>
      <c r="I2181">
        <v>1.0908891102627809E-2</v>
      </c>
    </row>
    <row r="2182" spans="1:9" x14ac:dyDescent="0.25">
      <c r="A2182">
        <v>263</v>
      </c>
      <c r="B2182" t="s">
        <v>1119</v>
      </c>
      <c r="C2182" t="s">
        <v>48</v>
      </c>
      <c r="D2182" t="s">
        <v>342</v>
      </c>
      <c r="E2182">
        <f t="shared" si="94"/>
        <v>4.6728971962616819E-3</v>
      </c>
      <c r="F2182">
        <v>35</v>
      </c>
      <c r="G2182">
        <f>LOG(382/(35+1))</f>
        <v>1.0257608621444214</v>
      </c>
      <c r="H2182">
        <f>0.00467289719626168*2.36190167015046</f>
        <v>1.1036923692291865E-2</v>
      </c>
      <c r="I2182">
        <v>1.1036923692291889E-2</v>
      </c>
    </row>
    <row r="2183" spans="1:9" x14ac:dyDescent="0.25">
      <c r="A2183">
        <v>263</v>
      </c>
      <c r="B2183" t="s">
        <v>1119</v>
      </c>
      <c r="C2183" t="s">
        <v>48</v>
      </c>
      <c r="D2183" t="s">
        <v>490</v>
      </c>
      <c r="E2183">
        <f t="shared" si="94"/>
        <v>4.6728971962616819E-3</v>
      </c>
      <c r="F2183">
        <v>31</v>
      </c>
      <c r="G2183">
        <f>LOG(382/(31+1))</f>
        <v>1.0769133845918029</v>
      </c>
      <c r="H2183">
        <f>0.00467289719626168*2.47968470580684</f>
        <v>1.158731170937775E-2</v>
      </c>
      <c r="I2183">
        <v>1.1587311709377801E-2</v>
      </c>
    </row>
    <row r="2184" spans="1:9" x14ac:dyDescent="0.25">
      <c r="A2184">
        <v>264</v>
      </c>
      <c r="B2184" t="s">
        <v>1156</v>
      </c>
      <c r="C2184" t="s">
        <v>48</v>
      </c>
      <c r="D2184" t="s">
        <v>1157</v>
      </c>
      <c r="E2184">
        <f>3/64</f>
        <v>4.6875E-2</v>
      </c>
      <c r="F2184">
        <v>1</v>
      </c>
      <c r="G2184">
        <f>LOG(382/(1+1))</f>
        <v>2.2810333672477277</v>
      </c>
      <c r="H2184">
        <f>0.046875*5.25227342804663</f>
        <v>0.24620031693968578</v>
      </c>
      <c r="I2184">
        <v>0.2462003169396858</v>
      </c>
    </row>
    <row r="2185" spans="1:9" x14ac:dyDescent="0.25">
      <c r="A2185">
        <v>264</v>
      </c>
      <c r="B2185" t="s">
        <v>1156</v>
      </c>
      <c r="C2185" t="s">
        <v>48</v>
      </c>
      <c r="D2185" t="s">
        <v>1158</v>
      </c>
      <c r="E2185">
        <f>3/64</f>
        <v>4.6875E-2</v>
      </c>
      <c r="F2185">
        <v>2</v>
      </c>
      <c r="G2185">
        <f>LOG(382/(2+1))</f>
        <v>2.1049421081920463</v>
      </c>
      <c r="H2185">
        <f>0.046875*4.84680831993846</f>
        <v>0.2271941399971153</v>
      </c>
      <c r="I2185">
        <v>0.2271941399971156</v>
      </c>
    </row>
    <row r="2186" spans="1:9" x14ac:dyDescent="0.25">
      <c r="A2186">
        <v>264</v>
      </c>
      <c r="B2186" t="s">
        <v>1156</v>
      </c>
      <c r="C2186" t="s">
        <v>48</v>
      </c>
      <c r="D2186" t="s">
        <v>636</v>
      </c>
      <c r="E2186">
        <f>3/64</f>
        <v>4.6875E-2</v>
      </c>
      <c r="F2186">
        <v>31</v>
      </c>
      <c r="G2186">
        <f>LOG(382/(31+1))</f>
        <v>1.0769133845918029</v>
      </c>
      <c r="H2186">
        <f>0.046875*2.47968470580684</f>
        <v>0.11623522058469563</v>
      </c>
      <c r="I2186">
        <v>0.116235220584696</v>
      </c>
    </row>
    <row r="2187" spans="1:9" x14ac:dyDescent="0.25">
      <c r="A2187">
        <v>264</v>
      </c>
      <c r="B2187" t="s">
        <v>1156</v>
      </c>
      <c r="C2187" t="s">
        <v>48</v>
      </c>
      <c r="D2187" t="s">
        <v>637</v>
      </c>
      <c r="E2187">
        <f>3/64</f>
        <v>4.6875E-2</v>
      </c>
      <c r="F2187">
        <v>29</v>
      </c>
      <c r="G2187">
        <f>LOG(382/(29+1))</f>
        <v>1.1049421081920463</v>
      </c>
      <c r="H2187">
        <f>0.046875*2.54422322694442</f>
        <v>0.11926046376301969</v>
      </c>
      <c r="I2187">
        <v>0.1192604637630197</v>
      </c>
    </row>
    <row r="2188" spans="1:9" x14ac:dyDescent="0.25">
      <c r="A2188">
        <v>264</v>
      </c>
      <c r="B2188" t="s">
        <v>1156</v>
      </c>
      <c r="C2188" t="s">
        <v>48</v>
      </c>
      <c r="D2188" t="s">
        <v>500</v>
      </c>
      <c r="E2188">
        <f>2/64</f>
        <v>3.125E-2</v>
      </c>
      <c r="F2188">
        <v>4</v>
      </c>
      <c r="G2188">
        <f>LOG(382/(4+1))</f>
        <v>1.8830933585756899</v>
      </c>
      <c r="H2188">
        <f>0.03125*4.33598269617247</f>
        <v>0.1354994592553897</v>
      </c>
      <c r="I2188">
        <v>0.13549945925538981</v>
      </c>
    </row>
    <row r="2189" spans="1:9" x14ac:dyDescent="0.25">
      <c r="A2189">
        <v>264</v>
      </c>
      <c r="B2189" t="s">
        <v>1156</v>
      </c>
      <c r="C2189" t="s">
        <v>48</v>
      </c>
      <c r="D2189" t="s">
        <v>310</v>
      </c>
      <c r="E2189">
        <f t="shared" ref="E2189:E2194" si="95">1/64</f>
        <v>1.5625E-2</v>
      </c>
      <c r="F2189">
        <v>50</v>
      </c>
      <c r="G2189">
        <f>LOG(382/(50+1))</f>
        <v>0.87449318681377242</v>
      </c>
      <c r="H2189">
        <f>0.015625*2.01359497588224</f>
        <v>3.1462421498159997E-2</v>
      </c>
      <c r="I2189">
        <v>3.1462421498160149E-2</v>
      </c>
    </row>
    <row r="2190" spans="1:9" x14ac:dyDescent="0.25">
      <c r="A2190">
        <v>264</v>
      </c>
      <c r="B2190" t="s">
        <v>1156</v>
      </c>
      <c r="C2190" t="s">
        <v>48</v>
      </c>
      <c r="D2190" t="s">
        <v>1159</v>
      </c>
      <c r="E2190">
        <f t="shared" si="95"/>
        <v>1.5625E-2</v>
      </c>
      <c r="F2190">
        <v>2</v>
      </c>
      <c r="G2190">
        <f>LOG(382/(2+1))</f>
        <v>2.1049421081920463</v>
      </c>
      <c r="H2190">
        <f>0.015625*4.84680831993846</f>
        <v>7.5731379999038437E-2</v>
      </c>
      <c r="I2190">
        <v>7.573137999903852E-2</v>
      </c>
    </row>
    <row r="2191" spans="1:9" x14ac:dyDescent="0.25">
      <c r="A2191">
        <v>264</v>
      </c>
      <c r="B2191" t="s">
        <v>1156</v>
      </c>
      <c r="C2191" t="s">
        <v>48</v>
      </c>
      <c r="D2191" t="s">
        <v>15</v>
      </c>
      <c r="E2191">
        <f t="shared" si="95"/>
        <v>1.5625E-2</v>
      </c>
      <c r="F2191">
        <v>112</v>
      </c>
      <c r="G2191">
        <f>LOG(382/(112+1))</f>
        <v>0.52898491942828896</v>
      </c>
      <c r="H2191">
        <f>0.015625*1.21803278989423</f>
        <v>1.9031762342097344E-2</v>
      </c>
      <c r="I2191">
        <v>1.9031762342097421E-2</v>
      </c>
    </row>
    <row r="2192" spans="1:9" x14ac:dyDescent="0.25">
      <c r="A2192">
        <v>264</v>
      </c>
      <c r="B2192" t="s">
        <v>1156</v>
      </c>
      <c r="C2192" t="s">
        <v>48</v>
      </c>
      <c r="D2192" t="s">
        <v>17</v>
      </c>
      <c r="E2192">
        <f t="shared" si="95"/>
        <v>1.5625E-2</v>
      </c>
      <c r="F2192">
        <v>169</v>
      </c>
      <c r="G2192">
        <f>LOG(382/(169+1))</f>
        <v>0.3516144415334348</v>
      </c>
      <c r="H2192">
        <f>0.015625*0.809622171556313</f>
        <v>1.2650346430567391E-2</v>
      </c>
      <c r="I2192">
        <v>1.2650346430567399E-2</v>
      </c>
    </row>
    <row r="2193" spans="1:9" x14ac:dyDescent="0.25">
      <c r="A2193">
        <v>264</v>
      </c>
      <c r="B2193" t="s">
        <v>1156</v>
      </c>
      <c r="C2193" t="s">
        <v>48</v>
      </c>
      <c r="D2193" t="s">
        <v>70</v>
      </c>
      <c r="E2193">
        <f t="shared" si="95"/>
        <v>1.5625E-2</v>
      </c>
      <c r="F2193">
        <v>44</v>
      </c>
      <c r="G2193">
        <f>LOG(382/(44+1))</f>
        <v>0.92885084913636506</v>
      </c>
      <c r="H2193">
        <f>0.015625*2.13875811883625</f>
        <v>3.3418095606816405E-2</v>
      </c>
      <c r="I2193">
        <v>3.3418095606816488E-2</v>
      </c>
    </row>
    <row r="2194" spans="1:9" x14ac:dyDescent="0.25">
      <c r="A2194">
        <v>264</v>
      </c>
      <c r="B2194" t="s">
        <v>1156</v>
      </c>
      <c r="C2194" t="s">
        <v>48</v>
      </c>
      <c r="D2194" t="s">
        <v>19</v>
      </c>
      <c r="E2194">
        <f t="shared" si="95"/>
        <v>1.5625E-2</v>
      </c>
      <c r="F2194">
        <v>220</v>
      </c>
      <c r="G2194">
        <f>LOG(382/(220+1))</f>
        <v>0.23767108922659805</v>
      </c>
      <c r="H2194">
        <f>0.015625*0.547257907088822</f>
        <v>8.5509047982628445E-3</v>
      </c>
      <c r="I2194">
        <v>8.5509047982628497E-3</v>
      </c>
    </row>
    <row r="2195" spans="1:9" x14ac:dyDescent="0.25">
      <c r="A2195">
        <v>264</v>
      </c>
      <c r="B2195" t="s">
        <v>1156</v>
      </c>
      <c r="C2195" t="s">
        <v>48</v>
      </c>
      <c r="D2195" t="s">
        <v>44</v>
      </c>
      <c r="E2195">
        <f>2/64</f>
        <v>3.125E-2</v>
      </c>
      <c r="F2195">
        <v>151</v>
      </c>
      <c r="G2195">
        <f>LOG(382/(151+1))</f>
        <v>0.40021977496693617</v>
      </c>
      <c r="H2195">
        <f>0.03125*0.921540087760298</f>
        <v>2.8798127742509314E-2</v>
      </c>
      <c r="I2195">
        <v>2.8798127742509338E-2</v>
      </c>
    </row>
    <row r="2196" spans="1:9" x14ac:dyDescent="0.25">
      <c r="A2196">
        <v>264</v>
      </c>
      <c r="B2196" t="s">
        <v>1156</v>
      </c>
      <c r="C2196" t="s">
        <v>48</v>
      </c>
      <c r="D2196" t="s">
        <v>22</v>
      </c>
      <c r="E2196">
        <f>1/64</f>
        <v>1.5625E-2</v>
      </c>
      <c r="F2196">
        <v>259</v>
      </c>
      <c r="G2196">
        <f>LOG(382/(259+1))</f>
        <v>0.16709001494089079</v>
      </c>
      <c r="H2196">
        <f>0.015625*0.384738977591047</f>
        <v>6.0115465248601098E-3</v>
      </c>
      <c r="I2196">
        <v>6.0115465248601176E-3</v>
      </c>
    </row>
    <row r="2197" spans="1:9" x14ac:dyDescent="0.25">
      <c r="A2197">
        <v>264</v>
      </c>
      <c r="B2197" t="s">
        <v>1156</v>
      </c>
      <c r="C2197" t="s">
        <v>48</v>
      </c>
      <c r="D2197" t="s">
        <v>23</v>
      </c>
      <c r="E2197">
        <f>1/64</f>
        <v>1.5625E-2</v>
      </c>
      <c r="F2197">
        <v>275</v>
      </c>
      <c r="G2197">
        <f>LOG(382/(275+1))</f>
        <v>0.14115428084649101</v>
      </c>
      <c r="H2197">
        <f>0.015625*0.325019742889425</f>
        <v>5.0784334826472653E-3</v>
      </c>
      <c r="I2197">
        <v>5.0784334826472679E-3</v>
      </c>
    </row>
    <row r="2198" spans="1:9" x14ac:dyDescent="0.25">
      <c r="A2198">
        <v>264</v>
      </c>
      <c r="B2198" t="s">
        <v>1156</v>
      </c>
      <c r="C2198" t="s">
        <v>48</v>
      </c>
      <c r="D2198" t="s">
        <v>196</v>
      </c>
      <c r="E2198">
        <f>1/64</f>
        <v>1.5625E-2</v>
      </c>
      <c r="F2198">
        <v>33</v>
      </c>
      <c r="G2198">
        <f>LOG(382/(33+1))</f>
        <v>1.0505844458694535</v>
      </c>
      <c r="H2198">
        <f>0.015625*2.41906008399041</f>
        <v>3.7797813812350159E-2</v>
      </c>
      <c r="I2198">
        <v>3.7797813812350207E-2</v>
      </c>
    </row>
    <row r="2199" spans="1:9" x14ac:dyDescent="0.25">
      <c r="A2199">
        <v>264</v>
      </c>
      <c r="B2199" t="s">
        <v>1156</v>
      </c>
      <c r="C2199" t="s">
        <v>48</v>
      </c>
      <c r="D2199" t="s">
        <v>224</v>
      </c>
      <c r="E2199">
        <f>3/64</f>
        <v>4.6875E-2</v>
      </c>
      <c r="F2199">
        <v>16</v>
      </c>
      <c r="G2199">
        <f>LOG(382/(16+1))</f>
        <v>1.3516144415334348</v>
      </c>
      <c r="H2199">
        <f>0.046875*3.11220726455035</f>
        <v>0.14588471552579765</v>
      </c>
      <c r="I2199">
        <v>0.1458847155257981</v>
      </c>
    </row>
    <row r="2200" spans="1:9" x14ac:dyDescent="0.25">
      <c r="A2200">
        <v>264</v>
      </c>
      <c r="B2200" t="s">
        <v>1156</v>
      </c>
      <c r="C2200" t="s">
        <v>48</v>
      </c>
      <c r="D2200" t="s">
        <v>53</v>
      </c>
      <c r="E2200">
        <f t="shared" ref="E2200:E2208" si="96">1/64</f>
        <v>1.5625E-2</v>
      </c>
      <c r="F2200">
        <v>57</v>
      </c>
      <c r="G2200">
        <f>LOG(382/(57+1))</f>
        <v>0.81863536934877146</v>
      </c>
      <c r="H2200">
        <f>0.015625*1.88497759806015</f>
        <v>2.9452774969689843E-2</v>
      </c>
      <c r="I2200">
        <v>2.945277496968993E-2</v>
      </c>
    </row>
    <row r="2201" spans="1:9" x14ac:dyDescent="0.25">
      <c r="A2201">
        <v>264</v>
      </c>
      <c r="B2201" t="s">
        <v>1156</v>
      </c>
      <c r="C2201" t="s">
        <v>48</v>
      </c>
      <c r="D2201" t="s">
        <v>1160</v>
      </c>
      <c r="E2201">
        <f t="shared" si="96"/>
        <v>1.5625E-2</v>
      </c>
      <c r="F2201">
        <v>1</v>
      </c>
      <c r="G2201">
        <f>LOG(382/(1+1))</f>
        <v>2.2810333672477277</v>
      </c>
      <c r="H2201">
        <f>0.015625*5.25227342804663</f>
        <v>8.2066772313228592E-2</v>
      </c>
      <c r="I2201">
        <v>8.2066772313228592E-2</v>
      </c>
    </row>
    <row r="2202" spans="1:9" x14ac:dyDescent="0.25">
      <c r="A2202">
        <v>264</v>
      </c>
      <c r="B2202" t="s">
        <v>1156</v>
      </c>
      <c r="C2202" t="s">
        <v>48</v>
      </c>
      <c r="D2202" t="s">
        <v>1161</v>
      </c>
      <c r="E2202">
        <f t="shared" si="96"/>
        <v>1.5625E-2</v>
      </c>
      <c r="F2202">
        <v>2</v>
      </c>
      <c r="G2202">
        <f>LOG(382/(2+1))</f>
        <v>2.1049421081920463</v>
      </c>
      <c r="H2202">
        <f>0.015625*4.84680831993846</f>
        <v>7.5731379999038437E-2</v>
      </c>
      <c r="I2202">
        <v>7.573137999903852E-2</v>
      </c>
    </row>
    <row r="2203" spans="1:9" x14ac:dyDescent="0.25">
      <c r="A2203">
        <v>264</v>
      </c>
      <c r="B2203" t="s">
        <v>1156</v>
      </c>
      <c r="C2203" t="s">
        <v>48</v>
      </c>
      <c r="D2203" t="s">
        <v>1162</v>
      </c>
      <c r="E2203">
        <f t="shared" si="96"/>
        <v>1.5625E-2</v>
      </c>
      <c r="F2203">
        <v>1</v>
      </c>
      <c r="G2203">
        <f>LOG(382/(1+1))</f>
        <v>2.2810333672477277</v>
      </c>
      <c r="H2203">
        <f>0.015625*5.25227342804663</f>
        <v>8.2066772313228592E-2</v>
      </c>
      <c r="I2203">
        <v>8.2066772313228592E-2</v>
      </c>
    </row>
    <row r="2204" spans="1:9" x14ac:dyDescent="0.25">
      <c r="A2204">
        <v>264</v>
      </c>
      <c r="B2204" t="s">
        <v>1156</v>
      </c>
      <c r="C2204" t="s">
        <v>48</v>
      </c>
      <c r="D2204" t="s">
        <v>225</v>
      </c>
      <c r="E2204">
        <f t="shared" si="96"/>
        <v>1.5625E-2</v>
      </c>
      <c r="F2204">
        <v>30</v>
      </c>
      <c r="G2204">
        <f>LOG(382/(30+1))</f>
        <v>1.090701669077436</v>
      </c>
      <c r="H2204">
        <f>0.015625*2.51143340412142</f>
        <v>3.924114693939719E-2</v>
      </c>
      <c r="I2204">
        <v>3.9241146939397328E-2</v>
      </c>
    </row>
    <row r="2205" spans="1:9" x14ac:dyDescent="0.25">
      <c r="A2205">
        <v>264</v>
      </c>
      <c r="B2205" t="s">
        <v>1156</v>
      </c>
      <c r="C2205" t="s">
        <v>48</v>
      </c>
      <c r="D2205" t="s">
        <v>230</v>
      </c>
      <c r="E2205">
        <f t="shared" si="96"/>
        <v>1.5625E-2</v>
      </c>
      <c r="F2205">
        <v>9</v>
      </c>
      <c r="G2205">
        <f>LOG(382/(9+1))</f>
        <v>1.5820633629117087</v>
      </c>
      <c r="H2205">
        <f>0.015625*3.64283551561252</f>
        <v>5.6919304931445626E-2</v>
      </c>
      <c r="I2205">
        <v>5.6919304931445772E-2</v>
      </c>
    </row>
    <row r="2206" spans="1:9" x14ac:dyDescent="0.25">
      <c r="A2206">
        <v>264</v>
      </c>
      <c r="B2206" t="s">
        <v>1156</v>
      </c>
      <c r="C2206" t="s">
        <v>48</v>
      </c>
      <c r="D2206" t="s">
        <v>1163</v>
      </c>
      <c r="E2206">
        <f t="shared" si="96"/>
        <v>1.5625E-2</v>
      </c>
      <c r="F2206">
        <v>1</v>
      </c>
      <c r="G2206">
        <f>LOG(382/(1+1))</f>
        <v>2.2810333672477277</v>
      </c>
      <c r="H2206">
        <f>0.015625*5.25227342804663</f>
        <v>8.2066772313228592E-2</v>
      </c>
      <c r="I2206">
        <v>8.2066772313228592E-2</v>
      </c>
    </row>
    <row r="2207" spans="1:9" x14ac:dyDescent="0.25">
      <c r="A2207">
        <v>264</v>
      </c>
      <c r="B2207" t="s">
        <v>1156</v>
      </c>
      <c r="C2207" t="s">
        <v>48</v>
      </c>
      <c r="D2207" t="s">
        <v>201</v>
      </c>
      <c r="E2207">
        <f t="shared" si="96"/>
        <v>1.5625E-2</v>
      </c>
      <c r="F2207">
        <v>72</v>
      </c>
      <c r="G2207">
        <f>LOG(382/(72+1))</f>
        <v>0.71874050279125279</v>
      </c>
      <c r="H2207">
        <f>0.015625*1.65496116745818</f>
        <v>2.5858768241534061E-2</v>
      </c>
      <c r="I2207">
        <v>2.585876824153412E-2</v>
      </c>
    </row>
    <row r="2208" spans="1:9" x14ac:dyDescent="0.25">
      <c r="A2208">
        <v>264</v>
      </c>
      <c r="B2208" t="s">
        <v>1156</v>
      </c>
      <c r="C2208" t="s">
        <v>48</v>
      </c>
      <c r="D2208" t="s">
        <v>1164</v>
      </c>
      <c r="E2208">
        <f t="shared" si="96"/>
        <v>1.5625E-2</v>
      </c>
      <c r="F2208">
        <v>4</v>
      </c>
      <c r="G2208">
        <f>LOG(382/(4+1))</f>
        <v>1.8830933585756899</v>
      </c>
      <c r="H2208">
        <f>0.015625*4.33598269617247</f>
        <v>6.7749729627694849E-2</v>
      </c>
      <c r="I2208">
        <v>6.7749729627694918E-2</v>
      </c>
    </row>
    <row r="2209" spans="1:9" x14ac:dyDescent="0.25">
      <c r="A2209">
        <v>264</v>
      </c>
      <c r="B2209" t="s">
        <v>1156</v>
      </c>
      <c r="C2209" t="s">
        <v>48</v>
      </c>
      <c r="D2209" t="s">
        <v>1165</v>
      </c>
      <c r="E2209">
        <f>2/64</f>
        <v>3.125E-2</v>
      </c>
      <c r="F2209">
        <v>2</v>
      </c>
      <c r="G2209">
        <f>LOG(382/(2+1))</f>
        <v>2.1049421081920463</v>
      </c>
      <c r="H2209">
        <f>0.03125*4.84680831993846</f>
        <v>0.15146275999807687</v>
      </c>
      <c r="I2209">
        <v>0.15146275999807701</v>
      </c>
    </row>
    <row r="2210" spans="1:9" x14ac:dyDescent="0.25">
      <c r="A2210">
        <v>264</v>
      </c>
      <c r="B2210" t="s">
        <v>1156</v>
      </c>
      <c r="C2210" t="s">
        <v>48</v>
      </c>
      <c r="D2210" t="s">
        <v>1166</v>
      </c>
      <c r="E2210">
        <f t="shared" ref="E2210:E2219" si="97">1/64</f>
        <v>1.5625E-2</v>
      </c>
      <c r="F2210">
        <v>1</v>
      </c>
      <c r="G2210">
        <f>LOG(382/(1+1))</f>
        <v>2.2810333672477277</v>
      </c>
      <c r="H2210">
        <f>0.015625*5.25227342804663</f>
        <v>8.2066772313228592E-2</v>
      </c>
      <c r="I2210">
        <v>8.2066772313228592E-2</v>
      </c>
    </row>
    <row r="2211" spans="1:9" x14ac:dyDescent="0.25">
      <c r="A2211">
        <v>264</v>
      </c>
      <c r="B2211" t="s">
        <v>1156</v>
      </c>
      <c r="C2211" t="s">
        <v>48</v>
      </c>
      <c r="D2211" t="s">
        <v>1167</v>
      </c>
      <c r="E2211">
        <f t="shared" si="97"/>
        <v>1.5625E-2</v>
      </c>
      <c r="F2211">
        <v>1</v>
      </c>
      <c r="G2211">
        <f>LOG(382/(1+1))</f>
        <v>2.2810333672477277</v>
      </c>
      <c r="H2211">
        <f>0.015625*5.25227342804663</f>
        <v>8.2066772313228592E-2</v>
      </c>
      <c r="I2211">
        <v>8.2066772313228592E-2</v>
      </c>
    </row>
    <row r="2212" spans="1:9" x14ac:dyDescent="0.25">
      <c r="A2212">
        <v>264</v>
      </c>
      <c r="B2212" t="s">
        <v>1156</v>
      </c>
      <c r="C2212" t="s">
        <v>48</v>
      </c>
      <c r="D2212" t="s">
        <v>286</v>
      </c>
      <c r="E2212">
        <f t="shared" si="97"/>
        <v>1.5625E-2</v>
      </c>
      <c r="F2212">
        <v>3</v>
      </c>
      <c r="G2212">
        <f>LOG(382/(3+1))</f>
        <v>1.9800033715837464</v>
      </c>
      <c r="H2212">
        <f>0.015625*4.55912624748668</f>
        <v>7.1236347616979376E-2</v>
      </c>
      <c r="I2212">
        <v>7.1236347616979445E-2</v>
      </c>
    </row>
    <row r="2213" spans="1:9" x14ac:dyDescent="0.25">
      <c r="A2213">
        <v>264</v>
      </c>
      <c r="B2213" t="s">
        <v>1156</v>
      </c>
      <c r="C2213" t="s">
        <v>48</v>
      </c>
      <c r="D2213" t="s">
        <v>112</v>
      </c>
      <c r="E2213">
        <f t="shared" si="97"/>
        <v>1.5625E-2</v>
      </c>
      <c r="F2213">
        <v>52</v>
      </c>
      <c r="G2213">
        <f>LOG(382/(52+1))</f>
        <v>0.85778749331091964</v>
      </c>
      <c r="H2213">
        <f>0.015625*1.97512869505445</f>
        <v>3.0861385860225781E-2</v>
      </c>
      <c r="I2213">
        <v>3.086138586022583E-2</v>
      </c>
    </row>
    <row r="2214" spans="1:9" x14ac:dyDescent="0.25">
      <c r="A2214">
        <v>264</v>
      </c>
      <c r="B2214" t="s">
        <v>1156</v>
      </c>
      <c r="C2214" t="s">
        <v>48</v>
      </c>
      <c r="D2214" t="s">
        <v>1168</v>
      </c>
      <c r="E2214">
        <f t="shared" si="97"/>
        <v>1.5625E-2</v>
      </c>
      <c r="F2214">
        <v>5</v>
      </c>
      <c r="G2214">
        <f>LOG(382/(5+1))</f>
        <v>1.803912112528065</v>
      </c>
      <c r="H2214">
        <f>0.015625*4.15366113937852</f>
        <v>6.4900955302789373E-2</v>
      </c>
      <c r="I2214">
        <v>6.4900955302789373E-2</v>
      </c>
    </row>
    <row r="2215" spans="1:9" x14ac:dyDescent="0.25">
      <c r="A2215">
        <v>264</v>
      </c>
      <c r="B2215" t="s">
        <v>1156</v>
      </c>
      <c r="C2215" t="s">
        <v>48</v>
      </c>
      <c r="D2215" t="s">
        <v>1169</v>
      </c>
      <c r="E2215">
        <f t="shared" si="97"/>
        <v>1.5625E-2</v>
      </c>
      <c r="F2215">
        <v>1</v>
      </c>
      <c r="G2215">
        <f>LOG(382/(1+1))</f>
        <v>2.2810333672477277</v>
      </c>
      <c r="H2215">
        <f>0.015625*5.25227342804663</f>
        <v>8.2066772313228592E-2</v>
      </c>
      <c r="I2215">
        <v>8.2066772313228592E-2</v>
      </c>
    </row>
    <row r="2216" spans="1:9" x14ac:dyDescent="0.25">
      <c r="A2216">
        <v>264</v>
      </c>
      <c r="B2216" t="s">
        <v>1156</v>
      </c>
      <c r="C2216" t="s">
        <v>48</v>
      </c>
      <c r="D2216" t="s">
        <v>1170</v>
      </c>
      <c r="E2216">
        <f t="shared" si="97"/>
        <v>1.5625E-2</v>
      </c>
      <c r="F2216">
        <v>1</v>
      </c>
      <c r="G2216">
        <f>LOG(382/(1+1))</f>
        <v>2.2810333672477277</v>
      </c>
      <c r="H2216">
        <f>0.015625*5.25227342804663</f>
        <v>8.2066772313228592E-2</v>
      </c>
      <c r="I2216">
        <v>8.2066772313228592E-2</v>
      </c>
    </row>
    <row r="2217" spans="1:9" x14ac:dyDescent="0.25">
      <c r="A2217">
        <v>264</v>
      </c>
      <c r="B2217" t="s">
        <v>1156</v>
      </c>
      <c r="C2217" t="s">
        <v>48</v>
      </c>
      <c r="D2217" t="s">
        <v>1171</v>
      </c>
      <c r="E2217">
        <f t="shared" si="97"/>
        <v>1.5625E-2</v>
      </c>
      <c r="F2217">
        <v>4</v>
      </c>
      <c r="G2217">
        <f>LOG(382/(4+1))</f>
        <v>1.8830933585756899</v>
      </c>
      <c r="H2217">
        <f>0.015625*4.33598269617247</f>
        <v>6.7749729627694849E-2</v>
      </c>
      <c r="I2217">
        <v>6.7749729627694918E-2</v>
      </c>
    </row>
    <row r="2218" spans="1:9" x14ac:dyDescent="0.25">
      <c r="A2218">
        <v>264</v>
      </c>
      <c r="B2218" t="s">
        <v>1156</v>
      </c>
      <c r="C2218" t="s">
        <v>48</v>
      </c>
      <c r="D2218" t="s">
        <v>1172</v>
      </c>
      <c r="E2218">
        <f t="shared" si="97"/>
        <v>1.5625E-2</v>
      </c>
      <c r="F2218">
        <v>1</v>
      </c>
      <c r="G2218">
        <f>LOG(382/(1+1))</f>
        <v>2.2810333672477277</v>
      </c>
      <c r="H2218">
        <f>0.015625*5.25227342804663</f>
        <v>8.2066772313228592E-2</v>
      </c>
      <c r="I2218">
        <v>8.2066772313228592E-2</v>
      </c>
    </row>
    <row r="2219" spans="1:9" x14ac:dyDescent="0.25">
      <c r="A2219">
        <v>264</v>
      </c>
      <c r="B2219" t="s">
        <v>1156</v>
      </c>
      <c r="C2219" t="s">
        <v>48</v>
      </c>
      <c r="D2219" t="s">
        <v>1173</v>
      </c>
      <c r="E2219">
        <f t="shared" si="97"/>
        <v>1.5625E-2</v>
      </c>
      <c r="F2219">
        <v>2</v>
      </c>
      <c r="G2219">
        <f>LOG(382/(2+1))</f>
        <v>2.1049421081920463</v>
      </c>
      <c r="H2219">
        <f>0.015625*4.84680831993846</f>
        <v>7.5731379999038437E-2</v>
      </c>
      <c r="I2219">
        <v>7.573137999903852E-2</v>
      </c>
    </row>
    <row r="2220" spans="1:9" x14ac:dyDescent="0.25">
      <c r="A2220">
        <v>264</v>
      </c>
      <c r="B2220" t="s">
        <v>1156</v>
      </c>
      <c r="C2220" t="s">
        <v>48</v>
      </c>
      <c r="D2220" t="s">
        <v>51</v>
      </c>
      <c r="E2220">
        <f>2/64</f>
        <v>3.125E-2</v>
      </c>
      <c r="F2220">
        <v>8</v>
      </c>
      <c r="G2220">
        <f>LOG(382/(8+1))</f>
        <v>1.6278208534723839</v>
      </c>
      <c r="H2220">
        <f>0.03125*3.74819603127035</f>
        <v>0.11713112597719844</v>
      </c>
      <c r="I2220">
        <v>0.1171311259771986</v>
      </c>
    </row>
    <row r="2221" spans="1:9" x14ac:dyDescent="0.25">
      <c r="A2221">
        <v>264</v>
      </c>
      <c r="B2221" t="s">
        <v>1156</v>
      </c>
      <c r="C2221" t="s">
        <v>48</v>
      </c>
      <c r="D2221" t="s">
        <v>88</v>
      </c>
      <c r="E2221">
        <f t="shared" ref="E2221:E2233" si="98">1/64</f>
        <v>1.5625E-2</v>
      </c>
      <c r="F2221">
        <v>13</v>
      </c>
      <c r="G2221">
        <f>LOG(382/(13+1))</f>
        <v>1.4359353272334707</v>
      </c>
      <c r="H2221">
        <f>0.015625*3.30636327899131</f>
        <v>5.1661926234239222E-2</v>
      </c>
      <c r="I2221">
        <v>5.1661926234239319E-2</v>
      </c>
    </row>
    <row r="2222" spans="1:9" x14ac:dyDescent="0.25">
      <c r="A2222">
        <v>264</v>
      </c>
      <c r="B2222" t="s">
        <v>1156</v>
      </c>
      <c r="C2222" t="s">
        <v>48</v>
      </c>
      <c r="D2222" t="s">
        <v>1174</v>
      </c>
      <c r="E2222">
        <f t="shared" si="98"/>
        <v>1.5625E-2</v>
      </c>
      <c r="F2222">
        <v>1</v>
      </c>
      <c r="G2222">
        <f>LOG(382/(1+1))</f>
        <v>2.2810333672477277</v>
      </c>
      <c r="H2222">
        <f>0.015625*5.25227342804663</f>
        <v>8.2066772313228592E-2</v>
      </c>
      <c r="I2222">
        <v>8.2066772313228592E-2</v>
      </c>
    </row>
    <row r="2223" spans="1:9" x14ac:dyDescent="0.25">
      <c r="A2223">
        <v>264</v>
      </c>
      <c r="B2223" t="s">
        <v>1156</v>
      </c>
      <c r="C2223" t="s">
        <v>48</v>
      </c>
      <c r="D2223" t="s">
        <v>1175</v>
      </c>
      <c r="E2223">
        <f t="shared" si="98"/>
        <v>1.5625E-2</v>
      </c>
      <c r="F2223">
        <v>1</v>
      </c>
      <c r="G2223">
        <f>LOG(382/(1+1))</f>
        <v>2.2810333672477277</v>
      </c>
      <c r="H2223">
        <f>0.015625*5.25227342804663</f>
        <v>8.2066772313228592E-2</v>
      </c>
      <c r="I2223">
        <v>8.2066772313228592E-2</v>
      </c>
    </row>
    <row r="2224" spans="1:9" x14ac:dyDescent="0.25">
      <c r="A2224">
        <v>264</v>
      </c>
      <c r="B2224" t="s">
        <v>1156</v>
      </c>
      <c r="C2224" t="s">
        <v>48</v>
      </c>
      <c r="D2224" t="s">
        <v>1176</v>
      </c>
      <c r="E2224">
        <f t="shared" si="98"/>
        <v>1.5625E-2</v>
      </c>
      <c r="F2224">
        <v>15</v>
      </c>
      <c r="G2224">
        <f>LOG(382/(15+1))</f>
        <v>1.3779433802557839</v>
      </c>
      <c r="H2224">
        <f>0.015625*3.17283188636679</f>
        <v>4.9575498224481096E-2</v>
      </c>
      <c r="I2224">
        <v>4.9575498224481158E-2</v>
      </c>
    </row>
    <row r="2225" spans="1:9" x14ac:dyDescent="0.25">
      <c r="A2225">
        <v>264</v>
      </c>
      <c r="B2225" t="s">
        <v>1156</v>
      </c>
      <c r="C2225" t="s">
        <v>48</v>
      </c>
      <c r="D2225" t="s">
        <v>1073</v>
      </c>
      <c r="E2225">
        <f t="shared" si="98"/>
        <v>1.5625E-2</v>
      </c>
      <c r="F2225">
        <v>25</v>
      </c>
      <c r="G2225">
        <f>LOG(382/(25+1))</f>
        <v>1.1670900149408907</v>
      </c>
      <c r="H2225">
        <f>0.015625*2.68732407058509</f>
        <v>4.1989438602892032E-2</v>
      </c>
      <c r="I2225">
        <v>4.198943860289208E-2</v>
      </c>
    </row>
    <row r="2226" spans="1:9" x14ac:dyDescent="0.25">
      <c r="A2226">
        <v>264</v>
      </c>
      <c r="B2226" t="s">
        <v>1156</v>
      </c>
      <c r="C2226" t="s">
        <v>48</v>
      </c>
      <c r="D2226" t="s">
        <v>1177</v>
      </c>
      <c r="E2226">
        <f t="shared" si="98"/>
        <v>1.5625E-2</v>
      </c>
      <c r="F2226">
        <v>2</v>
      </c>
      <c r="G2226">
        <f>LOG(382/(2+1))</f>
        <v>2.1049421081920463</v>
      </c>
      <c r="H2226">
        <f>0.015625*4.84680831993846</f>
        <v>7.5731379999038437E-2</v>
      </c>
      <c r="I2226">
        <v>7.573137999903852E-2</v>
      </c>
    </row>
    <row r="2227" spans="1:9" x14ac:dyDescent="0.25">
      <c r="A2227">
        <v>264</v>
      </c>
      <c r="B2227" t="s">
        <v>1156</v>
      </c>
      <c r="C2227" t="s">
        <v>48</v>
      </c>
      <c r="D2227" t="s">
        <v>243</v>
      </c>
      <c r="E2227">
        <f t="shared" si="98"/>
        <v>1.5625E-2</v>
      </c>
      <c r="F2227">
        <v>131</v>
      </c>
      <c r="G2227">
        <f>LOG(382/(131+1))</f>
        <v>0.46148943170585888</v>
      </c>
      <c r="H2227">
        <f>0.015625*1.0626186860202</f>
        <v>1.6603416969065626E-2</v>
      </c>
      <c r="I2227">
        <v>1.6603416969065692E-2</v>
      </c>
    </row>
    <row r="2228" spans="1:9" x14ac:dyDescent="0.25">
      <c r="A2228">
        <v>264</v>
      </c>
      <c r="B2228" t="s">
        <v>1156</v>
      </c>
      <c r="C2228" t="s">
        <v>48</v>
      </c>
      <c r="D2228" t="s">
        <v>1178</v>
      </c>
      <c r="E2228">
        <f t="shared" si="98"/>
        <v>1.5625E-2</v>
      </c>
      <c r="F2228">
        <v>4</v>
      </c>
      <c r="G2228">
        <f>LOG(382/(4+1))</f>
        <v>1.8830933585756899</v>
      </c>
      <c r="H2228">
        <f>0.015625*4.33598269617247</f>
        <v>6.7749729627694849E-2</v>
      </c>
      <c r="I2228">
        <v>6.7749729627694918E-2</v>
      </c>
    </row>
    <row r="2229" spans="1:9" x14ac:dyDescent="0.25">
      <c r="A2229">
        <v>264</v>
      </c>
      <c r="B2229" t="s">
        <v>1156</v>
      </c>
      <c r="C2229" t="s">
        <v>48</v>
      </c>
      <c r="D2229" t="s">
        <v>237</v>
      </c>
      <c r="E2229">
        <f t="shared" si="98"/>
        <v>1.5625E-2</v>
      </c>
      <c r="F2229">
        <v>138</v>
      </c>
      <c r="G2229">
        <f>LOG(382/(138+1))</f>
        <v>0.43904856265761361</v>
      </c>
      <c r="H2229">
        <f>0.015625*1.01094667547588</f>
        <v>1.5796041804310625E-2</v>
      </c>
      <c r="I2229">
        <v>1.5796041804310681E-2</v>
      </c>
    </row>
    <row r="2230" spans="1:9" x14ac:dyDescent="0.25">
      <c r="A2230">
        <v>264</v>
      </c>
      <c r="B2230" t="s">
        <v>1156</v>
      </c>
      <c r="C2230" t="s">
        <v>48</v>
      </c>
      <c r="D2230" t="s">
        <v>881</v>
      </c>
      <c r="E2230">
        <f t="shared" si="98"/>
        <v>1.5625E-2</v>
      </c>
      <c r="F2230">
        <v>15</v>
      </c>
      <c r="G2230">
        <f>LOG(382/(15+1))</f>
        <v>1.3779433802557839</v>
      </c>
      <c r="H2230">
        <f>0.015625*3.17283188636679</f>
        <v>4.9575498224481096E-2</v>
      </c>
      <c r="I2230">
        <v>4.9575498224481158E-2</v>
      </c>
    </row>
    <row r="2231" spans="1:9" x14ac:dyDescent="0.25">
      <c r="A2231">
        <v>264</v>
      </c>
      <c r="B2231" t="s">
        <v>1156</v>
      </c>
      <c r="C2231" t="s">
        <v>48</v>
      </c>
      <c r="D2231" t="s">
        <v>888</v>
      </c>
      <c r="E2231">
        <f t="shared" si="98"/>
        <v>1.5625E-2</v>
      </c>
      <c r="F2231">
        <v>21</v>
      </c>
      <c r="G2231">
        <f>LOG(382/(21+1))</f>
        <v>1.2396406820895025</v>
      </c>
      <c r="H2231">
        <f>0.015625*2.85437815524825</f>
        <v>4.4599658675753905E-2</v>
      </c>
      <c r="I2231">
        <v>4.459965867575405E-2</v>
      </c>
    </row>
    <row r="2232" spans="1:9" x14ac:dyDescent="0.25">
      <c r="A2232">
        <v>264</v>
      </c>
      <c r="B2232" t="s">
        <v>1156</v>
      </c>
      <c r="C2232" t="s">
        <v>48</v>
      </c>
      <c r="D2232" t="s">
        <v>263</v>
      </c>
      <c r="E2232">
        <f t="shared" si="98"/>
        <v>1.5625E-2</v>
      </c>
      <c r="F2232">
        <v>41</v>
      </c>
      <c r="G2232">
        <f>LOG(382/(41+1))</f>
        <v>0.95881407251380824</v>
      </c>
      <c r="H2232">
        <f>0.015625*2.2077509903232</f>
        <v>3.4496109223800003E-2</v>
      </c>
      <c r="I2232">
        <v>3.4496109223800107E-2</v>
      </c>
    </row>
    <row r="2233" spans="1:9" x14ac:dyDescent="0.25">
      <c r="A2233">
        <v>264</v>
      </c>
      <c r="B2233" t="s">
        <v>1156</v>
      </c>
      <c r="C2233" t="s">
        <v>48</v>
      </c>
      <c r="D2233" t="s">
        <v>676</v>
      </c>
      <c r="E2233">
        <f t="shared" si="98"/>
        <v>1.5625E-2</v>
      </c>
      <c r="F2233">
        <v>20</v>
      </c>
      <c r="G2233">
        <f>LOG(382/(20+1))</f>
        <v>1.2598440681777894</v>
      </c>
      <c r="H2233">
        <f>0.015625*2.90089817088315</f>
        <v>4.532653392004922E-2</v>
      </c>
      <c r="I2233">
        <v>4.5326533920049247E-2</v>
      </c>
    </row>
    <row r="2234" spans="1:9" x14ac:dyDescent="0.25">
      <c r="A2234">
        <v>265</v>
      </c>
      <c r="B2234" t="s">
        <v>1179</v>
      </c>
      <c r="C2234" t="s">
        <v>48</v>
      </c>
      <c r="D2234" t="s">
        <v>36</v>
      </c>
      <c r="E2234">
        <f>3/17</f>
        <v>0.17647058823529413</v>
      </c>
      <c r="F2234">
        <v>58</v>
      </c>
      <c r="G2234">
        <f>LOG(382/(58+1))</f>
        <v>0.81121135126956456</v>
      </c>
      <c r="H2234">
        <f>0.176470588235294*1.86788316470085</f>
        <v>0.32962644082956155</v>
      </c>
      <c r="I2234">
        <v>0.32962644082956277</v>
      </c>
    </row>
    <row r="2235" spans="1:9" x14ac:dyDescent="0.25">
      <c r="A2235">
        <v>265</v>
      </c>
      <c r="B2235" t="s">
        <v>1179</v>
      </c>
      <c r="C2235" t="s">
        <v>48</v>
      </c>
      <c r="D2235" t="s">
        <v>1180</v>
      </c>
      <c r="E2235">
        <f t="shared" ref="E2235:E2248" si="99">1/17</f>
        <v>5.8823529411764705E-2</v>
      </c>
      <c r="F2235">
        <v>3</v>
      </c>
      <c r="G2235">
        <f>LOG(382/(3+1))</f>
        <v>1.9800033715837464</v>
      </c>
      <c r="H2235">
        <f>0.0588235294117647*4.55912624748668</f>
        <v>0.26818389691098116</v>
      </c>
      <c r="I2235">
        <v>0.26818389691098138</v>
      </c>
    </row>
    <row r="2236" spans="1:9" x14ac:dyDescent="0.25">
      <c r="A2236">
        <v>265</v>
      </c>
      <c r="B2236" t="s">
        <v>1179</v>
      </c>
      <c r="C2236" t="s">
        <v>48</v>
      </c>
      <c r="D2236" t="s">
        <v>42</v>
      </c>
      <c r="E2236">
        <f t="shared" si="99"/>
        <v>5.8823529411764705E-2</v>
      </c>
      <c r="F2236">
        <v>251</v>
      </c>
      <c r="G2236">
        <f>LOG(382/(251+1))</f>
        <v>0.18066282213016463</v>
      </c>
      <c r="H2236">
        <f>0.0588235294117647*0.415991521095151</f>
        <v>2.4470089476185349E-2</v>
      </c>
      <c r="I2236">
        <v>2.4470089476185401E-2</v>
      </c>
    </row>
    <row r="2237" spans="1:9" x14ac:dyDescent="0.25">
      <c r="A2237">
        <v>265</v>
      </c>
      <c r="B2237" t="s">
        <v>1179</v>
      </c>
      <c r="C2237" t="s">
        <v>48</v>
      </c>
      <c r="D2237" t="s">
        <v>17</v>
      </c>
      <c r="E2237">
        <f t="shared" si="99"/>
        <v>5.8823529411764705E-2</v>
      </c>
      <c r="F2237">
        <v>169</v>
      </c>
      <c r="G2237">
        <f>LOG(382/(169+1))</f>
        <v>0.3516144415334348</v>
      </c>
      <c r="H2237">
        <f>0.0588235294117647*0.809622171556313</f>
        <v>4.7624833620959581E-2</v>
      </c>
      <c r="I2237">
        <v>4.7624833620959622E-2</v>
      </c>
    </row>
    <row r="2238" spans="1:9" x14ac:dyDescent="0.25">
      <c r="A2238">
        <v>265</v>
      </c>
      <c r="B2238" t="s">
        <v>1179</v>
      </c>
      <c r="C2238" t="s">
        <v>48</v>
      </c>
      <c r="D2238" t="s">
        <v>814</v>
      </c>
      <c r="E2238">
        <f t="shared" si="99"/>
        <v>5.8823529411764705E-2</v>
      </c>
      <c r="F2238">
        <v>18</v>
      </c>
      <c r="G2238">
        <f>LOG(382/(18+1))</f>
        <v>1.3033097619588798</v>
      </c>
      <c r="H2238">
        <f>0.0588235294117647*3.00098162944013</f>
        <v>0.17652833114353705</v>
      </c>
      <c r="I2238">
        <v>0.1765283311435373</v>
      </c>
    </row>
    <row r="2239" spans="1:9" x14ac:dyDescent="0.25">
      <c r="A2239">
        <v>265</v>
      </c>
      <c r="B2239" t="s">
        <v>1179</v>
      </c>
      <c r="C2239" t="s">
        <v>48</v>
      </c>
      <c r="D2239" t="s">
        <v>514</v>
      </c>
      <c r="E2239">
        <f t="shared" si="99"/>
        <v>5.8823529411764705E-2</v>
      </c>
      <c r="F2239">
        <v>6</v>
      </c>
      <c r="G2239">
        <f>LOG(382/(6+1))</f>
        <v>1.736965322897452</v>
      </c>
      <c r="H2239">
        <f>0.0588235294117647*3.99951045955126</f>
        <v>0.23526532115007409</v>
      </c>
      <c r="I2239">
        <v>0.2352653211500742</v>
      </c>
    </row>
    <row r="2240" spans="1:9" x14ac:dyDescent="0.25">
      <c r="A2240">
        <v>265</v>
      </c>
      <c r="B2240" t="s">
        <v>1179</v>
      </c>
      <c r="C2240" t="s">
        <v>48</v>
      </c>
      <c r="D2240" t="s">
        <v>19</v>
      </c>
      <c r="E2240">
        <f t="shared" si="99"/>
        <v>5.8823529411764705E-2</v>
      </c>
      <c r="F2240">
        <v>220</v>
      </c>
      <c r="G2240">
        <f>LOG(382/(220+1))</f>
        <v>0.23767108922659805</v>
      </c>
      <c r="H2240">
        <f>0.0588235294117647*0.547257907088822</f>
        <v>3.2191641593460114E-2</v>
      </c>
      <c r="I2240">
        <v>3.2191641593460142E-2</v>
      </c>
    </row>
    <row r="2241" spans="1:9" x14ac:dyDescent="0.25">
      <c r="A2241">
        <v>265</v>
      </c>
      <c r="B2241" t="s">
        <v>1179</v>
      </c>
      <c r="C2241" t="s">
        <v>48</v>
      </c>
      <c r="D2241" t="s">
        <v>195</v>
      </c>
      <c r="E2241">
        <f t="shared" si="99"/>
        <v>5.8823529411764705E-2</v>
      </c>
      <c r="F2241">
        <v>55</v>
      </c>
      <c r="G2241">
        <f>LOG(382/(55+1))</f>
        <v>0.83387533590550833</v>
      </c>
      <c r="H2241">
        <f>0.0588235294117647*1.92006891787142</f>
        <v>0.1129452304630247</v>
      </c>
      <c r="I2241">
        <v>0.112945230463025</v>
      </c>
    </row>
    <row r="2242" spans="1:9" x14ac:dyDescent="0.25">
      <c r="A2242">
        <v>265</v>
      </c>
      <c r="B2242" t="s">
        <v>1179</v>
      </c>
      <c r="C2242" t="s">
        <v>48</v>
      </c>
      <c r="D2242" t="s">
        <v>22</v>
      </c>
      <c r="E2242">
        <f t="shared" si="99"/>
        <v>5.8823529411764705E-2</v>
      </c>
      <c r="F2242">
        <v>259</v>
      </c>
      <c r="G2242">
        <f>LOG(382/(259+1))</f>
        <v>0.16709001494089079</v>
      </c>
      <c r="H2242">
        <f>0.0588235294117647*0.384738977591047</f>
        <v>2.2631704564179234E-2</v>
      </c>
      <c r="I2242">
        <v>2.2631704564179261E-2</v>
      </c>
    </row>
    <row r="2243" spans="1:9" x14ac:dyDescent="0.25">
      <c r="A2243">
        <v>265</v>
      </c>
      <c r="B2243" t="s">
        <v>1179</v>
      </c>
      <c r="C2243" t="s">
        <v>48</v>
      </c>
      <c r="D2243" t="s">
        <v>23</v>
      </c>
      <c r="E2243">
        <f t="shared" si="99"/>
        <v>5.8823529411764705E-2</v>
      </c>
      <c r="F2243">
        <v>275</v>
      </c>
      <c r="G2243">
        <f>LOG(382/(275+1))</f>
        <v>0.14115428084649101</v>
      </c>
      <c r="H2243">
        <f>0.0588235294117647*0.325019742889425</f>
        <v>1.9118808405260292E-2</v>
      </c>
      <c r="I2243">
        <v>1.9118808405260299E-2</v>
      </c>
    </row>
    <row r="2244" spans="1:9" x14ac:dyDescent="0.25">
      <c r="A2244">
        <v>265</v>
      </c>
      <c r="B2244" t="s">
        <v>1179</v>
      </c>
      <c r="C2244" t="s">
        <v>48</v>
      </c>
      <c r="D2244" t="s">
        <v>105</v>
      </c>
      <c r="E2244">
        <f t="shared" si="99"/>
        <v>5.8823529411764705E-2</v>
      </c>
      <c r="F2244">
        <v>122</v>
      </c>
      <c r="G2244">
        <f>LOG(382/(122+1))</f>
        <v>0.49215825147231079</v>
      </c>
      <c r="H2244">
        <f>0.0588235294117647*1.13323625323415</f>
        <v>6.6660956072597047E-2</v>
      </c>
      <c r="I2244">
        <v>6.6660956072597505E-2</v>
      </c>
    </row>
    <row r="2245" spans="1:9" x14ac:dyDescent="0.25">
      <c r="A2245">
        <v>265</v>
      </c>
      <c r="B2245" t="s">
        <v>1179</v>
      </c>
      <c r="C2245" t="s">
        <v>48</v>
      </c>
      <c r="D2245" t="s">
        <v>209</v>
      </c>
      <c r="E2245">
        <f t="shared" si="99"/>
        <v>5.8823529411764705E-2</v>
      </c>
      <c r="F2245">
        <v>7</v>
      </c>
      <c r="G2245">
        <f>LOG(382/(7+1))</f>
        <v>1.6789733759197651</v>
      </c>
      <c r="H2245">
        <f>0.0588235294117647*3.86597906692673</f>
        <v>0.22741053334863115</v>
      </c>
      <c r="I2245">
        <v>0.2274105333486317</v>
      </c>
    </row>
    <row r="2246" spans="1:9" x14ac:dyDescent="0.25">
      <c r="A2246">
        <v>265</v>
      </c>
      <c r="B2246" t="s">
        <v>1179</v>
      </c>
      <c r="C2246" t="s">
        <v>48</v>
      </c>
      <c r="D2246" t="s">
        <v>1181</v>
      </c>
      <c r="E2246">
        <f t="shared" si="99"/>
        <v>5.8823529411764705E-2</v>
      </c>
      <c r="F2246">
        <v>11</v>
      </c>
      <c r="G2246">
        <f>LOG(382/(11+1))</f>
        <v>1.5028821168640838</v>
      </c>
      <c r="H2246">
        <f>0.0588235294117647*3.46051395881857</f>
        <v>0.20355964463638646</v>
      </c>
      <c r="I2246">
        <v>0.20355964463638679</v>
      </c>
    </row>
    <row r="2247" spans="1:9" x14ac:dyDescent="0.25">
      <c r="A2247">
        <v>265</v>
      </c>
      <c r="B2247" t="s">
        <v>1179</v>
      </c>
      <c r="C2247" t="s">
        <v>48</v>
      </c>
      <c r="D2247" t="s">
        <v>1182</v>
      </c>
      <c r="E2247">
        <f t="shared" si="99"/>
        <v>5.8823529411764705E-2</v>
      </c>
      <c r="F2247">
        <v>3</v>
      </c>
      <c r="G2247">
        <f>LOG(382/(3+1))</f>
        <v>1.9800033715837464</v>
      </c>
      <c r="H2247">
        <f>0.0588235294117647*4.55912624748668</f>
        <v>0.26818389691098116</v>
      </c>
      <c r="I2247">
        <v>0.26818389691098138</v>
      </c>
    </row>
    <row r="2248" spans="1:9" x14ac:dyDescent="0.25">
      <c r="A2248">
        <v>265</v>
      </c>
      <c r="B2248" t="s">
        <v>1179</v>
      </c>
      <c r="C2248" t="s">
        <v>48</v>
      </c>
      <c r="D2248" t="s">
        <v>236</v>
      </c>
      <c r="E2248">
        <f t="shared" si="99"/>
        <v>5.8823529411764705E-2</v>
      </c>
      <c r="F2248">
        <v>87</v>
      </c>
      <c r="G2248">
        <f>LOG(382/(87+1))</f>
        <v>0.63758069076154011</v>
      </c>
      <c r="H2248">
        <f>0.0588235294117647*1.46808379412836</f>
        <v>8.6357870242844692E-2</v>
      </c>
      <c r="I2248">
        <v>8.6357870242845219E-2</v>
      </c>
    </row>
    <row r="2249" spans="1:9" x14ac:dyDescent="0.25">
      <c r="A2249">
        <v>266</v>
      </c>
      <c r="B2249" t="s">
        <v>1183</v>
      </c>
      <c r="C2249" t="s">
        <v>48</v>
      </c>
      <c r="D2249" t="s">
        <v>244</v>
      </c>
      <c r="E2249">
        <f>9/88</f>
        <v>0.10227272727272728</v>
      </c>
      <c r="F2249">
        <v>8</v>
      </c>
      <c r="G2249">
        <f>LOG(382/(8+1))</f>
        <v>1.6278208534723839</v>
      </c>
      <c r="H2249">
        <f>0.102272727272727*3.74819603127035</f>
        <v>0.38333823047083021</v>
      </c>
      <c r="I2249">
        <v>0.38333823047083188</v>
      </c>
    </row>
    <row r="2250" spans="1:9" x14ac:dyDescent="0.25">
      <c r="A2250">
        <v>266</v>
      </c>
      <c r="B2250" t="s">
        <v>1183</v>
      </c>
      <c r="C2250" t="s">
        <v>48</v>
      </c>
      <c r="D2250" t="s">
        <v>245</v>
      </c>
      <c r="E2250">
        <f>6/88</f>
        <v>6.8181818181818177E-2</v>
      </c>
      <c r="F2250">
        <v>11</v>
      </c>
      <c r="G2250">
        <f>LOG(382/(11+1))</f>
        <v>1.5028821168640838</v>
      </c>
      <c r="H2250">
        <f>0.0681818181818181*3.46051395881857</f>
        <v>0.23594413355581129</v>
      </c>
      <c r="I2250">
        <v>0.2359441335558119</v>
      </c>
    </row>
    <row r="2251" spans="1:9" x14ac:dyDescent="0.25">
      <c r="A2251">
        <v>266</v>
      </c>
      <c r="B2251" t="s">
        <v>1183</v>
      </c>
      <c r="C2251" t="s">
        <v>48</v>
      </c>
      <c r="D2251" t="s">
        <v>41</v>
      </c>
      <c r="E2251">
        <f>5/88</f>
        <v>5.6818181818181816E-2</v>
      </c>
      <c r="F2251">
        <v>195</v>
      </c>
      <c r="G2251">
        <f>LOG(382/(195+1))</f>
        <v>0.28980729155523272</v>
      </c>
      <c r="H2251">
        <f>0.0568181818181818*0.667305949376058</f>
        <v>3.7915110760003284E-2</v>
      </c>
      <c r="I2251">
        <v>3.7915110760003298E-2</v>
      </c>
    </row>
    <row r="2252" spans="1:9" x14ac:dyDescent="0.25">
      <c r="A2252">
        <v>266</v>
      </c>
      <c r="B2252" t="s">
        <v>1183</v>
      </c>
      <c r="C2252" t="s">
        <v>48</v>
      </c>
      <c r="D2252" t="s">
        <v>183</v>
      </c>
      <c r="E2252">
        <f>7/88</f>
        <v>7.9545454545454544E-2</v>
      </c>
      <c r="F2252">
        <v>46</v>
      </c>
      <c r="G2252">
        <f>LOG(382/(46+1))</f>
        <v>0.90996550497599127</v>
      </c>
      <c r="H2252">
        <f>0.0795454545454545*2.09527300689651</f>
        <v>0.16666944373040413</v>
      </c>
      <c r="I2252">
        <v>0.16666944373040471</v>
      </c>
    </row>
    <row r="2253" spans="1:9" x14ac:dyDescent="0.25">
      <c r="A2253">
        <v>266</v>
      </c>
      <c r="B2253" t="s">
        <v>1183</v>
      </c>
      <c r="C2253" t="s">
        <v>48</v>
      </c>
      <c r="D2253" t="s">
        <v>465</v>
      </c>
      <c r="E2253">
        <f>1/88</f>
        <v>1.1363636363636364E-2</v>
      </c>
      <c r="F2253">
        <v>36</v>
      </c>
      <c r="G2253">
        <f>LOG(382/(36+1))</f>
        <v>1.0138616388447137</v>
      </c>
      <c r="H2253">
        <f>0.0113636363636363*2.33450269596235</f>
        <v>2.6528439726844738E-2</v>
      </c>
      <c r="I2253">
        <v>2.6528439726844901E-2</v>
      </c>
    </row>
    <row r="2254" spans="1:9" x14ac:dyDescent="0.25">
      <c r="A2254">
        <v>266</v>
      </c>
      <c r="B2254" t="s">
        <v>1183</v>
      </c>
      <c r="C2254" t="s">
        <v>48</v>
      </c>
      <c r="D2254" t="s">
        <v>699</v>
      </c>
      <c r="E2254">
        <f>3/88</f>
        <v>3.4090909090909088E-2</v>
      </c>
      <c r="F2254">
        <v>4</v>
      </c>
      <c r="G2254">
        <f>LOG(382/(4+1))</f>
        <v>1.8830933585756899</v>
      </c>
      <c r="H2254">
        <f>0.034090909090909*4.33598269617247</f>
        <v>0.14781759191497018</v>
      </c>
      <c r="I2254">
        <v>0.14781759191497071</v>
      </c>
    </row>
    <row r="2255" spans="1:9" x14ac:dyDescent="0.25">
      <c r="A2255">
        <v>266</v>
      </c>
      <c r="B2255" t="s">
        <v>1183</v>
      </c>
      <c r="C2255" t="s">
        <v>48</v>
      </c>
      <c r="D2255" t="s">
        <v>848</v>
      </c>
      <c r="E2255">
        <f t="shared" ref="E2255:E2262" si="100">1/88</f>
        <v>1.1363636363636364E-2</v>
      </c>
      <c r="F2255">
        <v>6</v>
      </c>
      <c r="G2255">
        <f>LOG(382/(6+1))</f>
        <v>1.736965322897452</v>
      </c>
      <c r="H2255">
        <f>0.0113636363636363*3.99951045955126</f>
        <v>4.5448982494900425E-2</v>
      </c>
      <c r="I2255">
        <v>4.5448982494900703E-2</v>
      </c>
    </row>
    <row r="2256" spans="1:9" x14ac:dyDescent="0.25">
      <c r="A2256">
        <v>266</v>
      </c>
      <c r="B2256" t="s">
        <v>1183</v>
      </c>
      <c r="C2256" t="s">
        <v>48</v>
      </c>
      <c r="D2256" t="s">
        <v>1090</v>
      </c>
      <c r="E2256">
        <f t="shared" si="100"/>
        <v>1.1363636363636364E-2</v>
      </c>
      <c r="F2256">
        <v>4</v>
      </c>
      <c r="G2256">
        <f>LOG(382/(4+1))</f>
        <v>1.8830933585756899</v>
      </c>
      <c r="H2256">
        <f>0.0113636363636363*4.33598269617247</f>
        <v>4.927253063832325E-2</v>
      </c>
      <c r="I2256">
        <v>4.9272530638323583E-2</v>
      </c>
    </row>
    <row r="2257" spans="1:9" x14ac:dyDescent="0.25">
      <c r="A2257">
        <v>266</v>
      </c>
      <c r="B2257" t="s">
        <v>1183</v>
      </c>
      <c r="C2257" t="s">
        <v>48</v>
      </c>
      <c r="D2257" t="s">
        <v>234</v>
      </c>
      <c r="E2257">
        <f t="shared" si="100"/>
        <v>1.1363636363636364E-2</v>
      </c>
      <c r="F2257">
        <v>6</v>
      </c>
      <c r="G2257">
        <f>LOG(382/(6+1))</f>
        <v>1.736965322897452</v>
      </c>
      <c r="H2257">
        <f>0.0113636363636363*3.99951045955126</f>
        <v>4.5448982494900425E-2</v>
      </c>
      <c r="I2257">
        <v>4.5448982494900703E-2</v>
      </c>
    </row>
    <row r="2258" spans="1:9" x14ac:dyDescent="0.25">
      <c r="A2258">
        <v>266</v>
      </c>
      <c r="B2258" t="s">
        <v>1183</v>
      </c>
      <c r="C2258" t="s">
        <v>48</v>
      </c>
      <c r="D2258" t="s">
        <v>42</v>
      </c>
      <c r="E2258">
        <f t="shared" si="100"/>
        <v>1.1363636363636364E-2</v>
      </c>
      <c r="F2258">
        <v>251</v>
      </c>
      <c r="G2258">
        <f>LOG(382/(251+1))</f>
        <v>0.18066282213016463</v>
      </c>
      <c r="H2258">
        <f>0.0113636363636363*0.415991521095151</f>
        <v>4.7271763760812343E-3</v>
      </c>
      <c r="I2258">
        <v>4.7271763760812716E-3</v>
      </c>
    </row>
    <row r="2259" spans="1:9" x14ac:dyDescent="0.25">
      <c r="A2259">
        <v>266</v>
      </c>
      <c r="B2259" t="s">
        <v>1183</v>
      </c>
      <c r="C2259" t="s">
        <v>48</v>
      </c>
      <c r="D2259" t="s">
        <v>19</v>
      </c>
      <c r="E2259">
        <f t="shared" si="100"/>
        <v>1.1363636363636364E-2</v>
      </c>
      <c r="F2259">
        <v>220</v>
      </c>
      <c r="G2259">
        <f>LOG(382/(220+1))</f>
        <v>0.23767108922659805</v>
      </c>
      <c r="H2259">
        <f>0.0113636363636363*0.547257907088822</f>
        <v>6.2188398532820339E-3</v>
      </c>
      <c r="I2259">
        <v>6.2188398532820729E-3</v>
      </c>
    </row>
    <row r="2260" spans="1:9" x14ac:dyDescent="0.25">
      <c r="A2260">
        <v>266</v>
      </c>
      <c r="B2260" t="s">
        <v>1183</v>
      </c>
      <c r="C2260" t="s">
        <v>48</v>
      </c>
      <c r="D2260" t="s">
        <v>44</v>
      </c>
      <c r="E2260">
        <f t="shared" si="100"/>
        <v>1.1363636363636364E-2</v>
      </c>
      <c r="F2260">
        <v>151</v>
      </c>
      <c r="G2260">
        <f>LOG(382/(151+1))</f>
        <v>0.40021977496693617</v>
      </c>
      <c r="H2260">
        <f>0.0113636363636363*0.921540087760298</f>
        <v>1.047204645182151E-2</v>
      </c>
      <c r="I2260">
        <v>1.0472046451821581E-2</v>
      </c>
    </row>
    <row r="2261" spans="1:9" x14ac:dyDescent="0.25">
      <c r="A2261">
        <v>266</v>
      </c>
      <c r="B2261" t="s">
        <v>1183</v>
      </c>
      <c r="C2261" t="s">
        <v>48</v>
      </c>
      <c r="D2261" t="s">
        <v>22</v>
      </c>
      <c r="E2261">
        <f t="shared" si="100"/>
        <v>1.1363636363636364E-2</v>
      </c>
      <c r="F2261">
        <v>259</v>
      </c>
      <c r="G2261">
        <f>LOG(382/(259+1))</f>
        <v>0.16709001494089079</v>
      </c>
      <c r="H2261">
        <f>0.0113636363636363*0.384738977591047</f>
        <v>4.3720338362618731E-3</v>
      </c>
      <c r="I2261">
        <v>4.3720338362619026E-3</v>
      </c>
    </row>
    <row r="2262" spans="1:9" x14ac:dyDescent="0.25">
      <c r="A2262">
        <v>266</v>
      </c>
      <c r="B2262" t="s">
        <v>1183</v>
      </c>
      <c r="C2262" t="s">
        <v>48</v>
      </c>
      <c r="D2262" t="s">
        <v>23</v>
      </c>
      <c r="E2262">
        <f t="shared" si="100"/>
        <v>1.1363636363636364E-2</v>
      </c>
      <c r="F2262">
        <v>275</v>
      </c>
      <c r="G2262">
        <f>LOG(382/(275+1))</f>
        <v>0.14115428084649101</v>
      </c>
      <c r="H2262">
        <f>0.0113636363636363*0.325019742889425</f>
        <v>3.6934061691979905E-3</v>
      </c>
      <c r="I2262">
        <v>3.693406169198013E-3</v>
      </c>
    </row>
    <row r="2263" spans="1:9" x14ac:dyDescent="0.25">
      <c r="A2263">
        <v>266</v>
      </c>
      <c r="B2263" t="s">
        <v>1183</v>
      </c>
      <c r="C2263" t="s">
        <v>48</v>
      </c>
      <c r="D2263" t="s">
        <v>25</v>
      </c>
      <c r="E2263">
        <f>6/88</f>
        <v>6.8181818181818177E-2</v>
      </c>
      <c r="F2263">
        <v>106</v>
      </c>
      <c r="G2263">
        <f>LOG(382/(106+1))</f>
        <v>0.55267958522649907</v>
      </c>
      <c r="H2263">
        <f>0.0681818181818181*1.27259177414466</f>
        <v>8.6767620964408515E-2</v>
      </c>
      <c r="I2263">
        <v>8.6767620964409251E-2</v>
      </c>
    </row>
    <row r="2264" spans="1:9" x14ac:dyDescent="0.25">
      <c r="A2264">
        <v>266</v>
      </c>
      <c r="B2264" t="s">
        <v>1183</v>
      </c>
      <c r="C2264" t="s">
        <v>48</v>
      </c>
      <c r="D2264" t="s">
        <v>219</v>
      </c>
      <c r="E2264">
        <f t="shared" ref="E2264:E2275" si="101">1/88</f>
        <v>1.1363636363636364E-2</v>
      </c>
      <c r="F2264">
        <v>19</v>
      </c>
      <c r="G2264">
        <f>LOG(382/(19+1))</f>
        <v>1.2810333672477277</v>
      </c>
      <c r="H2264">
        <f>0.0113636363636363*2.94968833505258</f>
        <v>3.351918562559731E-2</v>
      </c>
      <c r="I2264">
        <v>3.3519185625597553E-2</v>
      </c>
    </row>
    <row r="2265" spans="1:9" x14ac:dyDescent="0.25">
      <c r="A2265">
        <v>266</v>
      </c>
      <c r="B2265" t="s">
        <v>1183</v>
      </c>
      <c r="C2265" t="s">
        <v>48</v>
      </c>
      <c r="D2265" t="s">
        <v>1184</v>
      </c>
      <c r="E2265">
        <f t="shared" si="101"/>
        <v>1.1363636363636364E-2</v>
      </c>
      <c r="F2265">
        <v>1</v>
      </c>
      <c r="G2265">
        <f>LOG(382/(1+1))</f>
        <v>2.2810333672477277</v>
      </c>
      <c r="H2265">
        <f>0.0113636363636363*5.25227342804663</f>
        <v>5.968492531871137E-2</v>
      </c>
      <c r="I2265">
        <v>5.9684925318711703E-2</v>
      </c>
    </row>
    <row r="2266" spans="1:9" x14ac:dyDescent="0.25">
      <c r="A2266">
        <v>266</v>
      </c>
      <c r="B2266" t="s">
        <v>1183</v>
      </c>
      <c r="C2266" t="s">
        <v>48</v>
      </c>
      <c r="D2266" t="s">
        <v>1185</v>
      </c>
      <c r="E2266">
        <f t="shared" si="101"/>
        <v>1.1363636363636364E-2</v>
      </c>
      <c r="F2266">
        <v>9</v>
      </c>
      <c r="G2266">
        <f>LOG(382/(9+1))</f>
        <v>1.5820633629117087</v>
      </c>
      <c r="H2266">
        <f>0.0113636363636363*3.64283551561252</f>
        <v>4.1395858131960221E-2</v>
      </c>
      <c r="I2266">
        <v>4.1395858131960561E-2</v>
      </c>
    </row>
    <row r="2267" spans="1:9" x14ac:dyDescent="0.25">
      <c r="A2267">
        <v>266</v>
      </c>
      <c r="B2267" t="s">
        <v>1183</v>
      </c>
      <c r="C2267" t="s">
        <v>48</v>
      </c>
      <c r="D2267" t="s">
        <v>582</v>
      </c>
      <c r="E2267">
        <f t="shared" si="101"/>
        <v>1.1363636363636364E-2</v>
      </c>
      <c r="F2267">
        <v>14</v>
      </c>
      <c r="G2267">
        <f>LOG(382/(14+1))</f>
        <v>1.4059721038560276</v>
      </c>
      <c r="H2267">
        <f>0.0113636363636363*3.23737040750436</f>
        <v>3.6788300085276608E-2</v>
      </c>
      <c r="I2267">
        <v>3.6788300085276879E-2</v>
      </c>
    </row>
    <row r="2268" spans="1:9" x14ac:dyDescent="0.25">
      <c r="A2268">
        <v>266</v>
      </c>
      <c r="B2268" t="s">
        <v>1183</v>
      </c>
      <c r="C2268" t="s">
        <v>48</v>
      </c>
      <c r="D2268" t="s">
        <v>1095</v>
      </c>
      <c r="E2268">
        <f t="shared" si="101"/>
        <v>1.1363636363636364E-2</v>
      </c>
      <c r="F2268">
        <v>4</v>
      </c>
      <c r="G2268">
        <f>LOG(382/(4+1))</f>
        <v>1.8830933585756899</v>
      </c>
      <c r="H2268">
        <f>0.0113636363636363*4.33598269617247</f>
        <v>4.927253063832325E-2</v>
      </c>
      <c r="I2268">
        <v>4.9272530638323583E-2</v>
      </c>
    </row>
    <row r="2269" spans="1:9" x14ac:dyDescent="0.25">
      <c r="A2269">
        <v>266</v>
      </c>
      <c r="B2269" t="s">
        <v>1183</v>
      </c>
      <c r="C2269" t="s">
        <v>48</v>
      </c>
      <c r="D2269" t="s">
        <v>103</v>
      </c>
      <c r="E2269">
        <f t="shared" si="101"/>
        <v>1.1363636363636364E-2</v>
      </c>
      <c r="F2269">
        <v>38</v>
      </c>
      <c r="G2269">
        <f>LOG(382/(38+1))</f>
        <v>0.99099875588520958</v>
      </c>
      <c r="H2269">
        <f>0.0113636363636363*2.28185896247692</f>
        <v>2.5930215482692129E-2</v>
      </c>
      <c r="I2269">
        <v>2.5930215482692379E-2</v>
      </c>
    </row>
    <row r="2270" spans="1:9" x14ac:dyDescent="0.25">
      <c r="A2270">
        <v>266</v>
      </c>
      <c r="B2270" t="s">
        <v>1183</v>
      </c>
      <c r="C2270" t="s">
        <v>48</v>
      </c>
      <c r="D2270" t="s">
        <v>1186</v>
      </c>
      <c r="E2270">
        <f t="shared" si="101"/>
        <v>1.1363636363636364E-2</v>
      </c>
      <c r="F2270">
        <v>3</v>
      </c>
      <c r="G2270">
        <f>LOG(382/(3+1))</f>
        <v>1.9800033715837464</v>
      </c>
      <c r="H2270">
        <f>0.0113636363636363*4.55912624748668</f>
        <v>5.1808252812348347E-2</v>
      </c>
      <c r="I2270">
        <v>5.1808252812348687E-2</v>
      </c>
    </row>
    <row r="2271" spans="1:9" x14ac:dyDescent="0.25">
      <c r="A2271">
        <v>266</v>
      </c>
      <c r="B2271" t="s">
        <v>1183</v>
      </c>
      <c r="C2271" t="s">
        <v>48</v>
      </c>
      <c r="D2271" t="s">
        <v>458</v>
      </c>
      <c r="E2271">
        <f t="shared" si="101"/>
        <v>1.1363636363636364E-2</v>
      </c>
      <c r="F2271">
        <v>34</v>
      </c>
      <c r="G2271">
        <f>LOG(382/(34+1))</f>
        <v>1.037995318561433</v>
      </c>
      <c r="H2271">
        <f>0.0113636363636363*2.39007254711716</f>
        <v>2.7159915308149391E-2</v>
      </c>
      <c r="I2271">
        <v>2.7159915308149561E-2</v>
      </c>
    </row>
    <row r="2272" spans="1:9" x14ac:dyDescent="0.25">
      <c r="A2272">
        <v>266</v>
      </c>
      <c r="B2272" t="s">
        <v>1183</v>
      </c>
      <c r="C2272" t="s">
        <v>48</v>
      </c>
      <c r="D2272" t="s">
        <v>1187</v>
      </c>
      <c r="E2272">
        <f t="shared" si="101"/>
        <v>1.1363636363636364E-2</v>
      </c>
      <c r="F2272">
        <v>3</v>
      </c>
      <c r="G2272">
        <f>LOG(382/(3+1))</f>
        <v>1.9800033715837464</v>
      </c>
      <c r="H2272">
        <f>0.0113636363636363*4.55912624748668</f>
        <v>5.1808252812348347E-2</v>
      </c>
      <c r="I2272">
        <v>5.1808252812348687E-2</v>
      </c>
    </row>
    <row r="2273" spans="1:9" x14ac:dyDescent="0.25">
      <c r="A2273">
        <v>266</v>
      </c>
      <c r="B2273" t="s">
        <v>1183</v>
      </c>
      <c r="C2273" t="s">
        <v>48</v>
      </c>
      <c r="D2273" t="s">
        <v>112</v>
      </c>
      <c r="E2273">
        <f t="shared" si="101"/>
        <v>1.1363636363636364E-2</v>
      </c>
      <c r="F2273">
        <v>52</v>
      </c>
      <c r="G2273">
        <f>LOG(382/(52+1))</f>
        <v>0.85778749331091964</v>
      </c>
      <c r="H2273">
        <f>0.0113636363636363*1.97512869505445</f>
        <v>2.2444644261982259E-2</v>
      </c>
      <c r="I2273">
        <v>2.2444644261982429E-2</v>
      </c>
    </row>
    <row r="2274" spans="1:9" x14ac:dyDescent="0.25">
      <c r="A2274">
        <v>266</v>
      </c>
      <c r="B2274" t="s">
        <v>1183</v>
      </c>
      <c r="C2274" t="s">
        <v>48</v>
      </c>
      <c r="D2274" t="s">
        <v>54</v>
      </c>
      <c r="E2274">
        <f t="shared" si="101"/>
        <v>1.1363636363636364E-2</v>
      </c>
      <c r="F2274">
        <v>25</v>
      </c>
      <c r="G2274">
        <f>LOG(382/(25+1))</f>
        <v>1.1670900149408907</v>
      </c>
      <c r="H2274">
        <f>0.0113636363636363*2.68732407058509</f>
        <v>3.0537773529375853E-2</v>
      </c>
      <c r="I2274">
        <v>3.0537773529376061E-2</v>
      </c>
    </row>
    <row r="2275" spans="1:9" x14ac:dyDescent="0.25">
      <c r="A2275">
        <v>266</v>
      </c>
      <c r="B2275" t="s">
        <v>1183</v>
      </c>
      <c r="C2275" t="s">
        <v>48</v>
      </c>
      <c r="D2275" t="s">
        <v>50</v>
      </c>
      <c r="E2275">
        <f t="shared" si="101"/>
        <v>1.1363636363636364E-2</v>
      </c>
      <c r="F2275">
        <v>109</v>
      </c>
      <c r="G2275">
        <f>LOG(382/(109+1))</f>
        <v>0.54067067775348365</v>
      </c>
      <c r="H2275">
        <f>0.0113636363636363*1.24494024281415</f>
        <v>1.414704821379708E-2</v>
      </c>
      <c r="I2275">
        <v>1.414704821379726E-2</v>
      </c>
    </row>
    <row r="2276" spans="1:9" x14ac:dyDescent="0.25">
      <c r="A2276">
        <v>266</v>
      </c>
      <c r="B2276" t="s">
        <v>1183</v>
      </c>
      <c r="C2276" t="s">
        <v>48</v>
      </c>
      <c r="D2276" t="s">
        <v>624</v>
      </c>
      <c r="E2276">
        <f>2/88</f>
        <v>2.2727272727272728E-2</v>
      </c>
      <c r="F2276">
        <v>5</v>
      </c>
      <c r="G2276">
        <f>LOG(382/(5+1))</f>
        <v>1.803912112528065</v>
      </c>
      <c r="H2276">
        <f>0.0227272727272727*4.15366113937852</f>
        <v>9.4401389531329885E-2</v>
      </c>
      <c r="I2276">
        <v>9.4401389531329996E-2</v>
      </c>
    </row>
    <row r="2277" spans="1:9" x14ac:dyDescent="0.25">
      <c r="A2277">
        <v>266</v>
      </c>
      <c r="B2277" t="s">
        <v>1183</v>
      </c>
      <c r="C2277" t="s">
        <v>48</v>
      </c>
      <c r="D2277" t="s">
        <v>701</v>
      </c>
      <c r="E2277">
        <f>2/88</f>
        <v>2.2727272727272728E-2</v>
      </c>
      <c r="F2277">
        <v>3</v>
      </c>
      <c r="G2277">
        <f>LOG(382/(3+1))</f>
        <v>1.9800033715837464</v>
      </c>
      <c r="H2277">
        <f>0.0227272727272727*4.55912624748668</f>
        <v>0.10361650562469715</v>
      </c>
      <c r="I2277">
        <v>0.1036165056246974</v>
      </c>
    </row>
    <row r="2278" spans="1:9" x14ac:dyDescent="0.25">
      <c r="A2278">
        <v>266</v>
      </c>
      <c r="B2278" t="s">
        <v>1183</v>
      </c>
      <c r="C2278" t="s">
        <v>48</v>
      </c>
      <c r="D2278" t="s">
        <v>53</v>
      </c>
      <c r="E2278">
        <f>2/88</f>
        <v>2.2727272727272728E-2</v>
      </c>
      <c r="F2278">
        <v>57</v>
      </c>
      <c r="G2278">
        <f>LOG(382/(57+1))</f>
        <v>0.81863536934877146</v>
      </c>
      <c r="H2278">
        <f>0.0227272727272727*1.88497759806015</f>
        <v>4.2840399955912448E-2</v>
      </c>
      <c r="I2278">
        <v>4.2840399955912628E-2</v>
      </c>
    </row>
    <row r="2279" spans="1:9" x14ac:dyDescent="0.25">
      <c r="A2279">
        <v>266</v>
      </c>
      <c r="B2279" t="s">
        <v>1183</v>
      </c>
      <c r="C2279" t="s">
        <v>48</v>
      </c>
      <c r="D2279" t="s">
        <v>59</v>
      </c>
      <c r="E2279">
        <f>1/88</f>
        <v>1.1363636363636364E-2</v>
      </c>
      <c r="F2279">
        <v>13</v>
      </c>
      <c r="G2279">
        <f>LOG(382/(13+1))</f>
        <v>1.4359353272334707</v>
      </c>
      <c r="H2279">
        <f>0.0113636363636363*3.30636327899131</f>
        <v>3.7572309988537403E-2</v>
      </c>
      <c r="I2279">
        <v>3.7572309988537687E-2</v>
      </c>
    </row>
    <row r="2280" spans="1:9" x14ac:dyDescent="0.25">
      <c r="A2280">
        <v>266</v>
      </c>
      <c r="B2280" t="s">
        <v>1183</v>
      </c>
      <c r="C2280" t="s">
        <v>48</v>
      </c>
      <c r="D2280" t="s">
        <v>197</v>
      </c>
      <c r="E2280">
        <f>1/88</f>
        <v>1.1363636363636364E-2</v>
      </c>
      <c r="F2280">
        <v>18</v>
      </c>
      <c r="G2280">
        <f>LOG(382/(18+1))</f>
        <v>1.3033097619588798</v>
      </c>
      <c r="H2280">
        <f>0.0113636363636363*3.00098162944013</f>
        <v>3.4102063970910375E-2</v>
      </c>
      <c r="I2280">
        <v>3.4102063970910618E-2</v>
      </c>
    </row>
    <row r="2281" spans="1:9" x14ac:dyDescent="0.25">
      <c r="A2281">
        <v>266</v>
      </c>
      <c r="B2281" t="s">
        <v>1183</v>
      </c>
      <c r="C2281" t="s">
        <v>48</v>
      </c>
      <c r="D2281" t="s">
        <v>331</v>
      </c>
      <c r="E2281">
        <f>1/88</f>
        <v>1.1363636363636364E-2</v>
      </c>
      <c r="F2281">
        <v>130</v>
      </c>
      <c r="G2281">
        <f>LOG(382/(130+1))</f>
        <v>0.46479206725594452</v>
      </c>
      <c r="H2281">
        <f>0.0113636363636363*1.07022328540542</f>
        <v>1.2161628243243343E-2</v>
      </c>
      <c r="I2281">
        <v>1.216162824324345E-2</v>
      </c>
    </row>
    <row r="2282" spans="1:9" x14ac:dyDescent="0.25">
      <c r="A2282">
        <v>266</v>
      </c>
      <c r="B2282" t="s">
        <v>1183</v>
      </c>
      <c r="C2282" t="s">
        <v>48</v>
      </c>
      <c r="D2282" t="s">
        <v>198</v>
      </c>
      <c r="E2282">
        <f>1/88</f>
        <v>1.1363636363636364E-2</v>
      </c>
      <c r="F2282">
        <v>11</v>
      </c>
      <c r="G2282">
        <f>LOG(382/(11+1))</f>
        <v>1.5028821168640838</v>
      </c>
      <c r="H2282">
        <f>0.0113636363636363*3.46051395881857</f>
        <v>3.9324022259301712E-2</v>
      </c>
      <c r="I2282">
        <v>3.932402225930199E-2</v>
      </c>
    </row>
    <row r="2283" spans="1:9" x14ac:dyDescent="0.25">
      <c r="A2283">
        <v>266</v>
      </c>
      <c r="B2283" t="s">
        <v>1183</v>
      </c>
      <c r="C2283" t="s">
        <v>48</v>
      </c>
      <c r="D2283" t="s">
        <v>568</v>
      </c>
      <c r="E2283">
        <f>2/88</f>
        <v>2.2727272727272728E-2</v>
      </c>
      <c r="F2283">
        <v>4</v>
      </c>
      <c r="G2283">
        <f>LOG(382/(4+1))</f>
        <v>1.8830933585756899</v>
      </c>
      <c r="H2283">
        <f>0.0227272727272727*4.33598269617247</f>
        <v>9.8545061276646931E-2</v>
      </c>
      <c r="I2283">
        <v>9.8545061276647153E-2</v>
      </c>
    </row>
    <row r="2284" spans="1:9" x14ac:dyDescent="0.25">
      <c r="A2284">
        <v>266</v>
      </c>
      <c r="B2284" t="s">
        <v>1183</v>
      </c>
      <c r="C2284" t="s">
        <v>48</v>
      </c>
      <c r="D2284" t="s">
        <v>608</v>
      </c>
      <c r="E2284">
        <f t="shared" ref="E2284:E2302" si="102">1/88</f>
        <v>1.1363636363636364E-2</v>
      </c>
      <c r="F2284">
        <v>4</v>
      </c>
      <c r="G2284">
        <f>LOG(382/(4+1))</f>
        <v>1.8830933585756899</v>
      </c>
      <c r="H2284">
        <f>0.0113636363636363*4.33598269617247</f>
        <v>4.927253063832325E-2</v>
      </c>
      <c r="I2284">
        <v>4.9272530638323583E-2</v>
      </c>
    </row>
    <row r="2285" spans="1:9" x14ac:dyDescent="0.25">
      <c r="A2285">
        <v>266</v>
      </c>
      <c r="B2285" t="s">
        <v>1183</v>
      </c>
      <c r="C2285" t="s">
        <v>48</v>
      </c>
      <c r="D2285" t="s">
        <v>1188</v>
      </c>
      <c r="E2285">
        <f t="shared" si="102"/>
        <v>1.1363636363636364E-2</v>
      </c>
      <c r="F2285">
        <v>4</v>
      </c>
      <c r="G2285">
        <f>LOG(382/(4+1))</f>
        <v>1.8830933585756899</v>
      </c>
      <c r="H2285">
        <f>0.0113636363636363*4.33598269617247</f>
        <v>4.927253063832325E-2</v>
      </c>
      <c r="I2285">
        <v>4.9272530638323583E-2</v>
      </c>
    </row>
    <row r="2286" spans="1:9" x14ac:dyDescent="0.25">
      <c r="A2286">
        <v>266</v>
      </c>
      <c r="B2286" t="s">
        <v>1183</v>
      </c>
      <c r="C2286" t="s">
        <v>48</v>
      </c>
      <c r="D2286" t="s">
        <v>1189</v>
      </c>
      <c r="E2286">
        <f t="shared" si="102"/>
        <v>1.1363636363636364E-2</v>
      </c>
      <c r="F2286">
        <v>3</v>
      </c>
      <c r="G2286">
        <f>LOG(382/(3+1))</f>
        <v>1.9800033715837464</v>
      </c>
      <c r="H2286">
        <f>0.0113636363636363*4.55912624748668</f>
        <v>5.1808252812348347E-2</v>
      </c>
      <c r="I2286">
        <v>5.1808252812348687E-2</v>
      </c>
    </row>
    <row r="2287" spans="1:9" x14ac:dyDescent="0.25">
      <c r="A2287">
        <v>266</v>
      </c>
      <c r="B2287" t="s">
        <v>1183</v>
      </c>
      <c r="C2287" t="s">
        <v>48</v>
      </c>
      <c r="D2287" t="s">
        <v>1190</v>
      </c>
      <c r="E2287">
        <f t="shared" si="102"/>
        <v>1.1363636363636364E-2</v>
      </c>
      <c r="F2287">
        <v>1</v>
      </c>
      <c r="G2287">
        <f>LOG(382/(1+1))</f>
        <v>2.2810333672477277</v>
      </c>
      <c r="H2287">
        <f>0.0113636363636363*5.25227342804663</f>
        <v>5.968492531871137E-2</v>
      </c>
      <c r="I2287">
        <v>5.9684925318711703E-2</v>
      </c>
    </row>
    <row r="2288" spans="1:9" x14ac:dyDescent="0.25">
      <c r="A2288">
        <v>266</v>
      </c>
      <c r="B2288" t="s">
        <v>1183</v>
      </c>
      <c r="C2288" t="s">
        <v>48</v>
      </c>
      <c r="D2288" t="s">
        <v>131</v>
      </c>
      <c r="E2288">
        <f t="shared" si="102"/>
        <v>1.1363636363636364E-2</v>
      </c>
      <c r="F2288">
        <v>38</v>
      </c>
      <c r="G2288">
        <f>LOG(382/(38+1))</f>
        <v>0.99099875588520958</v>
      </c>
      <c r="H2288">
        <f>0.0113636363636363*2.28185896247692</f>
        <v>2.5930215482692129E-2</v>
      </c>
      <c r="I2288">
        <v>2.5930215482692379E-2</v>
      </c>
    </row>
    <row r="2289" spans="1:9" x14ac:dyDescent="0.25">
      <c r="A2289">
        <v>266</v>
      </c>
      <c r="B2289" t="s">
        <v>1183</v>
      </c>
      <c r="C2289" t="s">
        <v>48</v>
      </c>
      <c r="D2289" t="s">
        <v>1191</v>
      </c>
      <c r="E2289">
        <f t="shared" si="102"/>
        <v>1.1363636363636364E-2</v>
      </c>
      <c r="F2289">
        <v>4</v>
      </c>
      <c r="G2289">
        <f>LOG(382/(4+1))</f>
        <v>1.8830933585756899</v>
      </c>
      <c r="H2289">
        <f>0.0113636363636363*4.33598269617247</f>
        <v>4.927253063832325E-2</v>
      </c>
      <c r="I2289">
        <v>4.9272530638323583E-2</v>
      </c>
    </row>
    <row r="2290" spans="1:9" x14ac:dyDescent="0.25">
      <c r="A2290">
        <v>266</v>
      </c>
      <c r="B2290" t="s">
        <v>1183</v>
      </c>
      <c r="C2290" t="s">
        <v>48</v>
      </c>
      <c r="D2290" t="s">
        <v>1192</v>
      </c>
      <c r="E2290">
        <f t="shared" si="102"/>
        <v>1.1363636363636364E-2</v>
      </c>
      <c r="F2290">
        <v>1</v>
      </c>
      <c r="G2290">
        <f>LOG(382/(1+1))</f>
        <v>2.2810333672477277</v>
      </c>
      <c r="H2290">
        <f>0.0113636363636363*5.25227342804663</f>
        <v>5.968492531871137E-2</v>
      </c>
      <c r="I2290">
        <v>5.9684925318711703E-2</v>
      </c>
    </row>
    <row r="2291" spans="1:9" x14ac:dyDescent="0.25">
      <c r="A2291">
        <v>266</v>
      </c>
      <c r="B2291" t="s">
        <v>1183</v>
      </c>
      <c r="C2291" t="s">
        <v>48</v>
      </c>
      <c r="D2291" t="s">
        <v>403</v>
      </c>
      <c r="E2291">
        <f t="shared" si="102"/>
        <v>1.1363636363636364E-2</v>
      </c>
      <c r="F2291">
        <v>11</v>
      </c>
      <c r="G2291">
        <f>LOG(382/(11+1))</f>
        <v>1.5028821168640838</v>
      </c>
      <c r="H2291">
        <f>0.0113636363636363*3.46051395881857</f>
        <v>3.9324022259301712E-2</v>
      </c>
      <c r="I2291">
        <v>3.932402225930199E-2</v>
      </c>
    </row>
    <row r="2292" spans="1:9" x14ac:dyDescent="0.25">
      <c r="A2292">
        <v>266</v>
      </c>
      <c r="B2292" t="s">
        <v>1183</v>
      </c>
      <c r="C2292" t="s">
        <v>48</v>
      </c>
      <c r="D2292" t="s">
        <v>727</v>
      </c>
      <c r="E2292">
        <f t="shared" si="102"/>
        <v>1.1363636363636364E-2</v>
      </c>
      <c r="F2292">
        <v>9</v>
      </c>
      <c r="G2292">
        <f>LOG(382/(9+1))</f>
        <v>1.5820633629117087</v>
      </c>
      <c r="H2292">
        <f>0.0113636363636363*3.64283551561252</f>
        <v>4.1395858131960221E-2</v>
      </c>
      <c r="I2292">
        <v>4.1395858131960561E-2</v>
      </c>
    </row>
    <row r="2293" spans="1:9" x14ac:dyDescent="0.25">
      <c r="A2293">
        <v>266</v>
      </c>
      <c r="B2293" t="s">
        <v>1183</v>
      </c>
      <c r="C2293" t="s">
        <v>48</v>
      </c>
      <c r="D2293" t="s">
        <v>728</v>
      </c>
      <c r="E2293">
        <f t="shared" si="102"/>
        <v>1.1363636363636364E-2</v>
      </c>
      <c r="F2293">
        <v>9</v>
      </c>
      <c r="G2293">
        <f>LOG(382/(9+1))</f>
        <v>1.5820633629117087</v>
      </c>
      <c r="H2293">
        <f>0.0113636363636363*3.64283551561252</f>
        <v>4.1395858131960221E-2</v>
      </c>
      <c r="I2293">
        <v>4.1395858131960561E-2</v>
      </c>
    </row>
    <row r="2294" spans="1:9" x14ac:dyDescent="0.25">
      <c r="A2294">
        <v>266</v>
      </c>
      <c r="B2294" t="s">
        <v>1183</v>
      </c>
      <c r="C2294" t="s">
        <v>48</v>
      </c>
      <c r="D2294" t="s">
        <v>1193</v>
      </c>
      <c r="E2294">
        <f t="shared" si="102"/>
        <v>1.1363636363636364E-2</v>
      </c>
      <c r="F2294">
        <v>2</v>
      </c>
      <c r="G2294">
        <f>LOG(382/(2+1))</f>
        <v>2.1049421081920463</v>
      </c>
      <c r="H2294">
        <f>0.0113636363636363*4.84680831993846</f>
        <v>5.5077367272027646E-2</v>
      </c>
      <c r="I2294">
        <v>5.5077367272028013E-2</v>
      </c>
    </row>
    <row r="2295" spans="1:9" x14ac:dyDescent="0.25">
      <c r="A2295">
        <v>266</v>
      </c>
      <c r="B2295" t="s">
        <v>1183</v>
      </c>
      <c r="C2295" t="s">
        <v>48</v>
      </c>
      <c r="D2295" t="s">
        <v>1194</v>
      </c>
      <c r="E2295">
        <f t="shared" si="102"/>
        <v>1.1363636363636364E-2</v>
      </c>
      <c r="F2295">
        <v>2</v>
      </c>
      <c r="G2295">
        <f>LOG(382/(2+1))</f>
        <v>2.1049421081920463</v>
      </c>
      <c r="H2295">
        <f>0.0113636363636363*4.84680831993846</f>
        <v>5.5077367272027646E-2</v>
      </c>
      <c r="I2295">
        <v>5.5077367272028013E-2</v>
      </c>
    </row>
    <row r="2296" spans="1:9" x14ac:dyDescent="0.25">
      <c r="A2296">
        <v>266</v>
      </c>
      <c r="B2296" t="s">
        <v>1183</v>
      </c>
      <c r="C2296" t="s">
        <v>48</v>
      </c>
      <c r="D2296" t="s">
        <v>149</v>
      </c>
      <c r="E2296">
        <f t="shared" si="102"/>
        <v>1.1363636363636364E-2</v>
      </c>
      <c r="F2296">
        <v>35</v>
      </c>
      <c r="G2296">
        <f>LOG(382/(35+1))</f>
        <v>1.0257608621444214</v>
      </c>
      <c r="H2296">
        <f>0.0113636363636363*2.36190167015046</f>
        <v>2.6839791706255077E-2</v>
      </c>
      <c r="I2296">
        <v>2.6839791706255289E-2</v>
      </c>
    </row>
    <row r="2297" spans="1:9" x14ac:dyDescent="0.25">
      <c r="A2297">
        <v>266</v>
      </c>
      <c r="B2297" t="s">
        <v>1183</v>
      </c>
      <c r="C2297" t="s">
        <v>48</v>
      </c>
      <c r="D2297" t="s">
        <v>16</v>
      </c>
      <c r="E2297">
        <f t="shared" si="102"/>
        <v>1.1363636363636364E-2</v>
      </c>
      <c r="F2297">
        <v>8</v>
      </c>
      <c r="G2297">
        <f>LOG(382/(8+1))</f>
        <v>1.6278208534723839</v>
      </c>
      <c r="H2297">
        <f>0.0113636363636363*3.74819603127035</f>
        <v>4.259313671898101E-2</v>
      </c>
      <c r="I2297">
        <v>4.2593136718981323E-2</v>
      </c>
    </row>
    <row r="2298" spans="1:9" x14ac:dyDescent="0.25">
      <c r="A2298">
        <v>266</v>
      </c>
      <c r="B2298" t="s">
        <v>1183</v>
      </c>
      <c r="C2298" t="s">
        <v>48</v>
      </c>
      <c r="D2298" t="s">
        <v>368</v>
      </c>
      <c r="E2298">
        <f t="shared" si="102"/>
        <v>1.1363636363636364E-2</v>
      </c>
      <c r="F2298">
        <v>17</v>
      </c>
      <c r="G2298">
        <f>LOG(382/(17+1))</f>
        <v>1.3267908578084027</v>
      </c>
      <c r="H2298">
        <f>0.0113636363636363*3.05504885071041</f>
        <v>3.4716464212618099E-2</v>
      </c>
      <c r="I2298">
        <v>3.47164642126183E-2</v>
      </c>
    </row>
    <row r="2299" spans="1:9" x14ac:dyDescent="0.25">
      <c r="A2299">
        <v>266</v>
      </c>
      <c r="B2299" t="s">
        <v>1183</v>
      </c>
      <c r="C2299" t="s">
        <v>48</v>
      </c>
      <c r="D2299" t="s">
        <v>1030</v>
      </c>
      <c r="E2299">
        <f t="shared" si="102"/>
        <v>1.1363636363636364E-2</v>
      </c>
      <c r="F2299">
        <v>6</v>
      </c>
      <c r="G2299">
        <f>LOG(382/(6+1))</f>
        <v>1.736965322897452</v>
      </c>
      <c r="H2299">
        <f>0.0113636363636363*3.99951045955126</f>
        <v>4.5448982494900425E-2</v>
      </c>
      <c r="I2299">
        <v>4.5448982494900703E-2</v>
      </c>
    </row>
    <row r="2300" spans="1:9" x14ac:dyDescent="0.25">
      <c r="A2300">
        <v>266</v>
      </c>
      <c r="B2300" t="s">
        <v>1183</v>
      </c>
      <c r="C2300" t="s">
        <v>48</v>
      </c>
      <c r="D2300" t="s">
        <v>1195</v>
      </c>
      <c r="E2300">
        <f t="shared" si="102"/>
        <v>1.1363636363636364E-2</v>
      </c>
      <c r="F2300">
        <v>3</v>
      </c>
      <c r="G2300">
        <f>LOG(382/(3+1))</f>
        <v>1.9800033715837464</v>
      </c>
      <c r="H2300">
        <f>0.0113636363636363*4.55912624748668</f>
        <v>5.1808252812348347E-2</v>
      </c>
      <c r="I2300">
        <v>5.1808252812348687E-2</v>
      </c>
    </row>
    <row r="2301" spans="1:9" x14ac:dyDescent="0.25">
      <c r="A2301">
        <v>266</v>
      </c>
      <c r="B2301" t="s">
        <v>1183</v>
      </c>
      <c r="C2301" t="s">
        <v>48</v>
      </c>
      <c r="D2301" t="s">
        <v>1196</v>
      </c>
      <c r="E2301">
        <f t="shared" si="102"/>
        <v>1.1363636363636364E-2</v>
      </c>
      <c r="F2301">
        <v>7</v>
      </c>
      <c r="G2301">
        <f>LOG(382/(7+1))</f>
        <v>1.6789733759197651</v>
      </c>
      <c r="H2301">
        <f>0.0113636363636363*3.86597906692673</f>
        <v>4.3931580305985325E-2</v>
      </c>
      <c r="I2301">
        <v>4.3931580305985672E-2</v>
      </c>
    </row>
    <row r="2302" spans="1:9" x14ac:dyDescent="0.25">
      <c r="A2302">
        <v>266</v>
      </c>
      <c r="B2302" t="s">
        <v>1183</v>
      </c>
      <c r="C2302" t="s">
        <v>48</v>
      </c>
      <c r="D2302" t="s">
        <v>147</v>
      </c>
      <c r="E2302">
        <f t="shared" si="102"/>
        <v>1.1363636363636364E-2</v>
      </c>
      <c r="F2302">
        <v>48</v>
      </c>
      <c r="G2302">
        <f>LOG(382/(48+1))</f>
        <v>0.89186728288319506</v>
      </c>
      <c r="H2302">
        <f>0.0113636363636363*2.05360031049594</f>
        <v>2.3336367164726458E-2</v>
      </c>
      <c r="I2302">
        <v>2.3336367164726691E-2</v>
      </c>
    </row>
    <row r="2303" spans="1:9" x14ac:dyDescent="0.25">
      <c r="A2303">
        <v>267</v>
      </c>
      <c r="B2303" t="s">
        <v>1197</v>
      </c>
      <c r="C2303" t="s">
        <v>48</v>
      </c>
      <c r="D2303" t="s">
        <v>103</v>
      </c>
      <c r="E2303">
        <f>2/23</f>
        <v>8.6956521739130432E-2</v>
      </c>
      <c r="F2303">
        <v>38</v>
      </c>
      <c r="G2303">
        <f>LOG(382/(38+1))</f>
        <v>0.99099875588520958</v>
      </c>
      <c r="H2303">
        <f>0.0869565217391304*2.28185896247692</f>
        <v>0.19842251847625386</v>
      </c>
      <c r="I2303">
        <v>0.19842251847625469</v>
      </c>
    </row>
    <row r="2304" spans="1:9" x14ac:dyDescent="0.25">
      <c r="A2304">
        <v>267</v>
      </c>
      <c r="B2304" t="s">
        <v>1197</v>
      </c>
      <c r="C2304" t="s">
        <v>48</v>
      </c>
      <c r="D2304" t="s">
        <v>1198</v>
      </c>
      <c r="E2304">
        <f>1/23</f>
        <v>4.3478260869565216E-2</v>
      </c>
      <c r="F2304">
        <v>2</v>
      </c>
      <c r="G2304">
        <f>LOG(382/(2+1))</f>
        <v>2.1049421081920463</v>
      </c>
      <c r="H2304">
        <f>0.0434782608695652*4.84680831993846</f>
        <v>0.2107307965190634</v>
      </c>
      <c r="I2304">
        <v>0.21073079651906371</v>
      </c>
    </row>
    <row r="2305" spans="1:9" x14ac:dyDescent="0.25">
      <c r="A2305">
        <v>267</v>
      </c>
      <c r="B2305" t="s">
        <v>1197</v>
      </c>
      <c r="C2305" t="s">
        <v>48</v>
      </c>
      <c r="D2305" t="s">
        <v>458</v>
      </c>
      <c r="E2305">
        <f>3/23</f>
        <v>0.13043478260869565</v>
      </c>
      <c r="F2305">
        <v>34</v>
      </c>
      <c r="G2305">
        <f>LOG(382/(34+1))</f>
        <v>1.037995318561433</v>
      </c>
      <c r="H2305">
        <f>0.130434782608695*2.39007254711716</f>
        <v>0.31174859310223674</v>
      </c>
      <c r="I2305">
        <v>0.3117485931022384</v>
      </c>
    </row>
    <row r="2306" spans="1:9" x14ac:dyDescent="0.25">
      <c r="A2306">
        <v>267</v>
      </c>
      <c r="B2306" t="s">
        <v>1197</v>
      </c>
      <c r="C2306" t="s">
        <v>48</v>
      </c>
      <c r="D2306" t="s">
        <v>93</v>
      </c>
      <c r="E2306">
        <f>1/23</f>
        <v>4.3478260869565216E-2</v>
      </c>
      <c r="F2306">
        <v>11</v>
      </c>
      <c r="G2306">
        <f>LOG(382/(11+1))</f>
        <v>1.5028821168640838</v>
      </c>
      <c r="H2306">
        <f>0.0434782608695652*3.46051395881857</f>
        <v>0.15045712864428559</v>
      </c>
      <c r="I2306">
        <v>0.1504571286442859</v>
      </c>
    </row>
    <row r="2307" spans="1:9" x14ac:dyDescent="0.25">
      <c r="A2307">
        <v>267</v>
      </c>
      <c r="B2307" t="s">
        <v>1197</v>
      </c>
      <c r="C2307" t="s">
        <v>48</v>
      </c>
      <c r="D2307" t="s">
        <v>104</v>
      </c>
      <c r="E2307">
        <f>2/23</f>
        <v>8.6956521739130432E-2</v>
      </c>
      <c r="F2307">
        <v>49</v>
      </c>
      <c r="G2307">
        <f>LOG(382/(49+1))</f>
        <v>0.88309335857568994</v>
      </c>
      <c r="H2307">
        <f>0.0869565217391304*2.03339760317842</f>
        <v>0.17681718288507994</v>
      </c>
      <c r="I2307">
        <v>0.1768171828850808</v>
      </c>
    </row>
    <row r="2308" spans="1:9" x14ac:dyDescent="0.25">
      <c r="A2308">
        <v>267</v>
      </c>
      <c r="B2308" t="s">
        <v>1197</v>
      </c>
      <c r="C2308" t="s">
        <v>48</v>
      </c>
      <c r="D2308" t="s">
        <v>1059</v>
      </c>
      <c r="E2308">
        <f>2/23</f>
        <v>8.6956521739130432E-2</v>
      </c>
      <c r="F2308">
        <v>16</v>
      </c>
      <c r="G2308">
        <f>LOG(382/(16+1))</f>
        <v>1.3516144415334348</v>
      </c>
      <c r="H2308">
        <f>0.0869565217391304*3.11220726455035</f>
        <v>0.27062671865655208</v>
      </c>
      <c r="I2308">
        <v>0.27062671865655302</v>
      </c>
    </row>
    <row r="2309" spans="1:9" x14ac:dyDescent="0.25">
      <c r="A2309">
        <v>267</v>
      </c>
      <c r="B2309" t="s">
        <v>1197</v>
      </c>
      <c r="C2309" t="s">
        <v>48</v>
      </c>
      <c r="D2309" t="s">
        <v>1199</v>
      </c>
      <c r="E2309">
        <f t="shared" ref="E2309:E2320" si="103">1/23</f>
        <v>4.3478260869565216E-2</v>
      </c>
      <c r="F2309">
        <v>8</v>
      </c>
      <c r="G2309">
        <f>LOG(382/(8+1))</f>
        <v>1.6278208534723839</v>
      </c>
      <c r="H2309">
        <f>0.0434782608695652*3.74819603127035</f>
        <v>0.16296504483784124</v>
      </c>
      <c r="I2309">
        <v>0.16296504483784149</v>
      </c>
    </row>
    <row r="2310" spans="1:9" x14ac:dyDescent="0.25">
      <c r="A2310">
        <v>267</v>
      </c>
      <c r="B2310" t="s">
        <v>1197</v>
      </c>
      <c r="C2310" t="s">
        <v>48</v>
      </c>
      <c r="D2310" t="s">
        <v>1200</v>
      </c>
      <c r="E2310">
        <f t="shared" si="103"/>
        <v>4.3478260869565216E-2</v>
      </c>
      <c r="F2310">
        <v>3</v>
      </c>
      <c r="G2310">
        <f>LOG(382/(3+1))</f>
        <v>1.9800033715837464</v>
      </c>
      <c r="H2310">
        <f>0.0434782608695652*4.55912624748668</f>
        <v>0.19822288032550775</v>
      </c>
      <c r="I2310">
        <v>0.198222880325508</v>
      </c>
    </row>
    <row r="2311" spans="1:9" x14ac:dyDescent="0.25">
      <c r="A2311">
        <v>267</v>
      </c>
      <c r="B2311" t="s">
        <v>1197</v>
      </c>
      <c r="C2311" t="s">
        <v>48</v>
      </c>
      <c r="D2311" t="s">
        <v>1201</v>
      </c>
      <c r="E2311">
        <f t="shared" si="103"/>
        <v>4.3478260869565216E-2</v>
      </c>
      <c r="F2311">
        <v>2</v>
      </c>
      <c r="G2311">
        <f>LOG(382/(2+1))</f>
        <v>2.1049421081920463</v>
      </c>
      <c r="H2311">
        <f>0.0434782608695652*4.84680831993846</f>
        <v>0.2107307965190634</v>
      </c>
      <c r="I2311">
        <v>0.21073079651906371</v>
      </c>
    </row>
    <row r="2312" spans="1:9" x14ac:dyDescent="0.25">
      <c r="A2312">
        <v>267</v>
      </c>
      <c r="B2312" t="s">
        <v>1197</v>
      </c>
      <c r="C2312" t="s">
        <v>48</v>
      </c>
      <c r="D2312" t="s">
        <v>1202</v>
      </c>
      <c r="E2312">
        <f t="shared" si="103"/>
        <v>4.3478260869565216E-2</v>
      </c>
      <c r="F2312">
        <v>2</v>
      </c>
      <c r="G2312">
        <f>LOG(382/(2+1))</f>
        <v>2.1049421081920463</v>
      </c>
      <c r="H2312">
        <f>0.0434782608695652*4.84680831993846</f>
        <v>0.2107307965190634</v>
      </c>
      <c r="I2312">
        <v>0.21073079651906371</v>
      </c>
    </row>
    <row r="2313" spans="1:9" x14ac:dyDescent="0.25">
      <c r="A2313">
        <v>267</v>
      </c>
      <c r="B2313" t="s">
        <v>1197</v>
      </c>
      <c r="C2313" t="s">
        <v>48</v>
      </c>
      <c r="D2313" t="s">
        <v>144</v>
      </c>
      <c r="E2313">
        <f t="shared" si="103"/>
        <v>4.3478260869565216E-2</v>
      </c>
      <c r="F2313">
        <v>105</v>
      </c>
      <c r="G2313">
        <f>LOG(382/(105+1))</f>
        <v>0.55675749764693849</v>
      </c>
      <c r="H2313">
        <f>0.0434782608695652*1.2819815144945</f>
        <v>5.5738326717152155E-2</v>
      </c>
      <c r="I2313">
        <v>5.5738326717152523E-2</v>
      </c>
    </row>
    <row r="2314" spans="1:9" x14ac:dyDescent="0.25">
      <c r="A2314">
        <v>267</v>
      </c>
      <c r="B2314" t="s">
        <v>1197</v>
      </c>
      <c r="C2314" t="s">
        <v>48</v>
      </c>
      <c r="D2314" t="s">
        <v>15</v>
      </c>
      <c r="E2314">
        <f t="shared" si="103"/>
        <v>4.3478260869565216E-2</v>
      </c>
      <c r="F2314">
        <v>112</v>
      </c>
      <c r="G2314">
        <f>LOG(382/(112+1))</f>
        <v>0.52898491942828896</v>
      </c>
      <c r="H2314">
        <f>0.0434782608695652*1.21803278989423</f>
        <v>5.2957947386705638E-2</v>
      </c>
      <c r="I2314">
        <v>5.2957947386705853E-2</v>
      </c>
    </row>
    <row r="2315" spans="1:9" x14ac:dyDescent="0.25">
      <c r="A2315">
        <v>267</v>
      </c>
      <c r="B2315" t="s">
        <v>1197</v>
      </c>
      <c r="C2315" t="s">
        <v>48</v>
      </c>
      <c r="D2315" t="s">
        <v>1203</v>
      </c>
      <c r="E2315">
        <f t="shared" si="103"/>
        <v>4.3478260869565216E-2</v>
      </c>
      <c r="F2315">
        <v>2</v>
      </c>
      <c r="G2315">
        <f>LOG(382/(2+1))</f>
        <v>2.1049421081920463</v>
      </c>
      <c r="H2315">
        <f>0.0434782608695652*4.84680831993846</f>
        <v>0.2107307965190634</v>
      </c>
      <c r="I2315">
        <v>0.21073079651906371</v>
      </c>
    </row>
    <row r="2316" spans="1:9" x14ac:dyDescent="0.25">
      <c r="A2316">
        <v>267</v>
      </c>
      <c r="B2316" t="s">
        <v>1197</v>
      </c>
      <c r="C2316" t="s">
        <v>48</v>
      </c>
      <c r="D2316" t="s">
        <v>17</v>
      </c>
      <c r="E2316">
        <f t="shared" si="103"/>
        <v>4.3478260869565216E-2</v>
      </c>
      <c r="F2316">
        <v>169</v>
      </c>
      <c r="G2316">
        <f>LOG(382/(169+1))</f>
        <v>0.3516144415334348</v>
      </c>
      <c r="H2316">
        <f>0.0434782608695652*0.809622171556313</f>
        <v>3.5200963980709252E-2</v>
      </c>
      <c r="I2316">
        <v>3.5200963980709279E-2</v>
      </c>
    </row>
    <row r="2317" spans="1:9" x14ac:dyDescent="0.25">
      <c r="A2317">
        <v>267</v>
      </c>
      <c r="B2317" t="s">
        <v>1197</v>
      </c>
      <c r="C2317" t="s">
        <v>48</v>
      </c>
      <c r="D2317" t="s">
        <v>1064</v>
      </c>
      <c r="E2317">
        <f t="shared" si="103"/>
        <v>4.3478260869565216E-2</v>
      </c>
      <c r="F2317">
        <v>7</v>
      </c>
      <c r="G2317">
        <f>LOG(382/(7+1))</f>
        <v>1.6789733759197651</v>
      </c>
      <c r="H2317">
        <f>0.0434782608695652*3.86597906692673</f>
        <v>0.16808604638811864</v>
      </c>
      <c r="I2317">
        <v>0.16808604638811911</v>
      </c>
    </row>
    <row r="2318" spans="1:9" x14ac:dyDescent="0.25">
      <c r="A2318">
        <v>267</v>
      </c>
      <c r="B2318" t="s">
        <v>1197</v>
      </c>
      <c r="C2318" t="s">
        <v>48</v>
      </c>
      <c r="D2318" t="s">
        <v>714</v>
      </c>
      <c r="E2318">
        <f t="shared" si="103"/>
        <v>4.3478260869565216E-2</v>
      </c>
      <c r="F2318">
        <v>12</v>
      </c>
      <c r="G2318">
        <f>LOG(382/(12+1))</f>
        <v>1.468120010604872</v>
      </c>
      <c r="H2318">
        <f>0.0434782608695652*3.38047125114503</f>
        <v>0.14697701091934909</v>
      </c>
      <c r="I2318">
        <v>0.1469770109193495</v>
      </c>
    </row>
    <row r="2319" spans="1:9" x14ac:dyDescent="0.25">
      <c r="A2319">
        <v>267</v>
      </c>
      <c r="B2319" t="s">
        <v>1197</v>
      </c>
      <c r="C2319" t="s">
        <v>48</v>
      </c>
      <c r="D2319" t="s">
        <v>1204</v>
      </c>
      <c r="E2319">
        <f t="shared" si="103"/>
        <v>4.3478260869565216E-2</v>
      </c>
      <c r="F2319">
        <v>3</v>
      </c>
      <c r="G2319">
        <f>LOG(382/(3+1))</f>
        <v>1.9800033715837464</v>
      </c>
      <c r="H2319">
        <f>0.0434782608695652*4.55912624748668</f>
        <v>0.19822288032550775</v>
      </c>
      <c r="I2319">
        <v>0.198222880325508</v>
      </c>
    </row>
    <row r="2320" spans="1:9" x14ac:dyDescent="0.25">
      <c r="A2320">
        <v>267</v>
      </c>
      <c r="B2320" t="s">
        <v>1197</v>
      </c>
      <c r="C2320" t="s">
        <v>48</v>
      </c>
      <c r="D2320" t="s">
        <v>1205</v>
      </c>
      <c r="E2320">
        <f t="shared" si="103"/>
        <v>4.3478260869565216E-2</v>
      </c>
      <c r="F2320">
        <v>1</v>
      </c>
      <c r="G2320">
        <f>LOG(382/(1+1))</f>
        <v>2.2810333672477277</v>
      </c>
      <c r="H2320">
        <f>0.0434782608695652*5.25227342804663</f>
        <v>0.22835971426289686</v>
      </c>
      <c r="I2320">
        <v>0.22835971426289689</v>
      </c>
    </row>
    <row r="2321" spans="1:9" x14ac:dyDescent="0.25">
      <c r="A2321">
        <v>268</v>
      </c>
      <c r="B2321" t="s">
        <v>1206</v>
      </c>
      <c r="C2321" t="s">
        <v>138</v>
      </c>
      <c r="D2321" t="s">
        <v>1207</v>
      </c>
      <c r="E2321">
        <f>3/95</f>
        <v>3.1578947368421054E-2</v>
      </c>
      <c r="F2321">
        <v>1</v>
      </c>
      <c r="G2321">
        <f>LOG(382/(1+1))</f>
        <v>2.2810333672477277</v>
      </c>
      <c r="H2321">
        <f>0.031578947368421*5.25227342804663</f>
        <v>0.16586126614884067</v>
      </c>
      <c r="I2321">
        <v>0.16586126614884089</v>
      </c>
    </row>
    <row r="2322" spans="1:9" x14ac:dyDescent="0.25">
      <c r="A2322">
        <v>268</v>
      </c>
      <c r="B2322" t="s">
        <v>1206</v>
      </c>
      <c r="C2322" t="s">
        <v>138</v>
      </c>
      <c r="D2322" t="s">
        <v>1208</v>
      </c>
      <c r="E2322">
        <f>11/95</f>
        <v>0.11578947368421053</v>
      </c>
      <c r="F2322">
        <v>10</v>
      </c>
      <c r="G2322">
        <f>LOG(382/(10+1))</f>
        <v>1.5406706777534838</v>
      </c>
      <c r="H2322">
        <f>0.11578947368421*3.5475253358082</f>
        <v>0.41076609151463184</v>
      </c>
      <c r="I2322">
        <v>0.41076609151463422</v>
      </c>
    </row>
    <row r="2323" spans="1:9" x14ac:dyDescent="0.25">
      <c r="A2323">
        <v>268</v>
      </c>
      <c r="B2323" t="s">
        <v>1206</v>
      </c>
      <c r="C2323" t="s">
        <v>138</v>
      </c>
      <c r="D2323" t="s">
        <v>42</v>
      </c>
      <c r="E2323">
        <f>3/95</f>
        <v>3.1578947368421054E-2</v>
      </c>
      <c r="F2323">
        <v>251</v>
      </c>
      <c r="G2323">
        <f>LOG(382/(251+1))</f>
        <v>0.18066282213016463</v>
      </c>
      <c r="H2323">
        <f>0.031578947368421*0.415991521095151</f>
        <v>1.3136574350373166E-2</v>
      </c>
      <c r="I2323">
        <v>1.313657435037322E-2</v>
      </c>
    </row>
    <row r="2324" spans="1:9" x14ac:dyDescent="0.25">
      <c r="A2324">
        <v>268</v>
      </c>
      <c r="B2324" t="s">
        <v>1206</v>
      </c>
      <c r="C2324" t="s">
        <v>138</v>
      </c>
      <c r="D2324" t="s">
        <v>1209</v>
      </c>
      <c r="E2324">
        <f>3/95</f>
        <v>3.1578947368421054E-2</v>
      </c>
      <c r="F2324">
        <v>1</v>
      </c>
      <c r="G2324">
        <f>LOG(382/(1+1))</f>
        <v>2.2810333672477277</v>
      </c>
      <c r="H2324">
        <f>0.031578947368421*5.25227342804663</f>
        <v>0.16586126614884067</v>
      </c>
      <c r="I2324">
        <v>0.16586126614884089</v>
      </c>
    </row>
    <row r="2325" spans="1:9" x14ac:dyDescent="0.25">
      <c r="A2325">
        <v>268</v>
      </c>
      <c r="B2325" t="s">
        <v>1206</v>
      </c>
      <c r="C2325" t="s">
        <v>138</v>
      </c>
      <c r="D2325" t="s">
        <v>1210</v>
      </c>
      <c r="E2325">
        <f>2/95</f>
        <v>2.1052631578947368E-2</v>
      </c>
      <c r="F2325">
        <v>1</v>
      </c>
      <c r="G2325">
        <f>LOG(382/(1+1))</f>
        <v>2.2810333672477277</v>
      </c>
      <c r="H2325">
        <f>0.0210526315789473*5.25227342804663</f>
        <v>0.11057417743256026</v>
      </c>
      <c r="I2325">
        <v>0.11057417743256059</v>
      </c>
    </row>
    <row r="2326" spans="1:9" x14ac:dyDescent="0.25">
      <c r="A2326">
        <v>268</v>
      </c>
      <c r="B2326" t="s">
        <v>1206</v>
      </c>
      <c r="C2326" t="s">
        <v>138</v>
      </c>
      <c r="D2326" t="s">
        <v>17</v>
      </c>
      <c r="E2326">
        <f>1/95</f>
        <v>1.0526315789473684E-2</v>
      </c>
      <c r="F2326">
        <v>169</v>
      </c>
      <c r="G2326">
        <f>LOG(382/(169+1))</f>
        <v>0.3516144415334348</v>
      </c>
      <c r="H2326">
        <f>0.0105263157894736*0.809622171556313</f>
        <v>8.5223386479611214E-3</v>
      </c>
      <c r="I2326">
        <v>8.5223386479611942E-3</v>
      </c>
    </row>
    <row r="2327" spans="1:9" x14ac:dyDescent="0.25">
      <c r="A2327">
        <v>268</v>
      </c>
      <c r="B2327" t="s">
        <v>1206</v>
      </c>
      <c r="C2327" t="s">
        <v>138</v>
      </c>
      <c r="D2327" t="s">
        <v>168</v>
      </c>
      <c r="E2327">
        <f>2/95</f>
        <v>2.1052631578947368E-2</v>
      </c>
      <c r="F2327">
        <v>34</v>
      </c>
      <c r="G2327">
        <f>LOG(382/(34+1))</f>
        <v>1.037995318561433</v>
      </c>
      <c r="H2327">
        <f>0.0210526315789473*2.39007254711716</f>
        <v>5.0317316781413726E-2</v>
      </c>
      <c r="I2327">
        <v>5.0317316781413921E-2</v>
      </c>
    </row>
    <row r="2328" spans="1:9" x14ac:dyDescent="0.25">
      <c r="A2328">
        <v>268</v>
      </c>
      <c r="B2328" t="s">
        <v>1206</v>
      </c>
      <c r="C2328" t="s">
        <v>138</v>
      </c>
      <c r="D2328" t="s">
        <v>19</v>
      </c>
      <c r="E2328">
        <f>1/95</f>
        <v>1.0526315789473684E-2</v>
      </c>
      <c r="F2328">
        <v>220</v>
      </c>
      <c r="G2328">
        <f>LOG(382/(220+1))</f>
        <v>0.23767108922659805</v>
      </c>
      <c r="H2328">
        <f>0.0105263157894736*0.547257907088822</f>
        <v>5.7606095483033444E-3</v>
      </c>
      <c r="I2328">
        <v>5.760609548303393E-3</v>
      </c>
    </row>
    <row r="2329" spans="1:9" x14ac:dyDescent="0.25">
      <c r="A2329">
        <v>268</v>
      </c>
      <c r="B2329" t="s">
        <v>1206</v>
      </c>
      <c r="C2329" t="s">
        <v>138</v>
      </c>
      <c r="D2329" t="s">
        <v>41</v>
      </c>
      <c r="E2329">
        <f>3/95</f>
        <v>3.1578947368421054E-2</v>
      </c>
      <c r="F2329">
        <v>195</v>
      </c>
      <c r="G2329">
        <f>LOG(382/(195+1))</f>
        <v>0.28980729155523272</v>
      </c>
      <c r="H2329">
        <f>0.031578947368421*0.667305949376058</f>
        <v>2.1072819453980745E-2</v>
      </c>
      <c r="I2329">
        <v>2.107281945398078E-2</v>
      </c>
    </row>
    <row r="2330" spans="1:9" x14ac:dyDescent="0.25">
      <c r="A2330">
        <v>268</v>
      </c>
      <c r="B2330" t="s">
        <v>1206</v>
      </c>
      <c r="C2330" t="s">
        <v>138</v>
      </c>
      <c r="D2330" t="s">
        <v>22</v>
      </c>
      <c r="E2330">
        <f>1/95</f>
        <v>1.0526315789473684E-2</v>
      </c>
      <c r="F2330">
        <v>259</v>
      </c>
      <c r="G2330">
        <f>LOG(382/(259+1))</f>
        <v>0.16709001494089079</v>
      </c>
      <c r="H2330">
        <f>0.0105263157894736*0.384738977591047</f>
        <v>4.0498839746425678E-3</v>
      </c>
      <c r="I2330">
        <v>4.0498839746426051E-3</v>
      </c>
    </row>
    <row r="2331" spans="1:9" x14ac:dyDescent="0.25">
      <c r="A2331">
        <v>268</v>
      </c>
      <c r="B2331" t="s">
        <v>1206</v>
      </c>
      <c r="C2331" t="s">
        <v>138</v>
      </c>
      <c r="D2331" t="s">
        <v>23</v>
      </c>
      <c r="E2331">
        <f>1/95</f>
        <v>1.0526315789473684E-2</v>
      </c>
      <c r="F2331">
        <v>275</v>
      </c>
      <c r="G2331">
        <f>LOG(382/(275+1))</f>
        <v>0.14115428084649101</v>
      </c>
      <c r="H2331">
        <f>0.0105263157894736*0.325019742889425</f>
        <v>3.4212604514676044E-3</v>
      </c>
      <c r="I2331">
        <v>3.421260451467633E-3</v>
      </c>
    </row>
    <row r="2332" spans="1:9" x14ac:dyDescent="0.25">
      <c r="A2332">
        <v>268</v>
      </c>
      <c r="B2332" t="s">
        <v>1206</v>
      </c>
      <c r="C2332" t="s">
        <v>138</v>
      </c>
      <c r="D2332" t="s">
        <v>1211</v>
      </c>
      <c r="E2332">
        <f>1/95</f>
        <v>1.0526315789473684E-2</v>
      </c>
      <c r="F2332">
        <v>3</v>
      </c>
      <c r="G2332">
        <f>LOG(382/(3+1))</f>
        <v>1.9800033715837464</v>
      </c>
      <c r="H2332">
        <f>0.0105263157894736*4.55912624748668</f>
        <v>4.7990802605122569E-2</v>
      </c>
      <c r="I2332">
        <v>4.7990802605122992E-2</v>
      </c>
    </row>
    <row r="2333" spans="1:9" x14ac:dyDescent="0.25">
      <c r="A2333">
        <v>268</v>
      </c>
      <c r="B2333" t="s">
        <v>1206</v>
      </c>
      <c r="C2333" t="s">
        <v>138</v>
      </c>
      <c r="D2333" t="s">
        <v>1212</v>
      </c>
      <c r="E2333">
        <f>1/95</f>
        <v>1.0526315789473684E-2</v>
      </c>
      <c r="F2333">
        <v>1</v>
      </c>
      <c r="G2333">
        <f>LOG(382/(1+1))</f>
        <v>2.2810333672477277</v>
      </c>
      <c r="H2333">
        <f>0.0105263157894736*5.25227342804663</f>
        <v>5.5287088716279874E-2</v>
      </c>
      <c r="I2333">
        <v>5.5287088716280311E-2</v>
      </c>
    </row>
    <row r="2334" spans="1:9" x14ac:dyDescent="0.25">
      <c r="A2334">
        <v>268</v>
      </c>
      <c r="B2334" t="s">
        <v>1206</v>
      </c>
      <c r="C2334" t="s">
        <v>138</v>
      </c>
      <c r="D2334" t="s">
        <v>204</v>
      </c>
      <c r="E2334">
        <f>3/95</f>
        <v>3.1578947368421054E-2</v>
      </c>
      <c r="F2334">
        <v>166</v>
      </c>
      <c r="G2334">
        <f>LOG(382/(166+1))</f>
        <v>0.35934689176412549</v>
      </c>
      <c r="H2334">
        <f>0.031578947368421*0.82742679618982</f>
        <v>2.6129267248099532E-2</v>
      </c>
      <c r="I2334">
        <v>2.612926724809958E-2</v>
      </c>
    </row>
    <row r="2335" spans="1:9" x14ac:dyDescent="0.25">
      <c r="A2335">
        <v>268</v>
      </c>
      <c r="B2335" t="s">
        <v>1206</v>
      </c>
      <c r="C2335" t="s">
        <v>138</v>
      </c>
      <c r="D2335" t="s">
        <v>331</v>
      </c>
      <c r="E2335">
        <f>1/95</f>
        <v>1.0526315789473684E-2</v>
      </c>
      <c r="F2335">
        <v>130</v>
      </c>
      <c r="G2335">
        <f>LOG(382/(130+1))</f>
        <v>0.46479206725594452</v>
      </c>
      <c r="H2335">
        <f>0.0105263157894736*1.07022328540542</f>
        <v>1.1265508267425386E-2</v>
      </c>
      <c r="I2335">
        <v>1.1265508267425509E-2</v>
      </c>
    </row>
    <row r="2336" spans="1:9" x14ac:dyDescent="0.25">
      <c r="A2336">
        <v>268</v>
      </c>
      <c r="B2336" t="s">
        <v>1206</v>
      </c>
      <c r="C2336" t="s">
        <v>138</v>
      </c>
      <c r="D2336" t="s">
        <v>755</v>
      </c>
      <c r="E2336">
        <f>1/95</f>
        <v>1.0526315789473684E-2</v>
      </c>
      <c r="F2336">
        <v>19</v>
      </c>
      <c r="G2336">
        <f>LOG(382/(19+1))</f>
        <v>1.2810333672477277</v>
      </c>
      <c r="H2336">
        <f>0.0105263157894736*2.94968833505258</f>
        <v>3.1049350895290071E-2</v>
      </c>
      <c r="I2336">
        <v>3.1049350895290359E-2</v>
      </c>
    </row>
    <row r="2337" spans="1:9" x14ac:dyDescent="0.25">
      <c r="A2337">
        <v>268</v>
      </c>
      <c r="B2337" t="s">
        <v>1206</v>
      </c>
      <c r="C2337" t="s">
        <v>138</v>
      </c>
      <c r="D2337" t="s">
        <v>754</v>
      </c>
      <c r="E2337">
        <f>2/95</f>
        <v>2.1052631578947368E-2</v>
      </c>
      <c r="F2337">
        <v>111</v>
      </c>
      <c r="G2337">
        <f>LOG(382/(111+1))</f>
        <v>0.53284534024152708</v>
      </c>
      <c r="H2337">
        <f>0.0210526315789473*1.22692173731148</f>
        <v>2.5829931311820545E-2</v>
      </c>
      <c r="I2337">
        <v>2.582993131182065E-2</v>
      </c>
    </row>
    <row r="2338" spans="1:9" x14ac:dyDescent="0.25">
      <c r="A2338">
        <v>268</v>
      </c>
      <c r="B2338" t="s">
        <v>1206</v>
      </c>
      <c r="C2338" t="s">
        <v>138</v>
      </c>
      <c r="D2338" t="s">
        <v>119</v>
      </c>
      <c r="E2338">
        <f>1/95</f>
        <v>1.0526315789473684E-2</v>
      </c>
      <c r="F2338">
        <v>79</v>
      </c>
      <c r="G2338">
        <f>LOG(382/(79+1))</f>
        <v>0.67897337591976514</v>
      </c>
      <c r="H2338">
        <f>0.0105263157894736*1.56339397393269</f>
        <v>1.6456778672975556E-2</v>
      </c>
      <c r="I2338">
        <v>1.6456778672975719E-2</v>
      </c>
    </row>
    <row r="2339" spans="1:9" x14ac:dyDescent="0.25">
      <c r="A2339">
        <v>268</v>
      </c>
      <c r="B2339" t="s">
        <v>1206</v>
      </c>
      <c r="C2339" t="s">
        <v>138</v>
      </c>
      <c r="D2339" t="s">
        <v>1213</v>
      </c>
      <c r="E2339">
        <f>1/95</f>
        <v>1.0526315789473684E-2</v>
      </c>
      <c r="F2339">
        <v>1</v>
      </c>
      <c r="G2339">
        <f>LOG(382/(1+1))</f>
        <v>2.2810333672477277</v>
      </c>
      <c r="H2339">
        <f>0.0105263157894736*5.25227342804663</f>
        <v>5.5287088716279874E-2</v>
      </c>
      <c r="I2339">
        <v>5.5287088716280311E-2</v>
      </c>
    </row>
    <row r="2340" spans="1:9" x14ac:dyDescent="0.25">
      <c r="A2340">
        <v>268</v>
      </c>
      <c r="B2340" t="s">
        <v>1206</v>
      </c>
      <c r="C2340" t="s">
        <v>138</v>
      </c>
      <c r="D2340" t="s">
        <v>77</v>
      </c>
      <c r="E2340">
        <f>1/95</f>
        <v>1.0526315789473684E-2</v>
      </c>
      <c r="F2340">
        <v>148</v>
      </c>
      <c r="G2340">
        <f>LOG(382/(148+1))</f>
        <v>0.40887709449943471</v>
      </c>
      <c r="H2340">
        <f>0.0105263157894736*0.941474302661116</f>
        <v>9.9102558174853535E-3</v>
      </c>
      <c r="I2340">
        <v>9.9102558174854315E-3</v>
      </c>
    </row>
    <row r="2341" spans="1:9" x14ac:dyDescent="0.25">
      <c r="A2341">
        <v>268</v>
      </c>
      <c r="B2341" t="s">
        <v>1206</v>
      </c>
      <c r="C2341" t="s">
        <v>138</v>
      </c>
      <c r="D2341" t="s">
        <v>40</v>
      </c>
      <c r="E2341">
        <f>2/95</f>
        <v>2.1052631578947368E-2</v>
      </c>
      <c r="F2341">
        <v>159</v>
      </c>
      <c r="G2341">
        <f>LOG(382/(159+1))</f>
        <v>0.377943380255784</v>
      </c>
      <c r="H2341">
        <f>0.0210526315789473*0.870246793372748</f>
        <v>1.8320985123636741E-2</v>
      </c>
      <c r="I2341">
        <v>1.8320985123636811E-2</v>
      </c>
    </row>
    <row r="2342" spans="1:9" x14ac:dyDescent="0.25">
      <c r="A2342">
        <v>268</v>
      </c>
      <c r="B2342" t="s">
        <v>1206</v>
      </c>
      <c r="C2342" t="s">
        <v>138</v>
      </c>
      <c r="D2342" t="s">
        <v>324</v>
      </c>
      <c r="E2342">
        <f>3/95</f>
        <v>3.1578947368421054E-2</v>
      </c>
      <c r="F2342">
        <v>82</v>
      </c>
      <c r="G2342">
        <f>LOG(382/(82+1))</f>
        <v>0.66298527053563483</v>
      </c>
      <c r="H2342">
        <f>0.031578947368421*1.52658000080997</f>
        <v>4.8207789499262126E-2</v>
      </c>
      <c r="I2342">
        <v>4.8207789499262438E-2</v>
      </c>
    </row>
    <row r="2343" spans="1:9" x14ac:dyDescent="0.25">
      <c r="A2343">
        <v>268</v>
      </c>
      <c r="B2343" t="s">
        <v>1206</v>
      </c>
      <c r="C2343" t="s">
        <v>138</v>
      </c>
      <c r="D2343" t="s">
        <v>748</v>
      </c>
      <c r="E2343">
        <f>1/95</f>
        <v>1.0526315789473684E-2</v>
      </c>
      <c r="F2343">
        <v>5</v>
      </c>
      <c r="G2343">
        <f>LOG(382/(5+1))</f>
        <v>1.803912112528065</v>
      </c>
      <c r="H2343">
        <f>0.0105263157894736*4.15366113937852</f>
        <v>4.372274883556302E-2</v>
      </c>
      <c r="I2343">
        <v>4.3722748835563367E-2</v>
      </c>
    </row>
    <row r="2344" spans="1:9" x14ac:dyDescent="0.25">
      <c r="A2344">
        <v>268</v>
      </c>
      <c r="B2344" t="s">
        <v>1206</v>
      </c>
      <c r="C2344" t="s">
        <v>138</v>
      </c>
      <c r="D2344" t="s">
        <v>1214</v>
      </c>
      <c r="E2344">
        <f>1/95</f>
        <v>1.0526315789473684E-2</v>
      </c>
      <c r="F2344">
        <v>1</v>
      </c>
      <c r="G2344">
        <f>LOG(382/(1+1))</f>
        <v>2.2810333672477277</v>
      </c>
      <c r="H2344">
        <f>0.0105263157894736*5.25227342804663</f>
        <v>5.5287088716279874E-2</v>
      </c>
      <c r="I2344">
        <v>5.5287088716280311E-2</v>
      </c>
    </row>
    <row r="2345" spans="1:9" x14ac:dyDescent="0.25">
      <c r="A2345">
        <v>268</v>
      </c>
      <c r="B2345" t="s">
        <v>1206</v>
      </c>
      <c r="C2345" t="s">
        <v>138</v>
      </c>
      <c r="D2345" t="s">
        <v>1215</v>
      </c>
      <c r="E2345">
        <f>1/95</f>
        <v>1.0526315789473684E-2</v>
      </c>
      <c r="F2345">
        <v>1</v>
      </c>
      <c r="G2345">
        <f>LOG(382/(1+1))</f>
        <v>2.2810333672477277</v>
      </c>
      <c r="H2345">
        <f>0.0105263157894736*5.25227342804663</f>
        <v>5.5287088716279874E-2</v>
      </c>
      <c r="I2345">
        <v>5.5287088716280311E-2</v>
      </c>
    </row>
    <row r="2346" spans="1:9" x14ac:dyDescent="0.25">
      <c r="A2346">
        <v>268</v>
      </c>
      <c r="B2346" t="s">
        <v>1206</v>
      </c>
      <c r="C2346" t="s">
        <v>138</v>
      </c>
      <c r="D2346" t="s">
        <v>600</v>
      </c>
      <c r="E2346">
        <f>2/95</f>
        <v>2.1052631578947368E-2</v>
      </c>
      <c r="F2346">
        <v>102</v>
      </c>
      <c r="G2346">
        <f>LOG(382/(102+1))</f>
        <v>0.56922613820653656</v>
      </c>
      <c r="H2346">
        <f>0.0210526315789473*1.31069162037693</f>
        <v>2.7593507797408962E-2</v>
      </c>
      <c r="I2346">
        <v>2.7593507797409249E-2</v>
      </c>
    </row>
    <row r="2347" spans="1:9" x14ac:dyDescent="0.25">
      <c r="A2347">
        <v>268</v>
      </c>
      <c r="B2347" t="s">
        <v>1206</v>
      </c>
      <c r="C2347" t="s">
        <v>138</v>
      </c>
      <c r="D2347" t="s">
        <v>1121</v>
      </c>
      <c r="E2347">
        <f>1/95</f>
        <v>1.0526315789473684E-2</v>
      </c>
      <c r="F2347">
        <v>2</v>
      </c>
      <c r="G2347">
        <f>LOG(382/(2+1))</f>
        <v>2.1049421081920463</v>
      </c>
      <c r="H2347">
        <f>0.0105263157894736*4.84680831993846</f>
        <v>5.1019034946720228E-2</v>
      </c>
      <c r="I2347">
        <v>5.1019034946720693E-2</v>
      </c>
    </row>
    <row r="2348" spans="1:9" x14ac:dyDescent="0.25">
      <c r="A2348">
        <v>268</v>
      </c>
      <c r="B2348" t="s">
        <v>1206</v>
      </c>
      <c r="C2348" t="s">
        <v>138</v>
      </c>
      <c r="D2348" t="s">
        <v>747</v>
      </c>
      <c r="E2348">
        <f>2/95</f>
        <v>2.1052631578947368E-2</v>
      </c>
      <c r="F2348">
        <v>14</v>
      </c>
      <c r="G2348">
        <f>LOG(382/(14+1))</f>
        <v>1.4059721038560276</v>
      </c>
      <c r="H2348">
        <f>0.0210526315789473*3.23737040750436</f>
        <v>6.8155166473775772E-2</v>
      </c>
      <c r="I2348">
        <v>6.8155166473776105E-2</v>
      </c>
    </row>
    <row r="2349" spans="1:9" x14ac:dyDescent="0.25">
      <c r="A2349">
        <v>268</v>
      </c>
      <c r="B2349" t="s">
        <v>1206</v>
      </c>
      <c r="C2349" t="s">
        <v>138</v>
      </c>
      <c r="D2349" t="s">
        <v>322</v>
      </c>
      <c r="E2349">
        <f>2/95</f>
        <v>2.1052631578947368E-2</v>
      </c>
      <c r="F2349">
        <v>128</v>
      </c>
      <c r="G2349">
        <f>LOG(382/(128+1))</f>
        <v>0.47147365261245977</v>
      </c>
      <c r="H2349">
        <f>0.0210526315789473*1.0856082042449</f>
        <v>2.285490956305045E-2</v>
      </c>
      <c r="I2349">
        <v>2.2854909563050588E-2</v>
      </c>
    </row>
    <row r="2350" spans="1:9" x14ac:dyDescent="0.25">
      <c r="A2350">
        <v>268</v>
      </c>
      <c r="B2350" t="s">
        <v>1206</v>
      </c>
      <c r="C2350" t="s">
        <v>138</v>
      </c>
      <c r="D2350" t="s">
        <v>399</v>
      </c>
      <c r="E2350">
        <f>1/95</f>
        <v>1.0526315789473684E-2</v>
      </c>
      <c r="F2350">
        <v>27</v>
      </c>
      <c r="G2350">
        <f>LOG(382/(27+1))</f>
        <v>1.1349053315694895</v>
      </c>
      <c r="H2350">
        <f>0.0105263157894736*2.61321609843137</f>
        <v>2.7507537878224731E-2</v>
      </c>
      <c r="I2350">
        <v>2.750753787822496E-2</v>
      </c>
    </row>
    <row r="2351" spans="1:9" x14ac:dyDescent="0.25">
      <c r="A2351">
        <v>268</v>
      </c>
      <c r="B2351" t="s">
        <v>1206</v>
      </c>
      <c r="C2351" t="s">
        <v>138</v>
      </c>
      <c r="D2351" t="s">
        <v>1216</v>
      </c>
      <c r="E2351">
        <f>2/95</f>
        <v>2.1052631578947368E-2</v>
      </c>
      <c r="F2351">
        <v>2</v>
      </c>
      <c r="G2351">
        <f>LOG(382/(2+1))</f>
        <v>2.1049421081920463</v>
      </c>
      <c r="H2351">
        <f>0.0210526315789473*4.84680831993846</f>
        <v>0.10203806989344093</v>
      </c>
      <c r="I2351">
        <v>0.1020380698934414</v>
      </c>
    </row>
    <row r="2352" spans="1:9" x14ac:dyDescent="0.25">
      <c r="A2352">
        <v>268</v>
      </c>
      <c r="B2352" t="s">
        <v>1206</v>
      </c>
      <c r="C2352" t="s">
        <v>138</v>
      </c>
      <c r="D2352" t="s">
        <v>1217</v>
      </c>
      <c r="E2352">
        <f t="shared" ref="E2352:E2385" si="104">1/95</f>
        <v>1.0526315789473684E-2</v>
      </c>
      <c r="F2352">
        <v>5</v>
      </c>
      <c r="G2352">
        <f>LOG(382/(5+1))</f>
        <v>1.803912112528065</v>
      </c>
      <c r="H2352">
        <f>0.0105263157894736*4.15366113937852</f>
        <v>4.372274883556302E-2</v>
      </c>
      <c r="I2352">
        <v>4.3722748835563367E-2</v>
      </c>
    </row>
    <row r="2353" spans="1:9" x14ac:dyDescent="0.25">
      <c r="A2353">
        <v>268</v>
      </c>
      <c r="B2353" t="s">
        <v>1206</v>
      </c>
      <c r="C2353" t="s">
        <v>138</v>
      </c>
      <c r="D2353" t="s">
        <v>1218</v>
      </c>
      <c r="E2353">
        <f t="shared" si="104"/>
        <v>1.0526315789473684E-2</v>
      </c>
      <c r="F2353">
        <v>2</v>
      </c>
      <c r="G2353">
        <f>LOG(382/(2+1))</f>
        <v>2.1049421081920463</v>
      </c>
      <c r="H2353">
        <f>0.0105263157894736*4.84680831993846</f>
        <v>5.1019034946720228E-2</v>
      </c>
      <c r="I2353">
        <v>5.1019034946720693E-2</v>
      </c>
    </row>
    <row r="2354" spans="1:9" x14ac:dyDescent="0.25">
      <c r="A2354">
        <v>268</v>
      </c>
      <c r="B2354" t="s">
        <v>1206</v>
      </c>
      <c r="C2354" t="s">
        <v>138</v>
      </c>
      <c r="D2354" t="s">
        <v>144</v>
      </c>
      <c r="E2354">
        <f t="shared" si="104"/>
        <v>1.0526315789473684E-2</v>
      </c>
      <c r="F2354">
        <v>105</v>
      </c>
      <c r="G2354">
        <f>LOG(382/(105+1))</f>
        <v>0.55675749764693849</v>
      </c>
      <c r="H2354">
        <f>0.0105263157894736*1.2819815144945</f>
        <v>1.3494542257836735E-2</v>
      </c>
      <c r="I2354">
        <v>1.3494542257836931E-2</v>
      </c>
    </row>
    <row r="2355" spans="1:9" x14ac:dyDescent="0.25">
      <c r="A2355">
        <v>268</v>
      </c>
      <c r="B2355" t="s">
        <v>1206</v>
      </c>
      <c r="C2355" t="s">
        <v>138</v>
      </c>
      <c r="D2355" t="s">
        <v>1219</v>
      </c>
      <c r="E2355">
        <f t="shared" si="104"/>
        <v>1.0526315789473684E-2</v>
      </c>
      <c r="F2355">
        <v>1</v>
      </c>
      <c r="G2355">
        <f>LOG(382/(1+1))</f>
        <v>2.2810333672477277</v>
      </c>
      <c r="H2355">
        <f>0.0105263157894736*5.25227342804663</f>
        <v>5.5287088716279874E-2</v>
      </c>
      <c r="I2355">
        <v>5.5287088716280311E-2</v>
      </c>
    </row>
    <row r="2356" spans="1:9" x14ac:dyDescent="0.25">
      <c r="A2356">
        <v>268</v>
      </c>
      <c r="B2356" t="s">
        <v>1206</v>
      </c>
      <c r="C2356" t="s">
        <v>138</v>
      </c>
      <c r="D2356" t="s">
        <v>1220</v>
      </c>
      <c r="E2356">
        <f t="shared" si="104"/>
        <v>1.0526315789473684E-2</v>
      </c>
      <c r="F2356">
        <v>1</v>
      </c>
      <c r="G2356">
        <f>LOG(382/(1+1))</f>
        <v>2.2810333672477277</v>
      </c>
      <c r="H2356">
        <f>0.0105263157894736*5.25227342804663</f>
        <v>5.5287088716279874E-2</v>
      </c>
      <c r="I2356">
        <v>5.5287088716280311E-2</v>
      </c>
    </row>
    <row r="2357" spans="1:9" x14ac:dyDescent="0.25">
      <c r="A2357">
        <v>268</v>
      </c>
      <c r="B2357" t="s">
        <v>1206</v>
      </c>
      <c r="C2357" t="s">
        <v>138</v>
      </c>
      <c r="D2357" t="s">
        <v>1221</v>
      </c>
      <c r="E2357">
        <f t="shared" si="104"/>
        <v>1.0526315789473684E-2</v>
      </c>
      <c r="F2357">
        <v>1</v>
      </c>
      <c r="G2357">
        <f>LOG(382/(1+1))</f>
        <v>2.2810333672477277</v>
      </c>
      <c r="H2357">
        <f>0.0105263157894736*5.25227342804663</f>
        <v>5.5287088716279874E-2</v>
      </c>
      <c r="I2357">
        <v>5.5287088716280311E-2</v>
      </c>
    </row>
    <row r="2358" spans="1:9" x14ac:dyDescent="0.25">
      <c r="A2358">
        <v>268</v>
      </c>
      <c r="B2358" t="s">
        <v>1206</v>
      </c>
      <c r="C2358" t="s">
        <v>138</v>
      </c>
      <c r="D2358" t="s">
        <v>309</v>
      </c>
      <c r="E2358">
        <f t="shared" si="104"/>
        <v>1.0526315789473684E-2</v>
      </c>
      <c r="F2358">
        <v>25</v>
      </c>
      <c r="G2358">
        <f>LOG(382/(25+1))</f>
        <v>1.1670900149408907</v>
      </c>
      <c r="H2358">
        <f>0.0105263157894736*2.68732407058509</f>
        <v>2.8287621795632302E-2</v>
      </c>
      <c r="I2358">
        <v>2.8287621795632559E-2</v>
      </c>
    </row>
    <row r="2359" spans="1:9" x14ac:dyDescent="0.25">
      <c r="A2359">
        <v>268</v>
      </c>
      <c r="B2359" t="s">
        <v>1206</v>
      </c>
      <c r="C2359" t="s">
        <v>138</v>
      </c>
      <c r="D2359" t="s">
        <v>1222</v>
      </c>
      <c r="E2359">
        <f t="shared" si="104"/>
        <v>1.0526315789473684E-2</v>
      </c>
      <c r="F2359">
        <v>56</v>
      </c>
      <c r="G2359">
        <f>LOG(382/(56+1))</f>
        <v>0.82618850723921733</v>
      </c>
      <c r="H2359">
        <f>0.0105263157894736*1.90236934077202</f>
        <v>2.0024940429178999E-2</v>
      </c>
      <c r="I2359">
        <v>2.0024940429179211E-2</v>
      </c>
    </row>
    <row r="2360" spans="1:9" x14ac:dyDescent="0.25">
      <c r="A2360">
        <v>268</v>
      </c>
      <c r="B2360" t="s">
        <v>1206</v>
      </c>
      <c r="C2360" t="s">
        <v>138</v>
      </c>
      <c r="D2360" t="s">
        <v>447</v>
      </c>
      <c r="E2360">
        <f t="shared" si="104"/>
        <v>1.0526315789473684E-2</v>
      </c>
      <c r="F2360">
        <v>37</v>
      </c>
      <c r="G2360">
        <f>LOG(382/(37+1))</f>
        <v>1.0022797662948986</v>
      </c>
      <c r="H2360">
        <f>0.0105263157894736*2.30783444888018</f>
        <v>2.4292994198738541E-2</v>
      </c>
      <c r="I2360">
        <v>2.4292994198738829E-2</v>
      </c>
    </row>
    <row r="2361" spans="1:9" x14ac:dyDescent="0.25">
      <c r="A2361">
        <v>268</v>
      </c>
      <c r="B2361" t="s">
        <v>1206</v>
      </c>
      <c r="C2361" t="s">
        <v>138</v>
      </c>
      <c r="D2361" t="s">
        <v>1106</v>
      </c>
      <c r="E2361">
        <f t="shared" si="104"/>
        <v>1.0526315789473684E-2</v>
      </c>
      <c r="F2361">
        <v>7</v>
      </c>
      <c r="G2361">
        <f>LOG(382/(7+1))</f>
        <v>1.6789733759197651</v>
      </c>
      <c r="H2361">
        <f>0.0105263157894736*3.86597906692673</f>
        <v>4.0694516493965258E-2</v>
      </c>
      <c r="I2361">
        <v>4.0694516493965667E-2</v>
      </c>
    </row>
    <row r="2362" spans="1:9" x14ac:dyDescent="0.25">
      <c r="A2362">
        <v>268</v>
      </c>
      <c r="B2362" t="s">
        <v>1206</v>
      </c>
      <c r="C2362" t="s">
        <v>138</v>
      </c>
      <c r="D2362" t="s">
        <v>1223</v>
      </c>
      <c r="E2362">
        <f t="shared" si="104"/>
        <v>1.0526315789473684E-2</v>
      </c>
      <c r="F2362">
        <v>2</v>
      </c>
      <c r="G2362">
        <f>LOG(382/(2+1))</f>
        <v>2.1049421081920463</v>
      </c>
      <c r="H2362">
        <f>0.0105263157894736*4.84680831993846</f>
        <v>5.1019034946720228E-2</v>
      </c>
      <c r="I2362">
        <v>5.1019034946720693E-2</v>
      </c>
    </row>
    <row r="2363" spans="1:9" x14ac:dyDescent="0.25">
      <c r="A2363">
        <v>268</v>
      </c>
      <c r="B2363" t="s">
        <v>1206</v>
      </c>
      <c r="C2363" t="s">
        <v>138</v>
      </c>
      <c r="D2363" t="s">
        <v>1224</v>
      </c>
      <c r="E2363">
        <f t="shared" si="104"/>
        <v>1.0526315789473684E-2</v>
      </c>
      <c r="F2363">
        <v>11</v>
      </c>
      <c r="G2363">
        <f>LOG(382/(11+1))</f>
        <v>1.5028821168640838</v>
      </c>
      <c r="H2363">
        <f>0.0105263157894736*3.46051395881857</f>
        <v>3.6426462724405709E-2</v>
      </c>
      <c r="I2363">
        <v>3.6426462724406049E-2</v>
      </c>
    </row>
    <row r="2364" spans="1:9" x14ac:dyDescent="0.25">
      <c r="A2364">
        <v>268</v>
      </c>
      <c r="B2364" t="s">
        <v>1206</v>
      </c>
      <c r="C2364" t="s">
        <v>138</v>
      </c>
      <c r="D2364" t="s">
        <v>1225</v>
      </c>
      <c r="E2364">
        <f t="shared" si="104"/>
        <v>1.0526315789473684E-2</v>
      </c>
      <c r="F2364">
        <v>1</v>
      </c>
      <c r="G2364">
        <f>LOG(382/(1+1))</f>
        <v>2.2810333672477277</v>
      </c>
      <c r="H2364">
        <f>0.0105263157894736*5.25227342804663</f>
        <v>5.5287088716279874E-2</v>
      </c>
      <c r="I2364">
        <v>5.5287088716280311E-2</v>
      </c>
    </row>
    <row r="2365" spans="1:9" x14ac:dyDescent="0.25">
      <c r="A2365">
        <v>268</v>
      </c>
      <c r="B2365" t="s">
        <v>1206</v>
      </c>
      <c r="C2365" t="s">
        <v>138</v>
      </c>
      <c r="D2365" t="s">
        <v>65</v>
      </c>
      <c r="E2365">
        <f t="shared" si="104"/>
        <v>1.0526315789473684E-2</v>
      </c>
      <c r="F2365">
        <v>32</v>
      </c>
      <c r="G2365">
        <f>LOG(382/(32+1))</f>
        <v>1.0635494230338212</v>
      </c>
      <c r="H2365">
        <f>0.0105263157894736*2.44891304714009</f>
        <v>2.5778032075158639E-2</v>
      </c>
      <c r="I2365">
        <v>2.5778032075158899E-2</v>
      </c>
    </row>
    <row r="2366" spans="1:9" x14ac:dyDescent="0.25">
      <c r="A2366">
        <v>268</v>
      </c>
      <c r="B2366" t="s">
        <v>1206</v>
      </c>
      <c r="C2366" t="s">
        <v>138</v>
      </c>
      <c r="D2366" t="s">
        <v>76</v>
      </c>
      <c r="E2366">
        <f t="shared" si="104"/>
        <v>1.0526315789473684E-2</v>
      </c>
      <c r="F2366">
        <v>140</v>
      </c>
      <c r="G2366">
        <f>LOG(382/(140+1))</f>
        <v>0.43284425025632883</v>
      </c>
      <c r="H2366">
        <f>0.0105263157894736*0.996660718228407</f>
        <v>1.049116545503578E-2</v>
      </c>
      <c r="I2366">
        <v>1.049116545503586E-2</v>
      </c>
    </row>
    <row r="2367" spans="1:9" x14ac:dyDescent="0.25">
      <c r="A2367">
        <v>268</v>
      </c>
      <c r="B2367" t="s">
        <v>1206</v>
      </c>
      <c r="C2367" t="s">
        <v>138</v>
      </c>
      <c r="D2367" t="s">
        <v>1067</v>
      </c>
      <c r="E2367">
        <f t="shared" si="104"/>
        <v>1.0526315789473684E-2</v>
      </c>
      <c r="F2367">
        <v>9</v>
      </c>
      <c r="G2367">
        <f>LOG(382/(9+1))</f>
        <v>1.5820633629117087</v>
      </c>
      <c r="H2367">
        <f>0.0105263157894736*3.64283551561252</f>
        <v>3.8345637006447275E-2</v>
      </c>
      <c r="I2367">
        <v>3.8345637006447678E-2</v>
      </c>
    </row>
    <row r="2368" spans="1:9" x14ac:dyDescent="0.25">
      <c r="A2368">
        <v>268</v>
      </c>
      <c r="B2368" t="s">
        <v>1206</v>
      </c>
      <c r="C2368" t="s">
        <v>138</v>
      </c>
      <c r="D2368" t="s">
        <v>78</v>
      </c>
      <c r="E2368">
        <f t="shared" si="104"/>
        <v>1.0526315789473684E-2</v>
      </c>
      <c r="F2368">
        <v>122</v>
      </c>
      <c r="G2368">
        <f>LOG(382/(122+1))</f>
        <v>0.49215825147231079</v>
      </c>
      <c r="H2368">
        <f>0.0105263157894736*1.13323625323415</f>
        <v>1.1928802665622537E-2</v>
      </c>
      <c r="I2368">
        <v>1.192880266562271E-2</v>
      </c>
    </row>
    <row r="2369" spans="1:9" x14ac:dyDescent="0.25">
      <c r="A2369">
        <v>268</v>
      </c>
      <c r="B2369" t="s">
        <v>1206</v>
      </c>
      <c r="C2369" t="s">
        <v>138</v>
      </c>
      <c r="D2369" t="s">
        <v>483</v>
      </c>
      <c r="E2369">
        <f t="shared" si="104"/>
        <v>1.0526315789473684E-2</v>
      </c>
      <c r="F2369">
        <v>61</v>
      </c>
      <c r="G2369">
        <f>LOG(382/(61+1))</f>
        <v>0.7896716734134549</v>
      </c>
      <c r="H2369">
        <f>0.0105263157894736*1.81828622356148</f>
        <v>1.9139854984857534E-2</v>
      </c>
      <c r="I2369">
        <v>1.9139854984857721E-2</v>
      </c>
    </row>
    <row r="2370" spans="1:9" x14ac:dyDescent="0.25">
      <c r="A2370">
        <v>268</v>
      </c>
      <c r="B2370" t="s">
        <v>1206</v>
      </c>
      <c r="C2370" t="s">
        <v>138</v>
      </c>
      <c r="D2370" t="s">
        <v>1226</v>
      </c>
      <c r="E2370">
        <f t="shared" si="104"/>
        <v>1.0526315789473684E-2</v>
      </c>
      <c r="F2370">
        <v>1</v>
      </c>
      <c r="G2370">
        <f>LOG(382/(1+1))</f>
        <v>2.2810333672477277</v>
      </c>
      <c r="H2370">
        <f>0.0105263157894736*5.25227342804663</f>
        <v>5.5287088716279874E-2</v>
      </c>
      <c r="I2370">
        <v>5.5287088716280311E-2</v>
      </c>
    </row>
    <row r="2371" spans="1:9" x14ac:dyDescent="0.25">
      <c r="A2371">
        <v>268</v>
      </c>
      <c r="B2371" t="s">
        <v>1206</v>
      </c>
      <c r="C2371" t="s">
        <v>138</v>
      </c>
      <c r="D2371" t="s">
        <v>243</v>
      </c>
      <c r="E2371">
        <f t="shared" si="104"/>
        <v>1.0526315789473684E-2</v>
      </c>
      <c r="F2371">
        <v>131</v>
      </c>
      <c r="G2371">
        <f>LOG(382/(131+1))</f>
        <v>0.46148943170585888</v>
      </c>
      <c r="H2371">
        <f>0.0105263157894736*1.0626186860202</f>
        <v>1.1185459852844122E-2</v>
      </c>
      <c r="I2371">
        <v>1.1185459852844261E-2</v>
      </c>
    </row>
    <row r="2372" spans="1:9" x14ac:dyDescent="0.25">
      <c r="A2372">
        <v>268</v>
      </c>
      <c r="B2372" t="s">
        <v>1206</v>
      </c>
      <c r="C2372" t="s">
        <v>138</v>
      </c>
      <c r="D2372" t="s">
        <v>1227</v>
      </c>
      <c r="E2372">
        <f t="shared" si="104"/>
        <v>1.0526315789473684E-2</v>
      </c>
      <c r="F2372">
        <v>1</v>
      </c>
      <c r="G2372">
        <f>LOG(382/(1+1))</f>
        <v>2.2810333672477277</v>
      </c>
      <c r="H2372">
        <f>0.0105263157894736*5.25227342804663</f>
        <v>5.5287088716279874E-2</v>
      </c>
      <c r="I2372">
        <v>5.5287088716280311E-2</v>
      </c>
    </row>
    <row r="2373" spans="1:9" x14ac:dyDescent="0.25">
      <c r="A2373">
        <v>268</v>
      </c>
      <c r="B2373" t="s">
        <v>1206</v>
      </c>
      <c r="C2373" t="s">
        <v>138</v>
      </c>
      <c r="D2373" t="s">
        <v>237</v>
      </c>
      <c r="E2373">
        <f t="shared" si="104"/>
        <v>1.0526315789473684E-2</v>
      </c>
      <c r="F2373">
        <v>138</v>
      </c>
      <c r="G2373">
        <f>LOG(382/(138+1))</f>
        <v>0.43904856265761361</v>
      </c>
      <c r="H2373">
        <f>0.0105263157894736*1.01094667547588</f>
        <v>1.06415439523776E-2</v>
      </c>
      <c r="I2373">
        <v>1.064154395237772E-2</v>
      </c>
    </row>
    <row r="2374" spans="1:9" x14ac:dyDescent="0.25">
      <c r="A2374">
        <v>268</v>
      </c>
      <c r="B2374" t="s">
        <v>1206</v>
      </c>
      <c r="C2374" t="s">
        <v>138</v>
      </c>
      <c r="D2374" t="s">
        <v>458</v>
      </c>
      <c r="E2374">
        <f t="shared" si="104"/>
        <v>1.0526315789473684E-2</v>
      </c>
      <c r="F2374">
        <v>34</v>
      </c>
      <c r="G2374">
        <f>LOG(382/(34+1))</f>
        <v>1.037995318561433</v>
      </c>
      <c r="H2374">
        <f>0.0105263157894736*2.39007254711716</f>
        <v>2.5158658390706749E-2</v>
      </c>
      <c r="I2374">
        <v>2.515865839070696E-2</v>
      </c>
    </row>
    <row r="2375" spans="1:9" x14ac:dyDescent="0.25">
      <c r="A2375">
        <v>268</v>
      </c>
      <c r="B2375" t="s">
        <v>1206</v>
      </c>
      <c r="C2375" t="s">
        <v>138</v>
      </c>
      <c r="D2375" t="s">
        <v>459</v>
      </c>
      <c r="E2375">
        <f t="shared" si="104"/>
        <v>1.0526315789473684E-2</v>
      </c>
      <c r="F2375">
        <v>14</v>
      </c>
      <c r="G2375">
        <f>LOG(382/(14+1))</f>
        <v>1.4059721038560276</v>
      </c>
      <c r="H2375">
        <f>0.0105263157894736*3.23737040750436</f>
        <v>3.4077583236887726E-2</v>
      </c>
      <c r="I2375">
        <v>3.4077583236888052E-2</v>
      </c>
    </row>
    <row r="2376" spans="1:9" x14ac:dyDescent="0.25">
      <c r="A2376">
        <v>268</v>
      </c>
      <c r="B2376" t="s">
        <v>1206</v>
      </c>
      <c r="C2376" t="s">
        <v>138</v>
      </c>
      <c r="D2376" t="s">
        <v>773</v>
      </c>
      <c r="E2376">
        <f t="shared" si="104"/>
        <v>1.0526315789473684E-2</v>
      </c>
      <c r="F2376">
        <v>10</v>
      </c>
      <c r="G2376">
        <f>LOG(382/(10+1))</f>
        <v>1.5406706777534838</v>
      </c>
      <c r="H2376">
        <f>0.0105263157894736*3.5475253358082</f>
        <v>3.7342371955875496E-2</v>
      </c>
      <c r="I2376">
        <v>3.7342371955875843E-2</v>
      </c>
    </row>
    <row r="2377" spans="1:9" x14ac:dyDescent="0.25">
      <c r="A2377">
        <v>268</v>
      </c>
      <c r="B2377" t="s">
        <v>1206</v>
      </c>
      <c r="C2377" t="s">
        <v>138</v>
      </c>
      <c r="D2377" t="s">
        <v>774</v>
      </c>
      <c r="E2377">
        <f t="shared" si="104"/>
        <v>1.0526315789473684E-2</v>
      </c>
      <c r="F2377">
        <v>4</v>
      </c>
      <c r="G2377">
        <f>LOG(382/(4+1))</f>
        <v>1.8830933585756899</v>
      </c>
      <c r="H2377">
        <f>0.0105263157894736*4.33598269617247</f>
        <v>4.5641923117604587E-2</v>
      </c>
      <c r="I2377">
        <v>4.5641923117605003E-2</v>
      </c>
    </row>
    <row r="2378" spans="1:9" x14ac:dyDescent="0.25">
      <c r="A2378">
        <v>268</v>
      </c>
      <c r="B2378" t="s">
        <v>1206</v>
      </c>
      <c r="C2378" t="s">
        <v>138</v>
      </c>
      <c r="D2378" t="s">
        <v>506</v>
      </c>
      <c r="E2378">
        <f t="shared" si="104"/>
        <v>1.0526315789473684E-2</v>
      </c>
      <c r="F2378">
        <v>6</v>
      </c>
      <c r="G2378">
        <f>LOG(382/(6+1))</f>
        <v>1.736965322897452</v>
      </c>
      <c r="H2378">
        <f>0.0105263157894736*3.99951045955126</f>
        <v>4.2100110100539247E-2</v>
      </c>
      <c r="I2378">
        <v>4.2100110100539601E-2</v>
      </c>
    </row>
    <row r="2379" spans="1:9" x14ac:dyDescent="0.25">
      <c r="A2379">
        <v>268</v>
      </c>
      <c r="B2379" t="s">
        <v>1206</v>
      </c>
      <c r="C2379" t="s">
        <v>138</v>
      </c>
      <c r="D2379" t="s">
        <v>1228</v>
      </c>
      <c r="E2379">
        <f t="shared" si="104"/>
        <v>1.0526315789473684E-2</v>
      </c>
      <c r="F2379">
        <v>1</v>
      </c>
      <c r="G2379">
        <f>LOG(382/(1+1))</f>
        <v>2.2810333672477277</v>
      </c>
      <c r="H2379">
        <f>0.0105263157894736*5.25227342804663</f>
        <v>5.5287088716279874E-2</v>
      </c>
      <c r="I2379">
        <v>5.5287088716280311E-2</v>
      </c>
    </row>
    <row r="2380" spans="1:9" x14ac:dyDescent="0.25">
      <c r="A2380">
        <v>268</v>
      </c>
      <c r="B2380" t="s">
        <v>1206</v>
      </c>
      <c r="C2380" t="s">
        <v>138</v>
      </c>
      <c r="D2380" t="s">
        <v>775</v>
      </c>
      <c r="E2380">
        <f t="shared" si="104"/>
        <v>1.0526315789473684E-2</v>
      </c>
      <c r="F2380">
        <v>20</v>
      </c>
      <c r="G2380">
        <f>LOG(382/(20+1))</f>
        <v>1.2598440681777894</v>
      </c>
      <c r="H2380">
        <f>0.0105263157894736*2.90089817088315</f>
        <v>3.053577021982239E-2</v>
      </c>
      <c r="I2380">
        <v>3.053577021982265E-2</v>
      </c>
    </row>
    <row r="2381" spans="1:9" x14ac:dyDescent="0.25">
      <c r="A2381">
        <v>268</v>
      </c>
      <c r="B2381" t="s">
        <v>1206</v>
      </c>
      <c r="C2381" t="s">
        <v>138</v>
      </c>
      <c r="D2381" t="s">
        <v>439</v>
      </c>
      <c r="E2381">
        <f t="shared" si="104"/>
        <v>1.0526315789473684E-2</v>
      </c>
      <c r="F2381">
        <v>28</v>
      </c>
      <c r="G2381">
        <f>LOG(382/(28+1))</f>
        <v>1.1196653650127526</v>
      </c>
      <c r="H2381">
        <f>0.0105263157894736*2.5781247786201</f>
        <v>2.7138155564421888E-2</v>
      </c>
      <c r="I2381">
        <v>2.7138155564422121E-2</v>
      </c>
    </row>
    <row r="2382" spans="1:9" x14ac:dyDescent="0.25">
      <c r="A2382">
        <v>268</v>
      </c>
      <c r="B2382" t="s">
        <v>1206</v>
      </c>
      <c r="C2382" t="s">
        <v>138</v>
      </c>
      <c r="D2382" t="s">
        <v>772</v>
      </c>
      <c r="E2382">
        <f t="shared" si="104"/>
        <v>1.0526315789473684E-2</v>
      </c>
      <c r="F2382">
        <v>31</v>
      </c>
      <c r="G2382">
        <f>LOG(382/(31+1))</f>
        <v>1.0769133845918029</v>
      </c>
      <c r="H2382">
        <f>0.0105263157894736*2.47968470580684</f>
        <v>2.6101944271650739E-2</v>
      </c>
      <c r="I2382">
        <v>2.610194427165104E-2</v>
      </c>
    </row>
    <row r="2383" spans="1:9" x14ac:dyDescent="0.25">
      <c r="A2383">
        <v>268</v>
      </c>
      <c r="B2383" t="s">
        <v>1206</v>
      </c>
      <c r="C2383" t="s">
        <v>138</v>
      </c>
      <c r="D2383" t="s">
        <v>81</v>
      </c>
      <c r="E2383">
        <f t="shared" si="104"/>
        <v>1.0526315789473684E-2</v>
      </c>
      <c r="F2383">
        <v>114</v>
      </c>
      <c r="G2383">
        <f>LOG(382/(114+1))</f>
        <v>0.52136552255809698</v>
      </c>
      <c r="H2383">
        <f>0.0105263157894736*1.20048848024332</f>
        <v>1.2636720844666426E-2</v>
      </c>
      <c r="I2383">
        <v>1.263672084466658E-2</v>
      </c>
    </row>
    <row r="2384" spans="1:9" x14ac:dyDescent="0.25">
      <c r="A2384">
        <v>268</v>
      </c>
      <c r="B2384" t="s">
        <v>1206</v>
      </c>
      <c r="C2384" t="s">
        <v>138</v>
      </c>
      <c r="D2384" t="s">
        <v>762</v>
      </c>
      <c r="E2384">
        <f t="shared" si="104"/>
        <v>1.0526315789473684E-2</v>
      </c>
      <c r="F2384">
        <v>29</v>
      </c>
      <c r="G2384">
        <f>LOG(382/(29+1))</f>
        <v>1.1049421081920463</v>
      </c>
      <c r="H2384">
        <f>0.0105263157894736*2.54422322694442</f>
        <v>2.6781297125730522E-2</v>
      </c>
      <c r="I2384">
        <v>2.678129712573073E-2</v>
      </c>
    </row>
    <row r="2385" spans="1:9" x14ac:dyDescent="0.25">
      <c r="A2385">
        <v>268</v>
      </c>
      <c r="B2385" t="s">
        <v>1206</v>
      </c>
      <c r="C2385" t="s">
        <v>138</v>
      </c>
      <c r="D2385" t="s">
        <v>770</v>
      </c>
      <c r="E2385">
        <f t="shared" si="104"/>
        <v>1.0526315789473684E-2</v>
      </c>
      <c r="F2385">
        <v>47</v>
      </c>
      <c r="G2385">
        <f>LOG(382/(47+1))</f>
        <v>0.90082212553612151</v>
      </c>
      <c r="H2385">
        <f>0.0105263157894736*2.07421959769868</f>
        <v>2.1833890502091197E-2</v>
      </c>
      <c r="I2385">
        <v>2.1833890502091408E-2</v>
      </c>
    </row>
    <row r="2386" spans="1:9" x14ac:dyDescent="0.25">
      <c r="A2386">
        <v>269</v>
      </c>
      <c r="B2386" t="s">
        <v>1229</v>
      </c>
      <c r="C2386" t="s">
        <v>48</v>
      </c>
      <c r="D2386" t="s">
        <v>727</v>
      </c>
      <c r="E2386">
        <f>2/47</f>
        <v>4.2553191489361701E-2</v>
      </c>
      <c r="F2386">
        <v>9</v>
      </c>
      <c r="G2386">
        <f>LOG(382/(9+1))</f>
        <v>1.5820633629117087</v>
      </c>
      <c r="H2386">
        <f>0.0425531914893617*3.64283551561252</f>
        <v>0.15501427726010722</v>
      </c>
      <c r="I2386">
        <v>0.15501427726010761</v>
      </c>
    </row>
    <row r="2387" spans="1:9" x14ac:dyDescent="0.25">
      <c r="A2387">
        <v>269</v>
      </c>
      <c r="B2387" t="s">
        <v>1229</v>
      </c>
      <c r="C2387" t="s">
        <v>48</v>
      </c>
      <c r="D2387" t="s">
        <v>728</v>
      </c>
      <c r="E2387">
        <f>2/47</f>
        <v>4.2553191489361701E-2</v>
      </c>
      <c r="F2387">
        <v>9</v>
      </c>
      <c r="G2387">
        <f>LOG(382/(9+1))</f>
        <v>1.5820633629117087</v>
      </c>
      <c r="H2387">
        <f>0.0425531914893617*3.64283551561252</f>
        <v>0.15501427726010722</v>
      </c>
      <c r="I2387">
        <v>0.15501427726010761</v>
      </c>
    </row>
    <row r="2388" spans="1:9" x14ac:dyDescent="0.25">
      <c r="A2388">
        <v>269</v>
      </c>
      <c r="B2388" t="s">
        <v>1229</v>
      </c>
      <c r="C2388" t="s">
        <v>48</v>
      </c>
      <c r="D2388" t="s">
        <v>259</v>
      </c>
      <c r="E2388">
        <f>1/47</f>
        <v>2.1276595744680851E-2</v>
      </c>
      <c r="F2388">
        <v>11</v>
      </c>
      <c r="G2388">
        <f>LOG(382/(11+1))</f>
        <v>1.5028821168640838</v>
      </c>
      <c r="H2388">
        <f>0.0212765957446808*3.46051395881857</f>
        <v>7.3627956570607694E-2</v>
      </c>
      <c r="I2388">
        <v>7.3627956570607972E-2</v>
      </c>
    </row>
    <row r="2389" spans="1:9" x14ac:dyDescent="0.25">
      <c r="A2389">
        <v>269</v>
      </c>
      <c r="B2389" t="s">
        <v>1229</v>
      </c>
      <c r="C2389" t="s">
        <v>48</v>
      </c>
      <c r="D2389" t="s">
        <v>50</v>
      </c>
      <c r="E2389">
        <f>3/47</f>
        <v>6.3829787234042548E-2</v>
      </c>
      <c r="F2389">
        <v>109</v>
      </c>
      <c r="G2389">
        <f>LOG(382/(109+1))</f>
        <v>0.54067067775348365</v>
      </c>
      <c r="H2389">
        <f>0.0638297872340425*1.24494024281415</f>
        <v>7.9464270817924412E-2</v>
      </c>
      <c r="I2389">
        <v>7.9464270817925037E-2</v>
      </c>
    </row>
    <row r="2390" spans="1:9" x14ac:dyDescent="0.25">
      <c r="A2390">
        <v>269</v>
      </c>
      <c r="B2390" t="s">
        <v>1229</v>
      </c>
      <c r="C2390" t="s">
        <v>48</v>
      </c>
      <c r="E2390">
        <f>2/47</f>
        <v>4.2553191489361701E-2</v>
      </c>
      <c r="F2390">
        <v>20</v>
      </c>
      <c r="G2390">
        <f>LOG(382/(20+1))</f>
        <v>1.2598440681777894</v>
      </c>
      <c r="H2390">
        <f>0.0425531914893617*2.90089817088315</f>
        <v>0.12344247535672978</v>
      </c>
      <c r="I2390">
        <v>0.12344247535672991</v>
      </c>
    </row>
    <row r="2391" spans="1:9" x14ac:dyDescent="0.25">
      <c r="A2391">
        <v>269</v>
      </c>
      <c r="B2391" t="s">
        <v>1229</v>
      </c>
      <c r="C2391" t="s">
        <v>48</v>
      </c>
      <c r="D2391" t="s">
        <v>38</v>
      </c>
      <c r="E2391">
        <f>1/47</f>
        <v>2.1276595744680851E-2</v>
      </c>
      <c r="F2391">
        <v>86</v>
      </c>
      <c r="G2391">
        <f>LOG(382/(86+1))</f>
        <v>0.64254411029309022</v>
      </c>
      <c r="H2391">
        <f>0.0212765957446808*1.47951248995199</f>
        <v>3.1478989147914603E-2</v>
      </c>
      <c r="I2391">
        <v>3.1478989147914707E-2</v>
      </c>
    </row>
    <row r="2392" spans="1:9" x14ac:dyDescent="0.25">
      <c r="A2392">
        <v>269</v>
      </c>
      <c r="B2392" t="s">
        <v>1229</v>
      </c>
      <c r="C2392" t="s">
        <v>48</v>
      </c>
      <c r="D2392" t="s">
        <v>580</v>
      </c>
      <c r="E2392">
        <f>2/47</f>
        <v>4.2553191489361701E-2</v>
      </c>
      <c r="F2392">
        <v>17</v>
      </c>
      <c r="G2392">
        <f>LOG(382/(17+1))</f>
        <v>1.3267908578084027</v>
      </c>
      <c r="H2392">
        <f>0.0425531914893617*3.05504885071041</f>
        <v>0.13000207875363445</v>
      </c>
      <c r="I2392">
        <v>0.13000207875363451</v>
      </c>
    </row>
    <row r="2393" spans="1:9" x14ac:dyDescent="0.25">
      <c r="A2393">
        <v>269</v>
      </c>
      <c r="B2393" t="s">
        <v>1229</v>
      </c>
      <c r="C2393" t="s">
        <v>48</v>
      </c>
      <c r="D2393" t="s">
        <v>1230</v>
      </c>
      <c r="E2393">
        <f>1/47</f>
        <v>2.1276595744680851E-2</v>
      </c>
      <c r="F2393">
        <v>10</v>
      </c>
      <c r="G2393">
        <f>LOG(382/(10+1))</f>
        <v>1.5406706777534838</v>
      </c>
      <c r="H2393">
        <f>0.0212765957446808*3.5475253358082</f>
        <v>7.5479262464004077E-2</v>
      </c>
      <c r="I2393">
        <v>7.5479262464004354E-2</v>
      </c>
    </row>
    <row r="2394" spans="1:9" x14ac:dyDescent="0.25">
      <c r="A2394">
        <v>269</v>
      </c>
      <c r="B2394" t="s">
        <v>1229</v>
      </c>
      <c r="C2394" t="s">
        <v>48</v>
      </c>
      <c r="D2394" t="s">
        <v>725</v>
      </c>
      <c r="E2394">
        <f>1/47</f>
        <v>2.1276595744680851E-2</v>
      </c>
      <c r="F2394">
        <v>12</v>
      </c>
      <c r="G2394">
        <f>LOG(382/(12+1))</f>
        <v>1.468120010604872</v>
      </c>
      <c r="H2394">
        <f>0.0212765957446808*3.38047125114503</f>
        <v>7.1924920237128126E-2</v>
      </c>
      <c r="I2394">
        <v>7.1924920237128473E-2</v>
      </c>
    </row>
    <row r="2395" spans="1:9" x14ac:dyDescent="0.25">
      <c r="A2395">
        <v>269</v>
      </c>
      <c r="B2395" t="s">
        <v>1229</v>
      </c>
      <c r="C2395" t="s">
        <v>48</v>
      </c>
      <c r="D2395" t="s">
        <v>40</v>
      </c>
      <c r="E2395">
        <f>1/47</f>
        <v>2.1276595744680851E-2</v>
      </c>
      <c r="F2395">
        <v>159</v>
      </c>
      <c r="G2395">
        <f>LOG(382/(159+1))</f>
        <v>0.377943380255784</v>
      </c>
      <c r="H2395">
        <f>0.0212765957446808*0.870246793372748</f>
        <v>1.8515889220696722E-2</v>
      </c>
      <c r="I2395">
        <v>1.8515889220696771E-2</v>
      </c>
    </row>
    <row r="2396" spans="1:9" x14ac:dyDescent="0.25">
      <c r="A2396">
        <v>269</v>
      </c>
      <c r="B2396" t="s">
        <v>1229</v>
      </c>
      <c r="C2396" t="s">
        <v>48</v>
      </c>
      <c r="D2396" t="s">
        <v>41</v>
      </c>
      <c r="E2396">
        <f>2/47</f>
        <v>4.2553191489361701E-2</v>
      </c>
      <c r="F2396">
        <v>195</v>
      </c>
      <c r="G2396">
        <f>LOG(382/(195+1))</f>
        <v>0.28980729155523272</v>
      </c>
      <c r="H2396">
        <f>0.0425531914893617*0.667305949376058</f>
        <v>2.8395997845789701E-2</v>
      </c>
      <c r="I2396">
        <v>2.8395997845789701E-2</v>
      </c>
    </row>
    <row r="2397" spans="1:9" x14ac:dyDescent="0.25">
      <c r="A2397">
        <v>269</v>
      </c>
      <c r="B2397" t="s">
        <v>1229</v>
      </c>
      <c r="C2397" t="s">
        <v>48</v>
      </c>
      <c r="D2397" t="s">
        <v>1231</v>
      </c>
      <c r="E2397">
        <f>1/47</f>
        <v>2.1276595744680851E-2</v>
      </c>
      <c r="F2397">
        <v>1</v>
      </c>
      <c r="G2397">
        <f>LOG(382/(1+1))</f>
        <v>2.2810333672477277</v>
      </c>
      <c r="H2397">
        <f>0.0212765957446808*5.25227342804663</f>
        <v>0.11175049846907696</v>
      </c>
      <c r="I2397">
        <v>0.1117504984690772</v>
      </c>
    </row>
    <row r="2398" spans="1:9" x14ac:dyDescent="0.25">
      <c r="A2398">
        <v>269</v>
      </c>
      <c r="B2398" t="s">
        <v>1229</v>
      </c>
      <c r="C2398" t="s">
        <v>48</v>
      </c>
      <c r="D2398" t="s">
        <v>289</v>
      </c>
      <c r="E2398">
        <f>1/47</f>
        <v>2.1276595744680851E-2</v>
      </c>
      <c r="F2398">
        <v>8</v>
      </c>
      <c r="G2398">
        <f>LOG(382/(8+1))</f>
        <v>1.6278208534723839</v>
      </c>
      <c r="H2398">
        <f>0.0212765957446808*3.74819603127035</f>
        <v>7.9748851729156189E-2</v>
      </c>
      <c r="I2398">
        <v>7.9748851729156509E-2</v>
      </c>
    </row>
    <row r="2399" spans="1:9" x14ac:dyDescent="0.25">
      <c r="A2399">
        <v>269</v>
      </c>
      <c r="B2399" t="s">
        <v>1229</v>
      </c>
      <c r="C2399" t="s">
        <v>48</v>
      </c>
      <c r="D2399" t="s">
        <v>295</v>
      </c>
      <c r="E2399">
        <f>1/47</f>
        <v>2.1276595744680851E-2</v>
      </c>
      <c r="F2399">
        <v>5</v>
      </c>
      <c r="G2399">
        <f>LOG(382/(5+1))</f>
        <v>1.803912112528065</v>
      </c>
      <c r="H2399">
        <f>0.0212765957446808*4.15366113937852</f>
        <v>8.8375768922947018E-2</v>
      </c>
      <c r="I2399">
        <v>8.8375768922947226E-2</v>
      </c>
    </row>
    <row r="2400" spans="1:9" x14ac:dyDescent="0.25">
      <c r="A2400">
        <v>269</v>
      </c>
      <c r="B2400" t="s">
        <v>1229</v>
      </c>
      <c r="C2400" t="s">
        <v>48</v>
      </c>
      <c r="D2400" t="s">
        <v>276</v>
      </c>
      <c r="E2400">
        <f>1/47</f>
        <v>2.1276595744680851E-2</v>
      </c>
      <c r="F2400">
        <v>10</v>
      </c>
      <c r="G2400">
        <f>LOG(382/(10+1))</f>
        <v>1.5406706777534838</v>
      </c>
      <c r="H2400">
        <f>0.0212765957446808*3.5475253358082</f>
        <v>7.5479262464004077E-2</v>
      </c>
      <c r="I2400">
        <v>7.5479262464004354E-2</v>
      </c>
    </row>
    <row r="2401" spans="1:9" x14ac:dyDescent="0.25">
      <c r="A2401">
        <v>269</v>
      </c>
      <c r="B2401" t="s">
        <v>1229</v>
      </c>
      <c r="C2401" t="s">
        <v>48</v>
      </c>
      <c r="D2401" t="s">
        <v>104</v>
      </c>
      <c r="E2401">
        <f>1/47</f>
        <v>2.1276595744680851E-2</v>
      </c>
      <c r="F2401">
        <v>49</v>
      </c>
      <c r="G2401">
        <f>LOG(382/(49+1))</f>
        <v>0.88309335857568994</v>
      </c>
      <c r="H2401">
        <f>0.0212765957446808*2.03339760317842</f>
        <v>4.3263778791030105E-2</v>
      </c>
      <c r="I2401">
        <v>4.3263778791030397E-2</v>
      </c>
    </row>
    <row r="2402" spans="1:9" x14ac:dyDescent="0.25">
      <c r="A2402">
        <v>269</v>
      </c>
      <c r="B2402" t="s">
        <v>1229</v>
      </c>
      <c r="C2402" t="s">
        <v>48</v>
      </c>
      <c r="D2402" t="s">
        <v>726</v>
      </c>
      <c r="E2402">
        <f>3/47</f>
        <v>6.3829787234042548E-2</v>
      </c>
      <c r="F2402">
        <v>37</v>
      </c>
      <c r="G2402">
        <f>LOG(382/(37+1))</f>
        <v>1.0022797662948986</v>
      </c>
      <c r="H2402">
        <f>0.0638297872340425*2.30783444888018</f>
        <v>0.14730858184341564</v>
      </c>
      <c r="I2402">
        <v>0.1473085818434163</v>
      </c>
    </row>
    <row r="2403" spans="1:9" x14ac:dyDescent="0.25">
      <c r="A2403">
        <v>269</v>
      </c>
      <c r="B2403" t="s">
        <v>1229</v>
      </c>
      <c r="C2403" t="s">
        <v>48</v>
      </c>
      <c r="D2403" t="s">
        <v>22</v>
      </c>
      <c r="E2403">
        <f t="shared" ref="E2403:E2416" si="105">1/47</f>
        <v>2.1276595744680851E-2</v>
      </c>
      <c r="F2403">
        <v>259</v>
      </c>
      <c r="G2403">
        <f>LOG(382/(259+1))</f>
        <v>0.16709001494089079</v>
      </c>
      <c r="H2403">
        <f>0.0212765957446808*0.384738977591047</f>
        <v>8.1859356934265125E-3</v>
      </c>
      <c r="I2403">
        <v>8.1859356934265437E-3</v>
      </c>
    </row>
    <row r="2404" spans="1:9" x14ac:dyDescent="0.25">
      <c r="A2404">
        <v>269</v>
      </c>
      <c r="B2404" t="s">
        <v>1229</v>
      </c>
      <c r="C2404" t="s">
        <v>48</v>
      </c>
      <c r="D2404" t="s">
        <v>23</v>
      </c>
      <c r="E2404">
        <f t="shared" si="105"/>
        <v>2.1276595744680851E-2</v>
      </c>
      <c r="F2404">
        <v>275</v>
      </c>
      <c r="G2404">
        <f>LOG(382/(275+1))</f>
        <v>0.14115428084649101</v>
      </c>
      <c r="H2404">
        <f>0.0212765957446808*0.325019742889425</f>
        <v>6.915313678498387E-3</v>
      </c>
      <c r="I2404">
        <v>6.915313678498407E-3</v>
      </c>
    </row>
    <row r="2405" spans="1:9" x14ac:dyDescent="0.25">
      <c r="A2405">
        <v>269</v>
      </c>
      <c r="B2405" t="s">
        <v>1229</v>
      </c>
      <c r="C2405" t="s">
        <v>48</v>
      </c>
      <c r="D2405" t="s">
        <v>31</v>
      </c>
      <c r="E2405">
        <f t="shared" si="105"/>
        <v>2.1276595744680851E-2</v>
      </c>
      <c r="F2405">
        <v>31</v>
      </c>
      <c r="G2405">
        <f>LOG(382/(31+1))</f>
        <v>1.0769133845918029</v>
      </c>
      <c r="H2405">
        <f>0.0212765957446808*2.47968470580684</f>
        <v>5.2759249059719869E-2</v>
      </c>
      <c r="I2405">
        <v>5.2759249059720181E-2</v>
      </c>
    </row>
    <row r="2406" spans="1:9" x14ac:dyDescent="0.25">
      <c r="A2406">
        <v>269</v>
      </c>
      <c r="B2406" t="s">
        <v>1229</v>
      </c>
      <c r="C2406" t="s">
        <v>48</v>
      </c>
      <c r="D2406" t="s">
        <v>1232</v>
      </c>
      <c r="E2406">
        <f t="shared" si="105"/>
        <v>2.1276595744680851E-2</v>
      </c>
      <c r="F2406">
        <v>2</v>
      </c>
      <c r="G2406">
        <f>LOG(382/(2+1))</f>
        <v>2.1049421081920463</v>
      </c>
      <c r="H2406">
        <f>0.0212765957446808*4.84680831993846</f>
        <v>0.10312358127528613</v>
      </c>
      <c r="I2406">
        <v>0.10312358127528649</v>
      </c>
    </row>
    <row r="2407" spans="1:9" x14ac:dyDescent="0.25">
      <c r="A2407">
        <v>269</v>
      </c>
      <c r="B2407" t="s">
        <v>1229</v>
      </c>
      <c r="C2407" t="s">
        <v>48</v>
      </c>
      <c r="D2407" t="s">
        <v>1233</v>
      </c>
      <c r="E2407">
        <f t="shared" si="105"/>
        <v>2.1276595744680851E-2</v>
      </c>
      <c r="F2407">
        <v>4</v>
      </c>
      <c r="G2407">
        <f>LOG(382/(4+1))</f>
        <v>1.8830933585756899</v>
      </c>
      <c r="H2407">
        <f>0.0212765957446808*4.33598269617247</f>
        <v>9.2254950982392753E-2</v>
      </c>
      <c r="I2407">
        <v>9.2254950982393072E-2</v>
      </c>
    </row>
    <row r="2408" spans="1:9" x14ac:dyDescent="0.25">
      <c r="A2408">
        <v>269</v>
      </c>
      <c r="B2408" t="s">
        <v>1229</v>
      </c>
      <c r="C2408" t="s">
        <v>48</v>
      </c>
      <c r="D2408" t="s">
        <v>25</v>
      </c>
      <c r="E2408">
        <f t="shared" si="105"/>
        <v>2.1276595744680851E-2</v>
      </c>
      <c r="F2408">
        <v>106</v>
      </c>
      <c r="G2408">
        <f>LOG(382/(106+1))</f>
        <v>0.55267958522649907</v>
      </c>
      <c r="H2408">
        <f>0.0212765957446808*1.27259177414466</f>
        <v>2.7076420726482059E-2</v>
      </c>
      <c r="I2408">
        <v>2.7076420726482319E-2</v>
      </c>
    </row>
    <row r="2409" spans="1:9" x14ac:dyDescent="0.25">
      <c r="A2409">
        <v>269</v>
      </c>
      <c r="B2409" t="s">
        <v>1229</v>
      </c>
      <c r="C2409" t="s">
        <v>48</v>
      </c>
      <c r="D2409" t="s">
        <v>26</v>
      </c>
      <c r="E2409">
        <f t="shared" si="105"/>
        <v>2.1276595744680851E-2</v>
      </c>
      <c r="F2409">
        <v>40</v>
      </c>
      <c r="G2409">
        <f>LOG(382/(40+1))</f>
        <v>0.96927950619197323</v>
      </c>
      <c r="H2409">
        <f>0.0212765957446808*2.23184854190226</f>
        <v>4.7486139189409665E-2</v>
      </c>
      <c r="I2409">
        <v>4.7486139189409943E-2</v>
      </c>
    </row>
    <row r="2410" spans="1:9" x14ac:dyDescent="0.25">
      <c r="A2410">
        <v>269</v>
      </c>
      <c r="B2410" t="s">
        <v>1229</v>
      </c>
      <c r="C2410" t="s">
        <v>48</v>
      </c>
      <c r="D2410" t="s">
        <v>1234</v>
      </c>
      <c r="E2410">
        <f t="shared" si="105"/>
        <v>2.1276595744680851E-2</v>
      </c>
      <c r="F2410">
        <v>3</v>
      </c>
      <c r="G2410">
        <f>LOG(382/(3+1))</f>
        <v>1.9800033715837464</v>
      </c>
      <c r="H2410">
        <f>0.0212765957446808*4.55912624748668</f>
        <v>9.7002686116737638E-2</v>
      </c>
      <c r="I2410">
        <v>9.7002686116737971E-2</v>
      </c>
    </row>
    <row r="2411" spans="1:9" x14ac:dyDescent="0.25">
      <c r="A2411">
        <v>269</v>
      </c>
      <c r="B2411" t="s">
        <v>1229</v>
      </c>
      <c r="C2411" t="s">
        <v>48</v>
      </c>
      <c r="D2411" t="s">
        <v>1235</v>
      </c>
      <c r="E2411">
        <f t="shared" si="105"/>
        <v>2.1276595744680851E-2</v>
      </c>
      <c r="F2411">
        <v>6</v>
      </c>
      <c r="G2411">
        <f>LOG(382/(6+1))</f>
        <v>1.736965322897452</v>
      </c>
      <c r="H2411">
        <f>0.0212765957446808*3.99951045955126</f>
        <v>8.5095967224494681E-2</v>
      </c>
      <c r="I2411">
        <v>8.5095967224494931E-2</v>
      </c>
    </row>
    <row r="2412" spans="1:9" x14ac:dyDescent="0.25">
      <c r="A2412">
        <v>269</v>
      </c>
      <c r="B2412" t="s">
        <v>1229</v>
      </c>
      <c r="C2412" t="s">
        <v>48</v>
      </c>
      <c r="D2412" t="s">
        <v>28</v>
      </c>
      <c r="E2412">
        <f t="shared" si="105"/>
        <v>2.1276595744680851E-2</v>
      </c>
      <c r="F2412">
        <v>35</v>
      </c>
      <c r="G2412">
        <f>LOG(382/(35+1))</f>
        <v>1.0257608621444214</v>
      </c>
      <c r="H2412">
        <f>0.0212765957446808*2.36190167015046</f>
        <v>5.0253227024477751E-2</v>
      </c>
      <c r="I2412">
        <v>5.0253227024477973E-2</v>
      </c>
    </row>
    <row r="2413" spans="1:9" x14ac:dyDescent="0.25">
      <c r="A2413">
        <v>269</v>
      </c>
      <c r="B2413" t="s">
        <v>1229</v>
      </c>
      <c r="C2413" t="s">
        <v>48</v>
      </c>
      <c r="D2413" t="s">
        <v>476</v>
      </c>
      <c r="E2413">
        <f t="shared" si="105"/>
        <v>2.1276595744680851E-2</v>
      </c>
      <c r="F2413">
        <v>18</v>
      </c>
      <c r="G2413">
        <f>LOG(382/(18+1))</f>
        <v>1.3033097619588798</v>
      </c>
      <c r="H2413">
        <f>0.0212765957446808*3.00098162944013</f>
        <v>6.3850672966811128E-2</v>
      </c>
      <c r="I2413">
        <v>6.3850672966811378E-2</v>
      </c>
    </row>
    <row r="2414" spans="1:9" x14ac:dyDescent="0.25">
      <c r="A2414">
        <v>269</v>
      </c>
      <c r="B2414" t="s">
        <v>1229</v>
      </c>
      <c r="C2414" t="s">
        <v>48</v>
      </c>
      <c r="D2414" t="s">
        <v>929</v>
      </c>
      <c r="E2414">
        <f t="shared" si="105"/>
        <v>2.1276595744680851E-2</v>
      </c>
      <c r="F2414">
        <v>32</v>
      </c>
      <c r="G2414">
        <f>LOG(382/(32+1))</f>
        <v>1.0635494230338212</v>
      </c>
      <c r="H2414">
        <f>0.0212765957446808*2.44891304714009</f>
        <v>5.2104532917874133E-2</v>
      </c>
      <c r="I2414">
        <v>5.2104532917874362E-2</v>
      </c>
    </row>
    <row r="2415" spans="1:9" x14ac:dyDescent="0.25">
      <c r="A2415">
        <v>269</v>
      </c>
      <c r="B2415" t="s">
        <v>1229</v>
      </c>
      <c r="C2415" t="s">
        <v>48</v>
      </c>
      <c r="D2415" t="s">
        <v>716</v>
      </c>
      <c r="E2415">
        <f t="shared" si="105"/>
        <v>2.1276595744680851E-2</v>
      </c>
      <c r="F2415">
        <v>13</v>
      </c>
      <c r="G2415">
        <f>LOG(382/(13+1))</f>
        <v>1.4359353272334707</v>
      </c>
      <c r="H2415">
        <f>0.0212765957446808*3.30636327899131</f>
        <v>7.0348154872155358E-2</v>
      </c>
      <c r="I2415">
        <v>7.0348154872155663E-2</v>
      </c>
    </row>
    <row r="2416" spans="1:9" x14ac:dyDescent="0.25">
      <c r="A2416">
        <v>269</v>
      </c>
      <c r="B2416" t="s">
        <v>1229</v>
      </c>
      <c r="C2416" t="s">
        <v>48</v>
      </c>
      <c r="D2416" t="s">
        <v>15</v>
      </c>
      <c r="E2416">
        <f t="shared" si="105"/>
        <v>2.1276595744680851E-2</v>
      </c>
      <c r="F2416">
        <v>112</v>
      </c>
      <c r="G2416">
        <f>LOG(382/(112+1))</f>
        <v>0.52898491942828896</v>
      </c>
      <c r="H2416">
        <f>0.0212765957446808*1.21803278989423</f>
        <v>2.5915591274345257E-2</v>
      </c>
      <c r="I2416">
        <v>2.591559127434542E-2</v>
      </c>
    </row>
    <row r="2417" spans="1:9" x14ac:dyDescent="0.25">
      <c r="A2417">
        <v>269</v>
      </c>
      <c r="B2417" t="s">
        <v>1229</v>
      </c>
      <c r="C2417" t="s">
        <v>48</v>
      </c>
      <c r="D2417" t="s">
        <v>17</v>
      </c>
      <c r="E2417">
        <f>2/47</f>
        <v>4.2553191489361701E-2</v>
      </c>
      <c r="F2417">
        <v>169</v>
      </c>
      <c r="G2417">
        <f>LOG(382/(169+1))</f>
        <v>0.3516144415334348</v>
      </c>
      <c r="H2417">
        <f>0.0425531914893617*0.809622171556313</f>
        <v>3.4452007300268636E-2</v>
      </c>
      <c r="I2417">
        <v>3.4452007300268657E-2</v>
      </c>
    </row>
    <row r="2418" spans="1:9" x14ac:dyDescent="0.25">
      <c r="A2418">
        <v>269</v>
      </c>
      <c r="B2418" t="s">
        <v>1229</v>
      </c>
      <c r="C2418" t="s">
        <v>48</v>
      </c>
      <c r="D2418" t="s">
        <v>250</v>
      </c>
      <c r="E2418">
        <f>1/47</f>
        <v>2.1276595744680851E-2</v>
      </c>
      <c r="F2418">
        <v>14</v>
      </c>
      <c r="G2418">
        <f>LOG(382/(14+1))</f>
        <v>1.4059721038560276</v>
      </c>
      <c r="H2418">
        <f>0.0212765957446808*3.23737040750436</f>
        <v>6.8880221436262809E-2</v>
      </c>
      <c r="I2418">
        <v>6.8880221436263087E-2</v>
      </c>
    </row>
    <row r="2419" spans="1:9" x14ac:dyDescent="0.25">
      <c r="A2419">
        <v>269</v>
      </c>
      <c r="B2419" t="s">
        <v>1229</v>
      </c>
      <c r="C2419" t="s">
        <v>48</v>
      </c>
      <c r="D2419" t="s">
        <v>251</v>
      </c>
      <c r="E2419">
        <f>1/47</f>
        <v>2.1276595744680851E-2</v>
      </c>
      <c r="F2419">
        <v>6</v>
      </c>
      <c r="G2419">
        <f>LOG(382/(6+1))</f>
        <v>1.736965322897452</v>
      </c>
      <c r="H2419">
        <f>0.0212765957446808*3.99951045955126</f>
        <v>8.5095967224494681E-2</v>
      </c>
      <c r="I2419">
        <v>8.5095967224494931E-2</v>
      </c>
    </row>
    <row r="2420" spans="1:9" x14ac:dyDescent="0.25">
      <c r="A2420">
        <v>269</v>
      </c>
      <c r="B2420" t="s">
        <v>1229</v>
      </c>
      <c r="C2420" t="s">
        <v>48</v>
      </c>
      <c r="D2420" t="s">
        <v>920</v>
      </c>
      <c r="E2420">
        <f>1/47</f>
        <v>2.1276595744680851E-2</v>
      </c>
      <c r="F2420">
        <v>30</v>
      </c>
      <c r="G2420">
        <f>LOG(382/(30+1))</f>
        <v>1.090701669077436</v>
      </c>
      <c r="H2420">
        <f>0.0212765957446808*2.51143340412142</f>
        <v>5.3434753279179022E-2</v>
      </c>
      <c r="I2420">
        <v>5.3434753279179341E-2</v>
      </c>
    </row>
    <row r="2421" spans="1:9" x14ac:dyDescent="0.25">
      <c r="A2421">
        <v>269</v>
      </c>
      <c r="B2421" t="s">
        <v>1229</v>
      </c>
      <c r="C2421" t="s">
        <v>48</v>
      </c>
      <c r="D2421" t="s">
        <v>19</v>
      </c>
      <c r="E2421">
        <f>1/47</f>
        <v>2.1276595744680851E-2</v>
      </c>
      <c r="F2421">
        <v>220</v>
      </c>
      <c r="G2421">
        <f>LOG(382/(220+1))</f>
        <v>0.23767108922659805</v>
      </c>
      <c r="H2421">
        <f>0.0212765957446808*0.547257907088822</f>
        <v>1.1643785257208951E-2</v>
      </c>
      <c r="I2421">
        <v>1.164378525720899E-2</v>
      </c>
    </row>
    <row r="2422" spans="1:9" x14ac:dyDescent="0.25">
      <c r="A2422">
        <v>269</v>
      </c>
      <c r="B2422" t="s">
        <v>1229</v>
      </c>
      <c r="C2422" t="s">
        <v>48</v>
      </c>
      <c r="D2422" t="s">
        <v>44</v>
      </c>
      <c r="E2422">
        <f>1/47</f>
        <v>2.1276595744680851E-2</v>
      </c>
      <c r="F2422">
        <v>151</v>
      </c>
      <c r="G2422">
        <f>LOG(382/(151+1))</f>
        <v>0.40021977496693617</v>
      </c>
      <c r="H2422">
        <f>0.0212765957446808*0.921540087760298</f>
        <v>1.9607235909793526E-2</v>
      </c>
      <c r="I2422">
        <v>1.9607235909793588E-2</v>
      </c>
    </row>
    <row r="2423" spans="1:9" x14ac:dyDescent="0.25">
      <c r="A2423">
        <v>270</v>
      </c>
      <c r="B2423" t="s">
        <v>1236</v>
      </c>
      <c r="C2423" t="s">
        <v>48</v>
      </c>
      <c r="D2423" t="s">
        <v>1237</v>
      </c>
      <c r="E2423">
        <f>3/25</f>
        <v>0.12</v>
      </c>
      <c r="F2423">
        <v>2</v>
      </c>
      <c r="G2423">
        <f>LOG(382/(2+1))</f>
        <v>2.1049421081920463</v>
      </c>
      <c r="H2423">
        <f>0.12*4.84680831993846</f>
        <v>0.58161699839261516</v>
      </c>
      <c r="I2423">
        <v>0.58161699839261582</v>
      </c>
    </row>
    <row r="2424" spans="1:9" x14ac:dyDescent="0.25">
      <c r="A2424">
        <v>270</v>
      </c>
      <c r="B2424" t="s">
        <v>1236</v>
      </c>
      <c r="C2424" t="s">
        <v>48</v>
      </c>
      <c r="D2424" t="s">
        <v>259</v>
      </c>
      <c r="E2424">
        <f>1/25</f>
        <v>0.04</v>
      </c>
      <c r="F2424">
        <v>11</v>
      </c>
      <c r="G2424">
        <f>LOG(382/(11+1))</f>
        <v>1.5028821168640838</v>
      </c>
      <c r="H2424">
        <f>0.04*3.46051395881857</f>
        <v>0.13842055835274281</v>
      </c>
      <c r="I2424">
        <v>0.138420558352743</v>
      </c>
    </row>
    <row r="2425" spans="1:9" x14ac:dyDescent="0.25">
      <c r="A2425">
        <v>270</v>
      </c>
      <c r="B2425" t="s">
        <v>1236</v>
      </c>
      <c r="C2425" t="s">
        <v>48</v>
      </c>
      <c r="D2425" t="s">
        <v>50</v>
      </c>
      <c r="E2425">
        <f>2/25</f>
        <v>0.08</v>
      </c>
      <c r="F2425">
        <v>109</v>
      </c>
      <c r="G2425">
        <f>LOG(382/(109+1))</f>
        <v>0.54067067775348365</v>
      </c>
      <c r="H2425">
        <f>0.08*1.24494024281415</f>
        <v>9.9595219425132012E-2</v>
      </c>
      <c r="I2425">
        <v>9.9595219425132719E-2</v>
      </c>
    </row>
    <row r="2426" spans="1:9" x14ac:dyDescent="0.25">
      <c r="A2426">
        <v>270</v>
      </c>
      <c r="B2426" t="s">
        <v>1236</v>
      </c>
      <c r="C2426" t="s">
        <v>48</v>
      </c>
      <c r="E2426">
        <f>1/25</f>
        <v>0.04</v>
      </c>
      <c r="F2426">
        <v>20</v>
      </c>
      <c r="G2426">
        <f>LOG(382/(20+1))</f>
        <v>1.2598440681777894</v>
      </c>
      <c r="H2426">
        <f>0.04*2.90089817088315</f>
        <v>0.116035926835326</v>
      </c>
      <c r="I2426">
        <v>0.1160359268353261</v>
      </c>
    </row>
    <row r="2427" spans="1:9" x14ac:dyDescent="0.25">
      <c r="A2427">
        <v>270</v>
      </c>
      <c r="B2427" t="s">
        <v>1236</v>
      </c>
      <c r="C2427" t="s">
        <v>48</v>
      </c>
      <c r="D2427" t="s">
        <v>38</v>
      </c>
      <c r="E2427">
        <f>1/25</f>
        <v>0.04</v>
      </c>
      <c r="F2427">
        <v>86</v>
      </c>
      <c r="G2427">
        <f>LOG(382/(86+1))</f>
        <v>0.64254411029309022</v>
      </c>
      <c r="H2427">
        <f>0.04*1.47951248995199</f>
        <v>5.9180499598079604E-2</v>
      </c>
      <c r="I2427">
        <v>5.9180499598079653E-2</v>
      </c>
    </row>
    <row r="2428" spans="1:9" x14ac:dyDescent="0.25">
      <c r="A2428">
        <v>270</v>
      </c>
      <c r="B2428" t="s">
        <v>1236</v>
      </c>
      <c r="C2428" t="s">
        <v>48</v>
      </c>
      <c r="D2428" t="s">
        <v>189</v>
      </c>
      <c r="E2428">
        <f>3/25</f>
        <v>0.12</v>
      </c>
      <c r="F2428">
        <v>27</v>
      </c>
      <c r="G2428">
        <f>LOG(382/(27+1))</f>
        <v>1.1349053315694895</v>
      </c>
      <c r="H2428">
        <f>0.12*2.61321609843137</f>
        <v>0.31358593181176442</v>
      </c>
      <c r="I2428">
        <v>0.31358593181176447</v>
      </c>
    </row>
    <row r="2429" spans="1:9" x14ac:dyDescent="0.25">
      <c r="A2429">
        <v>270</v>
      </c>
      <c r="B2429" t="s">
        <v>1236</v>
      </c>
      <c r="C2429" t="s">
        <v>48</v>
      </c>
      <c r="D2429" t="s">
        <v>94</v>
      </c>
      <c r="E2429">
        <f t="shared" ref="E2429:E2437" si="106">1/25</f>
        <v>0.04</v>
      </c>
      <c r="F2429">
        <v>12</v>
      </c>
      <c r="G2429">
        <f>LOG(382/(12+1))</f>
        <v>1.468120010604872</v>
      </c>
      <c r="H2429">
        <f>0.04*3.38047125114503</f>
        <v>0.1352188500458012</v>
      </c>
      <c r="I2429">
        <v>0.13521885004580159</v>
      </c>
    </row>
    <row r="2430" spans="1:9" x14ac:dyDescent="0.25">
      <c r="A2430">
        <v>270</v>
      </c>
      <c r="B2430" t="s">
        <v>1236</v>
      </c>
      <c r="C2430" t="s">
        <v>48</v>
      </c>
      <c r="D2430" t="s">
        <v>41</v>
      </c>
      <c r="E2430">
        <f t="shared" si="106"/>
        <v>0.04</v>
      </c>
      <c r="F2430">
        <v>195</v>
      </c>
      <c r="G2430">
        <f>LOG(382/(195+1))</f>
        <v>0.28980729155523272</v>
      </c>
      <c r="H2430">
        <f>0.04*0.667305949376058</f>
        <v>2.6692237975042322E-2</v>
      </c>
      <c r="I2430">
        <v>2.6692237975042318E-2</v>
      </c>
    </row>
    <row r="2431" spans="1:9" x14ac:dyDescent="0.25">
      <c r="A2431">
        <v>270</v>
      </c>
      <c r="B2431" t="s">
        <v>1236</v>
      </c>
      <c r="C2431" t="s">
        <v>48</v>
      </c>
      <c r="D2431" t="s">
        <v>190</v>
      </c>
      <c r="E2431">
        <f t="shared" si="106"/>
        <v>0.04</v>
      </c>
      <c r="F2431">
        <v>23</v>
      </c>
      <c r="G2431">
        <f>LOG(382/(23+1))</f>
        <v>1.2018521212001028</v>
      </c>
      <c r="H2431">
        <f>0.04*2.76736677825862</f>
        <v>0.11069467113034481</v>
      </c>
      <c r="I2431">
        <v>0.1106946711303452</v>
      </c>
    </row>
    <row r="2432" spans="1:9" x14ac:dyDescent="0.25">
      <c r="A2432">
        <v>270</v>
      </c>
      <c r="B2432" t="s">
        <v>1236</v>
      </c>
      <c r="C2432" t="s">
        <v>48</v>
      </c>
      <c r="D2432" t="s">
        <v>17</v>
      </c>
      <c r="E2432">
        <f t="shared" si="106"/>
        <v>0.04</v>
      </c>
      <c r="F2432">
        <v>169</v>
      </c>
      <c r="G2432">
        <f>LOG(382/(169+1))</f>
        <v>0.3516144415334348</v>
      </c>
      <c r="H2432">
        <f>0.04*0.809622171556313</f>
        <v>3.2384886862252521E-2</v>
      </c>
      <c r="I2432">
        <v>3.2384886862252528E-2</v>
      </c>
    </row>
    <row r="2433" spans="1:9" x14ac:dyDescent="0.25">
      <c r="A2433">
        <v>270</v>
      </c>
      <c r="B2433" t="s">
        <v>1236</v>
      </c>
      <c r="C2433" t="s">
        <v>48</v>
      </c>
      <c r="D2433" t="s">
        <v>158</v>
      </c>
      <c r="E2433">
        <f t="shared" si="106"/>
        <v>0.04</v>
      </c>
      <c r="F2433">
        <v>5</v>
      </c>
      <c r="G2433">
        <f>LOG(382/(5+1))</f>
        <v>1.803912112528065</v>
      </c>
      <c r="H2433">
        <f>0.04*4.15366113937852</f>
        <v>0.1661464455751408</v>
      </c>
      <c r="I2433">
        <v>0.1661464455751408</v>
      </c>
    </row>
    <row r="2434" spans="1:9" x14ac:dyDescent="0.25">
      <c r="A2434">
        <v>270</v>
      </c>
      <c r="B2434" t="s">
        <v>1236</v>
      </c>
      <c r="C2434" t="s">
        <v>48</v>
      </c>
      <c r="D2434" t="s">
        <v>19</v>
      </c>
      <c r="E2434">
        <f t="shared" si="106"/>
        <v>0.04</v>
      </c>
      <c r="F2434">
        <v>220</v>
      </c>
      <c r="G2434">
        <f>LOG(382/(220+1))</f>
        <v>0.23767108922659805</v>
      </c>
      <c r="H2434">
        <f>0.04*0.547257907088822</f>
        <v>2.1890316283552883E-2</v>
      </c>
      <c r="I2434">
        <v>2.18903162835529E-2</v>
      </c>
    </row>
    <row r="2435" spans="1:9" x14ac:dyDescent="0.25">
      <c r="A2435">
        <v>270</v>
      </c>
      <c r="B2435" t="s">
        <v>1236</v>
      </c>
      <c r="C2435" t="s">
        <v>48</v>
      </c>
      <c r="D2435" t="s">
        <v>1238</v>
      </c>
      <c r="E2435">
        <f t="shared" si="106"/>
        <v>0.04</v>
      </c>
      <c r="F2435">
        <v>10</v>
      </c>
      <c r="G2435">
        <f>LOG(382/(10+1))</f>
        <v>1.5406706777534838</v>
      </c>
      <c r="H2435">
        <f>0.04*3.5475253358082</f>
        <v>0.141901013432328</v>
      </c>
      <c r="I2435">
        <v>0.14190101343232819</v>
      </c>
    </row>
    <row r="2436" spans="1:9" x14ac:dyDescent="0.25">
      <c r="A2436">
        <v>270</v>
      </c>
      <c r="B2436" t="s">
        <v>1236</v>
      </c>
      <c r="C2436" t="s">
        <v>48</v>
      </c>
      <c r="D2436" t="s">
        <v>23</v>
      </c>
      <c r="E2436">
        <f t="shared" si="106"/>
        <v>0.04</v>
      </c>
      <c r="F2436">
        <v>275</v>
      </c>
      <c r="G2436">
        <f>LOG(382/(275+1))</f>
        <v>0.14115428084649101</v>
      </c>
      <c r="H2436">
        <f>0.04*0.325019742889425</f>
        <v>1.3000789715576999E-2</v>
      </c>
      <c r="I2436">
        <v>1.300078971557701E-2</v>
      </c>
    </row>
    <row r="2437" spans="1:9" x14ac:dyDescent="0.25">
      <c r="A2437">
        <v>270</v>
      </c>
      <c r="B2437" t="s">
        <v>1236</v>
      </c>
      <c r="C2437" t="s">
        <v>48</v>
      </c>
      <c r="D2437" t="s">
        <v>1239</v>
      </c>
      <c r="E2437">
        <f t="shared" si="106"/>
        <v>0.04</v>
      </c>
      <c r="F2437">
        <v>2</v>
      </c>
      <c r="G2437">
        <f>LOG(382/(2+1))</f>
        <v>2.1049421081920463</v>
      </c>
      <c r="H2437">
        <f>0.04*4.84680831993846</f>
        <v>0.1938723327975384</v>
      </c>
      <c r="I2437">
        <v>0.1938723327975386</v>
      </c>
    </row>
    <row r="2438" spans="1:9" x14ac:dyDescent="0.25">
      <c r="A2438">
        <v>270</v>
      </c>
      <c r="B2438" t="s">
        <v>1236</v>
      </c>
      <c r="C2438" t="s">
        <v>48</v>
      </c>
      <c r="D2438" t="s">
        <v>1240</v>
      </c>
      <c r="E2438">
        <f>2/25</f>
        <v>0.08</v>
      </c>
      <c r="F2438">
        <v>3</v>
      </c>
      <c r="G2438">
        <f>LOG(382/(3+1))</f>
        <v>1.9800033715837464</v>
      </c>
      <c r="H2438">
        <f>0.08*4.55912624748668</f>
        <v>0.36473009979893439</v>
      </c>
      <c r="I2438">
        <v>0.36473009979893478</v>
      </c>
    </row>
    <row r="2439" spans="1:9" x14ac:dyDescent="0.25">
      <c r="A2439">
        <v>270</v>
      </c>
      <c r="B2439" t="s">
        <v>1236</v>
      </c>
      <c r="C2439" t="s">
        <v>48</v>
      </c>
      <c r="D2439" t="s">
        <v>188</v>
      </c>
      <c r="E2439">
        <f>1/25</f>
        <v>0.04</v>
      </c>
      <c r="F2439">
        <v>19</v>
      </c>
      <c r="G2439">
        <f>LOG(382/(19+1))</f>
        <v>1.2810333672477277</v>
      </c>
      <c r="H2439">
        <f>0.04*2.94968833505258</f>
        <v>0.1179875334021032</v>
      </c>
      <c r="I2439">
        <v>0.1179875334021034</v>
      </c>
    </row>
    <row r="2440" spans="1:9" x14ac:dyDescent="0.25">
      <c r="A2440">
        <v>270</v>
      </c>
      <c r="B2440" t="s">
        <v>1236</v>
      </c>
      <c r="C2440" t="s">
        <v>48</v>
      </c>
      <c r="D2440" t="s">
        <v>279</v>
      </c>
      <c r="E2440">
        <f>1/25</f>
        <v>0.04</v>
      </c>
      <c r="F2440">
        <v>22</v>
      </c>
      <c r="G2440">
        <f>LOG(382/(22+1))</f>
        <v>1.2203355268941158</v>
      </c>
      <c r="H2440">
        <f>0.04*2.80992639267742</f>
        <v>0.11239705570709679</v>
      </c>
      <c r="I2440">
        <v>0.112397055707097</v>
      </c>
    </row>
    <row r="2441" spans="1:9" x14ac:dyDescent="0.25">
      <c r="A2441">
        <v>270</v>
      </c>
      <c r="B2441" t="s">
        <v>1236</v>
      </c>
      <c r="C2441" t="s">
        <v>48</v>
      </c>
      <c r="D2441" t="s">
        <v>1241</v>
      </c>
      <c r="E2441">
        <f>1/25</f>
        <v>0.04</v>
      </c>
      <c r="F2441">
        <v>4</v>
      </c>
      <c r="G2441">
        <f>LOG(382/(4+1))</f>
        <v>1.8830933585756899</v>
      </c>
      <c r="H2441">
        <f>0.04*4.33598269617247</f>
        <v>0.17343930784689882</v>
      </c>
      <c r="I2441">
        <v>0.17343930784689901</v>
      </c>
    </row>
    <row r="2442" spans="1:9" x14ac:dyDescent="0.25">
      <c r="A2442">
        <v>271</v>
      </c>
      <c r="B2442" t="s">
        <v>1242</v>
      </c>
      <c r="C2442" t="s">
        <v>48</v>
      </c>
      <c r="D2442" t="s">
        <v>1243</v>
      </c>
      <c r="E2442">
        <f>6/82</f>
        <v>7.3170731707317069E-2</v>
      </c>
      <c r="F2442">
        <v>2</v>
      </c>
      <c r="G2442">
        <f>LOG(382/(2+1))</f>
        <v>2.1049421081920463</v>
      </c>
      <c r="H2442">
        <f>0.073170731707317*4.84680831993846</f>
        <v>0.3546445112150089</v>
      </c>
      <c r="I2442">
        <v>0.35464451121500962</v>
      </c>
    </row>
    <row r="2443" spans="1:9" x14ac:dyDescent="0.25">
      <c r="A2443">
        <v>271</v>
      </c>
      <c r="B2443" t="s">
        <v>1242</v>
      </c>
      <c r="C2443" t="s">
        <v>48</v>
      </c>
      <c r="D2443" t="s">
        <v>129</v>
      </c>
      <c r="E2443">
        <f>6/82</f>
        <v>7.3170731707317069E-2</v>
      </c>
      <c r="F2443">
        <v>7</v>
      </c>
      <c r="G2443">
        <f>LOG(382/(7+1))</f>
        <v>1.6789733759197651</v>
      </c>
      <c r="H2443">
        <f>0.073170731707317*3.86597906692673</f>
        <v>0.28287651709219946</v>
      </c>
      <c r="I2443">
        <v>0.28287651709220041</v>
      </c>
    </row>
    <row r="2444" spans="1:9" x14ac:dyDescent="0.25">
      <c r="A2444">
        <v>271</v>
      </c>
      <c r="B2444" t="s">
        <v>1242</v>
      </c>
      <c r="C2444" t="s">
        <v>48</v>
      </c>
      <c r="D2444" t="s">
        <v>1244</v>
      </c>
      <c r="E2444">
        <f>5/82</f>
        <v>6.097560975609756E-2</v>
      </c>
      <c r="F2444">
        <v>1</v>
      </c>
      <c r="G2444">
        <f>LOG(382/(1+1))</f>
        <v>2.2810333672477277</v>
      </c>
      <c r="H2444">
        <f>0.0609756097560975*5.25227342804663</f>
        <v>0.32026057488089171</v>
      </c>
      <c r="I2444">
        <v>0.32026057488089199</v>
      </c>
    </row>
    <row r="2445" spans="1:9" x14ac:dyDescent="0.25">
      <c r="A2445">
        <v>271</v>
      </c>
      <c r="B2445" t="s">
        <v>1242</v>
      </c>
      <c r="C2445" t="s">
        <v>48</v>
      </c>
      <c r="D2445" t="s">
        <v>1245</v>
      </c>
      <c r="E2445">
        <f>3/82</f>
        <v>3.6585365853658534E-2</v>
      </c>
      <c r="F2445">
        <v>1</v>
      </c>
      <c r="G2445">
        <f>LOG(382/(1+1))</f>
        <v>2.2810333672477277</v>
      </c>
      <c r="H2445">
        <f>0.0365853658536585*5.25227342804663</f>
        <v>0.19215634492853503</v>
      </c>
      <c r="I2445">
        <v>0.1921563449285352</v>
      </c>
    </row>
    <row r="2446" spans="1:9" x14ac:dyDescent="0.25">
      <c r="A2446">
        <v>271</v>
      </c>
      <c r="B2446" t="s">
        <v>1242</v>
      </c>
      <c r="C2446" t="s">
        <v>48</v>
      </c>
      <c r="D2446" t="s">
        <v>183</v>
      </c>
      <c r="E2446">
        <f>7/82</f>
        <v>8.5365853658536592E-2</v>
      </c>
      <c r="F2446">
        <v>46</v>
      </c>
      <c r="G2446">
        <f>LOG(382/(46+1))</f>
        <v>0.90996550497599127</v>
      </c>
      <c r="H2446">
        <f>0.0853658536585365*2.09527300689651</f>
        <v>0.1788647688814092</v>
      </c>
      <c r="I2446">
        <v>0.17886476888141001</v>
      </c>
    </row>
    <row r="2447" spans="1:9" x14ac:dyDescent="0.25">
      <c r="A2447">
        <v>271</v>
      </c>
      <c r="B2447" t="s">
        <v>1242</v>
      </c>
      <c r="C2447" t="s">
        <v>48</v>
      </c>
      <c r="D2447" t="s">
        <v>58</v>
      </c>
      <c r="E2447">
        <f>2/82</f>
        <v>2.4390243902439025E-2</v>
      </c>
      <c r="F2447">
        <v>18</v>
      </c>
      <c r="G2447">
        <f>LOG(382/(18+1))</f>
        <v>1.3033097619588798</v>
      </c>
      <c r="H2447">
        <f>0.024390243902439*3.00098162944013</f>
        <v>7.319467388878359E-2</v>
      </c>
      <c r="I2447">
        <v>7.3194673888783771E-2</v>
      </c>
    </row>
    <row r="2448" spans="1:9" x14ac:dyDescent="0.25">
      <c r="A2448">
        <v>271</v>
      </c>
      <c r="B2448" t="s">
        <v>1242</v>
      </c>
      <c r="C2448" t="s">
        <v>48</v>
      </c>
      <c r="D2448" t="s">
        <v>666</v>
      </c>
      <c r="E2448">
        <f>2/82</f>
        <v>2.4390243902439025E-2</v>
      </c>
      <c r="F2448">
        <v>9</v>
      </c>
      <c r="G2448">
        <f>LOG(382/(9+1))</f>
        <v>1.5820633629117087</v>
      </c>
      <c r="H2448">
        <f>0.024390243902439*3.64283551561252</f>
        <v>8.8849646722256495E-2</v>
      </c>
      <c r="I2448">
        <v>8.8849646722256814E-2</v>
      </c>
    </row>
    <row r="2449" spans="1:9" x14ac:dyDescent="0.25">
      <c r="A2449">
        <v>271</v>
      </c>
      <c r="B2449" t="s">
        <v>1242</v>
      </c>
      <c r="C2449" t="s">
        <v>48</v>
      </c>
      <c r="D2449" t="s">
        <v>189</v>
      </c>
      <c r="E2449">
        <f>2/82</f>
        <v>2.4390243902439025E-2</v>
      </c>
      <c r="F2449">
        <v>27</v>
      </c>
      <c r="G2449">
        <f>LOG(382/(27+1))</f>
        <v>1.1349053315694895</v>
      </c>
      <c r="H2449">
        <f>0.024390243902439*2.61321609843137</f>
        <v>6.3736978010521167E-2</v>
      </c>
      <c r="I2449">
        <v>6.373697801052125E-2</v>
      </c>
    </row>
    <row r="2450" spans="1:9" x14ac:dyDescent="0.25">
      <c r="A2450">
        <v>271</v>
      </c>
      <c r="B2450" t="s">
        <v>1242</v>
      </c>
      <c r="C2450" t="s">
        <v>48</v>
      </c>
      <c r="D2450" t="s">
        <v>1246</v>
      </c>
      <c r="E2450">
        <f>3/82</f>
        <v>3.6585365853658534E-2</v>
      </c>
      <c r="F2450">
        <v>2</v>
      </c>
      <c r="G2450">
        <f>LOG(382/(2+1))</f>
        <v>2.1049421081920463</v>
      </c>
      <c r="H2450">
        <f>0.0365853658536585*4.84680831993846</f>
        <v>0.17732225560750445</v>
      </c>
      <c r="I2450">
        <v>0.17732225560750481</v>
      </c>
    </row>
    <row r="2451" spans="1:9" x14ac:dyDescent="0.25">
      <c r="A2451">
        <v>271</v>
      </c>
      <c r="B2451" t="s">
        <v>1242</v>
      </c>
      <c r="C2451" t="s">
        <v>48</v>
      </c>
      <c r="D2451" t="s">
        <v>15</v>
      </c>
      <c r="E2451">
        <f>1/82</f>
        <v>1.2195121951219513E-2</v>
      </c>
      <c r="F2451">
        <v>112</v>
      </c>
      <c r="G2451">
        <f>LOG(382/(112+1))</f>
        <v>0.52898491942828896</v>
      </c>
      <c r="H2451">
        <f>0.0121951219512195*1.21803278989423</f>
        <v>1.4854058413344255E-2</v>
      </c>
      <c r="I2451">
        <v>1.4854058413344331E-2</v>
      </c>
    </row>
    <row r="2452" spans="1:9" x14ac:dyDescent="0.25">
      <c r="A2452">
        <v>271</v>
      </c>
      <c r="B2452" t="s">
        <v>1242</v>
      </c>
      <c r="C2452" t="s">
        <v>48</v>
      </c>
      <c r="D2452" t="s">
        <v>1247</v>
      </c>
      <c r="E2452">
        <f>1/82</f>
        <v>1.2195121951219513E-2</v>
      </c>
      <c r="F2452">
        <v>1</v>
      </c>
      <c r="G2452">
        <f>LOG(382/(1+1))</f>
        <v>2.2810333672477277</v>
      </c>
      <c r="H2452">
        <f>0.0121951219512195*5.25227342804663</f>
        <v>6.4052114976178354E-2</v>
      </c>
      <c r="I2452">
        <v>6.4052114976178409E-2</v>
      </c>
    </row>
    <row r="2453" spans="1:9" x14ac:dyDescent="0.25">
      <c r="A2453">
        <v>271</v>
      </c>
      <c r="B2453" t="s">
        <v>1242</v>
      </c>
      <c r="C2453" t="s">
        <v>48</v>
      </c>
      <c r="D2453" t="s">
        <v>17</v>
      </c>
      <c r="E2453">
        <f>2/82</f>
        <v>2.4390243902439025E-2</v>
      </c>
      <c r="F2453">
        <v>169</v>
      </c>
      <c r="G2453">
        <f>LOG(382/(169+1))</f>
        <v>0.3516144415334348</v>
      </c>
      <c r="H2453">
        <f>0.024390243902439*0.809622171556313</f>
        <v>1.9746882233080784E-2</v>
      </c>
      <c r="I2453">
        <v>1.9746882233080819E-2</v>
      </c>
    </row>
    <row r="2454" spans="1:9" x14ac:dyDescent="0.25">
      <c r="A2454">
        <v>271</v>
      </c>
      <c r="B2454" t="s">
        <v>1242</v>
      </c>
      <c r="C2454" t="s">
        <v>48</v>
      </c>
      <c r="D2454" t="s">
        <v>1248</v>
      </c>
      <c r="E2454">
        <f>2/82</f>
        <v>2.4390243902439025E-2</v>
      </c>
      <c r="F2454">
        <v>2</v>
      </c>
      <c r="G2454">
        <f>LOG(382/(2+1))</f>
        <v>2.1049421081920463</v>
      </c>
      <c r="H2454">
        <f>0.024390243902439*4.84680831993846</f>
        <v>0.11821483707166965</v>
      </c>
      <c r="I2454">
        <v>0.1182148370716699</v>
      </c>
    </row>
    <row r="2455" spans="1:9" x14ac:dyDescent="0.25">
      <c r="A2455">
        <v>271</v>
      </c>
      <c r="B2455" t="s">
        <v>1242</v>
      </c>
      <c r="C2455" t="s">
        <v>48</v>
      </c>
      <c r="D2455" t="s">
        <v>19</v>
      </c>
      <c r="E2455">
        <f t="shared" ref="E2455:E2460" si="107">1/82</f>
        <v>1.2195121951219513E-2</v>
      </c>
      <c r="F2455">
        <v>220</v>
      </c>
      <c r="G2455">
        <f>LOG(382/(220+1))</f>
        <v>0.23767108922659805</v>
      </c>
      <c r="H2455">
        <f>0.0121951219512195*0.547257907088822</f>
        <v>6.6738769157173358E-3</v>
      </c>
      <c r="I2455">
        <v>6.6738769157173462E-3</v>
      </c>
    </row>
    <row r="2456" spans="1:9" x14ac:dyDescent="0.25">
      <c r="A2456">
        <v>271</v>
      </c>
      <c r="B2456" t="s">
        <v>1242</v>
      </c>
      <c r="C2456" t="s">
        <v>48</v>
      </c>
      <c r="D2456" t="s">
        <v>41</v>
      </c>
      <c r="E2456">
        <f t="shared" si="107"/>
        <v>1.2195121951219513E-2</v>
      </c>
      <c r="F2456">
        <v>195</v>
      </c>
      <c r="G2456">
        <f>LOG(382/(195+1))</f>
        <v>0.28980729155523272</v>
      </c>
      <c r="H2456">
        <f>0.0121951219512195*0.667305949376058</f>
        <v>8.137877431415334E-3</v>
      </c>
      <c r="I2456">
        <v>8.1378774314153426E-3</v>
      </c>
    </row>
    <row r="2457" spans="1:9" x14ac:dyDescent="0.25">
      <c r="A2457">
        <v>271</v>
      </c>
      <c r="B2457" t="s">
        <v>1242</v>
      </c>
      <c r="C2457" t="s">
        <v>48</v>
      </c>
      <c r="D2457" t="s">
        <v>44</v>
      </c>
      <c r="E2457">
        <f t="shared" si="107"/>
        <v>1.2195121951219513E-2</v>
      </c>
      <c r="F2457">
        <v>151</v>
      </c>
      <c r="G2457">
        <f>LOG(382/(151+1))</f>
        <v>0.40021977496693617</v>
      </c>
      <c r="H2457">
        <f>0.0121951219512195*0.921540087760298</f>
        <v>1.1238293753174356E-2</v>
      </c>
      <c r="I2457">
        <v>1.123829375317438E-2</v>
      </c>
    </row>
    <row r="2458" spans="1:9" x14ac:dyDescent="0.25">
      <c r="A2458">
        <v>271</v>
      </c>
      <c r="B2458" t="s">
        <v>1242</v>
      </c>
      <c r="C2458" t="s">
        <v>48</v>
      </c>
      <c r="D2458" t="s">
        <v>114</v>
      </c>
      <c r="E2458">
        <f t="shared" si="107"/>
        <v>1.2195121951219513E-2</v>
      </c>
      <c r="F2458">
        <v>2</v>
      </c>
      <c r="G2458">
        <f>LOG(382/(2+1))</f>
        <v>2.1049421081920463</v>
      </c>
      <c r="H2458">
        <f>0.0121951219512195*4.84680831993846</f>
        <v>5.9107418535834823E-2</v>
      </c>
      <c r="I2458">
        <v>5.9107418535834948E-2</v>
      </c>
    </row>
    <row r="2459" spans="1:9" x14ac:dyDescent="0.25">
      <c r="A2459">
        <v>271</v>
      </c>
      <c r="B2459" t="s">
        <v>1242</v>
      </c>
      <c r="C2459" t="s">
        <v>48</v>
      </c>
      <c r="D2459" t="s">
        <v>38</v>
      </c>
      <c r="E2459">
        <f t="shared" si="107"/>
        <v>1.2195121951219513E-2</v>
      </c>
      <c r="F2459">
        <v>86</v>
      </c>
      <c r="G2459">
        <f>LOG(382/(86+1))</f>
        <v>0.64254411029309022</v>
      </c>
      <c r="H2459">
        <f>0.0121951219512195*1.47951248995199</f>
        <v>1.8042835243316933E-2</v>
      </c>
      <c r="I2459">
        <v>1.8042835243316971E-2</v>
      </c>
    </row>
    <row r="2460" spans="1:9" x14ac:dyDescent="0.25">
      <c r="A2460">
        <v>271</v>
      </c>
      <c r="B2460" t="s">
        <v>1242</v>
      </c>
      <c r="C2460" t="s">
        <v>48</v>
      </c>
      <c r="D2460" t="s">
        <v>564</v>
      </c>
      <c r="E2460">
        <f t="shared" si="107"/>
        <v>1.2195121951219513E-2</v>
      </c>
      <c r="F2460">
        <v>7</v>
      </c>
      <c r="G2460">
        <f>LOG(382/(7+1))</f>
        <v>1.6789733759197651</v>
      </c>
      <c r="H2460">
        <f>0.0121951219512195*3.86597906692673</f>
        <v>4.7146086182033253E-2</v>
      </c>
      <c r="I2460">
        <v>4.7146086182033413E-2</v>
      </c>
    </row>
    <row r="2461" spans="1:9" x14ac:dyDescent="0.25">
      <c r="A2461">
        <v>271</v>
      </c>
      <c r="B2461" t="s">
        <v>1242</v>
      </c>
      <c r="C2461" t="s">
        <v>48</v>
      </c>
      <c r="D2461" t="s">
        <v>140</v>
      </c>
      <c r="E2461">
        <f>2/82</f>
        <v>2.4390243902439025E-2</v>
      </c>
      <c r="F2461">
        <v>7</v>
      </c>
      <c r="G2461">
        <f>LOG(382/(7+1))</f>
        <v>1.6789733759197651</v>
      </c>
      <c r="H2461">
        <f>0.024390243902439*3.86597906692673</f>
        <v>9.4292172364066507E-2</v>
      </c>
      <c r="I2461">
        <v>9.4292172364066812E-2</v>
      </c>
    </row>
    <row r="2462" spans="1:9" x14ac:dyDescent="0.25">
      <c r="A2462">
        <v>271</v>
      </c>
      <c r="B2462" t="s">
        <v>1242</v>
      </c>
      <c r="C2462" t="s">
        <v>48</v>
      </c>
      <c r="D2462" t="s">
        <v>131</v>
      </c>
      <c r="E2462">
        <f t="shared" ref="E2462:E2472" si="108">1/82</f>
        <v>1.2195121951219513E-2</v>
      </c>
      <c r="F2462">
        <v>38</v>
      </c>
      <c r="G2462">
        <f>LOG(382/(38+1))</f>
        <v>0.99099875588520958</v>
      </c>
      <c r="H2462">
        <f>0.0121951219512195*2.28185896247692</f>
        <v>2.7827548322889244E-2</v>
      </c>
      <c r="I2462">
        <v>2.7827548322889379E-2</v>
      </c>
    </row>
    <row r="2463" spans="1:9" x14ac:dyDescent="0.25">
      <c r="A2463">
        <v>271</v>
      </c>
      <c r="B2463" t="s">
        <v>1242</v>
      </c>
      <c r="C2463" t="s">
        <v>48</v>
      </c>
      <c r="D2463" t="s">
        <v>527</v>
      </c>
      <c r="E2463">
        <f t="shared" si="108"/>
        <v>1.2195121951219513E-2</v>
      </c>
      <c r="F2463">
        <v>4</v>
      </c>
      <c r="G2463">
        <f>LOG(382/(4+1))</f>
        <v>1.8830933585756899</v>
      </c>
      <c r="H2463">
        <f>0.0121951219512195*4.33598269617247</f>
        <v>5.2877837758200805E-2</v>
      </c>
      <c r="I2463">
        <v>5.2877837758200923E-2</v>
      </c>
    </row>
    <row r="2464" spans="1:9" x14ac:dyDescent="0.25">
      <c r="A2464">
        <v>271</v>
      </c>
      <c r="B2464" t="s">
        <v>1242</v>
      </c>
      <c r="C2464" t="s">
        <v>48</v>
      </c>
      <c r="D2464" t="s">
        <v>85</v>
      </c>
      <c r="E2464">
        <f t="shared" si="108"/>
        <v>1.2195121951219513E-2</v>
      </c>
      <c r="F2464">
        <v>13</v>
      </c>
      <c r="G2464">
        <f>LOG(382/(13+1))</f>
        <v>1.4359353272334707</v>
      </c>
      <c r="H2464">
        <f>0.0121951219512195*3.30636327899131</f>
        <v>4.0321503402333016E-2</v>
      </c>
      <c r="I2464">
        <v>4.0321503402333127E-2</v>
      </c>
    </row>
    <row r="2465" spans="1:9" x14ac:dyDescent="0.25">
      <c r="A2465">
        <v>271</v>
      </c>
      <c r="B2465" t="s">
        <v>1242</v>
      </c>
      <c r="C2465" t="s">
        <v>48</v>
      </c>
      <c r="D2465" t="s">
        <v>1249</v>
      </c>
      <c r="E2465">
        <f t="shared" si="108"/>
        <v>1.2195121951219513E-2</v>
      </c>
      <c r="F2465">
        <v>1</v>
      </c>
      <c r="G2465">
        <f>LOG(382/(1+1))</f>
        <v>2.2810333672477277</v>
      </c>
      <c r="H2465">
        <f>0.0121951219512195*5.25227342804663</f>
        <v>6.4052114976178354E-2</v>
      </c>
      <c r="I2465">
        <v>6.4052114976178409E-2</v>
      </c>
    </row>
    <row r="2466" spans="1:9" x14ac:dyDescent="0.25">
      <c r="A2466">
        <v>271</v>
      </c>
      <c r="B2466" t="s">
        <v>1242</v>
      </c>
      <c r="C2466" t="s">
        <v>48</v>
      </c>
      <c r="D2466" t="s">
        <v>104</v>
      </c>
      <c r="E2466">
        <f t="shared" si="108"/>
        <v>1.2195121951219513E-2</v>
      </c>
      <c r="F2466">
        <v>49</v>
      </c>
      <c r="G2466">
        <f>LOG(382/(49+1))</f>
        <v>0.88309335857568994</v>
      </c>
      <c r="H2466">
        <f>0.0121951219512195*2.03339760317842</f>
        <v>2.479753174607827E-2</v>
      </c>
      <c r="I2466">
        <v>2.4797531746078402E-2</v>
      </c>
    </row>
    <row r="2467" spans="1:9" x14ac:dyDescent="0.25">
      <c r="A2467">
        <v>271</v>
      </c>
      <c r="B2467" t="s">
        <v>1242</v>
      </c>
      <c r="C2467" t="s">
        <v>48</v>
      </c>
      <c r="D2467" t="s">
        <v>1241</v>
      </c>
      <c r="E2467">
        <f t="shared" si="108"/>
        <v>1.2195121951219513E-2</v>
      </c>
      <c r="F2467">
        <v>4</v>
      </c>
      <c r="G2467">
        <f>LOG(382/(4+1))</f>
        <v>1.8830933585756899</v>
      </c>
      <c r="H2467">
        <f>0.0121951219512195*4.33598269617247</f>
        <v>5.2877837758200805E-2</v>
      </c>
      <c r="I2467">
        <v>5.2877837758200923E-2</v>
      </c>
    </row>
    <row r="2468" spans="1:9" x14ac:dyDescent="0.25">
      <c r="A2468">
        <v>271</v>
      </c>
      <c r="B2468" t="s">
        <v>1242</v>
      </c>
      <c r="C2468" t="s">
        <v>48</v>
      </c>
      <c r="D2468" t="s">
        <v>293</v>
      </c>
      <c r="E2468">
        <f t="shared" si="108"/>
        <v>1.2195121951219513E-2</v>
      </c>
      <c r="F2468">
        <v>8</v>
      </c>
      <c r="G2468">
        <f>LOG(382/(8+1))</f>
        <v>1.6278208534723839</v>
      </c>
      <c r="H2468">
        <f>0.0121951219512195*3.74819603127035</f>
        <v>4.570970769841886E-2</v>
      </c>
      <c r="I2468">
        <v>4.5709707698418971E-2</v>
      </c>
    </row>
    <row r="2469" spans="1:9" x14ac:dyDescent="0.25">
      <c r="A2469">
        <v>271</v>
      </c>
      <c r="B2469" t="s">
        <v>1242</v>
      </c>
      <c r="C2469" t="s">
        <v>48</v>
      </c>
      <c r="D2469" t="s">
        <v>565</v>
      </c>
      <c r="E2469">
        <f t="shared" si="108"/>
        <v>1.2195121951219513E-2</v>
      </c>
      <c r="F2469">
        <v>5</v>
      </c>
      <c r="G2469">
        <f>LOG(382/(5+1))</f>
        <v>1.803912112528065</v>
      </c>
      <c r="H2469">
        <f>0.0121951219512195*4.15366113937852</f>
        <v>5.0654404138762391E-2</v>
      </c>
      <c r="I2469">
        <v>5.0654404138762439E-2</v>
      </c>
    </row>
    <row r="2470" spans="1:9" x14ac:dyDescent="0.25">
      <c r="A2470">
        <v>271</v>
      </c>
      <c r="B2470" t="s">
        <v>1242</v>
      </c>
      <c r="C2470" t="s">
        <v>48</v>
      </c>
      <c r="D2470" t="s">
        <v>310</v>
      </c>
      <c r="E2470">
        <f t="shared" si="108"/>
        <v>1.2195121951219513E-2</v>
      </c>
      <c r="F2470">
        <v>50</v>
      </c>
      <c r="G2470">
        <f>LOG(382/(50+1))</f>
        <v>0.87449318681377242</v>
      </c>
      <c r="H2470">
        <f>0.0121951219512195*2.01359497588224</f>
        <v>2.4556036291246804E-2</v>
      </c>
      <c r="I2470">
        <v>2.455603629124695E-2</v>
      </c>
    </row>
    <row r="2471" spans="1:9" x14ac:dyDescent="0.25">
      <c r="A2471">
        <v>271</v>
      </c>
      <c r="B2471" t="s">
        <v>1242</v>
      </c>
      <c r="C2471" t="s">
        <v>48</v>
      </c>
      <c r="D2471" t="s">
        <v>1250</v>
      </c>
      <c r="E2471">
        <f t="shared" si="108"/>
        <v>1.2195121951219513E-2</v>
      </c>
      <c r="F2471">
        <v>5</v>
      </c>
      <c r="G2471">
        <f>LOG(382/(5+1))</f>
        <v>1.803912112528065</v>
      </c>
      <c r="H2471">
        <f>0.0121951219512195*4.15366113937852</f>
        <v>5.0654404138762391E-2</v>
      </c>
      <c r="I2471">
        <v>5.0654404138762439E-2</v>
      </c>
    </row>
    <row r="2472" spans="1:9" x14ac:dyDescent="0.25">
      <c r="A2472">
        <v>271</v>
      </c>
      <c r="B2472" t="s">
        <v>1242</v>
      </c>
      <c r="C2472" t="s">
        <v>48</v>
      </c>
      <c r="D2472" t="s">
        <v>1251</v>
      </c>
      <c r="E2472">
        <f t="shared" si="108"/>
        <v>1.2195121951219513E-2</v>
      </c>
      <c r="F2472">
        <v>2</v>
      </c>
      <c r="G2472">
        <f>LOG(382/(2+1))</f>
        <v>2.1049421081920463</v>
      </c>
      <c r="H2472">
        <f>0.0121951219512195*4.84680831993846</f>
        <v>5.9107418535834823E-2</v>
      </c>
      <c r="I2472">
        <v>5.9107418535834948E-2</v>
      </c>
    </row>
    <row r="2473" spans="1:9" x14ac:dyDescent="0.25">
      <c r="A2473">
        <v>271</v>
      </c>
      <c r="B2473" t="s">
        <v>1242</v>
      </c>
      <c r="C2473" t="s">
        <v>48</v>
      </c>
      <c r="D2473" t="s">
        <v>953</v>
      </c>
      <c r="E2473">
        <f>2/82</f>
        <v>2.4390243902439025E-2</v>
      </c>
      <c r="F2473">
        <v>16</v>
      </c>
      <c r="G2473">
        <f>LOG(382/(16+1))</f>
        <v>1.3516144415334348</v>
      </c>
      <c r="H2473">
        <f>0.024390243902439*3.11220726455035</f>
        <v>7.5907494257325528E-2</v>
      </c>
      <c r="I2473">
        <v>7.5907494257325833E-2</v>
      </c>
    </row>
    <row r="2474" spans="1:9" x14ac:dyDescent="0.25">
      <c r="A2474">
        <v>271</v>
      </c>
      <c r="B2474" t="s">
        <v>1242</v>
      </c>
      <c r="C2474" t="s">
        <v>48</v>
      </c>
      <c r="D2474" t="s">
        <v>1252</v>
      </c>
      <c r="E2474">
        <f>1/82</f>
        <v>1.2195121951219513E-2</v>
      </c>
      <c r="F2474">
        <v>1</v>
      </c>
      <c r="G2474">
        <f>LOG(382/(1+1))</f>
        <v>2.2810333672477277</v>
      </c>
      <c r="H2474">
        <f>0.0121951219512195*5.25227342804663</f>
        <v>6.4052114976178354E-2</v>
      </c>
      <c r="I2474">
        <v>6.4052114976178409E-2</v>
      </c>
    </row>
    <row r="2475" spans="1:9" x14ac:dyDescent="0.25">
      <c r="A2475">
        <v>271</v>
      </c>
      <c r="B2475" t="s">
        <v>1242</v>
      </c>
      <c r="C2475" t="s">
        <v>48</v>
      </c>
      <c r="D2475" t="s">
        <v>260</v>
      </c>
      <c r="E2475">
        <f>2/82</f>
        <v>2.4390243902439025E-2</v>
      </c>
      <c r="F2475">
        <v>31</v>
      </c>
      <c r="G2475">
        <f>LOG(382/(31+1))</f>
        <v>1.0769133845918029</v>
      </c>
      <c r="H2475">
        <f>0.024390243902439*2.47968470580684</f>
        <v>6.0480114775776521E-2</v>
      </c>
      <c r="I2475">
        <v>6.0480114775776798E-2</v>
      </c>
    </row>
    <row r="2476" spans="1:9" x14ac:dyDescent="0.25">
      <c r="A2476">
        <v>271</v>
      </c>
      <c r="B2476" t="s">
        <v>1242</v>
      </c>
      <c r="C2476" t="s">
        <v>48</v>
      </c>
      <c r="D2476" t="s">
        <v>1253</v>
      </c>
      <c r="E2476">
        <f t="shared" ref="E2476:E2483" si="109">1/82</f>
        <v>1.2195121951219513E-2</v>
      </c>
      <c r="F2476">
        <v>2</v>
      </c>
      <c r="G2476">
        <f>LOG(382/(2+1))</f>
        <v>2.1049421081920463</v>
      </c>
      <c r="H2476">
        <f>0.0121951219512195*4.84680831993846</f>
        <v>5.9107418535834823E-2</v>
      </c>
      <c r="I2476">
        <v>5.9107418535834948E-2</v>
      </c>
    </row>
    <row r="2477" spans="1:9" x14ac:dyDescent="0.25">
      <c r="A2477">
        <v>271</v>
      </c>
      <c r="B2477" t="s">
        <v>1242</v>
      </c>
      <c r="C2477" t="s">
        <v>48</v>
      </c>
      <c r="D2477" t="s">
        <v>1254</v>
      </c>
      <c r="E2477">
        <f t="shared" si="109"/>
        <v>1.2195121951219513E-2</v>
      </c>
      <c r="F2477">
        <v>1</v>
      </c>
      <c r="G2477">
        <f>LOG(382/(1+1))</f>
        <v>2.2810333672477277</v>
      </c>
      <c r="H2477">
        <f>0.0121951219512195*5.25227342804663</f>
        <v>6.4052114976178354E-2</v>
      </c>
      <c r="I2477">
        <v>6.4052114976178409E-2</v>
      </c>
    </row>
    <row r="2478" spans="1:9" x14ac:dyDescent="0.25">
      <c r="A2478">
        <v>271</v>
      </c>
      <c r="B2478" t="s">
        <v>1242</v>
      </c>
      <c r="C2478" t="s">
        <v>48</v>
      </c>
      <c r="D2478" t="s">
        <v>1255</v>
      </c>
      <c r="E2478">
        <f t="shared" si="109"/>
        <v>1.2195121951219513E-2</v>
      </c>
      <c r="F2478">
        <v>12</v>
      </c>
      <c r="G2478">
        <f>LOG(382/(12+1))</f>
        <v>1.468120010604872</v>
      </c>
      <c r="H2478">
        <f>0.0121951219512195*3.38047125114503</f>
        <v>4.1225259160305207E-2</v>
      </c>
      <c r="I2478">
        <v>4.1225259160305353E-2</v>
      </c>
    </row>
    <row r="2479" spans="1:9" x14ac:dyDescent="0.25">
      <c r="A2479">
        <v>271</v>
      </c>
      <c r="B2479" t="s">
        <v>1242</v>
      </c>
      <c r="C2479" t="s">
        <v>48</v>
      </c>
      <c r="D2479" t="s">
        <v>1256</v>
      </c>
      <c r="E2479">
        <f t="shared" si="109"/>
        <v>1.2195121951219513E-2</v>
      </c>
      <c r="F2479">
        <v>1</v>
      </c>
      <c r="G2479">
        <f>LOG(382/(1+1))</f>
        <v>2.2810333672477277</v>
      </c>
      <c r="H2479">
        <f>0.0121951219512195*5.25227342804663</f>
        <v>6.4052114976178354E-2</v>
      </c>
      <c r="I2479">
        <v>6.4052114976178409E-2</v>
      </c>
    </row>
    <row r="2480" spans="1:9" x14ac:dyDescent="0.25">
      <c r="A2480">
        <v>271</v>
      </c>
      <c r="B2480" t="s">
        <v>1242</v>
      </c>
      <c r="C2480" t="s">
        <v>48</v>
      </c>
      <c r="D2480" t="s">
        <v>764</v>
      </c>
      <c r="E2480">
        <f t="shared" si="109"/>
        <v>1.2195121951219513E-2</v>
      </c>
      <c r="F2480">
        <v>57</v>
      </c>
      <c r="G2480">
        <f>LOG(382/(57+1))</f>
        <v>0.81863536934877146</v>
      </c>
      <c r="H2480">
        <f>0.0121951219512195*1.88497759806015</f>
        <v>2.2987531683660342E-2</v>
      </c>
      <c r="I2480">
        <v>2.2987531683660439E-2</v>
      </c>
    </row>
    <row r="2481" spans="1:9" x14ac:dyDescent="0.25">
      <c r="A2481">
        <v>271</v>
      </c>
      <c r="B2481" t="s">
        <v>1242</v>
      </c>
      <c r="C2481" t="s">
        <v>48</v>
      </c>
      <c r="D2481" t="s">
        <v>1257</v>
      </c>
      <c r="E2481">
        <f t="shared" si="109"/>
        <v>1.2195121951219513E-2</v>
      </c>
      <c r="F2481">
        <v>10</v>
      </c>
      <c r="G2481">
        <f>LOG(382/(10+1))</f>
        <v>1.5406706777534838</v>
      </c>
      <c r="H2481">
        <f>0.0121951219512195*3.5475253358082</f>
        <v>4.3262504095221914E-2</v>
      </c>
      <c r="I2481">
        <v>4.3262504095222011E-2</v>
      </c>
    </row>
    <row r="2482" spans="1:9" x14ac:dyDescent="0.25">
      <c r="A2482">
        <v>271</v>
      </c>
      <c r="B2482" t="s">
        <v>1242</v>
      </c>
      <c r="C2482" t="s">
        <v>48</v>
      </c>
      <c r="D2482" t="s">
        <v>776</v>
      </c>
      <c r="E2482">
        <f t="shared" si="109"/>
        <v>1.2195121951219513E-2</v>
      </c>
      <c r="F2482">
        <v>15</v>
      </c>
      <c r="G2482">
        <f>LOG(382/(15+1))</f>
        <v>1.3779433802557839</v>
      </c>
      <c r="H2482">
        <f>0.0121951219512195*3.17283188636679</f>
        <v>3.8693071784960821E-2</v>
      </c>
      <c r="I2482">
        <v>3.8693071784960897E-2</v>
      </c>
    </row>
    <row r="2483" spans="1:9" x14ac:dyDescent="0.25">
      <c r="A2483">
        <v>271</v>
      </c>
      <c r="B2483" t="s">
        <v>1242</v>
      </c>
      <c r="C2483" t="s">
        <v>48</v>
      </c>
      <c r="D2483" t="s">
        <v>533</v>
      </c>
      <c r="E2483">
        <f t="shared" si="109"/>
        <v>1.2195121951219513E-2</v>
      </c>
      <c r="F2483">
        <v>8</v>
      </c>
      <c r="G2483">
        <f>LOG(382/(8+1))</f>
        <v>1.6278208534723839</v>
      </c>
      <c r="H2483">
        <f>0.0121951219512195*3.74819603127035</f>
        <v>4.570970769841886E-2</v>
      </c>
      <c r="I2483">
        <v>4.5709707698418971E-2</v>
      </c>
    </row>
    <row r="2484" spans="1:9" x14ac:dyDescent="0.25">
      <c r="A2484">
        <v>271</v>
      </c>
      <c r="B2484" t="s">
        <v>1242</v>
      </c>
      <c r="C2484" t="s">
        <v>48</v>
      </c>
      <c r="D2484" t="s">
        <v>812</v>
      </c>
      <c r="E2484">
        <f>2/82</f>
        <v>2.4390243902439025E-2</v>
      </c>
      <c r="F2484">
        <v>11</v>
      </c>
      <c r="G2484">
        <f>LOG(382/(11+1))</f>
        <v>1.5028821168640838</v>
      </c>
      <c r="H2484">
        <f>0.024390243902439*3.46051395881857</f>
        <v>8.4402779483379681E-2</v>
      </c>
      <c r="I2484">
        <v>8.4402779483379875E-2</v>
      </c>
    </row>
    <row r="2485" spans="1:9" x14ac:dyDescent="0.25">
      <c r="A2485">
        <v>271</v>
      </c>
      <c r="B2485" t="s">
        <v>1242</v>
      </c>
      <c r="C2485" t="s">
        <v>48</v>
      </c>
      <c r="D2485" t="s">
        <v>1258</v>
      </c>
      <c r="E2485">
        <f t="shared" ref="E2485:E2490" si="110">1/82</f>
        <v>1.2195121951219513E-2</v>
      </c>
      <c r="F2485">
        <v>1</v>
      </c>
      <c r="G2485">
        <f>LOG(382/(1+1))</f>
        <v>2.2810333672477277</v>
      </c>
      <c r="H2485">
        <f>0.0121951219512195*5.25227342804663</f>
        <v>6.4052114976178354E-2</v>
      </c>
      <c r="I2485">
        <v>6.4052114976178409E-2</v>
      </c>
    </row>
    <row r="2486" spans="1:9" x14ac:dyDescent="0.25">
      <c r="A2486">
        <v>271</v>
      </c>
      <c r="B2486" t="s">
        <v>1242</v>
      </c>
      <c r="C2486" t="s">
        <v>48</v>
      </c>
      <c r="D2486" t="s">
        <v>54</v>
      </c>
      <c r="E2486">
        <f t="shared" si="110"/>
        <v>1.2195121951219513E-2</v>
      </c>
      <c r="F2486">
        <v>25</v>
      </c>
      <c r="G2486">
        <f>LOG(382/(25+1))</f>
        <v>1.1670900149408907</v>
      </c>
      <c r="H2486">
        <f>0.0121951219512195*2.68732407058509</f>
        <v>3.2772244763232775E-2</v>
      </c>
      <c r="I2486">
        <v>3.2772244763232837E-2</v>
      </c>
    </row>
    <row r="2487" spans="1:9" x14ac:dyDescent="0.25">
      <c r="A2487">
        <v>271</v>
      </c>
      <c r="B2487" t="s">
        <v>1242</v>
      </c>
      <c r="C2487" t="s">
        <v>48</v>
      </c>
      <c r="D2487" t="s">
        <v>1259</v>
      </c>
      <c r="E2487">
        <f t="shared" si="110"/>
        <v>1.2195121951219513E-2</v>
      </c>
      <c r="F2487">
        <v>3</v>
      </c>
      <c r="G2487">
        <f>LOG(382/(3+1))</f>
        <v>1.9800033715837464</v>
      </c>
      <c r="H2487">
        <f>0.0121951219512195*4.55912624748668</f>
        <v>5.5599100579105803E-2</v>
      </c>
      <c r="I2487">
        <v>5.5599100579105908E-2</v>
      </c>
    </row>
    <row r="2488" spans="1:9" x14ac:dyDescent="0.25">
      <c r="A2488">
        <v>271</v>
      </c>
      <c r="B2488" t="s">
        <v>1242</v>
      </c>
      <c r="C2488" t="s">
        <v>48</v>
      </c>
      <c r="D2488" t="s">
        <v>912</v>
      </c>
      <c r="E2488">
        <f t="shared" si="110"/>
        <v>1.2195121951219513E-2</v>
      </c>
      <c r="F2488">
        <v>4</v>
      </c>
      <c r="G2488">
        <f>LOG(382/(4+1))</f>
        <v>1.8830933585756899</v>
      </c>
      <c r="H2488">
        <f>0.0121951219512195*4.33598269617247</f>
        <v>5.2877837758200805E-2</v>
      </c>
      <c r="I2488">
        <v>5.2877837758200923E-2</v>
      </c>
    </row>
    <row r="2489" spans="1:9" x14ac:dyDescent="0.25">
      <c r="A2489">
        <v>271</v>
      </c>
      <c r="B2489" t="s">
        <v>1242</v>
      </c>
      <c r="C2489" t="s">
        <v>48</v>
      </c>
      <c r="D2489" t="s">
        <v>1260</v>
      </c>
      <c r="E2489">
        <f t="shared" si="110"/>
        <v>1.2195121951219513E-2</v>
      </c>
      <c r="F2489">
        <v>1</v>
      </c>
      <c r="G2489">
        <f>LOG(382/(1+1))</f>
        <v>2.2810333672477277</v>
      </c>
      <c r="H2489">
        <f>0.0121951219512195*5.25227342804663</f>
        <v>6.4052114976178354E-2</v>
      </c>
      <c r="I2489">
        <v>6.4052114976178409E-2</v>
      </c>
    </row>
    <row r="2490" spans="1:9" x14ac:dyDescent="0.25">
      <c r="A2490">
        <v>271</v>
      </c>
      <c r="B2490" t="s">
        <v>1242</v>
      </c>
      <c r="C2490" t="s">
        <v>48</v>
      </c>
      <c r="D2490" t="s">
        <v>1261</v>
      </c>
      <c r="E2490">
        <f t="shared" si="110"/>
        <v>1.2195121951219513E-2</v>
      </c>
      <c r="F2490">
        <v>12</v>
      </c>
      <c r="G2490">
        <f>LOG(382/(12+1))</f>
        <v>1.468120010604872</v>
      </c>
      <c r="H2490">
        <f>0.0121951219512195*3.38047125114503</f>
        <v>4.1225259160305207E-2</v>
      </c>
      <c r="I2490">
        <v>4.1225259160305353E-2</v>
      </c>
    </row>
    <row r="2491" spans="1:9" x14ac:dyDescent="0.25">
      <c r="A2491">
        <v>272</v>
      </c>
      <c r="B2491" t="s">
        <v>1262</v>
      </c>
      <c r="C2491" t="s">
        <v>48</v>
      </c>
      <c r="D2491" t="s">
        <v>1263</v>
      </c>
      <c r="E2491">
        <f>2/29</f>
        <v>6.8965517241379309E-2</v>
      </c>
      <c r="F2491">
        <v>1</v>
      </c>
      <c r="G2491">
        <f>LOG(382/(1+1))</f>
        <v>2.2810333672477277</v>
      </c>
      <c r="H2491">
        <f>0.0689655172413793*5.25227342804663</f>
        <v>0.36222575365838822</v>
      </c>
      <c r="I2491">
        <v>0.36222575365838833</v>
      </c>
    </row>
    <row r="2492" spans="1:9" x14ac:dyDescent="0.25">
      <c r="A2492">
        <v>272</v>
      </c>
      <c r="B2492" t="s">
        <v>1262</v>
      </c>
      <c r="C2492" t="s">
        <v>48</v>
      </c>
      <c r="D2492" t="s">
        <v>259</v>
      </c>
      <c r="E2492">
        <f>1/29</f>
        <v>3.4482758620689655E-2</v>
      </c>
      <c r="F2492">
        <v>11</v>
      </c>
      <c r="G2492">
        <f>LOG(382/(11+1))</f>
        <v>1.5028821168640838</v>
      </c>
      <c r="H2492">
        <f>0.0344827586206896*3.46051395881857</f>
        <v>0.11932806754546774</v>
      </c>
      <c r="I2492">
        <v>0.1193280675454681</v>
      </c>
    </row>
    <row r="2493" spans="1:9" x14ac:dyDescent="0.25">
      <c r="A2493">
        <v>272</v>
      </c>
      <c r="B2493" t="s">
        <v>1262</v>
      </c>
      <c r="C2493" t="s">
        <v>48</v>
      </c>
      <c r="D2493" t="s">
        <v>50</v>
      </c>
      <c r="E2493">
        <f>2/29</f>
        <v>6.8965517241379309E-2</v>
      </c>
      <c r="F2493">
        <v>109</v>
      </c>
      <c r="G2493">
        <f>LOG(382/(109+1))</f>
        <v>0.54067067775348365</v>
      </c>
      <c r="H2493">
        <f>0.0689655172413793*1.24494024281415</f>
        <v>8.5857947780286187E-2</v>
      </c>
      <c r="I2493">
        <v>8.5857947780286825E-2</v>
      </c>
    </row>
    <row r="2494" spans="1:9" x14ac:dyDescent="0.25">
      <c r="A2494">
        <v>272</v>
      </c>
      <c r="B2494" t="s">
        <v>1262</v>
      </c>
      <c r="C2494" t="s">
        <v>48</v>
      </c>
      <c r="E2494">
        <f>1/29</f>
        <v>3.4482758620689655E-2</v>
      </c>
      <c r="F2494">
        <v>20</v>
      </c>
      <c r="G2494">
        <f>LOG(382/(20+1))</f>
        <v>1.2598440681777894</v>
      </c>
      <c r="H2494">
        <f>0.0344827586206896*2.90089817088315</f>
        <v>0.10003097140976364</v>
      </c>
      <c r="I2494">
        <v>0.1000309714097639</v>
      </c>
    </row>
    <row r="2495" spans="1:9" x14ac:dyDescent="0.25">
      <c r="A2495">
        <v>272</v>
      </c>
      <c r="B2495" t="s">
        <v>1262</v>
      </c>
      <c r="C2495" t="s">
        <v>48</v>
      </c>
      <c r="D2495" t="s">
        <v>1264</v>
      </c>
      <c r="E2495">
        <f>1/29</f>
        <v>3.4482758620689655E-2</v>
      </c>
      <c r="F2495">
        <v>5</v>
      </c>
      <c r="G2495">
        <f>LOG(382/(5+1))</f>
        <v>1.803912112528065</v>
      </c>
      <c r="H2495">
        <f>0.0344827586206896*4.15366113937852</f>
        <v>0.14322969446132805</v>
      </c>
      <c r="I2495">
        <v>0.1432296944613283</v>
      </c>
    </row>
    <row r="2496" spans="1:9" x14ac:dyDescent="0.25">
      <c r="A2496">
        <v>272</v>
      </c>
      <c r="B2496" t="s">
        <v>1262</v>
      </c>
      <c r="C2496" t="s">
        <v>48</v>
      </c>
      <c r="D2496" t="s">
        <v>115</v>
      </c>
      <c r="E2496">
        <f>1/29</f>
        <v>3.4482758620689655E-2</v>
      </c>
      <c r="F2496">
        <v>17</v>
      </c>
      <c r="G2496">
        <f>LOG(382/(17+1))</f>
        <v>1.3267908578084027</v>
      </c>
      <c r="H2496">
        <f>0.0344827586206896*3.05504885071041</f>
        <v>0.10534651209346224</v>
      </c>
      <c r="I2496">
        <v>0.10534651209346239</v>
      </c>
    </row>
    <row r="2497" spans="1:9" x14ac:dyDescent="0.25">
      <c r="A2497">
        <v>272</v>
      </c>
      <c r="B2497" t="s">
        <v>1262</v>
      </c>
      <c r="C2497" t="s">
        <v>48</v>
      </c>
      <c r="D2497" t="s">
        <v>1265</v>
      </c>
      <c r="E2497">
        <f>2/29</f>
        <v>6.8965517241379309E-2</v>
      </c>
      <c r="F2497">
        <v>1</v>
      </c>
      <c r="G2497">
        <f>LOG(382/(1+1))</f>
        <v>2.2810333672477277</v>
      </c>
      <c r="H2497">
        <f>0.0689655172413793*5.25227342804663</f>
        <v>0.36222575365838822</v>
      </c>
      <c r="I2497">
        <v>0.36222575365838833</v>
      </c>
    </row>
    <row r="2498" spans="1:9" x14ac:dyDescent="0.25">
      <c r="A2498">
        <v>272</v>
      </c>
      <c r="B2498" t="s">
        <v>1262</v>
      </c>
      <c r="C2498" t="s">
        <v>48</v>
      </c>
      <c r="D2498" t="s">
        <v>38</v>
      </c>
      <c r="E2498">
        <f>1/29</f>
        <v>3.4482758620689655E-2</v>
      </c>
      <c r="F2498">
        <v>86</v>
      </c>
      <c r="G2498">
        <f>LOG(382/(86+1))</f>
        <v>0.64254411029309022</v>
      </c>
      <c r="H2498">
        <f>0.0344827586206896*1.47951248995199</f>
        <v>5.1017672067309922E-2</v>
      </c>
      <c r="I2498">
        <v>5.1017672067310053E-2</v>
      </c>
    </row>
    <row r="2499" spans="1:9" x14ac:dyDescent="0.25">
      <c r="A2499">
        <v>272</v>
      </c>
      <c r="B2499" t="s">
        <v>1262</v>
      </c>
      <c r="C2499" t="s">
        <v>48</v>
      </c>
      <c r="D2499" t="s">
        <v>189</v>
      </c>
      <c r="E2499">
        <f>3/29</f>
        <v>0.10344827586206896</v>
      </c>
      <c r="F2499">
        <v>27</v>
      </c>
      <c r="G2499">
        <f>LOG(382/(27+1))</f>
        <v>1.1349053315694895</v>
      </c>
      <c r="H2499">
        <f>0.103448275862068*2.61321609843137</f>
        <v>0.27033269983772545</v>
      </c>
      <c r="I2499">
        <v>0.27033269983772801</v>
      </c>
    </row>
    <row r="2500" spans="1:9" x14ac:dyDescent="0.25">
      <c r="A2500">
        <v>272</v>
      </c>
      <c r="B2500" t="s">
        <v>1262</v>
      </c>
      <c r="C2500" t="s">
        <v>48</v>
      </c>
      <c r="D2500" t="s">
        <v>41</v>
      </c>
      <c r="E2500">
        <f>1/29</f>
        <v>3.4482758620689655E-2</v>
      </c>
      <c r="F2500">
        <v>195</v>
      </c>
      <c r="G2500">
        <f>LOG(382/(195+1))</f>
        <v>0.28980729155523272</v>
      </c>
      <c r="H2500">
        <f>0.0344827586206896*0.667305949376058</f>
        <v>2.3010549978484722E-2</v>
      </c>
      <c r="I2500">
        <v>2.301054997848476E-2</v>
      </c>
    </row>
    <row r="2501" spans="1:9" x14ac:dyDescent="0.25">
      <c r="A2501">
        <v>272</v>
      </c>
      <c r="B2501" t="s">
        <v>1262</v>
      </c>
      <c r="C2501" t="s">
        <v>48</v>
      </c>
      <c r="D2501" t="s">
        <v>1239</v>
      </c>
      <c r="E2501">
        <f>1/29</f>
        <v>3.4482758620689655E-2</v>
      </c>
      <c r="F2501">
        <v>2</v>
      </c>
      <c r="G2501">
        <f>LOG(382/(2+1))</f>
        <v>2.1049421081920463</v>
      </c>
      <c r="H2501">
        <f>0.0344827586206896*4.84680831993846</f>
        <v>0.167131321377188</v>
      </c>
      <c r="I2501">
        <v>0.16713132137718839</v>
      </c>
    </row>
    <row r="2502" spans="1:9" x14ac:dyDescent="0.25">
      <c r="A2502">
        <v>272</v>
      </c>
      <c r="B2502" t="s">
        <v>1262</v>
      </c>
      <c r="C2502" t="s">
        <v>48</v>
      </c>
      <c r="D2502" t="s">
        <v>1266</v>
      </c>
      <c r="E2502">
        <f>3/29</f>
        <v>0.10344827586206896</v>
      </c>
      <c r="F2502">
        <v>3</v>
      </c>
      <c r="G2502">
        <f>LOG(382/(3+1))</f>
        <v>1.9800033715837464</v>
      </c>
      <c r="H2502">
        <f>0.103448275862068*4.55912624748668</f>
        <v>0.471633749739997</v>
      </c>
      <c r="I2502">
        <v>0.47163374974000177</v>
      </c>
    </row>
    <row r="2503" spans="1:9" x14ac:dyDescent="0.25">
      <c r="A2503">
        <v>272</v>
      </c>
      <c r="B2503" t="s">
        <v>1262</v>
      </c>
      <c r="C2503" t="s">
        <v>48</v>
      </c>
      <c r="D2503" t="s">
        <v>188</v>
      </c>
      <c r="E2503">
        <f t="shared" ref="E2503:E2512" si="111">1/29</f>
        <v>3.4482758620689655E-2</v>
      </c>
      <c r="F2503">
        <v>19</v>
      </c>
      <c r="G2503">
        <f>LOG(382/(19+1))</f>
        <v>1.2810333672477277</v>
      </c>
      <c r="H2503">
        <f>0.0344827586206896*2.94968833505258</f>
        <v>0.1017133908638819</v>
      </c>
      <c r="I2503">
        <v>0.1017133908638822</v>
      </c>
    </row>
    <row r="2504" spans="1:9" x14ac:dyDescent="0.25">
      <c r="A2504">
        <v>272</v>
      </c>
      <c r="B2504" t="s">
        <v>1262</v>
      </c>
      <c r="C2504" t="s">
        <v>48</v>
      </c>
      <c r="D2504" t="s">
        <v>1267</v>
      </c>
      <c r="E2504">
        <f t="shared" si="111"/>
        <v>3.4482758620689655E-2</v>
      </c>
      <c r="F2504">
        <v>1</v>
      </c>
      <c r="G2504">
        <f>LOG(382/(1+1))</f>
        <v>2.2810333672477277</v>
      </c>
      <c r="H2504">
        <f>0.0344827586206896*5.25227342804663</f>
        <v>0.18111287682919383</v>
      </c>
      <c r="I2504">
        <v>0.18111287682919411</v>
      </c>
    </row>
    <row r="2505" spans="1:9" x14ac:dyDescent="0.25">
      <c r="A2505">
        <v>272</v>
      </c>
      <c r="B2505" t="s">
        <v>1262</v>
      </c>
      <c r="C2505" t="s">
        <v>48</v>
      </c>
      <c r="D2505" t="s">
        <v>1268</v>
      </c>
      <c r="E2505">
        <f t="shared" si="111"/>
        <v>3.4482758620689655E-2</v>
      </c>
      <c r="F2505">
        <v>1</v>
      </c>
      <c r="G2505">
        <f>LOG(382/(1+1))</f>
        <v>2.2810333672477277</v>
      </c>
      <c r="H2505">
        <f>0.0344827586206896*5.25227342804663</f>
        <v>0.18111287682919383</v>
      </c>
      <c r="I2505">
        <v>0.18111287682919411</v>
      </c>
    </row>
    <row r="2506" spans="1:9" x14ac:dyDescent="0.25">
      <c r="A2506">
        <v>272</v>
      </c>
      <c r="B2506" t="s">
        <v>1262</v>
      </c>
      <c r="C2506" t="s">
        <v>48</v>
      </c>
      <c r="D2506" t="s">
        <v>187</v>
      </c>
      <c r="E2506">
        <f t="shared" si="111"/>
        <v>3.4482758620689655E-2</v>
      </c>
      <c r="F2506">
        <v>21</v>
      </c>
      <c r="G2506">
        <f>LOG(382/(21+1))</f>
        <v>1.2396406820895025</v>
      </c>
      <c r="H2506">
        <f>0.0344827586206896*2.85437815524825</f>
        <v>9.8426832939594658E-2</v>
      </c>
      <c r="I2506">
        <v>9.8426832939595144E-2</v>
      </c>
    </row>
    <row r="2507" spans="1:9" x14ac:dyDescent="0.25">
      <c r="A2507">
        <v>272</v>
      </c>
      <c r="B2507" t="s">
        <v>1262</v>
      </c>
      <c r="C2507" t="s">
        <v>48</v>
      </c>
      <c r="D2507" t="s">
        <v>104</v>
      </c>
      <c r="E2507">
        <f t="shared" si="111"/>
        <v>3.4482758620689655E-2</v>
      </c>
      <c r="F2507">
        <v>49</v>
      </c>
      <c r="G2507">
        <f>LOG(382/(49+1))</f>
        <v>0.88309335857568994</v>
      </c>
      <c r="H2507">
        <f>0.0344827586206896*2.03339760317842</f>
        <v>7.011715873029023E-2</v>
      </c>
      <c r="I2507">
        <v>7.0117158730290646E-2</v>
      </c>
    </row>
    <row r="2508" spans="1:9" x14ac:dyDescent="0.25">
      <c r="A2508">
        <v>272</v>
      </c>
      <c r="B2508" t="s">
        <v>1262</v>
      </c>
      <c r="C2508" t="s">
        <v>48</v>
      </c>
      <c r="D2508" t="s">
        <v>1269</v>
      </c>
      <c r="E2508">
        <f t="shared" si="111"/>
        <v>3.4482758620689655E-2</v>
      </c>
      <c r="F2508">
        <v>2</v>
      </c>
      <c r="G2508">
        <f>LOG(382/(2+1))</f>
        <v>2.1049421081920463</v>
      </c>
      <c r="H2508">
        <f>0.0344827586206896*4.84680831993846</f>
        <v>0.167131321377188</v>
      </c>
      <c r="I2508">
        <v>0.16713132137718839</v>
      </c>
    </row>
    <row r="2509" spans="1:9" x14ac:dyDescent="0.25">
      <c r="A2509">
        <v>272</v>
      </c>
      <c r="B2509" t="s">
        <v>1262</v>
      </c>
      <c r="C2509" t="s">
        <v>48</v>
      </c>
      <c r="D2509" t="s">
        <v>1118</v>
      </c>
      <c r="E2509">
        <f t="shared" si="111"/>
        <v>3.4482758620689655E-2</v>
      </c>
      <c r="F2509">
        <v>2</v>
      </c>
      <c r="G2509">
        <f>LOG(382/(2+1))</f>
        <v>2.1049421081920463</v>
      </c>
      <c r="H2509">
        <f>0.0344827586206896*4.84680831993846</f>
        <v>0.167131321377188</v>
      </c>
      <c r="I2509">
        <v>0.16713132137718839</v>
      </c>
    </row>
    <row r="2510" spans="1:9" x14ac:dyDescent="0.25">
      <c r="A2510">
        <v>272</v>
      </c>
      <c r="B2510" t="s">
        <v>1262</v>
      </c>
      <c r="C2510" t="s">
        <v>48</v>
      </c>
      <c r="D2510" t="s">
        <v>1241</v>
      </c>
      <c r="E2510">
        <f t="shared" si="111"/>
        <v>3.4482758620689655E-2</v>
      </c>
      <c r="F2510">
        <v>4</v>
      </c>
      <c r="G2510">
        <f>LOG(382/(4+1))</f>
        <v>1.8830933585756899</v>
      </c>
      <c r="H2510">
        <f>0.0344827586206896*4.33598269617247</f>
        <v>0.14951664469560219</v>
      </c>
      <c r="I2510">
        <v>0.14951664469560261</v>
      </c>
    </row>
    <row r="2511" spans="1:9" x14ac:dyDescent="0.25">
      <c r="A2511">
        <v>272</v>
      </c>
      <c r="B2511" t="s">
        <v>1262</v>
      </c>
      <c r="C2511" t="s">
        <v>48</v>
      </c>
      <c r="D2511" t="s">
        <v>190</v>
      </c>
      <c r="E2511">
        <f t="shared" si="111"/>
        <v>3.4482758620689655E-2</v>
      </c>
      <c r="F2511">
        <v>23</v>
      </c>
      <c r="G2511">
        <f>LOG(382/(23+1))</f>
        <v>1.2018521212001028</v>
      </c>
      <c r="H2511">
        <f>0.0344827586206896*2.76736677825862</f>
        <v>9.5426440629607437E-2</v>
      </c>
      <c r="I2511">
        <v>9.5426440629607909E-2</v>
      </c>
    </row>
    <row r="2512" spans="1:9" x14ac:dyDescent="0.25">
      <c r="A2512">
        <v>272</v>
      </c>
      <c r="B2512" t="s">
        <v>1262</v>
      </c>
      <c r="C2512" t="s">
        <v>48</v>
      </c>
      <c r="D2512" t="s">
        <v>44</v>
      </c>
      <c r="E2512">
        <f t="shared" si="111"/>
        <v>3.4482758620689655E-2</v>
      </c>
      <c r="F2512">
        <v>151</v>
      </c>
      <c r="G2512">
        <f>LOG(382/(151+1))</f>
        <v>0.40021977496693617</v>
      </c>
      <c r="H2512">
        <f>0.0344827586206896*0.921540087760298</f>
        <v>3.1777244405527469E-2</v>
      </c>
      <c r="I2512">
        <v>3.1777244405527538E-2</v>
      </c>
    </row>
    <row r="2513" spans="1:9" x14ac:dyDescent="0.25">
      <c r="A2513">
        <v>273</v>
      </c>
      <c r="B2513" t="s">
        <v>1270</v>
      </c>
      <c r="C2513" t="s">
        <v>48</v>
      </c>
      <c r="D2513" t="s">
        <v>179</v>
      </c>
      <c r="E2513">
        <f>4/82</f>
        <v>4.878048780487805E-2</v>
      </c>
      <c r="F2513">
        <v>15</v>
      </c>
      <c r="G2513">
        <f>LOG(382/(15+1))</f>
        <v>1.3779433802557839</v>
      </c>
      <c r="H2513">
        <f>0.048780487804878*3.17283188636679</f>
        <v>0.15477228713984328</v>
      </c>
      <c r="I2513">
        <v>0.15477228713984359</v>
      </c>
    </row>
    <row r="2514" spans="1:9" x14ac:dyDescent="0.25">
      <c r="A2514">
        <v>273</v>
      </c>
      <c r="B2514" t="s">
        <v>1270</v>
      </c>
      <c r="C2514" t="s">
        <v>48</v>
      </c>
      <c r="D2514" t="s">
        <v>948</v>
      </c>
      <c r="E2514">
        <f>8/82</f>
        <v>9.7560975609756101E-2</v>
      </c>
      <c r="F2514">
        <v>4</v>
      </c>
      <c r="G2514">
        <f>LOG(382/(4+1))</f>
        <v>1.8830933585756899</v>
      </c>
      <c r="H2514">
        <f>0.0975609756097561*4.33598269617247</f>
        <v>0.42302270206560688</v>
      </c>
      <c r="I2514">
        <v>0.42302270206560733</v>
      </c>
    </row>
    <row r="2515" spans="1:9" x14ac:dyDescent="0.25">
      <c r="A2515">
        <v>273</v>
      </c>
      <c r="B2515" t="s">
        <v>1270</v>
      </c>
      <c r="C2515" t="s">
        <v>48</v>
      </c>
      <c r="D2515" t="s">
        <v>1271</v>
      </c>
      <c r="E2515">
        <f>8/82</f>
        <v>9.7560975609756101E-2</v>
      </c>
      <c r="F2515">
        <v>1</v>
      </c>
      <c r="G2515">
        <f>LOG(382/(1+1))</f>
        <v>2.2810333672477277</v>
      </c>
      <c r="H2515">
        <f>0.0975609756097561*5.25227342804663</f>
        <v>0.51241691980942727</v>
      </c>
      <c r="I2515">
        <v>0.51241691980942727</v>
      </c>
    </row>
    <row r="2516" spans="1:9" x14ac:dyDescent="0.25">
      <c r="A2516">
        <v>273</v>
      </c>
      <c r="B2516" t="s">
        <v>1270</v>
      </c>
      <c r="C2516" t="s">
        <v>48</v>
      </c>
      <c r="D2516" t="s">
        <v>781</v>
      </c>
      <c r="E2516">
        <f>1/82</f>
        <v>1.2195121951219513E-2</v>
      </c>
      <c r="F2516">
        <v>8</v>
      </c>
      <c r="G2516">
        <f>LOG(382/(8+1))</f>
        <v>1.6278208534723839</v>
      </c>
      <c r="H2516">
        <f>0.0121951219512195*3.74819603127035</f>
        <v>4.570970769841886E-2</v>
      </c>
      <c r="I2516">
        <v>4.5709707698418971E-2</v>
      </c>
    </row>
    <row r="2517" spans="1:9" x14ac:dyDescent="0.25">
      <c r="A2517">
        <v>273</v>
      </c>
      <c r="B2517" t="s">
        <v>1270</v>
      </c>
      <c r="C2517" t="s">
        <v>48</v>
      </c>
      <c r="D2517" t="s">
        <v>58</v>
      </c>
      <c r="E2517">
        <f>1/82</f>
        <v>1.2195121951219513E-2</v>
      </c>
      <c r="F2517">
        <v>18</v>
      </c>
      <c r="G2517">
        <f>LOG(382/(18+1))</f>
        <v>1.3033097619588798</v>
      </c>
      <c r="H2517">
        <f>0.0121951219512195*3.00098162944013</f>
        <v>3.6597336944391795E-2</v>
      </c>
      <c r="I2517">
        <v>3.6597336944391892E-2</v>
      </c>
    </row>
    <row r="2518" spans="1:9" x14ac:dyDescent="0.25">
      <c r="A2518">
        <v>273</v>
      </c>
      <c r="B2518" t="s">
        <v>1270</v>
      </c>
      <c r="C2518" t="s">
        <v>48</v>
      </c>
      <c r="D2518" t="s">
        <v>650</v>
      </c>
      <c r="E2518">
        <f>2/82</f>
        <v>2.4390243902439025E-2</v>
      </c>
      <c r="F2518">
        <v>9</v>
      </c>
      <c r="G2518">
        <f>LOG(382/(9+1))</f>
        <v>1.5820633629117087</v>
      </c>
      <c r="H2518">
        <f>0.024390243902439*3.64283551561252</f>
        <v>8.8849646722256495E-2</v>
      </c>
      <c r="I2518">
        <v>8.8849646722256814E-2</v>
      </c>
    </row>
    <row r="2519" spans="1:9" x14ac:dyDescent="0.25">
      <c r="A2519">
        <v>273</v>
      </c>
      <c r="B2519" t="s">
        <v>1270</v>
      </c>
      <c r="C2519" t="s">
        <v>48</v>
      </c>
      <c r="D2519" t="s">
        <v>1272</v>
      </c>
      <c r="E2519">
        <f>1/82</f>
        <v>1.2195121951219513E-2</v>
      </c>
      <c r="F2519">
        <v>1</v>
      </c>
      <c r="G2519">
        <f>LOG(382/(1+1))</f>
        <v>2.2810333672477277</v>
      </c>
      <c r="H2519">
        <f>0.0121951219512195*5.25227342804663</f>
        <v>6.4052114976178354E-2</v>
      </c>
      <c r="I2519">
        <v>6.4052114976178409E-2</v>
      </c>
    </row>
    <row r="2520" spans="1:9" x14ac:dyDescent="0.25">
      <c r="A2520">
        <v>273</v>
      </c>
      <c r="B2520" t="s">
        <v>1270</v>
      </c>
      <c r="C2520" t="s">
        <v>48</v>
      </c>
      <c r="D2520" t="s">
        <v>1273</v>
      </c>
      <c r="E2520">
        <f>1/82</f>
        <v>1.2195121951219513E-2</v>
      </c>
      <c r="F2520">
        <v>1</v>
      </c>
      <c r="G2520">
        <f>LOG(382/(1+1))</f>
        <v>2.2810333672477277</v>
      </c>
      <c r="H2520">
        <f>0.0121951219512195*5.25227342804663</f>
        <v>6.4052114976178354E-2</v>
      </c>
      <c r="I2520">
        <v>6.4052114976178409E-2</v>
      </c>
    </row>
    <row r="2521" spans="1:9" x14ac:dyDescent="0.25">
      <c r="A2521">
        <v>273</v>
      </c>
      <c r="B2521" t="s">
        <v>1270</v>
      </c>
      <c r="C2521" t="s">
        <v>48</v>
      </c>
      <c r="D2521" t="s">
        <v>50</v>
      </c>
      <c r="E2521">
        <f>2/82</f>
        <v>2.4390243902439025E-2</v>
      </c>
      <c r="F2521">
        <v>109</v>
      </c>
      <c r="G2521">
        <f>LOG(382/(109+1))</f>
        <v>0.54067067775348365</v>
      </c>
      <c r="H2521">
        <f>0.024390243902439*1.24494024281415</f>
        <v>3.0364396166198751E-2</v>
      </c>
      <c r="I2521">
        <v>3.0364396166199001E-2</v>
      </c>
    </row>
    <row r="2522" spans="1:9" x14ac:dyDescent="0.25">
      <c r="A2522">
        <v>273</v>
      </c>
      <c r="B2522" t="s">
        <v>1270</v>
      </c>
      <c r="C2522" t="s">
        <v>48</v>
      </c>
      <c r="D2522" t="s">
        <v>105</v>
      </c>
      <c r="E2522">
        <f>1/82</f>
        <v>1.2195121951219513E-2</v>
      </c>
      <c r="F2522">
        <v>122</v>
      </c>
      <c r="G2522">
        <f>LOG(382/(122+1))</f>
        <v>0.49215825147231079</v>
      </c>
      <c r="H2522">
        <f>0.0121951219512195*1.13323625323415</f>
        <v>1.3819954307733523E-2</v>
      </c>
      <c r="I2522">
        <v>1.3819954307733631E-2</v>
      </c>
    </row>
    <row r="2523" spans="1:9" x14ac:dyDescent="0.25">
      <c r="A2523">
        <v>273</v>
      </c>
      <c r="B2523" t="s">
        <v>1270</v>
      </c>
      <c r="C2523" t="s">
        <v>48</v>
      </c>
      <c r="D2523" t="s">
        <v>1274</v>
      </c>
      <c r="E2523">
        <f>1/82</f>
        <v>1.2195121951219513E-2</v>
      </c>
      <c r="F2523">
        <v>1</v>
      </c>
      <c r="G2523">
        <f>LOG(382/(1+1))</f>
        <v>2.2810333672477277</v>
      </c>
      <c r="H2523">
        <f>0.0121951219512195*5.25227342804663</f>
        <v>6.4052114976178354E-2</v>
      </c>
      <c r="I2523">
        <v>6.4052114976178409E-2</v>
      </c>
    </row>
    <row r="2524" spans="1:9" x14ac:dyDescent="0.25">
      <c r="A2524">
        <v>273</v>
      </c>
      <c r="B2524" t="s">
        <v>1270</v>
      </c>
      <c r="C2524" t="s">
        <v>48</v>
      </c>
      <c r="D2524" t="s">
        <v>1275</v>
      </c>
      <c r="E2524">
        <f>1/82</f>
        <v>1.2195121951219513E-2</v>
      </c>
      <c r="F2524">
        <v>1</v>
      </c>
      <c r="G2524">
        <f>LOG(382/(1+1))</f>
        <v>2.2810333672477277</v>
      </c>
      <c r="H2524">
        <f>0.0121951219512195*5.25227342804663</f>
        <v>6.4052114976178354E-2</v>
      </c>
      <c r="I2524">
        <v>6.4052114976178409E-2</v>
      </c>
    </row>
    <row r="2525" spans="1:9" x14ac:dyDescent="0.25">
      <c r="A2525">
        <v>273</v>
      </c>
      <c r="B2525" t="s">
        <v>1270</v>
      </c>
      <c r="C2525" t="s">
        <v>48</v>
      </c>
      <c r="D2525" t="s">
        <v>25</v>
      </c>
      <c r="E2525">
        <f>1/82</f>
        <v>1.2195121951219513E-2</v>
      </c>
      <c r="F2525">
        <v>106</v>
      </c>
      <c r="G2525">
        <f>LOG(382/(106+1))</f>
        <v>0.55267958522649907</v>
      </c>
      <c r="H2525">
        <f>0.0121951219512195*1.27259177414466</f>
        <v>1.5519411879812912E-2</v>
      </c>
      <c r="I2525">
        <v>1.551941187981304E-2</v>
      </c>
    </row>
    <row r="2526" spans="1:9" x14ac:dyDescent="0.25">
      <c r="A2526">
        <v>273</v>
      </c>
      <c r="B2526" t="s">
        <v>1270</v>
      </c>
      <c r="C2526" t="s">
        <v>48</v>
      </c>
      <c r="D2526" t="s">
        <v>373</v>
      </c>
      <c r="E2526">
        <f>1/82</f>
        <v>1.2195121951219513E-2</v>
      </c>
      <c r="F2526">
        <v>4</v>
      </c>
      <c r="G2526">
        <f>LOG(382/(4+1))</f>
        <v>1.8830933585756899</v>
      </c>
      <c r="H2526">
        <f>0.0121951219512195*4.33598269617247</f>
        <v>5.2877837758200805E-2</v>
      </c>
      <c r="I2526">
        <v>5.2877837758200923E-2</v>
      </c>
    </row>
    <row r="2527" spans="1:9" x14ac:dyDescent="0.25">
      <c r="A2527">
        <v>273</v>
      </c>
      <c r="B2527" t="s">
        <v>1270</v>
      </c>
      <c r="C2527" t="s">
        <v>48</v>
      </c>
      <c r="D2527" t="s">
        <v>188</v>
      </c>
      <c r="E2527">
        <f>2/82</f>
        <v>2.4390243902439025E-2</v>
      </c>
      <c r="F2527">
        <v>19</v>
      </c>
      <c r="G2527">
        <f>LOG(382/(19+1))</f>
        <v>1.2810333672477277</v>
      </c>
      <c r="H2527">
        <f>0.024390243902439*2.94968833505258</f>
        <v>7.1943617928111644E-2</v>
      </c>
      <c r="I2527">
        <v>7.1943617928111811E-2</v>
      </c>
    </row>
    <row r="2528" spans="1:9" x14ac:dyDescent="0.25">
      <c r="A2528">
        <v>273</v>
      </c>
      <c r="B2528" t="s">
        <v>1270</v>
      </c>
      <c r="C2528" t="s">
        <v>48</v>
      </c>
      <c r="D2528" t="s">
        <v>189</v>
      </c>
      <c r="E2528">
        <f t="shared" ref="E2528:E2535" si="112">1/82</f>
        <v>1.2195121951219513E-2</v>
      </c>
      <c r="F2528">
        <v>27</v>
      </c>
      <c r="G2528">
        <f>LOG(382/(27+1))</f>
        <v>1.1349053315694895</v>
      </c>
      <c r="H2528">
        <f>0.0121951219512195*2.61321609843137</f>
        <v>3.1868489005260583E-2</v>
      </c>
      <c r="I2528">
        <v>3.1868489005260632E-2</v>
      </c>
    </row>
    <row r="2529" spans="1:9" x14ac:dyDescent="0.25">
      <c r="A2529">
        <v>273</v>
      </c>
      <c r="B2529" t="s">
        <v>1270</v>
      </c>
      <c r="C2529" t="s">
        <v>48</v>
      </c>
      <c r="D2529" t="s">
        <v>1276</v>
      </c>
      <c r="E2529">
        <f t="shared" si="112"/>
        <v>1.2195121951219513E-2</v>
      </c>
      <c r="F2529">
        <v>2</v>
      </c>
      <c r="G2529">
        <f>LOG(382/(2+1))</f>
        <v>2.1049421081920463</v>
      </c>
      <c r="H2529">
        <f>0.0121951219512195*4.84680831993846</f>
        <v>5.9107418535834823E-2</v>
      </c>
      <c r="I2529">
        <v>5.9107418535834948E-2</v>
      </c>
    </row>
    <row r="2530" spans="1:9" x14ac:dyDescent="0.25">
      <c r="A2530">
        <v>273</v>
      </c>
      <c r="B2530" t="s">
        <v>1270</v>
      </c>
      <c r="C2530" t="s">
        <v>48</v>
      </c>
      <c r="D2530" t="s">
        <v>1277</v>
      </c>
      <c r="E2530">
        <f t="shared" si="112"/>
        <v>1.2195121951219513E-2</v>
      </c>
      <c r="F2530">
        <v>1</v>
      </c>
      <c r="G2530">
        <f>LOG(382/(1+1))</f>
        <v>2.2810333672477277</v>
      </c>
      <c r="H2530">
        <f>0.0121951219512195*5.25227342804663</f>
        <v>6.4052114976178354E-2</v>
      </c>
      <c r="I2530">
        <v>6.4052114976178409E-2</v>
      </c>
    </row>
    <row r="2531" spans="1:9" x14ac:dyDescent="0.25">
      <c r="A2531">
        <v>273</v>
      </c>
      <c r="B2531" t="s">
        <v>1270</v>
      </c>
      <c r="C2531" t="s">
        <v>48</v>
      </c>
      <c r="D2531" t="s">
        <v>1278</v>
      </c>
      <c r="E2531">
        <f t="shared" si="112"/>
        <v>1.2195121951219513E-2</v>
      </c>
      <c r="F2531">
        <v>1</v>
      </c>
      <c r="G2531">
        <f>LOG(382/(1+1))</f>
        <v>2.2810333672477277</v>
      </c>
      <c r="H2531">
        <f>0.0121951219512195*5.25227342804663</f>
        <v>6.4052114976178354E-2</v>
      </c>
      <c r="I2531">
        <v>6.4052114976178409E-2</v>
      </c>
    </row>
    <row r="2532" spans="1:9" x14ac:dyDescent="0.25">
      <c r="A2532">
        <v>273</v>
      </c>
      <c r="B2532" t="s">
        <v>1270</v>
      </c>
      <c r="C2532" t="s">
        <v>48</v>
      </c>
      <c r="D2532" t="s">
        <v>1246</v>
      </c>
      <c r="E2532">
        <f t="shared" si="112"/>
        <v>1.2195121951219513E-2</v>
      </c>
      <c r="F2532">
        <v>2</v>
      </c>
      <c r="G2532">
        <f>LOG(382/(2+1))</f>
        <v>2.1049421081920463</v>
      </c>
      <c r="H2532">
        <f>0.0121951219512195*4.84680831993846</f>
        <v>5.9107418535834823E-2</v>
      </c>
      <c r="I2532">
        <v>5.9107418535834948E-2</v>
      </c>
    </row>
    <row r="2533" spans="1:9" x14ac:dyDescent="0.25">
      <c r="A2533">
        <v>273</v>
      </c>
      <c r="B2533" t="s">
        <v>1270</v>
      </c>
      <c r="C2533" t="s">
        <v>48</v>
      </c>
      <c r="D2533" t="s">
        <v>220</v>
      </c>
      <c r="E2533">
        <f t="shared" si="112"/>
        <v>1.2195121951219513E-2</v>
      </c>
      <c r="F2533">
        <v>5</v>
      </c>
      <c r="G2533">
        <f>LOG(382/(5+1))</f>
        <v>1.803912112528065</v>
      </c>
      <c r="H2533">
        <f>0.0121951219512195*4.15366113937852</f>
        <v>5.0654404138762391E-2</v>
      </c>
      <c r="I2533">
        <v>5.0654404138762439E-2</v>
      </c>
    </row>
    <row r="2534" spans="1:9" x14ac:dyDescent="0.25">
      <c r="A2534">
        <v>273</v>
      </c>
      <c r="B2534" t="s">
        <v>1270</v>
      </c>
      <c r="C2534" t="s">
        <v>48</v>
      </c>
      <c r="D2534" t="s">
        <v>1279</v>
      </c>
      <c r="E2534">
        <f t="shared" si="112"/>
        <v>1.2195121951219513E-2</v>
      </c>
      <c r="F2534">
        <v>1</v>
      </c>
      <c r="G2534">
        <f>LOG(382/(1+1))</f>
        <v>2.2810333672477277</v>
      </c>
      <c r="H2534">
        <f>0.0121951219512195*5.25227342804663</f>
        <v>6.4052114976178354E-2</v>
      </c>
      <c r="I2534">
        <v>6.4052114976178409E-2</v>
      </c>
    </row>
    <row r="2535" spans="1:9" x14ac:dyDescent="0.25">
      <c r="A2535">
        <v>273</v>
      </c>
      <c r="B2535" t="s">
        <v>1270</v>
      </c>
      <c r="C2535" t="s">
        <v>48</v>
      </c>
      <c r="D2535" t="s">
        <v>42</v>
      </c>
      <c r="E2535">
        <f t="shared" si="112"/>
        <v>1.2195121951219513E-2</v>
      </c>
      <c r="F2535">
        <v>251</v>
      </c>
      <c r="G2535">
        <f>LOG(382/(251+1))</f>
        <v>0.18066282213016463</v>
      </c>
      <c r="H2535">
        <f>0.0121951219512195*0.415991521095151</f>
        <v>5.0730673304286659E-3</v>
      </c>
      <c r="I2535">
        <v>5.0730673304286806E-3</v>
      </c>
    </row>
    <row r="2536" spans="1:9" x14ac:dyDescent="0.25">
      <c r="A2536">
        <v>273</v>
      </c>
      <c r="B2536" t="s">
        <v>1270</v>
      </c>
      <c r="C2536" t="s">
        <v>48</v>
      </c>
      <c r="D2536" t="s">
        <v>1280</v>
      </c>
      <c r="E2536">
        <f>2/82</f>
        <v>2.4390243902439025E-2</v>
      </c>
      <c r="F2536">
        <v>4</v>
      </c>
      <c r="G2536">
        <f>LOG(382/(4+1))</f>
        <v>1.8830933585756899</v>
      </c>
      <c r="H2536">
        <f>0.024390243902439*4.33598269617247</f>
        <v>0.10575567551640161</v>
      </c>
      <c r="I2536">
        <v>0.1057556755164018</v>
      </c>
    </row>
    <row r="2537" spans="1:9" x14ac:dyDescent="0.25">
      <c r="A2537">
        <v>273</v>
      </c>
      <c r="B2537" t="s">
        <v>1270</v>
      </c>
      <c r="C2537" t="s">
        <v>48</v>
      </c>
      <c r="D2537" t="s">
        <v>17</v>
      </c>
      <c r="E2537">
        <f t="shared" ref="E2537:E2544" si="113">1/82</f>
        <v>1.2195121951219513E-2</v>
      </c>
      <c r="F2537">
        <v>169</v>
      </c>
      <c r="G2537">
        <f>LOG(382/(169+1))</f>
        <v>0.3516144415334348</v>
      </c>
      <c r="H2537">
        <f>0.0121951219512195*0.809622171556313</f>
        <v>9.8734411165403921E-3</v>
      </c>
      <c r="I2537">
        <v>9.8734411165404077E-3</v>
      </c>
    </row>
    <row r="2538" spans="1:9" x14ac:dyDescent="0.25">
      <c r="A2538">
        <v>273</v>
      </c>
      <c r="B2538" t="s">
        <v>1270</v>
      </c>
      <c r="C2538" t="s">
        <v>48</v>
      </c>
      <c r="D2538" t="s">
        <v>153</v>
      </c>
      <c r="E2538">
        <f t="shared" si="113"/>
        <v>1.2195121951219513E-2</v>
      </c>
      <c r="F2538">
        <v>10</v>
      </c>
      <c r="G2538">
        <f>LOG(382/(10+1))</f>
        <v>1.5406706777534838</v>
      </c>
      <c r="H2538">
        <f>0.0121951219512195*3.5475253358082</f>
        <v>4.3262504095221914E-2</v>
      </c>
      <c r="I2538">
        <v>4.3262504095222011E-2</v>
      </c>
    </row>
    <row r="2539" spans="1:9" x14ac:dyDescent="0.25">
      <c r="A2539">
        <v>273</v>
      </c>
      <c r="B2539" t="s">
        <v>1270</v>
      </c>
      <c r="C2539" t="s">
        <v>48</v>
      </c>
      <c r="D2539" t="s">
        <v>19</v>
      </c>
      <c r="E2539">
        <f t="shared" si="113"/>
        <v>1.2195121951219513E-2</v>
      </c>
      <c r="F2539">
        <v>220</v>
      </c>
      <c r="G2539">
        <f>LOG(382/(220+1))</f>
        <v>0.23767108922659805</v>
      </c>
      <c r="H2539">
        <f>0.0121951219512195*0.547257907088822</f>
        <v>6.6738769157173358E-3</v>
      </c>
      <c r="I2539">
        <v>6.6738769157173462E-3</v>
      </c>
    </row>
    <row r="2540" spans="1:9" x14ac:dyDescent="0.25">
      <c r="A2540">
        <v>273</v>
      </c>
      <c r="B2540" t="s">
        <v>1270</v>
      </c>
      <c r="C2540" t="s">
        <v>48</v>
      </c>
      <c r="D2540" t="s">
        <v>41</v>
      </c>
      <c r="E2540">
        <f t="shared" si="113"/>
        <v>1.2195121951219513E-2</v>
      </c>
      <c r="F2540">
        <v>195</v>
      </c>
      <c r="G2540">
        <f>LOG(382/(195+1))</f>
        <v>0.28980729155523272</v>
      </c>
      <c r="H2540">
        <f>0.0121951219512195*0.667305949376058</f>
        <v>8.137877431415334E-3</v>
      </c>
      <c r="I2540">
        <v>8.1378774314153426E-3</v>
      </c>
    </row>
    <row r="2541" spans="1:9" x14ac:dyDescent="0.25">
      <c r="A2541">
        <v>273</v>
      </c>
      <c r="B2541" t="s">
        <v>1270</v>
      </c>
      <c r="C2541" t="s">
        <v>48</v>
      </c>
      <c r="D2541" t="s">
        <v>22</v>
      </c>
      <c r="E2541">
        <f t="shared" si="113"/>
        <v>1.2195121951219513E-2</v>
      </c>
      <c r="F2541">
        <v>259</v>
      </c>
      <c r="G2541">
        <f>LOG(382/(259+1))</f>
        <v>0.16709001494089079</v>
      </c>
      <c r="H2541">
        <f>0.0121951219512195*0.384738977591047</f>
        <v>4.6919387511103255E-3</v>
      </c>
      <c r="I2541">
        <v>4.6919387511103359E-3</v>
      </c>
    </row>
    <row r="2542" spans="1:9" x14ac:dyDescent="0.25">
      <c r="A2542">
        <v>273</v>
      </c>
      <c r="B2542" t="s">
        <v>1270</v>
      </c>
      <c r="C2542" t="s">
        <v>48</v>
      </c>
      <c r="D2542" t="s">
        <v>23</v>
      </c>
      <c r="E2542">
        <f t="shared" si="113"/>
        <v>1.2195121951219513E-2</v>
      </c>
      <c r="F2542">
        <v>275</v>
      </c>
      <c r="G2542">
        <f>LOG(382/(275+1))</f>
        <v>0.14115428084649101</v>
      </c>
      <c r="H2542">
        <f>0.0121951219512195*0.325019742889425</f>
        <v>3.9636554010905444E-3</v>
      </c>
      <c r="I2542">
        <v>3.9636554010905496E-3</v>
      </c>
    </row>
    <row r="2543" spans="1:9" x14ac:dyDescent="0.25">
      <c r="A2543">
        <v>273</v>
      </c>
      <c r="B2543" t="s">
        <v>1270</v>
      </c>
      <c r="C2543" t="s">
        <v>48</v>
      </c>
      <c r="D2543" t="s">
        <v>260</v>
      </c>
      <c r="E2543">
        <f t="shared" si="113"/>
        <v>1.2195121951219513E-2</v>
      </c>
      <c r="F2543">
        <v>31</v>
      </c>
      <c r="G2543">
        <f>LOG(382/(31+1))</f>
        <v>1.0769133845918029</v>
      </c>
      <c r="H2543">
        <f>0.0121951219512195*2.47968470580684</f>
        <v>3.024005738788826E-2</v>
      </c>
      <c r="I2543">
        <v>3.0240057387888399E-2</v>
      </c>
    </row>
    <row r="2544" spans="1:9" x14ac:dyDescent="0.25">
      <c r="A2544">
        <v>273</v>
      </c>
      <c r="B2544" t="s">
        <v>1270</v>
      </c>
      <c r="C2544" t="s">
        <v>48</v>
      </c>
      <c r="D2544" t="s">
        <v>207</v>
      </c>
      <c r="E2544">
        <f t="shared" si="113"/>
        <v>1.2195121951219513E-2</v>
      </c>
      <c r="F2544">
        <v>21</v>
      </c>
      <c r="G2544">
        <f>LOG(382/(21+1))</f>
        <v>1.2396406820895025</v>
      </c>
      <c r="H2544">
        <f>0.0121951219512195*2.85437815524825</f>
        <v>3.4809489698149357E-2</v>
      </c>
      <c r="I2544">
        <v>3.4809489698149503E-2</v>
      </c>
    </row>
    <row r="2545" spans="1:9" x14ac:dyDescent="0.25">
      <c r="A2545">
        <v>273</v>
      </c>
      <c r="B2545" t="s">
        <v>1270</v>
      </c>
      <c r="C2545" t="s">
        <v>48</v>
      </c>
      <c r="D2545" t="s">
        <v>52</v>
      </c>
      <c r="E2545">
        <f>2/82</f>
        <v>2.4390243902439025E-2</v>
      </c>
      <c r="F2545">
        <v>35</v>
      </c>
      <c r="G2545">
        <f>LOG(382/(35+1))</f>
        <v>1.0257608621444214</v>
      </c>
      <c r="H2545">
        <f>0.024390243902439*2.36190167015046</f>
        <v>5.7607357808547748E-2</v>
      </c>
      <c r="I2545">
        <v>5.7607357808547928E-2</v>
      </c>
    </row>
    <row r="2546" spans="1:9" x14ac:dyDescent="0.25">
      <c r="A2546">
        <v>273</v>
      </c>
      <c r="B2546" t="s">
        <v>1270</v>
      </c>
      <c r="C2546" t="s">
        <v>48</v>
      </c>
      <c r="D2546" t="s">
        <v>53</v>
      </c>
      <c r="E2546">
        <f t="shared" ref="E2546:E2572" si="114">1/82</f>
        <v>1.2195121951219513E-2</v>
      </c>
      <c r="F2546">
        <v>57</v>
      </c>
      <c r="G2546">
        <f>LOG(382/(57+1))</f>
        <v>0.81863536934877146</v>
      </c>
      <c r="H2546">
        <f>0.0121951219512195*1.88497759806015</f>
        <v>2.2987531683660342E-2</v>
      </c>
      <c r="I2546">
        <v>2.2987531683660439E-2</v>
      </c>
    </row>
    <row r="2547" spans="1:9" x14ac:dyDescent="0.25">
      <c r="A2547">
        <v>273</v>
      </c>
      <c r="B2547" t="s">
        <v>1270</v>
      </c>
      <c r="C2547" t="s">
        <v>48</v>
      </c>
      <c r="D2547" t="s">
        <v>295</v>
      </c>
      <c r="E2547">
        <f t="shared" si="114"/>
        <v>1.2195121951219513E-2</v>
      </c>
      <c r="F2547">
        <v>5</v>
      </c>
      <c r="G2547">
        <f>LOG(382/(5+1))</f>
        <v>1.803912112528065</v>
      </c>
      <c r="H2547">
        <f>0.0121951219512195*4.15366113937852</f>
        <v>5.0654404138762391E-2</v>
      </c>
      <c r="I2547">
        <v>5.0654404138762439E-2</v>
      </c>
    </row>
    <row r="2548" spans="1:9" x14ac:dyDescent="0.25">
      <c r="A2548">
        <v>273</v>
      </c>
      <c r="B2548" t="s">
        <v>1270</v>
      </c>
      <c r="C2548" t="s">
        <v>48</v>
      </c>
      <c r="D2548" t="s">
        <v>104</v>
      </c>
      <c r="E2548">
        <f t="shared" si="114"/>
        <v>1.2195121951219513E-2</v>
      </c>
      <c r="F2548">
        <v>49</v>
      </c>
      <c r="G2548">
        <f>LOG(382/(49+1))</f>
        <v>0.88309335857568994</v>
      </c>
      <c r="H2548">
        <f>0.0121951219512195*2.03339760317842</f>
        <v>2.479753174607827E-2</v>
      </c>
      <c r="I2548">
        <v>2.4797531746078402E-2</v>
      </c>
    </row>
    <row r="2549" spans="1:9" x14ac:dyDescent="0.25">
      <c r="A2549">
        <v>273</v>
      </c>
      <c r="B2549" t="s">
        <v>1270</v>
      </c>
      <c r="C2549" t="s">
        <v>48</v>
      </c>
      <c r="D2549" t="s">
        <v>1281</v>
      </c>
      <c r="E2549">
        <f t="shared" si="114"/>
        <v>1.2195121951219513E-2</v>
      </c>
      <c r="F2549">
        <v>1</v>
      </c>
      <c r="G2549">
        <f>LOG(382/(1+1))</f>
        <v>2.2810333672477277</v>
      </c>
      <c r="H2549">
        <f>0.0121951219512195*5.25227342804663</f>
        <v>6.4052114976178354E-2</v>
      </c>
      <c r="I2549">
        <v>6.4052114976178409E-2</v>
      </c>
    </row>
    <row r="2550" spans="1:9" x14ac:dyDescent="0.25">
      <c r="A2550">
        <v>273</v>
      </c>
      <c r="B2550" t="s">
        <v>1270</v>
      </c>
      <c r="C2550" t="s">
        <v>48</v>
      </c>
      <c r="D2550" t="s">
        <v>38</v>
      </c>
      <c r="E2550">
        <f t="shared" si="114"/>
        <v>1.2195121951219513E-2</v>
      </c>
      <c r="F2550">
        <v>86</v>
      </c>
      <c r="G2550">
        <f>LOG(382/(86+1))</f>
        <v>0.64254411029309022</v>
      </c>
      <c r="H2550">
        <f>0.0121951219512195*1.47951248995199</f>
        <v>1.8042835243316933E-2</v>
      </c>
      <c r="I2550">
        <v>1.8042835243316971E-2</v>
      </c>
    </row>
    <row r="2551" spans="1:9" x14ac:dyDescent="0.25">
      <c r="A2551">
        <v>273</v>
      </c>
      <c r="B2551" t="s">
        <v>1270</v>
      </c>
      <c r="C2551" t="s">
        <v>48</v>
      </c>
      <c r="D2551" t="s">
        <v>1282</v>
      </c>
      <c r="E2551">
        <f t="shared" si="114"/>
        <v>1.2195121951219513E-2</v>
      </c>
      <c r="F2551">
        <v>1</v>
      </c>
      <c r="G2551">
        <f>LOG(382/(1+1))</f>
        <v>2.2810333672477277</v>
      </c>
      <c r="H2551">
        <f>0.0121951219512195*5.25227342804663</f>
        <v>6.4052114976178354E-2</v>
      </c>
      <c r="I2551">
        <v>6.4052114976178409E-2</v>
      </c>
    </row>
    <row r="2552" spans="1:9" x14ac:dyDescent="0.25">
      <c r="A2552">
        <v>273</v>
      </c>
      <c r="B2552" t="s">
        <v>1270</v>
      </c>
      <c r="C2552" t="s">
        <v>48</v>
      </c>
      <c r="D2552" t="s">
        <v>822</v>
      </c>
      <c r="E2552">
        <f t="shared" si="114"/>
        <v>1.2195121951219513E-2</v>
      </c>
      <c r="F2552">
        <v>4</v>
      </c>
      <c r="G2552">
        <f>LOG(382/(4+1))</f>
        <v>1.8830933585756899</v>
      </c>
      <c r="H2552">
        <f>0.0121951219512195*4.33598269617247</f>
        <v>5.2877837758200805E-2</v>
      </c>
      <c r="I2552">
        <v>5.2877837758200923E-2</v>
      </c>
    </row>
    <row r="2553" spans="1:9" x14ac:dyDescent="0.25">
      <c r="A2553">
        <v>273</v>
      </c>
      <c r="B2553" t="s">
        <v>1270</v>
      </c>
      <c r="C2553" t="s">
        <v>48</v>
      </c>
      <c r="D2553" t="s">
        <v>540</v>
      </c>
      <c r="E2553">
        <f t="shared" si="114"/>
        <v>1.2195121951219513E-2</v>
      </c>
      <c r="F2553">
        <v>5</v>
      </c>
      <c r="G2553">
        <f>LOG(382/(5+1))</f>
        <v>1.803912112528065</v>
      </c>
      <c r="H2553">
        <f>0.0121951219512195*4.15366113937852</f>
        <v>5.0654404138762391E-2</v>
      </c>
      <c r="I2553">
        <v>5.0654404138762439E-2</v>
      </c>
    </row>
    <row r="2554" spans="1:9" x14ac:dyDescent="0.25">
      <c r="A2554">
        <v>273</v>
      </c>
      <c r="B2554" t="s">
        <v>1270</v>
      </c>
      <c r="C2554" t="s">
        <v>48</v>
      </c>
      <c r="D2554" t="s">
        <v>1283</v>
      </c>
      <c r="E2554">
        <f t="shared" si="114"/>
        <v>1.2195121951219513E-2</v>
      </c>
      <c r="F2554">
        <v>8</v>
      </c>
      <c r="G2554">
        <f>LOG(382/(8+1))</f>
        <v>1.6278208534723839</v>
      </c>
      <c r="H2554">
        <f>0.0121951219512195*3.74819603127035</f>
        <v>4.570970769841886E-2</v>
      </c>
      <c r="I2554">
        <v>4.5709707698418971E-2</v>
      </c>
    </row>
    <row r="2555" spans="1:9" x14ac:dyDescent="0.25">
      <c r="A2555">
        <v>273</v>
      </c>
      <c r="B2555" t="s">
        <v>1270</v>
      </c>
      <c r="C2555" t="s">
        <v>48</v>
      </c>
      <c r="D2555" t="s">
        <v>1284</v>
      </c>
      <c r="E2555">
        <f t="shared" si="114"/>
        <v>1.2195121951219513E-2</v>
      </c>
      <c r="F2555">
        <v>5</v>
      </c>
      <c r="G2555">
        <f>LOG(382/(5+1))</f>
        <v>1.803912112528065</v>
      </c>
      <c r="H2555">
        <f>0.0121951219512195*4.15366113937852</f>
        <v>5.0654404138762391E-2</v>
      </c>
      <c r="I2555">
        <v>5.0654404138762439E-2</v>
      </c>
    </row>
    <row r="2556" spans="1:9" x14ac:dyDescent="0.25">
      <c r="A2556">
        <v>273</v>
      </c>
      <c r="B2556" t="s">
        <v>1270</v>
      </c>
      <c r="C2556" t="s">
        <v>48</v>
      </c>
      <c r="D2556" t="s">
        <v>1285</v>
      </c>
      <c r="E2556">
        <f t="shared" si="114"/>
        <v>1.2195121951219513E-2</v>
      </c>
      <c r="F2556">
        <v>1</v>
      </c>
      <c r="G2556">
        <f>LOG(382/(1+1))</f>
        <v>2.2810333672477277</v>
      </c>
      <c r="H2556">
        <f>0.0121951219512195*5.25227342804663</f>
        <v>6.4052114976178354E-2</v>
      </c>
      <c r="I2556">
        <v>6.4052114976178409E-2</v>
      </c>
    </row>
    <row r="2557" spans="1:9" x14ac:dyDescent="0.25">
      <c r="A2557">
        <v>273</v>
      </c>
      <c r="B2557" t="s">
        <v>1270</v>
      </c>
      <c r="C2557" t="s">
        <v>48</v>
      </c>
      <c r="D2557" t="s">
        <v>211</v>
      </c>
      <c r="E2557">
        <f t="shared" si="114"/>
        <v>1.2195121951219513E-2</v>
      </c>
      <c r="F2557">
        <v>10</v>
      </c>
      <c r="G2557">
        <f>LOG(382/(10+1))</f>
        <v>1.5406706777534838</v>
      </c>
      <c r="H2557">
        <f>0.0121951219512195*3.5475253358082</f>
        <v>4.3262504095221914E-2</v>
      </c>
      <c r="I2557">
        <v>4.3262504095222011E-2</v>
      </c>
    </row>
    <row r="2558" spans="1:9" x14ac:dyDescent="0.25">
      <c r="A2558">
        <v>273</v>
      </c>
      <c r="B2558" t="s">
        <v>1270</v>
      </c>
      <c r="C2558" t="s">
        <v>48</v>
      </c>
      <c r="D2558" t="s">
        <v>1286</v>
      </c>
      <c r="E2558">
        <f t="shared" si="114"/>
        <v>1.2195121951219513E-2</v>
      </c>
      <c r="F2558">
        <v>1</v>
      </c>
      <c r="G2558">
        <f>LOG(382/(1+1))</f>
        <v>2.2810333672477277</v>
      </c>
      <c r="H2558">
        <f>0.0121951219512195*5.25227342804663</f>
        <v>6.4052114976178354E-2</v>
      </c>
      <c r="I2558">
        <v>6.4052114976178409E-2</v>
      </c>
    </row>
    <row r="2559" spans="1:9" x14ac:dyDescent="0.25">
      <c r="A2559">
        <v>273</v>
      </c>
      <c r="B2559" t="s">
        <v>1270</v>
      </c>
      <c r="C2559" t="s">
        <v>48</v>
      </c>
      <c r="D2559" t="s">
        <v>90</v>
      </c>
      <c r="E2559">
        <f t="shared" si="114"/>
        <v>1.2195121951219513E-2</v>
      </c>
      <c r="F2559">
        <v>13</v>
      </c>
      <c r="G2559">
        <f>LOG(382/(13+1))</f>
        <v>1.4359353272334707</v>
      </c>
      <c r="H2559">
        <f>0.0121951219512195*3.30636327899131</f>
        <v>4.0321503402333016E-2</v>
      </c>
      <c r="I2559">
        <v>4.0321503402333127E-2</v>
      </c>
    </row>
    <row r="2560" spans="1:9" x14ac:dyDescent="0.25">
      <c r="A2560">
        <v>273</v>
      </c>
      <c r="B2560" t="s">
        <v>1270</v>
      </c>
      <c r="C2560" t="s">
        <v>48</v>
      </c>
      <c r="D2560" t="s">
        <v>1240</v>
      </c>
      <c r="E2560">
        <f t="shared" si="114"/>
        <v>1.2195121951219513E-2</v>
      </c>
      <c r="F2560">
        <v>3</v>
      </c>
      <c r="G2560">
        <f>LOG(382/(3+1))</f>
        <v>1.9800033715837464</v>
      </c>
      <c r="H2560">
        <f>0.0121951219512195*4.55912624748668</f>
        <v>5.5599100579105803E-2</v>
      </c>
      <c r="I2560">
        <v>5.5599100579105908E-2</v>
      </c>
    </row>
    <row r="2561" spans="1:9" x14ac:dyDescent="0.25">
      <c r="A2561">
        <v>273</v>
      </c>
      <c r="B2561" t="s">
        <v>1270</v>
      </c>
      <c r="C2561" t="s">
        <v>48</v>
      </c>
      <c r="D2561" t="s">
        <v>1287</v>
      </c>
      <c r="E2561">
        <f t="shared" si="114"/>
        <v>1.2195121951219513E-2</v>
      </c>
      <c r="F2561">
        <v>4</v>
      </c>
      <c r="G2561">
        <f>LOG(382/(4+1))</f>
        <v>1.8830933585756899</v>
      </c>
      <c r="H2561">
        <f>0.0121951219512195*4.33598269617247</f>
        <v>5.2877837758200805E-2</v>
      </c>
      <c r="I2561">
        <v>5.2877837758200923E-2</v>
      </c>
    </row>
    <row r="2562" spans="1:9" x14ac:dyDescent="0.25">
      <c r="A2562">
        <v>273</v>
      </c>
      <c r="B2562" t="s">
        <v>1270</v>
      </c>
      <c r="C2562" t="s">
        <v>48</v>
      </c>
      <c r="D2562" t="s">
        <v>564</v>
      </c>
      <c r="E2562">
        <f t="shared" si="114"/>
        <v>1.2195121951219513E-2</v>
      </c>
      <c r="F2562">
        <v>7</v>
      </c>
      <c r="G2562">
        <f>LOG(382/(7+1))</f>
        <v>1.6789733759197651</v>
      </c>
      <c r="H2562">
        <f>0.0121951219512195*3.86597906692673</f>
        <v>4.7146086182033253E-2</v>
      </c>
      <c r="I2562">
        <v>4.7146086182033413E-2</v>
      </c>
    </row>
    <row r="2563" spans="1:9" x14ac:dyDescent="0.25">
      <c r="A2563">
        <v>273</v>
      </c>
      <c r="B2563" t="s">
        <v>1270</v>
      </c>
      <c r="C2563" t="s">
        <v>48</v>
      </c>
      <c r="D2563" t="s">
        <v>197</v>
      </c>
      <c r="E2563">
        <f t="shared" si="114"/>
        <v>1.2195121951219513E-2</v>
      </c>
      <c r="F2563">
        <v>18</v>
      </c>
      <c r="G2563">
        <f>LOG(382/(18+1))</f>
        <v>1.3033097619588798</v>
      </c>
      <c r="H2563">
        <f>0.0121951219512195*3.00098162944013</f>
        <v>3.6597336944391795E-2</v>
      </c>
      <c r="I2563">
        <v>3.6597336944391892E-2</v>
      </c>
    </row>
    <row r="2564" spans="1:9" x14ac:dyDescent="0.25">
      <c r="A2564">
        <v>273</v>
      </c>
      <c r="B2564" t="s">
        <v>1270</v>
      </c>
      <c r="C2564" t="s">
        <v>48</v>
      </c>
      <c r="D2564" t="s">
        <v>337</v>
      </c>
      <c r="E2564">
        <f t="shared" si="114"/>
        <v>1.2195121951219513E-2</v>
      </c>
      <c r="F2564">
        <v>2</v>
      </c>
      <c r="G2564">
        <f>LOG(382/(2+1))</f>
        <v>2.1049421081920463</v>
      </c>
      <c r="H2564">
        <f>0.0121951219512195*4.84680831993846</f>
        <v>5.9107418535834823E-2</v>
      </c>
      <c r="I2564">
        <v>5.9107418535834948E-2</v>
      </c>
    </row>
    <row r="2565" spans="1:9" x14ac:dyDescent="0.25">
      <c r="A2565">
        <v>273</v>
      </c>
      <c r="B2565" t="s">
        <v>1270</v>
      </c>
      <c r="C2565" t="s">
        <v>48</v>
      </c>
      <c r="D2565" t="s">
        <v>243</v>
      </c>
      <c r="E2565">
        <f t="shared" si="114"/>
        <v>1.2195121951219513E-2</v>
      </c>
      <c r="F2565">
        <v>131</v>
      </c>
      <c r="G2565">
        <f>LOG(382/(131+1))</f>
        <v>0.46148943170585888</v>
      </c>
      <c r="H2565">
        <f>0.0121951219512195*1.0626186860202</f>
        <v>1.2958764463660963E-2</v>
      </c>
      <c r="I2565">
        <v>1.2958764463661031E-2</v>
      </c>
    </row>
    <row r="2566" spans="1:9" x14ac:dyDescent="0.25">
      <c r="A2566">
        <v>273</v>
      </c>
      <c r="B2566" t="s">
        <v>1270</v>
      </c>
      <c r="C2566" t="s">
        <v>48</v>
      </c>
      <c r="D2566" t="s">
        <v>237</v>
      </c>
      <c r="E2566">
        <f t="shared" si="114"/>
        <v>1.2195121951219513E-2</v>
      </c>
      <c r="F2566">
        <v>138</v>
      </c>
      <c r="G2566">
        <f>LOG(382/(138+1))</f>
        <v>0.43904856265761361</v>
      </c>
      <c r="H2566">
        <f>0.0121951219512195*1.01094667547588</f>
        <v>1.2328617993608281E-2</v>
      </c>
      <c r="I2566">
        <v>1.2328617993608329E-2</v>
      </c>
    </row>
    <row r="2567" spans="1:9" x14ac:dyDescent="0.25">
      <c r="A2567">
        <v>273</v>
      </c>
      <c r="B2567" t="s">
        <v>1270</v>
      </c>
      <c r="C2567" t="s">
        <v>48</v>
      </c>
      <c r="D2567" t="s">
        <v>881</v>
      </c>
      <c r="E2567">
        <f t="shared" si="114"/>
        <v>1.2195121951219513E-2</v>
      </c>
      <c r="F2567">
        <v>15</v>
      </c>
      <c r="G2567">
        <f>LOG(382/(15+1))</f>
        <v>1.3779433802557839</v>
      </c>
      <c r="H2567">
        <f>0.0121951219512195*3.17283188636679</f>
        <v>3.8693071784960821E-2</v>
      </c>
      <c r="I2567">
        <v>3.8693071784960897E-2</v>
      </c>
    </row>
    <row r="2568" spans="1:9" x14ac:dyDescent="0.25">
      <c r="A2568">
        <v>273</v>
      </c>
      <c r="B2568" t="s">
        <v>1270</v>
      </c>
      <c r="C2568" t="s">
        <v>48</v>
      </c>
      <c r="D2568" t="s">
        <v>888</v>
      </c>
      <c r="E2568">
        <f t="shared" si="114"/>
        <v>1.2195121951219513E-2</v>
      </c>
      <c r="F2568">
        <v>21</v>
      </c>
      <c r="G2568">
        <f>LOG(382/(21+1))</f>
        <v>1.2396406820895025</v>
      </c>
      <c r="H2568">
        <f>0.0121951219512195*2.85437815524825</f>
        <v>3.4809489698149357E-2</v>
      </c>
      <c r="I2568">
        <v>3.4809489698149503E-2</v>
      </c>
    </row>
    <row r="2569" spans="1:9" x14ac:dyDescent="0.25">
      <c r="A2569">
        <v>273</v>
      </c>
      <c r="B2569" t="s">
        <v>1270</v>
      </c>
      <c r="C2569" t="s">
        <v>48</v>
      </c>
      <c r="D2569" t="s">
        <v>263</v>
      </c>
      <c r="E2569">
        <f t="shared" si="114"/>
        <v>1.2195121951219513E-2</v>
      </c>
      <c r="F2569">
        <v>41</v>
      </c>
      <c r="G2569">
        <f>LOG(382/(41+1))</f>
        <v>0.95881407251380824</v>
      </c>
      <c r="H2569">
        <f>0.0121951219512195*2.2077509903232</f>
        <v>2.6923792564917049E-2</v>
      </c>
      <c r="I2569">
        <v>2.692379256491716E-2</v>
      </c>
    </row>
    <row r="2570" spans="1:9" x14ac:dyDescent="0.25">
      <c r="A2570">
        <v>273</v>
      </c>
      <c r="B2570" t="s">
        <v>1270</v>
      </c>
      <c r="C2570" t="s">
        <v>48</v>
      </c>
      <c r="D2570" t="s">
        <v>409</v>
      </c>
      <c r="E2570">
        <f t="shared" si="114"/>
        <v>1.2195121951219513E-2</v>
      </c>
      <c r="F2570">
        <v>3</v>
      </c>
      <c r="G2570">
        <f>LOG(382/(3+1))</f>
        <v>1.9800033715837464</v>
      </c>
      <c r="H2570">
        <f>0.0121951219512195*4.55912624748668</f>
        <v>5.5599100579105803E-2</v>
      </c>
      <c r="I2570">
        <v>5.5599100579105908E-2</v>
      </c>
    </row>
    <row r="2571" spans="1:9" x14ac:dyDescent="0.25">
      <c r="A2571">
        <v>273</v>
      </c>
      <c r="B2571" t="s">
        <v>1270</v>
      </c>
      <c r="C2571" t="s">
        <v>48</v>
      </c>
      <c r="D2571" t="s">
        <v>784</v>
      </c>
      <c r="E2571">
        <f t="shared" si="114"/>
        <v>1.2195121951219513E-2</v>
      </c>
      <c r="F2571">
        <v>6</v>
      </c>
      <c r="G2571">
        <f>LOG(382/(6+1))</f>
        <v>1.736965322897452</v>
      </c>
      <c r="H2571">
        <f>0.0121951219512195*3.99951045955126</f>
        <v>4.8774517799405566E-2</v>
      </c>
      <c r="I2571">
        <v>4.8774517799405642E-2</v>
      </c>
    </row>
    <row r="2572" spans="1:9" x14ac:dyDescent="0.25">
      <c r="A2572">
        <v>273</v>
      </c>
      <c r="B2572" t="s">
        <v>1270</v>
      </c>
      <c r="C2572" t="s">
        <v>48</v>
      </c>
      <c r="D2572" t="s">
        <v>676</v>
      </c>
      <c r="E2572">
        <f t="shared" si="114"/>
        <v>1.2195121951219513E-2</v>
      </c>
      <c r="F2572">
        <v>20</v>
      </c>
      <c r="G2572">
        <f>LOG(382/(20+1))</f>
        <v>1.2598440681777894</v>
      </c>
      <c r="H2572">
        <f>0.0121951219512195*2.90089817088315</f>
        <v>3.5376806961989603E-2</v>
      </c>
      <c r="I2572">
        <v>3.5376806961989672E-2</v>
      </c>
    </row>
    <row r="2573" spans="1:9" x14ac:dyDescent="0.25">
      <c r="A2573">
        <v>275</v>
      </c>
      <c r="B2573" t="s">
        <v>1288</v>
      </c>
      <c r="C2573" t="s">
        <v>48</v>
      </c>
      <c r="D2573" t="s">
        <v>108</v>
      </c>
      <c r="E2573">
        <f>5/90</f>
        <v>5.5555555555555552E-2</v>
      </c>
      <c r="F2573">
        <v>9</v>
      </c>
      <c r="G2573">
        <f>LOG(382/(9+1))</f>
        <v>1.5820633629117087</v>
      </c>
      <c r="H2573">
        <f>0.0555555555555555*3.64283551561252</f>
        <v>0.20237975086736201</v>
      </c>
      <c r="I2573">
        <v>0.20237975086736271</v>
      </c>
    </row>
    <row r="2574" spans="1:9" x14ac:dyDescent="0.25">
      <c r="A2574">
        <v>275</v>
      </c>
      <c r="B2574" t="s">
        <v>1288</v>
      </c>
      <c r="C2574" t="s">
        <v>48</v>
      </c>
      <c r="D2574" t="s">
        <v>113</v>
      </c>
      <c r="E2574">
        <f>2/90</f>
        <v>2.2222222222222223E-2</v>
      </c>
      <c r="F2574">
        <v>8</v>
      </c>
      <c r="G2574">
        <f>LOG(382/(8+1))</f>
        <v>1.6278208534723839</v>
      </c>
      <c r="H2574">
        <f>0.0222222222222222*3.74819603127035</f>
        <v>8.3293245139341027E-2</v>
      </c>
      <c r="I2574">
        <v>8.3293245139341235E-2</v>
      </c>
    </row>
    <row r="2575" spans="1:9" x14ac:dyDescent="0.25">
      <c r="A2575">
        <v>275</v>
      </c>
      <c r="B2575" t="s">
        <v>1288</v>
      </c>
      <c r="C2575" t="s">
        <v>48</v>
      </c>
      <c r="D2575" t="s">
        <v>104</v>
      </c>
      <c r="E2575">
        <f>7/90</f>
        <v>7.7777777777777779E-2</v>
      </c>
      <c r="F2575">
        <v>49</v>
      </c>
      <c r="G2575">
        <f>LOG(382/(49+1))</f>
        <v>0.88309335857568994</v>
      </c>
      <c r="H2575">
        <f>0.0777777777777777*2.03339760317842</f>
        <v>0.15815314691387694</v>
      </c>
      <c r="I2575">
        <v>0.1581531469138778</v>
      </c>
    </row>
    <row r="2576" spans="1:9" x14ac:dyDescent="0.25">
      <c r="A2576">
        <v>275</v>
      </c>
      <c r="B2576" t="s">
        <v>1288</v>
      </c>
      <c r="C2576" t="s">
        <v>48</v>
      </c>
      <c r="D2576" t="s">
        <v>109</v>
      </c>
      <c r="E2576">
        <f>6/90</f>
        <v>6.6666666666666666E-2</v>
      </c>
      <c r="F2576">
        <v>3</v>
      </c>
      <c r="G2576">
        <f>LOG(382/(3+1))</f>
        <v>1.9800033715837464</v>
      </c>
      <c r="H2576">
        <f>0.0666666666666666*4.55912624748668</f>
        <v>0.30394174983244504</v>
      </c>
      <c r="I2576">
        <v>0.30394174983244571</v>
      </c>
    </row>
    <row r="2577" spans="1:9" x14ac:dyDescent="0.25">
      <c r="A2577">
        <v>275</v>
      </c>
      <c r="B2577" t="s">
        <v>1288</v>
      </c>
      <c r="C2577" t="s">
        <v>48</v>
      </c>
      <c r="D2577" t="s">
        <v>42</v>
      </c>
      <c r="E2577">
        <f>2/90</f>
        <v>2.2222222222222223E-2</v>
      </c>
      <c r="F2577">
        <v>251</v>
      </c>
      <c r="G2577">
        <f>LOG(382/(251+1))</f>
        <v>0.18066282213016463</v>
      </c>
      <c r="H2577">
        <f>0.0222222222222222*0.415991521095151</f>
        <v>9.2442560243366778E-3</v>
      </c>
      <c r="I2577">
        <v>9.244256024336709E-3</v>
      </c>
    </row>
    <row r="2578" spans="1:9" x14ac:dyDescent="0.25">
      <c r="A2578">
        <v>275</v>
      </c>
      <c r="B2578" t="s">
        <v>1288</v>
      </c>
      <c r="C2578" t="s">
        <v>48</v>
      </c>
      <c r="D2578" t="s">
        <v>15</v>
      </c>
      <c r="E2578">
        <f t="shared" ref="E2578:E2585" si="115">1/90</f>
        <v>1.1111111111111112E-2</v>
      </c>
      <c r="F2578">
        <v>112</v>
      </c>
      <c r="G2578">
        <f>LOG(382/(112+1))</f>
        <v>0.52898491942828896</v>
      </c>
      <c r="H2578">
        <f>0.0111111111111111*1.21803278989423</f>
        <v>1.353369766549143E-2</v>
      </c>
      <c r="I2578">
        <v>1.3533697665491499E-2</v>
      </c>
    </row>
    <row r="2579" spans="1:9" x14ac:dyDescent="0.25">
      <c r="A2579">
        <v>275</v>
      </c>
      <c r="B2579" t="s">
        <v>1288</v>
      </c>
      <c r="C2579" t="s">
        <v>48</v>
      </c>
      <c r="D2579" t="s">
        <v>64</v>
      </c>
      <c r="E2579">
        <f t="shared" si="115"/>
        <v>1.1111111111111112E-2</v>
      </c>
      <c r="F2579">
        <v>16</v>
      </c>
      <c r="G2579">
        <f>LOG(382/(16+1))</f>
        <v>1.3516144415334348</v>
      </c>
      <c r="H2579">
        <f>0.0111111111111111*3.11220726455035</f>
        <v>3.4580080717226069E-2</v>
      </c>
      <c r="I2579">
        <v>3.4580080717226222E-2</v>
      </c>
    </row>
    <row r="2580" spans="1:9" x14ac:dyDescent="0.25">
      <c r="A2580">
        <v>275</v>
      </c>
      <c r="B2580" t="s">
        <v>1288</v>
      </c>
      <c r="C2580" t="s">
        <v>48</v>
      </c>
      <c r="D2580" t="s">
        <v>17</v>
      </c>
      <c r="E2580">
        <f t="shared" si="115"/>
        <v>1.1111111111111112E-2</v>
      </c>
      <c r="F2580">
        <v>169</v>
      </c>
      <c r="G2580">
        <f>LOG(382/(169+1))</f>
        <v>0.3516144415334348</v>
      </c>
      <c r="H2580">
        <f>0.0111111111111111*0.809622171556313</f>
        <v>8.9958019061812458E-3</v>
      </c>
      <c r="I2580">
        <v>8.9958019061812614E-3</v>
      </c>
    </row>
    <row r="2581" spans="1:9" x14ac:dyDescent="0.25">
      <c r="A2581">
        <v>275</v>
      </c>
      <c r="B2581" t="s">
        <v>1288</v>
      </c>
      <c r="C2581" t="s">
        <v>48</v>
      </c>
      <c r="D2581" t="s">
        <v>70</v>
      </c>
      <c r="E2581">
        <f t="shared" si="115"/>
        <v>1.1111111111111112E-2</v>
      </c>
      <c r="F2581">
        <v>44</v>
      </c>
      <c r="G2581">
        <f>LOG(382/(44+1))</f>
        <v>0.92885084913636506</v>
      </c>
      <c r="H2581">
        <f>0.0111111111111111*2.13875811883625</f>
        <v>2.3763979098180531E-2</v>
      </c>
      <c r="I2581">
        <v>2.3763979098180611E-2</v>
      </c>
    </row>
    <row r="2582" spans="1:9" x14ac:dyDescent="0.25">
      <c r="A2582">
        <v>275</v>
      </c>
      <c r="B2582" t="s">
        <v>1288</v>
      </c>
      <c r="C2582" t="s">
        <v>48</v>
      </c>
      <c r="D2582" t="s">
        <v>19</v>
      </c>
      <c r="E2582">
        <f t="shared" si="115"/>
        <v>1.1111111111111112E-2</v>
      </c>
      <c r="F2582">
        <v>220</v>
      </c>
      <c r="G2582">
        <f>LOG(382/(220+1))</f>
        <v>0.23767108922659805</v>
      </c>
      <c r="H2582">
        <f>0.0111111111111111*0.547257907088822</f>
        <v>6.0806434120980165E-3</v>
      </c>
      <c r="I2582">
        <v>6.0806434120980269E-3</v>
      </c>
    </row>
    <row r="2583" spans="1:9" x14ac:dyDescent="0.25">
      <c r="A2583">
        <v>275</v>
      </c>
      <c r="B2583" t="s">
        <v>1288</v>
      </c>
      <c r="C2583" t="s">
        <v>48</v>
      </c>
      <c r="D2583" t="s">
        <v>44</v>
      </c>
      <c r="E2583">
        <f t="shared" si="115"/>
        <v>1.1111111111111112E-2</v>
      </c>
      <c r="F2583">
        <v>151</v>
      </c>
      <c r="G2583">
        <f>LOG(382/(151+1))</f>
        <v>0.40021977496693617</v>
      </c>
      <c r="H2583">
        <f>0.0111111111111111*0.921540087760298</f>
        <v>1.0239334308447746E-2</v>
      </c>
      <c r="I2583">
        <v>1.023933430844776E-2</v>
      </c>
    </row>
    <row r="2584" spans="1:9" x14ac:dyDescent="0.25">
      <c r="A2584">
        <v>275</v>
      </c>
      <c r="B2584" t="s">
        <v>1288</v>
      </c>
      <c r="C2584" t="s">
        <v>48</v>
      </c>
      <c r="D2584" t="s">
        <v>22</v>
      </c>
      <c r="E2584">
        <f t="shared" si="115"/>
        <v>1.1111111111111112E-2</v>
      </c>
      <c r="F2584">
        <v>259</v>
      </c>
      <c r="G2584">
        <f>LOG(382/(259+1))</f>
        <v>0.16709001494089079</v>
      </c>
      <c r="H2584">
        <f>0.0111111111111111*0.384738977591047</f>
        <v>4.2748775287894071E-3</v>
      </c>
      <c r="I2584">
        <v>4.2748775287894166E-3</v>
      </c>
    </row>
    <row r="2585" spans="1:9" x14ac:dyDescent="0.25">
      <c r="A2585">
        <v>275</v>
      </c>
      <c r="B2585" t="s">
        <v>1288</v>
      </c>
      <c r="C2585" t="s">
        <v>48</v>
      </c>
      <c r="D2585" t="s">
        <v>23</v>
      </c>
      <c r="E2585">
        <f t="shared" si="115"/>
        <v>1.1111111111111112E-2</v>
      </c>
      <c r="F2585">
        <v>275</v>
      </c>
      <c r="G2585">
        <f>LOG(382/(275+1))</f>
        <v>0.14115428084649101</v>
      </c>
      <c r="H2585">
        <f>0.0111111111111111*0.325019742889425</f>
        <v>3.6113304765491628E-3</v>
      </c>
      <c r="I2585">
        <v>3.611330476549168E-3</v>
      </c>
    </row>
    <row r="2586" spans="1:9" x14ac:dyDescent="0.25">
      <c r="A2586">
        <v>275</v>
      </c>
      <c r="B2586" t="s">
        <v>1288</v>
      </c>
      <c r="C2586" t="s">
        <v>48</v>
      </c>
      <c r="D2586" t="s">
        <v>458</v>
      </c>
      <c r="E2586">
        <f>2/90</f>
        <v>2.2222222222222223E-2</v>
      </c>
      <c r="F2586">
        <v>34</v>
      </c>
      <c r="G2586">
        <f>LOG(382/(34+1))</f>
        <v>1.037995318561433</v>
      </c>
      <c r="H2586">
        <f>0.0222222222222222*2.39007254711716</f>
        <v>5.3112723269270169E-2</v>
      </c>
      <c r="I2586">
        <v>5.3112723269270253E-2</v>
      </c>
    </row>
    <row r="2587" spans="1:9" x14ac:dyDescent="0.25">
      <c r="A2587">
        <v>275</v>
      </c>
      <c r="B2587" t="s">
        <v>1288</v>
      </c>
      <c r="C2587" t="s">
        <v>48</v>
      </c>
      <c r="D2587" t="s">
        <v>52</v>
      </c>
      <c r="E2587">
        <f>4/90</f>
        <v>4.4444444444444446E-2</v>
      </c>
      <c r="F2587">
        <v>35</v>
      </c>
      <c r="G2587">
        <f>LOG(382/(35+1))</f>
        <v>1.0257608621444214</v>
      </c>
      <c r="H2587">
        <f>0.0444444444444444*2.36190167015046</f>
        <v>0.10497340756224256</v>
      </c>
      <c r="I2587">
        <v>0.1049734075622429</v>
      </c>
    </row>
    <row r="2588" spans="1:9" x14ac:dyDescent="0.25">
      <c r="A2588">
        <v>275</v>
      </c>
      <c r="B2588" t="s">
        <v>1288</v>
      </c>
      <c r="C2588" t="s">
        <v>48</v>
      </c>
      <c r="D2588" t="s">
        <v>1289</v>
      </c>
      <c r="E2588">
        <f>1/90</f>
        <v>1.1111111111111112E-2</v>
      </c>
      <c r="F2588">
        <v>8</v>
      </c>
      <c r="G2588">
        <f>LOG(382/(8+1))</f>
        <v>1.6278208534723839</v>
      </c>
      <c r="H2588">
        <f>0.0111111111111111*3.74819603127035</f>
        <v>4.1646622569670513E-2</v>
      </c>
      <c r="I2588">
        <v>4.1646622569670617E-2</v>
      </c>
    </row>
    <row r="2589" spans="1:9" x14ac:dyDescent="0.25">
      <c r="A2589">
        <v>275</v>
      </c>
      <c r="B2589" t="s">
        <v>1288</v>
      </c>
      <c r="C2589" t="s">
        <v>48</v>
      </c>
      <c r="D2589" t="s">
        <v>607</v>
      </c>
      <c r="E2589">
        <f>2/90</f>
        <v>2.2222222222222223E-2</v>
      </c>
      <c r="F2589">
        <v>6</v>
      </c>
      <c r="G2589">
        <f>LOG(382/(6+1))</f>
        <v>1.736965322897452</v>
      </c>
      <c r="H2589">
        <f>0.0222222222222222*3.99951045955126</f>
        <v>8.8878010212250128E-2</v>
      </c>
      <c r="I2589">
        <v>8.8878010212250266E-2</v>
      </c>
    </row>
    <row r="2590" spans="1:9" x14ac:dyDescent="0.25">
      <c r="A2590">
        <v>275</v>
      </c>
      <c r="B2590" t="s">
        <v>1288</v>
      </c>
      <c r="C2590" t="s">
        <v>48</v>
      </c>
      <c r="D2590" t="s">
        <v>94</v>
      </c>
      <c r="E2590">
        <f>2/90</f>
        <v>2.2222222222222223E-2</v>
      </c>
      <c r="F2590">
        <v>12</v>
      </c>
      <c r="G2590">
        <f>LOG(382/(12+1))</f>
        <v>1.468120010604872</v>
      </c>
      <c r="H2590">
        <f>0.0222222222222222*3.38047125114503</f>
        <v>7.5121583358778374E-2</v>
      </c>
      <c r="I2590">
        <v>7.5121583358778637E-2</v>
      </c>
    </row>
    <row r="2591" spans="1:9" x14ac:dyDescent="0.25">
      <c r="A2591">
        <v>275</v>
      </c>
      <c r="B2591" t="s">
        <v>1288</v>
      </c>
      <c r="C2591" t="s">
        <v>48</v>
      </c>
      <c r="D2591" t="s">
        <v>50</v>
      </c>
      <c r="E2591">
        <f>4/90</f>
        <v>4.4444444444444446E-2</v>
      </c>
      <c r="F2591">
        <v>109</v>
      </c>
      <c r="G2591">
        <f>LOG(382/(109+1))</f>
        <v>0.54067067775348365</v>
      </c>
      <c r="H2591">
        <f>0.0444444444444444*1.24494024281415</f>
        <v>5.5330677458406613E-2</v>
      </c>
      <c r="I2591">
        <v>5.5330677458407057E-2</v>
      </c>
    </row>
    <row r="2592" spans="1:9" x14ac:dyDescent="0.25">
      <c r="A2592">
        <v>275</v>
      </c>
      <c r="B2592" t="s">
        <v>1288</v>
      </c>
      <c r="C2592" t="s">
        <v>48</v>
      </c>
      <c r="D2592" t="s">
        <v>219</v>
      </c>
      <c r="E2592">
        <f t="shared" ref="E2592:E2603" si="116">1/90</f>
        <v>1.1111111111111112E-2</v>
      </c>
      <c r="F2592">
        <v>19</v>
      </c>
      <c r="G2592">
        <f>LOG(382/(19+1))</f>
        <v>1.2810333672477277</v>
      </c>
      <c r="H2592">
        <f>0.0111111111111111*2.94968833505258</f>
        <v>3.2774314833917524E-2</v>
      </c>
      <c r="I2592">
        <v>3.2774314833917607E-2</v>
      </c>
    </row>
    <row r="2593" spans="1:9" x14ac:dyDescent="0.25">
      <c r="A2593">
        <v>275</v>
      </c>
      <c r="B2593" t="s">
        <v>1288</v>
      </c>
      <c r="C2593" t="s">
        <v>48</v>
      </c>
      <c r="D2593" t="s">
        <v>1290</v>
      </c>
      <c r="E2593">
        <f t="shared" si="116"/>
        <v>1.1111111111111112E-2</v>
      </c>
      <c r="F2593">
        <v>1</v>
      </c>
      <c r="G2593">
        <f>LOG(382/(1+1))</f>
        <v>2.2810333672477277</v>
      </c>
      <c r="H2593">
        <f>0.0111111111111111*5.25227342804663</f>
        <v>5.8358593644962493E-2</v>
      </c>
      <c r="I2593">
        <v>5.8358593644962563E-2</v>
      </c>
    </row>
    <row r="2594" spans="1:9" x14ac:dyDescent="0.25">
      <c r="A2594">
        <v>275</v>
      </c>
      <c r="B2594" t="s">
        <v>1288</v>
      </c>
      <c r="C2594" t="s">
        <v>48</v>
      </c>
      <c r="D2594" t="s">
        <v>811</v>
      </c>
      <c r="E2594">
        <f t="shared" si="116"/>
        <v>1.1111111111111112E-2</v>
      </c>
      <c r="F2594">
        <v>27</v>
      </c>
      <c r="G2594">
        <f>LOG(382/(27+1))</f>
        <v>1.1349053315694895</v>
      </c>
      <c r="H2594">
        <f>0.0111111111111111*2.61321609843137</f>
        <v>2.9035734427015195E-2</v>
      </c>
      <c r="I2594">
        <v>2.903573442701524E-2</v>
      </c>
    </row>
    <row r="2595" spans="1:9" x14ac:dyDescent="0.25">
      <c r="A2595">
        <v>275</v>
      </c>
      <c r="B2595" t="s">
        <v>1288</v>
      </c>
      <c r="C2595" t="s">
        <v>48</v>
      </c>
      <c r="D2595" t="s">
        <v>103</v>
      </c>
      <c r="E2595">
        <f t="shared" si="116"/>
        <v>1.1111111111111112E-2</v>
      </c>
      <c r="F2595">
        <v>38</v>
      </c>
      <c r="G2595">
        <f>LOG(382/(38+1))</f>
        <v>0.99099875588520958</v>
      </c>
      <c r="H2595">
        <f>0.0111111111111111*2.28185896247692</f>
        <v>2.5353988471965752E-2</v>
      </c>
      <c r="I2595">
        <v>2.535398847196588E-2</v>
      </c>
    </row>
    <row r="2596" spans="1:9" x14ac:dyDescent="0.25">
      <c r="A2596">
        <v>275</v>
      </c>
      <c r="B2596" t="s">
        <v>1288</v>
      </c>
      <c r="C2596" t="s">
        <v>48</v>
      </c>
      <c r="D2596" t="s">
        <v>1291</v>
      </c>
      <c r="E2596">
        <f t="shared" si="116"/>
        <v>1.1111111111111112E-2</v>
      </c>
      <c r="F2596">
        <v>2</v>
      </c>
      <c r="G2596">
        <f>LOG(382/(2+1))</f>
        <v>2.1049421081920463</v>
      </c>
      <c r="H2596">
        <f>0.0111111111111111*4.84680831993846</f>
        <v>5.3853425777093941E-2</v>
      </c>
      <c r="I2596">
        <v>5.3853425777094059E-2</v>
      </c>
    </row>
    <row r="2597" spans="1:9" x14ac:dyDescent="0.25">
      <c r="A2597">
        <v>275</v>
      </c>
      <c r="B2597" t="s">
        <v>1288</v>
      </c>
      <c r="C2597" t="s">
        <v>48</v>
      </c>
      <c r="D2597" t="s">
        <v>1292</v>
      </c>
      <c r="E2597">
        <f t="shared" si="116"/>
        <v>1.1111111111111112E-2</v>
      </c>
      <c r="F2597">
        <v>1</v>
      </c>
      <c r="G2597">
        <f>LOG(382/(1+1))</f>
        <v>2.2810333672477277</v>
      </c>
      <c r="H2597">
        <f>0.0111111111111111*5.25227342804663</f>
        <v>5.8358593644962493E-2</v>
      </c>
      <c r="I2597">
        <v>5.8358593644962563E-2</v>
      </c>
    </row>
    <row r="2598" spans="1:9" x14ac:dyDescent="0.25">
      <c r="A2598">
        <v>275</v>
      </c>
      <c r="B2598" t="s">
        <v>1288</v>
      </c>
      <c r="C2598" t="s">
        <v>48</v>
      </c>
      <c r="D2598" t="s">
        <v>1293</v>
      </c>
      <c r="E2598">
        <f t="shared" si="116"/>
        <v>1.1111111111111112E-2</v>
      </c>
      <c r="F2598">
        <v>2</v>
      </c>
      <c r="G2598">
        <f>LOG(382/(2+1))</f>
        <v>2.1049421081920463</v>
      </c>
      <c r="H2598">
        <f>0.0111111111111111*4.84680831993846</f>
        <v>5.3853425777093941E-2</v>
      </c>
      <c r="I2598">
        <v>5.3853425777094059E-2</v>
      </c>
    </row>
    <row r="2599" spans="1:9" x14ac:dyDescent="0.25">
      <c r="A2599">
        <v>275</v>
      </c>
      <c r="B2599" t="s">
        <v>1288</v>
      </c>
      <c r="C2599" t="s">
        <v>48</v>
      </c>
      <c r="D2599" t="s">
        <v>352</v>
      </c>
      <c r="E2599">
        <f t="shared" si="116"/>
        <v>1.1111111111111112E-2</v>
      </c>
      <c r="F2599">
        <v>5</v>
      </c>
      <c r="G2599">
        <f>LOG(382/(5+1))</f>
        <v>1.803912112528065</v>
      </c>
      <c r="H2599">
        <f>0.0111111111111111*4.15366113937852</f>
        <v>4.6151790437539059E-2</v>
      </c>
      <c r="I2599">
        <v>4.6151790437539107E-2</v>
      </c>
    </row>
    <row r="2600" spans="1:9" x14ac:dyDescent="0.25">
      <c r="A2600">
        <v>275</v>
      </c>
      <c r="B2600" t="s">
        <v>1288</v>
      </c>
      <c r="C2600" t="s">
        <v>48</v>
      </c>
      <c r="D2600" t="s">
        <v>450</v>
      </c>
      <c r="E2600">
        <f t="shared" si="116"/>
        <v>1.1111111111111112E-2</v>
      </c>
      <c r="F2600">
        <v>17</v>
      </c>
      <c r="G2600">
        <f>LOG(382/(17+1))</f>
        <v>1.3267908578084027</v>
      </c>
      <c r="H2600">
        <f>0.0111111111111111*3.05504885071041</f>
        <v>3.3944987230115631E-2</v>
      </c>
      <c r="I2600">
        <v>3.3944987230115672E-2</v>
      </c>
    </row>
    <row r="2601" spans="1:9" x14ac:dyDescent="0.25">
      <c r="A2601">
        <v>275</v>
      </c>
      <c r="B2601" t="s">
        <v>1288</v>
      </c>
      <c r="C2601" t="s">
        <v>48</v>
      </c>
      <c r="D2601" t="s">
        <v>1153</v>
      </c>
      <c r="E2601">
        <f t="shared" si="116"/>
        <v>1.1111111111111112E-2</v>
      </c>
      <c r="F2601">
        <v>4</v>
      </c>
      <c r="G2601">
        <f>LOG(382/(4+1))</f>
        <v>1.8830933585756899</v>
      </c>
      <c r="H2601">
        <f>0.0111111111111111*4.33598269617247</f>
        <v>4.81775855130274E-2</v>
      </c>
      <c r="I2601">
        <v>4.8177585513027497E-2</v>
      </c>
    </row>
    <row r="2602" spans="1:9" x14ac:dyDescent="0.25">
      <c r="A2602">
        <v>275</v>
      </c>
      <c r="B2602" t="s">
        <v>1288</v>
      </c>
      <c r="C2602" t="s">
        <v>48</v>
      </c>
      <c r="D2602" t="s">
        <v>1294</v>
      </c>
      <c r="E2602">
        <f t="shared" si="116"/>
        <v>1.1111111111111112E-2</v>
      </c>
      <c r="F2602">
        <v>4</v>
      </c>
      <c r="G2602">
        <f>LOG(382/(4+1))</f>
        <v>1.8830933585756899</v>
      </c>
      <c r="H2602">
        <f>0.0111111111111111*4.33598269617247</f>
        <v>4.81775855130274E-2</v>
      </c>
      <c r="I2602">
        <v>4.8177585513027497E-2</v>
      </c>
    </row>
    <row r="2603" spans="1:9" x14ac:dyDescent="0.25">
      <c r="A2603">
        <v>275</v>
      </c>
      <c r="B2603" t="s">
        <v>1288</v>
      </c>
      <c r="C2603" t="s">
        <v>48</v>
      </c>
      <c r="D2603" t="s">
        <v>1127</v>
      </c>
      <c r="E2603">
        <f t="shared" si="116"/>
        <v>1.1111111111111112E-2</v>
      </c>
      <c r="F2603">
        <v>18</v>
      </c>
      <c r="G2603">
        <f>LOG(382/(18+1))</f>
        <v>1.3033097619588798</v>
      </c>
      <c r="H2603">
        <f>0.0111111111111111*3.00098162944013</f>
        <v>3.3344240327112522E-2</v>
      </c>
      <c r="I2603">
        <v>3.3344240327112612E-2</v>
      </c>
    </row>
    <row r="2604" spans="1:9" x14ac:dyDescent="0.25">
      <c r="A2604">
        <v>275</v>
      </c>
      <c r="B2604" t="s">
        <v>1288</v>
      </c>
      <c r="C2604" t="s">
        <v>48</v>
      </c>
      <c r="D2604" t="s">
        <v>1295</v>
      </c>
      <c r="E2604">
        <f>2/90</f>
        <v>2.2222222222222223E-2</v>
      </c>
      <c r="F2604">
        <v>1</v>
      </c>
      <c r="G2604">
        <f>LOG(382/(1+1))</f>
        <v>2.2810333672477277</v>
      </c>
      <c r="H2604">
        <f>0.0222222222222222*5.25227342804663</f>
        <v>0.11671718728992499</v>
      </c>
      <c r="I2604">
        <v>0.1167171872899251</v>
      </c>
    </row>
    <row r="2605" spans="1:9" x14ac:dyDescent="0.25">
      <c r="A2605">
        <v>275</v>
      </c>
      <c r="B2605" t="s">
        <v>1288</v>
      </c>
      <c r="C2605" t="s">
        <v>48</v>
      </c>
      <c r="D2605" t="s">
        <v>106</v>
      </c>
      <c r="E2605">
        <f>3/90</f>
        <v>3.3333333333333333E-2</v>
      </c>
      <c r="F2605">
        <v>17</v>
      </c>
      <c r="G2605">
        <f>LOG(382/(17+1))</f>
        <v>1.3267908578084027</v>
      </c>
      <c r="H2605">
        <f>0.0333333333333333*3.05504885071041</f>
        <v>0.10183496169034689</v>
      </c>
      <c r="I2605">
        <v>0.101834961690347</v>
      </c>
    </row>
    <row r="2606" spans="1:9" x14ac:dyDescent="0.25">
      <c r="A2606">
        <v>275</v>
      </c>
      <c r="B2606" t="s">
        <v>1288</v>
      </c>
      <c r="C2606" t="s">
        <v>48</v>
      </c>
      <c r="D2606" t="s">
        <v>1296</v>
      </c>
      <c r="E2606">
        <f t="shared" ref="E2606:E2612" si="117">1/90</f>
        <v>1.1111111111111112E-2</v>
      </c>
      <c r="F2606">
        <v>14</v>
      </c>
      <c r="G2606">
        <f>LOG(382/(14+1))</f>
        <v>1.4059721038560276</v>
      </c>
      <c r="H2606">
        <f>0.0111111111111111*3.23737040750436</f>
        <v>3.5970782305603959E-2</v>
      </c>
      <c r="I2606">
        <v>3.5970782305604063E-2</v>
      </c>
    </row>
    <row r="2607" spans="1:9" x14ac:dyDescent="0.25">
      <c r="A2607">
        <v>275</v>
      </c>
      <c r="B2607" t="s">
        <v>1288</v>
      </c>
      <c r="C2607" t="s">
        <v>48</v>
      </c>
      <c r="D2607" t="s">
        <v>1297</v>
      </c>
      <c r="E2607">
        <f t="shared" si="117"/>
        <v>1.1111111111111112E-2</v>
      </c>
      <c r="F2607">
        <v>1</v>
      </c>
      <c r="G2607">
        <f>LOG(382/(1+1))</f>
        <v>2.2810333672477277</v>
      </c>
      <c r="H2607">
        <f>0.0111111111111111*5.25227342804663</f>
        <v>5.8358593644962493E-2</v>
      </c>
      <c r="I2607">
        <v>5.8358593644962563E-2</v>
      </c>
    </row>
    <row r="2608" spans="1:9" x14ac:dyDescent="0.25">
      <c r="A2608">
        <v>275</v>
      </c>
      <c r="B2608" t="s">
        <v>1288</v>
      </c>
      <c r="C2608" t="s">
        <v>48</v>
      </c>
      <c r="D2608" t="s">
        <v>96</v>
      </c>
      <c r="E2608">
        <f t="shared" si="117"/>
        <v>1.1111111111111112E-2</v>
      </c>
      <c r="F2608">
        <v>2</v>
      </c>
      <c r="G2608">
        <f>LOG(382/(2+1))</f>
        <v>2.1049421081920463</v>
      </c>
      <c r="H2608">
        <f>0.0111111111111111*4.84680831993846</f>
        <v>5.3853425777093941E-2</v>
      </c>
      <c r="I2608">
        <v>5.3853425777094059E-2</v>
      </c>
    </row>
    <row r="2609" spans="1:9" x14ac:dyDescent="0.25">
      <c r="A2609">
        <v>275</v>
      </c>
      <c r="B2609" t="s">
        <v>1288</v>
      </c>
      <c r="C2609" t="s">
        <v>48</v>
      </c>
      <c r="D2609" t="s">
        <v>1298</v>
      </c>
      <c r="E2609">
        <f t="shared" si="117"/>
        <v>1.1111111111111112E-2</v>
      </c>
      <c r="F2609">
        <v>4</v>
      </c>
      <c r="G2609">
        <f>LOG(382/(4+1))</f>
        <v>1.8830933585756899</v>
      </c>
      <c r="H2609">
        <f>0.0111111111111111*4.33598269617247</f>
        <v>4.81775855130274E-2</v>
      </c>
      <c r="I2609">
        <v>4.8177585513027497E-2</v>
      </c>
    </row>
    <row r="2610" spans="1:9" x14ac:dyDescent="0.25">
      <c r="A2610">
        <v>275</v>
      </c>
      <c r="B2610" t="s">
        <v>1288</v>
      </c>
      <c r="C2610" t="s">
        <v>48</v>
      </c>
      <c r="D2610" t="s">
        <v>1299</v>
      </c>
      <c r="E2610">
        <f t="shared" si="117"/>
        <v>1.1111111111111112E-2</v>
      </c>
      <c r="F2610">
        <v>3</v>
      </c>
      <c r="G2610">
        <f>LOG(382/(3+1))</f>
        <v>1.9800033715837464</v>
      </c>
      <c r="H2610">
        <f>0.0111111111111111*4.55912624748668</f>
        <v>5.06569583054075E-2</v>
      </c>
      <c r="I2610">
        <v>5.0656958305407611E-2</v>
      </c>
    </row>
    <row r="2611" spans="1:9" x14ac:dyDescent="0.25">
      <c r="A2611">
        <v>275</v>
      </c>
      <c r="B2611" t="s">
        <v>1288</v>
      </c>
      <c r="C2611" t="s">
        <v>48</v>
      </c>
      <c r="D2611" t="s">
        <v>1300</v>
      </c>
      <c r="E2611">
        <f t="shared" si="117"/>
        <v>1.1111111111111112E-2</v>
      </c>
      <c r="F2611">
        <v>1</v>
      </c>
      <c r="G2611">
        <f>LOG(382/(1+1))</f>
        <v>2.2810333672477277</v>
      </c>
      <c r="H2611">
        <f>0.0111111111111111*5.25227342804663</f>
        <v>5.8358593644962493E-2</v>
      </c>
      <c r="I2611">
        <v>5.8358593644962563E-2</v>
      </c>
    </row>
    <row r="2612" spans="1:9" x14ac:dyDescent="0.25">
      <c r="A2612">
        <v>275</v>
      </c>
      <c r="B2612" t="s">
        <v>1288</v>
      </c>
      <c r="C2612" t="s">
        <v>48</v>
      </c>
      <c r="D2612" t="s">
        <v>1301</v>
      </c>
      <c r="E2612">
        <f t="shared" si="117"/>
        <v>1.1111111111111112E-2</v>
      </c>
      <c r="F2612">
        <v>1</v>
      </c>
      <c r="G2612">
        <f>LOG(382/(1+1))</f>
        <v>2.2810333672477277</v>
      </c>
      <c r="H2612">
        <f>0.0111111111111111*5.25227342804663</f>
        <v>5.8358593644962493E-2</v>
      </c>
      <c r="I2612">
        <v>5.8358593644962563E-2</v>
      </c>
    </row>
    <row r="2613" spans="1:9" x14ac:dyDescent="0.25">
      <c r="A2613">
        <v>275</v>
      </c>
      <c r="B2613" t="s">
        <v>1288</v>
      </c>
      <c r="C2613" t="s">
        <v>48</v>
      </c>
      <c r="D2613" t="s">
        <v>293</v>
      </c>
      <c r="E2613">
        <f>2/90</f>
        <v>2.2222222222222223E-2</v>
      </c>
      <c r="F2613">
        <v>8</v>
      </c>
      <c r="G2613">
        <f>LOG(382/(8+1))</f>
        <v>1.6278208534723839</v>
      </c>
      <c r="H2613">
        <f>0.0222222222222222*3.74819603127035</f>
        <v>8.3293245139341027E-2</v>
      </c>
      <c r="I2613">
        <v>8.3293245139341235E-2</v>
      </c>
    </row>
    <row r="2614" spans="1:9" x14ac:dyDescent="0.25">
      <c r="A2614">
        <v>275</v>
      </c>
      <c r="B2614" t="s">
        <v>1288</v>
      </c>
      <c r="C2614" t="s">
        <v>48</v>
      </c>
      <c r="D2614" t="s">
        <v>1115</v>
      </c>
      <c r="E2614">
        <f>2/90</f>
        <v>2.2222222222222223E-2</v>
      </c>
      <c r="F2614">
        <v>2</v>
      </c>
      <c r="G2614">
        <f>LOG(382/(2+1))</f>
        <v>2.1049421081920463</v>
      </c>
      <c r="H2614">
        <f>0.0222222222222222*4.84680831993846</f>
        <v>0.10770685155418788</v>
      </c>
      <c r="I2614">
        <v>0.1077068515541881</v>
      </c>
    </row>
    <row r="2615" spans="1:9" x14ac:dyDescent="0.25">
      <c r="A2615">
        <v>275</v>
      </c>
      <c r="B2615" t="s">
        <v>1288</v>
      </c>
      <c r="C2615" t="s">
        <v>48</v>
      </c>
      <c r="D2615" t="s">
        <v>290</v>
      </c>
      <c r="E2615">
        <f t="shared" ref="E2615:E2631" si="118">1/90</f>
        <v>1.1111111111111112E-2</v>
      </c>
      <c r="F2615">
        <v>4</v>
      </c>
      <c r="G2615">
        <f>LOG(382/(4+1))</f>
        <v>1.8830933585756899</v>
      </c>
      <c r="H2615">
        <f>0.0111111111111111*4.33598269617247</f>
        <v>4.81775855130274E-2</v>
      </c>
      <c r="I2615">
        <v>4.8177585513027497E-2</v>
      </c>
    </row>
    <row r="2616" spans="1:9" x14ac:dyDescent="0.25">
      <c r="A2616">
        <v>275</v>
      </c>
      <c r="B2616" t="s">
        <v>1288</v>
      </c>
      <c r="C2616" t="s">
        <v>48</v>
      </c>
      <c r="D2616" t="s">
        <v>1302</v>
      </c>
      <c r="E2616">
        <f t="shared" si="118"/>
        <v>1.1111111111111112E-2</v>
      </c>
      <c r="F2616">
        <v>4</v>
      </c>
      <c r="G2616">
        <f>LOG(382/(4+1))</f>
        <v>1.8830933585756899</v>
      </c>
      <c r="H2616">
        <f>0.0111111111111111*4.33598269617247</f>
        <v>4.81775855130274E-2</v>
      </c>
      <c r="I2616">
        <v>4.8177585513027497E-2</v>
      </c>
    </row>
    <row r="2617" spans="1:9" x14ac:dyDescent="0.25">
      <c r="A2617">
        <v>275</v>
      </c>
      <c r="B2617" t="s">
        <v>1288</v>
      </c>
      <c r="C2617" t="s">
        <v>48</v>
      </c>
      <c r="D2617" t="s">
        <v>1303</v>
      </c>
      <c r="E2617">
        <f t="shared" si="118"/>
        <v>1.1111111111111112E-2</v>
      </c>
      <c r="F2617">
        <v>17</v>
      </c>
      <c r="G2617">
        <f>LOG(382/(17+1))</f>
        <v>1.3267908578084027</v>
      </c>
      <c r="H2617">
        <f>0.0111111111111111*3.05504885071041</f>
        <v>3.3944987230115631E-2</v>
      </c>
      <c r="I2617">
        <v>3.3944987230115672E-2</v>
      </c>
    </row>
    <row r="2618" spans="1:9" x14ac:dyDescent="0.25">
      <c r="A2618">
        <v>275</v>
      </c>
      <c r="B2618" t="s">
        <v>1288</v>
      </c>
      <c r="C2618" t="s">
        <v>48</v>
      </c>
      <c r="D2618" t="s">
        <v>695</v>
      </c>
      <c r="E2618">
        <f t="shared" si="118"/>
        <v>1.1111111111111112E-2</v>
      </c>
      <c r="F2618">
        <v>13</v>
      </c>
      <c r="G2618">
        <f>LOG(382/(13+1))</f>
        <v>1.4359353272334707</v>
      </c>
      <c r="H2618">
        <f>0.0111111111111111*3.30636327899131</f>
        <v>3.6737369766570077E-2</v>
      </c>
      <c r="I2618">
        <v>3.6737369766570181E-2</v>
      </c>
    </row>
    <row r="2619" spans="1:9" x14ac:dyDescent="0.25">
      <c r="A2619">
        <v>275</v>
      </c>
      <c r="B2619" t="s">
        <v>1288</v>
      </c>
      <c r="C2619" t="s">
        <v>48</v>
      </c>
      <c r="D2619" t="s">
        <v>1304</v>
      </c>
      <c r="E2619">
        <f t="shared" si="118"/>
        <v>1.1111111111111112E-2</v>
      </c>
      <c r="F2619">
        <v>1</v>
      </c>
      <c r="G2619">
        <f>LOG(382/(1+1))</f>
        <v>2.2810333672477277</v>
      </c>
      <c r="H2619">
        <f>0.0111111111111111*5.25227342804663</f>
        <v>5.8358593644962493E-2</v>
      </c>
      <c r="I2619">
        <v>5.8358593644962563E-2</v>
      </c>
    </row>
    <row r="2620" spans="1:9" x14ac:dyDescent="0.25">
      <c r="A2620">
        <v>275</v>
      </c>
      <c r="B2620" t="s">
        <v>1288</v>
      </c>
      <c r="C2620" t="s">
        <v>48</v>
      </c>
      <c r="D2620" t="s">
        <v>1305</v>
      </c>
      <c r="E2620">
        <f t="shared" si="118"/>
        <v>1.1111111111111112E-2</v>
      </c>
      <c r="F2620">
        <v>1</v>
      </c>
      <c r="G2620">
        <f>LOG(382/(1+1))</f>
        <v>2.2810333672477277</v>
      </c>
      <c r="H2620">
        <f>0.0111111111111111*5.25227342804663</f>
        <v>5.8358593644962493E-2</v>
      </c>
      <c r="I2620">
        <v>5.8358593644962563E-2</v>
      </c>
    </row>
    <row r="2621" spans="1:9" x14ac:dyDescent="0.25">
      <c r="A2621">
        <v>275</v>
      </c>
      <c r="B2621" t="s">
        <v>1288</v>
      </c>
      <c r="C2621" t="s">
        <v>48</v>
      </c>
      <c r="D2621" t="s">
        <v>388</v>
      </c>
      <c r="E2621">
        <f t="shared" si="118"/>
        <v>1.1111111111111112E-2</v>
      </c>
      <c r="F2621">
        <v>44</v>
      </c>
      <c r="G2621">
        <f>LOG(382/(44+1))</f>
        <v>0.92885084913636506</v>
      </c>
      <c r="H2621">
        <f>0.0111111111111111*2.13875811883625</f>
        <v>2.3763979098180531E-2</v>
      </c>
      <c r="I2621">
        <v>2.3763979098180611E-2</v>
      </c>
    </row>
    <row r="2622" spans="1:9" x14ac:dyDescent="0.25">
      <c r="A2622">
        <v>275</v>
      </c>
      <c r="B2622" t="s">
        <v>1288</v>
      </c>
      <c r="C2622" t="s">
        <v>48</v>
      </c>
      <c r="D2622" t="s">
        <v>1306</v>
      </c>
      <c r="E2622">
        <f t="shared" si="118"/>
        <v>1.1111111111111112E-2</v>
      </c>
      <c r="F2622">
        <v>1</v>
      </c>
      <c r="G2622">
        <f>LOG(382/(1+1))</f>
        <v>2.2810333672477277</v>
      </c>
      <c r="H2622">
        <f>0.0111111111111111*5.25227342804663</f>
        <v>5.8358593644962493E-2</v>
      </c>
      <c r="I2622">
        <v>5.8358593644962563E-2</v>
      </c>
    </row>
    <row r="2623" spans="1:9" x14ac:dyDescent="0.25">
      <c r="A2623">
        <v>275</v>
      </c>
      <c r="B2623" t="s">
        <v>1288</v>
      </c>
      <c r="C2623" t="s">
        <v>48</v>
      </c>
      <c r="D2623" t="s">
        <v>247</v>
      </c>
      <c r="E2623">
        <f t="shared" si="118"/>
        <v>1.1111111111111112E-2</v>
      </c>
      <c r="F2623">
        <v>121</v>
      </c>
      <c r="G2623">
        <f>LOG(382/(121+1))</f>
        <v>0.49570353223696051</v>
      </c>
      <c r="H2623">
        <f>0.0111111111111111*1.14139956387331</f>
        <v>1.2682217376370099E-2</v>
      </c>
      <c r="I2623">
        <v>1.268221737637021E-2</v>
      </c>
    </row>
    <row r="2624" spans="1:9" x14ac:dyDescent="0.25">
      <c r="A2624">
        <v>275</v>
      </c>
      <c r="B2624" t="s">
        <v>1288</v>
      </c>
      <c r="C2624" t="s">
        <v>48</v>
      </c>
      <c r="D2624" t="s">
        <v>39</v>
      </c>
      <c r="E2624">
        <f t="shared" si="118"/>
        <v>1.1111111111111112E-2</v>
      </c>
      <c r="F2624">
        <v>145</v>
      </c>
      <c r="G2624">
        <f>LOG(382/(145+1))</f>
        <v>0.41771050712727159</v>
      </c>
      <c r="H2624">
        <f>0.0111111111111111*0.961813986898238</f>
        <v>1.0686822076647078E-2</v>
      </c>
      <c r="I2624">
        <v>1.06868220766471E-2</v>
      </c>
    </row>
    <row r="2625" spans="1:9" x14ac:dyDescent="0.25">
      <c r="A2625">
        <v>275</v>
      </c>
      <c r="B2625" t="s">
        <v>1288</v>
      </c>
      <c r="C2625" t="s">
        <v>48</v>
      </c>
      <c r="D2625" t="s">
        <v>216</v>
      </c>
      <c r="E2625">
        <f t="shared" si="118"/>
        <v>1.1111111111111112E-2</v>
      </c>
      <c r="F2625">
        <v>63</v>
      </c>
      <c r="G2625">
        <f>LOG(382/(63+1))</f>
        <v>0.7758833889278216</v>
      </c>
      <c r="H2625">
        <f>0.0111111111111111*1.7865375252469</f>
        <v>1.9850416947187758E-2</v>
      </c>
      <c r="I2625">
        <v>1.985041694718782E-2</v>
      </c>
    </row>
    <row r="2626" spans="1:9" x14ac:dyDescent="0.25">
      <c r="A2626">
        <v>275</v>
      </c>
      <c r="B2626" t="s">
        <v>1288</v>
      </c>
      <c r="C2626" t="s">
        <v>48</v>
      </c>
      <c r="D2626" t="s">
        <v>119</v>
      </c>
      <c r="E2626">
        <f t="shared" si="118"/>
        <v>1.1111111111111112E-2</v>
      </c>
      <c r="F2626">
        <v>79</v>
      </c>
      <c r="G2626">
        <f>LOG(382/(79+1))</f>
        <v>0.67897337591976514</v>
      </c>
      <c r="H2626">
        <f>0.0111111111111111*1.56339397393269</f>
        <v>1.7371044154807648E-2</v>
      </c>
      <c r="I2626">
        <v>1.737104415480771E-2</v>
      </c>
    </row>
    <row r="2627" spans="1:9" x14ac:dyDescent="0.25">
      <c r="A2627">
        <v>275</v>
      </c>
      <c r="B2627" t="s">
        <v>1288</v>
      </c>
      <c r="C2627" t="s">
        <v>48</v>
      </c>
      <c r="D2627" t="s">
        <v>53</v>
      </c>
      <c r="E2627">
        <f t="shared" si="118"/>
        <v>1.1111111111111112E-2</v>
      </c>
      <c r="F2627">
        <v>57</v>
      </c>
      <c r="G2627">
        <f>LOG(382/(57+1))</f>
        <v>0.81863536934877146</v>
      </c>
      <c r="H2627">
        <f>0.0111111111111111*1.88497759806015</f>
        <v>2.0944195534001644E-2</v>
      </c>
      <c r="I2627">
        <v>2.0944195534001731E-2</v>
      </c>
    </row>
    <row r="2628" spans="1:9" x14ac:dyDescent="0.25">
      <c r="A2628">
        <v>275</v>
      </c>
      <c r="B2628" t="s">
        <v>1288</v>
      </c>
      <c r="C2628" t="s">
        <v>48</v>
      </c>
      <c r="D2628" t="s">
        <v>1307</v>
      </c>
      <c r="E2628">
        <f t="shared" si="118"/>
        <v>1.1111111111111112E-2</v>
      </c>
      <c r="F2628">
        <v>4</v>
      </c>
      <c r="G2628">
        <f>LOG(382/(4+1))</f>
        <v>1.8830933585756899</v>
      </c>
      <c r="H2628">
        <f>0.0111111111111111*4.33598269617247</f>
        <v>4.81775855130274E-2</v>
      </c>
      <c r="I2628">
        <v>4.8177585513027497E-2</v>
      </c>
    </row>
    <row r="2629" spans="1:9" x14ac:dyDescent="0.25">
      <c r="A2629">
        <v>275</v>
      </c>
      <c r="B2629" t="s">
        <v>1288</v>
      </c>
      <c r="C2629" t="s">
        <v>48</v>
      </c>
      <c r="D2629" t="s">
        <v>86</v>
      </c>
      <c r="E2629">
        <f t="shared" si="118"/>
        <v>1.1111111111111112E-2</v>
      </c>
      <c r="F2629">
        <v>8</v>
      </c>
      <c r="G2629">
        <f>LOG(382/(8+1))</f>
        <v>1.6278208534723839</v>
      </c>
      <c r="H2629">
        <f>0.0111111111111111*3.74819603127035</f>
        <v>4.1646622569670513E-2</v>
      </c>
      <c r="I2629">
        <v>4.1646622569670617E-2</v>
      </c>
    </row>
    <row r="2630" spans="1:9" x14ac:dyDescent="0.25">
      <c r="A2630">
        <v>275</v>
      </c>
      <c r="B2630" t="s">
        <v>1288</v>
      </c>
      <c r="C2630" t="s">
        <v>48</v>
      </c>
      <c r="D2630" t="s">
        <v>54</v>
      </c>
      <c r="E2630">
        <f t="shared" si="118"/>
        <v>1.1111111111111112E-2</v>
      </c>
      <c r="F2630">
        <v>25</v>
      </c>
      <c r="G2630">
        <f>LOG(382/(25+1))</f>
        <v>1.1670900149408907</v>
      </c>
      <c r="H2630">
        <f>0.0111111111111111*2.68732407058509</f>
        <v>2.9859156339834301E-2</v>
      </c>
      <c r="I2630">
        <v>2.985915633983437E-2</v>
      </c>
    </row>
    <row r="2631" spans="1:9" x14ac:dyDescent="0.25">
      <c r="A2631">
        <v>275</v>
      </c>
      <c r="B2631" t="s">
        <v>1288</v>
      </c>
      <c r="C2631" t="s">
        <v>48</v>
      </c>
      <c r="D2631" t="s">
        <v>960</v>
      </c>
      <c r="E2631">
        <f t="shared" si="118"/>
        <v>1.1111111111111112E-2</v>
      </c>
      <c r="F2631">
        <v>3</v>
      </c>
      <c r="G2631">
        <f>LOG(382/(3+1))</f>
        <v>1.9800033715837464</v>
      </c>
      <c r="H2631">
        <f>0.0111111111111111*4.55912624748668</f>
        <v>5.06569583054075E-2</v>
      </c>
      <c r="I2631">
        <v>5.0656958305407611E-2</v>
      </c>
    </row>
    <row r="2632" spans="1:9" x14ac:dyDescent="0.25">
      <c r="A2632">
        <v>276</v>
      </c>
      <c r="B2632" t="s">
        <v>1308</v>
      </c>
      <c r="C2632" t="s">
        <v>48</v>
      </c>
      <c r="D2632" t="s">
        <v>179</v>
      </c>
      <c r="E2632">
        <f>5/72</f>
        <v>6.9444444444444448E-2</v>
      </c>
      <c r="F2632">
        <v>15</v>
      </c>
      <c r="G2632">
        <f>LOG(382/(15+1))</f>
        <v>1.3779433802557839</v>
      </c>
      <c r="H2632">
        <f>0.0694444444444444*3.17283188636679</f>
        <v>0.22033554766436031</v>
      </c>
      <c r="I2632">
        <v>0.2203355476643607</v>
      </c>
    </row>
    <row r="2633" spans="1:9" x14ac:dyDescent="0.25">
      <c r="A2633">
        <v>276</v>
      </c>
      <c r="B2633" t="s">
        <v>1308</v>
      </c>
      <c r="C2633" t="s">
        <v>48</v>
      </c>
      <c r="D2633" t="s">
        <v>1309</v>
      </c>
      <c r="E2633">
        <f>9/72</f>
        <v>0.125</v>
      </c>
      <c r="F2633">
        <v>2</v>
      </c>
      <c r="G2633">
        <f>LOG(382/(2+1))</f>
        <v>2.1049421081920463</v>
      </c>
      <c r="H2633">
        <f>0.125*4.84680831993846</f>
        <v>0.60585103999230749</v>
      </c>
      <c r="I2633">
        <v>0.60585103999230816</v>
      </c>
    </row>
    <row r="2634" spans="1:9" x14ac:dyDescent="0.25">
      <c r="A2634">
        <v>276</v>
      </c>
      <c r="B2634" t="s">
        <v>1308</v>
      </c>
      <c r="C2634" t="s">
        <v>48</v>
      </c>
      <c r="D2634" t="s">
        <v>1310</v>
      </c>
      <c r="E2634">
        <f>1/72</f>
        <v>1.3888888888888888E-2</v>
      </c>
      <c r="F2634">
        <v>1</v>
      </c>
      <c r="G2634">
        <f>LOG(382/(1+1))</f>
        <v>2.2810333672477277</v>
      </c>
      <c r="H2634">
        <f>0.0138888888888888*5.25227342804663</f>
        <v>7.294824205620272E-2</v>
      </c>
      <c r="I2634">
        <v>7.2948242056203191E-2</v>
      </c>
    </row>
    <row r="2635" spans="1:9" x14ac:dyDescent="0.25">
      <c r="A2635">
        <v>276</v>
      </c>
      <c r="B2635" t="s">
        <v>1308</v>
      </c>
      <c r="C2635" t="s">
        <v>48</v>
      </c>
      <c r="D2635" t="s">
        <v>58</v>
      </c>
      <c r="E2635">
        <f>2/72</f>
        <v>2.7777777777777776E-2</v>
      </c>
      <c r="F2635">
        <v>18</v>
      </c>
      <c r="G2635">
        <f>LOG(382/(18+1))</f>
        <v>1.3033097619588798</v>
      </c>
      <c r="H2635">
        <f>0.0277777777777777*3.00098162944013</f>
        <v>8.3360600817781155E-2</v>
      </c>
      <c r="I2635">
        <v>8.3360600817781516E-2</v>
      </c>
    </row>
    <row r="2636" spans="1:9" x14ac:dyDescent="0.25">
      <c r="A2636">
        <v>276</v>
      </c>
      <c r="B2636" t="s">
        <v>1308</v>
      </c>
      <c r="C2636" t="s">
        <v>48</v>
      </c>
      <c r="D2636" t="s">
        <v>650</v>
      </c>
      <c r="E2636">
        <f>2/72</f>
        <v>2.7777777777777776E-2</v>
      </c>
      <c r="F2636">
        <v>9</v>
      </c>
      <c r="G2636">
        <f>LOG(382/(9+1))</f>
        <v>1.5820633629117087</v>
      </c>
      <c r="H2636">
        <f>0.0277777777777777*3.64283551561252</f>
        <v>0.10118987543368083</v>
      </c>
      <c r="I2636">
        <v>0.10118987543368139</v>
      </c>
    </row>
    <row r="2637" spans="1:9" x14ac:dyDescent="0.25">
      <c r="A2637">
        <v>276</v>
      </c>
      <c r="B2637" t="s">
        <v>1308</v>
      </c>
      <c r="C2637" t="s">
        <v>48</v>
      </c>
      <c r="D2637" t="s">
        <v>184</v>
      </c>
      <c r="E2637">
        <f>1/72</f>
        <v>1.3888888888888888E-2</v>
      </c>
      <c r="F2637">
        <v>7</v>
      </c>
      <c r="G2637">
        <f>LOG(382/(7+1))</f>
        <v>1.6789733759197651</v>
      </c>
      <c r="H2637">
        <f>0.0138888888888888*3.86597906692673</f>
        <v>5.3694153707315354E-2</v>
      </c>
      <c r="I2637">
        <v>5.3694153707315818E-2</v>
      </c>
    </row>
    <row r="2638" spans="1:9" x14ac:dyDescent="0.25">
      <c r="A2638">
        <v>276</v>
      </c>
      <c r="B2638" t="s">
        <v>1308</v>
      </c>
      <c r="C2638" t="s">
        <v>48</v>
      </c>
      <c r="D2638" t="s">
        <v>1311</v>
      </c>
      <c r="E2638">
        <f>1/72</f>
        <v>1.3888888888888888E-2</v>
      </c>
      <c r="F2638">
        <v>1</v>
      </c>
      <c r="G2638">
        <f>LOG(382/(1+1))</f>
        <v>2.2810333672477277</v>
      </c>
      <c r="H2638">
        <f>0.0138888888888888*5.25227342804663</f>
        <v>7.294824205620272E-2</v>
      </c>
      <c r="I2638">
        <v>7.2948242056203191E-2</v>
      </c>
    </row>
    <row r="2639" spans="1:9" x14ac:dyDescent="0.25">
      <c r="A2639">
        <v>276</v>
      </c>
      <c r="B2639" t="s">
        <v>1308</v>
      </c>
      <c r="C2639" t="s">
        <v>48</v>
      </c>
      <c r="D2639" t="s">
        <v>104</v>
      </c>
      <c r="E2639">
        <f>1/72</f>
        <v>1.3888888888888888E-2</v>
      </c>
      <c r="F2639">
        <v>49</v>
      </c>
      <c r="G2639">
        <f>LOG(382/(49+1))</f>
        <v>0.88309335857568994</v>
      </c>
      <c r="H2639">
        <f>0.0138888888888888*2.03339760317842</f>
        <v>2.8241633377477874E-2</v>
      </c>
      <c r="I2639">
        <v>2.8241633377478179E-2</v>
      </c>
    </row>
    <row r="2640" spans="1:9" x14ac:dyDescent="0.25">
      <c r="A2640">
        <v>276</v>
      </c>
      <c r="B2640" t="s">
        <v>1308</v>
      </c>
      <c r="C2640" t="s">
        <v>48</v>
      </c>
      <c r="D2640" t="s">
        <v>188</v>
      </c>
      <c r="E2640">
        <f>2/72</f>
        <v>2.7777777777777776E-2</v>
      </c>
      <c r="F2640">
        <v>19</v>
      </c>
      <c r="G2640">
        <f>LOG(382/(19+1))</f>
        <v>1.2810333672477277</v>
      </c>
      <c r="H2640">
        <f>0.0277777777777777*2.94968833505258</f>
        <v>8.1935787084793654E-2</v>
      </c>
      <c r="I2640">
        <v>8.1935787084794001E-2</v>
      </c>
    </row>
    <row r="2641" spans="1:9" x14ac:dyDescent="0.25">
      <c r="A2641">
        <v>276</v>
      </c>
      <c r="B2641" t="s">
        <v>1308</v>
      </c>
      <c r="C2641" t="s">
        <v>48</v>
      </c>
      <c r="D2641" t="s">
        <v>189</v>
      </c>
      <c r="E2641">
        <f>3/72</f>
        <v>4.1666666666666664E-2</v>
      </c>
      <c r="F2641">
        <v>27</v>
      </c>
      <c r="G2641">
        <f>LOG(382/(27+1))</f>
        <v>1.1349053315694895</v>
      </c>
      <c r="H2641">
        <f>0.0416666666666666*2.61321609843137</f>
        <v>0.10888400410130691</v>
      </c>
      <c r="I2641">
        <v>0.10888400410130709</v>
      </c>
    </row>
    <row r="2642" spans="1:9" x14ac:dyDescent="0.25">
      <c r="A2642">
        <v>276</v>
      </c>
      <c r="B2642" t="s">
        <v>1308</v>
      </c>
      <c r="C2642" t="s">
        <v>48</v>
      </c>
      <c r="D2642" t="s">
        <v>1312</v>
      </c>
      <c r="E2642">
        <f t="shared" ref="E2642:E2657" si="119">1/72</f>
        <v>1.3888888888888888E-2</v>
      </c>
      <c r="F2642">
        <v>1</v>
      </c>
      <c r="G2642">
        <f>LOG(382/(1+1))</f>
        <v>2.2810333672477277</v>
      </c>
      <c r="H2642">
        <f>0.0138888888888888*5.25227342804663</f>
        <v>7.294824205620272E-2</v>
      </c>
      <c r="I2642">
        <v>7.2948242056203191E-2</v>
      </c>
    </row>
    <row r="2643" spans="1:9" x14ac:dyDescent="0.25">
      <c r="A2643">
        <v>276</v>
      </c>
      <c r="B2643" t="s">
        <v>1308</v>
      </c>
      <c r="C2643" t="s">
        <v>48</v>
      </c>
      <c r="D2643" t="s">
        <v>42</v>
      </c>
      <c r="E2643">
        <f t="shared" si="119"/>
        <v>1.3888888888888888E-2</v>
      </c>
      <c r="F2643">
        <v>251</v>
      </c>
      <c r="G2643">
        <f>LOG(382/(251+1))</f>
        <v>0.18066282213016463</v>
      </c>
      <c r="H2643">
        <f>0.0138888888888888*0.415991521095151</f>
        <v>5.7776600152103933E-3</v>
      </c>
      <c r="I2643">
        <v>5.7776600152104418E-3</v>
      </c>
    </row>
    <row r="2644" spans="1:9" x14ac:dyDescent="0.25">
      <c r="A2644">
        <v>276</v>
      </c>
      <c r="B2644" t="s">
        <v>1308</v>
      </c>
      <c r="C2644" t="s">
        <v>48</v>
      </c>
      <c r="D2644" t="s">
        <v>1313</v>
      </c>
      <c r="E2644">
        <f t="shared" si="119"/>
        <v>1.3888888888888888E-2</v>
      </c>
      <c r="F2644">
        <v>1</v>
      </c>
      <c r="G2644">
        <f>LOG(382/(1+1))</f>
        <v>2.2810333672477277</v>
      </c>
      <c r="H2644">
        <f>0.0138888888888888*5.25227342804663</f>
        <v>7.294824205620272E-2</v>
      </c>
      <c r="I2644">
        <v>7.2948242056203191E-2</v>
      </c>
    </row>
    <row r="2645" spans="1:9" x14ac:dyDescent="0.25">
      <c r="A2645">
        <v>276</v>
      </c>
      <c r="B2645" t="s">
        <v>1308</v>
      </c>
      <c r="C2645" t="s">
        <v>48</v>
      </c>
      <c r="D2645" t="s">
        <v>15</v>
      </c>
      <c r="E2645">
        <f t="shared" si="119"/>
        <v>1.3888888888888888E-2</v>
      </c>
      <c r="F2645">
        <v>112</v>
      </c>
      <c r="G2645">
        <f>LOG(382/(112+1))</f>
        <v>0.52898491942828896</v>
      </c>
      <c r="H2645">
        <f>0.0138888888888888*1.21803278989423</f>
        <v>1.6917122081864196E-2</v>
      </c>
      <c r="I2645">
        <v>1.6917122081864369E-2</v>
      </c>
    </row>
    <row r="2646" spans="1:9" x14ac:dyDescent="0.25">
      <c r="A2646">
        <v>276</v>
      </c>
      <c r="B2646" t="s">
        <v>1308</v>
      </c>
      <c r="C2646" t="s">
        <v>48</v>
      </c>
      <c r="D2646" t="s">
        <v>17</v>
      </c>
      <c r="E2646">
        <f t="shared" si="119"/>
        <v>1.3888888888888888E-2</v>
      </c>
      <c r="F2646">
        <v>169</v>
      </c>
      <c r="G2646">
        <f>LOG(382/(169+1))</f>
        <v>0.3516144415334348</v>
      </c>
      <c r="H2646">
        <f>0.0138888888888888*0.809622171556313</f>
        <v>1.1244752382726497E-2</v>
      </c>
      <c r="I2646">
        <v>1.1244752382726569E-2</v>
      </c>
    </row>
    <row r="2647" spans="1:9" x14ac:dyDescent="0.25">
      <c r="A2647">
        <v>276</v>
      </c>
      <c r="B2647" t="s">
        <v>1308</v>
      </c>
      <c r="C2647" t="s">
        <v>48</v>
      </c>
      <c r="D2647" t="s">
        <v>70</v>
      </c>
      <c r="E2647">
        <f t="shared" si="119"/>
        <v>1.3888888888888888E-2</v>
      </c>
      <c r="F2647">
        <v>44</v>
      </c>
      <c r="G2647">
        <f>LOG(382/(44+1))</f>
        <v>0.92885084913636506</v>
      </c>
      <c r="H2647">
        <f>0.0138888888888888*2.13875811883625</f>
        <v>2.9704973872725502E-2</v>
      </c>
      <c r="I2647">
        <v>2.9704973872725769E-2</v>
      </c>
    </row>
    <row r="2648" spans="1:9" x14ac:dyDescent="0.25">
      <c r="A2648">
        <v>276</v>
      </c>
      <c r="B2648" t="s">
        <v>1308</v>
      </c>
      <c r="C2648" t="s">
        <v>48</v>
      </c>
      <c r="D2648" t="s">
        <v>19</v>
      </c>
      <c r="E2648">
        <f t="shared" si="119"/>
        <v>1.3888888888888888E-2</v>
      </c>
      <c r="F2648">
        <v>220</v>
      </c>
      <c r="G2648">
        <f>LOG(382/(220+1))</f>
        <v>0.23767108922659805</v>
      </c>
      <c r="H2648">
        <f>0.0138888888888888*0.547257907088822</f>
        <v>7.6008042651224796E-3</v>
      </c>
      <c r="I2648">
        <v>7.6008042651225334E-3</v>
      </c>
    </row>
    <row r="2649" spans="1:9" x14ac:dyDescent="0.25">
      <c r="A2649">
        <v>276</v>
      </c>
      <c r="B2649" t="s">
        <v>1308</v>
      </c>
      <c r="C2649" t="s">
        <v>48</v>
      </c>
      <c r="D2649" t="s">
        <v>44</v>
      </c>
      <c r="E2649">
        <f t="shared" si="119"/>
        <v>1.3888888888888888E-2</v>
      </c>
      <c r="F2649">
        <v>151</v>
      </c>
      <c r="G2649">
        <f>LOG(382/(151+1))</f>
        <v>0.40021977496693617</v>
      </c>
      <c r="H2649">
        <f>0.0138888888888888*0.921540087760298</f>
        <v>1.2799167885559614E-2</v>
      </c>
      <c r="I2649">
        <v>1.27991678855597E-2</v>
      </c>
    </row>
    <row r="2650" spans="1:9" x14ac:dyDescent="0.25">
      <c r="A2650">
        <v>276</v>
      </c>
      <c r="B2650" t="s">
        <v>1308</v>
      </c>
      <c r="C2650" t="s">
        <v>48</v>
      </c>
      <c r="D2650" t="s">
        <v>22</v>
      </c>
      <c r="E2650">
        <f t="shared" si="119"/>
        <v>1.3888888888888888E-2</v>
      </c>
      <c r="F2650">
        <v>259</v>
      </c>
      <c r="G2650">
        <f>LOG(382/(259+1))</f>
        <v>0.16709001494089079</v>
      </c>
      <c r="H2650">
        <f>0.0138888888888888*0.384738977591047</f>
        <v>5.3435969109867296E-3</v>
      </c>
      <c r="I2650">
        <v>5.3435969109867712E-3</v>
      </c>
    </row>
    <row r="2651" spans="1:9" x14ac:dyDescent="0.25">
      <c r="A2651">
        <v>276</v>
      </c>
      <c r="B2651" t="s">
        <v>1308</v>
      </c>
      <c r="C2651" t="s">
        <v>48</v>
      </c>
      <c r="D2651" t="s">
        <v>23</v>
      </c>
      <c r="E2651">
        <f t="shared" si="119"/>
        <v>1.3888888888888888E-2</v>
      </c>
      <c r="F2651">
        <v>275</v>
      </c>
      <c r="G2651">
        <f>LOG(382/(275+1))</f>
        <v>0.14115428084649101</v>
      </c>
      <c r="H2651">
        <f>0.0138888888888888*0.325019742889425</f>
        <v>4.5141630956864291E-3</v>
      </c>
      <c r="I2651">
        <v>4.5141630956864603E-3</v>
      </c>
    </row>
    <row r="2652" spans="1:9" x14ac:dyDescent="0.25">
      <c r="A2652">
        <v>276</v>
      </c>
      <c r="B2652" t="s">
        <v>1308</v>
      </c>
      <c r="C2652" t="s">
        <v>48</v>
      </c>
      <c r="D2652" t="s">
        <v>1314</v>
      </c>
      <c r="E2652">
        <f t="shared" si="119"/>
        <v>1.3888888888888888E-2</v>
      </c>
      <c r="F2652">
        <v>1</v>
      </c>
      <c r="G2652">
        <f>LOG(382/(1+1))</f>
        <v>2.2810333672477277</v>
      </c>
      <c r="H2652">
        <f>0.0138888888888888*5.25227342804663</f>
        <v>7.294824205620272E-2</v>
      </c>
      <c r="I2652">
        <v>7.2948242056203191E-2</v>
      </c>
    </row>
    <row r="2653" spans="1:9" x14ac:dyDescent="0.25">
      <c r="A2653">
        <v>276</v>
      </c>
      <c r="B2653" t="s">
        <v>1308</v>
      </c>
      <c r="C2653" t="s">
        <v>48</v>
      </c>
      <c r="D2653" t="s">
        <v>1234</v>
      </c>
      <c r="E2653">
        <f t="shared" si="119"/>
        <v>1.3888888888888888E-2</v>
      </c>
      <c r="F2653">
        <v>3</v>
      </c>
      <c r="G2653">
        <f>LOG(382/(3+1))</f>
        <v>1.9800033715837464</v>
      </c>
      <c r="H2653">
        <f>0.0138888888888888*4.55912624748668</f>
        <v>6.3321197881759037E-2</v>
      </c>
      <c r="I2653">
        <v>6.3321197881759508E-2</v>
      </c>
    </row>
    <row r="2654" spans="1:9" x14ac:dyDescent="0.25">
      <c r="A2654">
        <v>276</v>
      </c>
      <c r="B2654" t="s">
        <v>1308</v>
      </c>
      <c r="C2654" t="s">
        <v>48</v>
      </c>
      <c r="D2654" t="s">
        <v>1315</v>
      </c>
      <c r="E2654">
        <f t="shared" si="119"/>
        <v>1.3888888888888888E-2</v>
      </c>
      <c r="F2654">
        <v>1</v>
      </c>
      <c r="G2654">
        <f>LOG(382/(1+1))</f>
        <v>2.2810333672477277</v>
      </c>
      <c r="H2654">
        <f>0.0138888888888888*5.25227342804663</f>
        <v>7.294824205620272E-2</v>
      </c>
      <c r="I2654">
        <v>7.2948242056203191E-2</v>
      </c>
    </row>
    <row r="2655" spans="1:9" x14ac:dyDescent="0.25">
      <c r="A2655">
        <v>276</v>
      </c>
      <c r="B2655" t="s">
        <v>1308</v>
      </c>
      <c r="C2655" t="s">
        <v>48</v>
      </c>
      <c r="D2655" t="s">
        <v>1316</v>
      </c>
      <c r="E2655">
        <f t="shared" si="119"/>
        <v>1.3888888888888888E-2</v>
      </c>
      <c r="F2655">
        <v>1</v>
      </c>
      <c r="G2655">
        <f>LOG(382/(1+1))</f>
        <v>2.2810333672477277</v>
      </c>
      <c r="H2655">
        <f>0.0138888888888888*5.25227342804663</f>
        <v>7.294824205620272E-2</v>
      </c>
      <c r="I2655">
        <v>7.2948242056203191E-2</v>
      </c>
    </row>
    <row r="2656" spans="1:9" x14ac:dyDescent="0.25">
      <c r="A2656">
        <v>276</v>
      </c>
      <c r="B2656" t="s">
        <v>1308</v>
      </c>
      <c r="C2656" t="s">
        <v>48</v>
      </c>
      <c r="D2656" t="s">
        <v>1317</v>
      </c>
      <c r="E2656">
        <f t="shared" si="119"/>
        <v>1.3888888888888888E-2</v>
      </c>
      <c r="F2656">
        <v>1</v>
      </c>
      <c r="G2656">
        <f>LOG(382/(1+1))</f>
        <v>2.2810333672477277</v>
      </c>
      <c r="H2656">
        <f>0.0138888888888888*5.25227342804663</f>
        <v>7.294824205620272E-2</v>
      </c>
      <c r="I2656">
        <v>7.2948242056203191E-2</v>
      </c>
    </row>
    <row r="2657" spans="1:9" x14ac:dyDescent="0.25">
      <c r="A2657">
        <v>276</v>
      </c>
      <c r="B2657" t="s">
        <v>1308</v>
      </c>
      <c r="C2657" t="s">
        <v>48</v>
      </c>
      <c r="D2657" t="s">
        <v>59</v>
      </c>
      <c r="E2657">
        <f t="shared" si="119"/>
        <v>1.3888888888888888E-2</v>
      </c>
      <c r="F2657">
        <v>13</v>
      </c>
      <c r="G2657">
        <f>LOG(382/(13+1))</f>
        <v>1.4359353272334707</v>
      </c>
      <c r="H2657">
        <f>0.0138888888888888*3.30636327899131</f>
        <v>4.5921712208212347E-2</v>
      </c>
      <c r="I2657">
        <v>4.5921712208212728E-2</v>
      </c>
    </row>
    <row r="2658" spans="1:9" x14ac:dyDescent="0.25">
      <c r="A2658">
        <v>276</v>
      </c>
      <c r="B2658" t="s">
        <v>1308</v>
      </c>
      <c r="C2658" t="s">
        <v>48</v>
      </c>
      <c r="D2658" t="s">
        <v>262</v>
      </c>
      <c r="E2658">
        <f>2/72</f>
        <v>2.7777777777777776E-2</v>
      </c>
      <c r="F2658">
        <v>13</v>
      </c>
      <c r="G2658">
        <f>LOG(382/(13+1))</f>
        <v>1.4359353272334707</v>
      </c>
      <c r="H2658">
        <f>0.0277777777777777*3.30636327899131</f>
        <v>9.1843424416425026E-2</v>
      </c>
      <c r="I2658">
        <v>9.1843424416425457E-2</v>
      </c>
    </row>
    <row r="2659" spans="1:9" x14ac:dyDescent="0.25">
      <c r="A2659">
        <v>276</v>
      </c>
      <c r="B2659" t="s">
        <v>1308</v>
      </c>
      <c r="C2659" t="s">
        <v>48</v>
      </c>
      <c r="D2659" t="s">
        <v>1318</v>
      </c>
      <c r="E2659">
        <f t="shared" ref="E2659:E2668" si="120">1/72</f>
        <v>1.3888888888888888E-2</v>
      </c>
      <c r="F2659">
        <v>1</v>
      </c>
      <c r="G2659">
        <f>LOG(382/(1+1))</f>
        <v>2.2810333672477277</v>
      </c>
      <c r="H2659">
        <f>0.0138888888888888*5.25227342804663</f>
        <v>7.294824205620272E-2</v>
      </c>
      <c r="I2659">
        <v>7.2948242056203191E-2</v>
      </c>
    </row>
    <row r="2660" spans="1:9" x14ac:dyDescent="0.25">
      <c r="A2660">
        <v>276</v>
      </c>
      <c r="B2660" t="s">
        <v>1308</v>
      </c>
      <c r="C2660" t="s">
        <v>48</v>
      </c>
      <c r="D2660" t="s">
        <v>1319</v>
      </c>
      <c r="E2660">
        <f t="shared" si="120"/>
        <v>1.3888888888888888E-2</v>
      </c>
      <c r="F2660">
        <v>1</v>
      </c>
      <c r="G2660">
        <f>LOG(382/(1+1))</f>
        <v>2.2810333672477277</v>
      </c>
      <c r="H2660">
        <f>0.0138888888888888*5.25227342804663</f>
        <v>7.294824205620272E-2</v>
      </c>
      <c r="I2660">
        <v>7.2948242056203191E-2</v>
      </c>
    </row>
    <row r="2661" spans="1:9" x14ac:dyDescent="0.25">
      <c r="A2661">
        <v>276</v>
      </c>
      <c r="B2661" t="s">
        <v>1308</v>
      </c>
      <c r="C2661" t="s">
        <v>48</v>
      </c>
      <c r="D2661" t="s">
        <v>705</v>
      </c>
      <c r="E2661">
        <f t="shared" si="120"/>
        <v>1.3888888888888888E-2</v>
      </c>
      <c r="F2661">
        <v>8</v>
      </c>
      <c r="G2661">
        <f>LOG(382/(8+1))</f>
        <v>1.6278208534723839</v>
      </c>
      <c r="H2661">
        <f>0.0138888888888888*3.74819603127035</f>
        <v>5.2058278212087861E-2</v>
      </c>
      <c r="I2661">
        <v>5.205827821208827E-2</v>
      </c>
    </row>
    <row r="2662" spans="1:9" x14ac:dyDescent="0.25">
      <c r="A2662">
        <v>276</v>
      </c>
      <c r="B2662" t="s">
        <v>1308</v>
      </c>
      <c r="C2662" t="s">
        <v>48</v>
      </c>
      <c r="D2662" t="s">
        <v>1320</v>
      </c>
      <c r="E2662">
        <f t="shared" si="120"/>
        <v>1.3888888888888888E-2</v>
      </c>
      <c r="F2662">
        <v>1</v>
      </c>
      <c r="G2662">
        <f>LOG(382/(1+1))</f>
        <v>2.2810333672477277</v>
      </c>
      <c r="H2662">
        <f>0.0138888888888888*5.25227342804663</f>
        <v>7.294824205620272E-2</v>
      </c>
      <c r="I2662">
        <v>7.2948242056203191E-2</v>
      </c>
    </row>
    <row r="2663" spans="1:9" x14ac:dyDescent="0.25">
      <c r="A2663">
        <v>276</v>
      </c>
      <c r="B2663" t="s">
        <v>1308</v>
      </c>
      <c r="C2663" t="s">
        <v>48</v>
      </c>
      <c r="D2663" t="s">
        <v>1321</v>
      </c>
      <c r="E2663">
        <f t="shared" si="120"/>
        <v>1.3888888888888888E-2</v>
      </c>
      <c r="F2663">
        <v>1</v>
      </c>
      <c r="G2663">
        <f>LOG(382/(1+1))</f>
        <v>2.2810333672477277</v>
      </c>
      <c r="H2663">
        <f>0.0138888888888888*5.25227342804663</f>
        <v>7.294824205620272E-2</v>
      </c>
      <c r="I2663">
        <v>7.2948242056203191E-2</v>
      </c>
    </row>
    <row r="2664" spans="1:9" x14ac:dyDescent="0.25">
      <c r="A2664">
        <v>276</v>
      </c>
      <c r="B2664" t="s">
        <v>1308</v>
      </c>
      <c r="C2664" t="s">
        <v>48</v>
      </c>
      <c r="D2664" t="s">
        <v>953</v>
      </c>
      <c r="E2664">
        <f t="shared" si="120"/>
        <v>1.3888888888888888E-2</v>
      </c>
      <c r="F2664">
        <v>16</v>
      </c>
      <c r="G2664">
        <f>LOG(382/(16+1))</f>
        <v>1.3516144415334348</v>
      </c>
      <c r="H2664">
        <f>0.0138888888888888*3.11220726455035</f>
        <v>4.3225100896532358E-2</v>
      </c>
      <c r="I2664">
        <v>4.322510089653276E-2</v>
      </c>
    </row>
    <row r="2665" spans="1:9" x14ac:dyDescent="0.25">
      <c r="A2665">
        <v>276</v>
      </c>
      <c r="B2665" t="s">
        <v>1308</v>
      </c>
      <c r="C2665" t="s">
        <v>48</v>
      </c>
      <c r="D2665" t="s">
        <v>105</v>
      </c>
      <c r="E2665">
        <f t="shared" si="120"/>
        <v>1.3888888888888888E-2</v>
      </c>
      <c r="F2665">
        <v>122</v>
      </c>
      <c r="G2665">
        <f>LOG(382/(122+1))</f>
        <v>0.49215825147231079</v>
      </c>
      <c r="H2665">
        <f>0.0138888888888888*1.13323625323415</f>
        <v>1.573939240602976E-2</v>
      </c>
      <c r="I2665">
        <v>1.5739392406029961E-2</v>
      </c>
    </row>
    <row r="2666" spans="1:9" x14ac:dyDescent="0.25">
      <c r="A2666">
        <v>276</v>
      </c>
      <c r="B2666" t="s">
        <v>1308</v>
      </c>
      <c r="C2666" t="s">
        <v>48</v>
      </c>
      <c r="D2666" t="s">
        <v>1322</v>
      </c>
      <c r="E2666">
        <f t="shared" si="120"/>
        <v>1.3888888888888888E-2</v>
      </c>
      <c r="F2666">
        <v>1</v>
      </c>
      <c r="G2666">
        <f>LOG(382/(1+1))</f>
        <v>2.2810333672477277</v>
      </c>
      <c r="H2666">
        <f>0.0138888888888888*5.25227342804663</f>
        <v>7.294824205620272E-2</v>
      </c>
      <c r="I2666">
        <v>7.2948242056203191E-2</v>
      </c>
    </row>
    <row r="2667" spans="1:9" x14ac:dyDescent="0.25">
      <c r="A2667">
        <v>276</v>
      </c>
      <c r="B2667" t="s">
        <v>1308</v>
      </c>
      <c r="C2667" t="s">
        <v>48</v>
      </c>
      <c r="D2667" t="s">
        <v>25</v>
      </c>
      <c r="E2667">
        <f t="shared" si="120"/>
        <v>1.3888888888888888E-2</v>
      </c>
      <c r="F2667">
        <v>106</v>
      </c>
      <c r="G2667">
        <f>LOG(382/(106+1))</f>
        <v>0.55267958522649907</v>
      </c>
      <c r="H2667">
        <f>0.0138888888888888*1.27259177414466</f>
        <v>1.7674885752009054E-2</v>
      </c>
      <c r="I2667">
        <v>1.7674885752009289E-2</v>
      </c>
    </row>
    <row r="2668" spans="1:9" x14ac:dyDescent="0.25">
      <c r="A2668">
        <v>276</v>
      </c>
      <c r="B2668" t="s">
        <v>1308</v>
      </c>
      <c r="C2668" t="s">
        <v>48</v>
      </c>
      <c r="D2668" t="s">
        <v>1056</v>
      </c>
      <c r="E2668">
        <f t="shared" si="120"/>
        <v>1.3888888888888888E-2</v>
      </c>
      <c r="F2668">
        <v>3</v>
      </c>
      <c r="G2668">
        <f>LOG(382/(3+1))</f>
        <v>1.9800033715837464</v>
      </c>
      <c r="H2668">
        <f>0.0138888888888888*4.55912624748668</f>
        <v>6.3321197881759037E-2</v>
      </c>
      <c r="I2668">
        <v>6.3321197881759508E-2</v>
      </c>
    </row>
    <row r="2669" spans="1:9" x14ac:dyDescent="0.25">
      <c r="A2669">
        <v>276</v>
      </c>
      <c r="B2669" t="s">
        <v>1308</v>
      </c>
      <c r="C2669" t="s">
        <v>48</v>
      </c>
      <c r="D2669" t="s">
        <v>1323</v>
      </c>
      <c r="E2669">
        <f>2/72</f>
        <v>2.7777777777777776E-2</v>
      </c>
      <c r="F2669">
        <v>1</v>
      </c>
      <c r="G2669">
        <f>LOG(382/(1+1))</f>
        <v>2.2810333672477277</v>
      </c>
      <c r="H2669">
        <f>0.0277777777777777*5.25227342804663</f>
        <v>0.14589648411240597</v>
      </c>
      <c r="I2669">
        <v>0.14589648411240641</v>
      </c>
    </row>
    <row r="2670" spans="1:9" x14ac:dyDescent="0.25">
      <c r="A2670">
        <v>276</v>
      </c>
      <c r="B2670" t="s">
        <v>1308</v>
      </c>
      <c r="C2670" t="s">
        <v>48</v>
      </c>
      <c r="D2670" t="s">
        <v>695</v>
      </c>
      <c r="E2670">
        <f t="shared" ref="E2670:E2675" si="121">1/72</f>
        <v>1.3888888888888888E-2</v>
      </c>
      <c r="F2670">
        <v>13</v>
      </c>
      <c r="G2670">
        <f>LOG(382/(13+1))</f>
        <v>1.4359353272334707</v>
      </c>
      <c r="H2670">
        <f>0.0138888888888888*3.30636327899131</f>
        <v>4.5921712208212347E-2</v>
      </c>
      <c r="I2670">
        <v>4.5921712208212728E-2</v>
      </c>
    </row>
    <row r="2671" spans="1:9" x14ac:dyDescent="0.25">
      <c r="A2671">
        <v>276</v>
      </c>
      <c r="B2671" t="s">
        <v>1308</v>
      </c>
      <c r="C2671" t="s">
        <v>48</v>
      </c>
      <c r="D2671" t="s">
        <v>1022</v>
      </c>
      <c r="E2671">
        <f t="shared" si="121"/>
        <v>1.3888888888888888E-2</v>
      </c>
      <c r="F2671">
        <v>3</v>
      </c>
      <c r="G2671">
        <f>LOG(382/(3+1))</f>
        <v>1.9800033715837464</v>
      </c>
      <c r="H2671">
        <f>0.0138888888888888*4.55912624748668</f>
        <v>6.3321197881759037E-2</v>
      </c>
      <c r="I2671">
        <v>6.3321197881759508E-2</v>
      </c>
    </row>
    <row r="2672" spans="1:9" x14ac:dyDescent="0.25">
      <c r="A2672">
        <v>276</v>
      </c>
      <c r="B2672" t="s">
        <v>1308</v>
      </c>
      <c r="C2672" t="s">
        <v>48</v>
      </c>
      <c r="D2672" t="s">
        <v>1324</v>
      </c>
      <c r="E2672">
        <f t="shared" si="121"/>
        <v>1.3888888888888888E-2</v>
      </c>
      <c r="F2672">
        <v>1</v>
      </c>
      <c r="G2672">
        <f>LOG(382/(1+1))</f>
        <v>2.2810333672477277</v>
      </c>
      <c r="H2672">
        <f>0.0138888888888888*5.25227342804663</f>
        <v>7.294824205620272E-2</v>
      </c>
      <c r="I2672">
        <v>7.2948242056203191E-2</v>
      </c>
    </row>
    <row r="2673" spans="1:9" x14ac:dyDescent="0.25">
      <c r="A2673">
        <v>276</v>
      </c>
      <c r="B2673" t="s">
        <v>1308</v>
      </c>
      <c r="C2673" t="s">
        <v>48</v>
      </c>
      <c r="D2673" t="s">
        <v>247</v>
      </c>
      <c r="E2673">
        <f t="shared" si="121"/>
        <v>1.3888888888888888E-2</v>
      </c>
      <c r="F2673">
        <v>121</v>
      </c>
      <c r="G2673">
        <f>LOG(382/(121+1))</f>
        <v>0.49570353223696051</v>
      </c>
      <c r="H2673">
        <f>0.0138888888888888*1.14139956387331</f>
        <v>1.5852771720462538E-2</v>
      </c>
      <c r="I2673">
        <v>1.5852771720462761E-2</v>
      </c>
    </row>
    <row r="2674" spans="1:9" x14ac:dyDescent="0.25">
      <c r="A2674">
        <v>276</v>
      </c>
      <c r="B2674" t="s">
        <v>1308</v>
      </c>
      <c r="C2674" t="s">
        <v>48</v>
      </c>
      <c r="D2674" t="s">
        <v>39</v>
      </c>
      <c r="E2674">
        <f t="shared" si="121"/>
        <v>1.3888888888888888E-2</v>
      </c>
      <c r="F2674">
        <v>145</v>
      </c>
      <c r="G2674">
        <f>LOG(382/(145+1))</f>
        <v>0.41771050712727159</v>
      </c>
      <c r="H2674">
        <f>0.0138888888888888*0.961813986898238</f>
        <v>1.3358527595808776E-2</v>
      </c>
      <c r="I2674">
        <v>1.335852759580887E-2</v>
      </c>
    </row>
    <row r="2675" spans="1:9" x14ac:dyDescent="0.25">
      <c r="A2675">
        <v>276</v>
      </c>
      <c r="B2675" t="s">
        <v>1308</v>
      </c>
      <c r="C2675" t="s">
        <v>48</v>
      </c>
      <c r="D2675" t="s">
        <v>216</v>
      </c>
      <c r="E2675">
        <f t="shared" si="121"/>
        <v>1.3888888888888888E-2</v>
      </c>
      <c r="F2675">
        <v>63</v>
      </c>
      <c r="G2675">
        <f>LOG(382/(63+1))</f>
        <v>0.7758833889278216</v>
      </c>
      <c r="H2675">
        <f>0.0138888888888888*1.7865375252469</f>
        <v>2.4813021183984561E-2</v>
      </c>
      <c r="I2675">
        <v>2.4813021183984769E-2</v>
      </c>
    </row>
    <row r="2676" spans="1:9" x14ac:dyDescent="0.25">
      <c r="A2676">
        <v>276</v>
      </c>
      <c r="B2676" t="s">
        <v>1308</v>
      </c>
      <c r="C2676" t="s">
        <v>48</v>
      </c>
      <c r="D2676" t="s">
        <v>237</v>
      </c>
      <c r="E2676">
        <f>2/72</f>
        <v>2.7777777777777776E-2</v>
      </c>
      <c r="F2676">
        <v>138</v>
      </c>
      <c r="G2676">
        <f>LOG(382/(138+1))</f>
        <v>0.43904856265761361</v>
      </c>
      <c r="H2676">
        <f>0.0277777777777777*1.01094667547588</f>
        <v>2.8081852096552146E-2</v>
      </c>
      <c r="I2676">
        <v>2.8081852096552309E-2</v>
      </c>
    </row>
    <row r="2677" spans="1:9" x14ac:dyDescent="0.25">
      <c r="A2677">
        <v>276</v>
      </c>
      <c r="B2677" t="s">
        <v>1308</v>
      </c>
      <c r="C2677" t="s">
        <v>48</v>
      </c>
      <c r="D2677" t="s">
        <v>52</v>
      </c>
      <c r="E2677">
        <f t="shared" ref="E2677:E2683" si="122">1/72</f>
        <v>1.3888888888888888E-2</v>
      </c>
      <c r="F2677">
        <v>35</v>
      </c>
      <c r="G2677">
        <f>LOG(382/(35+1))</f>
        <v>1.0257608621444214</v>
      </c>
      <c r="H2677">
        <f>0.0138888888888888*2.36190167015046</f>
        <v>3.2804189863200627E-2</v>
      </c>
      <c r="I2677">
        <v>3.2804189863200897E-2</v>
      </c>
    </row>
    <row r="2678" spans="1:9" x14ac:dyDescent="0.25">
      <c r="A2678">
        <v>276</v>
      </c>
      <c r="B2678" t="s">
        <v>1308</v>
      </c>
      <c r="C2678" t="s">
        <v>48</v>
      </c>
      <c r="D2678" t="s">
        <v>53</v>
      </c>
      <c r="E2678">
        <f t="shared" si="122"/>
        <v>1.3888888888888888E-2</v>
      </c>
      <c r="F2678">
        <v>57</v>
      </c>
      <c r="G2678">
        <f>LOG(382/(57+1))</f>
        <v>0.81863536934877146</v>
      </c>
      <c r="H2678">
        <f>0.0138888888888888*1.88497759806015</f>
        <v>2.6180244417501913E-2</v>
      </c>
      <c r="I2678">
        <v>2.618024441750216E-2</v>
      </c>
    </row>
    <row r="2679" spans="1:9" x14ac:dyDescent="0.25">
      <c r="A2679">
        <v>276</v>
      </c>
      <c r="B2679" t="s">
        <v>1308</v>
      </c>
      <c r="C2679" t="s">
        <v>48</v>
      </c>
      <c r="D2679" t="s">
        <v>50</v>
      </c>
      <c r="E2679">
        <f t="shared" si="122"/>
        <v>1.3888888888888888E-2</v>
      </c>
      <c r="F2679">
        <v>109</v>
      </c>
      <c r="G2679">
        <f>LOG(382/(109+1))</f>
        <v>0.54067067775348365</v>
      </c>
      <c r="H2679">
        <f>0.0138888888888888*1.24494024281415</f>
        <v>1.7290836705751975E-2</v>
      </c>
      <c r="I2679">
        <v>1.7290836705752211E-2</v>
      </c>
    </row>
    <row r="2680" spans="1:9" x14ac:dyDescent="0.25">
      <c r="A2680">
        <v>276</v>
      </c>
      <c r="B2680" t="s">
        <v>1308</v>
      </c>
      <c r="C2680" t="s">
        <v>48</v>
      </c>
      <c r="D2680" t="s">
        <v>243</v>
      </c>
      <c r="E2680">
        <f t="shared" si="122"/>
        <v>1.3888888888888888E-2</v>
      </c>
      <c r="F2680">
        <v>131</v>
      </c>
      <c r="G2680">
        <f>LOG(382/(131+1))</f>
        <v>0.46148943170585888</v>
      </c>
      <c r="H2680">
        <f>0.0138888888888888*1.0626186860202</f>
        <v>1.4758592861391572E-2</v>
      </c>
      <c r="I2680">
        <v>1.4758592861391719E-2</v>
      </c>
    </row>
    <row r="2681" spans="1:9" x14ac:dyDescent="0.25">
      <c r="A2681">
        <v>276</v>
      </c>
      <c r="B2681" t="s">
        <v>1308</v>
      </c>
      <c r="C2681" t="s">
        <v>48</v>
      </c>
      <c r="D2681" t="s">
        <v>458</v>
      </c>
      <c r="E2681">
        <f t="shared" si="122"/>
        <v>1.3888888888888888E-2</v>
      </c>
      <c r="F2681">
        <v>34</v>
      </c>
      <c r="G2681">
        <f>LOG(382/(34+1))</f>
        <v>1.037995318561433</v>
      </c>
      <c r="H2681">
        <f>0.0138888888888888*2.39007254711716</f>
        <v>3.3195452043293674E-2</v>
      </c>
      <c r="I2681">
        <v>3.3195452043293897E-2</v>
      </c>
    </row>
    <row r="2682" spans="1:9" x14ac:dyDescent="0.25">
      <c r="A2682">
        <v>276</v>
      </c>
      <c r="B2682" t="s">
        <v>1308</v>
      </c>
      <c r="C2682" t="s">
        <v>48</v>
      </c>
      <c r="D2682" t="s">
        <v>263</v>
      </c>
      <c r="E2682">
        <f t="shared" si="122"/>
        <v>1.3888888888888888E-2</v>
      </c>
      <c r="F2682">
        <v>41</v>
      </c>
      <c r="G2682">
        <f>LOG(382/(41+1))</f>
        <v>0.95881407251380824</v>
      </c>
      <c r="H2682">
        <f>0.0138888888888888*2.2077509903232</f>
        <v>3.0663208198933138E-2</v>
      </c>
      <c r="I2682">
        <v>3.066320819893343E-2</v>
      </c>
    </row>
    <row r="2683" spans="1:9" x14ac:dyDescent="0.25">
      <c r="A2683">
        <v>276</v>
      </c>
      <c r="B2683" t="s">
        <v>1308</v>
      </c>
      <c r="C2683" t="s">
        <v>48</v>
      </c>
      <c r="D2683" t="s">
        <v>1325</v>
      </c>
      <c r="E2683">
        <f t="shared" si="122"/>
        <v>1.3888888888888888E-2</v>
      </c>
      <c r="F2683">
        <v>2</v>
      </c>
      <c r="G2683">
        <f>LOG(382/(2+1))</f>
        <v>2.1049421081920463</v>
      </c>
      <c r="H2683">
        <f>0.0138888888888888*4.84680831993846</f>
        <v>6.7316782221367069E-2</v>
      </c>
      <c r="I2683">
        <v>6.7316782221367569E-2</v>
      </c>
    </row>
    <row r="2684" spans="1:9" x14ac:dyDescent="0.25">
      <c r="A2684">
        <v>277</v>
      </c>
      <c r="B2684" t="s">
        <v>1326</v>
      </c>
      <c r="C2684" t="s">
        <v>48</v>
      </c>
      <c r="D2684" t="s">
        <v>183</v>
      </c>
      <c r="E2684">
        <f>1/69</f>
        <v>1.4492753623188406E-2</v>
      </c>
      <c r="F2684">
        <v>46</v>
      </c>
      <c r="G2684">
        <f>LOG(382/(46+1))</f>
        <v>0.90996550497599127</v>
      </c>
      <c r="H2684">
        <f>0.0144927536231884*2.09527300689651</f>
        <v>3.0366275462268253E-2</v>
      </c>
      <c r="I2684">
        <v>3.036627546226835E-2</v>
      </c>
    </row>
    <row r="2685" spans="1:9" x14ac:dyDescent="0.25">
      <c r="A2685">
        <v>277</v>
      </c>
      <c r="B2685" t="s">
        <v>1326</v>
      </c>
      <c r="C2685" t="s">
        <v>48</v>
      </c>
      <c r="D2685" t="s">
        <v>1204</v>
      </c>
      <c r="E2685">
        <f>4/69</f>
        <v>5.7971014492753624E-2</v>
      </c>
      <c r="F2685">
        <v>3</v>
      </c>
      <c r="G2685">
        <f>LOG(382/(3+1))</f>
        <v>1.9800033715837464</v>
      </c>
      <c r="H2685">
        <f>0.0579710144927536*4.55912624748668</f>
        <v>0.26429717376734368</v>
      </c>
      <c r="I2685">
        <v>0.26429717376734402</v>
      </c>
    </row>
    <row r="2686" spans="1:9" x14ac:dyDescent="0.25">
      <c r="A2686">
        <v>277</v>
      </c>
      <c r="B2686" t="s">
        <v>1326</v>
      </c>
      <c r="C2686" t="s">
        <v>48</v>
      </c>
      <c r="D2686" t="s">
        <v>1327</v>
      </c>
      <c r="E2686">
        <f>3/69</f>
        <v>4.3478260869565216E-2</v>
      </c>
      <c r="F2686">
        <v>1</v>
      </c>
      <c r="G2686">
        <f>LOG(382/(1+1))</f>
        <v>2.2810333672477277</v>
      </c>
      <c r="H2686">
        <f>0.0434782608695652*5.25227342804663</f>
        <v>0.22835971426289686</v>
      </c>
      <c r="I2686">
        <v>0.22835971426289689</v>
      </c>
    </row>
    <row r="2687" spans="1:9" x14ac:dyDescent="0.25">
      <c r="A2687">
        <v>277</v>
      </c>
      <c r="B2687" t="s">
        <v>1326</v>
      </c>
      <c r="C2687" t="s">
        <v>48</v>
      </c>
      <c r="D2687" t="s">
        <v>1328</v>
      </c>
      <c r="E2687">
        <f>12/69</f>
        <v>0.17391304347826086</v>
      </c>
      <c r="F2687">
        <v>22</v>
      </c>
      <c r="G2687">
        <f>LOG(382/(22+1))</f>
        <v>1.2203355268941158</v>
      </c>
      <c r="H2687">
        <f>0.17391304347826*2.80992639267742</f>
        <v>0.48868285090041841</v>
      </c>
      <c r="I2687">
        <v>0.48868285090042191</v>
      </c>
    </row>
    <row r="2688" spans="1:9" x14ac:dyDescent="0.25">
      <c r="A2688">
        <v>277</v>
      </c>
      <c r="B2688" t="s">
        <v>1326</v>
      </c>
      <c r="C2688" t="s">
        <v>48</v>
      </c>
      <c r="D2688" t="s">
        <v>93</v>
      </c>
      <c r="E2688">
        <f>1/69</f>
        <v>1.4492753623188406E-2</v>
      </c>
      <c r="F2688">
        <v>11</v>
      </c>
      <c r="G2688">
        <f>LOG(382/(11+1))</f>
        <v>1.5028821168640838</v>
      </c>
      <c r="H2688">
        <f>0.0144927536231884*3.46051395881857</f>
        <v>5.0152376214761867E-2</v>
      </c>
      <c r="I2688">
        <v>5.0152376214761957E-2</v>
      </c>
    </row>
    <row r="2689" spans="1:9" x14ac:dyDescent="0.25">
      <c r="A2689">
        <v>277</v>
      </c>
      <c r="B2689" t="s">
        <v>1326</v>
      </c>
      <c r="C2689" t="s">
        <v>48</v>
      </c>
      <c r="D2689" t="s">
        <v>104</v>
      </c>
      <c r="E2689">
        <f>2/69</f>
        <v>2.8985507246376812E-2</v>
      </c>
      <c r="F2689">
        <v>49</v>
      </c>
      <c r="G2689">
        <f>LOG(382/(49+1))</f>
        <v>0.88309335857568994</v>
      </c>
      <c r="H2689">
        <f>0.0289855072463768*2.03339760317842</f>
        <v>5.893906096169331E-2</v>
      </c>
      <c r="I2689">
        <v>5.8939060961693587E-2</v>
      </c>
    </row>
    <row r="2690" spans="1:9" x14ac:dyDescent="0.25">
      <c r="A2690">
        <v>277</v>
      </c>
      <c r="B2690" t="s">
        <v>1326</v>
      </c>
      <c r="C2690" t="s">
        <v>48</v>
      </c>
      <c r="D2690" t="s">
        <v>1059</v>
      </c>
      <c r="E2690">
        <f>2/69</f>
        <v>2.8985507246376812E-2</v>
      </c>
      <c r="F2690">
        <v>16</v>
      </c>
      <c r="G2690">
        <f>LOG(382/(16+1))</f>
        <v>1.3516144415334348</v>
      </c>
      <c r="H2690">
        <f>0.0289855072463768*3.11220726455035</f>
        <v>9.0208906218850693E-2</v>
      </c>
      <c r="I2690">
        <v>9.0208906218850984E-2</v>
      </c>
    </row>
    <row r="2691" spans="1:9" x14ac:dyDescent="0.25">
      <c r="A2691">
        <v>277</v>
      </c>
      <c r="B2691" t="s">
        <v>1326</v>
      </c>
      <c r="C2691" t="s">
        <v>48</v>
      </c>
      <c r="D2691" t="s">
        <v>1060</v>
      </c>
      <c r="E2691">
        <f>2/69</f>
        <v>2.8985507246376812E-2</v>
      </c>
      <c r="F2691">
        <v>15</v>
      </c>
      <c r="G2691">
        <f>LOG(382/(15+1))</f>
        <v>1.3779433802557839</v>
      </c>
      <c r="H2691">
        <f>0.0289855072463768*3.17283188636679</f>
        <v>9.196614163381997E-2</v>
      </c>
      <c r="I2691">
        <v>9.1966141633820123E-2</v>
      </c>
    </row>
    <row r="2692" spans="1:9" x14ac:dyDescent="0.25">
      <c r="A2692">
        <v>277</v>
      </c>
      <c r="B2692" t="s">
        <v>1326</v>
      </c>
      <c r="C2692" t="s">
        <v>48</v>
      </c>
      <c r="D2692" t="s">
        <v>15</v>
      </c>
      <c r="E2692">
        <f t="shared" ref="E2692:E2699" si="123">1/69</f>
        <v>1.4492753623188406E-2</v>
      </c>
      <c r="F2692">
        <v>112</v>
      </c>
      <c r="G2692">
        <f>LOG(382/(112+1))</f>
        <v>0.52898491942828896</v>
      </c>
      <c r="H2692">
        <f>0.0144927536231884*1.21803278989423</f>
        <v>1.7652649128901878E-2</v>
      </c>
      <c r="I2692">
        <v>1.7652649128901951E-2</v>
      </c>
    </row>
    <row r="2693" spans="1:9" x14ac:dyDescent="0.25">
      <c r="A2693">
        <v>277</v>
      </c>
      <c r="B2693" t="s">
        <v>1326</v>
      </c>
      <c r="C2693" t="s">
        <v>48</v>
      </c>
      <c r="D2693" t="s">
        <v>1203</v>
      </c>
      <c r="E2693">
        <f t="shared" si="123"/>
        <v>1.4492753623188406E-2</v>
      </c>
      <c r="F2693">
        <v>2</v>
      </c>
      <c r="G2693">
        <f>LOG(382/(2+1))</f>
        <v>2.1049421081920463</v>
      </c>
      <c r="H2693">
        <f>0.0144927536231884*4.84680831993846</f>
        <v>7.0243598839687796E-2</v>
      </c>
      <c r="I2693">
        <v>7.0243598839687907E-2</v>
      </c>
    </row>
    <row r="2694" spans="1:9" x14ac:dyDescent="0.25">
      <c r="A2694">
        <v>277</v>
      </c>
      <c r="B2694" t="s">
        <v>1326</v>
      </c>
      <c r="C2694" t="s">
        <v>48</v>
      </c>
      <c r="D2694" t="s">
        <v>17</v>
      </c>
      <c r="E2694">
        <f t="shared" si="123"/>
        <v>1.4492753623188406E-2</v>
      </c>
      <c r="F2694">
        <v>169</v>
      </c>
      <c r="G2694">
        <f>LOG(382/(169+1))</f>
        <v>0.3516144415334348</v>
      </c>
      <c r="H2694">
        <f>0.0144927536231884*0.809622171556313</f>
        <v>1.1733654660236415E-2</v>
      </c>
      <c r="I2694">
        <v>1.1733654660236429E-2</v>
      </c>
    </row>
    <row r="2695" spans="1:9" x14ac:dyDescent="0.25">
      <c r="A2695">
        <v>277</v>
      </c>
      <c r="B2695" t="s">
        <v>1326</v>
      </c>
      <c r="C2695" t="s">
        <v>48</v>
      </c>
      <c r="D2695" t="s">
        <v>1064</v>
      </c>
      <c r="E2695">
        <f t="shared" si="123"/>
        <v>1.4492753623188406E-2</v>
      </c>
      <c r="F2695">
        <v>7</v>
      </c>
      <c r="G2695">
        <f>LOG(382/(7+1))</f>
        <v>1.6789733759197651</v>
      </c>
      <c r="H2695">
        <f>0.0144927536231884*3.86597906692673</f>
        <v>5.6028682129372884E-2</v>
      </c>
      <c r="I2695">
        <v>5.6028682129373029E-2</v>
      </c>
    </row>
    <row r="2696" spans="1:9" x14ac:dyDescent="0.25">
      <c r="A2696">
        <v>277</v>
      </c>
      <c r="B2696" t="s">
        <v>1326</v>
      </c>
      <c r="C2696" t="s">
        <v>48</v>
      </c>
      <c r="D2696" t="s">
        <v>19</v>
      </c>
      <c r="E2696">
        <f t="shared" si="123"/>
        <v>1.4492753623188406E-2</v>
      </c>
      <c r="F2696">
        <v>220</v>
      </c>
      <c r="G2696">
        <f>LOG(382/(220+1))</f>
        <v>0.23767108922659805</v>
      </c>
      <c r="H2696">
        <f>0.0144927536231884*0.547257907088822</f>
        <v>7.9312740157800269E-3</v>
      </c>
      <c r="I2696">
        <v>7.9312740157800338E-3</v>
      </c>
    </row>
    <row r="2697" spans="1:9" x14ac:dyDescent="0.25">
      <c r="A2697">
        <v>277</v>
      </c>
      <c r="B2697" t="s">
        <v>1326</v>
      </c>
      <c r="C2697" t="s">
        <v>48</v>
      </c>
      <c r="D2697" t="s">
        <v>808</v>
      </c>
      <c r="E2697">
        <f t="shared" si="123"/>
        <v>1.4492753623188406E-2</v>
      </c>
      <c r="F2697">
        <v>20</v>
      </c>
      <c r="G2697">
        <f>LOG(382/(20+1))</f>
        <v>1.2598440681777894</v>
      </c>
      <c r="H2697">
        <f>0.0144927536231884*2.90089817088315</f>
        <v>4.2042002476567378E-2</v>
      </c>
      <c r="I2697">
        <v>4.2042002476567433E-2</v>
      </c>
    </row>
    <row r="2698" spans="1:9" x14ac:dyDescent="0.25">
      <c r="A2698">
        <v>277</v>
      </c>
      <c r="B2698" t="s">
        <v>1326</v>
      </c>
      <c r="C2698" t="s">
        <v>48</v>
      </c>
      <c r="D2698" t="s">
        <v>809</v>
      </c>
      <c r="E2698">
        <f t="shared" si="123"/>
        <v>1.4492753623188406E-2</v>
      </c>
      <c r="F2698">
        <v>19</v>
      </c>
      <c r="G2698">
        <f>LOG(382/(19+1))</f>
        <v>1.2810333672477277</v>
      </c>
      <c r="H2698">
        <f>0.0144927536231884*2.94968833505258</f>
        <v>4.2749106305109842E-2</v>
      </c>
      <c r="I2698">
        <v>4.2749106305109918E-2</v>
      </c>
    </row>
    <row r="2699" spans="1:9" x14ac:dyDescent="0.25">
      <c r="A2699">
        <v>277</v>
      </c>
      <c r="B2699" t="s">
        <v>1326</v>
      </c>
      <c r="C2699" t="s">
        <v>48</v>
      </c>
      <c r="D2699" t="s">
        <v>924</v>
      </c>
      <c r="E2699">
        <f t="shared" si="123"/>
        <v>1.4492753623188406E-2</v>
      </c>
      <c r="F2699">
        <v>13</v>
      </c>
      <c r="G2699">
        <f>LOG(382/(13+1))</f>
        <v>1.4359353272334707</v>
      </c>
      <c r="H2699">
        <f>0.0144927536231884*3.30636327899131</f>
        <v>4.7918308391178395E-2</v>
      </c>
      <c r="I2699">
        <v>4.7918308391178499E-2</v>
      </c>
    </row>
    <row r="2700" spans="1:9" x14ac:dyDescent="0.25">
      <c r="A2700">
        <v>277</v>
      </c>
      <c r="B2700" t="s">
        <v>1326</v>
      </c>
      <c r="C2700" t="s">
        <v>48</v>
      </c>
      <c r="D2700" t="s">
        <v>1135</v>
      </c>
      <c r="E2700">
        <f>2/69</f>
        <v>2.8985507246376812E-2</v>
      </c>
      <c r="F2700">
        <v>7</v>
      </c>
      <c r="G2700">
        <f>LOG(382/(7+1))</f>
        <v>1.6789733759197651</v>
      </c>
      <c r="H2700">
        <f>0.0289855072463768*3.86597906692673</f>
        <v>0.11205736425874577</v>
      </c>
      <c r="I2700">
        <v>0.1120573642587461</v>
      </c>
    </row>
    <row r="2701" spans="1:9" x14ac:dyDescent="0.25">
      <c r="A2701">
        <v>277</v>
      </c>
      <c r="B2701" t="s">
        <v>1326</v>
      </c>
      <c r="C2701" t="s">
        <v>48</v>
      </c>
      <c r="D2701" t="s">
        <v>1329</v>
      </c>
      <c r="E2701">
        <f>1/69</f>
        <v>1.4492753623188406E-2</v>
      </c>
      <c r="F2701">
        <v>4</v>
      </c>
      <c r="G2701">
        <f>LOG(382/(4+1))</f>
        <v>1.8830933585756899</v>
      </c>
      <c r="H2701">
        <f>0.0144927536231884*4.33598269617247</f>
        <v>6.2840328930035785E-2</v>
      </c>
      <c r="I2701">
        <v>6.2840328930035869E-2</v>
      </c>
    </row>
    <row r="2702" spans="1:9" x14ac:dyDescent="0.25">
      <c r="A2702">
        <v>277</v>
      </c>
      <c r="B2702" t="s">
        <v>1326</v>
      </c>
      <c r="C2702" t="s">
        <v>48</v>
      </c>
      <c r="D2702" t="s">
        <v>25</v>
      </c>
      <c r="E2702">
        <f>3/69</f>
        <v>4.3478260869565216E-2</v>
      </c>
      <c r="F2702">
        <v>106</v>
      </c>
      <c r="G2702">
        <f>LOG(382/(106+1))</f>
        <v>0.55267958522649907</v>
      </c>
      <c r="H2702">
        <f>0.0434782608695652*1.27259177414466</f>
        <v>5.5330077136724325E-2</v>
      </c>
      <c r="I2702">
        <v>5.5330077136724741E-2</v>
      </c>
    </row>
    <row r="2703" spans="1:9" x14ac:dyDescent="0.25">
      <c r="A2703">
        <v>277</v>
      </c>
      <c r="B2703" t="s">
        <v>1326</v>
      </c>
      <c r="C2703" t="s">
        <v>48</v>
      </c>
      <c r="D2703" t="s">
        <v>1330</v>
      </c>
      <c r="E2703">
        <f t="shared" ref="E2703:E2731" si="124">1/69</f>
        <v>1.4492753623188406E-2</v>
      </c>
      <c r="F2703">
        <v>1</v>
      </c>
      <c r="G2703">
        <f>LOG(382/(1+1))</f>
        <v>2.2810333672477277</v>
      </c>
      <c r="H2703">
        <f>0.0144927536231884*5.25227342804663</f>
        <v>7.6119904754298959E-2</v>
      </c>
      <c r="I2703">
        <v>7.6119904754298987E-2</v>
      </c>
    </row>
    <row r="2704" spans="1:9" x14ac:dyDescent="0.25">
      <c r="A2704">
        <v>277</v>
      </c>
      <c r="B2704" t="s">
        <v>1326</v>
      </c>
      <c r="C2704" t="s">
        <v>48</v>
      </c>
      <c r="D2704" t="s">
        <v>360</v>
      </c>
      <c r="E2704">
        <f t="shared" si="124"/>
        <v>1.4492753623188406E-2</v>
      </c>
      <c r="F2704">
        <v>15</v>
      </c>
      <c r="G2704">
        <f>LOG(382/(15+1))</f>
        <v>1.3779433802557839</v>
      </c>
      <c r="H2704">
        <f>0.0144927536231884*3.17283188636679</f>
        <v>4.5983070816909985E-2</v>
      </c>
      <c r="I2704">
        <v>4.5983070816910061E-2</v>
      </c>
    </row>
    <row r="2705" spans="1:9" x14ac:dyDescent="0.25">
      <c r="A2705">
        <v>277</v>
      </c>
      <c r="B2705" t="s">
        <v>1326</v>
      </c>
      <c r="C2705" t="s">
        <v>48</v>
      </c>
      <c r="D2705" t="s">
        <v>28</v>
      </c>
      <c r="E2705">
        <f t="shared" si="124"/>
        <v>1.4492753623188406E-2</v>
      </c>
      <c r="F2705">
        <v>35</v>
      </c>
      <c r="G2705">
        <f>LOG(382/(35+1))</f>
        <v>1.0257608621444214</v>
      </c>
      <c r="H2705">
        <f>0.0144927536231884*2.36190167015046</f>
        <v>3.4230458987687812E-2</v>
      </c>
      <c r="I2705">
        <v>3.4230458987687902E-2</v>
      </c>
    </row>
    <row r="2706" spans="1:9" x14ac:dyDescent="0.25">
      <c r="A2706">
        <v>277</v>
      </c>
      <c r="B2706" t="s">
        <v>1326</v>
      </c>
      <c r="C2706" t="s">
        <v>48</v>
      </c>
      <c r="D2706" t="s">
        <v>932</v>
      </c>
      <c r="E2706">
        <f t="shared" si="124"/>
        <v>1.4492753623188406E-2</v>
      </c>
      <c r="F2706">
        <v>35</v>
      </c>
      <c r="G2706">
        <f>LOG(382/(35+1))</f>
        <v>1.0257608621444214</v>
      </c>
      <c r="H2706">
        <f>0.0144927536231884*2.36190167015046</f>
        <v>3.4230458987687812E-2</v>
      </c>
      <c r="I2706">
        <v>3.4230458987687902E-2</v>
      </c>
    </row>
    <row r="2707" spans="1:9" x14ac:dyDescent="0.25">
      <c r="A2707">
        <v>277</v>
      </c>
      <c r="B2707" t="s">
        <v>1326</v>
      </c>
      <c r="C2707" t="s">
        <v>48</v>
      </c>
      <c r="D2707" t="s">
        <v>1331</v>
      </c>
      <c r="E2707">
        <f t="shared" si="124"/>
        <v>1.4492753623188406E-2</v>
      </c>
      <c r="F2707">
        <v>4</v>
      </c>
      <c r="G2707">
        <f>LOG(382/(4+1))</f>
        <v>1.8830933585756899</v>
      </c>
      <c r="H2707">
        <f>0.0144927536231884*4.33598269617247</f>
        <v>6.2840328930035785E-2</v>
      </c>
      <c r="I2707">
        <v>6.2840328930035869E-2</v>
      </c>
    </row>
    <row r="2708" spans="1:9" x14ac:dyDescent="0.25">
      <c r="A2708">
        <v>277</v>
      </c>
      <c r="B2708" t="s">
        <v>1326</v>
      </c>
      <c r="C2708" t="s">
        <v>48</v>
      </c>
      <c r="D2708" t="s">
        <v>103</v>
      </c>
      <c r="E2708">
        <f t="shared" si="124"/>
        <v>1.4492753623188406E-2</v>
      </c>
      <c r="F2708">
        <v>38</v>
      </c>
      <c r="G2708">
        <f>LOG(382/(38+1))</f>
        <v>0.99099875588520958</v>
      </c>
      <c r="H2708">
        <f>0.0144927536231884*2.28185896247692</f>
        <v>3.3070419746042308E-2</v>
      </c>
      <c r="I2708">
        <v>3.3070419746042447E-2</v>
      </c>
    </row>
    <row r="2709" spans="1:9" x14ac:dyDescent="0.25">
      <c r="A2709">
        <v>277</v>
      </c>
      <c r="B2709" t="s">
        <v>1326</v>
      </c>
      <c r="C2709" t="s">
        <v>48</v>
      </c>
      <c r="D2709" t="s">
        <v>1332</v>
      </c>
      <c r="E2709">
        <f t="shared" si="124"/>
        <v>1.4492753623188406E-2</v>
      </c>
      <c r="F2709">
        <v>2</v>
      </c>
      <c r="G2709">
        <f>LOG(382/(2+1))</f>
        <v>2.1049421081920463</v>
      </c>
      <c r="H2709">
        <f>0.0144927536231884*4.84680831993846</f>
        <v>7.0243598839687796E-2</v>
      </c>
      <c r="I2709">
        <v>7.0243598839687907E-2</v>
      </c>
    </row>
    <row r="2710" spans="1:9" x14ac:dyDescent="0.25">
      <c r="A2710">
        <v>277</v>
      </c>
      <c r="B2710" t="s">
        <v>1326</v>
      </c>
      <c r="C2710" t="s">
        <v>48</v>
      </c>
      <c r="D2710" t="s">
        <v>1333</v>
      </c>
      <c r="E2710">
        <f t="shared" si="124"/>
        <v>1.4492753623188406E-2</v>
      </c>
      <c r="F2710">
        <v>3</v>
      </c>
      <c r="G2710">
        <f>LOG(382/(3+1))</f>
        <v>1.9800033715837464</v>
      </c>
      <c r="H2710">
        <f>0.0144927536231884*4.55912624748668</f>
        <v>6.6074293441835921E-2</v>
      </c>
      <c r="I2710">
        <v>6.6074293441836005E-2</v>
      </c>
    </row>
    <row r="2711" spans="1:9" x14ac:dyDescent="0.25">
      <c r="A2711">
        <v>277</v>
      </c>
      <c r="B2711" t="s">
        <v>1326</v>
      </c>
      <c r="C2711" t="s">
        <v>48</v>
      </c>
      <c r="D2711" t="s">
        <v>1334</v>
      </c>
      <c r="E2711">
        <f t="shared" si="124"/>
        <v>1.4492753623188406E-2</v>
      </c>
      <c r="F2711">
        <v>2</v>
      </c>
      <c r="G2711">
        <f>LOG(382/(2+1))</f>
        <v>2.1049421081920463</v>
      </c>
      <c r="H2711">
        <f>0.0144927536231884*4.84680831993846</f>
        <v>7.0243598839687796E-2</v>
      </c>
      <c r="I2711">
        <v>7.0243598839687907E-2</v>
      </c>
    </row>
    <row r="2712" spans="1:9" x14ac:dyDescent="0.25">
      <c r="A2712">
        <v>277</v>
      </c>
      <c r="B2712" t="s">
        <v>1326</v>
      </c>
      <c r="C2712" t="s">
        <v>48</v>
      </c>
      <c r="D2712" t="s">
        <v>1335</v>
      </c>
      <c r="E2712">
        <f t="shared" si="124"/>
        <v>1.4492753623188406E-2</v>
      </c>
      <c r="F2712">
        <v>1</v>
      </c>
      <c r="G2712">
        <f>LOG(382/(1+1))</f>
        <v>2.2810333672477277</v>
      </c>
      <c r="H2712">
        <f>0.0144927536231884*5.25227342804663</f>
        <v>7.6119904754298959E-2</v>
      </c>
      <c r="I2712">
        <v>7.6119904754298987E-2</v>
      </c>
    </row>
    <row r="2713" spans="1:9" x14ac:dyDescent="0.25">
      <c r="A2713">
        <v>277</v>
      </c>
      <c r="B2713" t="s">
        <v>1326</v>
      </c>
      <c r="C2713" t="s">
        <v>48</v>
      </c>
      <c r="D2713" t="s">
        <v>1045</v>
      </c>
      <c r="E2713">
        <f t="shared" si="124"/>
        <v>1.4492753623188406E-2</v>
      </c>
      <c r="F2713">
        <v>2</v>
      </c>
      <c r="G2713">
        <f>LOG(382/(2+1))</f>
        <v>2.1049421081920463</v>
      </c>
      <c r="H2713">
        <f>0.0144927536231884*4.84680831993846</f>
        <v>7.0243598839687796E-2</v>
      </c>
      <c r="I2713">
        <v>7.0243598839687907E-2</v>
      </c>
    </row>
    <row r="2714" spans="1:9" x14ac:dyDescent="0.25">
      <c r="A2714">
        <v>277</v>
      </c>
      <c r="B2714" t="s">
        <v>1326</v>
      </c>
      <c r="C2714" t="s">
        <v>48</v>
      </c>
      <c r="D2714" t="s">
        <v>82</v>
      </c>
      <c r="E2714">
        <f t="shared" si="124"/>
        <v>1.4492753623188406E-2</v>
      </c>
      <c r="F2714">
        <v>92</v>
      </c>
      <c r="G2714">
        <f>LOG(382/(92+1))</f>
        <v>0.61358041435777355</v>
      </c>
      <c r="H2714">
        <f>0.0144927536231884*1.41282111545331</f>
        <v>2.0475668339903035E-2</v>
      </c>
      <c r="I2714">
        <v>2.0475668339903181E-2</v>
      </c>
    </row>
    <row r="2715" spans="1:9" x14ac:dyDescent="0.25">
      <c r="A2715">
        <v>277</v>
      </c>
      <c r="B2715" t="s">
        <v>1326</v>
      </c>
      <c r="C2715" t="s">
        <v>48</v>
      </c>
      <c r="D2715" t="s">
        <v>1336</v>
      </c>
      <c r="E2715">
        <f t="shared" si="124"/>
        <v>1.4492753623188406E-2</v>
      </c>
      <c r="F2715">
        <v>1</v>
      </c>
      <c r="G2715">
        <f>LOG(382/(1+1))</f>
        <v>2.2810333672477277</v>
      </c>
      <c r="H2715">
        <f>0.0144927536231884*5.25227342804663</f>
        <v>7.6119904754298959E-2</v>
      </c>
      <c r="I2715">
        <v>7.6119904754298987E-2</v>
      </c>
    </row>
    <row r="2716" spans="1:9" x14ac:dyDescent="0.25">
      <c r="A2716">
        <v>277</v>
      </c>
      <c r="B2716" t="s">
        <v>1326</v>
      </c>
      <c r="C2716" t="s">
        <v>48</v>
      </c>
      <c r="D2716" t="s">
        <v>120</v>
      </c>
      <c r="E2716">
        <f t="shared" si="124"/>
        <v>1.4492753623188406E-2</v>
      </c>
      <c r="F2716">
        <v>8</v>
      </c>
      <c r="G2716">
        <f>LOG(382/(8+1))</f>
        <v>1.6278208534723839</v>
      </c>
      <c r="H2716">
        <f>0.0144927536231884*3.74819603127035</f>
        <v>5.4321681612613748E-2</v>
      </c>
      <c r="I2716">
        <v>5.4321681612613852E-2</v>
      </c>
    </row>
    <row r="2717" spans="1:9" x14ac:dyDescent="0.25">
      <c r="A2717">
        <v>277</v>
      </c>
      <c r="B2717" t="s">
        <v>1326</v>
      </c>
      <c r="C2717" t="s">
        <v>48</v>
      </c>
      <c r="D2717" t="s">
        <v>1337</v>
      </c>
      <c r="E2717">
        <f t="shared" si="124"/>
        <v>1.4492753623188406E-2</v>
      </c>
      <c r="F2717">
        <v>2</v>
      </c>
      <c r="G2717">
        <f>LOG(382/(2+1))</f>
        <v>2.1049421081920463</v>
      </c>
      <c r="H2717">
        <f>0.0144927536231884*4.84680831993846</f>
        <v>7.0243598839687796E-2</v>
      </c>
      <c r="I2717">
        <v>7.0243598839687907E-2</v>
      </c>
    </row>
    <row r="2718" spans="1:9" x14ac:dyDescent="0.25">
      <c r="A2718">
        <v>277</v>
      </c>
      <c r="B2718" t="s">
        <v>1326</v>
      </c>
      <c r="C2718" t="s">
        <v>48</v>
      </c>
      <c r="D2718" t="s">
        <v>1338</v>
      </c>
      <c r="E2718">
        <f t="shared" si="124"/>
        <v>1.4492753623188406E-2</v>
      </c>
      <c r="F2718">
        <v>3</v>
      </c>
      <c r="G2718">
        <f>LOG(382/(3+1))</f>
        <v>1.9800033715837464</v>
      </c>
      <c r="H2718">
        <f>0.0144927536231884*4.55912624748668</f>
        <v>6.6074293441835921E-2</v>
      </c>
      <c r="I2718">
        <v>6.6074293441836005E-2</v>
      </c>
    </row>
    <row r="2719" spans="1:9" x14ac:dyDescent="0.25">
      <c r="A2719">
        <v>277</v>
      </c>
      <c r="B2719" t="s">
        <v>1326</v>
      </c>
      <c r="C2719" t="s">
        <v>48</v>
      </c>
      <c r="D2719" t="s">
        <v>190</v>
      </c>
      <c r="E2719">
        <f t="shared" si="124"/>
        <v>1.4492753623188406E-2</v>
      </c>
      <c r="F2719">
        <v>23</v>
      </c>
      <c r="G2719">
        <f>LOG(382/(23+1))</f>
        <v>1.2018521212001028</v>
      </c>
      <c r="H2719">
        <f>0.0144927536231884*2.76736677825862</f>
        <v>4.0106764902298829E-2</v>
      </c>
      <c r="I2719">
        <v>4.0106764902298982E-2</v>
      </c>
    </row>
    <row r="2720" spans="1:9" x14ac:dyDescent="0.25">
      <c r="A2720">
        <v>277</v>
      </c>
      <c r="B2720" t="s">
        <v>1326</v>
      </c>
      <c r="C2720" t="s">
        <v>48</v>
      </c>
      <c r="D2720" t="s">
        <v>1339</v>
      </c>
      <c r="E2720">
        <f t="shared" si="124"/>
        <v>1.4492753623188406E-2</v>
      </c>
      <c r="F2720">
        <v>2</v>
      </c>
      <c r="G2720">
        <f>LOG(382/(2+1))</f>
        <v>2.1049421081920463</v>
      </c>
      <c r="H2720">
        <f>0.0144927536231884*4.84680831993846</f>
        <v>7.0243598839687796E-2</v>
      </c>
      <c r="I2720">
        <v>7.0243598839687907E-2</v>
      </c>
    </row>
    <row r="2721" spans="1:9" x14ac:dyDescent="0.25">
      <c r="A2721">
        <v>277</v>
      </c>
      <c r="B2721" t="s">
        <v>1326</v>
      </c>
      <c r="C2721" t="s">
        <v>48</v>
      </c>
      <c r="D2721" t="s">
        <v>1340</v>
      </c>
      <c r="E2721">
        <f t="shared" si="124"/>
        <v>1.4492753623188406E-2</v>
      </c>
      <c r="F2721">
        <v>2</v>
      </c>
      <c r="G2721">
        <f>LOG(382/(2+1))</f>
        <v>2.1049421081920463</v>
      </c>
      <c r="H2721">
        <f>0.0144927536231884*4.84680831993846</f>
        <v>7.0243598839687796E-2</v>
      </c>
      <c r="I2721">
        <v>7.0243598839687907E-2</v>
      </c>
    </row>
    <row r="2722" spans="1:9" x14ac:dyDescent="0.25">
      <c r="A2722">
        <v>277</v>
      </c>
      <c r="B2722" t="s">
        <v>1326</v>
      </c>
      <c r="C2722" t="s">
        <v>48</v>
      </c>
      <c r="D2722" t="s">
        <v>953</v>
      </c>
      <c r="E2722">
        <f t="shared" si="124"/>
        <v>1.4492753623188406E-2</v>
      </c>
      <c r="F2722">
        <v>16</v>
      </c>
      <c r="G2722">
        <f>LOG(382/(16+1))</f>
        <v>1.3516144415334348</v>
      </c>
      <c r="H2722">
        <f>0.0144927536231884*3.11220726455035</f>
        <v>4.5104453109425346E-2</v>
      </c>
      <c r="I2722">
        <v>4.5104453109425492E-2</v>
      </c>
    </row>
    <row r="2723" spans="1:9" x14ac:dyDescent="0.25">
      <c r="A2723">
        <v>277</v>
      </c>
      <c r="B2723" t="s">
        <v>1326</v>
      </c>
      <c r="C2723" t="s">
        <v>48</v>
      </c>
      <c r="D2723" t="s">
        <v>566</v>
      </c>
      <c r="E2723">
        <f t="shared" si="124"/>
        <v>1.4492753623188406E-2</v>
      </c>
      <c r="F2723">
        <v>8</v>
      </c>
      <c r="G2723">
        <f>LOG(382/(8+1))</f>
        <v>1.6278208534723839</v>
      </c>
      <c r="H2723">
        <f>0.0144927536231884*3.74819603127035</f>
        <v>5.4321681612613748E-2</v>
      </c>
      <c r="I2723">
        <v>5.4321681612613852E-2</v>
      </c>
    </row>
    <row r="2724" spans="1:9" x14ac:dyDescent="0.25">
      <c r="A2724">
        <v>277</v>
      </c>
      <c r="B2724" t="s">
        <v>1326</v>
      </c>
      <c r="C2724" t="s">
        <v>48</v>
      </c>
      <c r="D2724" t="s">
        <v>278</v>
      </c>
      <c r="E2724">
        <f t="shared" si="124"/>
        <v>1.4492753623188406E-2</v>
      </c>
      <c r="F2724">
        <v>3</v>
      </c>
      <c r="G2724">
        <f>LOG(382/(3+1))</f>
        <v>1.9800033715837464</v>
      </c>
      <c r="H2724">
        <f>0.0144927536231884*4.55912624748668</f>
        <v>6.6074293441835921E-2</v>
      </c>
      <c r="I2724">
        <v>6.6074293441836005E-2</v>
      </c>
    </row>
    <row r="2725" spans="1:9" x14ac:dyDescent="0.25">
      <c r="A2725">
        <v>277</v>
      </c>
      <c r="B2725" t="s">
        <v>1326</v>
      </c>
      <c r="C2725" t="s">
        <v>48</v>
      </c>
      <c r="D2725" t="s">
        <v>53</v>
      </c>
      <c r="E2725">
        <f t="shared" si="124"/>
        <v>1.4492753623188406E-2</v>
      </c>
      <c r="F2725">
        <v>57</v>
      </c>
      <c r="G2725">
        <f>LOG(382/(57+1))</f>
        <v>0.81863536934877146</v>
      </c>
      <c r="H2725">
        <f>0.0144927536231884*1.88497759806015</f>
        <v>2.7318515913915209E-2</v>
      </c>
      <c r="I2725">
        <v>2.7318515913915299E-2</v>
      </c>
    </row>
    <row r="2726" spans="1:9" x14ac:dyDescent="0.25">
      <c r="A2726">
        <v>277</v>
      </c>
      <c r="B2726" t="s">
        <v>1326</v>
      </c>
      <c r="C2726" t="s">
        <v>48</v>
      </c>
      <c r="D2726" t="s">
        <v>490</v>
      </c>
      <c r="E2726">
        <f t="shared" si="124"/>
        <v>1.4492753623188406E-2</v>
      </c>
      <c r="F2726">
        <v>31</v>
      </c>
      <c r="G2726">
        <f>LOG(382/(31+1))</f>
        <v>1.0769133845918029</v>
      </c>
      <c r="H2726">
        <f>0.0144927536231884*2.47968470580684</f>
        <v>3.5937459504446941E-2</v>
      </c>
      <c r="I2726">
        <v>3.5937459504447093E-2</v>
      </c>
    </row>
    <row r="2727" spans="1:9" x14ac:dyDescent="0.25">
      <c r="A2727">
        <v>277</v>
      </c>
      <c r="B2727" t="s">
        <v>1326</v>
      </c>
      <c r="C2727" t="s">
        <v>48</v>
      </c>
      <c r="D2727" t="s">
        <v>50</v>
      </c>
      <c r="E2727">
        <f t="shared" si="124"/>
        <v>1.4492753623188406E-2</v>
      </c>
      <c r="F2727">
        <v>109</v>
      </c>
      <c r="G2727">
        <f>LOG(382/(109+1))</f>
        <v>0.54067067775348365</v>
      </c>
      <c r="H2727">
        <f>0.0144927536231884*1.24494024281415</f>
        <v>1.8042612214697822E-2</v>
      </c>
      <c r="I2727">
        <v>1.804261221469796E-2</v>
      </c>
    </row>
    <row r="2728" spans="1:9" x14ac:dyDescent="0.25">
      <c r="A2728">
        <v>277</v>
      </c>
      <c r="B2728" t="s">
        <v>1326</v>
      </c>
      <c r="C2728" t="s">
        <v>48</v>
      </c>
      <c r="D2728" t="s">
        <v>695</v>
      </c>
      <c r="E2728">
        <f t="shared" si="124"/>
        <v>1.4492753623188406E-2</v>
      </c>
      <c r="F2728">
        <v>13</v>
      </c>
      <c r="G2728">
        <f>LOG(382/(13+1))</f>
        <v>1.4359353272334707</v>
      </c>
      <c r="H2728">
        <f>0.0144927536231884*3.30636327899131</f>
        <v>4.7918308391178395E-2</v>
      </c>
      <c r="I2728">
        <v>4.7918308391178499E-2</v>
      </c>
    </row>
    <row r="2729" spans="1:9" x14ac:dyDescent="0.25">
      <c r="A2729">
        <v>277</v>
      </c>
      <c r="B2729" t="s">
        <v>1326</v>
      </c>
      <c r="C2729" t="s">
        <v>48</v>
      </c>
      <c r="D2729" t="s">
        <v>262</v>
      </c>
      <c r="E2729">
        <f t="shared" si="124"/>
        <v>1.4492753623188406E-2</v>
      </c>
      <c r="F2729">
        <v>13</v>
      </c>
      <c r="G2729">
        <f>LOG(382/(13+1))</f>
        <v>1.4359353272334707</v>
      </c>
      <c r="H2729">
        <f>0.0144927536231884*3.30636327899131</f>
        <v>4.7918308391178395E-2</v>
      </c>
      <c r="I2729">
        <v>4.7918308391178499E-2</v>
      </c>
    </row>
    <row r="2730" spans="1:9" x14ac:dyDescent="0.25">
      <c r="A2730">
        <v>277</v>
      </c>
      <c r="B2730" t="s">
        <v>1326</v>
      </c>
      <c r="C2730" t="s">
        <v>48</v>
      </c>
      <c r="D2730" t="s">
        <v>527</v>
      </c>
      <c r="E2730">
        <f t="shared" si="124"/>
        <v>1.4492753623188406E-2</v>
      </c>
      <c r="F2730">
        <v>4</v>
      </c>
      <c r="G2730">
        <f>LOG(382/(4+1))</f>
        <v>1.8830933585756899</v>
      </c>
      <c r="H2730">
        <f>0.0144927536231884*4.33598269617247</f>
        <v>6.2840328930035785E-2</v>
      </c>
      <c r="I2730">
        <v>6.2840328930035869E-2</v>
      </c>
    </row>
    <row r="2731" spans="1:9" x14ac:dyDescent="0.25">
      <c r="A2731">
        <v>278</v>
      </c>
      <c r="B2731" t="s">
        <v>1341</v>
      </c>
      <c r="C2731" t="s">
        <v>48</v>
      </c>
      <c r="D2731" t="s">
        <v>52</v>
      </c>
      <c r="E2731">
        <f t="shared" si="124"/>
        <v>1.4492753623188406E-2</v>
      </c>
      <c r="F2731">
        <v>35</v>
      </c>
      <c r="G2731">
        <f>LOG(382/(35+1))</f>
        <v>1.0257608621444214</v>
      </c>
      <c r="H2731">
        <f>0.0144927536231884*2.36190167015046</f>
        <v>3.4230458987687812E-2</v>
      </c>
      <c r="I2731">
        <v>3.4230458987687902E-2</v>
      </c>
    </row>
    <row r="2732" spans="1:9" x14ac:dyDescent="0.25">
      <c r="A2732">
        <v>278</v>
      </c>
      <c r="B2732" t="s">
        <v>1341</v>
      </c>
      <c r="C2732" t="s">
        <v>48</v>
      </c>
      <c r="D2732" t="s">
        <v>103</v>
      </c>
      <c r="E2732">
        <f>5/69</f>
        <v>7.2463768115942032E-2</v>
      </c>
      <c r="F2732">
        <v>38</v>
      </c>
      <c r="G2732">
        <f>LOG(382/(38+1))</f>
        <v>0.99099875588520958</v>
      </c>
      <c r="H2732">
        <f>0.072463768115942*2.28185896247692</f>
        <v>0.16535209873021153</v>
      </c>
      <c r="I2732">
        <v>0.16535209873021231</v>
      </c>
    </row>
    <row r="2733" spans="1:9" x14ac:dyDescent="0.25">
      <c r="A2733">
        <v>278</v>
      </c>
      <c r="B2733" t="s">
        <v>1341</v>
      </c>
      <c r="C2733" t="s">
        <v>48</v>
      </c>
      <c r="D2733" t="s">
        <v>1342</v>
      </c>
      <c r="E2733">
        <f>5/69</f>
        <v>7.2463768115942032E-2</v>
      </c>
      <c r="F2733">
        <v>1</v>
      </c>
      <c r="G2733">
        <f>LOG(382/(1+1))</f>
        <v>2.2810333672477277</v>
      </c>
      <c r="H2733">
        <f>0.072463768115942*5.25227342804663</f>
        <v>0.38059952377149481</v>
      </c>
      <c r="I2733">
        <v>0.38059952377149492</v>
      </c>
    </row>
    <row r="2734" spans="1:9" x14ac:dyDescent="0.25">
      <c r="A2734">
        <v>278</v>
      </c>
      <c r="B2734" t="s">
        <v>1341</v>
      </c>
      <c r="C2734" t="s">
        <v>48</v>
      </c>
      <c r="D2734" t="s">
        <v>25</v>
      </c>
      <c r="E2734">
        <f>1/69</f>
        <v>1.4492753623188406E-2</v>
      </c>
      <c r="F2734">
        <v>106</v>
      </c>
      <c r="G2734">
        <f>LOG(382/(106+1))</f>
        <v>0.55267958522649907</v>
      </c>
      <c r="H2734">
        <f>0.0144927536231884*1.27259177414466</f>
        <v>1.8443359045574776E-2</v>
      </c>
      <c r="I2734">
        <v>1.8443359045574911E-2</v>
      </c>
    </row>
    <row r="2735" spans="1:9" x14ac:dyDescent="0.25">
      <c r="A2735">
        <v>278</v>
      </c>
      <c r="B2735" t="s">
        <v>1341</v>
      </c>
      <c r="C2735" t="s">
        <v>48</v>
      </c>
      <c r="D2735" t="s">
        <v>600</v>
      </c>
      <c r="E2735">
        <f>1/69</f>
        <v>1.4492753623188406E-2</v>
      </c>
      <c r="F2735">
        <v>102</v>
      </c>
      <c r="G2735">
        <f>LOG(382/(102+1))</f>
        <v>0.56922613820653656</v>
      </c>
      <c r="H2735">
        <f>0.0144927536231884*1.31069162037693</f>
        <v>1.8995530730100428E-2</v>
      </c>
      <c r="I2735">
        <v>1.899553073010057E-2</v>
      </c>
    </row>
    <row r="2736" spans="1:9" x14ac:dyDescent="0.25">
      <c r="A2736">
        <v>278</v>
      </c>
      <c r="B2736" t="s">
        <v>1341</v>
      </c>
      <c r="C2736" t="s">
        <v>48</v>
      </c>
      <c r="D2736" t="s">
        <v>288</v>
      </c>
      <c r="E2736">
        <f>2/69</f>
        <v>2.8985507246376812E-2</v>
      </c>
      <c r="F2736">
        <v>2</v>
      </c>
      <c r="G2736">
        <f>LOG(382/(2+1))</f>
        <v>2.1049421081920463</v>
      </c>
      <c r="H2736">
        <f>0.0289855072463768*4.84680831993846</f>
        <v>0.14048719767937559</v>
      </c>
      <c r="I2736">
        <v>0.14048719767937581</v>
      </c>
    </row>
    <row r="2737" spans="1:9" x14ac:dyDescent="0.25">
      <c r="A2737">
        <v>278</v>
      </c>
      <c r="B2737" t="s">
        <v>1341</v>
      </c>
      <c r="C2737" t="s">
        <v>48</v>
      </c>
      <c r="D2737" t="s">
        <v>1343</v>
      </c>
      <c r="E2737">
        <f>1/69</f>
        <v>1.4492753623188406E-2</v>
      </c>
      <c r="F2737">
        <v>2</v>
      </c>
      <c r="G2737">
        <f>LOG(382/(2+1))</f>
        <v>2.1049421081920463</v>
      </c>
      <c r="H2737">
        <f>0.0144927536231884*4.84680831993846</f>
        <v>7.0243598839687796E-2</v>
      </c>
      <c r="I2737">
        <v>7.0243598839687907E-2</v>
      </c>
    </row>
    <row r="2738" spans="1:9" x14ac:dyDescent="0.25">
      <c r="A2738">
        <v>278</v>
      </c>
      <c r="B2738" t="s">
        <v>1341</v>
      </c>
      <c r="C2738" t="s">
        <v>48</v>
      </c>
      <c r="D2738" t="s">
        <v>104</v>
      </c>
      <c r="E2738">
        <f>3/69</f>
        <v>4.3478260869565216E-2</v>
      </c>
      <c r="F2738">
        <v>49</v>
      </c>
      <c r="G2738">
        <f>LOG(382/(49+1))</f>
        <v>0.88309335857568994</v>
      </c>
      <c r="H2738">
        <f>0.0434782608695652*2.03339760317842</f>
        <v>8.8408591442539972E-2</v>
      </c>
      <c r="I2738">
        <v>8.8408591442540388E-2</v>
      </c>
    </row>
    <row r="2739" spans="1:9" x14ac:dyDescent="0.25">
      <c r="A2739">
        <v>278</v>
      </c>
      <c r="B2739" t="s">
        <v>1341</v>
      </c>
      <c r="C2739" t="s">
        <v>48</v>
      </c>
      <c r="D2739" t="s">
        <v>403</v>
      </c>
      <c r="E2739">
        <f>1/69</f>
        <v>1.4492753623188406E-2</v>
      </c>
      <c r="F2739">
        <v>11</v>
      </c>
      <c r="G2739">
        <f>LOG(382/(11+1))</f>
        <v>1.5028821168640838</v>
      </c>
      <c r="H2739">
        <f>0.0144927536231884*3.46051395881857</f>
        <v>5.0152376214761867E-2</v>
      </c>
      <c r="I2739">
        <v>5.0152376214761957E-2</v>
      </c>
    </row>
    <row r="2740" spans="1:9" x14ac:dyDescent="0.25">
      <c r="A2740">
        <v>278</v>
      </c>
      <c r="B2740" t="s">
        <v>1341</v>
      </c>
      <c r="C2740" t="s">
        <v>48</v>
      </c>
      <c r="D2740" t="s">
        <v>93</v>
      </c>
      <c r="E2740">
        <f>2/69</f>
        <v>2.8985507246376812E-2</v>
      </c>
      <c r="F2740">
        <v>11</v>
      </c>
      <c r="G2740">
        <f>LOG(382/(11+1))</f>
        <v>1.5028821168640838</v>
      </c>
      <c r="H2740">
        <f>0.0289855072463768*3.46051395881857</f>
        <v>0.10030475242952373</v>
      </c>
      <c r="I2740">
        <v>0.1003047524295239</v>
      </c>
    </row>
    <row r="2741" spans="1:9" x14ac:dyDescent="0.25">
      <c r="A2741">
        <v>278</v>
      </c>
      <c r="B2741" t="s">
        <v>1341</v>
      </c>
      <c r="C2741" t="s">
        <v>48</v>
      </c>
      <c r="D2741" t="s">
        <v>188</v>
      </c>
      <c r="E2741">
        <f t="shared" ref="E2741:E2747" si="125">1/69</f>
        <v>1.4492753623188406E-2</v>
      </c>
      <c r="F2741">
        <v>19</v>
      </c>
      <c r="G2741">
        <f>LOG(382/(19+1))</f>
        <v>1.2810333672477277</v>
      </c>
      <c r="H2741">
        <f>0.0144927536231884*2.94968833505258</f>
        <v>4.2749106305109842E-2</v>
      </c>
      <c r="I2741">
        <v>4.2749106305109918E-2</v>
      </c>
    </row>
    <row r="2742" spans="1:9" x14ac:dyDescent="0.25">
      <c r="A2742">
        <v>278</v>
      </c>
      <c r="B2742" t="s">
        <v>1341</v>
      </c>
      <c r="C2742" t="s">
        <v>48</v>
      </c>
      <c r="D2742" t="s">
        <v>1344</v>
      </c>
      <c r="E2742">
        <f t="shared" si="125"/>
        <v>1.4492753623188406E-2</v>
      </c>
      <c r="F2742">
        <v>3</v>
      </c>
      <c r="G2742">
        <f>LOG(382/(3+1))</f>
        <v>1.9800033715837464</v>
      </c>
      <c r="H2742">
        <f>0.0144927536231884*4.55912624748668</f>
        <v>6.6074293441835921E-2</v>
      </c>
      <c r="I2742">
        <v>6.6074293441836005E-2</v>
      </c>
    </row>
    <row r="2743" spans="1:9" x14ac:dyDescent="0.25">
      <c r="A2743">
        <v>278</v>
      </c>
      <c r="B2743" t="s">
        <v>1341</v>
      </c>
      <c r="C2743" t="s">
        <v>48</v>
      </c>
      <c r="D2743" t="s">
        <v>726</v>
      </c>
      <c r="E2743">
        <f t="shared" si="125"/>
        <v>1.4492753623188406E-2</v>
      </c>
      <c r="F2743">
        <v>37</v>
      </c>
      <c r="G2743">
        <f>LOG(382/(37+1))</f>
        <v>1.0022797662948986</v>
      </c>
      <c r="H2743">
        <f>0.0144927536231884*2.30783444888018</f>
        <v>3.344687607072723E-2</v>
      </c>
      <c r="I2743">
        <v>3.3446876070727383E-2</v>
      </c>
    </row>
    <row r="2744" spans="1:9" x14ac:dyDescent="0.25">
      <c r="A2744">
        <v>278</v>
      </c>
      <c r="B2744" t="s">
        <v>1341</v>
      </c>
      <c r="C2744" t="s">
        <v>48</v>
      </c>
      <c r="D2744" t="s">
        <v>727</v>
      </c>
      <c r="E2744">
        <f t="shared" si="125"/>
        <v>1.4492753623188406E-2</v>
      </c>
      <c r="F2744">
        <v>9</v>
      </c>
      <c r="G2744">
        <f>LOG(382/(9+1))</f>
        <v>1.5820633629117087</v>
      </c>
      <c r="H2744">
        <f>0.0144927536231884*3.64283551561252</f>
        <v>5.2794717617572734E-2</v>
      </c>
      <c r="I2744">
        <v>5.2794717617572887E-2</v>
      </c>
    </row>
    <row r="2745" spans="1:9" x14ac:dyDescent="0.25">
      <c r="A2745">
        <v>278</v>
      </c>
      <c r="B2745" t="s">
        <v>1341</v>
      </c>
      <c r="C2745" t="s">
        <v>48</v>
      </c>
      <c r="D2745" t="s">
        <v>728</v>
      </c>
      <c r="E2745">
        <f t="shared" si="125"/>
        <v>1.4492753623188406E-2</v>
      </c>
      <c r="F2745">
        <v>9</v>
      </c>
      <c r="G2745">
        <f>LOG(382/(9+1))</f>
        <v>1.5820633629117087</v>
      </c>
      <c r="H2745">
        <f>0.0144927536231884*3.64283551561252</f>
        <v>5.2794717617572734E-2</v>
      </c>
      <c r="I2745">
        <v>5.2794717617572887E-2</v>
      </c>
    </row>
    <row r="2746" spans="1:9" x14ac:dyDescent="0.25">
      <c r="A2746">
        <v>278</v>
      </c>
      <c r="B2746" t="s">
        <v>1341</v>
      </c>
      <c r="C2746" t="s">
        <v>48</v>
      </c>
      <c r="D2746" t="s">
        <v>1345</v>
      </c>
      <c r="E2746">
        <f t="shared" si="125"/>
        <v>1.4492753623188406E-2</v>
      </c>
      <c r="F2746">
        <v>8</v>
      </c>
      <c r="G2746">
        <f>LOG(382/(8+1))</f>
        <v>1.6278208534723839</v>
      </c>
      <c r="H2746">
        <f>0.0144927536231884*3.74819603127035</f>
        <v>5.4321681612613748E-2</v>
      </c>
      <c r="I2746">
        <v>5.4321681612613852E-2</v>
      </c>
    </row>
    <row r="2747" spans="1:9" x14ac:dyDescent="0.25">
      <c r="A2747">
        <v>278</v>
      </c>
      <c r="B2747" t="s">
        <v>1341</v>
      </c>
      <c r="C2747" t="s">
        <v>48</v>
      </c>
      <c r="D2747" t="s">
        <v>1346</v>
      </c>
      <c r="E2747">
        <f t="shared" si="125"/>
        <v>1.4492753623188406E-2</v>
      </c>
      <c r="F2747">
        <v>2</v>
      </c>
      <c r="G2747">
        <f>LOG(382/(2+1))</f>
        <v>2.1049421081920463</v>
      </c>
      <c r="H2747">
        <f>0.0144927536231884*4.84680831993846</f>
        <v>7.0243598839687796E-2</v>
      </c>
      <c r="I2747">
        <v>7.0243598839687907E-2</v>
      </c>
    </row>
    <row r="2748" spans="1:9" x14ac:dyDescent="0.25">
      <c r="A2748">
        <v>278</v>
      </c>
      <c r="B2748" t="s">
        <v>1341</v>
      </c>
      <c r="C2748" t="s">
        <v>48</v>
      </c>
      <c r="D2748" t="s">
        <v>50</v>
      </c>
      <c r="E2748">
        <f>3/69</f>
        <v>4.3478260869565216E-2</v>
      </c>
      <c r="F2748">
        <v>109</v>
      </c>
      <c r="G2748">
        <f>LOG(382/(109+1))</f>
        <v>0.54067067775348365</v>
      </c>
      <c r="H2748">
        <f>0.0434782608695652*1.24494024281415</f>
        <v>5.4127836644093465E-2</v>
      </c>
      <c r="I2748">
        <v>5.4127836644093867E-2</v>
      </c>
    </row>
    <row r="2749" spans="1:9" x14ac:dyDescent="0.25">
      <c r="A2749">
        <v>278</v>
      </c>
      <c r="B2749" t="s">
        <v>1341</v>
      </c>
      <c r="C2749" t="s">
        <v>48</v>
      </c>
      <c r="D2749" t="s">
        <v>1347</v>
      </c>
      <c r="E2749">
        <f>1/69</f>
        <v>1.4492753623188406E-2</v>
      </c>
      <c r="F2749">
        <v>1</v>
      </c>
      <c r="G2749">
        <f>LOG(382/(1+1))</f>
        <v>2.2810333672477277</v>
      </c>
      <c r="H2749">
        <f>0.0144927536231884*5.25227342804663</f>
        <v>7.6119904754298959E-2</v>
      </c>
      <c r="I2749">
        <v>7.6119904754298987E-2</v>
      </c>
    </row>
    <row r="2750" spans="1:9" x14ac:dyDescent="0.25">
      <c r="A2750">
        <v>278</v>
      </c>
      <c r="B2750" t="s">
        <v>1341</v>
      </c>
      <c r="C2750" t="s">
        <v>48</v>
      </c>
      <c r="D2750" t="s">
        <v>1348</v>
      </c>
      <c r="E2750">
        <f>1/69</f>
        <v>1.4492753623188406E-2</v>
      </c>
      <c r="F2750">
        <v>4</v>
      </c>
      <c r="G2750">
        <f>LOG(382/(4+1))</f>
        <v>1.8830933585756899</v>
      </c>
      <c r="H2750">
        <f>0.0144927536231884*4.33598269617247</f>
        <v>6.2840328930035785E-2</v>
      </c>
      <c r="I2750">
        <v>6.2840328930035869E-2</v>
      </c>
    </row>
    <row r="2751" spans="1:9" x14ac:dyDescent="0.25">
      <c r="A2751">
        <v>278</v>
      </c>
      <c r="B2751" t="s">
        <v>1341</v>
      </c>
      <c r="C2751" t="s">
        <v>48</v>
      </c>
      <c r="D2751" t="s">
        <v>131</v>
      </c>
      <c r="E2751">
        <f>1/69</f>
        <v>1.4492753623188406E-2</v>
      </c>
      <c r="F2751">
        <v>38</v>
      </c>
      <c r="G2751">
        <f>LOG(382/(38+1))</f>
        <v>0.99099875588520958</v>
      </c>
      <c r="H2751">
        <f>0.0144927536231884*2.28185896247692</f>
        <v>3.3070419746042308E-2</v>
      </c>
      <c r="I2751">
        <v>3.3070419746042447E-2</v>
      </c>
    </row>
    <row r="2752" spans="1:9" x14ac:dyDescent="0.25">
      <c r="A2752">
        <v>278</v>
      </c>
      <c r="B2752" t="s">
        <v>1341</v>
      </c>
      <c r="C2752" t="s">
        <v>48</v>
      </c>
      <c r="D2752" t="s">
        <v>720</v>
      </c>
      <c r="E2752">
        <f>2/69</f>
        <v>2.8985507246376812E-2</v>
      </c>
      <c r="F2752">
        <v>9</v>
      </c>
      <c r="G2752">
        <f>LOG(382/(9+1))</f>
        <v>1.5820633629117087</v>
      </c>
      <c r="H2752">
        <f>0.0289855072463768*3.64283551561252</f>
        <v>0.10558943523514547</v>
      </c>
      <c r="I2752">
        <v>0.1055894352351458</v>
      </c>
    </row>
    <row r="2753" spans="1:9" x14ac:dyDescent="0.25">
      <c r="A2753">
        <v>278</v>
      </c>
      <c r="B2753" t="s">
        <v>1341</v>
      </c>
      <c r="C2753" t="s">
        <v>48</v>
      </c>
      <c r="D2753" t="s">
        <v>1349</v>
      </c>
      <c r="E2753">
        <f>1/69</f>
        <v>1.4492753623188406E-2</v>
      </c>
      <c r="F2753">
        <v>7</v>
      </c>
      <c r="G2753">
        <f>LOG(382/(7+1))</f>
        <v>1.6789733759197651</v>
      </c>
      <c r="H2753">
        <f>0.0144927536231884*3.86597906692673</f>
        <v>5.6028682129372884E-2</v>
      </c>
      <c r="I2753">
        <v>5.6028682129373029E-2</v>
      </c>
    </row>
    <row r="2754" spans="1:9" x14ac:dyDescent="0.25">
      <c r="A2754">
        <v>278</v>
      </c>
      <c r="B2754" t="s">
        <v>1341</v>
      </c>
      <c r="C2754" t="s">
        <v>48</v>
      </c>
      <c r="D2754" t="s">
        <v>528</v>
      </c>
      <c r="E2754">
        <f>1/69</f>
        <v>1.4492753623188406E-2</v>
      </c>
      <c r="F2754">
        <v>9</v>
      </c>
      <c r="G2754">
        <f>LOG(382/(9+1))</f>
        <v>1.5820633629117087</v>
      </c>
      <c r="H2754">
        <f>0.0144927536231884*3.64283551561252</f>
        <v>5.2794717617572734E-2</v>
      </c>
      <c r="I2754">
        <v>5.2794717617572887E-2</v>
      </c>
    </row>
    <row r="2755" spans="1:9" x14ac:dyDescent="0.25">
      <c r="A2755">
        <v>278</v>
      </c>
      <c r="B2755" t="s">
        <v>1341</v>
      </c>
      <c r="C2755" t="s">
        <v>48</v>
      </c>
      <c r="D2755" t="s">
        <v>1350</v>
      </c>
      <c r="E2755">
        <f>2/69</f>
        <v>2.8985507246376812E-2</v>
      </c>
      <c r="F2755">
        <v>1</v>
      </c>
      <c r="G2755">
        <f>LOG(382/(1+1))</f>
        <v>2.2810333672477277</v>
      </c>
      <c r="H2755">
        <f>0.0289855072463768*5.25227342804663</f>
        <v>0.15223980950859792</v>
      </c>
      <c r="I2755">
        <v>0.152239809508598</v>
      </c>
    </row>
    <row r="2756" spans="1:9" x14ac:dyDescent="0.25">
      <c r="A2756">
        <v>278</v>
      </c>
      <c r="B2756" t="s">
        <v>1341</v>
      </c>
      <c r="C2756" t="s">
        <v>48</v>
      </c>
      <c r="D2756" t="s">
        <v>942</v>
      </c>
      <c r="E2756">
        <f>1/69</f>
        <v>1.4492753623188406E-2</v>
      </c>
      <c r="F2756">
        <v>10</v>
      </c>
      <c r="G2756">
        <f>LOG(382/(10+1))</f>
        <v>1.5406706777534838</v>
      </c>
      <c r="H2756">
        <f>0.0144927536231884*3.5475253358082</f>
        <v>5.1413410663886938E-2</v>
      </c>
      <c r="I2756">
        <v>5.1413410663887021E-2</v>
      </c>
    </row>
    <row r="2757" spans="1:9" x14ac:dyDescent="0.25">
      <c r="A2757">
        <v>278</v>
      </c>
      <c r="B2757" t="s">
        <v>1341</v>
      </c>
      <c r="C2757" t="s">
        <v>48</v>
      </c>
      <c r="D2757" t="s">
        <v>564</v>
      </c>
      <c r="E2757">
        <f>1/69</f>
        <v>1.4492753623188406E-2</v>
      </c>
      <c r="F2757">
        <v>7</v>
      </c>
      <c r="G2757">
        <f>LOG(382/(7+1))</f>
        <v>1.6789733759197651</v>
      </c>
      <c r="H2757">
        <f>0.0144927536231884*3.86597906692673</f>
        <v>5.6028682129372884E-2</v>
      </c>
      <c r="I2757">
        <v>5.6028682129373029E-2</v>
      </c>
    </row>
    <row r="2758" spans="1:9" x14ac:dyDescent="0.25">
      <c r="A2758">
        <v>278</v>
      </c>
      <c r="B2758" t="s">
        <v>1341</v>
      </c>
      <c r="C2758" t="s">
        <v>48</v>
      </c>
      <c r="D2758" t="s">
        <v>1351</v>
      </c>
      <c r="E2758">
        <f>1/69</f>
        <v>1.4492753623188406E-2</v>
      </c>
      <c r="F2758">
        <v>1</v>
      </c>
      <c r="G2758">
        <f>LOG(382/(1+1))</f>
        <v>2.2810333672477277</v>
      </c>
      <c r="H2758">
        <f>0.0144927536231884*5.25227342804663</f>
        <v>7.6119904754298959E-2</v>
      </c>
      <c r="I2758">
        <v>7.6119904754298987E-2</v>
      </c>
    </row>
    <row r="2759" spans="1:9" x14ac:dyDescent="0.25">
      <c r="A2759">
        <v>278</v>
      </c>
      <c r="B2759" t="s">
        <v>1341</v>
      </c>
      <c r="C2759" t="s">
        <v>48</v>
      </c>
      <c r="D2759" t="s">
        <v>372</v>
      </c>
      <c r="E2759">
        <f>1/69</f>
        <v>1.4492753623188406E-2</v>
      </c>
      <c r="F2759">
        <v>8</v>
      </c>
      <c r="G2759">
        <f>LOG(382/(8+1))</f>
        <v>1.6278208534723839</v>
      </c>
      <c r="H2759">
        <f>0.0144927536231884*3.74819603127035</f>
        <v>5.4321681612613748E-2</v>
      </c>
      <c r="I2759">
        <v>5.4321681612613852E-2</v>
      </c>
    </row>
    <row r="2760" spans="1:9" x14ac:dyDescent="0.25">
      <c r="A2760">
        <v>278</v>
      </c>
      <c r="B2760" t="s">
        <v>1341</v>
      </c>
      <c r="C2760" t="s">
        <v>48</v>
      </c>
      <c r="D2760" t="s">
        <v>1352</v>
      </c>
      <c r="E2760">
        <f>2/69</f>
        <v>2.8985507246376812E-2</v>
      </c>
      <c r="F2760">
        <v>1</v>
      </c>
      <c r="G2760">
        <f>LOG(382/(1+1))</f>
        <v>2.2810333672477277</v>
      </c>
      <c r="H2760">
        <f>0.0289855072463768*5.25227342804663</f>
        <v>0.15223980950859792</v>
      </c>
      <c r="I2760">
        <v>0.152239809508598</v>
      </c>
    </row>
    <row r="2761" spans="1:9" x14ac:dyDescent="0.25">
      <c r="A2761">
        <v>278</v>
      </c>
      <c r="B2761" t="s">
        <v>1341</v>
      </c>
      <c r="C2761" t="s">
        <v>48</v>
      </c>
      <c r="D2761" t="s">
        <v>92</v>
      </c>
      <c r="E2761">
        <f>1/69</f>
        <v>1.4492753623188406E-2</v>
      </c>
      <c r="F2761">
        <v>12</v>
      </c>
      <c r="G2761">
        <f>LOG(382/(12+1))</f>
        <v>1.468120010604872</v>
      </c>
      <c r="H2761">
        <f>0.0144927536231884*3.38047125114503</f>
        <v>4.8992336973116363E-2</v>
      </c>
      <c r="I2761">
        <v>4.8992336973116501E-2</v>
      </c>
    </row>
    <row r="2762" spans="1:9" x14ac:dyDescent="0.25">
      <c r="A2762">
        <v>278</v>
      </c>
      <c r="B2762" t="s">
        <v>1341</v>
      </c>
      <c r="C2762" t="s">
        <v>48</v>
      </c>
      <c r="D2762" t="s">
        <v>1353</v>
      </c>
      <c r="E2762">
        <f>2/69</f>
        <v>2.8985507246376812E-2</v>
      </c>
      <c r="F2762">
        <v>1</v>
      </c>
      <c r="G2762">
        <f>LOG(382/(1+1))</f>
        <v>2.2810333672477277</v>
      </c>
      <c r="H2762">
        <f>0.0289855072463768*5.25227342804663</f>
        <v>0.15223980950859792</v>
      </c>
      <c r="I2762">
        <v>0.152239809508598</v>
      </c>
    </row>
    <row r="2763" spans="1:9" x14ac:dyDescent="0.25">
      <c r="A2763">
        <v>278</v>
      </c>
      <c r="B2763" t="s">
        <v>1341</v>
      </c>
      <c r="C2763" t="s">
        <v>48</v>
      </c>
      <c r="D2763" t="s">
        <v>207</v>
      </c>
      <c r="E2763">
        <f t="shared" ref="E2763:E2781" si="126">1/69</f>
        <v>1.4492753623188406E-2</v>
      </c>
      <c r="F2763">
        <v>21</v>
      </c>
      <c r="G2763">
        <f>LOG(382/(21+1))</f>
        <v>1.2396406820895025</v>
      </c>
      <c r="H2763">
        <f>0.0144927536231884*2.85437815524825</f>
        <v>4.1367799351423894E-2</v>
      </c>
      <c r="I2763">
        <v>4.1367799351424053E-2</v>
      </c>
    </row>
    <row r="2764" spans="1:9" x14ac:dyDescent="0.25">
      <c r="A2764">
        <v>278</v>
      </c>
      <c r="B2764" t="s">
        <v>1341</v>
      </c>
      <c r="C2764" t="s">
        <v>48</v>
      </c>
      <c r="D2764" t="s">
        <v>490</v>
      </c>
      <c r="E2764">
        <f t="shared" si="126"/>
        <v>1.4492753623188406E-2</v>
      </c>
      <c r="F2764">
        <v>31</v>
      </c>
      <c r="G2764">
        <f>LOG(382/(31+1))</f>
        <v>1.0769133845918029</v>
      </c>
      <c r="H2764">
        <f>0.0144927536231884*2.47968470580684</f>
        <v>3.5937459504446941E-2</v>
      </c>
      <c r="I2764">
        <v>3.5937459504447093E-2</v>
      </c>
    </row>
    <row r="2765" spans="1:9" x14ac:dyDescent="0.25">
      <c r="A2765">
        <v>278</v>
      </c>
      <c r="B2765" t="s">
        <v>1341</v>
      </c>
      <c r="C2765" t="s">
        <v>48</v>
      </c>
      <c r="D2765" t="s">
        <v>1354</v>
      </c>
      <c r="E2765">
        <f t="shared" si="126"/>
        <v>1.4492753623188406E-2</v>
      </c>
      <c r="F2765">
        <v>1</v>
      </c>
      <c r="G2765">
        <f>LOG(382/(1+1))</f>
        <v>2.2810333672477277</v>
      </c>
      <c r="H2765">
        <f>0.0144927536231884*5.25227342804663</f>
        <v>7.6119904754298959E-2</v>
      </c>
      <c r="I2765">
        <v>7.6119904754298987E-2</v>
      </c>
    </row>
    <row r="2766" spans="1:9" x14ac:dyDescent="0.25">
      <c r="A2766">
        <v>278</v>
      </c>
      <c r="B2766" t="s">
        <v>1341</v>
      </c>
      <c r="C2766" t="s">
        <v>48</v>
      </c>
      <c r="D2766" t="s">
        <v>1355</v>
      </c>
      <c r="E2766">
        <f t="shared" si="126"/>
        <v>1.4492753623188406E-2</v>
      </c>
      <c r="F2766">
        <v>7</v>
      </c>
      <c r="G2766">
        <f>LOG(382/(7+1))</f>
        <v>1.6789733759197651</v>
      </c>
      <c r="H2766">
        <f>0.0144927536231884*3.86597906692673</f>
        <v>5.6028682129372884E-2</v>
      </c>
      <c r="I2766">
        <v>5.6028682129373029E-2</v>
      </c>
    </row>
    <row r="2767" spans="1:9" x14ac:dyDescent="0.25">
      <c r="A2767">
        <v>278</v>
      </c>
      <c r="B2767" t="s">
        <v>1341</v>
      </c>
      <c r="C2767" t="s">
        <v>48</v>
      </c>
      <c r="D2767" t="s">
        <v>1129</v>
      </c>
      <c r="E2767">
        <f t="shared" si="126"/>
        <v>1.4492753623188406E-2</v>
      </c>
      <c r="F2767">
        <v>4</v>
      </c>
      <c r="G2767">
        <f>LOG(382/(4+1))</f>
        <v>1.8830933585756899</v>
      </c>
      <c r="H2767">
        <f>0.0144927536231884*4.33598269617247</f>
        <v>6.2840328930035785E-2</v>
      </c>
      <c r="I2767">
        <v>6.2840328930035869E-2</v>
      </c>
    </row>
    <row r="2768" spans="1:9" x14ac:dyDescent="0.25">
      <c r="A2768">
        <v>278</v>
      </c>
      <c r="B2768" t="s">
        <v>1341</v>
      </c>
      <c r="C2768" t="s">
        <v>48</v>
      </c>
      <c r="D2768" t="s">
        <v>1356</v>
      </c>
      <c r="E2768">
        <f t="shared" si="126"/>
        <v>1.4492753623188406E-2</v>
      </c>
      <c r="F2768">
        <v>2</v>
      </c>
      <c r="G2768">
        <f>LOG(382/(2+1))</f>
        <v>2.1049421081920463</v>
      </c>
      <c r="H2768">
        <f>0.0144927536231884*4.84680831993846</f>
        <v>7.0243598839687796E-2</v>
      </c>
      <c r="I2768">
        <v>7.0243598839687907E-2</v>
      </c>
    </row>
    <row r="2769" spans="1:9" x14ac:dyDescent="0.25">
      <c r="A2769">
        <v>278</v>
      </c>
      <c r="B2769" t="s">
        <v>1341</v>
      </c>
      <c r="C2769" t="s">
        <v>48</v>
      </c>
      <c r="D2769" t="s">
        <v>1357</v>
      </c>
      <c r="E2769">
        <f t="shared" si="126"/>
        <v>1.4492753623188406E-2</v>
      </c>
      <c r="F2769">
        <v>1</v>
      </c>
      <c r="G2769">
        <f>LOG(382/(1+1))</f>
        <v>2.2810333672477277</v>
      </c>
      <c r="H2769">
        <f>0.0144927536231884*5.25227342804663</f>
        <v>7.6119904754298959E-2</v>
      </c>
      <c r="I2769">
        <v>7.6119904754298987E-2</v>
      </c>
    </row>
    <row r="2770" spans="1:9" x14ac:dyDescent="0.25">
      <c r="A2770">
        <v>278</v>
      </c>
      <c r="B2770" t="s">
        <v>1341</v>
      </c>
      <c r="C2770" t="s">
        <v>48</v>
      </c>
      <c r="D2770" t="s">
        <v>1358</v>
      </c>
      <c r="E2770">
        <f t="shared" si="126"/>
        <v>1.4492753623188406E-2</v>
      </c>
      <c r="F2770">
        <v>1</v>
      </c>
      <c r="G2770">
        <f>LOG(382/(1+1))</f>
        <v>2.2810333672477277</v>
      </c>
      <c r="H2770">
        <f>0.0144927536231884*5.25227342804663</f>
        <v>7.6119904754298959E-2</v>
      </c>
      <c r="I2770">
        <v>7.6119904754298987E-2</v>
      </c>
    </row>
    <row r="2771" spans="1:9" x14ac:dyDescent="0.25">
      <c r="A2771">
        <v>278</v>
      </c>
      <c r="B2771" t="s">
        <v>1341</v>
      </c>
      <c r="C2771" t="s">
        <v>48</v>
      </c>
      <c r="D2771" t="s">
        <v>1127</v>
      </c>
      <c r="E2771">
        <f t="shared" si="126"/>
        <v>1.4492753623188406E-2</v>
      </c>
      <c r="F2771">
        <v>18</v>
      </c>
      <c r="G2771">
        <f>LOG(382/(18+1))</f>
        <v>1.3033097619588798</v>
      </c>
      <c r="H2771">
        <f>0.0144927536231884*3.00098162944013</f>
        <v>4.3492487383190274E-2</v>
      </c>
      <c r="I2771">
        <v>4.3492487383190358E-2</v>
      </c>
    </row>
    <row r="2772" spans="1:9" x14ac:dyDescent="0.25">
      <c r="A2772">
        <v>278</v>
      </c>
      <c r="B2772" t="s">
        <v>1341</v>
      </c>
      <c r="C2772" t="s">
        <v>48</v>
      </c>
      <c r="D2772" t="s">
        <v>1338</v>
      </c>
      <c r="E2772">
        <f t="shared" si="126"/>
        <v>1.4492753623188406E-2</v>
      </c>
      <c r="F2772">
        <v>3</v>
      </c>
      <c r="G2772">
        <f>LOG(382/(3+1))</f>
        <v>1.9800033715837464</v>
      </c>
      <c r="H2772">
        <f>0.0144927536231884*4.55912624748668</f>
        <v>6.6074293441835921E-2</v>
      </c>
      <c r="I2772">
        <v>6.6074293441836005E-2</v>
      </c>
    </row>
    <row r="2773" spans="1:9" x14ac:dyDescent="0.25">
      <c r="A2773">
        <v>278</v>
      </c>
      <c r="B2773" t="s">
        <v>1341</v>
      </c>
      <c r="C2773" t="s">
        <v>48</v>
      </c>
      <c r="D2773" t="s">
        <v>1359</v>
      </c>
      <c r="E2773">
        <f t="shared" si="126"/>
        <v>1.4492753623188406E-2</v>
      </c>
      <c r="F2773">
        <v>4</v>
      </c>
      <c r="G2773">
        <f>LOG(382/(4+1))</f>
        <v>1.8830933585756899</v>
      </c>
      <c r="H2773">
        <f>0.0144927536231884*4.33598269617247</f>
        <v>6.2840328930035785E-2</v>
      </c>
      <c r="I2773">
        <v>6.2840328930035869E-2</v>
      </c>
    </row>
    <row r="2774" spans="1:9" x14ac:dyDescent="0.25">
      <c r="A2774">
        <v>278</v>
      </c>
      <c r="B2774" t="s">
        <v>1341</v>
      </c>
      <c r="C2774" t="s">
        <v>48</v>
      </c>
      <c r="D2774" t="s">
        <v>1154</v>
      </c>
      <c r="E2774">
        <f t="shared" si="126"/>
        <v>1.4492753623188406E-2</v>
      </c>
      <c r="F2774">
        <v>2</v>
      </c>
      <c r="G2774">
        <f>LOG(382/(2+1))</f>
        <v>2.1049421081920463</v>
      </c>
      <c r="H2774">
        <f>0.0144927536231884*4.84680831993846</f>
        <v>7.0243598839687796E-2</v>
      </c>
      <c r="I2774">
        <v>7.0243598839687907E-2</v>
      </c>
    </row>
    <row r="2775" spans="1:9" x14ac:dyDescent="0.25">
      <c r="A2775">
        <v>278</v>
      </c>
      <c r="B2775" t="s">
        <v>1341</v>
      </c>
      <c r="C2775" t="s">
        <v>48</v>
      </c>
      <c r="D2775" t="s">
        <v>680</v>
      </c>
      <c r="E2775">
        <f t="shared" si="126"/>
        <v>1.4492753623188406E-2</v>
      </c>
      <c r="F2775">
        <v>25</v>
      </c>
      <c r="G2775">
        <f>LOG(382/(25+1))</f>
        <v>1.1670900149408907</v>
      </c>
      <c r="H2775">
        <f>0.0144927536231884*2.68732407058509</f>
        <v>3.8946725660653464E-2</v>
      </c>
      <c r="I2775">
        <v>3.8946725660653533E-2</v>
      </c>
    </row>
    <row r="2776" spans="1:9" x14ac:dyDescent="0.25">
      <c r="A2776">
        <v>278</v>
      </c>
      <c r="B2776" t="s">
        <v>1341</v>
      </c>
      <c r="C2776" t="s">
        <v>48</v>
      </c>
      <c r="D2776" t="s">
        <v>1360</v>
      </c>
      <c r="E2776">
        <f t="shared" si="126"/>
        <v>1.4492753623188406E-2</v>
      </c>
      <c r="F2776">
        <v>1</v>
      </c>
      <c r="G2776">
        <f>LOG(382/(1+1))</f>
        <v>2.2810333672477277</v>
      </c>
      <c r="H2776">
        <f>0.0144927536231884*5.25227342804663</f>
        <v>7.6119904754298959E-2</v>
      </c>
      <c r="I2776">
        <v>7.6119904754298987E-2</v>
      </c>
    </row>
    <row r="2777" spans="1:9" x14ac:dyDescent="0.25">
      <c r="A2777">
        <v>278</v>
      </c>
      <c r="B2777" t="s">
        <v>1341</v>
      </c>
      <c r="C2777" t="s">
        <v>48</v>
      </c>
      <c r="D2777" t="s">
        <v>1361</v>
      </c>
      <c r="E2777">
        <f t="shared" si="126"/>
        <v>1.4492753623188406E-2</v>
      </c>
      <c r="F2777">
        <v>1</v>
      </c>
      <c r="G2777">
        <f>LOG(382/(1+1))</f>
        <v>2.2810333672477277</v>
      </c>
      <c r="H2777">
        <f>0.0144927536231884*5.25227342804663</f>
        <v>7.6119904754298959E-2</v>
      </c>
      <c r="I2777">
        <v>7.6119904754298987E-2</v>
      </c>
    </row>
    <row r="2778" spans="1:9" x14ac:dyDescent="0.25">
      <c r="A2778">
        <v>278</v>
      </c>
      <c r="B2778" t="s">
        <v>1341</v>
      </c>
      <c r="C2778" t="s">
        <v>48</v>
      </c>
      <c r="D2778" t="s">
        <v>1362</v>
      </c>
      <c r="E2778">
        <f t="shared" si="126"/>
        <v>1.4492753623188406E-2</v>
      </c>
      <c r="F2778">
        <v>12</v>
      </c>
      <c r="G2778">
        <f>LOG(382/(12+1))</f>
        <v>1.468120010604872</v>
      </c>
      <c r="H2778">
        <f>0.0144927536231884*3.38047125114503</f>
        <v>4.8992336973116363E-2</v>
      </c>
      <c r="I2778">
        <v>4.8992336973116501E-2</v>
      </c>
    </row>
    <row r="2779" spans="1:9" x14ac:dyDescent="0.25">
      <c r="A2779">
        <v>278</v>
      </c>
      <c r="B2779" t="s">
        <v>1341</v>
      </c>
      <c r="C2779" t="s">
        <v>48</v>
      </c>
      <c r="D2779" t="s">
        <v>1363</v>
      </c>
      <c r="E2779">
        <f t="shared" si="126"/>
        <v>1.4492753623188406E-2</v>
      </c>
      <c r="F2779">
        <v>1</v>
      </c>
      <c r="G2779">
        <f>LOG(382/(1+1))</f>
        <v>2.2810333672477277</v>
      </c>
      <c r="H2779">
        <f>0.0144927536231884*5.25227342804663</f>
        <v>7.6119904754298959E-2</v>
      </c>
      <c r="I2779">
        <v>7.6119904754298987E-2</v>
      </c>
    </row>
    <row r="2780" spans="1:9" x14ac:dyDescent="0.25">
      <c r="A2780">
        <v>278</v>
      </c>
      <c r="B2780" t="s">
        <v>1341</v>
      </c>
      <c r="C2780" t="s">
        <v>48</v>
      </c>
      <c r="D2780" t="s">
        <v>804</v>
      </c>
      <c r="E2780">
        <f t="shared" si="126"/>
        <v>1.4492753623188406E-2</v>
      </c>
      <c r="F2780">
        <v>4</v>
      </c>
      <c r="G2780">
        <f>LOG(382/(4+1))</f>
        <v>1.8830933585756899</v>
      </c>
      <c r="H2780">
        <f>0.0144927536231884*4.33598269617247</f>
        <v>6.2840328930035785E-2</v>
      </c>
      <c r="I2780">
        <v>6.2840328930035869E-2</v>
      </c>
    </row>
    <row r="2781" spans="1:9" x14ac:dyDescent="0.25">
      <c r="A2781">
        <v>278</v>
      </c>
      <c r="B2781" t="s">
        <v>1341</v>
      </c>
      <c r="C2781" t="s">
        <v>48</v>
      </c>
      <c r="D2781" t="s">
        <v>693</v>
      </c>
      <c r="E2781">
        <f t="shared" si="126"/>
        <v>1.4492753623188406E-2</v>
      </c>
      <c r="F2781">
        <v>25</v>
      </c>
      <c r="G2781">
        <f>LOG(382/(25+1))</f>
        <v>1.1670900149408907</v>
      </c>
      <c r="H2781">
        <f>0.0144927536231884*2.68732407058509</f>
        <v>3.8946725660653464E-2</v>
      </c>
      <c r="I2781">
        <v>3.8946725660653533E-2</v>
      </c>
    </row>
    <row r="2782" spans="1:9" x14ac:dyDescent="0.25">
      <c r="A2782">
        <v>279</v>
      </c>
      <c r="B2782" t="s">
        <v>1364</v>
      </c>
      <c r="C2782" t="s">
        <v>48</v>
      </c>
      <c r="D2782" t="s">
        <v>458</v>
      </c>
      <c r="E2782">
        <f>12/201</f>
        <v>5.9701492537313432E-2</v>
      </c>
      <c r="F2782">
        <v>34</v>
      </c>
      <c r="G2782">
        <f>LOG(382/(34+1))</f>
        <v>1.037995318561433</v>
      </c>
      <c r="H2782">
        <f>0.0597014925373134*2.39007254711716</f>
        <v>0.14269089833535276</v>
      </c>
      <c r="I2782">
        <v>0.14269089833535289</v>
      </c>
    </row>
    <row r="2783" spans="1:9" x14ac:dyDescent="0.25">
      <c r="A2783">
        <v>279</v>
      </c>
      <c r="B2783" t="s">
        <v>1364</v>
      </c>
      <c r="C2783" t="s">
        <v>48</v>
      </c>
      <c r="D2783" t="s">
        <v>1365</v>
      </c>
      <c r="E2783">
        <f>5/201</f>
        <v>2.4875621890547265E-2</v>
      </c>
      <c r="F2783">
        <v>4</v>
      </c>
      <c r="G2783">
        <f>LOG(382/(4+1))</f>
        <v>1.8830933585756899</v>
      </c>
      <c r="H2783">
        <f>0.0248756218905472*4.33598269617247</f>
        <v>0.10786026607394177</v>
      </c>
      <c r="I2783">
        <v>0.1078602660739422</v>
      </c>
    </row>
    <row r="2784" spans="1:9" x14ac:dyDescent="0.25">
      <c r="A2784">
        <v>279</v>
      </c>
      <c r="B2784" t="s">
        <v>1364</v>
      </c>
      <c r="C2784" t="s">
        <v>48</v>
      </c>
      <c r="D2784" t="s">
        <v>53</v>
      </c>
      <c r="E2784">
        <f>6/201</f>
        <v>2.9850746268656716E-2</v>
      </c>
      <c r="F2784">
        <v>57</v>
      </c>
      <c r="G2784">
        <f>LOG(382/(57+1))</f>
        <v>0.81863536934877146</v>
      </c>
      <c r="H2784">
        <f>0.0298507462686567*1.88497759806015</f>
        <v>5.6267988001795485E-2</v>
      </c>
      <c r="I2784">
        <v>5.6267988001795687E-2</v>
      </c>
    </row>
    <row r="2785" spans="1:9" x14ac:dyDescent="0.25">
      <c r="A2785">
        <v>279</v>
      </c>
      <c r="B2785" t="s">
        <v>1364</v>
      </c>
      <c r="C2785" t="s">
        <v>48</v>
      </c>
      <c r="D2785" t="s">
        <v>103</v>
      </c>
      <c r="E2785">
        <f>9/201</f>
        <v>4.4776119402985072E-2</v>
      </c>
      <c r="F2785">
        <v>38</v>
      </c>
      <c r="G2785">
        <f>LOG(382/(38+1))</f>
        <v>0.99099875588520958</v>
      </c>
      <c r="H2785">
        <f>0.044776119402985*2.28185896247692</f>
        <v>0.10217278936463806</v>
      </c>
      <c r="I2785">
        <v>0.1021727893646386</v>
      </c>
    </row>
    <row r="2786" spans="1:9" x14ac:dyDescent="0.25">
      <c r="A2786">
        <v>279</v>
      </c>
      <c r="B2786" t="s">
        <v>1364</v>
      </c>
      <c r="C2786" t="s">
        <v>48</v>
      </c>
      <c r="D2786" t="s">
        <v>1302</v>
      </c>
      <c r="E2786">
        <f>9/201</f>
        <v>4.4776119402985072E-2</v>
      </c>
      <c r="F2786">
        <v>4</v>
      </c>
      <c r="G2786">
        <f>LOG(382/(4+1))</f>
        <v>1.8830933585756899</v>
      </c>
      <c r="H2786">
        <f>0.044776119402985*4.33598269617247</f>
        <v>0.19414847893309536</v>
      </c>
      <c r="I2786">
        <v>0.19414847893309589</v>
      </c>
    </row>
    <row r="2787" spans="1:9" x14ac:dyDescent="0.25">
      <c r="A2787">
        <v>279</v>
      </c>
      <c r="B2787" t="s">
        <v>1364</v>
      </c>
      <c r="C2787" t="s">
        <v>48</v>
      </c>
      <c r="D2787" t="s">
        <v>1366</v>
      </c>
      <c r="E2787">
        <f t="shared" ref="E2787:E2792" si="127">1/201</f>
        <v>4.9751243781094526E-3</v>
      </c>
      <c r="F2787">
        <v>4</v>
      </c>
      <c r="G2787">
        <f>LOG(382/(4+1))</f>
        <v>1.8830933585756899</v>
      </c>
      <c r="H2787">
        <f>0.00497512437810945*4.33598269617247</f>
        <v>2.15720532147884E-2</v>
      </c>
      <c r="I2787">
        <v>2.1572053214788431E-2</v>
      </c>
    </row>
    <row r="2788" spans="1:9" x14ac:dyDescent="0.25">
      <c r="A2788">
        <v>279</v>
      </c>
      <c r="B2788" t="s">
        <v>1364</v>
      </c>
      <c r="C2788" t="s">
        <v>48</v>
      </c>
      <c r="D2788" t="s">
        <v>42</v>
      </c>
      <c r="E2788">
        <f t="shared" si="127"/>
        <v>4.9751243781094526E-3</v>
      </c>
      <c r="F2788">
        <v>251</v>
      </c>
      <c r="G2788">
        <f>LOG(382/(251+1))</f>
        <v>0.18066282213016463</v>
      </c>
      <c r="H2788">
        <f>0.00497512437810945*0.415991521095151</f>
        <v>2.0696095576873174E-3</v>
      </c>
      <c r="I2788">
        <v>2.069609557687323E-3</v>
      </c>
    </row>
    <row r="2789" spans="1:9" x14ac:dyDescent="0.25">
      <c r="A2789">
        <v>279</v>
      </c>
      <c r="B2789" t="s">
        <v>1364</v>
      </c>
      <c r="C2789" t="s">
        <v>48</v>
      </c>
      <c r="D2789" t="s">
        <v>1062</v>
      </c>
      <c r="E2789">
        <f t="shared" si="127"/>
        <v>4.9751243781094526E-3</v>
      </c>
      <c r="F2789">
        <v>5</v>
      </c>
      <c r="G2789">
        <f>LOG(382/(5+1))</f>
        <v>1.803912112528065</v>
      </c>
      <c r="H2789">
        <f>0.00497512437810945*4.15366113937852</f>
        <v>2.0664980792927948E-2</v>
      </c>
      <c r="I2789">
        <v>2.0664980792927959E-2</v>
      </c>
    </row>
    <row r="2790" spans="1:9" x14ac:dyDescent="0.25">
      <c r="A2790">
        <v>279</v>
      </c>
      <c r="B2790" t="s">
        <v>1364</v>
      </c>
      <c r="C2790" t="s">
        <v>48</v>
      </c>
      <c r="D2790" t="s">
        <v>814</v>
      </c>
      <c r="E2790">
        <f t="shared" si="127"/>
        <v>4.9751243781094526E-3</v>
      </c>
      <c r="F2790">
        <v>18</v>
      </c>
      <c r="G2790">
        <f>LOG(382/(18+1))</f>
        <v>1.3033097619588798</v>
      </c>
      <c r="H2790">
        <f>0.00497512437810945*3.00098162944013</f>
        <v>1.4930256862886212E-2</v>
      </c>
      <c r="I2790">
        <v>1.4930256862886239E-2</v>
      </c>
    </row>
    <row r="2791" spans="1:9" x14ac:dyDescent="0.25">
      <c r="A2791">
        <v>279</v>
      </c>
      <c r="B2791" t="s">
        <v>1364</v>
      </c>
      <c r="C2791" t="s">
        <v>48</v>
      </c>
      <c r="D2791" t="s">
        <v>1367</v>
      </c>
      <c r="E2791">
        <f t="shared" si="127"/>
        <v>4.9751243781094526E-3</v>
      </c>
      <c r="F2791">
        <v>6</v>
      </c>
      <c r="G2791">
        <f>LOG(382/(6+1))</f>
        <v>1.736965322897452</v>
      </c>
      <c r="H2791">
        <f>0.00497512437810945*3.99951045955126</f>
        <v>1.9898061987817205E-2</v>
      </c>
      <c r="I2791">
        <v>1.9898061987817219E-2</v>
      </c>
    </row>
    <row r="2792" spans="1:9" x14ac:dyDescent="0.25">
      <c r="A2792">
        <v>279</v>
      </c>
      <c r="B2792" t="s">
        <v>1364</v>
      </c>
      <c r="C2792" t="s">
        <v>48</v>
      </c>
      <c r="D2792" t="s">
        <v>903</v>
      </c>
      <c r="E2792">
        <f t="shared" si="127"/>
        <v>4.9751243781094526E-3</v>
      </c>
      <c r="F2792">
        <v>3</v>
      </c>
      <c r="G2792">
        <f>LOG(382/(3+1))</f>
        <v>1.9800033715837464</v>
      </c>
      <c r="H2792">
        <f>0.00497512437810945*4.55912624748668</f>
        <v>2.2682220136749639E-2</v>
      </c>
      <c r="I2792">
        <v>2.268222013674967E-2</v>
      </c>
    </row>
    <row r="2793" spans="1:9" x14ac:dyDescent="0.25">
      <c r="A2793">
        <v>279</v>
      </c>
      <c r="B2793" t="s">
        <v>1364</v>
      </c>
      <c r="C2793" t="s">
        <v>48</v>
      </c>
      <c r="D2793" t="s">
        <v>111</v>
      </c>
      <c r="E2793">
        <f>2/201</f>
        <v>9.9502487562189053E-3</v>
      </c>
      <c r="F2793">
        <v>33</v>
      </c>
      <c r="G2793">
        <f>LOG(382/(33+1))</f>
        <v>1.0505844458694535</v>
      </c>
      <c r="H2793">
        <f>0.0099502487562189*2.41906008399041</f>
        <v>2.4070249591944367E-2</v>
      </c>
      <c r="I2793">
        <v>2.4070249591944419E-2</v>
      </c>
    </row>
    <row r="2794" spans="1:9" x14ac:dyDescent="0.25">
      <c r="A2794">
        <v>279</v>
      </c>
      <c r="B2794" t="s">
        <v>1364</v>
      </c>
      <c r="C2794" t="s">
        <v>48</v>
      </c>
      <c r="D2794" t="s">
        <v>17</v>
      </c>
      <c r="E2794">
        <f>1/201</f>
        <v>4.9751243781094526E-3</v>
      </c>
      <c r="F2794">
        <v>169</v>
      </c>
      <c r="G2794">
        <f>LOG(382/(169+1))</f>
        <v>0.3516144415334348</v>
      </c>
      <c r="H2794">
        <f>0.00497512437810945*0.809622171556313</f>
        <v>4.0279710027677244E-3</v>
      </c>
      <c r="I2794">
        <v>4.0279710027677287E-3</v>
      </c>
    </row>
    <row r="2795" spans="1:9" x14ac:dyDescent="0.25">
      <c r="A2795">
        <v>279</v>
      </c>
      <c r="B2795" t="s">
        <v>1364</v>
      </c>
      <c r="C2795" t="s">
        <v>48</v>
      </c>
      <c r="D2795" t="s">
        <v>1368</v>
      </c>
      <c r="E2795">
        <f>1/201</f>
        <v>4.9751243781094526E-3</v>
      </c>
      <c r="F2795">
        <v>1</v>
      </c>
      <c r="G2795">
        <f>LOG(382/(1+1))</f>
        <v>2.2810333672477277</v>
      </c>
      <c r="H2795">
        <f>0.00497512437810945*5.25227342804663</f>
        <v>2.6130713572371279E-2</v>
      </c>
      <c r="I2795">
        <v>2.6130713572371289E-2</v>
      </c>
    </row>
    <row r="2796" spans="1:9" x14ac:dyDescent="0.25">
      <c r="A2796">
        <v>279</v>
      </c>
      <c r="B2796" t="s">
        <v>1364</v>
      </c>
      <c r="C2796" t="s">
        <v>48</v>
      </c>
      <c r="D2796" t="s">
        <v>19</v>
      </c>
      <c r="E2796">
        <f>1/201</f>
        <v>4.9751243781094526E-3</v>
      </c>
      <c r="F2796">
        <v>220</v>
      </c>
      <c r="G2796">
        <f>LOG(382/(220+1))</f>
        <v>0.23767108922659805</v>
      </c>
      <c r="H2796">
        <f>0.00497512437810945*0.547257907088822</f>
        <v>2.7226761546707552E-3</v>
      </c>
      <c r="I2796">
        <v>2.7226761546707578E-3</v>
      </c>
    </row>
    <row r="2797" spans="1:9" x14ac:dyDescent="0.25">
      <c r="A2797">
        <v>279</v>
      </c>
      <c r="B2797" t="s">
        <v>1364</v>
      </c>
      <c r="C2797" t="s">
        <v>48</v>
      </c>
      <c r="D2797" t="s">
        <v>195</v>
      </c>
      <c r="E2797">
        <f>1/201</f>
        <v>4.9751243781094526E-3</v>
      </c>
      <c r="F2797">
        <v>55</v>
      </c>
      <c r="G2797">
        <f>LOG(382/(55+1))</f>
        <v>0.83387533590550833</v>
      </c>
      <c r="H2797">
        <f>0.00497512437810945*1.92006891787142</f>
        <v>9.5525816809523337E-3</v>
      </c>
      <c r="I2797">
        <v>9.5525816809523666E-3</v>
      </c>
    </row>
    <row r="2798" spans="1:9" x14ac:dyDescent="0.25">
      <c r="A2798">
        <v>279</v>
      </c>
      <c r="B2798" t="s">
        <v>1364</v>
      </c>
      <c r="C2798" t="s">
        <v>48</v>
      </c>
      <c r="D2798" t="s">
        <v>1369</v>
      </c>
      <c r="E2798">
        <f>1/201</f>
        <v>4.9751243781094526E-3</v>
      </c>
      <c r="F2798">
        <v>2</v>
      </c>
      <c r="G2798">
        <f>LOG(382/(2+1))</f>
        <v>2.1049421081920463</v>
      </c>
      <c r="H2798">
        <f>0.00497512437810945*4.84680831993846</f>
        <v>2.411347422854954E-2</v>
      </c>
      <c r="I2798">
        <v>2.4113474228549581E-2</v>
      </c>
    </row>
    <row r="2799" spans="1:9" x14ac:dyDescent="0.25">
      <c r="A2799">
        <v>279</v>
      </c>
      <c r="B2799" t="s">
        <v>1364</v>
      </c>
      <c r="C2799" t="s">
        <v>48</v>
      </c>
      <c r="D2799" t="s">
        <v>23</v>
      </c>
      <c r="E2799">
        <f>2/201</f>
        <v>9.9502487562189053E-3</v>
      </c>
      <c r="F2799">
        <v>275</v>
      </c>
      <c r="G2799">
        <f>LOG(382/(275+1))</f>
        <v>0.14115428084649101</v>
      </c>
      <c r="H2799">
        <f>0.0099502487562189*0.325019742889425</f>
        <v>3.2340272924320877E-3</v>
      </c>
      <c r="I2799">
        <v>3.2340272924320911E-3</v>
      </c>
    </row>
    <row r="2800" spans="1:9" x14ac:dyDescent="0.25">
      <c r="A2800">
        <v>279</v>
      </c>
      <c r="B2800" t="s">
        <v>1364</v>
      </c>
      <c r="C2800" t="s">
        <v>48</v>
      </c>
      <c r="D2800" t="s">
        <v>1370</v>
      </c>
      <c r="E2800">
        <f>1/201</f>
        <v>4.9751243781094526E-3</v>
      </c>
      <c r="F2800">
        <v>1</v>
      </c>
      <c r="G2800">
        <f>LOG(382/(1+1))</f>
        <v>2.2810333672477277</v>
      </c>
      <c r="H2800">
        <f>0.00497512437810945*5.25227342804663</f>
        <v>2.6130713572371279E-2</v>
      </c>
      <c r="I2800">
        <v>2.6130713572371289E-2</v>
      </c>
    </row>
    <row r="2801" spans="1:9" x14ac:dyDescent="0.25">
      <c r="A2801">
        <v>279</v>
      </c>
      <c r="B2801" t="s">
        <v>1364</v>
      </c>
      <c r="C2801" t="s">
        <v>48</v>
      </c>
      <c r="D2801" t="s">
        <v>824</v>
      </c>
      <c r="E2801">
        <f>1/201</f>
        <v>4.9751243781094526E-3</v>
      </c>
      <c r="F2801">
        <v>3</v>
      </c>
      <c r="G2801">
        <f>LOG(382/(3+1))</f>
        <v>1.9800033715837464</v>
      </c>
      <c r="H2801">
        <f>0.00497512437810945*4.55912624748668</f>
        <v>2.2682220136749639E-2</v>
      </c>
      <c r="I2801">
        <v>2.268222013674967E-2</v>
      </c>
    </row>
    <row r="2802" spans="1:9" x14ac:dyDescent="0.25">
      <c r="A2802">
        <v>279</v>
      </c>
      <c r="B2802" t="s">
        <v>1364</v>
      </c>
      <c r="C2802" t="s">
        <v>48</v>
      </c>
      <c r="D2802" t="s">
        <v>1187</v>
      </c>
      <c r="E2802">
        <f>3/201</f>
        <v>1.4925373134328358E-2</v>
      </c>
      <c r="F2802">
        <v>3</v>
      </c>
      <c r="G2802">
        <f>LOG(382/(3+1))</f>
        <v>1.9800033715837464</v>
      </c>
      <c r="H2802">
        <f>0.0149253731343283*4.55912624748668</f>
        <v>6.8046660410248691E-2</v>
      </c>
      <c r="I2802">
        <v>6.8046660410249024E-2</v>
      </c>
    </row>
    <row r="2803" spans="1:9" x14ac:dyDescent="0.25">
      <c r="A2803">
        <v>279</v>
      </c>
      <c r="B2803" t="s">
        <v>1364</v>
      </c>
      <c r="C2803" t="s">
        <v>48</v>
      </c>
      <c r="D2803" t="s">
        <v>25</v>
      </c>
      <c r="E2803">
        <f>2/201</f>
        <v>9.9502487562189053E-3</v>
      </c>
      <c r="F2803">
        <v>106</v>
      </c>
      <c r="G2803">
        <f>LOG(382/(106+1))</f>
        <v>0.55267958522649907</v>
      </c>
      <c r="H2803">
        <f>0.0099502487562189*1.27259177414466</f>
        <v>1.2662604717857306E-2</v>
      </c>
      <c r="I2803">
        <v>1.2662604717857399E-2</v>
      </c>
    </row>
    <row r="2804" spans="1:9" x14ac:dyDescent="0.25">
      <c r="A2804">
        <v>279</v>
      </c>
      <c r="B2804" t="s">
        <v>1364</v>
      </c>
      <c r="C2804" t="s">
        <v>48</v>
      </c>
      <c r="D2804" t="s">
        <v>626</v>
      </c>
      <c r="E2804">
        <f>1/201</f>
        <v>4.9751243781094526E-3</v>
      </c>
      <c r="F2804">
        <v>12</v>
      </c>
      <c r="G2804">
        <f>LOG(382/(12+1))</f>
        <v>1.468120010604872</v>
      </c>
      <c r="H2804">
        <f>0.00497512437810945*3.38047125114503</f>
        <v>1.6818264931069794E-2</v>
      </c>
      <c r="I2804">
        <v>1.6818264931069839E-2</v>
      </c>
    </row>
    <row r="2805" spans="1:9" x14ac:dyDescent="0.25">
      <c r="A2805">
        <v>279</v>
      </c>
      <c r="B2805" t="s">
        <v>1364</v>
      </c>
      <c r="C2805" t="s">
        <v>48</v>
      </c>
      <c r="D2805" t="s">
        <v>52</v>
      </c>
      <c r="E2805">
        <f>2/201</f>
        <v>9.9502487562189053E-3</v>
      </c>
      <c r="F2805">
        <v>35</v>
      </c>
      <c r="G2805">
        <f>LOG(382/(35+1))</f>
        <v>1.0257608621444214</v>
      </c>
      <c r="H2805">
        <f>0.0099502487562189*2.36190167015046</f>
        <v>2.3501509155725957E-2</v>
      </c>
      <c r="I2805">
        <v>2.3501509155726019E-2</v>
      </c>
    </row>
    <row r="2806" spans="1:9" x14ac:dyDescent="0.25">
      <c r="A2806">
        <v>279</v>
      </c>
      <c r="B2806" t="s">
        <v>1364</v>
      </c>
      <c r="C2806" t="s">
        <v>48</v>
      </c>
      <c r="D2806" t="s">
        <v>418</v>
      </c>
      <c r="E2806">
        <f>1/201</f>
        <v>4.9751243781094526E-3</v>
      </c>
      <c r="F2806">
        <v>11</v>
      </c>
      <c r="G2806">
        <f>LOG(382/(11+1))</f>
        <v>1.5028821168640838</v>
      </c>
      <c r="H2806">
        <f>0.00497512437810945*3.46051395881857</f>
        <v>1.7216487357306309E-2</v>
      </c>
      <c r="I2806">
        <v>1.721648735730634E-2</v>
      </c>
    </row>
    <row r="2807" spans="1:9" x14ac:dyDescent="0.25">
      <c r="A2807">
        <v>279</v>
      </c>
      <c r="B2807" t="s">
        <v>1364</v>
      </c>
      <c r="C2807" t="s">
        <v>48</v>
      </c>
      <c r="D2807" t="s">
        <v>131</v>
      </c>
      <c r="E2807">
        <f>1/201</f>
        <v>4.9751243781094526E-3</v>
      </c>
      <c r="F2807">
        <v>38</v>
      </c>
      <c r="G2807">
        <f>LOG(382/(38+1))</f>
        <v>0.99099875588520958</v>
      </c>
      <c r="H2807">
        <f>0.00497512437810945*2.28185896247692</f>
        <v>1.1352532151626462E-2</v>
      </c>
      <c r="I2807">
        <v>1.135253215162651E-2</v>
      </c>
    </row>
    <row r="2808" spans="1:9" x14ac:dyDescent="0.25">
      <c r="A2808">
        <v>279</v>
      </c>
      <c r="B2808" t="s">
        <v>1364</v>
      </c>
      <c r="C2808" t="s">
        <v>48</v>
      </c>
      <c r="D2808" t="s">
        <v>50</v>
      </c>
      <c r="E2808">
        <f>1/201</f>
        <v>4.9751243781094526E-3</v>
      </c>
      <c r="F2808">
        <v>109</v>
      </c>
      <c r="G2808">
        <f>LOG(382/(109+1))</f>
        <v>0.54067067775348365</v>
      </c>
      <c r="H2808">
        <f>0.00497512437810945*1.24494024281415</f>
        <v>6.1937325513141761E-3</v>
      </c>
      <c r="I2808">
        <v>6.1937325513142238E-3</v>
      </c>
    </row>
    <row r="2809" spans="1:9" x14ac:dyDescent="0.25">
      <c r="A2809">
        <v>279</v>
      </c>
      <c r="B2809" t="s">
        <v>1364</v>
      </c>
      <c r="C2809" t="s">
        <v>48</v>
      </c>
      <c r="D2809" t="s">
        <v>1371</v>
      </c>
      <c r="E2809">
        <f>1/201</f>
        <v>4.9751243781094526E-3</v>
      </c>
      <c r="F2809">
        <v>2</v>
      </c>
      <c r="G2809">
        <f>LOG(382/(2+1))</f>
        <v>2.1049421081920463</v>
      </c>
      <c r="H2809">
        <f>0.00497512437810945*4.84680831993846</f>
        <v>2.411347422854954E-2</v>
      </c>
      <c r="I2809">
        <v>2.4113474228549581E-2</v>
      </c>
    </row>
    <row r="2810" spans="1:9" x14ac:dyDescent="0.25">
      <c r="A2810">
        <v>279</v>
      </c>
      <c r="B2810" t="s">
        <v>1364</v>
      </c>
      <c r="C2810" t="s">
        <v>48</v>
      </c>
      <c r="D2810" t="s">
        <v>1372</v>
      </c>
      <c r="E2810">
        <f>1/201</f>
        <v>4.9751243781094526E-3</v>
      </c>
      <c r="F2810">
        <v>1</v>
      </c>
      <c r="G2810">
        <f>LOG(382/(1+1))</f>
        <v>2.2810333672477277</v>
      </c>
      <c r="H2810">
        <f>0.00497512437810945*5.25227342804663</f>
        <v>2.6130713572371279E-2</v>
      </c>
      <c r="I2810">
        <v>2.6130713572371289E-2</v>
      </c>
    </row>
    <row r="2811" spans="1:9" x14ac:dyDescent="0.25">
      <c r="A2811">
        <v>279</v>
      </c>
      <c r="B2811" t="s">
        <v>1364</v>
      </c>
      <c r="C2811" t="s">
        <v>48</v>
      </c>
      <c r="D2811" t="s">
        <v>1373</v>
      </c>
      <c r="E2811">
        <f>3/201</f>
        <v>1.4925373134328358E-2</v>
      </c>
      <c r="F2811">
        <v>1</v>
      </c>
      <c r="G2811">
        <f>LOG(382/(1+1))</f>
        <v>2.2810333672477277</v>
      </c>
      <c r="H2811">
        <f>0.0149253731343283*5.25227342804663</f>
        <v>7.8392140717113576E-2</v>
      </c>
      <c r="I2811">
        <v>7.8392140717113881E-2</v>
      </c>
    </row>
    <row r="2812" spans="1:9" x14ac:dyDescent="0.25">
      <c r="A2812">
        <v>279</v>
      </c>
      <c r="B2812" t="s">
        <v>1364</v>
      </c>
      <c r="C2812" t="s">
        <v>48</v>
      </c>
      <c r="D2812" t="s">
        <v>106</v>
      </c>
      <c r="E2812">
        <f>4/201</f>
        <v>1.9900497512437811E-2</v>
      </c>
      <c r="F2812">
        <v>17</v>
      </c>
      <c r="G2812">
        <f>LOG(382/(17+1))</f>
        <v>1.3267908578084027</v>
      </c>
      <c r="H2812">
        <f>0.0199004975124378*3.05504885071041</f>
        <v>6.0796992053938473E-2</v>
      </c>
      <c r="I2812">
        <v>6.0796992053938508E-2</v>
      </c>
    </row>
    <row r="2813" spans="1:9" x14ac:dyDescent="0.25">
      <c r="A2813">
        <v>279</v>
      </c>
      <c r="B2813" t="s">
        <v>1364</v>
      </c>
      <c r="C2813" t="s">
        <v>48</v>
      </c>
      <c r="D2813" t="s">
        <v>1374</v>
      </c>
      <c r="E2813">
        <f>4/201</f>
        <v>1.9900497512437811E-2</v>
      </c>
      <c r="F2813">
        <v>9</v>
      </c>
      <c r="G2813">
        <f>LOG(382/(9+1))</f>
        <v>1.5820633629117087</v>
      </c>
      <c r="H2813">
        <f>0.0199004975124378*3.64283551561252</f>
        <v>7.2494239116667025E-2</v>
      </c>
      <c r="I2813">
        <v>7.2494239116667247E-2</v>
      </c>
    </row>
    <row r="2814" spans="1:9" x14ac:dyDescent="0.25">
      <c r="A2814">
        <v>279</v>
      </c>
      <c r="B2814" t="s">
        <v>1364</v>
      </c>
      <c r="C2814" t="s">
        <v>48</v>
      </c>
      <c r="D2814" t="s">
        <v>1375</v>
      </c>
      <c r="E2814">
        <f>3/201</f>
        <v>1.4925373134328358E-2</v>
      </c>
      <c r="F2814">
        <v>5</v>
      </c>
      <c r="G2814">
        <f>LOG(382/(5+1))</f>
        <v>1.803912112528065</v>
      </c>
      <c r="H2814">
        <f>0.0149253731343283*4.15366113937852</f>
        <v>6.1994942378783641E-2</v>
      </c>
      <c r="I2814">
        <v>6.1994942378783877E-2</v>
      </c>
    </row>
    <row r="2815" spans="1:9" x14ac:dyDescent="0.25">
      <c r="A2815">
        <v>279</v>
      </c>
      <c r="B2815" t="s">
        <v>1364</v>
      </c>
      <c r="C2815" t="s">
        <v>48</v>
      </c>
      <c r="D2815" t="s">
        <v>1376</v>
      </c>
      <c r="E2815">
        <f>2/201</f>
        <v>9.9502487562189053E-3</v>
      </c>
      <c r="F2815">
        <v>1</v>
      </c>
      <c r="G2815">
        <f>LOG(382/(1+1))</f>
        <v>2.2810333672477277</v>
      </c>
      <c r="H2815">
        <f>0.0099502487562189*5.25227342804663</f>
        <v>5.2261427144742557E-2</v>
      </c>
      <c r="I2815">
        <v>5.2261427144742592E-2</v>
      </c>
    </row>
    <row r="2816" spans="1:9" x14ac:dyDescent="0.25">
      <c r="A2816">
        <v>279</v>
      </c>
      <c r="B2816" t="s">
        <v>1364</v>
      </c>
      <c r="C2816" t="s">
        <v>48</v>
      </c>
      <c r="D2816" t="s">
        <v>1377</v>
      </c>
      <c r="E2816">
        <f>1/201</f>
        <v>4.9751243781094526E-3</v>
      </c>
      <c r="F2816">
        <v>5</v>
      </c>
      <c r="G2816">
        <f>LOG(382/(5+1))</f>
        <v>1.803912112528065</v>
      </c>
      <c r="H2816">
        <f>0.00497512437810945*4.15366113937852</f>
        <v>2.0664980792927948E-2</v>
      </c>
      <c r="I2816">
        <v>2.0664980792927959E-2</v>
      </c>
    </row>
    <row r="2817" spans="1:9" x14ac:dyDescent="0.25">
      <c r="A2817">
        <v>279</v>
      </c>
      <c r="B2817" t="s">
        <v>1364</v>
      </c>
      <c r="C2817" t="s">
        <v>48</v>
      </c>
      <c r="D2817" t="s">
        <v>1378</v>
      </c>
      <c r="E2817">
        <f>1/201</f>
        <v>4.9751243781094526E-3</v>
      </c>
      <c r="F2817">
        <v>1</v>
      </c>
      <c r="G2817">
        <f>LOG(382/(1+1))</f>
        <v>2.2810333672477277</v>
      </c>
      <c r="H2817">
        <f>0.00497512437810945*5.25227342804663</f>
        <v>2.6130713572371279E-2</v>
      </c>
      <c r="I2817">
        <v>2.6130713572371289E-2</v>
      </c>
    </row>
    <row r="2818" spans="1:9" x14ac:dyDescent="0.25">
      <c r="A2818">
        <v>279</v>
      </c>
      <c r="B2818" t="s">
        <v>1364</v>
      </c>
      <c r="C2818" t="s">
        <v>48</v>
      </c>
      <c r="D2818" t="s">
        <v>1379</v>
      </c>
      <c r="E2818">
        <f>3/201</f>
        <v>1.4925373134328358E-2</v>
      </c>
      <c r="F2818">
        <v>2</v>
      </c>
      <c r="G2818">
        <f>LOG(382/(2+1))</f>
        <v>2.1049421081920463</v>
      </c>
      <c r="H2818">
        <f>0.0149253731343283*4.84680831993846</f>
        <v>7.2340422685648373E-2</v>
      </c>
      <c r="I2818">
        <v>7.2340422685648734E-2</v>
      </c>
    </row>
    <row r="2819" spans="1:9" x14ac:dyDescent="0.25">
      <c r="A2819">
        <v>279</v>
      </c>
      <c r="B2819" t="s">
        <v>1364</v>
      </c>
      <c r="C2819" t="s">
        <v>48</v>
      </c>
      <c r="D2819" t="s">
        <v>1380</v>
      </c>
      <c r="E2819">
        <f t="shared" ref="E2819:E2827" si="128">1/201</f>
        <v>4.9751243781094526E-3</v>
      </c>
      <c r="F2819">
        <v>1</v>
      </c>
      <c r="G2819">
        <f>LOG(382/(1+1))</f>
        <v>2.2810333672477277</v>
      </c>
      <c r="H2819">
        <f>0.00497512437810945*5.25227342804663</f>
        <v>2.6130713572371279E-2</v>
      </c>
      <c r="I2819">
        <v>2.6130713572371289E-2</v>
      </c>
    </row>
    <row r="2820" spans="1:9" x14ac:dyDescent="0.25">
      <c r="A2820">
        <v>279</v>
      </c>
      <c r="B2820" t="s">
        <v>1364</v>
      </c>
      <c r="C2820" t="s">
        <v>48</v>
      </c>
      <c r="D2820" t="s">
        <v>1381</v>
      </c>
      <c r="E2820">
        <f t="shared" si="128"/>
        <v>4.9751243781094526E-3</v>
      </c>
      <c r="F2820">
        <v>1</v>
      </c>
      <c r="G2820">
        <f>LOG(382/(1+1))</f>
        <v>2.2810333672477277</v>
      </c>
      <c r="H2820">
        <f>0.00497512437810945*5.25227342804663</f>
        <v>2.6130713572371279E-2</v>
      </c>
      <c r="I2820">
        <v>2.6130713572371289E-2</v>
      </c>
    </row>
    <row r="2821" spans="1:9" x14ac:dyDescent="0.25">
      <c r="A2821">
        <v>279</v>
      </c>
      <c r="B2821" t="s">
        <v>1364</v>
      </c>
      <c r="C2821" t="s">
        <v>48</v>
      </c>
      <c r="D2821" t="s">
        <v>1382</v>
      </c>
      <c r="E2821">
        <f t="shared" si="128"/>
        <v>4.9751243781094526E-3</v>
      </c>
      <c r="F2821">
        <v>1</v>
      </c>
      <c r="G2821">
        <f>LOG(382/(1+1))</f>
        <v>2.2810333672477277</v>
      </c>
      <c r="H2821">
        <f>0.00497512437810945*5.25227342804663</f>
        <v>2.6130713572371279E-2</v>
      </c>
      <c r="I2821">
        <v>2.6130713572371289E-2</v>
      </c>
    </row>
    <row r="2822" spans="1:9" x14ac:dyDescent="0.25">
      <c r="A2822">
        <v>279</v>
      </c>
      <c r="B2822" t="s">
        <v>1364</v>
      </c>
      <c r="C2822" t="s">
        <v>48</v>
      </c>
      <c r="D2822" t="s">
        <v>799</v>
      </c>
      <c r="E2822">
        <f t="shared" si="128"/>
        <v>4.9751243781094526E-3</v>
      </c>
      <c r="F2822">
        <v>8</v>
      </c>
      <c r="G2822">
        <f>LOG(382/(8+1))</f>
        <v>1.6278208534723839</v>
      </c>
      <c r="H2822">
        <f>0.00497512437810945*3.74819603127035</f>
        <v>1.8647741449106209E-2</v>
      </c>
      <c r="I2822">
        <v>1.8647741449106251E-2</v>
      </c>
    </row>
    <row r="2823" spans="1:9" x14ac:dyDescent="0.25">
      <c r="A2823">
        <v>279</v>
      </c>
      <c r="B2823" t="s">
        <v>1364</v>
      </c>
      <c r="C2823" t="s">
        <v>48</v>
      </c>
      <c r="D2823" t="s">
        <v>725</v>
      </c>
      <c r="E2823">
        <f t="shared" si="128"/>
        <v>4.9751243781094526E-3</v>
      </c>
      <c r="F2823">
        <v>12</v>
      </c>
      <c r="G2823">
        <f>LOG(382/(12+1))</f>
        <v>1.468120010604872</v>
      </c>
      <c r="H2823">
        <f>0.00497512437810945*3.38047125114503</f>
        <v>1.6818264931069794E-2</v>
      </c>
      <c r="I2823">
        <v>1.6818264931069839E-2</v>
      </c>
    </row>
    <row r="2824" spans="1:9" x14ac:dyDescent="0.25">
      <c r="A2824">
        <v>279</v>
      </c>
      <c r="B2824" t="s">
        <v>1364</v>
      </c>
      <c r="C2824" t="s">
        <v>48</v>
      </c>
      <c r="D2824" t="s">
        <v>38</v>
      </c>
      <c r="E2824">
        <f t="shared" si="128"/>
        <v>4.9751243781094526E-3</v>
      </c>
      <c r="F2824">
        <v>86</v>
      </c>
      <c r="G2824">
        <f>LOG(382/(86+1))</f>
        <v>0.64254411029309022</v>
      </c>
      <c r="H2824">
        <f>0.00497512437810945*1.47951248995199</f>
        <v>7.3607586564775583E-3</v>
      </c>
      <c r="I2824">
        <v>7.3607586564775687E-3</v>
      </c>
    </row>
    <row r="2825" spans="1:9" x14ac:dyDescent="0.25">
      <c r="A2825">
        <v>279</v>
      </c>
      <c r="B2825" t="s">
        <v>1364</v>
      </c>
      <c r="C2825" t="s">
        <v>48</v>
      </c>
      <c r="D2825" t="s">
        <v>1383</v>
      </c>
      <c r="E2825">
        <f t="shared" si="128"/>
        <v>4.9751243781094526E-3</v>
      </c>
      <c r="F2825">
        <v>1</v>
      </c>
      <c r="G2825">
        <f>LOG(382/(1+1))</f>
        <v>2.2810333672477277</v>
      </c>
      <c r="H2825">
        <f>0.00497512437810945*5.25227342804663</f>
        <v>2.6130713572371279E-2</v>
      </c>
      <c r="I2825">
        <v>2.6130713572371289E-2</v>
      </c>
    </row>
    <row r="2826" spans="1:9" x14ac:dyDescent="0.25">
      <c r="A2826">
        <v>279</v>
      </c>
      <c r="B2826" t="s">
        <v>1364</v>
      </c>
      <c r="C2826" t="s">
        <v>48</v>
      </c>
      <c r="D2826" t="s">
        <v>363</v>
      </c>
      <c r="E2826">
        <f t="shared" si="128"/>
        <v>4.9751243781094526E-3</v>
      </c>
      <c r="F2826">
        <v>36</v>
      </c>
      <c r="G2826">
        <f>LOG(382/(36+1))</f>
        <v>1.0138616388447137</v>
      </c>
      <c r="H2826">
        <f>0.00497512437810945*2.33450269596235</f>
        <v>1.1614441273444522E-2</v>
      </c>
      <c r="I2826">
        <v>1.1614441273444531E-2</v>
      </c>
    </row>
    <row r="2827" spans="1:9" x14ac:dyDescent="0.25">
      <c r="A2827">
        <v>279</v>
      </c>
      <c r="B2827" t="s">
        <v>1364</v>
      </c>
      <c r="C2827" t="s">
        <v>48</v>
      </c>
      <c r="D2827" t="s">
        <v>1060</v>
      </c>
      <c r="E2827">
        <f t="shared" si="128"/>
        <v>4.9751243781094526E-3</v>
      </c>
      <c r="F2827">
        <v>15</v>
      </c>
      <c r="G2827">
        <f>LOG(382/(15+1))</f>
        <v>1.3779433802557839</v>
      </c>
      <c r="H2827">
        <f>0.00497512437810945*3.17283188636679</f>
        <v>1.5785233265506411E-2</v>
      </c>
      <c r="I2827">
        <v>1.5785233265506439E-2</v>
      </c>
    </row>
    <row r="2828" spans="1:9" x14ac:dyDescent="0.25">
      <c r="A2828">
        <v>279</v>
      </c>
      <c r="B2828" t="s">
        <v>1364</v>
      </c>
      <c r="C2828" t="s">
        <v>48</v>
      </c>
      <c r="D2828" t="s">
        <v>1384</v>
      </c>
      <c r="E2828">
        <f>2/201</f>
        <v>9.9502487562189053E-3</v>
      </c>
      <c r="F2828">
        <v>3</v>
      </c>
      <c r="G2828">
        <f>LOG(382/(3+1))</f>
        <v>1.9800033715837464</v>
      </c>
      <c r="H2828">
        <f>0.0099502487562189*4.55912624748668</f>
        <v>4.5364440273499278E-2</v>
      </c>
      <c r="I2828">
        <v>4.5364440273499347E-2</v>
      </c>
    </row>
    <row r="2829" spans="1:9" x14ac:dyDescent="0.25">
      <c r="A2829">
        <v>279</v>
      </c>
      <c r="B2829" t="s">
        <v>1364</v>
      </c>
      <c r="C2829" t="s">
        <v>48</v>
      </c>
      <c r="D2829" t="s">
        <v>1385</v>
      </c>
      <c r="E2829">
        <f>2/201</f>
        <v>9.9502487562189053E-3</v>
      </c>
      <c r="F2829">
        <v>2</v>
      </c>
      <c r="G2829">
        <f>LOG(382/(2+1))</f>
        <v>2.1049421081920463</v>
      </c>
      <c r="H2829">
        <f>0.0099502487562189*4.84680831993846</f>
        <v>4.8226948457099079E-2</v>
      </c>
      <c r="I2829">
        <v>4.8226948457099163E-2</v>
      </c>
    </row>
    <row r="2830" spans="1:9" x14ac:dyDescent="0.25">
      <c r="A2830">
        <v>279</v>
      </c>
      <c r="B2830" t="s">
        <v>1364</v>
      </c>
      <c r="C2830" t="s">
        <v>48</v>
      </c>
      <c r="D2830" t="s">
        <v>1386</v>
      </c>
      <c r="E2830">
        <f>2/201</f>
        <v>9.9502487562189053E-3</v>
      </c>
      <c r="F2830">
        <v>1</v>
      </c>
      <c r="G2830">
        <f>LOG(382/(1+1))</f>
        <v>2.2810333672477277</v>
      </c>
      <c r="H2830">
        <f>0.0099502487562189*5.25227342804663</f>
        <v>5.2261427144742557E-2</v>
      </c>
      <c r="I2830">
        <v>5.2261427144742592E-2</v>
      </c>
    </row>
    <row r="2831" spans="1:9" x14ac:dyDescent="0.25">
      <c r="A2831">
        <v>279</v>
      </c>
      <c r="B2831" t="s">
        <v>1364</v>
      </c>
      <c r="C2831" t="s">
        <v>48</v>
      </c>
      <c r="D2831" t="s">
        <v>1387</v>
      </c>
      <c r="E2831">
        <f t="shared" ref="E2831:E2839" si="129">1/201</f>
        <v>4.9751243781094526E-3</v>
      </c>
      <c r="F2831">
        <v>1</v>
      </c>
      <c r="G2831">
        <f>LOG(382/(1+1))</f>
        <v>2.2810333672477277</v>
      </c>
      <c r="H2831">
        <f>0.00497512437810945*5.25227342804663</f>
        <v>2.6130713572371279E-2</v>
      </c>
      <c r="I2831">
        <v>2.6130713572371289E-2</v>
      </c>
    </row>
    <row r="2832" spans="1:9" x14ac:dyDescent="0.25">
      <c r="A2832">
        <v>279</v>
      </c>
      <c r="B2832" t="s">
        <v>1364</v>
      </c>
      <c r="C2832" t="s">
        <v>48</v>
      </c>
      <c r="D2832" t="s">
        <v>811</v>
      </c>
      <c r="E2832">
        <f t="shared" si="129"/>
        <v>4.9751243781094526E-3</v>
      </c>
      <c r="F2832">
        <v>27</v>
      </c>
      <c r="G2832">
        <f>LOG(382/(27+1))</f>
        <v>1.1349053315694895</v>
      </c>
      <c r="H2832">
        <f>0.00497512437810945*2.61321609843137</f>
        <v>1.3001075116573974E-2</v>
      </c>
      <c r="I2832">
        <v>1.3001075116573989E-2</v>
      </c>
    </row>
    <row r="2833" spans="1:9" x14ac:dyDescent="0.25">
      <c r="A2833">
        <v>279</v>
      </c>
      <c r="B2833" t="s">
        <v>1364</v>
      </c>
      <c r="C2833" t="s">
        <v>48</v>
      </c>
      <c r="D2833" t="s">
        <v>1293</v>
      </c>
      <c r="E2833">
        <f t="shared" si="129"/>
        <v>4.9751243781094526E-3</v>
      </c>
      <c r="F2833">
        <v>2</v>
      </c>
      <c r="G2833">
        <f>LOG(382/(2+1))</f>
        <v>2.1049421081920463</v>
      </c>
      <c r="H2833">
        <f>0.00497512437810945*4.84680831993846</f>
        <v>2.411347422854954E-2</v>
      </c>
      <c r="I2833">
        <v>2.4113474228549581E-2</v>
      </c>
    </row>
    <row r="2834" spans="1:9" x14ac:dyDescent="0.25">
      <c r="A2834">
        <v>279</v>
      </c>
      <c r="B2834" t="s">
        <v>1364</v>
      </c>
      <c r="C2834" t="s">
        <v>48</v>
      </c>
      <c r="D2834" t="s">
        <v>1388</v>
      </c>
      <c r="E2834">
        <f t="shared" si="129"/>
        <v>4.9751243781094526E-3</v>
      </c>
      <c r="F2834">
        <v>1</v>
      </c>
      <c r="G2834">
        <f>LOG(382/(1+1))</f>
        <v>2.2810333672477277</v>
      </c>
      <c r="H2834">
        <f>0.00497512437810945*5.25227342804663</f>
        <v>2.6130713572371279E-2</v>
      </c>
      <c r="I2834">
        <v>2.6130713572371289E-2</v>
      </c>
    </row>
    <row r="2835" spans="1:9" x14ac:dyDescent="0.25">
      <c r="A2835">
        <v>279</v>
      </c>
      <c r="B2835" t="s">
        <v>1364</v>
      </c>
      <c r="C2835" t="s">
        <v>48</v>
      </c>
      <c r="D2835" t="s">
        <v>1389</v>
      </c>
      <c r="E2835">
        <f t="shared" si="129"/>
        <v>4.9751243781094526E-3</v>
      </c>
      <c r="F2835">
        <v>1</v>
      </c>
      <c r="G2835">
        <f>LOG(382/(1+1))</f>
        <v>2.2810333672477277</v>
      </c>
      <c r="H2835">
        <f>0.00497512437810945*5.25227342804663</f>
        <v>2.6130713572371279E-2</v>
      </c>
      <c r="I2835">
        <v>2.6130713572371289E-2</v>
      </c>
    </row>
    <row r="2836" spans="1:9" x14ac:dyDescent="0.25">
      <c r="A2836">
        <v>279</v>
      </c>
      <c r="B2836" t="s">
        <v>1364</v>
      </c>
      <c r="C2836" t="s">
        <v>48</v>
      </c>
      <c r="D2836" t="s">
        <v>1390</v>
      </c>
      <c r="E2836">
        <f t="shared" si="129"/>
        <v>4.9751243781094526E-3</v>
      </c>
      <c r="F2836">
        <v>1</v>
      </c>
      <c r="G2836">
        <f>LOG(382/(1+1))</f>
        <v>2.2810333672477277</v>
      </c>
      <c r="H2836">
        <f>0.00497512437810945*5.25227342804663</f>
        <v>2.6130713572371279E-2</v>
      </c>
      <c r="I2836">
        <v>2.6130713572371289E-2</v>
      </c>
    </row>
    <row r="2837" spans="1:9" x14ac:dyDescent="0.25">
      <c r="A2837">
        <v>279</v>
      </c>
      <c r="B2837" t="s">
        <v>1364</v>
      </c>
      <c r="C2837" t="s">
        <v>48</v>
      </c>
      <c r="D2837" t="s">
        <v>108</v>
      </c>
      <c r="E2837">
        <f t="shared" si="129"/>
        <v>4.9751243781094526E-3</v>
      </c>
      <c r="F2837">
        <v>9</v>
      </c>
      <c r="G2837">
        <f>LOG(382/(9+1))</f>
        <v>1.5820633629117087</v>
      </c>
      <c r="H2837">
        <f>0.00497512437810945*3.64283551561252</f>
        <v>1.8123559779166756E-2</v>
      </c>
      <c r="I2837">
        <v>1.8123559779166808E-2</v>
      </c>
    </row>
    <row r="2838" spans="1:9" x14ac:dyDescent="0.25">
      <c r="A2838">
        <v>279</v>
      </c>
      <c r="B2838" t="s">
        <v>1364</v>
      </c>
      <c r="C2838" t="s">
        <v>48</v>
      </c>
      <c r="D2838" t="s">
        <v>86</v>
      </c>
      <c r="E2838">
        <f t="shared" si="129"/>
        <v>4.9751243781094526E-3</v>
      </c>
      <c r="F2838">
        <v>8</v>
      </c>
      <c r="G2838">
        <f>LOG(382/(8+1))</f>
        <v>1.6278208534723839</v>
      </c>
      <c r="H2838">
        <f>0.00497512437810945*3.74819603127035</f>
        <v>1.8647741449106209E-2</v>
      </c>
      <c r="I2838">
        <v>1.8647741449106251E-2</v>
      </c>
    </row>
    <row r="2839" spans="1:9" x14ac:dyDescent="0.25">
      <c r="A2839">
        <v>279</v>
      </c>
      <c r="B2839" t="s">
        <v>1364</v>
      </c>
      <c r="C2839" t="s">
        <v>48</v>
      </c>
      <c r="D2839" t="s">
        <v>1391</v>
      </c>
      <c r="E2839">
        <f t="shared" si="129"/>
        <v>4.9751243781094526E-3</v>
      </c>
      <c r="F2839">
        <v>1</v>
      </c>
      <c r="G2839">
        <f>LOG(382/(1+1))</f>
        <v>2.2810333672477277</v>
      </c>
      <c r="H2839">
        <f>0.00497512437810945*5.25227342804663</f>
        <v>2.6130713572371279E-2</v>
      </c>
      <c r="I2839">
        <v>2.6130713572371289E-2</v>
      </c>
    </row>
    <row r="2840" spans="1:9" x14ac:dyDescent="0.25">
      <c r="A2840">
        <v>279</v>
      </c>
      <c r="B2840" t="s">
        <v>1364</v>
      </c>
      <c r="C2840" t="s">
        <v>48</v>
      </c>
      <c r="D2840" t="s">
        <v>331</v>
      </c>
      <c r="E2840">
        <f>2/201</f>
        <v>9.9502487562189053E-3</v>
      </c>
      <c r="F2840">
        <v>130</v>
      </c>
      <c r="G2840">
        <f>LOG(382/(130+1))</f>
        <v>0.46479206725594452</v>
      </c>
      <c r="H2840">
        <f>0.0099502487562189*1.07022328540542</f>
        <v>1.0648987914481786E-2</v>
      </c>
      <c r="I2840">
        <v>1.0648987914481829E-2</v>
      </c>
    </row>
    <row r="2841" spans="1:9" x14ac:dyDescent="0.25">
      <c r="A2841">
        <v>279</v>
      </c>
      <c r="B2841" t="s">
        <v>1364</v>
      </c>
      <c r="C2841" t="s">
        <v>48</v>
      </c>
      <c r="D2841" t="s">
        <v>1392</v>
      </c>
      <c r="E2841">
        <f>1/201</f>
        <v>4.9751243781094526E-3</v>
      </c>
      <c r="F2841">
        <v>2</v>
      </c>
      <c r="G2841">
        <f>LOG(382/(2+1))</f>
        <v>2.1049421081920463</v>
      </c>
      <c r="H2841">
        <f>0.00497512437810945*4.84680831993846</f>
        <v>2.411347422854954E-2</v>
      </c>
      <c r="I2841">
        <v>2.4113474228549581E-2</v>
      </c>
    </row>
    <row r="2842" spans="1:9" x14ac:dyDescent="0.25">
      <c r="A2842">
        <v>279</v>
      </c>
      <c r="B2842" t="s">
        <v>1364</v>
      </c>
      <c r="C2842" t="s">
        <v>48</v>
      </c>
      <c r="D2842" t="s">
        <v>176</v>
      </c>
      <c r="E2842">
        <f>1/201</f>
        <v>4.9751243781094526E-3</v>
      </c>
      <c r="F2842">
        <v>3</v>
      </c>
      <c r="G2842">
        <f>LOG(382/(3+1))</f>
        <v>1.9800033715837464</v>
      </c>
      <c r="H2842">
        <f>0.00497512437810945*4.55912624748668</f>
        <v>2.2682220136749639E-2</v>
      </c>
      <c r="I2842">
        <v>2.268222013674967E-2</v>
      </c>
    </row>
    <row r="2843" spans="1:9" x14ac:dyDescent="0.25">
      <c r="A2843">
        <v>279</v>
      </c>
      <c r="B2843" t="s">
        <v>1364</v>
      </c>
      <c r="C2843" t="s">
        <v>48</v>
      </c>
      <c r="D2843" t="s">
        <v>1393</v>
      </c>
      <c r="E2843">
        <f>1/201</f>
        <v>4.9751243781094526E-3</v>
      </c>
      <c r="F2843">
        <v>2</v>
      </c>
      <c r="G2843">
        <f>LOG(382/(2+1))</f>
        <v>2.1049421081920463</v>
      </c>
      <c r="H2843">
        <f>0.00497512437810945*4.84680831993846</f>
        <v>2.411347422854954E-2</v>
      </c>
      <c r="I2843">
        <v>2.4113474228549581E-2</v>
      </c>
    </row>
    <row r="2844" spans="1:9" x14ac:dyDescent="0.25">
      <c r="A2844">
        <v>279</v>
      </c>
      <c r="B2844" t="s">
        <v>1364</v>
      </c>
      <c r="C2844" t="s">
        <v>48</v>
      </c>
      <c r="D2844" t="s">
        <v>724</v>
      </c>
      <c r="E2844">
        <f>1/201</f>
        <v>4.9751243781094526E-3</v>
      </c>
      <c r="F2844">
        <v>9</v>
      </c>
      <c r="G2844">
        <f>LOG(382/(9+1))</f>
        <v>1.5820633629117087</v>
      </c>
      <c r="H2844">
        <f>0.00497512437810945*3.64283551561252</f>
        <v>1.8123559779166756E-2</v>
      </c>
      <c r="I2844">
        <v>1.8123559779166808E-2</v>
      </c>
    </row>
    <row r="2845" spans="1:9" x14ac:dyDescent="0.25">
      <c r="A2845">
        <v>279</v>
      </c>
      <c r="B2845" t="s">
        <v>1364</v>
      </c>
      <c r="C2845" t="s">
        <v>48</v>
      </c>
      <c r="D2845" t="s">
        <v>1394</v>
      </c>
      <c r="E2845">
        <f>1/201</f>
        <v>4.9751243781094526E-3</v>
      </c>
      <c r="F2845">
        <v>1</v>
      </c>
      <c r="G2845">
        <f>LOG(382/(1+1))</f>
        <v>2.2810333672477277</v>
      </c>
      <c r="H2845">
        <f>0.00497512437810945*5.25227342804663</f>
        <v>2.6130713572371279E-2</v>
      </c>
      <c r="I2845">
        <v>2.6130713572371289E-2</v>
      </c>
    </row>
    <row r="2846" spans="1:9" x14ac:dyDescent="0.25">
      <c r="A2846">
        <v>279</v>
      </c>
      <c r="B2846" t="s">
        <v>1364</v>
      </c>
      <c r="C2846" t="s">
        <v>48</v>
      </c>
      <c r="D2846" t="s">
        <v>465</v>
      </c>
      <c r="E2846">
        <f>2/201</f>
        <v>9.9502487562189053E-3</v>
      </c>
      <c r="F2846">
        <v>36</v>
      </c>
      <c r="G2846">
        <f>LOG(382/(36+1))</f>
        <v>1.0138616388447137</v>
      </c>
      <c r="H2846">
        <f>0.0099502487562189*2.33450269596235</f>
        <v>2.3228882546889044E-2</v>
      </c>
      <c r="I2846">
        <v>2.3228882546889061E-2</v>
      </c>
    </row>
    <row r="2847" spans="1:9" x14ac:dyDescent="0.25">
      <c r="A2847">
        <v>279</v>
      </c>
      <c r="B2847" t="s">
        <v>1364</v>
      </c>
      <c r="C2847" t="s">
        <v>48</v>
      </c>
      <c r="D2847" t="s">
        <v>1395</v>
      </c>
      <c r="E2847">
        <f t="shared" ref="E2847:E2853" si="130">1/201</f>
        <v>4.9751243781094526E-3</v>
      </c>
      <c r="F2847">
        <v>1</v>
      </c>
      <c r="G2847">
        <f>LOG(382/(1+1))</f>
        <v>2.2810333672477277</v>
      </c>
      <c r="H2847">
        <f>0.00497512437810945*5.25227342804663</f>
        <v>2.6130713572371279E-2</v>
      </c>
      <c r="I2847">
        <v>2.6130713572371289E-2</v>
      </c>
    </row>
    <row r="2848" spans="1:9" x14ac:dyDescent="0.25">
      <c r="A2848">
        <v>279</v>
      </c>
      <c r="B2848" t="s">
        <v>1364</v>
      </c>
      <c r="C2848" t="s">
        <v>48</v>
      </c>
      <c r="D2848" t="s">
        <v>932</v>
      </c>
      <c r="E2848">
        <f t="shared" si="130"/>
        <v>4.9751243781094526E-3</v>
      </c>
      <c r="F2848">
        <v>35</v>
      </c>
      <c r="G2848">
        <f>LOG(382/(35+1))</f>
        <v>1.0257608621444214</v>
      </c>
      <c r="H2848">
        <f>0.00497512437810945*2.36190167015046</f>
        <v>1.1750754577862978E-2</v>
      </c>
      <c r="I2848">
        <v>1.175075457786301E-2</v>
      </c>
    </row>
    <row r="2849" spans="1:9" x14ac:dyDescent="0.25">
      <c r="A2849">
        <v>279</v>
      </c>
      <c r="B2849" t="s">
        <v>1364</v>
      </c>
      <c r="C2849" t="s">
        <v>48</v>
      </c>
      <c r="D2849" t="s">
        <v>1396</v>
      </c>
      <c r="E2849">
        <f t="shared" si="130"/>
        <v>4.9751243781094526E-3</v>
      </c>
      <c r="F2849">
        <v>18</v>
      </c>
      <c r="G2849">
        <f>LOG(382/(18+1))</f>
        <v>1.3033097619588798</v>
      </c>
      <c r="H2849">
        <f>0.00497512437810945*3.00098162944013</f>
        <v>1.4930256862886212E-2</v>
      </c>
      <c r="I2849">
        <v>1.4930256862886239E-2</v>
      </c>
    </row>
    <row r="2850" spans="1:9" x14ac:dyDescent="0.25">
      <c r="A2850">
        <v>279</v>
      </c>
      <c r="B2850" t="s">
        <v>1364</v>
      </c>
      <c r="C2850" t="s">
        <v>48</v>
      </c>
      <c r="D2850" t="s">
        <v>717</v>
      </c>
      <c r="E2850">
        <f t="shared" si="130"/>
        <v>4.9751243781094526E-3</v>
      </c>
      <c r="F2850">
        <v>5</v>
      </c>
      <c r="G2850">
        <f>LOG(382/(5+1))</f>
        <v>1.803912112528065</v>
      </c>
      <c r="H2850">
        <f>0.00497512437810945*4.15366113937852</f>
        <v>2.0664980792927948E-2</v>
      </c>
      <c r="I2850">
        <v>2.0664980792927959E-2</v>
      </c>
    </row>
    <row r="2851" spans="1:9" x14ac:dyDescent="0.25">
      <c r="A2851">
        <v>279</v>
      </c>
      <c r="B2851" t="s">
        <v>1364</v>
      </c>
      <c r="C2851" t="s">
        <v>48</v>
      </c>
      <c r="D2851" t="s">
        <v>1397</v>
      </c>
      <c r="E2851">
        <f t="shared" si="130"/>
        <v>4.9751243781094526E-3</v>
      </c>
      <c r="F2851">
        <v>29</v>
      </c>
      <c r="G2851">
        <f>LOG(382/(29+1))</f>
        <v>1.1049421081920463</v>
      </c>
      <c r="H2851">
        <f>0.00497512437810945*2.54422322694442</f>
        <v>1.2657826999723475E-2</v>
      </c>
      <c r="I2851">
        <v>1.265782699972348E-2</v>
      </c>
    </row>
    <row r="2852" spans="1:9" x14ac:dyDescent="0.25">
      <c r="A2852">
        <v>279</v>
      </c>
      <c r="B2852" t="s">
        <v>1364</v>
      </c>
      <c r="C2852" t="s">
        <v>48</v>
      </c>
      <c r="D2852" t="s">
        <v>77</v>
      </c>
      <c r="E2852">
        <f t="shared" si="130"/>
        <v>4.9751243781094526E-3</v>
      </c>
      <c r="F2852">
        <v>148</v>
      </c>
      <c r="G2852">
        <f>LOG(382/(148+1))</f>
        <v>0.40887709449943471</v>
      </c>
      <c r="H2852">
        <f>0.00497512437810945*0.941474302661116</f>
        <v>4.6839517545329131E-3</v>
      </c>
      <c r="I2852">
        <v>4.6839517545329157E-3</v>
      </c>
    </row>
    <row r="2853" spans="1:9" x14ac:dyDescent="0.25">
      <c r="A2853">
        <v>279</v>
      </c>
      <c r="B2853" t="s">
        <v>1364</v>
      </c>
      <c r="C2853" t="s">
        <v>48</v>
      </c>
      <c r="D2853" t="s">
        <v>219</v>
      </c>
      <c r="E2853">
        <f t="shared" si="130"/>
        <v>4.9751243781094526E-3</v>
      </c>
      <c r="F2853">
        <v>19</v>
      </c>
      <c r="G2853">
        <f>LOG(382/(19+1))</f>
        <v>1.2810333672477277</v>
      </c>
      <c r="H2853">
        <f>0.00497512437810945*2.94968833505258</f>
        <v>1.4675066343545167E-2</v>
      </c>
      <c r="I2853">
        <v>1.46750663435452E-2</v>
      </c>
    </row>
    <row r="2854" spans="1:9" x14ac:dyDescent="0.25">
      <c r="A2854">
        <v>279</v>
      </c>
      <c r="B2854" t="s">
        <v>1364</v>
      </c>
      <c r="C2854" t="s">
        <v>48</v>
      </c>
      <c r="D2854" t="s">
        <v>395</v>
      </c>
      <c r="E2854">
        <f>3/201</f>
        <v>1.4925373134328358E-2</v>
      </c>
      <c r="F2854">
        <v>2</v>
      </c>
      <c r="G2854">
        <f>LOG(382/(2+1))</f>
        <v>2.1049421081920463</v>
      </c>
      <c r="H2854">
        <f>0.0149253731343283*4.84680831993846</f>
        <v>7.2340422685648373E-2</v>
      </c>
      <c r="I2854">
        <v>7.2340422685648734E-2</v>
      </c>
    </row>
    <row r="2855" spans="1:9" x14ac:dyDescent="0.25">
      <c r="A2855">
        <v>279</v>
      </c>
      <c r="B2855" t="s">
        <v>1364</v>
      </c>
      <c r="C2855" t="s">
        <v>48</v>
      </c>
      <c r="D2855" t="s">
        <v>1398</v>
      </c>
      <c r="E2855">
        <f>2/201</f>
        <v>9.9502487562189053E-3</v>
      </c>
      <c r="F2855">
        <v>29</v>
      </c>
      <c r="G2855">
        <f>LOG(382/(29+1))</f>
        <v>1.1049421081920463</v>
      </c>
      <c r="H2855">
        <f>0.0099502487562189*2.54422322694442</f>
        <v>2.5315653999446949E-2</v>
      </c>
      <c r="I2855">
        <v>2.531565399944696E-2</v>
      </c>
    </row>
    <row r="2856" spans="1:9" x14ac:dyDescent="0.25">
      <c r="A2856">
        <v>279</v>
      </c>
      <c r="B2856" t="s">
        <v>1364</v>
      </c>
      <c r="C2856" t="s">
        <v>48</v>
      </c>
      <c r="D2856" t="s">
        <v>542</v>
      </c>
      <c r="E2856">
        <f>1/201</f>
        <v>4.9751243781094526E-3</v>
      </c>
      <c r="F2856">
        <v>42</v>
      </c>
      <c r="G2856">
        <f>LOG(382/(42+1))</f>
        <v>0.94859490733212215</v>
      </c>
      <c r="H2856">
        <f>0.00497512437810945*2.18422049291301</f>
        <v>1.0866768621457754E-2</v>
      </c>
      <c r="I2856">
        <v>1.086676862145777E-2</v>
      </c>
    </row>
    <row r="2857" spans="1:9" x14ac:dyDescent="0.25">
      <c r="A2857">
        <v>279</v>
      </c>
      <c r="B2857" t="s">
        <v>1364</v>
      </c>
      <c r="C2857" t="s">
        <v>48</v>
      </c>
      <c r="D2857" t="s">
        <v>596</v>
      </c>
      <c r="E2857">
        <f>1/201</f>
        <v>4.9751243781094526E-3</v>
      </c>
      <c r="F2857">
        <v>60</v>
      </c>
      <c r="G2857">
        <f>LOG(382/(60+1))</f>
        <v>0.79673352790094176</v>
      </c>
      <c r="H2857">
        <f>0.00497512437810945*1.83454674443326</f>
        <v>9.1270982310112381E-3</v>
      </c>
      <c r="I2857">
        <v>9.1270982310112624E-3</v>
      </c>
    </row>
    <row r="2858" spans="1:9" x14ac:dyDescent="0.25">
      <c r="A2858">
        <v>279</v>
      </c>
      <c r="B2858" t="s">
        <v>1364</v>
      </c>
      <c r="C2858" t="s">
        <v>48</v>
      </c>
      <c r="D2858" t="s">
        <v>1399</v>
      </c>
      <c r="E2858">
        <f>2/201</f>
        <v>9.9502487562189053E-3</v>
      </c>
      <c r="F2858">
        <v>7</v>
      </c>
      <c r="G2858">
        <f>LOG(382/(7+1))</f>
        <v>1.6789733759197651</v>
      </c>
      <c r="H2858">
        <f>0.0099502487562189*3.86597906692673</f>
        <v>3.8467453402255998E-2</v>
      </c>
      <c r="I2858">
        <v>3.8467453402256109E-2</v>
      </c>
    </row>
    <row r="2859" spans="1:9" x14ac:dyDescent="0.25">
      <c r="A2859">
        <v>279</v>
      </c>
      <c r="B2859" t="s">
        <v>1364</v>
      </c>
      <c r="C2859" t="s">
        <v>48</v>
      </c>
      <c r="D2859" t="s">
        <v>432</v>
      </c>
      <c r="E2859">
        <f t="shared" ref="E2859:E2868" si="131">1/201</f>
        <v>4.9751243781094526E-3</v>
      </c>
      <c r="F2859">
        <v>67</v>
      </c>
      <c r="G2859">
        <f>LOG(382/(67+1))</f>
        <v>0.7495544502054724</v>
      </c>
      <c r="H2859">
        <f>0.00497512437810945*1.72591290343046</f>
        <v>8.5866313603505436E-3</v>
      </c>
      <c r="I2859">
        <v>8.5866313603505887E-3</v>
      </c>
    </row>
    <row r="2860" spans="1:9" x14ac:dyDescent="0.25">
      <c r="A2860">
        <v>279</v>
      </c>
      <c r="B2860" t="s">
        <v>1364</v>
      </c>
      <c r="C2860" t="s">
        <v>48</v>
      </c>
      <c r="D2860" t="s">
        <v>1400</v>
      </c>
      <c r="E2860">
        <f t="shared" si="131"/>
        <v>4.9751243781094526E-3</v>
      </c>
      <c r="F2860">
        <v>1</v>
      </c>
      <c r="G2860">
        <f>LOG(382/(1+1))</f>
        <v>2.2810333672477277</v>
      </c>
      <c r="H2860">
        <f>0.00497512437810945*5.25227342804663</f>
        <v>2.6130713572371279E-2</v>
      </c>
      <c r="I2860">
        <v>2.6130713572371289E-2</v>
      </c>
    </row>
    <row r="2861" spans="1:9" x14ac:dyDescent="0.25">
      <c r="A2861">
        <v>279</v>
      </c>
      <c r="B2861" t="s">
        <v>1364</v>
      </c>
      <c r="C2861" t="s">
        <v>48</v>
      </c>
      <c r="D2861" t="s">
        <v>1401</v>
      </c>
      <c r="E2861">
        <f t="shared" si="131"/>
        <v>4.9751243781094526E-3</v>
      </c>
      <c r="F2861">
        <v>16</v>
      </c>
      <c r="G2861">
        <f>LOG(382/(16+1))</f>
        <v>1.3516144415334348</v>
      </c>
      <c r="H2861">
        <f>0.00497512437810945*3.11220726455035</f>
        <v>1.5483618231593771E-2</v>
      </c>
      <c r="I2861">
        <v>1.548361823159383E-2</v>
      </c>
    </row>
    <row r="2862" spans="1:9" x14ac:dyDescent="0.25">
      <c r="A2862">
        <v>279</v>
      </c>
      <c r="B2862" t="s">
        <v>1364</v>
      </c>
      <c r="C2862" t="s">
        <v>48</v>
      </c>
      <c r="D2862" t="s">
        <v>1402</v>
      </c>
      <c r="E2862">
        <f t="shared" si="131"/>
        <v>4.9751243781094526E-3</v>
      </c>
      <c r="F2862">
        <v>2</v>
      </c>
      <c r="G2862">
        <f>LOG(382/(2+1))</f>
        <v>2.1049421081920463</v>
      </c>
      <c r="H2862">
        <f>0.00497512437810945*4.84680831993846</f>
        <v>2.411347422854954E-2</v>
      </c>
      <c r="I2862">
        <v>2.4113474228549581E-2</v>
      </c>
    </row>
    <row r="2863" spans="1:9" x14ac:dyDescent="0.25">
      <c r="A2863">
        <v>279</v>
      </c>
      <c r="B2863" t="s">
        <v>1364</v>
      </c>
      <c r="C2863" t="s">
        <v>48</v>
      </c>
      <c r="D2863" t="s">
        <v>1403</v>
      </c>
      <c r="E2863">
        <f t="shared" si="131"/>
        <v>4.9751243781094526E-3</v>
      </c>
      <c r="F2863">
        <v>10</v>
      </c>
      <c r="G2863">
        <f>LOG(382/(10+1))</f>
        <v>1.5406706777534838</v>
      </c>
      <c r="H2863">
        <f>0.00497512437810945*3.5475253358082</f>
        <v>1.7649379780140289E-2</v>
      </c>
      <c r="I2863">
        <v>1.764937978014032E-2</v>
      </c>
    </row>
    <row r="2864" spans="1:9" x14ac:dyDescent="0.25">
      <c r="A2864">
        <v>279</v>
      </c>
      <c r="B2864" t="s">
        <v>1364</v>
      </c>
      <c r="C2864" t="s">
        <v>48</v>
      </c>
      <c r="D2864" t="s">
        <v>1404</v>
      </c>
      <c r="E2864">
        <f t="shared" si="131"/>
        <v>4.9751243781094526E-3</v>
      </c>
      <c r="F2864">
        <v>1</v>
      </c>
      <c r="G2864">
        <f>LOG(382/(1+1))</f>
        <v>2.2810333672477277</v>
      </c>
      <c r="H2864">
        <f>0.00497512437810945*5.25227342804663</f>
        <v>2.6130713572371279E-2</v>
      </c>
      <c r="I2864">
        <v>2.6130713572371289E-2</v>
      </c>
    </row>
    <row r="2865" spans="1:9" x14ac:dyDescent="0.25">
      <c r="A2865">
        <v>279</v>
      </c>
      <c r="B2865" t="s">
        <v>1364</v>
      </c>
      <c r="C2865" t="s">
        <v>48</v>
      </c>
      <c r="D2865" t="s">
        <v>1405</v>
      </c>
      <c r="E2865">
        <f t="shared" si="131"/>
        <v>4.9751243781094526E-3</v>
      </c>
      <c r="F2865">
        <v>14</v>
      </c>
      <c r="G2865">
        <f>LOG(382/(14+1))</f>
        <v>1.4059721038560276</v>
      </c>
      <c r="H2865">
        <f>0.00497512437810945*3.23737040750436</f>
        <v>1.6106320435345066E-2</v>
      </c>
      <c r="I2865">
        <v>1.6106320435345101E-2</v>
      </c>
    </row>
    <row r="2866" spans="1:9" x14ac:dyDescent="0.25">
      <c r="A2866">
        <v>279</v>
      </c>
      <c r="B2866" t="s">
        <v>1364</v>
      </c>
      <c r="C2866" t="s">
        <v>48</v>
      </c>
      <c r="D2866" t="s">
        <v>1406</v>
      </c>
      <c r="E2866">
        <f t="shared" si="131"/>
        <v>4.9751243781094526E-3</v>
      </c>
      <c r="F2866">
        <v>1</v>
      </c>
      <c r="G2866">
        <f>LOG(382/(1+1))</f>
        <v>2.2810333672477277</v>
      </c>
      <c r="H2866">
        <f>0.00497512437810945*5.25227342804663</f>
        <v>2.6130713572371279E-2</v>
      </c>
      <c r="I2866">
        <v>2.6130713572371289E-2</v>
      </c>
    </row>
    <row r="2867" spans="1:9" x14ac:dyDescent="0.25">
      <c r="A2867">
        <v>279</v>
      </c>
      <c r="B2867" t="s">
        <v>1364</v>
      </c>
      <c r="C2867" t="s">
        <v>48</v>
      </c>
      <c r="D2867" t="s">
        <v>1407</v>
      </c>
      <c r="E2867">
        <f t="shared" si="131"/>
        <v>4.9751243781094526E-3</v>
      </c>
      <c r="F2867">
        <v>16</v>
      </c>
      <c r="G2867">
        <f>LOG(382/(16+1))</f>
        <v>1.3516144415334348</v>
      </c>
      <c r="H2867">
        <f>0.00497512437810945*3.11220726455035</f>
        <v>1.5483618231593771E-2</v>
      </c>
      <c r="I2867">
        <v>1.548361823159383E-2</v>
      </c>
    </row>
    <row r="2868" spans="1:9" x14ac:dyDescent="0.25">
      <c r="A2868">
        <v>279</v>
      </c>
      <c r="B2868" t="s">
        <v>1364</v>
      </c>
      <c r="C2868" t="s">
        <v>48</v>
      </c>
      <c r="D2868" t="s">
        <v>688</v>
      </c>
      <c r="E2868">
        <f t="shared" si="131"/>
        <v>4.9751243781094526E-3</v>
      </c>
      <c r="F2868">
        <v>23</v>
      </c>
      <c r="G2868">
        <f>LOG(382/(23+1))</f>
        <v>1.2018521212001028</v>
      </c>
      <c r="H2868">
        <f>0.00497512437810945*2.76736677825862</f>
        <v>1.376799392168467E-2</v>
      </c>
      <c r="I2868">
        <v>1.3767993921684721E-2</v>
      </c>
    </row>
    <row r="2869" spans="1:9" x14ac:dyDescent="0.25">
      <c r="A2869">
        <v>279</v>
      </c>
      <c r="B2869" t="s">
        <v>1364</v>
      </c>
      <c r="C2869" t="s">
        <v>48</v>
      </c>
      <c r="D2869" t="s">
        <v>600</v>
      </c>
      <c r="E2869">
        <f>2/201</f>
        <v>9.9502487562189053E-3</v>
      </c>
      <c r="F2869">
        <v>102</v>
      </c>
      <c r="G2869">
        <f>LOG(382/(102+1))</f>
        <v>0.56922613820653656</v>
      </c>
      <c r="H2869">
        <f>0.0099502487562189*1.31069162037693</f>
        <v>1.3041707665442083E-2</v>
      </c>
      <c r="I2869">
        <v>1.304170766544218E-2</v>
      </c>
    </row>
    <row r="2870" spans="1:9" x14ac:dyDescent="0.25">
      <c r="A2870">
        <v>279</v>
      </c>
      <c r="B2870" t="s">
        <v>1364</v>
      </c>
      <c r="C2870" t="s">
        <v>48</v>
      </c>
      <c r="D2870" t="s">
        <v>1408</v>
      </c>
      <c r="E2870">
        <f>1/201</f>
        <v>4.9751243781094526E-3</v>
      </c>
      <c r="F2870">
        <v>2</v>
      </c>
      <c r="G2870">
        <f>LOG(382/(2+1))</f>
        <v>2.1049421081920463</v>
      </c>
      <c r="H2870">
        <f>0.00497512437810945*4.84680831993846</f>
        <v>2.411347422854954E-2</v>
      </c>
      <c r="I2870">
        <v>2.4113474228549581E-2</v>
      </c>
    </row>
    <row r="2871" spans="1:9" x14ac:dyDescent="0.25">
      <c r="A2871">
        <v>279</v>
      </c>
      <c r="B2871" t="s">
        <v>1364</v>
      </c>
      <c r="C2871" t="s">
        <v>48</v>
      </c>
      <c r="D2871" t="s">
        <v>1409</v>
      </c>
      <c r="E2871">
        <f>1/201</f>
        <v>4.9751243781094526E-3</v>
      </c>
      <c r="F2871">
        <v>1</v>
      </c>
      <c r="G2871">
        <f>LOG(382/(1+1))</f>
        <v>2.2810333672477277</v>
      </c>
      <c r="H2871">
        <f>0.00497512437810945*5.25227342804663</f>
        <v>2.6130713572371279E-2</v>
      </c>
      <c r="I2871">
        <v>2.6130713572371289E-2</v>
      </c>
    </row>
    <row r="2872" spans="1:9" x14ac:dyDescent="0.25">
      <c r="A2872">
        <v>279</v>
      </c>
      <c r="B2872" t="s">
        <v>1364</v>
      </c>
      <c r="C2872" t="s">
        <v>48</v>
      </c>
      <c r="D2872" t="s">
        <v>237</v>
      </c>
      <c r="E2872">
        <f>3/201</f>
        <v>1.4925373134328358E-2</v>
      </c>
      <c r="F2872">
        <v>138</v>
      </c>
      <c r="G2872">
        <f>LOG(382/(138+1))</f>
        <v>0.43904856265761361</v>
      </c>
      <c r="H2872">
        <f>0.0149253731343283*1.01094667547588</f>
        <v>1.5088756350386211E-2</v>
      </c>
      <c r="I2872">
        <v>1.5088756350386321E-2</v>
      </c>
    </row>
    <row r="2873" spans="1:9" x14ac:dyDescent="0.25">
      <c r="A2873">
        <v>279</v>
      </c>
      <c r="B2873" t="s">
        <v>1364</v>
      </c>
      <c r="C2873" t="s">
        <v>48</v>
      </c>
      <c r="D2873" t="s">
        <v>1410</v>
      </c>
      <c r="E2873">
        <f>1/201</f>
        <v>4.9751243781094526E-3</v>
      </c>
      <c r="F2873">
        <v>1</v>
      </c>
      <c r="G2873">
        <f>LOG(382/(1+1))</f>
        <v>2.2810333672477277</v>
      </c>
      <c r="H2873">
        <f>0.00497512437810945*5.25227342804663</f>
        <v>2.6130713572371279E-2</v>
      </c>
      <c r="I2873">
        <v>2.6130713572371289E-2</v>
      </c>
    </row>
    <row r="2874" spans="1:9" x14ac:dyDescent="0.25">
      <c r="A2874">
        <v>279</v>
      </c>
      <c r="B2874" t="s">
        <v>1364</v>
      </c>
      <c r="C2874" t="s">
        <v>48</v>
      </c>
      <c r="D2874" t="s">
        <v>712</v>
      </c>
      <c r="E2874">
        <f>1/201</f>
        <v>4.9751243781094526E-3</v>
      </c>
      <c r="F2874">
        <v>2</v>
      </c>
      <c r="G2874">
        <f>LOG(382/(2+1))</f>
        <v>2.1049421081920463</v>
      </c>
      <c r="H2874">
        <f>0.00497512437810945*4.84680831993846</f>
        <v>2.411347422854954E-2</v>
      </c>
      <c r="I2874">
        <v>2.4113474228549581E-2</v>
      </c>
    </row>
    <row r="2875" spans="1:9" x14ac:dyDescent="0.25">
      <c r="A2875">
        <v>279</v>
      </c>
      <c r="B2875" t="s">
        <v>1364</v>
      </c>
      <c r="C2875" t="s">
        <v>48</v>
      </c>
      <c r="D2875" t="s">
        <v>1411</v>
      </c>
      <c r="E2875">
        <f>1/201</f>
        <v>4.9751243781094526E-3</v>
      </c>
      <c r="F2875">
        <v>1</v>
      </c>
      <c r="G2875">
        <f>LOG(382/(1+1))</f>
        <v>2.2810333672477277</v>
      </c>
      <c r="H2875">
        <f>0.00497512437810945*5.25227342804663</f>
        <v>2.6130713572371279E-2</v>
      </c>
      <c r="I2875">
        <v>2.6130713572371289E-2</v>
      </c>
    </row>
    <row r="2876" spans="1:9" x14ac:dyDescent="0.25">
      <c r="A2876">
        <v>279</v>
      </c>
      <c r="B2876" t="s">
        <v>1364</v>
      </c>
      <c r="C2876" t="s">
        <v>48</v>
      </c>
      <c r="D2876" t="s">
        <v>848</v>
      </c>
      <c r="E2876">
        <f>2/201</f>
        <v>9.9502487562189053E-3</v>
      </c>
      <c r="F2876">
        <v>6</v>
      </c>
      <c r="G2876">
        <f>LOG(382/(6+1))</f>
        <v>1.736965322897452</v>
      </c>
      <c r="H2876">
        <f>0.0099502487562189*3.99951045955126</f>
        <v>3.9796123975634409E-2</v>
      </c>
      <c r="I2876">
        <v>3.9796123975634437E-2</v>
      </c>
    </row>
    <row r="2877" spans="1:9" x14ac:dyDescent="0.25">
      <c r="A2877">
        <v>279</v>
      </c>
      <c r="B2877" t="s">
        <v>1364</v>
      </c>
      <c r="C2877" t="s">
        <v>48</v>
      </c>
      <c r="D2877" t="s">
        <v>399</v>
      </c>
      <c r="E2877">
        <f>1/201</f>
        <v>4.9751243781094526E-3</v>
      </c>
      <c r="F2877">
        <v>27</v>
      </c>
      <c r="G2877">
        <f>LOG(382/(27+1))</f>
        <v>1.1349053315694895</v>
      </c>
      <c r="H2877">
        <f>0.00497512437810945*2.61321609843137</f>
        <v>1.3001075116573974E-2</v>
      </c>
      <c r="I2877">
        <v>1.3001075116573989E-2</v>
      </c>
    </row>
    <row r="2878" spans="1:9" x14ac:dyDescent="0.25">
      <c r="A2878">
        <v>279</v>
      </c>
      <c r="B2878" t="s">
        <v>1364</v>
      </c>
      <c r="C2878" t="s">
        <v>48</v>
      </c>
      <c r="D2878" t="s">
        <v>1412</v>
      </c>
      <c r="E2878">
        <f>1/201</f>
        <v>4.9751243781094526E-3</v>
      </c>
      <c r="F2878">
        <v>3</v>
      </c>
      <c r="G2878">
        <f>LOG(382/(3+1))</f>
        <v>1.9800033715837464</v>
      </c>
      <c r="H2878">
        <f>0.00497512437810945*4.55912624748668</f>
        <v>2.2682220136749639E-2</v>
      </c>
      <c r="I2878">
        <v>2.268222013674967E-2</v>
      </c>
    </row>
    <row r="2879" spans="1:9" x14ac:dyDescent="0.25">
      <c r="A2879">
        <v>279</v>
      </c>
      <c r="B2879" t="s">
        <v>1364</v>
      </c>
      <c r="C2879" t="s">
        <v>48</v>
      </c>
      <c r="D2879" t="s">
        <v>654</v>
      </c>
      <c r="E2879">
        <f>2/201</f>
        <v>9.9502487562189053E-3</v>
      </c>
      <c r="F2879">
        <v>2</v>
      </c>
      <c r="G2879">
        <f>LOG(382/(2+1))</f>
        <v>2.1049421081920463</v>
      </c>
      <c r="H2879">
        <f>0.0099502487562189*4.84680831993846</f>
        <v>4.8226948457099079E-2</v>
      </c>
      <c r="I2879">
        <v>4.8226948457099163E-2</v>
      </c>
    </row>
    <row r="2880" spans="1:9" x14ac:dyDescent="0.25">
      <c r="A2880">
        <v>279</v>
      </c>
      <c r="B2880" t="s">
        <v>1364</v>
      </c>
      <c r="C2880" t="s">
        <v>48</v>
      </c>
      <c r="D2880" t="s">
        <v>313</v>
      </c>
      <c r="E2880">
        <f>1/201</f>
        <v>4.9751243781094526E-3</v>
      </c>
      <c r="F2880">
        <v>13</v>
      </c>
      <c r="G2880">
        <f>LOG(382/(13+1))</f>
        <v>1.4359353272334707</v>
      </c>
      <c r="H2880">
        <f>0.00497512437810945*3.30636327899131</f>
        <v>1.6449568552195565E-2</v>
      </c>
      <c r="I2880">
        <v>1.6449568552195599E-2</v>
      </c>
    </row>
    <row r="2881" spans="1:9" x14ac:dyDescent="0.25">
      <c r="A2881">
        <v>279</v>
      </c>
      <c r="B2881" t="s">
        <v>1364</v>
      </c>
      <c r="C2881" t="s">
        <v>48</v>
      </c>
      <c r="D2881" t="s">
        <v>455</v>
      </c>
      <c r="E2881">
        <f>2/201</f>
        <v>9.9502487562189053E-3</v>
      </c>
      <c r="F2881">
        <v>78</v>
      </c>
      <c r="G2881">
        <f>LOG(382/(78+1))</f>
        <v>0.6844362716212673</v>
      </c>
      <c r="H2881">
        <f>0.0099502487562189*1.57597275613955</f>
        <v>1.568132095661243E-2</v>
      </c>
      <c r="I2881">
        <v>1.5681320956612479E-2</v>
      </c>
    </row>
    <row r="2882" spans="1:9" x14ac:dyDescent="0.25">
      <c r="A2882">
        <v>279</v>
      </c>
      <c r="B2882" t="s">
        <v>1364</v>
      </c>
      <c r="C2882" t="s">
        <v>48</v>
      </c>
      <c r="D2882" t="s">
        <v>1413</v>
      </c>
      <c r="E2882">
        <f t="shared" ref="E2882:E2893" si="132">1/201</f>
        <v>4.9751243781094526E-3</v>
      </c>
      <c r="F2882">
        <v>1</v>
      </c>
      <c r="G2882">
        <f>LOG(382/(1+1))</f>
        <v>2.2810333672477277</v>
      </c>
      <c r="H2882">
        <f>0.00497512437810945*5.25227342804663</f>
        <v>2.6130713572371279E-2</v>
      </c>
      <c r="I2882">
        <v>2.6130713572371289E-2</v>
      </c>
    </row>
    <row r="2883" spans="1:9" x14ac:dyDescent="0.25">
      <c r="A2883">
        <v>279</v>
      </c>
      <c r="B2883" t="s">
        <v>1364</v>
      </c>
      <c r="C2883" t="s">
        <v>48</v>
      </c>
      <c r="D2883" t="s">
        <v>1414</v>
      </c>
      <c r="E2883">
        <f t="shared" si="132"/>
        <v>4.9751243781094526E-3</v>
      </c>
      <c r="F2883">
        <v>3</v>
      </c>
      <c r="G2883">
        <f>LOG(382/(3+1))</f>
        <v>1.9800033715837464</v>
      </c>
      <c r="H2883">
        <f>0.00497512437810945*4.55912624748668</f>
        <v>2.2682220136749639E-2</v>
      </c>
      <c r="I2883">
        <v>2.268222013674967E-2</v>
      </c>
    </row>
    <row r="2884" spans="1:9" x14ac:dyDescent="0.25">
      <c r="A2884">
        <v>279</v>
      </c>
      <c r="B2884" t="s">
        <v>1364</v>
      </c>
      <c r="C2884" t="s">
        <v>48</v>
      </c>
      <c r="D2884" t="s">
        <v>1415</v>
      </c>
      <c r="E2884">
        <f t="shared" si="132"/>
        <v>4.9751243781094526E-3</v>
      </c>
      <c r="F2884">
        <v>2</v>
      </c>
      <c r="G2884">
        <f>LOG(382/(2+1))</f>
        <v>2.1049421081920463</v>
      </c>
      <c r="H2884">
        <f>0.00497512437810945*4.84680831993846</f>
        <v>2.411347422854954E-2</v>
      </c>
      <c r="I2884">
        <v>2.4113474228549581E-2</v>
      </c>
    </row>
    <row r="2885" spans="1:9" x14ac:dyDescent="0.25">
      <c r="A2885">
        <v>279</v>
      </c>
      <c r="B2885" t="s">
        <v>1364</v>
      </c>
      <c r="C2885" t="s">
        <v>48</v>
      </c>
      <c r="D2885" t="s">
        <v>1416</v>
      </c>
      <c r="E2885">
        <f t="shared" si="132"/>
        <v>4.9751243781094526E-3</v>
      </c>
      <c r="F2885">
        <v>1</v>
      </c>
      <c r="G2885">
        <f>LOG(382/(1+1))</f>
        <v>2.2810333672477277</v>
      </c>
      <c r="H2885">
        <f>0.00497512437810945*5.25227342804663</f>
        <v>2.6130713572371279E-2</v>
      </c>
      <c r="I2885">
        <v>2.6130713572371289E-2</v>
      </c>
    </row>
    <row r="2886" spans="1:9" x14ac:dyDescent="0.25">
      <c r="A2886">
        <v>279</v>
      </c>
      <c r="B2886" t="s">
        <v>1364</v>
      </c>
      <c r="C2886" t="s">
        <v>48</v>
      </c>
      <c r="D2886" t="s">
        <v>450</v>
      </c>
      <c r="E2886">
        <f t="shared" si="132"/>
        <v>4.9751243781094526E-3</v>
      </c>
      <c r="F2886">
        <v>17</v>
      </c>
      <c r="G2886">
        <f>LOG(382/(17+1))</f>
        <v>1.3267908578084027</v>
      </c>
      <c r="H2886">
        <f>0.00497512437810945*3.05504885071041</f>
        <v>1.5199248013484618E-2</v>
      </c>
      <c r="I2886">
        <v>1.519924801348463E-2</v>
      </c>
    </row>
    <row r="2887" spans="1:9" x14ac:dyDescent="0.25">
      <c r="A2887">
        <v>279</v>
      </c>
      <c r="B2887" t="s">
        <v>1364</v>
      </c>
      <c r="C2887" t="s">
        <v>48</v>
      </c>
      <c r="D2887" t="s">
        <v>1417</v>
      </c>
      <c r="E2887">
        <f t="shared" si="132"/>
        <v>4.9751243781094526E-3</v>
      </c>
      <c r="F2887">
        <v>2</v>
      </c>
      <c r="G2887">
        <f>LOG(382/(2+1))</f>
        <v>2.1049421081920463</v>
      </c>
      <c r="H2887">
        <f>0.00497512437810945*4.84680831993846</f>
        <v>2.411347422854954E-2</v>
      </c>
      <c r="I2887">
        <v>2.4113474228549581E-2</v>
      </c>
    </row>
    <row r="2888" spans="1:9" x14ac:dyDescent="0.25">
      <c r="A2888">
        <v>279</v>
      </c>
      <c r="B2888" t="s">
        <v>1364</v>
      </c>
      <c r="C2888" t="s">
        <v>48</v>
      </c>
      <c r="D2888" t="s">
        <v>1418</v>
      </c>
      <c r="E2888">
        <f t="shared" si="132"/>
        <v>4.9751243781094526E-3</v>
      </c>
      <c r="F2888">
        <v>6</v>
      </c>
      <c r="G2888">
        <f>LOG(382/(6+1))</f>
        <v>1.736965322897452</v>
      </c>
      <c r="H2888">
        <f>0.00497512437810945*3.99951045955126</f>
        <v>1.9898061987817205E-2</v>
      </c>
      <c r="I2888">
        <v>1.9898061987817219E-2</v>
      </c>
    </row>
    <row r="2889" spans="1:9" x14ac:dyDescent="0.25">
      <c r="A2889">
        <v>279</v>
      </c>
      <c r="B2889" t="s">
        <v>1364</v>
      </c>
      <c r="C2889" t="s">
        <v>48</v>
      </c>
      <c r="D2889" t="s">
        <v>656</v>
      </c>
      <c r="E2889">
        <f t="shared" si="132"/>
        <v>4.9751243781094526E-3</v>
      </c>
      <c r="F2889">
        <v>3</v>
      </c>
      <c r="G2889">
        <f>LOG(382/(3+1))</f>
        <v>1.9800033715837464</v>
      </c>
      <c r="H2889">
        <f>0.00497512437810945*4.55912624748668</f>
        <v>2.2682220136749639E-2</v>
      </c>
      <c r="I2889">
        <v>2.268222013674967E-2</v>
      </c>
    </row>
    <row r="2890" spans="1:9" x14ac:dyDescent="0.25">
      <c r="A2890">
        <v>279</v>
      </c>
      <c r="B2890" t="s">
        <v>1364</v>
      </c>
      <c r="C2890" t="s">
        <v>48</v>
      </c>
      <c r="D2890" t="s">
        <v>1419</v>
      </c>
      <c r="E2890">
        <f t="shared" si="132"/>
        <v>4.9751243781094526E-3</v>
      </c>
      <c r="F2890">
        <v>1</v>
      </c>
      <c r="G2890">
        <f>LOG(382/(1+1))</f>
        <v>2.2810333672477277</v>
      </c>
      <c r="H2890">
        <f>0.00497512437810945*5.25227342804663</f>
        <v>2.6130713572371279E-2</v>
      </c>
      <c r="I2890">
        <v>2.6130713572371289E-2</v>
      </c>
    </row>
    <row r="2891" spans="1:9" x14ac:dyDescent="0.25">
      <c r="A2891">
        <v>279</v>
      </c>
      <c r="B2891" t="s">
        <v>1364</v>
      </c>
      <c r="C2891" t="s">
        <v>48</v>
      </c>
      <c r="D2891" t="s">
        <v>1043</v>
      </c>
      <c r="E2891">
        <f t="shared" si="132"/>
        <v>4.9751243781094526E-3</v>
      </c>
      <c r="F2891">
        <v>3</v>
      </c>
      <c r="G2891">
        <f>LOG(382/(3+1))</f>
        <v>1.9800033715837464</v>
      </c>
      <c r="H2891">
        <f>0.00497512437810945*4.55912624748668</f>
        <v>2.2682220136749639E-2</v>
      </c>
      <c r="I2891">
        <v>2.268222013674967E-2</v>
      </c>
    </row>
    <row r="2892" spans="1:9" x14ac:dyDescent="0.25">
      <c r="A2892">
        <v>279</v>
      </c>
      <c r="B2892" t="s">
        <v>1364</v>
      </c>
      <c r="C2892" t="s">
        <v>48</v>
      </c>
      <c r="D2892" t="s">
        <v>1044</v>
      </c>
      <c r="E2892">
        <f t="shared" si="132"/>
        <v>4.9751243781094526E-3</v>
      </c>
      <c r="F2892">
        <v>3</v>
      </c>
      <c r="G2892">
        <f>LOG(382/(3+1))</f>
        <v>1.9800033715837464</v>
      </c>
      <c r="H2892">
        <f>0.00497512437810945*4.55912624748668</f>
        <v>2.2682220136749639E-2</v>
      </c>
      <c r="I2892">
        <v>2.268222013674967E-2</v>
      </c>
    </row>
    <row r="2893" spans="1:9" x14ac:dyDescent="0.25">
      <c r="A2893">
        <v>279</v>
      </c>
      <c r="B2893" t="s">
        <v>1364</v>
      </c>
      <c r="C2893" t="s">
        <v>48</v>
      </c>
      <c r="D2893" t="s">
        <v>1420</v>
      </c>
      <c r="E2893">
        <f t="shared" si="132"/>
        <v>4.9751243781094526E-3</v>
      </c>
      <c r="F2893">
        <v>2</v>
      </c>
      <c r="G2893">
        <f>LOG(382/(2+1))</f>
        <v>2.1049421081920463</v>
      </c>
      <c r="H2893">
        <f>0.00497512437810945*4.84680831993846</f>
        <v>2.411347422854954E-2</v>
      </c>
      <c r="I2893">
        <v>2.4113474228549581E-2</v>
      </c>
    </row>
    <row r="2894" spans="1:9" x14ac:dyDescent="0.25">
      <c r="A2894">
        <v>279</v>
      </c>
      <c r="B2894" t="s">
        <v>1364</v>
      </c>
      <c r="C2894" t="s">
        <v>48</v>
      </c>
      <c r="D2894" t="s">
        <v>1421</v>
      </c>
      <c r="E2894">
        <f>2/201</f>
        <v>9.9502487562189053E-3</v>
      </c>
      <c r="F2894">
        <v>4</v>
      </c>
      <c r="G2894">
        <f>LOG(382/(4+1))</f>
        <v>1.8830933585756899</v>
      </c>
      <c r="H2894">
        <f>0.0099502487562189*4.33598269617247</f>
        <v>4.3144106429576799E-2</v>
      </c>
      <c r="I2894">
        <v>4.3144106429576862E-2</v>
      </c>
    </row>
    <row r="2895" spans="1:9" x14ac:dyDescent="0.25">
      <c r="A2895">
        <v>279</v>
      </c>
      <c r="B2895" t="s">
        <v>1364</v>
      </c>
      <c r="C2895" t="s">
        <v>48</v>
      </c>
      <c r="D2895" t="s">
        <v>39</v>
      </c>
      <c r="E2895">
        <f>3/201</f>
        <v>1.4925373134328358E-2</v>
      </c>
      <c r="F2895">
        <v>145</v>
      </c>
      <c r="G2895">
        <f>LOG(382/(145+1))</f>
        <v>0.41771050712727159</v>
      </c>
      <c r="H2895">
        <f>0.0149253731343283*0.961813986898238</f>
        <v>1.4355432640272154E-2</v>
      </c>
      <c r="I2895">
        <v>1.435543264027222E-2</v>
      </c>
    </row>
    <row r="2896" spans="1:9" x14ac:dyDescent="0.25">
      <c r="A2896">
        <v>279</v>
      </c>
      <c r="B2896" t="s">
        <v>1364</v>
      </c>
      <c r="C2896" t="s">
        <v>48</v>
      </c>
      <c r="D2896" t="s">
        <v>198</v>
      </c>
      <c r="E2896">
        <f t="shared" ref="E2896:E2909" si="133">1/201</f>
        <v>4.9751243781094526E-3</v>
      </c>
      <c r="F2896">
        <v>11</v>
      </c>
      <c r="G2896">
        <f>LOG(382/(11+1))</f>
        <v>1.5028821168640838</v>
      </c>
      <c r="H2896">
        <f>0.00497512437810945*3.46051395881857</f>
        <v>1.7216487357306309E-2</v>
      </c>
      <c r="I2896">
        <v>1.721648735730634E-2</v>
      </c>
    </row>
    <row r="2897" spans="1:9" x14ac:dyDescent="0.25">
      <c r="A2897">
        <v>279</v>
      </c>
      <c r="B2897" t="s">
        <v>1364</v>
      </c>
      <c r="C2897" t="s">
        <v>48</v>
      </c>
      <c r="D2897" t="s">
        <v>247</v>
      </c>
      <c r="E2897">
        <f t="shared" si="133"/>
        <v>4.9751243781094526E-3</v>
      </c>
      <c r="F2897">
        <v>121</v>
      </c>
      <c r="G2897">
        <f>LOG(382/(121+1))</f>
        <v>0.49570353223696051</v>
      </c>
      <c r="H2897">
        <f>0.00497512437810945*1.14139956387331</f>
        <v>5.6786047953895991E-3</v>
      </c>
      <c r="I2897">
        <v>5.6786047953896451E-3</v>
      </c>
    </row>
    <row r="2898" spans="1:9" x14ac:dyDescent="0.25">
      <c r="A2898">
        <v>279</v>
      </c>
      <c r="B2898" t="s">
        <v>1364</v>
      </c>
      <c r="C2898" t="s">
        <v>48</v>
      </c>
      <c r="D2898" t="s">
        <v>1422</v>
      </c>
      <c r="E2898">
        <f t="shared" si="133"/>
        <v>4.9751243781094526E-3</v>
      </c>
      <c r="F2898">
        <v>1</v>
      </c>
      <c r="G2898">
        <f>LOG(382/(1+1))</f>
        <v>2.2810333672477277</v>
      </c>
      <c r="H2898">
        <f>0.00497512437810945*5.25227342804663</f>
        <v>2.6130713572371279E-2</v>
      </c>
      <c r="I2898">
        <v>2.6130713572371289E-2</v>
      </c>
    </row>
    <row r="2899" spans="1:9" x14ac:dyDescent="0.25">
      <c r="A2899">
        <v>279</v>
      </c>
      <c r="B2899" t="s">
        <v>1364</v>
      </c>
      <c r="C2899" t="s">
        <v>48</v>
      </c>
      <c r="D2899" t="s">
        <v>532</v>
      </c>
      <c r="E2899">
        <f t="shared" si="133"/>
        <v>4.9751243781094526E-3</v>
      </c>
      <c r="F2899">
        <v>8</v>
      </c>
      <c r="G2899">
        <f>LOG(382/(8+1))</f>
        <v>1.6278208534723839</v>
      </c>
      <c r="H2899">
        <f>0.00497512437810945*3.74819603127035</f>
        <v>1.8647741449106209E-2</v>
      </c>
      <c r="I2899">
        <v>1.8647741449106251E-2</v>
      </c>
    </row>
    <row r="2900" spans="1:9" x14ac:dyDescent="0.25">
      <c r="A2900">
        <v>279</v>
      </c>
      <c r="B2900" t="s">
        <v>1364</v>
      </c>
      <c r="C2900" t="s">
        <v>48</v>
      </c>
      <c r="D2900" t="s">
        <v>339</v>
      </c>
      <c r="E2900">
        <f t="shared" si="133"/>
        <v>4.9751243781094526E-3</v>
      </c>
      <c r="F2900">
        <v>66</v>
      </c>
      <c r="G2900">
        <f>LOG(382/(66+1))</f>
        <v>0.75598856021088234</v>
      </c>
      <c r="H2900">
        <f>0.00497512437810945*1.7407279892156</f>
        <v>8.6603382548039749E-3</v>
      </c>
      <c r="I2900">
        <v>8.6603382548040252E-3</v>
      </c>
    </row>
    <row r="2901" spans="1:9" x14ac:dyDescent="0.25">
      <c r="A2901">
        <v>279</v>
      </c>
      <c r="B2901" t="s">
        <v>1364</v>
      </c>
      <c r="C2901" t="s">
        <v>48</v>
      </c>
      <c r="D2901" t="s">
        <v>322</v>
      </c>
      <c r="E2901">
        <f t="shared" si="133"/>
        <v>4.9751243781094526E-3</v>
      </c>
      <c r="F2901">
        <v>128</v>
      </c>
      <c r="G2901">
        <f>LOG(382/(128+1))</f>
        <v>0.47147365261245977</v>
      </c>
      <c r="H2901">
        <f>0.00497512437810945*1.0856082042449</f>
        <v>5.4010358420144254E-3</v>
      </c>
      <c r="I2901">
        <v>5.4010358420144436E-3</v>
      </c>
    </row>
    <row r="2902" spans="1:9" x14ac:dyDescent="0.25">
      <c r="A2902">
        <v>279</v>
      </c>
      <c r="B2902" t="s">
        <v>1364</v>
      </c>
      <c r="C2902" t="s">
        <v>48</v>
      </c>
      <c r="D2902" t="s">
        <v>233</v>
      </c>
      <c r="E2902">
        <f t="shared" si="133"/>
        <v>4.9751243781094526E-3</v>
      </c>
      <c r="F2902">
        <v>14</v>
      </c>
      <c r="G2902">
        <f>LOG(382/(14+1))</f>
        <v>1.4059721038560276</v>
      </c>
      <c r="H2902">
        <f>0.00497512437810945*3.23737040750436</f>
        <v>1.6106320435345066E-2</v>
      </c>
      <c r="I2902">
        <v>1.6106320435345101E-2</v>
      </c>
    </row>
    <row r="2903" spans="1:9" x14ac:dyDescent="0.25">
      <c r="A2903">
        <v>279</v>
      </c>
      <c r="B2903" t="s">
        <v>1364</v>
      </c>
      <c r="C2903" t="s">
        <v>48</v>
      </c>
      <c r="D2903" t="s">
        <v>216</v>
      </c>
      <c r="E2903">
        <f t="shared" si="133"/>
        <v>4.9751243781094526E-3</v>
      </c>
      <c r="F2903">
        <v>63</v>
      </c>
      <c r="G2903">
        <f>LOG(382/(63+1))</f>
        <v>0.7758833889278216</v>
      </c>
      <c r="H2903">
        <f>0.00497512437810945*1.7865375252469</f>
        <v>8.8882463942631801E-3</v>
      </c>
      <c r="I2903">
        <v>8.8882463942632009E-3</v>
      </c>
    </row>
    <row r="2904" spans="1:9" x14ac:dyDescent="0.25">
      <c r="A2904">
        <v>279</v>
      </c>
      <c r="B2904" t="s">
        <v>1364</v>
      </c>
      <c r="C2904" t="s">
        <v>48</v>
      </c>
      <c r="D2904" t="s">
        <v>1423</v>
      </c>
      <c r="E2904">
        <f t="shared" si="133"/>
        <v>4.9751243781094526E-3</v>
      </c>
      <c r="F2904">
        <v>1</v>
      </c>
      <c r="G2904">
        <f>LOG(382/(1+1))</f>
        <v>2.2810333672477277</v>
      </c>
      <c r="H2904">
        <f>0.00497512437810945*5.25227342804663</f>
        <v>2.6130713572371279E-2</v>
      </c>
      <c r="I2904">
        <v>2.6130713572371289E-2</v>
      </c>
    </row>
    <row r="2905" spans="1:9" x14ac:dyDescent="0.25">
      <c r="A2905">
        <v>279</v>
      </c>
      <c r="B2905" t="s">
        <v>1364</v>
      </c>
      <c r="C2905" t="s">
        <v>48</v>
      </c>
      <c r="D2905" t="s">
        <v>243</v>
      </c>
      <c r="E2905">
        <f t="shared" si="133"/>
        <v>4.9751243781094526E-3</v>
      </c>
      <c r="F2905">
        <v>131</v>
      </c>
      <c r="G2905">
        <f>LOG(382/(131+1))</f>
        <v>0.46148943170585888</v>
      </c>
      <c r="H2905">
        <f>0.00497512437810945*1.0626186860202</f>
        <v>5.2866601294537284E-3</v>
      </c>
      <c r="I2905">
        <v>5.2866601294537527E-3</v>
      </c>
    </row>
    <row r="2906" spans="1:9" x14ac:dyDescent="0.25">
      <c r="A2906">
        <v>279</v>
      </c>
      <c r="B2906" t="s">
        <v>1364</v>
      </c>
      <c r="C2906" t="s">
        <v>48</v>
      </c>
      <c r="D2906" t="s">
        <v>263</v>
      </c>
      <c r="E2906">
        <f t="shared" si="133"/>
        <v>4.9751243781094526E-3</v>
      </c>
      <c r="F2906">
        <v>41</v>
      </c>
      <c r="G2906">
        <f>LOG(382/(41+1))</f>
        <v>0.95881407251380824</v>
      </c>
      <c r="H2906">
        <f>0.00497512437810945*2.2077509903232</f>
        <v>1.0983835772752235E-2</v>
      </c>
      <c r="I2906">
        <v>1.0983835772752269E-2</v>
      </c>
    </row>
    <row r="2907" spans="1:9" x14ac:dyDescent="0.25">
      <c r="A2907">
        <v>279</v>
      </c>
      <c r="B2907" t="s">
        <v>1364</v>
      </c>
      <c r="C2907" t="s">
        <v>48</v>
      </c>
      <c r="D2907" t="s">
        <v>1424</v>
      </c>
      <c r="E2907">
        <f t="shared" si="133"/>
        <v>4.9751243781094526E-3</v>
      </c>
      <c r="F2907">
        <v>1</v>
      </c>
      <c r="G2907">
        <f>LOG(382/(1+1))</f>
        <v>2.2810333672477277</v>
      </c>
      <c r="H2907">
        <f>0.00497512437810945*5.25227342804663</f>
        <v>2.6130713572371279E-2</v>
      </c>
      <c r="I2907">
        <v>2.6130713572371289E-2</v>
      </c>
    </row>
    <row r="2908" spans="1:9" x14ac:dyDescent="0.25">
      <c r="A2908">
        <v>279</v>
      </c>
      <c r="B2908" t="s">
        <v>1364</v>
      </c>
      <c r="C2908" t="s">
        <v>48</v>
      </c>
      <c r="D2908" t="s">
        <v>197</v>
      </c>
      <c r="E2908">
        <f t="shared" si="133"/>
        <v>4.9751243781094526E-3</v>
      </c>
      <c r="F2908">
        <v>18</v>
      </c>
      <c r="G2908">
        <f>LOG(382/(18+1))</f>
        <v>1.3033097619588798</v>
      </c>
      <c r="H2908">
        <f>0.00497512437810945*3.00098162944013</f>
        <v>1.4930256862886212E-2</v>
      </c>
      <c r="I2908">
        <v>1.4930256862886239E-2</v>
      </c>
    </row>
    <row r="2909" spans="1:9" x14ac:dyDescent="0.25">
      <c r="A2909">
        <v>279</v>
      </c>
      <c r="B2909" t="s">
        <v>1364</v>
      </c>
      <c r="C2909" t="s">
        <v>48</v>
      </c>
      <c r="D2909" t="s">
        <v>49</v>
      </c>
      <c r="E2909">
        <f t="shared" si="133"/>
        <v>4.9751243781094526E-3</v>
      </c>
      <c r="F2909">
        <v>13</v>
      </c>
      <c r="G2909">
        <f>LOG(382/(13+1))</f>
        <v>1.4359353272334707</v>
      </c>
      <c r="H2909">
        <f>0.00497512437810945*3.30636327899131</f>
        <v>1.6449568552195565E-2</v>
      </c>
      <c r="I2909">
        <v>1.6449568552195599E-2</v>
      </c>
    </row>
    <row r="2910" spans="1:9" x14ac:dyDescent="0.25">
      <c r="A2910">
        <v>280</v>
      </c>
      <c r="B2910" t="s">
        <v>1425</v>
      </c>
      <c r="C2910" t="s">
        <v>48</v>
      </c>
      <c r="D2910" t="s">
        <v>179</v>
      </c>
      <c r="E2910">
        <f>11/179</f>
        <v>6.1452513966480445E-2</v>
      </c>
      <c r="F2910">
        <v>15</v>
      </c>
      <c r="G2910">
        <f>LOG(382/(15+1))</f>
        <v>1.3779433802557839</v>
      </c>
      <c r="H2910">
        <f>0.0614525139664804*3.17283188636679</f>
        <v>0.19497849581024954</v>
      </c>
      <c r="I2910">
        <v>0.1949784958102499</v>
      </c>
    </row>
    <row r="2911" spans="1:9" x14ac:dyDescent="0.25">
      <c r="A2911">
        <v>280</v>
      </c>
      <c r="B2911" t="s">
        <v>1425</v>
      </c>
      <c r="C2911" t="s">
        <v>48</v>
      </c>
      <c r="D2911" t="s">
        <v>1426</v>
      </c>
      <c r="E2911">
        <f>11/179</f>
        <v>6.1452513966480445E-2</v>
      </c>
      <c r="F2911">
        <v>3</v>
      </c>
      <c r="G2911">
        <f>LOG(382/(3+1))</f>
        <v>1.9800033715837464</v>
      </c>
      <c r="H2911">
        <f>0.0614525139664804*4.55912624748668</f>
        <v>0.28016976939862259</v>
      </c>
      <c r="I2911">
        <v>0.28016976939862298</v>
      </c>
    </row>
    <row r="2912" spans="1:9" x14ac:dyDescent="0.25">
      <c r="A2912">
        <v>280</v>
      </c>
      <c r="B2912" t="s">
        <v>1425</v>
      </c>
      <c r="C2912" t="s">
        <v>48</v>
      </c>
      <c r="D2912" t="s">
        <v>781</v>
      </c>
      <c r="E2912">
        <f>2/179</f>
        <v>1.11731843575419E-2</v>
      </c>
      <c r="F2912">
        <v>8</v>
      </c>
      <c r="G2912">
        <f>LOG(382/(8+1))</f>
        <v>1.6278208534723839</v>
      </c>
      <c r="H2912">
        <f>0.0111731843575419*3.74819603127035</f>
        <v>4.1879285265590503E-2</v>
      </c>
      <c r="I2912">
        <v>4.1879285265590573E-2</v>
      </c>
    </row>
    <row r="2913" spans="1:9" x14ac:dyDescent="0.25">
      <c r="A2913">
        <v>280</v>
      </c>
      <c r="B2913" t="s">
        <v>1425</v>
      </c>
      <c r="C2913" t="s">
        <v>48</v>
      </c>
      <c r="D2913" t="s">
        <v>42</v>
      </c>
      <c r="E2913">
        <f>2/179</f>
        <v>1.11731843575419E-2</v>
      </c>
      <c r="F2913">
        <v>251</v>
      </c>
      <c r="G2913">
        <f>LOG(382/(251+1))</f>
        <v>0.18066282213016463</v>
      </c>
      <c r="H2913">
        <f>0.0111731843575419*0.415991521095151</f>
        <v>4.6479499563704023E-3</v>
      </c>
      <c r="I2913">
        <v>4.6479499563704119E-3</v>
      </c>
    </row>
    <row r="2914" spans="1:9" x14ac:dyDescent="0.25">
      <c r="A2914">
        <v>280</v>
      </c>
      <c r="B2914" t="s">
        <v>1425</v>
      </c>
      <c r="C2914" t="s">
        <v>48</v>
      </c>
      <c r="D2914" t="s">
        <v>15</v>
      </c>
      <c r="E2914">
        <f>8/179</f>
        <v>4.4692737430167599E-2</v>
      </c>
      <c r="F2914">
        <v>112</v>
      </c>
      <c r="G2914">
        <f>LOG(382/(112+1))</f>
        <v>0.52898491942828896</v>
      </c>
      <c r="H2914">
        <f>0.0446927374301676*1.21803278989423</f>
        <v>5.4437219660077321E-2</v>
      </c>
      <c r="I2914">
        <v>5.4437219660077529E-2</v>
      </c>
    </row>
    <row r="2915" spans="1:9" x14ac:dyDescent="0.25">
      <c r="A2915">
        <v>280</v>
      </c>
      <c r="B2915" t="s">
        <v>1425</v>
      </c>
      <c r="C2915" t="s">
        <v>48</v>
      </c>
      <c r="D2915" t="s">
        <v>17</v>
      </c>
      <c r="E2915">
        <f>2/179</f>
        <v>1.11731843575419E-2</v>
      </c>
      <c r="F2915">
        <v>169</v>
      </c>
      <c r="G2915">
        <f>LOG(382/(169+1))</f>
        <v>0.3516144415334348</v>
      </c>
      <c r="H2915">
        <f>0.0111731843575419*0.809622171556313</f>
        <v>9.0460577827521007E-3</v>
      </c>
      <c r="I2915">
        <v>9.0460577827521059E-3</v>
      </c>
    </row>
    <row r="2916" spans="1:9" x14ac:dyDescent="0.25">
      <c r="A2916">
        <v>280</v>
      </c>
      <c r="B2916" t="s">
        <v>1425</v>
      </c>
      <c r="C2916" t="s">
        <v>48</v>
      </c>
      <c r="D2916" t="s">
        <v>1064</v>
      </c>
      <c r="E2916">
        <f>2/179</f>
        <v>1.11731843575419E-2</v>
      </c>
      <c r="F2916">
        <v>7</v>
      </c>
      <c r="G2916">
        <f>LOG(382/(7+1))</f>
        <v>1.6789733759197651</v>
      </c>
      <c r="H2916">
        <f>0.0111731843575419*3.86597906692673</f>
        <v>4.3195296837170175E-2</v>
      </c>
      <c r="I2916">
        <v>4.3195296837170272E-2</v>
      </c>
    </row>
    <row r="2917" spans="1:9" x14ac:dyDescent="0.25">
      <c r="A2917">
        <v>280</v>
      </c>
      <c r="B2917" t="s">
        <v>1425</v>
      </c>
      <c r="C2917" t="s">
        <v>48</v>
      </c>
      <c r="D2917" t="s">
        <v>1427</v>
      </c>
      <c r="E2917">
        <f>1/179</f>
        <v>5.5865921787709499E-3</v>
      </c>
      <c r="F2917">
        <v>1</v>
      </c>
      <c r="G2917">
        <f>LOG(382/(1+1))</f>
        <v>2.2810333672477277</v>
      </c>
      <c r="H2917">
        <f>0.00558659217877095*5.25227342804663</f>
        <v>2.9342309653891788E-2</v>
      </c>
      <c r="I2917">
        <v>2.9342309653891788E-2</v>
      </c>
    </row>
    <row r="2918" spans="1:9" x14ac:dyDescent="0.25">
      <c r="A2918">
        <v>280</v>
      </c>
      <c r="B2918" t="s">
        <v>1425</v>
      </c>
      <c r="C2918" t="s">
        <v>48</v>
      </c>
      <c r="D2918" t="s">
        <v>809</v>
      </c>
      <c r="E2918">
        <f>3/179</f>
        <v>1.6759776536312849E-2</v>
      </c>
      <c r="F2918">
        <v>19</v>
      </c>
      <c r="G2918">
        <f>LOG(382/(19+1))</f>
        <v>1.2810333672477277</v>
      </c>
      <c r="H2918">
        <f>0.0167597765363128*2.94968833505258</f>
        <v>4.94361173472498E-2</v>
      </c>
      <c r="I2918">
        <v>4.9436117347250022E-2</v>
      </c>
    </row>
    <row r="2919" spans="1:9" x14ac:dyDescent="0.25">
      <c r="A2919">
        <v>280</v>
      </c>
      <c r="B2919" t="s">
        <v>1425</v>
      </c>
      <c r="C2919" t="s">
        <v>48</v>
      </c>
      <c r="D2919" t="s">
        <v>22</v>
      </c>
      <c r="E2919">
        <f>2/179</f>
        <v>1.11731843575419E-2</v>
      </c>
      <c r="F2919">
        <v>259</v>
      </c>
      <c r="G2919">
        <f>LOG(382/(259+1))</f>
        <v>0.16709001494089079</v>
      </c>
      <c r="H2919">
        <f>0.0111731843575419*0.384738977591047</f>
        <v>4.2987595261569506E-3</v>
      </c>
      <c r="I2919">
        <v>4.2987595261569558E-3</v>
      </c>
    </row>
    <row r="2920" spans="1:9" x14ac:dyDescent="0.25">
      <c r="A2920">
        <v>280</v>
      </c>
      <c r="B2920" t="s">
        <v>1425</v>
      </c>
      <c r="C2920" t="s">
        <v>48</v>
      </c>
      <c r="D2920" t="s">
        <v>23</v>
      </c>
      <c r="E2920">
        <f>2/179</f>
        <v>1.11731843575419E-2</v>
      </c>
      <c r="F2920">
        <v>275</v>
      </c>
      <c r="G2920">
        <f>LOG(382/(275+1))</f>
        <v>0.14115428084649101</v>
      </c>
      <c r="H2920">
        <f>0.0111731843575419*0.325019742889425</f>
        <v>3.6315055071444134E-3</v>
      </c>
      <c r="I2920">
        <v>3.6315055071444152E-3</v>
      </c>
    </row>
    <row r="2921" spans="1:9" x14ac:dyDescent="0.25">
      <c r="A2921">
        <v>280</v>
      </c>
      <c r="B2921" t="s">
        <v>1425</v>
      </c>
      <c r="C2921" t="s">
        <v>48</v>
      </c>
      <c r="D2921" t="s">
        <v>105</v>
      </c>
      <c r="E2921">
        <f>1/179</f>
        <v>5.5865921787709499E-3</v>
      </c>
      <c r="F2921">
        <v>122</v>
      </c>
      <c r="G2921">
        <f>LOG(382/(122+1))</f>
        <v>0.49215825147231079</v>
      </c>
      <c r="H2921">
        <f>0.00558659217877095*1.13323625323415</f>
        <v>6.3309287890175982E-3</v>
      </c>
      <c r="I2921">
        <v>6.3309287890176398E-3</v>
      </c>
    </row>
    <row r="2922" spans="1:9" x14ac:dyDescent="0.25">
      <c r="A2922">
        <v>280</v>
      </c>
      <c r="B2922" t="s">
        <v>1425</v>
      </c>
      <c r="C2922" t="s">
        <v>48</v>
      </c>
      <c r="D2922" t="s">
        <v>196</v>
      </c>
      <c r="E2922">
        <f>2/179</f>
        <v>1.11731843575419E-2</v>
      </c>
      <c r="F2922">
        <v>33</v>
      </c>
      <c r="G2922">
        <f>LOG(382/(33+1))</f>
        <v>1.0505844458694535</v>
      </c>
      <c r="H2922">
        <f>0.0111731843575419*2.41906008399041</f>
        <v>2.7028604290395646E-2</v>
      </c>
      <c r="I2922">
        <v>2.7028604290395681E-2</v>
      </c>
    </row>
    <row r="2923" spans="1:9" x14ac:dyDescent="0.25">
      <c r="A2923">
        <v>280</v>
      </c>
      <c r="B2923" t="s">
        <v>1425</v>
      </c>
      <c r="C2923" t="s">
        <v>48</v>
      </c>
      <c r="D2923" t="s">
        <v>189</v>
      </c>
      <c r="E2923">
        <f>4/179</f>
        <v>2.23463687150838E-2</v>
      </c>
      <c r="F2923">
        <v>27</v>
      </c>
      <c r="G2923">
        <f>LOG(382/(27+1))</f>
        <v>1.1349053315694895</v>
      </c>
      <c r="H2923">
        <f>0.0223463687150838*2.61321609843137</f>
        <v>5.8395890467740116E-2</v>
      </c>
      <c r="I2923">
        <v>5.8395890467740137E-2</v>
      </c>
    </row>
    <row r="2924" spans="1:9" x14ac:dyDescent="0.25">
      <c r="A2924">
        <v>280</v>
      </c>
      <c r="B2924" t="s">
        <v>1425</v>
      </c>
      <c r="C2924" t="s">
        <v>48</v>
      </c>
      <c r="D2924" t="s">
        <v>1063</v>
      </c>
      <c r="E2924">
        <f>3/179</f>
        <v>1.6759776536312849E-2</v>
      </c>
      <c r="F2924">
        <v>3</v>
      </c>
      <c r="G2924">
        <f>LOG(382/(3+1))</f>
        <v>1.9800033715837464</v>
      </c>
      <c r="H2924">
        <f>0.0167597765363128*4.55912624748668</f>
        <v>7.640993710871509E-2</v>
      </c>
      <c r="I2924">
        <v>7.6409937108715381E-2</v>
      </c>
    </row>
    <row r="2925" spans="1:9" x14ac:dyDescent="0.25">
      <c r="A2925">
        <v>280</v>
      </c>
      <c r="B2925" t="s">
        <v>1425</v>
      </c>
      <c r="C2925" t="s">
        <v>48</v>
      </c>
      <c r="D2925" t="s">
        <v>38</v>
      </c>
      <c r="E2925">
        <f>1/179</f>
        <v>5.5865921787709499E-3</v>
      </c>
      <c r="F2925">
        <v>86</v>
      </c>
      <c r="G2925">
        <f>LOG(382/(86+1))</f>
        <v>0.64254411029309022</v>
      </c>
      <c r="H2925">
        <f>0.00558659217877095*1.47951248995199</f>
        <v>8.2654329047597216E-3</v>
      </c>
      <c r="I2925">
        <v>8.2654329047597286E-3</v>
      </c>
    </row>
    <row r="2926" spans="1:9" x14ac:dyDescent="0.25">
      <c r="A2926">
        <v>280</v>
      </c>
      <c r="B2926" t="s">
        <v>1425</v>
      </c>
      <c r="C2926" t="s">
        <v>48</v>
      </c>
      <c r="D2926" t="s">
        <v>50</v>
      </c>
      <c r="E2926">
        <f>4/179</f>
        <v>2.23463687150838E-2</v>
      </c>
      <c r="F2926">
        <v>109</v>
      </c>
      <c r="G2926">
        <f>LOG(382/(109+1))</f>
        <v>0.54067067775348365</v>
      </c>
      <c r="H2926">
        <f>0.0223463687150838*1.24494024281415</f>
        <v>2.7819893694170952E-2</v>
      </c>
      <c r="I2926">
        <v>2.7819893694171149E-2</v>
      </c>
    </row>
    <row r="2927" spans="1:9" x14ac:dyDescent="0.25">
      <c r="A2927">
        <v>280</v>
      </c>
      <c r="B2927" t="s">
        <v>1425</v>
      </c>
      <c r="C2927" t="s">
        <v>48</v>
      </c>
      <c r="D2927" t="s">
        <v>41</v>
      </c>
      <c r="E2927">
        <f>4/179</f>
        <v>2.23463687150838E-2</v>
      </c>
      <c r="F2927">
        <v>195</v>
      </c>
      <c r="G2927">
        <f>LOG(382/(195+1))</f>
        <v>0.28980729155523272</v>
      </c>
      <c r="H2927">
        <f>0.0223463687150838*0.667305949376058</f>
        <v>1.4911864790526436E-2</v>
      </c>
      <c r="I2927">
        <v>1.491186479052644E-2</v>
      </c>
    </row>
    <row r="2928" spans="1:9" x14ac:dyDescent="0.25">
      <c r="A2928">
        <v>280</v>
      </c>
      <c r="B2928" t="s">
        <v>1425</v>
      </c>
      <c r="C2928" t="s">
        <v>48</v>
      </c>
      <c r="D2928" t="s">
        <v>1428</v>
      </c>
      <c r="E2928">
        <f>1/179</f>
        <v>5.5865921787709499E-3</v>
      </c>
      <c r="F2928">
        <v>3</v>
      </c>
      <c r="G2928">
        <f>LOG(382/(3+1))</f>
        <v>1.9800033715837464</v>
      </c>
      <c r="H2928">
        <f>0.00558659217877095*4.55912624748668</f>
        <v>2.5469979036238436E-2</v>
      </c>
      <c r="I2928">
        <v>2.546997903623846E-2</v>
      </c>
    </row>
    <row r="2929" spans="1:9" x14ac:dyDescent="0.25">
      <c r="A2929">
        <v>280</v>
      </c>
      <c r="B2929" t="s">
        <v>1425</v>
      </c>
      <c r="C2929" t="s">
        <v>48</v>
      </c>
      <c r="D2929" t="s">
        <v>52</v>
      </c>
      <c r="E2929">
        <f>1/179</f>
        <v>5.5865921787709499E-3</v>
      </c>
      <c r="F2929">
        <v>35</v>
      </c>
      <c r="G2929">
        <f>LOG(382/(35+1))</f>
        <v>1.0257608621444214</v>
      </c>
      <c r="H2929">
        <f>0.00558659217877095*2.36190167015046</f>
        <v>1.3194981397488604E-2</v>
      </c>
      <c r="I2929">
        <v>1.319498139748863E-2</v>
      </c>
    </row>
    <row r="2930" spans="1:9" x14ac:dyDescent="0.25">
      <c r="A2930">
        <v>280</v>
      </c>
      <c r="B2930" t="s">
        <v>1425</v>
      </c>
      <c r="C2930" t="s">
        <v>48</v>
      </c>
      <c r="D2930" t="s">
        <v>53</v>
      </c>
      <c r="E2930">
        <f>3/179</f>
        <v>1.6759776536312849E-2</v>
      </c>
      <c r="F2930">
        <v>57</v>
      </c>
      <c r="G2930">
        <f>LOG(382/(57+1))</f>
        <v>0.81863536934877146</v>
      </c>
      <c r="H2930">
        <f>0.0167597765363128*1.88497759806015</f>
        <v>3.1591803319443765E-2</v>
      </c>
      <c r="I2930">
        <v>3.1591803319443952E-2</v>
      </c>
    </row>
    <row r="2931" spans="1:9" x14ac:dyDescent="0.25">
      <c r="A2931">
        <v>280</v>
      </c>
      <c r="B2931" t="s">
        <v>1425</v>
      </c>
      <c r="C2931" t="s">
        <v>48</v>
      </c>
      <c r="D2931" t="s">
        <v>207</v>
      </c>
      <c r="E2931">
        <f>2/179</f>
        <v>1.11731843575419E-2</v>
      </c>
      <c r="F2931">
        <v>21</v>
      </c>
      <c r="G2931">
        <f>LOG(382/(21+1))</f>
        <v>1.2396406820895025</v>
      </c>
      <c r="H2931">
        <f>0.0111731843575419*2.85437815524825</f>
        <v>3.1892493354729053E-2</v>
      </c>
      <c r="I2931">
        <v>3.1892493354729157E-2</v>
      </c>
    </row>
    <row r="2932" spans="1:9" x14ac:dyDescent="0.25">
      <c r="A2932">
        <v>280</v>
      </c>
      <c r="B2932" t="s">
        <v>1425</v>
      </c>
      <c r="C2932" t="s">
        <v>48</v>
      </c>
      <c r="D2932" t="s">
        <v>924</v>
      </c>
      <c r="E2932">
        <f t="shared" ref="E2932:E2943" si="134">1/179</f>
        <v>5.5865921787709499E-3</v>
      </c>
      <c r="F2932">
        <v>13</v>
      </c>
      <c r="G2932">
        <f>LOG(382/(13+1))</f>
        <v>1.4359353272334707</v>
      </c>
      <c r="H2932">
        <f>0.00558659217877095*3.30636327899131</f>
        <v>1.8471303234588326E-2</v>
      </c>
      <c r="I2932">
        <v>1.8471303234588361E-2</v>
      </c>
    </row>
    <row r="2933" spans="1:9" x14ac:dyDescent="0.25">
      <c r="A2933">
        <v>280</v>
      </c>
      <c r="B2933" t="s">
        <v>1425</v>
      </c>
      <c r="C2933" t="s">
        <v>48</v>
      </c>
      <c r="D2933" t="s">
        <v>1429</v>
      </c>
      <c r="E2933">
        <f t="shared" si="134"/>
        <v>5.5865921787709499E-3</v>
      </c>
      <c r="F2933">
        <v>1</v>
      </c>
      <c r="G2933">
        <f>LOG(382/(1+1))</f>
        <v>2.2810333672477277</v>
      </c>
      <c r="H2933">
        <f>0.00558659217877095*5.25227342804663</f>
        <v>2.9342309653891788E-2</v>
      </c>
      <c r="I2933">
        <v>2.9342309653891788E-2</v>
      </c>
    </row>
    <row r="2934" spans="1:9" x14ac:dyDescent="0.25">
      <c r="A2934">
        <v>280</v>
      </c>
      <c r="B2934" t="s">
        <v>1425</v>
      </c>
      <c r="C2934" t="s">
        <v>48</v>
      </c>
      <c r="D2934" t="s">
        <v>1021</v>
      </c>
      <c r="E2934">
        <f t="shared" si="134"/>
        <v>5.5865921787709499E-3</v>
      </c>
      <c r="F2934">
        <v>6</v>
      </c>
      <c r="G2934">
        <f>LOG(382/(6+1))</f>
        <v>1.736965322897452</v>
      </c>
      <c r="H2934">
        <f>0.00558659217877095*3.99951045955126</f>
        <v>2.2343633852241678E-2</v>
      </c>
      <c r="I2934">
        <v>2.2343633852241689E-2</v>
      </c>
    </row>
    <row r="2935" spans="1:9" x14ac:dyDescent="0.25">
      <c r="A2935">
        <v>280</v>
      </c>
      <c r="B2935" t="s">
        <v>1425</v>
      </c>
      <c r="C2935" t="s">
        <v>48</v>
      </c>
      <c r="D2935" t="s">
        <v>1131</v>
      </c>
      <c r="E2935">
        <f t="shared" si="134"/>
        <v>5.5865921787709499E-3</v>
      </c>
      <c r="F2935">
        <v>6</v>
      </c>
      <c r="G2935">
        <f>LOG(382/(6+1))</f>
        <v>1.736965322897452</v>
      </c>
      <c r="H2935">
        <f>0.00558659217877095*3.99951045955126</f>
        <v>2.2343633852241678E-2</v>
      </c>
      <c r="I2935">
        <v>2.2343633852241689E-2</v>
      </c>
    </row>
    <row r="2936" spans="1:9" x14ac:dyDescent="0.25">
      <c r="A2936">
        <v>280</v>
      </c>
      <c r="B2936" t="s">
        <v>1425</v>
      </c>
      <c r="C2936" t="s">
        <v>48</v>
      </c>
      <c r="D2936" t="s">
        <v>58</v>
      </c>
      <c r="E2936">
        <f t="shared" si="134"/>
        <v>5.5865921787709499E-3</v>
      </c>
      <c r="F2936">
        <v>18</v>
      </c>
      <c r="G2936">
        <f>LOG(382/(18+1))</f>
        <v>1.3033097619588798</v>
      </c>
      <c r="H2936">
        <f>0.00558659217877095*3.00098162944013</f>
        <v>1.6765260499665532E-2</v>
      </c>
      <c r="I2936">
        <v>1.676526049966556E-2</v>
      </c>
    </row>
    <row r="2937" spans="1:9" x14ac:dyDescent="0.25">
      <c r="A2937">
        <v>280</v>
      </c>
      <c r="B2937" t="s">
        <v>1425</v>
      </c>
      <c r="C2937" t="s">
        <v>48</v>
      </c>
      <c r="D2937" t="s">
        <v>695</v>
      </c>
      <c r="E2937">
        <f t="shared" si="134"/>
        <v>5.5865921787709499E-3</v>
      </c>
      <c r="F2937">
        <v>13</v>
      </c>
      <c r="G2937">
        <f>LOG(382/(13+1))</f>
        <v>1.4359353272334707</v>
      </c>
      <c r="H2937">
        <f>0.00558659217877095*3.30636327899131</f>
        <v>1.8471303234588326E-2</v>
      </c>
      <c r="I2937">
        <v>1.8471303234588361E-2</v>
      </c>
    </row>
    <row r="2938" spans="1:9" x14ac:dyDescent="0.25">
      <c r="A2938">
        <v>280</v>
      </c>
      <c r="B2938" t="s">
        <v>1425</v>
      </c>
      <c r="C2938" t="s">
        <v>48</v>
      </c>
      <c r="D2938" t="s">
        <v>262</v>
      </c>
      <c r="E2938">
        <f t="shared" si="134"/>
        <v>5.5865921787709499E-3</v>
      </c>
      <c r="F2938">
        <v>13</v>
      </c>
      <c r="G2938">
        <f>LOG(382/(13+1))</f>
        <v>1.4359353272334707</v>
      </c>
      <c r="H2938">
        <f>0.00558659217877095*3.30636327899131</f>
        <v>1.8471303234588326E-2</v>
      </c>
      <c r="I2938">
        <v>1.8471303234588361E-2</v>
      </c>
    </row>
    <row r="2939" spans="1:9" x14ac:dyDescent="0.25">
      <c r="A2939">
        <v>280</v>
      </c>
      <c r="B2939" t="s">
        <v>1425</v>
      </c>
      <c r="C2939" t="s">
        <v>48</v>
      </c>
      <c r="D2939" t="s">
        <v>1022</v>
      </c>
      <c r="E2939">
        <f t="shared" si="134"/>
        <v>5.5865921787709499E-3</v>
      </c>
      <c r="F2939">
        <v>3</v>
      </c>
      <c r="G2939">
        <f>LOG(382/(3+1))</f>
        <v>1.9800033715837464</v>
      </c>
      <c r="H2939">
        <f>0.00558659217877095*4.55912624748668</f>
        <v>2.5469979036238436E-2</v>
      </c>
      <c r="I2939">
        <v>2.546997903623846E-2</v>
      </c>
    </row>
    <row r="2940" spans="1:9" x14ac:dyDescent="0.25">
      <c r="A2940">
        <v>280</v>
      </c>
      <c r="B2940" t="s">
        <v>1425</v>
      </c>
      <c r="C2940" t="s">
        <v>48</v>
      </c>
      <c r="D2940" t="s">
        <v>187</v>
      </c>
      <c r="E2940">
        <f t="shared" si="134"/>
        <v>5.5865921787709499E-3</v>
      </c>
      <c r="F2940">
        <v>21</v>
      </c>
      <c r="G2940">
        <f>LOG(382/(21+1))</f>
        <v>1.2396406820895025</v>
      </c>
      <c r="H2940">
        <f>0.00558659217877095*2.85437815524825</f>
        <v>1.5946246677364526E-2</v>
      </c>
      <c r="I2940">
        <v>1.5946246677364578E-2</v>
      </c>
    </row>
    <row r="2941" spans="1:9" x14ac:dyDescent="0.25">
      <c r="A2941">
        <v>280</v>
      </c>
      <c r="B2941" t="s">
        <v>1425</v>
      </c>
      <c r="C2941" t="s">
        <v>48</v>
      </c>
      <c r="D2941" t="s">
        <v>222</v>
      </c>
      <c r="E2941">
        <f t="shared" si="134"/>
        <v>5.5865921787709499E-3</v>
      </c>
      <c r="F2941">
        <v>22</v>
      </c>
      <c r="G2941">
        <f>LOG(382/(22+1))</f>
        <v>1.2203355268941158</v>
      </c>
      <c r="H2941">
        <f>0.00558659217877095*2.80992639267742</f>
        <v>1.5697912808253743E-2</v>
      </c>
      <c r="I2941">
        <v>1.5697912808253771E-2</v>
      </c>
    </row>
    <row r="2942" spans="1:9" x14ac:dyDescent="0.25">
      <c r="A2942">
        <v>280</v>
      </c>
      <c r="B2942" t="s">
        <v>1425</v>
      </c>
      <c r="C2942" t="s">
        <v>48</v>
      </c>
      <c r="D2942" t="s">
        <v>1430</v>
      </c>
      <c r="E2942">
        <f t="shared" si="134"/>
        <v>5.5865921787709499E-3</v>
      </c>
      <c r="F2942">
        <v>1</v>
      </c>
      <c r="G2942">
        <f>LOG(382/(1+1))</f>
        <v>2.2810333672477277</v>
      </c>
      <c r="H2942">
        <f>0.00558659217877095*5.25227342804663</f>
        <v>2.9342309653891788E-2</v>
      </c>
      <c r="I2942">
        <v>2.9342309653891788E-2</v>
      </c>
    </row>
    <row r="2943" spans="1:9" x14ac:dyDescent="0.25">
      <c r="A2943">
        <v>280</v>
      </c>
      <c r="B2943" t="s">
        <v>1425</v>
      </c>
      <c r="C2943" t="s">
        <v>48</v>
      </c>
      <c r="D2943" t="s">
        <v>1431</v>
      </c>
      <c r="E2943">
        <f t="shared" si="134"/>
        <v>5.5865921787709499E-3</v>
      </c>
      <c r="F2943">
        <v>1</v>
      </c>
      <c r="G2943">
        <f>LOG(382/(1+1))</f>
        <v>2.2810333672477277</v>
      </c>
      <c r="H2943">
        <f>0.00558659217877095*5.25227342804663</f>
        <v>2.9342309653891788E-2</v>
      </c>
      <c r="I2943">
        <v>2.9342309653891788E-2</v>
      </c>
    </row>
    <row r="2944" spans="1:9" x14ac:dyDescent="0.25">
      <c r="A2944">
        <v>280</v>
      </c>
      <c r="B2944" t="s">
        <v>1425</v>
      </c>
      <c r="C2944" t="s">
        <v>48</v>
      </c>
      <c r="D2944" t="s">
        <v>144</v>
      </c>
      <c r="E2944">
        <f>2/179</f>
        <v>1.11731843575419E-2</v>
      </c>
      <c r="F2944">
        <v>105</v>
      </c>
      <c r="G2944">
        <f>LOG(382/(105+1))</f>
        <v>0.55675749764693849</v>
      </c>
      <c r="H2944">
        <f>0.0111731843575419*1.2819815144945</f>
        <v>1.4323815804407822E-2</v>
      </c>
      <c r="I2944">
        <v>1.432381580440791E-2</v>
      </c>
    </row>
    <row r="2945" spans="1:9" x14ac:dyDescent="0.25">
      <c r="A2945">
        <v>280</v>
      </c>
      <c r="B2945" t="s">
        <v>1425</v>
      </c>
      <c r="C2945" t="s">
        <v>48</v>
      </c>
      <c r="D2945" t="s">
        <v>19</v>
      </c>
      <c r="E2945">
        <f>1/179</f>
        <v>5.5865921787709499E-3</v>
      </c>
      <c r="F2945">
        <v>220</v>
      </c>
      <c r="G2945">
        <f>LOG(382/(220+1))</f>
        <v>0.23767108922659805</v>
      </c>
      <c r="H2945">
        <f>0.00558659217877095*0.547257907088822</f>
        <v>3.0573067435129726E-3</v>
      </c>
      <c r="I2945">
        <v>3.0573067435129739E-3</v>
      </c>
    </row>
    <row r="2946" spans="1:9" x14ac:dyDescent="0.25">
      <c r="A2946">
        <v>280</v>
      </c>
      <c r="B2946" t="s">
        <v>1425</v>
      </c>
      <c r="C2946" t="s">
        <v>48</v>
      </c>
      <c r="D2946" t="s">
        <v>808</v>
      </c>
      <c r="E2946">
        <f>3/179</f>
        <v>1.6759776536312849E-2</v>
      </c>
      <c r="F2946">
        <v>20</v>
      </c>
      <c r="G2946">
        <f>LOG(382/(20+1))</f>
        <v>1.2598440681777894</v>
      </c>
      <c r="H2946">
        <f>0.0167597765363128*2.90089817088315</f>
        <v>4.8618405098600138E-2</v>
      </c>
      <c r="I2946">
        <v>4.8618405098600319E-2</v>
      </c>
    </row>
    <row r="2947" spans="1:9" x14ac:dyDescent="0.25">
      <c r="A2947">
        <v>280</v>
      </c>
      <c r="B2947" t="s">
        <v>1425</v>
      </c>
      <c r="C2947" t="s">
        <v>48</v>
      </c>
      <c r="D2947" t="s">
        <v>1432</v>
      </c>
      <c r="E2947">
        <f>1/179</f>
        <v>5.5865921787709499E-3</v>
      </c>
      <c r="F2947">
        <v>1</v>
      </c>
      <c r="G2947">
        <f>LOG(382/(1+1))</f>
        <v>2.2810333672477277</v>
      </c>
      <c r="H2947">
        <f>0.00558659217877095*5.25227342804663</f>
        <v>2.9342309653891788E-2</v>
      </c>
      <c r="I2947">
        <v>2.9342309653891788E-2</v>
      </c>
    </row>
    <row r="2948" spans="1:9" x14ac:dyDescent="0.25">
      <c r="A2948">
        <v>280</v>
      </c>
      <c r="B2948" t="s">
        <v>1425</v>
      </c>
      <c r="C2948" t="s">
        <v>48</v>
      </c>
      <c r="D2948" t="s">
        <v>339</v>
      </c>
      <c r="E2948">
        <f>1/179</f>
        <v>5.5865921787709499E-3</v>
      </c>
      <c r="F2948">
        <v>66</v>
      </c>
      <c r="G2948">
        <f>LOG(382/(66+1))</f>
        <v>0.75598856021088234</v>
      </c>
      <c r="H2948">
        <f>0.00558659217877095*1.7407279892156</f>
        <v>9.724737369919554E-3</v>
      </c>
      <c r="I2948">
        <v>9.7247373699196043E-3</v>
      </c>
    </row>
    <row r="2949" spans="1:9" x14ac:dyDescent="0.25">
      <c r="A2949">
        <v>280</v>
      </c>
      <c r="B2949" t="s">
        <v>1425</v>
      </c>
      <c r="C2949" t="s">
        <v>48</v>
      </c>
      <c r="D2949" t="s">
        <v>591</v>
      </c>
      <c r="E2949">
        <f>1/179</f>
        <v>5.5865921787709499E-3</v>
      </c>
      <c r="F2949">
        <v>21</v>
      </c>
      <c r="G2949">
        <f>LOG(382/(21+1))</f>
        <v>1.2396406820895025</v>
      </c>
      <c r="H2949">
        <f>0.00558659217877095*2.85437815524825</f>
        <v>1.5946246677364526E-2</v>
      </c>
      <c r="I2949">
        <v>1.5946246677364578E-2</v>
      </c>
    </row>
    <row r="2950" spans="1:9" x14ac:dyDescent="0.25">
      <c r="A2950">
        <v>280</v>
      </c>
      <c r="B2950" t="s">
        <v>1425</v>
      </c>
      <c r="C2950" t="s">
        <v>48</v>
      </c>
      <c r="D2950" t="s">
        <v>1433</v>
      </c>
      <c r="E2950">
        <f>1/179</f>
        <v>5.5865921787709499E-3</v>
      </c>
      <c r="F2950">
        <v>21</v>
      </c>
      <c r="G2950">
        <f>LOG(382/(21+1))</f>
        <v>1.2396406820895025</v>
      </c>
      <c r="H2950">
        <f>0.00558659217877095*2.85437815524825</f>
        <v>1.5946246677364526E-2</v>
      </c>
      <c r="I2950">
        <v>1.5946246677364578E-2</v>
      </c>
    </row>
    <row r="2951" spans="1:9" x14ac:dyDescent="0.25">
      <c r="A2951">
        <v>280</v>
      </c>
      <c r="B2951" t="s">
        <v>1425</v>
      </c>
      <c r="C2951" t="s">
        <v>48</v>
      </c>
      <c r="D2951" t="s">
        <v>432</v>
      </c>
      <c r="E2951">
        <f>2/179</f>
        <v>1.11731843575419E-2</v>
      </c>
      <c r="F2951">
        <v>67</v>
      </c>
      <c r="G2951">
        <f>LOG(382/(67+1))</f>
        <v>0.7495544502054724</v>
      </c>
      <c r="H2951">
        <f>0.0111731843575419*1.72591290343046</f>
        <v>1.9283943055088942E-2</v>
      </c>
      <c r="I2951">
        <v>1.9283943055089028E-2</v>
      </c>
    </row>
    <row r="2952" spans="1:9" x14ac:dyDescent="0.25">
      <c r="A2952">
        <v>280</v>
      </c>
      <c r="B2952" t="s">
        <v>1425</v>
      </c>
      <c r="C2952" t="s">
        <v>48</v>
      </c>
      <c r="D2952" t="s">
        <v>1434</v>
      </c>
      <c r="E2952">
        <f>1/179</f>
        <v>5.5865921787709499E-3</v>
      </c>
      <c r="F2952">
        <v>1</v>
      </c>
      <c r="G2952">
        <f>LOG(382/(1+1))</f>
        <v>2.2810333672477277</v>
      </c>
      <c r="H2952">
        <f>0.00558659217877095*5.25227342804663</f>
        <v>2.9342309653891788E-2</v>
      </c>
      <c r="I2952">
        <v>2.9342309653891788E-2</v>
      </c>
    </row>
    <row r="2953" spans="1:9" x14ac:dyDescent="0.25">
      <c r="A2953">
        <v>280</v>
      </c>
      <c r="B2953" t="s">
        <v>1425</v>
      </c>
      <c r="C2953" t="s">
        <v>48</v>
      </c>
      <c r="D2953" t="s">
        <v>1435</v>
      </c>
      <c r="E2953">
        <f>1/179</f>
        <v>5.5865921787709499E-3</v>
      </c>
      <c r="F2953">
        <v>1</v>
      </c>
      <c r="G2953">
        <f>LOG(382/(1+1))</f>
        <v>2.2810333672477277</v>
      </c>
      <c r="H2953">
        <f>0.00558659217877095*5.25227342804663</f>
        <v>2.9342309653891788E-2</v>
      </c>
      <c r="I2953">
        <v>2.9342309653891788E-2</v>
      </c>
    </row>
    <row r="2954" spans="1:9" x14ac:dyDescent="0.25">
      <c r="A2954">
        <v>280</v>
      </c>
      <c r="B2954" t="s">
        <v>1425</v>
      </c>
      <c r="C2954" t="s">
        <v>48</v>
      </c>
      <c r="D2954" t="s">
        <v>224</v>
      </c>
      <c r="E2954">
        <f>5/179</f>
        <v>2.7932960893854747E-2</v>
      </c>
      <c r="F2954">
        <v>16</v>
      </c>
      <c r="G2954">
        <f>LOG(382/(16+1))</f>
        <v>1.3516144415334348</v>
      </c>
      <c r="H2954">
        <f>0.0279329608938547*3.11220726455035</f>
        <v>8.6933163814255421E-2</v>
      </c>
      <c r="I2954">
        <v>8.6933163814255837E-2</v>
      </c>
    </row>
    <row r="2955" spans="1:9" x14ac:dyDescent="0.25">
      <c r="A2955">
        <v>280</v>
      </c>
      <c r="B2955" t="s">
        <v>1425</v>
      </c>
      <c r="C2955" t="s">
        <v>48</v>
      </c>
      <c r="D2955" t="s">
        <v>1436</v>
      </c>
      <c r="E2955">
        <f>1/179</f>
        <v>5.5865921787709499E-3</v>
      </c>
      <c r="F2955">
        <v>1</v>
      </c>
      <c r="G2955">
        <f>LOG(382/(1+1))</f>
        <v>2.2810333672477277</v>
      </c>
      <c r="H2955">
        <f>0.00558659217877095*5.25227342804663</f>
        <v>2.9342309653891788E-2</v>
      </c>
      <c r="I2955">
        <v>2.9342309653891788E-2</v>
      </c>
    </row>
    <row r="2956" spans="1:9" x14ac:dyDescent="0.25">
      <c r="A2956">
        <v>280</v>
      </c>
      <c r="B2956" t="s">
        <v>1425</v>
      </c>
      <c r="C2956" t="s">
        <v>48</v>
      </c>
      <c r="D2956" t="s">
        <v>830</v>
      </c>
      <c r="E2956">
        <f>1/179</f>
        <v>5.5865921787709499E-3</v>
      </c>
      <c r="F2956">
        <v>19</v>
      </c>
      <c r="G2956">
        <f>LOG(382/(19+1))</f>
        <v>1.2810333672477277</v>
      </c>
      <c r="H2956">
        <f>0.00558659217877095*2.94968833505258</f>
        <v>1.6478705782416649E-2</v>
      </c>
      <c r="I2956">
        <v>1.6478705782416669E-2</v>
      </c>
    </row>
    <row r="2957" spans="1:9" x14ac:dyDescent="0.25">
      <c r="A2957">
        <v>280</v>
      </c>
      <c r="B2957" t="s">
        <v>1425</v>
      </c>
      <c r="C2957" t="s">
        <v>48</v>
      </c>
      <c r="D2957" t="s">
        <v>677</v>
      </c>
      <c r="E2957">
        <f>1/179</f>
        <v>5.5865921787709499E-3</v>
      </c>
      <c r="F2957">
        <v>4</v>
      </c>
      <c r="G2957">
        <f>LOG(382/(4+1))</f>
        <v>1.8830933585756899</v>
      </c>
      <c r="H2957">
        <f>0.00558659217877095*4.33598269617247</f>
        <v>2.4223367017723298E-2</v>
      </c>
      <c r="I2957">
        <v>2.4223367017723318E-2</v>
      </c>
    </row>
    <row r="2958" spans="1:9" x14ac:dyDescent="0.25">
      <c r="A2958">
        <v>280</v>
      </c>
      <c r="B2958" t="s">
        <v>1425</v>
      </c>
      <c r="C2958" t="s">
        <v>48</v>
      </c>
      <c r="D2958" t="s">
        <v>540</v>
      </c>
      <c r="E2958">
        <f>1/179</f>
        <v>5.5865921787709499E-3</v>
      </c>
      <c r="F2958">
        <v>5</v>
      </c>
      <c r="G2958">
        <f>LOG(382/(5+1))</f>
        <v>1.803912112528065</v>
      </c>
      <c r="H2958">
        <f>0.00558659217877095*4.15366113937852</f>
        <v>2.3204810834516872E-2</v>
      </c>
      <c r="I2958">
        <v>2.3204810834516872E-2</v>
      </c>
    </row>
    <row r="2959" spans="1:9" x14ac:dyDescent="0.25">
      <c r="A2959">
        <v>280</v>
      </c>
      <c r="B2959" t="s">
        <v>1425</v>
      </c>
      <c r="C2959" t="s">
        <v>48</v>
      </c>
      <c r="D2959" t="s">
        <v>211</v>
      </c>
      <c r="E2959">
        <f>1/179</f>
        <v>5.5865921787709499E-3</v>
      </c>
      <c r="F2959">
        <v>10</v>
      </c>
      <c r="G2959">
        <f>LOG(382/(10+1))</f>
        <v>1.5406706777534838</v>
      </c>
      <c r="H2959">
        <f>0.00558659217877095*3.5475253358082</f>
        <v>1.9818577295017879E-2</v>
      </c>
      <c r="I2959">
        <v>1.9818577295017899E-2</v>
      </c>
    </row>
    <row r="2960" spans="1:9" x14ac:dyDescent="0.25">
      <c r="A2960">
        <v>280</v>
      </c>
      <c r="B2960" t="s">
        <v>1425</v>
      </c>
      <c r="C2960" t="s">
        <v>48</v>
      </c>
      <c r="D2960" t="s">
        <v>482</v>
      </c>
      <c r="E2960">
        <f>2/179</f>
        <v>1.11731843575419E-2</v>
      </c>
      <c r="F2960">
        <v>16</v>
      </c>
      <c r="G2960">
        <f>LOG(382/(16+1))</f>
        <v>1.3516144415334348</v>
      </c>
      <c r="H2960">
        <f>0.0111731843575419*3.11220726455035</f>
        <v>3.4773265525702236E-2</v>
      </c>
      <c r="I2960">
        <v>3.477326552570234E-2</v>
      </c>
    </row>
    <row r="2961" spans="1:9" x14ac:dyDescent="0.25">
      <c r="A2961">
        <v>280</v>
      </c>
      <c r="B2961" t="s">
        <v>1425</v>
      </c>
      <c r="C2961" t="s">
        <v>48</v>
      </c>
      <c r="D2961" t="s">
        <v>1437</v>
      </c>
      <c r="E2961">
        <f>1/179</f>
        <v>5.5865921787709499E-3</v>
      </c>
      <c r="F2961">
        <v>4</v>
      </c>
      <c r="G2961">
        <f>LOG(382/(4+1))</f>
        <v>1.8830933585756899</v>
      </c>
      <c r="H2961">
        <f>0.00558659217877095*4.33598269617247</f>
        <v>2.4223367017723298E-2</v>
      </c>
      <c r="I2961">
        <v>2.4223367017723318E-2</v>
      </c>
    </row>
    <row r="2962" spans="1:9" x14ac:dyDescent="0.25">
      <c r="A2962">
        <v>280</v>
      </c>
      <c r="B2962" t="s">
        <v>1425</v>
      </c>
      <c r="C2962" t="s">
        <v>48</v>
      </c>
      <c r="D2962" t="s">
        <v>1438</v>
      </c>
      <c r="E2962">
        <f>1/179</f>
        <v>5.5865921787709499E-3</v>
      </c>
      <c r="F2962">
        <v>2</v>
      </c>
      <c r="G2962">
        <f>LOG(382/(2+1))</f>
        <v>2.1049421081920463</v>
      </c>
      <c r="H2962">
        <f>0.00558659217877095*4.84680831993846</f>
        <v>2.7077141452170168E-2</v>
      </c>
      <c r="I2962">
        <v>2.70771414521702E-2</v>
      </c>
    </row>
    <row r="2963" spans="1:9" x14ac:dyDescent="0.25">
      <c r="A2963">
        <v>280</v>
      </c>
      <c r="B2963" t="s">
        <v>1425</v>
      </c>
      <c r="C2963" t="s">
        <v>48</v>
      </c>
      <c r="D2963" t="s">
        <v>91</v>
      </c>
      <c r="E2963">
        <f>1/179</f>
        <v>5.5865921787709499E-3</v>
      </c>
      <c r="F2963">
        <v>33</v>
      </c>
      <c r="G2963">
        <f>LOG(382/(33+1))</f>
        <v>1.0505844458694535</v>
      </c>
      <c r="H2963">
        <f>0.00558659217877095*2.41906008399041</f>
        <v>1.3514302145197823E-2</v>
      </c>
      <c r="I2963">
        <v>1.351430214519784E-2</v>
      </c>
    </row>
    <row r="2964" spans="1:9" x14ac:dyDescent="0.25">
      <c r="A2964">
        <v>280</v>
      </c>
      <c r="B2964" t="s">
        <v>1425</v>
      </c>
      <c r="C2964" t="s">
        <v>48</v>
      </c>
      <c r="D2964" t="s">
        <v>408</v>
      </c>
      <c r="E2964">
        <f>1/179</f>
        <v>5.5865921787709499E-3</v>
      </c>
      <c r="F2964">
        <v>27</v>
      </c>
      <c r="G2964">
        <f>LOG(382/(27+1))</f>
        <v>1.1349053315694895</v>
      </c>
      <c r="H2964">
        <f>0.00558659217877095*2.61321609843137</f>
        <v>1.4598972616935029E-2</v>
      </c>
      <c r="I2964">
        <v>1.4598972616935031E-2</v>
      </c>
    </row>
    <row r="2965" spans="1:9" x14ac:dyDescent="0.25">
      <c r="A2965">
        <v>280</v>
      </c>
      <c r="B2965" t="s">
        <v>1425</v>
      </c>
      <c r="C2965" t="s">
        <v>48</v>
      </c>
      <c r="D2965" t="s">
        <v>263</v>
      </c>
      <c r="E2965">
        <f>2/179</f>
        <v>1.11731843575419E-2</v>
      </c>
      <c r="F2965">
        <v>41</v>
      </c>
      <c r="G2965">
        <f>LOG(382/(41+1))</f>
        <v>0.95881407251380824</v>
      </c>
      <c r="H2965">
        <f>0.0111731843575419*2.2077509903232</f>
        <v>2.4667608830426818E-2</v>
      </c>
      <c r="I2965">
        <v>2.4667608830426891E-2</v>
      </c>
    </row>
    <row r="2966" spans="1:9" x14ac:dyDescent="0.25">
      <c r="A2966">
        <v>280</v>
      </c>
      <c r="B2966" t="s">
        <v>1425</v>
      </c>
      <c r="C2966" t="s">
        <v>48</v>
      </c>
      <c r="D2966" t="s">
        <v>1439</v>
      </c>
      <c r="E2966">
        <f>1/179</f>
        <v>5.5865921787709499E-3</v>
      </c>
      <c r="F2966">
        <v>1</v>
      </c>
      <c r="G2966">
        <f>LOG(382/(1+1))</f>
        <v>2.2810333672477277</v>
      </c>
      <c r="H2966">
        <f>0.00558659217877095*5.25227342804663</f>
        <v>2.9342309653891788E-2</v>
      </c>
      <c r="I2966">
        <v>2.9342309653891788E-2</v>
      </c>
    </row>
    <row r="2967" spans="1:9" x14ac:dyDescent="0.25">
      <c r="A2967">
        <v>280</v>
      </c>
      <c r="B2967" t="s">
        <v>1425</v>
      </c>
      <c r="C2967" t="s">
        <v>48</v>
      </c>
      <c r="D2967" t="s">
        <v>645</v>
      </c>
      <c r="E2967">
        <f>1/179</f>
        <v>5.5865921787709499E-3</v>
      </c>
      <c r="F2967">
        <v>5</v>
      </c>
      <c r="G2967">
        <f>LOG(382/(5+1))</f>
        <v>1.803912112528065</v>
      </c>
      <c r="H2967">
        <f>0.00558659217877095*4.15366113937852</f>
        <v>2.3204810834516872E-2</v>
      </c>
      <c r="I2967">
        <v>2.3204810834516872E-2</v>
      </c>
    </row>
    <row r="2968" spans="1:9" x14ac:dyDescent="0.25">
      <c r="A2968">
        <v>280</v>
      </c>
      <c r="B2968" t="s">
        <v>1425</v>
      </c>
      <c r="C2968" t="s">
        <v>48</v>
      </c>
      <c r="D2968" t="s">
        <v>131</v>
      </c>
      <c r="E2968">
        <f>2/179</f>
        <v>1.11731843575419E-2</v>
      </c>
      <c r="F2968">
        <v>38</v>
      </c>
      <c r="G2968">
        <f>LOG(382/(38+1))</f>
        <v>0.99099875588520958</v>
      </c>
      <c r="H2968">
        <f>0.0111731843575419*2.28185896247692</f>
        <v>2.5495630865663914E-2</v>
      </c>
      <c r="I2968">
        <v>2.5495630865664011E-2</v>
      </c>
    </row>
    <row r="2969" spans="1:9" x14ac:dyDescent="0.25">
      <c r="A2969">
        <v>280</v>
      </c>
      <c r="B2969" t="s">
        <v>1425</v>
      </c>
      <c r="C2969" t="s">
        <v>48</v>
      </c>
      <c r="D2969" t="s">
        <v>1012</v>
      </c>
      <c r="E2969">
        <f t="shared" ref="E2969:E2977" si="135">1/179</f>
        <v>5.5865921787709499E-3</v>
      </c>
      <c r="F2969">
        <v>17</v>
      </c>
      <c r="G2969">
        <f>LOG(382/(17+1))</f>
        <v>1.3267908578084027</v>
      </c>
      <c r="H2969">
        <f>0.00558659217877095*3.05504885071041</f>
        <v>1.7067312015141955E-2</v>
      </c>
      <c r="I2969">
        <v>1.7067312015141958E-2</v>
      </c>
    </row>
    <row r="2970" spans="1:9" x14ac:dyDescent="0.25">
      <c r="A2970">
        <v>280</v>
      </c>
      <c r="B2970" t="s">
        <v>1425</v>
      </c>
      <c r="C2970" t="s">
        <v>48</v>
      </c>
      <c r="D2970" t="s">
        <v>1440</v>
      </c>
      <c r="E2970">
        <f t="shared" si="135"/>
        <v>5.5865921787709499E-3</v>
      </c>
      <c r="F2970">
        <v>1</v>
      </c>
      <c r="G2970">
        <f>LOG(382/(1+1))</f>
        <v>2.2810333672477277</v>
      </c>
      <c r="H2970">
        <f>0.00558659217877095*5.25227342804663</f>
        <v>2.9342309653891788E-2</v>
      </c>
      <c r="I2970">
        <v>2.9342309653891788E-2</v>
      </c>
    </row>
    <row r="2971" spans="1:9" x14ac:dyDescent="0.25">
      <c r="A2971">
        <v>280</v>
      </c>
      <c r="B2971" t="s">
        <v>1425</v>
      </c>
      <c r="C2971" t="s">
        <v>48</v>
      </c>
      <c r="D2971" t="s">
        <v>666</v>
      </c>
      <c r="E2971">
        <f t="shared" si="135"/>
        <v>5.5865921787709499E-3</v>
      </c>
      <c r="F2971">
        <v>9</v>
      </c>
      <c r="G2971">
        <f>LOG(382/(9+1))</f>
        <v>1.5820633629117087</v>
      </c>
      <c r="H2971">
        <f>0.00558659217877095*3.64283551561252</f>
        <v>2.0351036400069945E-2</v>
      </c>
      <c r="I2971">
        <v>2.0351036400070001E-2</v>
      </c>
    </row>
    <row r="2972" spans="1:9" x14ac:dyDescent="0.25">
      <c r="A2972">
        <v>280</v>
      </c>
      <c r="B2972" t="s">
        <v>1425</v>
      </c>
      <c r="C2972" t="s">
        <v>48</v>
      </c>
      <c r="D2972" t="s">
        <v>1441</v>
      </c>
      <c r="E2972">
        <f t="shared" si="135"/>
        <v>5.5865921787709499E-3</v>
      </c>
      <c r="F2972">
        <v>1</v>
      </c>
      <c r="G2972">
        <f>LOG(382/(1+1))</f>
        <v>2.2810333672477277</v>
      </c>
      <c r="H2972">
        <f>0.00558659217877095*5.25227342804663</f>
        <v>2.9342309653891788E-2</v>
      </c>
      <c r="I2972">
        <v>2.9342309653891788E-2</v>
      </c>
    </row>
    <row r="2973" spans="1:9" x14ac:dyDescent="0.25">
      <c r="A2973">
        <v>280</v>
      </c>
      <c r="B2973" t="s">
        <v>1425</v>
      </c>
      <c r="C2973" t="s">
        <v>48</v>
      </c>
      <c r="D2973" t="s">
        <v>836</v>
      </c>
      <c r="E2973">
        <f t="shared" si="135"/>
        <v>5.5865921787709499E-3</v>
      </c>
      <c r="F2973">
        <v>21</v>
      </c>
      <c r="G2973">
        <f>LOG(382/(21+1))</f>
        <v>1.2396406820895025</v>
      </c>
      <c r="H2973">
        <f>0.00558659217877095*2.85437815524825</f>
        <v>1.5946246677364526E-2</v>
      </c>
      <c r="I2973">
        <v>1.5946246677364578E-2</v>
      </c>
    </row>
    <row r="2974" spans="1:9" x14ac:dyDescent="0.25">
      <c r="A2974">
        <v>280</v>
      </c>
      <c r="B2974" t="s">
        <v>1425</v>
      </c>
      <c r="C2974" t="s">
        <v>48</v>
      </c>
      <c r="D2974" t="s">
        <v>1442</v>
      </c>
      <c r="E2974">
        <f t="shared" si="135"/>
        <v>5.5865921787709499E-3</v>
      </c>
      <c r="F2974">
        <v>1</v>
      </c>
      <c r="G2974">
        <f>LOG(382/(1+1))</f>
        <v>2.2810333672477277</v>
      </c>
      <c r="H2974">
        <f>0.00558659217877095*5.25227342804663</f>
        <v>2.9342309653891788E-2</v>
      </c>
      <c r="I2974">
        <v>2.9342309653891788E-2</v>
      </c>
    </row>
    <row r="2975" spans="1:9" x14ac:dyDescent="0.25">
      <c r="A2975">
        <v>280</v>
      </c>
      <c r="B2975" t="s">
        <v>1425</v>
      </c>
      <c r="C2975" t="s">
        <v>48</v>
      </c>
      <c r="D2975" t="s">
        <v>838</v>
      </c>
      <c r="E2975">
        <f t="shared" si="135"/>
        <v>5.5865921787709499E-3</v>
      </c>
      <c r="F2975">
        <v>10</v>
      </c>
      <c r="G2975">
        <f>LOG(382/(10+1))</f>
        <v>1.5406706777534838</v>
      </c>
      <c r="H2975">
        <f>0.00558659217877095*3.5475253358082</f>
        <v>1.9818577295017879E-2</v>
      </c>
      <c r="I2975">
        <v>1.9818577295017899E-2</v>
      </c>
    </row>
    <row r="2976" spans="1:9" x14ac:dyDescent="0.25">
      <c r="A2976">
        <v>280</v>
      </c>
      <c r="B2976" t="s">
        <v>1425</v>
      </c>
      <c r="C2976" t="s">
        <v>48</v>
      </c>
      <c r="D2976" t="s">
        <v>1443</v>
      </c>
      <c r="E2976">
        <f t="shared" si="135"/>
        <v>5.5865921787709499E-3</v>
      </c>
      <c r="F2976">
        <v>1</v>
      </c>
      <c r="G2976">
        <f>LOG(382/(1+1))</f>
        <v>2.2810333672477277</v>
      </c>
      <c r="H2976">
        <f>0.00558659217877095*5.25227342804663</f>
        <v>2.9342309653891788E-2</v>
      </c>
      <c r="I2976">
        <v>2.9342309653891788E-2</v>
      </c>
    </row>
    <row r="2977" spans="1:9" x14ac:dyDescent="0.25">
      <c r="A2977">
        <v>280</v>
      </c>
      <c r="B2977" t="s">
        <v>1425</v>
      </c>
      <c r="C2977" t="s">
        <v>48</v>
      </c>
      <c r="D2977" t="s">
        <v>542</v>
      </c>
      <c r="E2977">
        <f t="shared" si="135"/>
        <v>5.5865921787709499E-3</v>
      </c>
      <c r="F2977">
        <v>42</v>
      </c>
      <c r="G2977">
        <f>LOG(382/(42+1))</f>
        <v>0.94859490733212215</v>
      </c>
      <c r="H2977">
        <f>0.00558659217877095*2.18422049291301</f>
        <v>1.220234912241905E-2</v>
      </c>
      <c r="I2977">
        <v>1.2202349122419069E-2</v>
      </c>
    </row>
    <row r="2978" spans="1:9" x14ac:dyDescent="0.25">
      <c r="A2978">
        <v>280</v>
      </c>
      <c r="B2978" t="s">
        <v>1425</v>
      </c>
      <c r="C2978" t="s">
        <v>48</v>
      </c>
      <c r="D2978" t="s">
        <v>237</v>
      </c>
      <c r="E2978">
        <f>4/179</f>
        <v>2.23463687150838E-2</v>
      </c>
      <c r="F2978">
        <v>138</v>
      </c>
      <c r="G2978">
        <f>LOG(382/(138+1))</f>
        <v>0.43904856265761361</v>
      </c>
      <c r="H2978">
        <f>0.0223463687150838*1.01094667547588</f>
        <v>2.2590987161472179E-2</v>
      </c>
      <c r="I2978">
        <v>2.2590987161472259E-2</v>
      </c>
    </row>
    <row r="2979" spans="1:9" x14ac:dyDescent="0.25">
      <c r="A2979">
        <v>280</v>
      </c>
      <c r="B2979" t="s">
        <v>1425</v>
      </c>
      <c r="C2979" t="s">
        <v>48</v>
      </c>
      <c r="D2979" t="s">
        <v>596</v>
      </c>
      <c r="E2979">
        <f>1/179</f>
        <v>5.5865921787709499E-3</v>
      </c>
      <c r="F2979">
        <v>60</v>
      </c>
      <c r="G2979">
        <f>LOG(382/(60+1))</f>
        <v>0.79673352790094176</v>
      </c>
      <c r="H2979">
        <f>0.00558659217877095*1.83454674443326</f>
        <v>1.0248864494040558E-2</v>
      </c>
      <c r="I2979">
        <v>1.0248864494040579E-2</v>
      </c>
    </row>
    <row r="2980" spans="1:9" x14ac:dyDescent="0.25">
      <c r="A2980">
        <v>280</v>
      </c>
      <c r="B2980" t="s">
        <v>1425</v>
      </c>
      <c r="C2980" t="s">
        <v>48</v>
      </c>
      <c r="D2980" t="s">
        <v>597</v>
      </c>
      <c r="E2980">
        <f>1/179</f>
        <v>5.5865921787709499E-3</v>
      </c>
      <c r="F2980">
        <v>51</v>
      </c>
      <c r="G2980">
        <f>LOG(382/(51+1))</f>
        <v>0.86606001927690957</v>
      </c>
      <c r="H2980">
        <f>0.00558659217877095*1.99417689002514</f>
        <v>1.1140653016900223E-2</v>
      </c>
      <c r="I2980">
        <v>1.114065301690027E-2</v>
      </c>
    </row>
    <row r="2981" spans="1:9" x14ac:dyDescent="0.25">
      <c r="A2981">
        <v>280</v>
      </c>
      <c r="B2981" t="s">
        <v>1425</v>
      </c>
      <c r="C2981" t="s">
        <v>48</v>
      </c>
      <c r="D2981" t="s">
        <v>805</v>
      </c>
      <c r="E2981">
        <f>1/179</f>
        <v>5.5865921787709499E-3</v>
      </c>
      <c r="F2981">
        <v>19</v>
      </c>
      <c r="G2981">
        <f>LOG(382/(19+1))</f>
        <v>1.2810333672477277</v>
      </c>
      <c r="H2981">
        <f>0.00558659217877095*2.94968833505258</f>
        <v>1.6478705782416649E-2</v>
      </c>
      <c r="I2981">
        <v>1.6478705782416669E-2</v>
      </c>
    </row>
    <row r="2982" spans="1:9" x14ac:dyDescent="0.25">
      <c r="A2982">
        <v>280</v>
      </c>
      <c r="B2982" t="s">
        <v>1425</v>
      </c>
      <c r="C2982" t="s">
        <v>48</v>
      </c>
      <c r="D2982" t="s">
        <v>600</v>
      </c>
      <c r="E2982">
        <f>3/179</f>
        <v>1.6759776536312849E-2</v>
      </c>
      <c r="F2982">
        <v>102</v>
      </c>
      <c r="G2982">
        <f>LOG(382/(102+1))</f>
        <v>0.56922613820653656</v>
      </c>
      <c r="H2982">
        <f>0.0167597765363128*1.31069162037693</f>
        <v>2.1966898665535077E-2</v>
      </c>
      <c r="I2982">
        <v>2.1966898665535299E-2</v>
      </c>
    </row>
    <row r="2983" spans="1:9" x14ac:dyDescent="0.25">
      <c r="A2983">
        <v>280</v>
      </c>
      <c r="B2983" t="s">
        <v>1425</v>
      </c>
      <c r="C2983" t="s">
        <v>48</v>
      </c>
      <c r="D2983" t="s">
        <v>1444</v>
      </c>
      <c r="E2983">
        <f t="shared" ref="E2983:E2993" si="136">1/179</f>
        <v>5.5865921787709499E-3</v>
      </c>
      <c r="F2983">
        <v>7</v>
      </c>
      <c r="G2983">
        <f>LOG(382/(7+1))</f>
        <v>1.6789733759197651</v>
      </c>
      <c r="H2983">
        <f>0.00558659217877095*3.86597906692673</f>
        <v>2.1597648418585087E-2</v>
      </c>
      <c r="I2983">
        <v>2.1597648418585139E-2</v>
      </c>
    </row>
    <row r="2984" spans="1:9" x14ac:dyDescent="0.25">
      <c r="A2984">
        <v>280</v>
      </c>
      <c r="B2984" t="s">
        <v>1425</v>
      </c>
      <c r="C2984" t="s">
        <v>48</v>
      </c>
      <c r="D2984" t="s">
        <v>438</v>
      </c>
      <c r="E2984">
        <f t="shared" si="136"/>
        <v>5.5865921787709499E-3</v>
      </c>
      <c r="F2984">
        <v>37</v>
      </c>
      <c r="G2984">
        <f>LOG(382/(37+1))</f>
        <v>1.0022797662948986</v>
      </c>
      <c r="H2984">
        <f>0.00558659217877095*2.30783444888018</f>
        <v>1.2892929882012178E-2</v>
      </c>
      <c r="I2984">
        <v>1.289292988201223E-2</v>
      </c>
    </row>
    <row r="2985" spans="1:9" x14ac:dyDescent="0.25">
      <c r="A2985">
        <v>280</v>
      </c>
      <c r="B2985" t="s">
        <v>1425</v>
      </c>
      <c r="C2985" t="s">
        <v>48</v>
      </c>
      <c r="D2985" t="s">
        <v>1445</v>
      </c>
      <c r="E2985">
        <f t="shared" si="136"/>
        <v>5.5865921787709499E-3</v>
      </c>
      <c r="F2985">
        <v>1</v>
      </c>
      <c r="G2985">
        <f>LOG(382/(1+1))</f>
        <v>2.2810333672477277</v>
      </c>
      <c r="H2985">
        <f>0.00558659217877095*5.25227342804663</f>
        <v>2.9342309653891788E-2</v>
      </c>
      <c r="I2985">
        <v>2.9342309653891788E-2</v>
      </c>
    </row>
    <row r="2986" spans="1:9" x14ac:dyDescent="0.25">
      <c r="A2986">
        <v>280</v>
      </c>
      <c r="B2986" t="s">
        <v>1425</v>
      </c>
      <c r="C2986" t="s">
        <v>48</v>
      </c>
      <c r="D2986" t="s">
        <v>688</v>
      </c>
      <c r="E2986">
        <f t="shared" si="136"/>
        <v>5.5865921787709499E-3</v>
      </c>
      <c r="F2986">
        <v>23</v>
      </c>
      <c r="G2986">
        <f>LOG(382/(23+1))</f>
        <v>1.2018521212001028</v>
      </c>
      <c r="H2986">
        <f>0.00558659217877095*2.76736677825862</f>
        <v>1.5460149599210169E-2</v>
      </c>
      <c r="I2986">
        <v>1.5460149599210221E-2</v>
      </c>
    </row>
    <row r="2987" spans="1:9" x14ac:dyDescent="0.25">
      <c r="A2987">
        <v>280</v>
      </c>
      <c r="B2987" t="s">
        <v>1425</v>
      </c>
      <c r="C2987" t="s">
        <v>48</v>
      </c>
      <c r="D2987" t="s">
        <v>1446</v>
      </c>
      <c r="E2987">
        <f t="shared" si="136"/>
        <v>5.5865921787709499E-3</v>
      </c>
      <c r="F2987">
        <v>8</v>
      </c>
      <c r="G2987">
        <f>LOG(382/(8+1))</f>
        <v>1.6278208534723839</v>
      </c>
      <c r="H2987">
        <f>0.00558659217877095*3.74819603127035</f>
        <v>2.0939642632795252E-2</v>
      </c>
      <c r="I2987">
        <v>2.0939642632795279E-2</v>
      </c>
    </row>
    <row r="2988" spans="1:9" x14ac:dyDescent="0.25">
      <c r="A2988">
        <v>280</v>
      </c>
      <c r="B2988" t="s">
        <v>1425</v>
      </c>
      <c r="C2988" t="s">
        <v>48</v>
      </c>
      <c r="D2988" t="s">
        <v>1447</v>
      </c>
      <c r="E2988">
        <f t="shared" si="136"/>
        <v>5.5865921787709499E-3</v>
      </c>
      <c r="F2988">
        <v>6</v>
      </c>
      <c r="G2988">
        <f>LOG(382/(6+1))</f>
        <v>1.736965322897452</v>
      </c>
      <c r="H2988">
        <f>0.00558659217877095*3.99951045955126</f>
        <v>2.2343633852241678E-2</v>
      </c>
      <c r="I2988">
        <v>2.2343633852241689E-2</v>
      </c>
    </row>
    <row r="2989" spans="1:9" x14ac:dyDescent="0.25">
      <c r="A2989">
        <v>280</v>
      </c>
      <c r="B2989" t="s">
        <v>1425</v>
      </c>
      <c r="C2989" t="s">
        <v>48</v>
      </c>
      <c r="D2989" t="s">
        <v>1448</v>
      </c>
      <c r="E2989">
        <f t="shared" si="136"/>
        <v>5.5865921787709499E-3</v>
      </c>
      <c r="F2989">
        <v>11</v>
      </c>
      <c r="G2989">
        <f>LOG(382/(11+1))</f>
        <v>1.5028821168640838</v>
      </c>
      <c r="H2989">
        <f>0.00558659217877095*3.46051395881857</f>
        <v>1.9332480216863519E-2</v>
      </c>
      <c r="I2989">
        <v>1.9332480216863551E-2</v>
      </c>
    </row>
    <row r="2990" spans="1:9" x14ac:dyDescent="0.25">
      <c r="A2990">
        <v>280</v>
      </c>
      <c r="B2990" t="s">
        <v>1425</v>
      </c>
      <c r="C2990" t="s">
        <v>48</v>
      </c>
      <c r="D2990" t="s">
        <v>236</v>
      </c>
      <c r="E2990">
        <f t="shared" si="136"/>
        <v>5.5865921787709499E-3</v>
      </c>
      <c r="F2990">
        <v>87</v>
      </c>
      <c r="G2990">
        <f>LOG(382/(87+1))</f>
        <v>0.63758069076154011</v>
      </c>
      <c r="H2990">
        <f>0.00558659217877095*1.46808379412836</f>
        <v>8.2015854420578772E-3</v>
      </c>
      <c r="I2990">
        <v>8.2015854420579258E-3</v>
      </c>
    </row>
    <row r="2991" spans="1:9" x14ac:dyDescent="0.25">
      <c r="A2991">
        <v>280</v>
      </c>
      <c r="B2991" t="s">
        <v>1425</v>
      </c>
      <c r="C2991" t="s">
        <v>48</v>
      </c>
      <c r="D2991" t="s">
        <v>693</v>
      </c>
      <c r="E2991">
        <f t="shared" si="136"/>
        <v>5.5865921787709499E-3</v>
      </c>
      <c r="F2991">
        <v>25</v>
      </c>
      <c r="G2991">
        <f>LOG(382/(25+1))</f>
        <v>1.1670900149408907</v>
      </c>
      <c r="H2991">
        <f>0.00558659217877095*2.68732407058509</f>
        <v>1.5012983634553577E-2</v>
      </c>
      <c r="I2991">
        <v>1.5012983634553591E-2</v>
      </c>
    </row>
    <row r="2992" spans="1:9" x14ac:dyDescent="0.25">
      <c r="A2992">
        <v>280</v>
      </c>
      <c r="B2992" t="s">
        <v>1425</v>
      </c>
      <c r="C2992" t="s">
        <v>48</v>
      </c>
      <c r="D2992" t="s">
        <v>1449</v>
      </c>
      <c r="E2992">
        <f t="shared" si="136"/>
        <v>5.5865921787709499E-3</v>
      </c>
      <c r="F2992">
        <v>1</v>
      </c>
      <c r="G2992">
        <f>LOG(382/(1+1))</f>
        <v>2.2810333672477277</v>
      </c>
      <c r="H2992">
        <f>0.00558659217877095*5.25227342804663</f>
        <v>2.9342309653891788E-2</v>
      </c>
      <c r="I2992">
        <v>2.9342309653891788E-2</v>
      </c>
    </row>
    <row r="2993" spans="1:9" x14ac:dyDescent="0.25">
      <c r="A2993">
        <v>280</v>
      </c>
      <c r="B2993" t="s">
        <v>1425</v>
      </c>
      <c r="C2993" t="s">
        <v>48</v>
      </c>
      <c r="D2993" t="s">
        <v>1450</v>
      </c>
      <c r="E2993">
        <f t="shared" si="136"/>
        <v>5.5865921787709499E-3</v>
      </c>
      <c r="F2993">
        <v>1</v>
      </c>
      <c r="G2993">
        <f>LOG(382/(1+1))</f>
        <v>2.2810333672477277</v>
      </c>
      <c r="H2993">
        <f>0.00558659217877095*5.25227342804663</f>
        <v>2.9342309653891788E-2</v>
      </c>
      <c r="I2993">
        <v>2.9342309653891788E-2</v>
      </c>
    </row>
    <row r="2994" spans="1:9" x14ac:dyDescent="0.25">
      <c r="A2994">
        <v>280</v>
      </c>
      <c r="B2994" t="s">
        <v>1425</v>
      </c>
      <c r="C2994" t="s">
        <v>48</v>
      </c>
      <c r="D2994" t="s">
        <v>201</v>
      </c>
      <c r="E2994">
        <f>2/179</f>
        <v>1.11731843575419E-2</v>
      </c>
      <c r="F2994">
        <v>72</v>
      </c>
      <c r="G2994">
        <f>LOG(382/(72+1))</f>
        <v>0.71874050279125279</v>
      </c>
      <c r="H2994">
        <f>0.0111731843575419*1.65496116745818</f>
        <v>1.8491186228583017E-2</v>
      </c>
      <c r="I2994">
        <v>1.8491186228583058E-2</v>
      </c>
    </row>
    <row r="2995" spans="1:9" x14ac:dyDescent="0.25">
      <c r="A2995">
        <v>280</v>
      </c>
      <c r="B2995" t="s">
        <v>1425</v>
      </c>
      <c r="C2995" t="s">
        <v>48</v>
      </c>
      <c r="D2995" t="s">
        <v>331</v>
      </c>
      <c r="E2995">
        <f>2/179</f>
        <v>1.11731843575419E-2</v>
      </c>
      <c r="F2995">
        <v>130</v>
      </c>
      <c r="G2995">
        <f>LOG(382/(130+1))</f>
        <v>0.46479206725594452</v>
      </c>
      <c r="H2995">
        <f>0.0111731843575419*1.07022328540542</f>
        <v>1.195780207156894E-2</v>
      </c>
      <c r="I2995">
        <v>1.195780207156898E-2</v>
      </c>
    </row>
    <row r="2996" spans="1:9" x14ac:dyDescent="0.25">
      <c r="A2996">
        <v>280</v>
      </c>
      <c r="B2996" t="s">
        <v>1425</v>
      </c>
      <c r="C2996" t="s">
        <v>48</v>
      </c>
      <c r="D2996" t="s">
        <v>406</v>
      </c>
      <c r="E2996">
        <f t="shared" ref="E2996:E3006" si="137">1/179</f>
        <v>5.5865921787709499E-3</v>
      </c>
      <c r="F2996">
        <v>10</v>
      </c>
      <c r="G2996">
        <f>LOG(382/(10+1))</f>
        <v>1.5406706777534838</v>
      </c>
      <c r="H2996">
        <f>0.00558659217877095*3.5475253358082</f>
        <v>1.9818577295017879E-2</v>
      </c>
      <c r="I2996">
        <v>1.9818577295017899E-2</v>
      </c>
    </row>
    <row r="2997" spans="1:9" x14ac:dyDescent="0.25">
      <c r="A2997">
        <v>280</v>
      </c>
      <c r="B2997" t="s">
        <v>1425</v>
      </c>
      <c r="C2997" t="s">
        <v>48</v>
      </c>
      <c r="D2997" t="s">
        <v>1127</v>
      </c>
      <c r="E2997">
        <f t="shared" si="137"/>
        <v>5.5865921787709499E-3</v>
      </c>
      <c r="F2997">
        <v>18</v>
      </c>
      <c r="G2997">
        <f>LOG(382/(18+1))</f>
        <v>1.3033097619588798</v>
      </c>
      <c r="H2997">
        <f>0.00558659217877095*3.00098162944013</f>
        <v>1.6765260499665532E-2</v>
      </c>
      <c r="I2997">
        <v>1.676526049966556E-2</v>
      </c>
    </row>
    <row r="2998" spans="1:9" x14ac:dyDescent="0.25">
      <c r="A2998">
        <v>280</v>
      </c>
      <c r="B2998" t="s">
        <v>1425</v>
      </c>
      <c r="C2998" t="s">
        <v>48</v>
      </c>
      <c r="D2998" t="s">
        <v>123</v>
      </c>
      <c r="E2998">
        <f t="shared" si="137"/>
        <v>5.5865921787709499E-3</v>
      </c>
      <c r="F2998">
        <v>74</v>
      </c>
      <c r="G2998">
        <f>LOG(382/(74+1))</f>
        <v>0.7070020995200087</v>
      </c>
      <c r="H2998">
        <f>0.00558659217877095*1.62793249507026</f>
        <v>9.0945949445265933E-3</v>
      </c>
      <c r="I2998">
        <v>9.0945949445266194E-3</v>
      </c>
    </row>
    <row r="2999" spans="1:9" x14ac:dyDescent="0.25">
      <c r="A2999">
        <v>280</v>
      </c>
      <c r="B2999" t="s">
        <v>1425</v>
      </c>
      <c r="C2999" t="s">
        <v>48</v>
      </c>
      <c r="D2999" t="s">
        <v>133</v>
      </c>
      <c r="E2999">
        <f t="shared" si="137"/>
        <v>5.5865921787709499E-3</v>
      </c>
      <c r="F2999">
        <v>142</v>
      </c>
      <c r="G2999">
        <f>LOG(382/(142+1))</f>
        <v>0.42672732544664693</v>
      </c>
      <c r="H2999">
        <f>0.00558659217877095*0.982575978346667</f>
        <v>5.4892512756797044E-3</v>
      </c>
      <c r="I2999">
        <v>5.4892512756797088E-3</v>
      </c>
    </row>
    <row r="3000" spans="1:9" x14ac:dyDescent="0.25">
      <c r="A3000">
        <v>280</v>
      </c>
      <c r="B3000" t="s">
        <v>1425</v>
      </c>
      <c r="C3000" t="s">
        <v>48</v>
      </c>
      <c r="D3000" t="s">
        <v>77</v>
      </c>
      <c r="E3000">
        <f t="shared" si="137"/>
        <v>5.5865921787709499E-3</v>
      </c>
      <c r="F3000">
        <v>148</v>
      </c>
      <c r="G3000">
        <f>LOG(382/(148+1))</f>
        <v>0.40887709449943471</v>
      </c>
      <c r="H3000">
        <f>0.00558659217877095*0.941474302661116</f>
        <v>5.2596329757604249E-3</v>
      </c>
      <c r="I3000">
        <v>5.2596329757604249E-3</v>
      </c>
    </row>
    <row r="3001" spans="1:9" x14ac:dyDescent="0.25">
      <c r="A3001">
        <v>280</v>
      </c>
      <c r="B3001" t="s">
        <v>1425</v>
      </c>
      <c r="C3001" t="s">
        <v>48</v>
      </c>
      <c r="D3001" t="s">
        <v>40</v>
      </c>
      <c r="E3001">
        <f t="shared" si="137"/>
        <v>5.5865921787709499E-3</v>
      </c>
      <c r="F3001">
        <v>159</v>
      </c>
      <c r="G3001">
        <f>LOG(382/(159+1))</f>
        <v>0.377943380255784</v>
      </c>
      <c r="H3001">
        <f>0.00558659217877095*0.870246793372748</f>
        <v>4.8617139294566932E-3</v>
      </c>
      <c r="I3001">
        <v>4.8617139294566949E-3</v>
      </c>
    </row>
    <row r="3002" spans="1:9" x14ac:dyDescent="0.25">
      <c r="A3002">
        <v>280</v>
      </c>
      <c r="B3002" t="s">
        <v>1425</v>
      </c>
      <c r="C3002" t="s">
        <v>48</v>
      </c>
      <c r="D3002" t="s">
        <v>1451</v>
      </c>
      <c r="E3002">
        <f t="shared" si="137"/>
        <v>5.5865921787709499E-3</v>
      </c>
      <c r="F3002">
        <v>1</v>
      </c>
      <c r="G3002">
        <f>LOG(382/(1+1))</f>
        <v>2.2810333672477277</v>
      </c>
      <c r="H3002">
        <f>0.00558659217877095*5.25227342804663</f>
        <v>2.9342309653891788E-2</v>
      </c>
      <c r="I3002">
        <v>2.9342309653891788E-2</v>
      </c>
    </row>
    <row r="3003" spans="1:9" x14ac:dyDescent="0.25">
      <c r="A3003">
        <v>280</v>
      </c>
      <c r="B3003" t="s">
        <v>1425</v>
      </c>
      <c r="C3003" t="s">
        <v>48</v>
      </c>
      <c r="D3003" t="s">
        <v>1452</v>
      </c>
      <c r="E3003">
        <f t="shared" si="137"/>
        <v>5.5865921787709499E-3</v>
      </c>
      <c r="F3003">
        <v>8</v>
      </c>
      <c r="G3003">
        <f>LOG(382/(8+1))</f>
        <v>1.6278208534723839</v>
      </c>
      <c r="H3003">
        <f>0.00558659217877095*3.74819603127035</f>
        <v>2.0939642632795252E-2</v>
      </c>
      <c r="I3003">
        <v>2.0939642632795279E-2</v>
      </c>
    </row>
    <row r="3004" spans="1:9" x14ac:dyDescent="0.25">
      <c r="A3004">
        <v>280</v>
      </c>
      <c r="B3004" t="s">
        <v>1425</v>
      </c>
      <c r="C3004" t="s">
        <v>48</v>
      </c>
      <c r="D3004" t="s">
        <v>1453</v>
      </c>
      <c r="E3004">
        <f t="shared" si="137"/>
        <v>5.5865921787709499E-3</v>
      </c>
      <c r="F3004">
        <v>23</v>
      </c>
      <c r="G3004">
        <f>LOG(382/(23+1))</f>
        <v>1.2018521212001028</v>
      </c>
      <c r="H3004">
        <f>0.00558659217877095*2.76736677825862</f>
        <v>1.5460149599210169E-2</v>
      </c>
      <c r="I3004">
        <v>1.5460149599210221E-2</v>
      </c>
    </row>
    <row r="3005" spans="1:9" x14ac:dyDescent="0.25">
      <c r="A3005">
        <v>280</v>
      </c>
      <c r="B3005" t="s">
        <v>1425</v>
      </c>
      <c r="C3005" t="s">
        <v>48</v>
      </c>
      <c r="D3005" t="s">
        <v>405</v>
      </c>
      <c r="E3005">
        <f t="shared" si="137"/>
        <v>5.5865921787709499E-3</v>
      </c>
      <c r="F3005">
        <v>10</v>
      </c>
      <c r="G3005">
        <f>LOG(382/(10+1))</f>
        <v>1.5406706777534838</v>
      </c>
      <c r="H3005">
        <f>0.00558659217877095*3.5475253358082</f>
        <v>1.9818577295017879E-2</v>
      </c>
      <c r="I3005">
        <v>1.9818577295017899E-2</v>
      </c>
    </row>
    <row r="3006" spans="1:9" x14ac:dyDescent="0.25">
      <c r="A3006">
        <v>280</v>
      </c>
      <c r="B3006" t="s">
        <v>1425</v>
      </c>
      <c r="C3006" t="s">
        <v>48</v>
      </c>
      <c r="D3006" t="s">
        <v>243</v>
      </c>
      <c r="E3006">
        <f t="shared" si="137"/>
        <v>5.5865921787709499E-3</v>
      </c>
      <c r="F3006">
        <v>131</v>
      </c>
      <c r="G3006">
        <f>LOG(382/(131+1))</f>
        <v>0.46148943170585888</v>
      </c>
      <c r="H3006">
        <f>0.00558659217877095*1.0626186860202</f>
        <v>5.9364172403363136E-3</v>
      </c>
      <c r="I3006">
        <v>5.936417240336337E-3</v>
      </c>
    </row>
    <row r="3007" spans="1:9" x14ac:dyDescent="0.25">
      <c r="A3007">
        <v>280</v>
      </c>
      <c r="B3007" t="s">
        <v>1425</v>
      </c>
      <c r="C3007" t="s">
        <v>48</v>
      </c>
      <c r="D3007" t="s">
        <v>85</v>
      </c>
      <c r="E3007">
        <f>2/179</f>
        <v>1.11731843575419E-2</v>
      </c>
      <c r="F3007">
        <v>13</v>
      </c>
      <c r="G3007">
        <f>LOG(382/(13+1))</f>
        <v>1.4359353272334707</v>
      </c>
      <c r="H3007">
        <f>0.0111731843575419*3.30636327899131</f>
        <v>3.6942606469176652E-2</v>
      </c>
      <c r="I3007">
        <v>3.6942606469176721E-2</v>
      </c>
    </row>
    <row r="3008" spans="1:9" x14ac:dyDescent="0.25">
      <c r="A3008">
        <v>280</v>
      </c>
      <c r="B3008" t="s">
        <v>1425</v>
      </c>
      <c r="C3008" t="s">
        <v>48</v>
      </c>
      <c r="D3008" t="s">
        <v>1454</v>
      </c>
      <c r="E3008">
        <f>1/179</f>
        <v>5.5865921787709499E-3</v>
      </c>
      <c r="F3008">
        <v>1</v>
      </c>
      <c r="G3008">
        <f>LOG(382/(1+1))</f>
        <v>2.2810333672477277</v>
      </c>
      <c r="H3008">
        <f>0.00558659217877095*5.25227342804663</f>
        <v>2.9342309653891788E-2</v>
      </c>
      <c r="I3008">
        <v>2.9342309653891788E-2</v>
      </c>
    </row>
    <row r="3009" spans="1:9" x14ac:dyDescent="0.25">
      <c r="A3009">
        <v>280</v>
      </c>
      <c r="B3009" t="s">
        <v>1425</v>
      </c>
      <c r="C3009" t="s">
        <v>48</v>
      </c>
      <c r="D3009" t="s">
        <v>881</v>
      </c>
      <c r="E3009">
        <f>1/179</f>
        <v>5.5865921787709499E-3</v>
      </c>
      <c r="F3009">
        <v>15</v>
      </c>
      <c r="G3009">
        <f>LOG(382/(15+1))</f>
        <v>1.3779433802557839</v>
      </c>
      <c r="H3009">
        <f>0.00558659217877095*3.17283188636679</f>
        <v>1.772531780093179E-2</v>
      </c>
      <c r="I3009">
        <v>1.7725317800931811E-2</v>
      </c>
    </row>
    <row r="3010" spans="1:9" x14ac:dyDescent="0.25">
      <c r="A3010">
        <v>280</v>
      </c>
      <c r="B3010" t="s">
        <v>1425</v>
      </c>
      <c r="C3010" t="s">
        <v>48</v>
      </c>
      <c r="D3010" t="s">
        <v>888</v>
      </c>
      <c r="E3010">
        <f>1/179</f>
        <v>5.5865921787709499E-3</v>
      </c>
      <c r="F3010">
        <v>21</v>
      </c>
      <c r="G3010">
        <f>LOG(382/(21+1))</f>
        <v>1.2396406820895025</v>
      </c>
      <c r="H3010">
        <f>0.00558659217877095*2.85437815524825</f>
        <v>1.5946246677364526E-2</v>
      </c>
      <c r="I3010">
        <v>1.5946246677364578E-2</v>
      </c>
    </row>
    <row r="3011" spans="1:9" x14ac:dyDescent="0.25">
      <c r="A3011">
        <v>280</v>
      </c>
      <c r="B3011" t="s">
        <v>1425</v>
      </c>
      <c r="C3011" t="s">
        <v>48</v>
      </c>
      <c r="D3011" t="s">
        <v>520</v>
      </c>
      <c r="E3011">
        <f>1/179</f>
        <v>5.5865921787709499E-3</v>
      </c>
      <c r="F3011">
        <v>25</v>
      </c>
      <c r="G3011">
        <f>LOG(382/(25+1))</f>
        <v>1.1670900149408907</v>
      </c>
      <c r="H3011">
        <f>0.00558659217877095*2.68732407058509</f>
        <v>1.5012983634553577E-2</v>
      </c>
      <c r="I3011">
        <v>1.5012983634553591E-2</v>
      </c>
    </row>
    <row r="3012" spans="1:9" x14ac:dyDescent="0.25">
      <c r="A3012">
        <v>280</v>
      </c>
      <c r="B3012" t="s">
        <v>1425</v>
      </c>
      <c r="C3012" t="s">
        <v>48</v>
      </c>
      <c r="D3012" t="s">
        <v>342</v>
      </c>
      <c r="E3012">
        <f>2/179</f>
        <v>1.11731843575419E-2</v>
      </c>
      <c r="F3012">
        <v>35</v>
      </c>
      <c r="G3012">
        <f>LOG(382/(35+1))</f>
        <v>1.0257608621444214</v>
      </c>
      <c r="H3012">
        <f>0.0111731843575419*2.36190167015046</f>
        <v>2.6389962794977209E-2</v>
      </c>
      <c r="I3012">
        <v>2.6389962794977261E-2</v>
      </c>
    </row>
    <row r="3013" spans="1:9" x14ac:dyDescent="0.25">
      <c r="A3013">
        <v>280</v>
      </c>
      <c r="B3013" t="s">
        <v>1425</v>
      </c>
      <c r="C3013" t="s">
        <v>48</v>
      </c>
      <c r="D3013" t="s">
        <v>1455</v>
      </c>
      <c r="E3013">
        <f t="shared" ref="E3013:E3018" si="138">1/179</f>
        <v>5.5865921787709499E-3</v>
      </c>
      <c r="F3013">
        <v>1</v>
      </c>
      <c r="G3013">
        <f>LOG(382/(1+1))</f>
        <v>2.2810333672477277</v>
      </c>
      <c r="H3013">
        <f>0.00558659217877095*5.25227342804663</f>
        <v>2.9342309653891788E-2</v>
      </c>
      <c r="I3013">
        <v>2.9342309653891788E-2</v>
      </c>
    </row>
    <row r="3014" spans="1:9" x14ac:dyDescent="0.25">
      <c r="A3014">
        <v>280</v>
      </c>
      <c r="B3014" t="s">
        <v>1425</v>
      </c>
      <c r="C3014" t="s">
        <v>48</v>
      </c>
      <c r="D3014" t="s">
        <v>1456</v>
      </c>
      <c r="E3014">
        <f t="shared" si="138"/>
        <v>5.5865921787709499E-3</v>
      </c>
      <c r="F3014">
        <v>5</v>
      </c>
      <c r="G3014">
        <f>LOG(382/(5+1))</f>
        <v>1.803912112528065</v>
      </c>
      <c r="H3014">
        <f>0.00558659217877095*4.15366113937852</f>
        <v>2.3204810834516872E-2</v>
      </c>
      <c r="I3014">
        <v>2.3204810834516872E-2</v>
      </c>
    </row>
    <row r="3015" spans="1:9" x14ac:dyDescent="0.25">
      <c r="A3015">
        <v>280</v>
      </c>
      <c r="B3015" t="s">
        <v>1425</v>
      </c>
      <c r="C3015" t="s">
        <v>48</v>
      </c>
      <c r="D3015" t="s">
        <v>1019</v>
      </c>
      <c r="E3015">
        <f t="shared" si="138"/>
        <v>5.5865921787709499E-3</v>
      </c>
      <c r="F3015">
        <v>7</v>
      </c>
      <c r="G3015">
        <f>LOG(382/(7+1))</f>
        <v>1.6789733759197651</v>
      </c>
      <c r="H3015">
        <f>0.00558659217877095*3.86597906692673</f>
        <v>2.1597648418585087E-2</v>
      </c>
      <c r="I3015">
        <v>2.1597648418585139E-2</v>
      </c>
    </row>
    <row r="3016" spans="1:9" x14ac:dyDescent="0.25">
      <c r="A3016">
        <v>280</v>
      </c>
      <c r="B3016" t="s">
        <v>1425</v>
      </c>
      <c r="C3016" t="s">
        <v>48</v>
      </c>
      <c r="D3016" t="s">
        <v>1457</v>
      </c>
      <c r="E3016">
        <f t="shared" si="138"/>
        <v>5.5865921787709499E-3</v>
      </c>
      <c r="F3016">
        <v>2</v>
      </c>
      <c r="G3016">
        <f>LOG(382/(2+1))</f>
        <v>2.1049421081920463</v>
      </c>
      <c r="H3016">
        <f>0.00558659217877095*4.84680831993846</f>
        <v>2.7077141452170168E-2</v>
      </c>
      <c r="I3016">
        <v>2.70771414521702E-2</v>
      </c>
    </row>
    <row r="3017" spans="1:9" x14ac:dyDescent="0.25">
      <c r="A3017">
        <v>280</v>
      </c>
      <c r="B3017" t="s">
        <v>1425</v>
      </c>
      <c r="C3017" t="s">
        <v>48</v>
      </c>
      <c r="D3017" t="s">
        <v>1458</v>
      </c>
      <c r="E3017">
        <f t="shared" si="138"/>
        <v>5.5865921787709499E-3</v>
      </c>
      <c r="F3017">
        <v>1</v>
      </c>
      <c r="G3017">
        <f>LOG(382/(1+1))</f>
        <v>2.2810333672477277</v>
      </c>
      <c r="H3017">
        <f>0.00558659217877095*5.25227342804663</f>
        <v>2.9342309653891788E-2</v>
      </c>
      <c r="I3017">
        <v>2.9342309653891788E-2</v>
      </c>
    </row>
    <row r="3018" spans="1:9" x14ac:dyDescent="0.25">
      <c r="A3018">
        <v>280</v>
      </c>
      <c r="B3018" t="s">
        <v>1425</v>
      </c>
      <c r="C3018" t="s">
        <v>48</v>
      </c>
      <c r="D3018" t="s">
        <v>1459</v>
      </c>
      <c r="E3018">
        <f t="shared" si="138"/>
        <v>5.5865921787709499E-3</v>
      </c>
      <c r="F3018">
        <v>1</v>
      </c>
      <c r="G3018">
        <f>LOG(382/(1+1))</f>
        <v>2.2810333672477277</v>
      </c>
      <c r="H3018">
        <f>0.00558659217877095*5.25227342804663</f>
        <v>2.9342309653891788E-2</v>
      </c>
      <c r="I3018">
        <v>2.9342309653891788E-2</v>
      </c>
    </row>
    <row r="3019" spans="1:9" x14ac:dyDescent="0.25">
      <c r="A3019">
        <v>281</v>
      </c>
      <c r="B3019" t="s">
        <v>1460</v>
      </c>
      <c r="C3019" t="s">
        <v>48</v>
      </c>
      <c r="D3019" t="s">
        <v>36</v>
      </c>
      <c r="E3019">
        <f>38/589</f>
        <v>6.4516129032258063E-2</v>
      </c>
      <c r="F3019">
        <v>58</v>
      </c>
      <c r="G3019">
        <f>LOG(382/(58+1))</f>
        <v>0.81121135126956456</v>
      </c>
      <c r="H3019">
        <f>0.064516129032258*1.86788316470085</f>
        <v>0.12050859127102245</v>
      </c>
      <c r="I3019">
        <v>0.1205085912710229</v>
      </c>
    </row>
    <row r="3020" spans="1:9" x14ac:dyDescent="0.25">
      <c r="A3020">
        <v>281</v>
      </c>
      <c r="B3020" t="s">
        <v>1460</v>
      </c>
      <c r="C3020" t="s">
        <v>48</v>
      </c>
      <c r="D3020" t="s">
        <v>1461</v>
      </c>
      <c r="E3020">
        <f>31/589</f>
        <v>5.2631578947368418E-2</v>
      </c>
      <c r="F3020">
        <v>1</v>
      </c>
      <c r="G3020">
        <f>LOG(382/(1+1))</f>
        <v>2.2810333672477277</v>
      </c>
      <c r="H3020">
        <f>0.0526315789473684*5.25227342804663</f>
        <v>0.27643544358140143</v>
      </c>
      <c r="I3020">
        <v>0.27643544358140149</v>
      </c>
    </row>
    <row r="3021" spans="1:9" x14ac:dyDescent="0.25">
      <c r="A3021">
        <v>281</v>
      </c>
      <c r="B3021" t="s">
        <v>1460</v>
      </c>
      <c r="C3021" t="s">
        <v>48</v>
      </c>
      <c r="D3021" t="s">
        <v>15</v>
      </c>
      <c r="E3021">
        <f>1/589</f>
        <v>1.697792869269949E-3</v>
      </c>
      <c r="F3021">
        <v>112</v>
      </c>
      <c r="G3021">
        <f>LOG(382/(112+1))</f>
        <v>0.52898491942828896</v>
      </c>
      <c r="H3021">
        <f>0.00169779286926994*1.21803278989423</f>
        <v>2.0679673852193946E-3</v>
      </c>
      <c r="I3021">
        <v>2.0679673852194141E-3</v>
      </c>
    </row>
    <row r="3022" spans="1:9" x14ac:dyDescent="0.25">
      <c r="A3022">
        <v>281</v>
      </c>
      <c r="B3022" t="s">
        <v>1460</v>
      </c>
      <c r="C3022" t="s">
        <v>48</v>
      </c>
      <c r="D3022" t="s">
        <v>73</v>
      </c>
      <c r="E3022">
        <f>1/589</f>
        <v>1.697792869269949E-3</v>
      </c>
      <c r="F3022">
        <v>3</v>
      </c>
      <c r="G3022">
        <f>LOG(382/(3+1))</f>
        <v>1.9800033715837464</v>
      </c>
      <c r="H3022">
        <f>0.00169779286926994*4.55912624748668</f>
        <v>7.7404520330843045E-3</v>
      </c>
      <c r="I3022">
        <v>7.7404520330843539E-3</v>
      </c>
    </row>
    <row r="3023" spans="1:9" x14ac:dyDescent="0.25">
      <c r="A3023">
        <v>281</v>
      </c>
      <c r="B3023" t="s">
        <v>1460</v>
      </c>
      <c r="C3023" t="s">
        <v>48</v>
      </c>
      <c r="D3023" t="s">
        <v>1280</v>
      </c>
      <c r="E3023">
        <f>3/589</f>
        <v>5.0933786078098476E-3</v>
      </c>
      <c r="F3023">
        <v>4</v>
      </c>
      <c r="G3023">
        <f>LOG(382/(4+1))</f>
        <v>1.8830933585756899</v>
      </c>
      <c r="H3023">
        <f>0.00509337860780984*4.33598269617247</f>
        <v>2.2084801508518492E-2</v>
      </c>
      <c r="I3023">
        <v>2.2084801508518551E-2</v>
      </c>
    </row>
    <row r="3024" spans="1:9" x14ac:dyDescent="0.25">
      <c r="A3024">
        <v>281</v>
      </c>
      <c r="B3024" t="s">
        <v>1460</v>
      </c>
      <c r="C3024" t="s">
        <v>48</v>
      </c>
      <c r="D3024" t="s">
        <v>153</v>
      </c>
      <c r="E3024">
        <f>3/589</f>
        <v>5.0933786078098476E-3</v>
      </c>
      <c r="F3024">
        <v>10</v>
      </c>
      <c r="G3024">
        <f>LOG(382/(10+1))</f>
        <v>1.5406706777534838</v>
      </c>
      <c r="H3024">
        <f>0.00509337860780984*3.5475253358082</f>
        <v>1.8068889656068905E-2</v>
      </c>
      <c r="I3024">
        <v>1.806888965606895E-2</v>
      </c>
    </row>
    <row r="3025" spans="1:9" x14ac:dyDescent="0.25">
      <c r="A3025">
        <v>281</v>
      </c>
      <c r="B3025" t="s">
        <v>1460</v>
      </c>
      <c r="C3025" t="s">
        <v>48</v>
      </c>
      <c r="D3025" t="s">
        <v>19</v>
      </c>
      <c r="E3025">
        <f>2/589</f>
        <v>3.3955857385398981E-3</v>
      </c>
      <c r="F3025">
        <v>220</v>
      </c>
      <c r="G3025">
        <f>LOG(382/(220+1))</f>
        <v>0.23767108922659805</v>
      </c>
      <c r="H3025">
        <f>0.00339558573853989*0.547257907088822</f>
        <v>1.8582611446139922E-3</v>
      </c>
      <c r="I3025">
        <v>1.858261144613998E-3</v>
      </c>
    </row>
    <row r="3026" spans="1:9" x14ac:dyDescent="0.25">
      <c r="A3026">
        <v>281</v>
      </c>
      <c r="B3026" t="s">
        <v>1460</v>
      </c>
      <c r="C3026" t="s">
        <v>48</v>
      </c>
      <c r="D3026" t="s">
        <v>41</v>
      </c>
      <c r="E3026">
        <f>5/589</f>
        <v>8.4889643463497456E-3</v>
      </c>
      <c r="F3026">
        <v>195</v>
      </c>
      <c r="G3026">
        <f>LOG(382/(195+1))</f>
        <v>0.28980729155523272</v>
      </c>
      <c r="H3026">
        <f>0.00848896434634974*0.667305949376058</f>
        <v>5.6647364123604211E-3</v>
      </c>
      <c r="I3026">
        <v>5.6647364123604254E-3</v>
      </c>
    </row>
    <row r="3027" spans="1:9" x14ac:dyDescent="0.25">
      <c r="A3027">
        <v>281</v>
      </c>
      <c r="B3027" t="s">
        <v>1460</v>
      </c>
      <c r="C3027" t="s">
        <v>48</v>
      </c>
      <c r="D3027" t="s">
        <v>22</v>
      </c>
      <c r="E3027">
        <f>7/589</f>
        <v>1.1884550084889643E-2</v>
      </c>
      <c r="F3027">
        <v>259</v>
      </c>
      <c r="G3027">
        <f>LOG(382/(259+1))</f>
        <v>0.16709001494089079</v>
      </c>
      <c r="H3027">
        <f>0.0118845500848896*0.384738977591047</f>
        <v>4.5724496487900158E-3</v>
      </c>
      <c r="I3027">
        <v>4.5724496487900383E-3</v>
      </c>
    </row>
    <row r="3028" spans="1:9" x14ac:dyDescent="0.25">
      <c r="A3028">
        <v>281</v>
      </c>
      <c r="B3028" t="s">
        <v>1460</v>
      </c>
      <c r="C3028" t="s">
        <v>48</v>
      </c>
      <c r="D3028" t="s">
        <v>23</v>
      </c>
      <c r="E3028">
        <f>7/589</f>
        <v>1.1884550084889643E-2</v>
      </c>
      <c r="F3028">
        <v>275</v>
      </c>
      <c r="G3028">
        <f>LOG(382/(275+1))</f>
        <v>0.14115428084649101</v>
      </c>
      <c r="H3028">
        <f>0.0118845500848896*0.325019742889425</f>
        <v>3.8627134129473116E-3</v>
      </c>
      <c r="I3028">
        <v>3.8627134129473281E-3</v>
      </c>
    </row>
    <row r="3029" spans="1:9" x14ac:dyDescent="0.25">
      <c r="A3029">
        <v>281</v>
      </c>
      <c r="B3029" t="s">
        <v>1460</v>
      </c>
      <c r="C3029" t="s">
        <v>48</v>
      </c>
      <c r="D3029" t="s">
        <v>144</v>
      </c>
      <c r="E3029">
        <f>4/589</f>
        <v>6.7911714770797962E-3</v>
      </c>
      <c r="F3029">
        <v>105</v>
      </c>
      <c r="G3029">
        <f>LOG(382/(105+1))</f>
        <v>0.55675749764693849</v>
      </c>
      <c r="H3029">
        <f>0.00679117147707979*1.2819815144945</f>
        <v>8.7061562953785997E-3</v>
      </c>
      <c r="I3029">
        <v>8.7061562953786621E-3</v>
      </c>
    </row>
    <row r="3030" spans="1:9" x14ac:dyDescent="0.25">
      <c r="A3030">
        <v>281</v>
      </c>
      <c r="B3030" t="s">
        <v>1460</v>
      </c>
      <c r="C3030" t="s">
        <v>48</v>
      </c>
      <c r="D3030" t="s">
        <v>196</v>
      </c>
      <c r="E3030">
        <f>7/589</f>
        <v>1.1884550084889643E-2</v>
      </c>
      <c r="F3030">
        <v>33</v>
      </c>
      <c r="G3030">
        <f>LOG(382/(33+1))</f>
        <v>1.0505844458694535</v>
      </c>
      <c r="H3030">
        <f>0.0118845500848896*2.41906008399041</f>
        <v>2.8749440726541269E-2</v>
      </c>
      <c r="I3030">
        <v>2.8749440726541418E-2</v>
      </c>
    </row>
    <row r="3031" spans="1:9" x14ac:dyDescent="0.25">
      <c r="A3031">
        <v>281</v>
      </c>
      <c r="B3031" t="s">
        <v>1460</v>
      </c>
      <c r="C3031" t="s">
        <v>48</v>
      </c>
      <c r="D3031" t="s">
        <v>432</v>
      </c>
      <c r="E3031">
        <f>7/589</f>
        <v>1.1884550084889643E-2</v>
      </c>
      <c r="F3031">
        <v>67</v>
      </c>
      <c r="G3031">
        <f>LOG(382/(67+1))</f>
        <v>0.7495544502054724</v>
      </c>
      <c r="H3031">
        <f>0.0118845500848896*1.72591290343046</f>
        <v>2.0511698342976531E-2</v>
      </c>
      <c r="I3031">
        <v>2.0511698342976701E-2</v>
      </c>
    </row>
    <row r="3032" spans="1:9" x14ac:dyDescent="0.25">
      <c r="A3032">
        <v>281</v>
      </c>
      <c r="B3032" t="s">
        <v>1460</v>
      </c>
      <c r="C3032" t="s">
        <v>48</v>
      </c>
      <c r="D3032" t="s">
        <v>147</v>
      </c>
      <c r="E3032">
        <f>8/589</f>
        <v>1.3582342954159592E-2</v>
      </c>
      <c r="F3032">
        <v>48</v>
      </c>
      <c r="G3032">
        <f>LOG(382/(48+1))</f>
        <v>0.89186728288319506</v>
      </c>
      <c r="H3032">
        <f>0.0135823429541595*2.05360031049594</f>
        <v>2.7892703707924293E-2</v>
      </c>
      <c r="I3032">
        <v>2.7892703707924599E-2</v>
      </c>
    </row>
    <row r="3033" spans="1:9" x14ac:dyDescent="0.25">
      <c r="A3033">
        <v>281</v>
      </c>
      <c r="B3033" t="s">
        <v>1460</v>
      </c>
      <c r="C3033" t="s">
        <v>48</v>
      </c>
      <c r="D3033" t="s">
        <v>465</v>
      </c>
      <c r="E3033">
        <f>2/589</f>
        <v>3.3955857385398981E-3</v>
      </c>
      <c r="F3033">
        <v>36</v>
      </c>
      <c r="G3033">
        <f>LOG(382/(36+1))</f>
        <v>1.0138616388447137</v>
      </c>
      <c r="H3033">
        <f>0.00339558573853989*2.33450269596235</f>
        <v>7.927004060992681E-3</v>
      </c>
      <c r="I3033">
        <v>7.9270040609927019E-3</v>
      </c>
    </row>
    <row r="3034" spans="1:9" x14ac:dyDescent="0.25">
      <c r="A3034">
        <v>281</v>
      </c>
      <c r="B3034" t="s">
        <v>1460</v>
      </c>
      <c r="C3034" t="s">
        <v>48</v>
      </c>
      <c r="D3034" t="s">
        <v>39</v>
      </c>
      <c r="E3034">
        <f>23/589</f>
        <v>3.9049235993208829E-2</v>
      </c>
      <c r="F3034">
        <v>145</v>
      </c>
      <c r="G3034">
        <f>LOG(382/(145+1))</f>
        <v>0.41771050712727159</v>
      </c>
      <c r="H3034">
        <f>0.0390492359932088*0.961813986898238</f>
        <v>3.7558101355958336E-2</v>
      </c>
      <c r="I3034">
        <v>3.7558101355958391E-2</v>
      </c>
    </row>
    <row r="3035" spans="1:9" x14ac:dyDescent="0.25">
      <c r="A3035">
        <v>281</v>
      </c>
      <c r="B3035" t="s">
        <v>1460</v>
      </c>
      <c r="C3035" t="s">
        <v>48</v>
      </c>
      <c r="D3035" t="s">
        <v>40</v>
      </c>
      <c r="E3035">
        <f>2/589</f>
        <v>3.3955857385398981E-3</v>
      </c>
      <c r="F3035">
        <v>159</v>
      </c>
      <c r="G3035">
        <f>LOG(382/(159+1))</f>
        <v>0.377943380255784</v>
      </c>
      <c r="H3035">
        <f>0.00339558573853989*0.870246793372748</f>
        <v>2.9549976005865735E-3</v>
      </c>
      <c r="I3035">
        <v>2.9549976005865822E-3</v>
      </c>
    </row>
    <row r="3036" spans="1:9" x14ac:dyDescent="0.25">
      <c r="A3036">
        <v>281</v>
      </c>
      <c r="B3036" t="s">
        <v>1460</v>
      </c>
      <c r="C3036" t="s">
        <v>48</v>
      </c>
      <c r="D3036" t="s">
        <v>994</v>
      </c>
      <c r="E3036">
        <f>1/589</f>
        <v>1.697792869269949E-3</v>
      </c>
      <c r="F3036">
        <v>37</v>
      </c>
      <c r="G3036">
        <f>LOG(382/(37+1))</f>
        <v>1.0022797662948986</v>
      </c>
      <c r="H3036">
        <f>0.00169779286926994*2.30783444888018</f>
        <v>3.9182248707642911E-3</v>
      </c>
      <c r="I3036">
        <v>3.9182248707643266E-3</v>
      </c>
    </row>
    <row r="3037" spans="1:9" x14ac:dyDescent="0.25">
      <c r="A3037">
        <v>281</v>
      </c>
      <c r="B3037" t="s">
        <v>1460</v>
      </c>
      <c r="C3037" t="s">
        <v>48</v>
      </c>
      <c r="D3037" t="s">
        <v>38</v>
      </c>
      <c r="E3037">
        <f>2/589</f>
        <v>3.3955857385398981E-3</v>
      </c>
      <c r="F3037">
        <v>86</v>
      </c>
      <c r="G3037">
        <f>LOG(382/(86+1))</f>
        <v>0.64254411029309022</v>
      </c>
      <c r="H3037">
        <f>0.00339558573853989*1.47951248995199</f>
        <v>5.0238115108726198E-3</v>
      </c>
      <c r="I3037">
        <v>5.0238115108726363E-3</v>
      </c>
    </row>
    <row r="3038" spans="1:9" x14ac:dyDescent="0.25">
      <c r="A3038">
        <v>281</v>
      </c>
      <c r="B3038" t="s">
        <v>1460</v>
      </c>
      <c r="C3038" t="s">
        <v>48</v>
      </c>
      <c r="D3038" t="s">
        <v>247</v>
      </c>
      <c r="E3038">
        <f>3/589</f>
        <v>5.0933786078098476E-3</v>
      </c>
      <c r="F3038">
        <v>121</v>
      </c>
      <c r="G3038">
        <f>LOG(382/(121+1))</f>
        <v>0.49570353223696051</v>
      </c>
      <c r="H3038">
        <f>0.00509337860780984*1.14139956387331</f>
        <v>5.8135801215957982E-3</v>
      </c>
      <c r="I3038">
        <v>5.8135801215958511E-3</v>
      </c>
    </row>
    <row r="3039" spans="1:9" x14ac:dyDescent="0.25">
      <c r="A3039">
        <v>281</v>
      </c>
      <c r="B3039" t="s">
        <v>1460</v>
      </c>
      <c r="C3039" t="s">
        <v>48</v>
      </c>
      <c r="D3039" t="s">
        <v>474</v>
      </c>
      <c r="E3039">
        <f>2/589</f>
        <v>3.3955857385398981E-3</v>
      </c>
      <c r="F3039">
        <v>25</v>
      </c>
      <c r="G3039">
        <f>LOG(382/(25+1))</f>
        <v>1.1670900149408907</v>
      </c>
      <c r="H3039">
        <f>0.00339558573853989*2.68732407058509</f>
        <v>9.1250392889136965E-3</v>
      </c>
      <c r="I3039">
        <v>9.1250392889137295E-3</v>
      </c>
    </row>
    <row r="3040" spans="1:9" x14ac:dyDescent="0.25">
      <c r="A3040">
        <v>281</v>
      </c>
      <c r="B3040" t="s">
        <v>1460</v>
      </c>
      <c r="C3040" t="s">
        <v>48</v>
      </c>
      <c r="D3040" t="s">
        <v>236</v>
      </c>
      <c r="E3040">
        <f>4/589</f>
        <v>6.7911714770797962E-3</v>
      </c>
      <c r="F3040">
        <v>87</v>
      </c>
      <c r="G3040">
        <f>LOG(382/(87+1))</f>
        <v>0.63758069076154011</v>
      </c>
      <c r="H3040">
        <f>0.00679117147707979*1.46808379412836</f>
        <v>9.9700087886475976E-3</v>
      </c>
      <c r="I3040">
        <v>9.9700087886476652E-3</v>
      </c>
    </row>
    <row r="3041" spans="1:9" x14ac:dyDescent="0.25">
      <c r="A3041">
        <v>281</v>
      </c>
      <c r="B3041" t="s">
        <v>1460</v>
      </c>
      <c r="C3041" t="s">
        <v>48</v>
      </c>
      <c r="D3041" t="s">
        <v>260</v>
      </c>
      <c r="E3041">
        <f>1/589</f>
        <v>1.697792869269949E-3</v>
      </c>
      <c r="F3041">
        <v>31</v>
      </c>
      <c r="G3041">
        <f>LOG(382/(31+1))</f>
        <v>1.0769133845918029</v>
      </c>
      <c r="H3041">
        <f>0.00169779286926994*2.47968470580684</f>
        <v>4.2099910115565818E-3</v>
      </c>
      <c r="I3041">
        <v>4.2099910115566191E-3</v>
      </c>
    </row>
    <row r="3042" spans="1:9" x14ac:dyDescent="0.25">
      <c r="A3042">
        <v>281</v>
      </c>
      <c r="B3042" t="s">
        <v>1460</v>
      </c>
      <c r="C3042" t="s">
        <v>48</v>
      </c>
      <c r="D3042" t="s">
        <v>239</v>
      </c>
      <c r="E3042">
        <f>2/589</f>
        <v>3.3955857385398981E-3</v>
      </c>
      <c r="F3042">
        <v>40</v>
      </c>
      <c r="G3042">
        <f>LOG(382/(40+1))</f>
        <v>0.96927950619197323</v>
      </c>
      <c r="H3042">
        <f>0.00339558573853989*2.23184854190226</f>
        <v>7.5784330794643612E-3</v>
      </c>
      <c r="I3042">
        <v>7.5784330794644054E-3</v>
      </c>
    </row>
    <row r="3043" spans="1:9" x14ac:dyDescent="0.25">
      <c r="A3043">
        <v>281</v>
      </c>
      <c r="B3043" t="s">
        <v>1460</v>
      </c>
      <c r="C3043" t="s">
        <v>48</v>
      </c>
      <c r="D3043" t="s">
        <v>444</v>
      </c>
      <c r="E3043">
        <f>2/589</f>
        <v>3.3955857385398981E-3</v>
      </c>
      <c r="F3043">
        <v>28</v>
      </c>
      <c r="G3043">
        <f>LOG(382/(28+1))</f>
        <v>1.1196653650127526</v>
      </c>
      <c r="H3043">
        <f>0.00339558573853989*2.5781247786201</f>
        <v>8.7542437304587214E-3</v>
      </c>
      <c r="I3043">
        <v>8.7542437304587474E-3</v>
      </c>
    </row>
    <row r="3044" spans="1:9" x14ac:dyDescent="0.25">
      <c r="A3044">
        <v>281</v>
      </c>
      <c r="B3044" t="s">
        <v>1460</v>
      </c>
      <c r="C3044" t="s">
        <v>48</v>
      </c>
      <c r="D3044" t="s">
        <v>445</v>
      </c>
      <c r="E3044">
        <f>2/589</f>
        <v>3.3955857385398981E-3</v>
      </c>
      <c r="F3044">
        <v>35</v>
      </c>
      <c r="G3044">
        <f>LOG(382/(35+1))</f>
        <v>1.0257608621444214</v>
      </c>
      <c r="H3044">
        <f>0.00339558573853989*2.36190167015046</f>
        <v>8.0200396269964492E-3</v>
      </c>
      <c r="I3044">
        <v>8.0200396269964856E-3</v>
      </c>
    </row>
    <row r="3045" spans="1:9" x14ac:dyDescent="0.25">
      <c r="A3045">
        <v>281</v>
      </c>
      <c r="B3045" t="s">
        <v>1460</v>
      </c>
      <c r="C3045" t="s">
        <v>48</v>
      </c>
      <c r="D3045" t="s">
        <v>404</v>
      </c>
      <c r="E3045">
        <f>4/589</f>
        <v>6.7911714770797962E-3</v>
      </c>
      <c r="F3045">
        <v>22</v>
      </c>
      <c r="G3045">
        <f>LOG(382/(22+1))</f>
        <v>1.2203355268941158</v>
      </c>
      <c r="H3045">
        <f>0.00679117147707979*2.80992639267742</f>
        <v>1.9082691970644598E-2</v>
      </c>
      <c r="I3045">
        <v>1.9082691970644661E-2</v>
      </c>
    </row>
    <row r="3046" spans="1:9" x14ac:dyDescent="0.25">
      <c r="A3046">
        <v>281</v>
      </c>
      <c r="B3046" t="s">
        <v>1460</v>
      </c>
      <c r="C3046" t="s">
        <v>48</v>
      </c>
      <c r="D3046" t="s">
        <v>1462</v>
      </c>
      <c r="E3046">
        <f>3/589</f>
        <v>5.0933786078098476E-3</v>
      </c>
      <c r="F3046">
        <v>7</v>
      </c>
      <c r="G3046">
        <f>LOG(382/(7+1))</f>
        <v>1.6789733759197651</v>
      </c>
      <c r="H3046">
        <f>0.00509337860780984*3.86597906692673</f>
        <v>1.9690895077725253E-2</v>
      </c>
      <c r="I3046">
        <v>1.969089507772533E-2</v>
      </c>
    </row>
    <row r="3047" spans="1:9" x14ac:dyDescent="0.25">
      <c r="A3047">
        <v>281</v>
      </c>
      <c r="B3047" t="s">
        <v>1460</v>
      </c>
      <c r="C3047" t="s">
        <v>48</v>
      </c>
      <c r="D3047" t="s">
        <v>1463</v>
      </c>
      <c r="E3047">
        <f>1/589</f>
        <v>1.697792869269949E-3</v>
      </c>
      <c r="F3047">
        <v>2</v>
      </c>
      <c r="G3047">
        <f>LOG(382/(2+1))</f>
        <v>2.1049421081920463</v>
      </c>
      <c r="H3047">
        <f>0.00169779286926994*4.84680831993846</f>
        <v>8.2288766043097355E-3</v>
      </c>
      <c r="I3047">
        <v>8.2288766043097875E-3</v>
      </c>
    </row>
    <row r="3048" spans="1:9" x14ac:dyDescent="0.25">
      <c r="A3048">
        <v>281</v>
      </c>
      <c r="B3048" t="s">
        <v>1460</v>
      </c>
      <c r="C3048" t="s">
        <v>48</v>
      </c>
      <c r="D3048" t="s">
        <v>490</v>
      </c>
      <c r="E3048">
        <f>2/589</f>
        <v>3.3955857385398981E-3</v>
      </c>
      <c r="F3048">
        <v>31</v>
      </c>
      <c r="G3048">
        <f>LOG(382/(31+1))</f>
        <v>1.0769133845918029</v>
      </c>
      <c r="H3048">
        <f>0.00339558573853989*2.47968470580684</f>
        <v>8.4199820231131879E-3</v>
      </c>
      <c r="I3048">
        <v>8.4199820231132382E-3</v>
      </c>
    </row>
    <row r="3049" spans="1:9" x14ac:dyDescent="0.25">
      <c r="A3049">
        <v>281</v>
      </c>
      <c r="B3049" t="s">
        <v>1460</v>
      </c>
      <c r="C3049" t="s">
        <v>48</v>
      </c>
      <c r="D3049" t="s">
        <v>1073</v>
      </c>
      <c r="E3049">
        <f>1/589</f>
        <v>1.697792869269949E-3</v>
      </c>
      <c r="F3049">
        <v>25</v>
      </c>
      <c r="G3049">
        <f>LOG(382/(25+1))</f>
        <v>1.1670900149408907</v>
      </c>
      <c r="H3049">
        <f>0.00169779286926994*2.68732407058509</f>
        <v>4.5625196444568344E-3</v>
      </c>
      <c r="I3049">
        <v>4.5625196444568647E-3</v>
      </c>
    </row>
    <row r="3050" spans="1:9" x14ac:dyDescent="0.25">
      <c r="A3050">
        <v>281</v>
      </c>
      <c r="B3050" t="s">
        <v>1460</v>
      </c>
      <c r="C3050" t="s">
        <v>48</v>
      </c>
      <c r="D3050" t="s">
        <v>1222</v>
      </c>
      <c r="E3050">
        <f>2/589</f>
        <v>3.3955857385398981E-3</v>
      </c>
      <c r="F3050">
        <v>56</v>
      </c>
      <c r="G3050">
        <f>LOG(382/(56+1))</f>
        <v>0.82618850723921733</v>
      </c>
      <c r="H3050">
        <f>0.00339558573853989*1.90236934077202</f>
        <v>6.4596582029610022E-3</v>
      </c>
      <c r="I3050">
        <v>6.4596582029610352E-3</v>
      </c>
    </row>
    <row r="3051" spans="1:9" x14ac:dyDescent="0.25">
      <c r="A3051">
        <v>281</v>
      </c>
      <c r="B3051" t="s">
        <v>1460</v>
      </c>
      <c r="C3051" t="s">
        <v>48</v>
      </c>
      <c r="D3051" t="s">
        <v>852</v>
      </c>
      <c r="E3051">
        <f>1/589</f>
        <v>1.697792869269949E-3</v>
      </c>
      <c r="F3051">
        <v>10</v>
      </c>
      <c r="G3051">
        <f>LOG(382/(10+1))</f>
        <v>1.5406706777534838</v>
      </c>
      <c r="H3051">
        <f>0.00169779286926994*3.5475253358082</f>
        <v>6.0229632186896117E-3</v>
      </c>
      <c r="I3051">
        <v>6.0229632186896524E-3</v>
      </c>
    </row>
    <row r="3052" spans="1:9" x14ac:dyDescent="0.25">
      <c r="A3052">
        <v>281</v>
      </c>
      <c r="B3052" t="s">
        <v>1460</v>
      </c>
      <c r="C3052" t="s">
        <v>48</v>
      </c>
      <c r="D3052" t="s">
        <v>1464</v>
      </c>
      <c r="E3052">
        <f>1/589</f>
        <v>1.697792869269949E-3</v>
      </c>
      <c r="F3052">
        <v>4</v>
      </c>
      <c r="G3052">
        <f>LOG(382/(4+1))</f>
        <v>1.8830933585756899</v>
      </c>
      <c r="H3052">
        <f>0.00169779286926994*4.33598269617247</f>
        <v>7.3616005028394682E-3</v>
      </c>
      <c r="I3052">
        <v>7.3616005028395159E-3</v>
      </c>
    </row>
    <row r="3053" spans="1:9" x14ac:dyDescent="0.25">
      <c r="A3053">
        <v>281</v>
      </c>
      <c r="B3053" t="s">
        <v>1460</v>
      </c>
      <c r="C3053" t="s">
        <v>48</v>
      </c>
      <c r="D3053" t="s">
        <v>1465</v>
      </c>
      <c r="E3053">
        <f>5/589</f>
        <v>8.4889643463497456E-3</v>
      </c>
      <c r="F3053">
        <v>5</v>
      </c>
      <c r="G3053">
        <f>LOG(382/(5+1))</f>
        <v>1.803912112528065</v>
      </c>
      <c r="H3053">
        <f>0.00848896434634974*4.15366113937852</f>
        <v>3.5260281319002697E-2</v>
      </c>
      <c r="I3053">
        <v>3.5260281319002718E-2</v>
      </c>
    </row>
    <row r="3054" spans="1:9" x14ac:dyDescent="0.25">
      <c r="A3054">
        <v>281</v>
      </c>
      <c r="B3054" t="s">
        <v>1460</v>
      </c>
      <c r="C3054" t="s">
        <v>48</v>
      </c>
      <c r="D3054" t="s">
        <v>1466</v>
      </c>
      <c r="E3054">
        <f>1/589</f>
        <v>1.697792869269949E-3</v>
      </c>
      <c r="F3054">
        <v>1</v>
      </c>
      <c r="G3054">
        <f>LOG(382/(1+1))</f>
        <v>2.2810333672477277</v>
      </c>
      <c r="H3054">
        <f>0.00169779286926994*5.25227342804663</f>
        <v>8.9172723735935506E-3</v>
      </c>
      <c r="I3054">
        <v>8.9172723735935992E-3</v>
      </c>
    </row>
    <row r="3055" spans="1:9" x14ac:dyDescent="0.25">
      <c r="A3055">
        <v>281</v>
      </c>
      <c r="B3055" t="s">
        <v>1460</v>
      </c>
      <c r="C3055" t="s">
        <v>48</v>
      </c>
      <c r="D3055" t="s">
        <v>786</v>
      </c>
      <c r="E3055">
        <f>1/589</f>
        <v>1.697792869269949E-3</v>
      </c>
      <c r="F3055">
        <v>11</v>
      </c>
      <c r="G3055">
        <f>LOG(382/(11+1))</f>
        <v>1.5028821168640838</v>
      </c>
      <c r="H3055">
        <f>0.00169779286926994*3.46051395881857</f>
        <v>5.8752359232912589E-3</v>
      </c>
      <c r="I3055">
        <v>5.8752359232912988E-3</v>
      </c>
    </row>
    <row r="3056" spans="1:9" x14ac:dyDescent="0.25">
      <c r="A3056">
        <v>281</v>
      </c>
      <c r="B3056" t="s">
        <v>1460</v>
      </c>
      <c r="C3056" t="s">
        <v>48</v>
      </c>
      <c r="D3056" t="s">
        <v>361</v>
      </c>
      <c r="E3056">
        <f>5/589</f>
        <v>8.4889643463497456E-3</v>
      </c>
      <c r="F3056">
        <v>118</v>
      </c>
      <c r="G3056">
        <f>LOG(382/(118+1))</f>
        <v>0.50651640151917798</v>
      </c>
      <c r="H3056">
        <f>0.00848896434634974*1.16629711549504</f>
        <v>9.9006546306879394E-3</v>
      </c>
      <c r="I3056">
        <v>9.9006546306879967E-3</v>
      </c>
    </row>
    <row r="3057" spans="1:9" x14ac:dyDescent="0.25">
      <c r="A3057">
        <v>281</v>
      </c>
      <c r="B3057" t="s">
        <v>1460</v>
      </c>
      <c r="C3057" t="s">
        <v>48</v>
      </c>
      <c r="D3057" t="s">
        <v>434</v>
      </c>
      <c r="E3057">
        <f>1/589</f>
        <v>1.697792869269949E-3</v>
      </c>
      <c r="F3057">
        <v>97</v>
      </c>
      <c r="G3057">
        <f>LOG(382/(97+1))</f>
        <v>0.59083728721921391</v>
      </c>
      <c r="H3057">
        <f>0.00169779286926994*1.360453129936</f>
        <v>2.3097676229813118E-3</v>
      </c>
      <c r="I3057">
        <v>2.30976762298133E-3</v>
      </c>
    </row>
    <row r="3058" spans="1:9" x14ac:dyDescent="0.25">
      <c r="A3058">
        <v>281</v>
      </c>
      <c r="B3058" t="s">
        <v>1460</v>
      </c>
      <c r="C3058" t="s">
        <v>48</v>
      </c>
      <c r="D3058" t="s">
        <v>693</v>
      </c>
      <c r="E3058">
        <f>2/589</f>
        <v>3.3955857385398981E-3</v>
      </c>
      <c r="F3058">
        <v>25</v>
      </c>
      <c r="G3058">
        <f>LOG(382/(25+1))</f>
        <v>1.1670900149408907</v>
      </c>
      <c r="H3058">
        <f>0.00339558573853989*2.68732407058509</f>
        <v>9.1250392889136965E-3</v>
      </c>
      <c r="I3058">
        <v>9.1250392889137295E-3</v>
      </c>
    </row>
    <row r="3059" spans="1:9" x14ac:dyDescent="0.25">
      <c r="A3059">
        <v>281</v>
      </c>
      <c r="B3059" t="s">
        <v>1460</v>
      </c>
      <c r="C3059" t="s">
        <v>48</v>
      </c>
      <c r="D3059" t="s">
        <v>310</v>
      </c>
      <c r="E3059">
        <f>2/589</f>
        <v>3.3955857385398981E-3</v>
      </c>
      <c r="F3059">
        <v>50</v>
      </c>
      <c r="G3059">
        <f>LOG(382/(50+1))</f>
        <v>0.87449318681377242</v>
      </c>
      <c r="H3059">
        <f>0.00339558573853989*2.01359497588224</f>
        <v>6.837334383301307E-3</v>
      </c>
      <c r="I3059">
        <v>6.8373343833013564E-3</v>
      </c>
    </row>
    <row r="3060" spans="1:9" x14ac:dyDescent="0.25">
      <c r="A3060">
        <v>281</v>
      </c>
      <c r="B3060" t="s">
        <v>1460</v>
      </c>
      <c r="C3060" t="s">
        <v>48</v>
      </c>
      <c r="D3060" t="s">
        <v>1467</v>
      </c>
      <c r="E3060">
        <f t="shared" ref="E3060:E3065" si="139">1/589</f>
        <v>1.697792869269949E-3</v>
      </c>
      <c r="F3060">
        <v>21</v>
      </c>
      <c r="G3060">
        <f>LOG(382/(21+1))</f>
        <v>1.2396406820895025</v>
      </c>
      <c r="H3060">
        <f>0.00169779286926994*2.85437815524825</f>
        <v>4.8461428781803638E-3</v>
      </c>
      <c r="I3060">
        <v>4.8461428781804063E-3</v>
      </c>
    </row>
    <row r="3061" spans="1:9" x14ac:dyDescent="0.25">
      <c r="A3061">
        <v>281</v>
      </c>
      <c r="B3061" t="s">
        <v>1460</v>
      </c>
      <c r="C3061" t="s">
        <v>48</v>
      </c>
      <c r="D3061" t="s">
        <v>1468</v>
      </c>
      <c r="E3061">
        <f t="shared" si="139"/>
        <v>1.697792869269949E-3</v>
      </c>
      <c r="F3061">
        <v>8</v>
      </c>
      <c r="G3061">
        <f>LOG(382/(8+1))</f>
        <v>1.6278208534723839</v>
      </c>
      <c r="H3061">
        <f>0.00169779286926994*3.74819603127035</f>
        <v>6.363660494516689E-3</v>
      </c>
      <c r="I3061">
        <v>6.3636604945167333E-3</v>
      </c>
    </row>
    <row r="3062" spans="1:9" x14ac:dyDescent="0.25">
      <c r="A3062">
        <v>281</v>
      </c>
      <c r="B3062" t="s">
        <v>1460</v>
      </c>
      <c r="C3062" t="s">
        <v>48</v>
      </c>
      <c r="D3062" t="s">
        <v>1469</v>
      </c>
      <c r="E3062">
        <f t="shared" si="139"/>
        <v>1.697792869269949E-3</v>
      </c>
      <c r="F3062">
        <v>24</v>
      </c>
      <c r="G3062">
        <f>LOG(382/(24+1))</f>
        <v>1.1841233542396712</v>
      </c>
      <c r="H3062">
        <f>0.00169779286926994*2.72654478373837</f>
        <v>4.6291082915761545E-3</v>
      </c>
      <c r="I3062">
        <v>4.6291082915761884E-3</v>
      </c>
    </row>
    <row r="3063" spans="1:9" x14ac:dyDescent="0.25">
      <c r="A3063">
        <v>281</v>
      </c>
      <c r="B3063" t="s">
        <v>1460</v>
      </c>
      <c r="C3063" t="s">
        <v>48</v>
      </c>
      <c r="D3063" t="s">
        <v>1470</v>
      </c>
      <c r="E3063">
        <f t="shared" si="139"/>
        <v>1.697792869269949E-3</v>
      </c>
      <c r="F3063">
        <v>2</v>
      </c>
      <c r="G3063">
        <f>LOG(382/(2+1))</f>
        <v>2.1049421081920463</v>
      </c>
      <c r="H3063">
        <f>0.00169779286926994*4.84680831993846</f>
        <v>8.2288766043097355E-3</v>
      </c>
      <c r="I3063">
        <v>8.2288766043097875E-3</v>
      </c>
    </row>
    <row r="3064" spans="1:9" x14ac:dyDescent="0.25">
      <c r="A3064">
        <v>281</v>
      </c>
      <c r="B3064" t="s">
        <v>1460</v>
      </c>
      <c r="C3064" t="s">
        <v>48</v>
      </c>
      <c r="D3064" t="s">
        <v>384</v>
      </c>
      <c r="E3064">
        <f t="shared" si="139"/>
        <v>1.697792869269949E-3</v>
      </c>
      <c r="F3064">
        <v>5</v>
      </c>
      <c r="G3064">
        <f>LOG(382/(5+1))</f>
        <v>1.803912112528065</v>
      </c>
      <c r="H3064">
        <f>0.00169779286926994*4.15366113937852</f>
        <v>7.052056263800505E-3</v>
      </c>
      <c r="I3064">
        <v>7.0520562638005432E-3</v>
      </c>
    </row>
    <row r="3065" spans="1:9" x14ac:dyDescent="0.25">
      <c r="A3065">
        <v>281</v>
      </c>
      <c r="B3065" t="s">
        <v>1460</v>
      </c>
      <c r="C3065" t="s">
        <v>48</v>
      </c>
      <c r="D3065" t="s">
        <v>1415</v>
      </c>
      <c r="E3065">
        <f t="shared" si="139"/>
        <v>1.697792869269949E-3</v>
      </c>
      <c r="F3065">
        <v>2</v>
      </c>
      <c r="G3065">
        <f>LOG(382/(2+1))</f>
        <v>2.1049421081920463</v>
      </c>
      <c r="H3065">
        <f>0.00169779286926994*4.84680831993846</f>
        <v>8.2288766043097355E-3</v>
      </c>
      <c r="I3065">
        <v>8.2288766043097875E-3</v>
      </c>
    </row>
    <row r="3066" spans="1:9" x14ac:dyDescent="0.25">
      <c r="A3066">
        <v>281</v>
      </c>
      <c r="B3066" t="s">
        <v>1460</v>
      </c>
      <c r="C3066" t="s">
        <v>48</v>
      </c>
      <c r="D3066" t="s">
        <v>133</v>
      </c>
      <c r="E3066">
        <f>6/589</f>
        <v>1.0186757215619695E-2</v>
      </c>
      <c r="F3066">
        <v>142</v>
      </c>
      <c r="G3066">
        <f>LOG(382/(142+1))</f>
        <v>0.42672732544664693</v>
      </c>
      <c r="H3066">
        <f>0.0101867572156196*0.982575978346667</f>
        <v>1.0009262937317397E-2</v>
      </c>
      <c r="I3066">
        <v>1.0009262937317499E-2</v>
      </c>
    </row>
    <row r="3067" spans="1:9" x14ac:dyDescent="0.25">
      <c r="A3067">
        <v>281</v>
      </c>
      <c r="B3067" t="s">
        <v>1460</v>
      </c>
      <c r="C3067" t="s">
        <v>48</v>
      </c>
      <c r="D3067" t="s">
        <v>77</v>
      </c>
      <c r="E3067">
        <f>3/589</f>
        <v>5.0933786078098476E-3</v>
      </c>
      <c r="F3067">
        <v>148</v>
      </c>
      <c r="G3067">
        <f>LOG(382/(148+1))</f>
        <v>0.40887709449943471</v>
      </c>
      <c r="H3067">
        <f>0.00509337860780984*0.941474302661116</f>
        <v>4.7952850729768145E-3</v>
      </c>
      <c r="I3067">
        <v>4.7952850729768223E-3</v>
      </c>
    </row>
    <row r="3068" spans="1:9" x14ac:dyDescent="0.25">
      <c r="A3068">
        <v>281</v>
      </c>
      <c r="B3068" t="s">
        <v>1460</v>
      </c>
      <c r="C3068" t="s">
        <v>48</v>
      </c>
      <c r="D3068" t="s">
        <v>331</v>
      </c>
      <c r="E3068">
        <f>12/589</f>
        <v>2.037351443123939E-2</v>
      </c>
      <c r="F3068">
        <v>130</v>
      </c>
      <c r="G3068">
        <f>LOG(382/(130+1))</f>
        <v>0.46479206725594452</v>
      </c>
      <c r="H3068">
        <f>0.0203735144312393*1.07022328540542</f>
        <v>2.1804209549855662E-2</v>
      </c>
      <c r="I3068">
        <v>2.1804209549855829E-2</v>
      </c>
    </row>
    <row r="3069" spans="1:9" x14ac:dyDescent="0.25">
      <c r="A3069">
        <v>281</v>
      </c>
      <c r="B3069" t="s">
        <v>1460</v>
      </c>
      <c r="C3069" t="s">
        <v>48</v>
      </c>
      <c r="D3069" t="s">
        <v>1471</v>
      </c>
      <c r="E3069">
        <f>1/589</f>
        <v>1.697792869269949E-3</v>
      </c>
      <c r="F3069">
        <v>3</v>
      </c>
      <c r="G3069">
        <f>LOG(382/(3+1))</f>
        <v>1.9800033715837464</v>
      </c>
      <c r="H3069">
        <f>0.00169779286926994*4.55912624748668</f>
        <v>7.7404520330843045E-3</v>
      </c>
      <c r="I3069">
        <v>7.7404520330843539E-3</v>
      </c>
    </row>
    <row r="3070" spans="1:9" x14ac:dyDescent="0.25">
      <c r="A3070">
        <v>281</v>
      </c>
      <c r="B3070" t="s">
        <v>1460</v>
      </c>
      <c r="C3070" t="s">
        <v>48</v>
      </c>
      <c r="D3070" t="s">
        <v>1472</v>
      </c>
      <c r="E3070">
        <f>3/589</f>
        <v>5.0933786078098476E-3</v>
      </c>
      <c r="F3070">
        <v>7</v>
      </c>
      <c r="G3070">
        <f>LOG(382/(7+1))</f>
        <v>1.6789733759197651</v>
      </c>
      <c r="H3070">
        <f>0.00509337860780984*3.86597906692673</f>
        <v>1.9690895077725253E-2</v>
      </c>
      <c r="I3070">
        <v>1.969089507772533E-2</v>
      </c>
    </row>
    <row r="3071" spans="1:9" x14ac:dyDescent="0.25">
      <c r="A3071">
        <v>281</v>
      </c>
      <c r="B3071" t="s">
        <v>1460</v>
      </c>
      <c r="C3071" t="s">
        <v>48</v>
      </c>
      <c r="D3071" t="s">
        <v>1473</v>
      </c>
      <c r="E3071">
        <f>9/589</f>
        <v>1.5280135823429542E-2</v>
      </c>
      <c r="F3071">
        <v>39</v>
      </c>
      <c r="G3071">
        <f>LOG(382/(39+1))</f>
        <v>0.9800033715837464</v>
      </c>
      <c r="H3071">
        <f>0.0152801358234295*2.25654115449263</f>
        <v>3.4480255331805799E-2</v>
      </c>
      <c r="I3071">
        <v>3.4480255331806028E-2</v>
      </c>
    </row>
    <row r="3072" spans="1:9" x14ac:dyDescent="0.25">
      <c r="A3072">
        <v>281</v>
      </c>
      <c r="B3072" t="s">
        <v>1460</v>
      </c>
      <c r="C3072" t="s">
        <v>48</v>
      </c>
      <c r="D3072" t="s">
        <v>1474</v>
      </c>
      <c r="E3072">
        <f>1/589</f>
        <v>1.697792869269949E-3</v>
      </c>
      <c r="F3072">
        <v>6</v>
      </c>
      <c r="G3072">
        <f>LOG(382/(6+1))</f>
        <v>1.736965322897452</v>
      </c>
      <c r="H3072">
        <f>0.00169779286926994*3.99951045955126</f>
        <v>6.7903403387966701E-3</v>
      </c>
      <c r="I3072">
        <v>6.7903403387967092E-3</v>
      </c>
    </row>
    <row r="3073" spans="1:9" x14ac:dyDescent="0.25">
      <c r="A3073">
        <v>281</v>
      </c>
      <c r="B3073" t="s">
        <v>1460</v>
      </c>
      <c r="C3073" t="s">
        <v>48</v>
      </c>
      <c r="D3073" t="s">
        <v>1475</v>
      </c>
      <c r="E3073">
        <f>2/589</f>
        <v>3.3955857385398981E-3</v>
      </c>
      <c r="F3073">
        <v>2</v>
      </c>
      <c r="G3073">
        <f>LOG(382/(2+1))</f>
        <v>2.1049421081920463</v>
      </c>
      <c r="H3073">
        <f>0.00339558573853989*4.84680831993846</f>
        <v>1.645775320861952E-2</v>
      </c>
      <c r="I3073">
        <v>1.6457753208619579E-2</v>
      </c>
    </row>
    <row r="3074" spans="1:9" x14ac:dyDescent="0.25">
      <c r="A3074">
        <v>281</v>
      </c>
      <c r="B3074" t="s">
        <v>1460</v>
      </c>
      <c r="C3074" t="s">
        <v>48</v>
      </c>
      <c r="D3074" t="s">
        <v>597</v>
      </c>
      <c r="E3074">
        <f>1/589</f>
        <v>1.697792869269949E-3</v>
      </c>
      <c r="F3074">
        <v>51</v>
      </c>
      <c r="G3074">
        <f>LOG(382/(51+1))</f>
        <v>0.86606001927690957</v>
      </c>
      <c r="H3074">
        <f>0.00169779286926994*1.99417689002514</f>
        <v>3.3856993039475878E-3</v>
      </c>
      <c r="I3074">
        <v>3.3856993039476191E-3</v>
      </c>
    </row>
    <row r="3075" spans="1:9" x14ac:dyDescent="0.25">
      <c r="A3075">
        <v>281</v>
      </c>
      <c r="B3075" t="s">
        <v>1460</v>
      </c>
      <c r="C3075" t="s">
        <v>48</v>
      </c>
      <c r="D3075" t="s">
        <v>600</v>
      </c>
      <c r="E3075">
        <f>10/589</f>
        <v>1.6977928692699491E-2</v>
      </c>
      <c r="F3075">
        <v>102</v>
      </c>
      <c r="G3075">
        <f>LOG(382/(102+1))</f>
        <v>0.56922613820653656</v>
      </c>
      <c r="H3075">
        <f>0.0169779286926994*1.31069162037693</f>
        <v>2.2252828868878152E-2</v>
      </c>
      <c r="I3075">
        <v>2.225282886887843E-2</v>
      </c>
    </row>
    <row r="3076" spans="1:9" x14ac:dyDescent="0.25">
      <c r="A3076">
        <v>281</v>
      </c>
      <c r="B3076" t="s">
        <v>1460</v>
      </c>
      <c r="C3076" t="s">
        <v>48</v>
      </c>
      <c r="D3076" t="s">
        <v>82</v>
      </c>
      <c r="E3076">
        <f>3/589</f>
        <v>5.0933786078098476E-3</v>
      </c>
      <c r="F3076">
        <v>92</v>
      </c>
      <c r="G3076">
        <f>LOG(382/(92+1))</f>
        <v>0.61358041435777355</v>
      </c>
      <c r="H3076">
        <f>0.00509337860780984*1.41282111545331</f>
        <v>7.1960328461119242E-3</v>
      </c>
      <c r="I3076">
        <v>7.1960328461119832E-3</v>
      </c>
    </row>
    <row r="3077" spans="1:9" x14ac:dyDescent="0.25">
      <c r="A3077">
        <v>281</v>
      </c>
      <c r="B3077" t="s">
        <v>1460</v>
      </c>
      <c r="C3077" t="s">
        <v>48</v>
      </c>
      <c r="D3077" t="s">
        <v>830</v>
      </c>
      <c r="E3077">
        <f>2/589</f>
        <v>3.3955857385398981E-3</v>
      </c>
      <c r="F3077">
        <v>19</v>
      </c>
      <c r="G3077">
        <f>LOG(382/(19+1))</f>
        <v>1.2810333672477277</v>
      </c>
      <c r="H3077">
        <f>0.00339558573853989*2.94968833505258</f>
        <v>1.0015919643642013E-2</v>
      </c>
      <c r="I3077">
        <v>1.0015919643642049E-2</v>
      </c>
    </row>
    <row r="3078" spans="1:9" x14ac:dyDescent="0.25">
      <c r="A3078">
        <v>281</v>
      </c>
      <c r="B3078" t="s">
        <v>1460</v>
      </c>
      <c r="C3078" t="s">
        <v>48</v>
      </c>
      <c r="D3078" t="s">
        <v>1476</v>
      </c>
      <c r="E3078">
        <f>1/589</f>
        <v>1.697792869269949E-3</v>
      </c>
      <c r="F3078">
        <v>5</v>
      </c>
      <c r="G3078">
        <f>LOG(382/(5+1))</f>
        <v>1.803912112528065</v>
      </c>
      <c r="H3078">
        <f>0.00169779286926994*4.15366113937852</f>
        <v>7.052056263800505E-3</v>
      </c>
      <c r="I3078">
        <v>7.0520562638005432E-3</v>
      </c>
    </row>
    <row r="3079" spans="1:9" x14ac:dyDescent="0.25">
      <c r="A3079">
        <v>281</v>
      </c>
      <c r="B3079" t="s">
        <v>1460</v>
      </c>
      <c r="C3079" t="s">
        <v>48</v>
      </c>
      <c r="D3079" t="s">
        <v>348</v>
      </c>
      <c r="E3079">
        <f>2/589</f>
        <v>3.3955857385398981E-3</v>
      </c>
      <c r="F3079">
        <v>5</v>
      </c>
      <c r="G3079">
        <f>LOG(382/(5+1))</f>
        <v>1.803912112528065</v>
      </c>
      <c r="H3079">
        <f>0.00339558573853989*4.15366113937852</f>
        <v>1.4104112527601052E-2</v>
      </c>
      <c r="I3079">
        <v>1.410411252760109E-2</v>
      </c>
    </row>
    <row r="3080" spans="1:9" x14ac:dyDescent="0.25">
      <c r="A3080">
        <v>281</v>
      </c>
      <c r="B3080" t="s">
        <v>1460</v>
      </c>
      <c r="C3080" t="s">
        <v>48</v>
      </c>
      <c r="D3080" t="s">
        <v>1477</v>
      </c>
      <c r="E3080">
        <f>1/589</f>
        <v>1.697792869269949E-3</v>
      </c>
      <c r="F3080">
        <v>3</v>
      </c>
      <c r="G3080">
        <f>LOG(382/(3+1))</f>
        <v>1.9800033715837464</v>
      </c>
      <c r="H3080">
        <f>0.00169779286926994*4.55912624748668</f>
        <v>7.7404520330843045E-3</v>
      </c>
      <c r="I3080">
        <v>7.7404520330843539E-3</v>
      </c>
    </row>
    <row r="3081" spans="1:9" x14ac:dyDescent="0.25">
      <c r="A3081">
        <v>281</v>
      </c>
      <c r="B3081" t="s">
        <v>1460</v>
      </c>
      <c r="C3081" t="s">
        <v>48</v>
      </c>
      <c r="D3081" t="s">
        <v>44</v>
      </c>
      <c r="E3081">
        <f>1/589</f>
        <v>1.697792869269949E-3</v>
      </c>
      <c r="F3081">
        <v>151</v>
      </c>
      <c r="G3081">
        <f>LOG(382/(151+1))</f>
        <v>0.40021977496693617</v>
      </c>
      <c r="H3081">
        <f>0.00169779286926994*0.921540087760298</f>
        <v>1.5645841897458286E-3</v>
      </c>
      <c r="I3081">
        <v>1.5645841897458379E-3</v>
      </c>
    </row>
    <row r="3082" spans="1:9" x14ac:dyDescent="0.25">
      <c r="A3082">
        <v>281</v>
      </c>
      <c r="B3082" t="s">
        <v>1460</v>
      </c>
      <c r="C3082" t="s">
        <v>48</v>
      </c>
      <c r="D3082" t="s">
        <v>1478</v>
      </c>
      <c r="E3082">
        <f>2/589</f>
        <v>3.3955857385398981E-3</v>
      </c>
      <c r="F3082">
        <v>17</v>
      </c>
      <c r="G3082">
        <f>LOG(382/(17+1))</f>
        <v>1.3267908578084027</v>
      </c>
      <c r="H3082">
        <f>0.00339558573853989*3.05504885071041</f>
        <v>1.0373680308014948E-2</v>
      </c>
      <c r="I3082">
        <v>1.037368030801498E-2</v>
      </c>
    </row>
    <row r="3083" spans="1:9" x14ac:dyDescent="0.25">
      <c r="A3083">
        <v>281</v>
      </c>
      <c r="B3083" t="s">
        <v>1460</v>
      </c>
      <c r="C3083" t="s">
        <v>48</v>
      </c>
      <c r="D3083" t="s">
        <v>1405</v>
      </c>
      <c r="E3083">
        <f>4/589</f>
        <v>6.7911714770797962E-3</v>
      </c>
      <c r="F3083">
        <v>14</v>
      </c>
      <c r="G3083">
        <f>LOG(382/(14+1))</f>
        <v>1.4059721038560276</v>
      </c>
      <c r="H3083">
        <f>0.00679117147707979*3.23737040750436</f>
        <v>2.1985537572185784E-2</v>
      </c>
      <c r="I3083">
        <v>2.198553757218584E-2</v>
      </c>
    </row>
    <row r="3084" spans="1:9" x14ac:dyDescent="0.25">
      <c r="A3084">
        <v>281</v>
      </c>
      <c r="B3084" t="s">
        <v>1460</v>
      </c>
      <c r="C3084" t="s">
        <v>48</v>
      </c>
      <c r="D3084" t="s">
        <v>1479</v>
      </c>
      <c r="E3084">
        <f>1/589</f>
        <v>1.697792869269949E-3</v>
      </c>
      <c r="F3084">
        <v>1</v>
      </c>
      <c r="G3084">
        <f>LOG(382/(1+1))</f>
        <v>2.2810333672477277</v>
      </c>
      <c r="H3084">
        <f>0.00169779286926994*5.25227342804663</f>
        <v>8.9172723735935506E-3</v>
      </c>
      <c r="I3084">
        <v>8.9172723735935992E-3</v>
      </c>
    </row>
    <row r="3085" spans="1:9" x14ac:dyDescent="0.25">
      <c r="A3085">
        <v>281</v>
      </c>
      <c r="B3085" t="s">
        <v>1460</v>
      </c>
      <c r="C3085" t="s">
        <v>48</v>
      </c>
      <c r="D3085" t="s">
        <v>779</v>
      </c>
      <c r="E3085">
        <f>1/589</f>
        <v>1.697792869269949E-3</v>
      </c>
      <c r="F3085">
        <v>25</v>
      </c>
      <c r="G3085">
        <f>LOG(382/(25+1))</f>
        <v>1.1670900149408907</v>
      </c>
      <c r="H3085">
        <f>0.00169779286926994*2.68732407058509</f>
        <v>4.5625196444568344E-3</v>
      </c>
      <c r="I3085">
        <v>4.5625196444568647E-3</v>
      </c>
    </row>
    <row r="3086" spans="1:9" x14ac:dyDescent="0.25">
      <c r="A3086">
        <v>281</v>
      </c>
      <c r="B3086" t="s">
        <v>1460</v>
      </c>
      <c r="C3086" t="s">
        <v>48</v>
      </c>
      <c r="D3086" t="s">
        <v>1480</v>
      </c>
      <c r="E3086">
        <f>1/589</f>
        <v>1.697792869269949E-3</v>
      </c>
      <c r="F3086">
        <v>11</v>
      </c>
      <c r="G3086">
        <f>LOG(382/(11+1))</f>
        <v>1.5028821168640838</v>
      </c>
      <c r="H3086">
        <f>0.00169779286926994*3.46051395881857</f>
        <v>5.8752359232912589E-3</v>
      </c>
      <c r="I3086">
        <v>5.8752359232912988E-3</v>
      </c>
    </row>
    <row r="3087" spans="1:9" x14ac:dyDescent="0.25">
      <c r="A3087">
        <v>281</v>
      </c>
      <c r="B3087" t="s">
        <v>1460</v>
      </c>
      <c r="C3087" t="s">
        <v>48</v>
      </c>
      <c r="D3087" t="s">
        <v>1407</v>
      </c>
      <c r="E3087">
        <f>2/589</f>
        <v>3.3955857385398981E-3</v>
      </c>
      <c r="F3087">
        <v>16</v>
      </c>
      <c r="G3087">
        <f>LOG(382/(16+1))</f>
        <v>1.3516144415334348</v>
      </c>
      <c r="H3087">
        <f>0.00339558573853989*3.11220726455035</f>
        <v>1.0567766602887409E-2</v>
      </c>
      <c r="I3087">
        <v>1.056776660288747E-2</v>
      </c>
    </row>
    <row r="3088" spans="1:9" x14ac:dyDescent="0.25">
      <c r="A3088">
        <v>281</v>
      </c>
      <c r="B3088" t="s">
        <v>1460</v>
      </c>
      <c r="C3088" t="s">
        <v>48</v>
      </c>
      <c r="D3088" t="s">
        <v>596</v>
      </c>
      <c r="E3088">
        <f>1/589</f>
        <v>1.697792869269949E-3</v>
      </c>
      <c r="F3088">
        <v>60</v>
      </c>
      <c r="G3088">
        <f>LOG(382/(60+1))</f>
        <v>0.79673352790094176</v>
      </c>
      <c r="H3088">
        <f>0.00169779286926994*1.83454674443326</f>
        <v>3.1146803810411716E-3</v>
      </c>
      <c r="I3088">
        <v>3.114680381041195E-3</v>
      </c>
    </row>
    <row r="3089" spans="1:9" x14ac:dyDescent="0.25">
      <c r="A3089">
        <v>281</v>
      </c>
      <c r="B3089" t="s">
        <v>1460</v>
      </c>
      <c r="C3089" t="s">
        <v>48</v>
      </c>
      <c r="D3089" t="s">
        <v>1481</v>
      </c>
      <c r="E3089">
        <f>1/589</f>
        <v>1.697792869269949E-3</v>
      </c>
      <c r="F3089">
        <v>1</v>
      </c>
      <c r="G3089">
        <f>LOG(382/(1+1))</f>
        <v>2.2810333672477277</v>
      </c>
      <c r="H3089">
        <f>0.00169779286926994*5.25227342804663</f>
        <v>8.9172723735935506E-3</v>
      </c>
      <c r="I3089">
        <v>8.9172723735935992E-3</v>
      </c>
    </row>
    <row r="3090" spans="1:9" x14ac:dyDescent="0.25">
      <c r="A3090">
        <v>281</v>
      </c>
      <c r="B3090" t="s">
        <v>1460</v>
      </c>
      <c r="C3090" t="s">
        <v>48</v>
      </c>
      <c r="D3090" t="s">
        <v>1482</v>
      </c>
      <c r="E3090">
        <f>1/589</f>
        <v>1.697792869269949E-3</v>
      </c>
      <c r="F3090">
        <v>7</v>
      </c>
      <c r="G3090">
        <f>LOG(382/(7+1))</f>
        <v>1.6789733759197651</v>
      </c>
      <c r="H3090">
        <f>0.00169779286926994*3.86597906692673</f>
        <v>6.5636316925750584E-3</v>
      </c>
      <c r="I3090">
        <v>6.5636316925751087E-3</v>
      </c>
    </row>
    <row r="3091" spans="1:9" x14ac:dyDescent="0.25">
      <c r="A3091">
        <v>281</v>
      </c>
      <c r="B3091" t="s">
        <v>1460</v>
      </c>
      <c r="C3091" t="s">
        <v>48</v>
      </c>
      <c r="D3091" t="s">
        <v>1483</v>
      </c>
      <c r="E3091">
        <f>1/589</f>
        <v>1.697792869269949E-3</v>
      </c>
      <c r="F3091">
        <v>1</v>
      </c>
      <c r="G3091">
        <f>LOG(382/(1+1))</f>
        <v>2.2810333672477277</v>
      </c>
      <c r="H3091">
        <f>0.00169779286926994*5.25227342804663</f>
        <v>8.9172723735935506E-3</v>
      </c>
      <c r="I3091">
        <v>8.9172723735935992E-3</v>
      </c>
    </row>
    <row r="3092" spans="1:9" x14ac:dyDescent="0.25">
      <c r="A3092">
        <v>281</v>
      </c>
      <c r="B3092" t="s">
        <v>1460</v>
      </c>
      <c r="C3092" t="s">
        <v>48</v>
      </c>
      <c r="D3092" t="s">
        <v>183</v>
      </c>
      <c r="E3092">
        <f>3/589</f>
        <v>5.0933786078098476E-3</v>
      </c>
      <c r="F3092">
        <v>46</v>
      </c>
      <c r="G3092">
        <f>LOG(382/(46+1))</f>
        <v>0.90996550497599127</v>
      </c>
      <c r="H3092">
        <f>0.00509337860780984*2.09527300689651</f>
        <v>1.0672018710848084E-2</v>
      </c>
      <c r="I3092">
        <v>1.067201871084813E-2</v>
      </c>
    </row>
    <row r="3093" spans="1:9" x14ac:dyDescent="0.25">
      <c r="A3093">
        <v>281</v>
      </c>
      <c r="B3093" t="s">
        <v>1460</v>
      </c>
      <c r="C3093" t="s">
        <v>48</v>
      </c>
      <c r="D3093" t="s">
        <v>731</v>
      </c>
      <c r="E3093">
        <f>7/589</f>
        <v>1.1884550084889643E-2</v>
      </c>
      <c r="F3093">
        <v>7</v>
      </c>
      <c r="G3093">
        <f>LOG(382/(7+1))</f>
        <v>1.6789733759197651</v>
      </c>
      <c r="H3093">
        <f>0.0118845500848896*3.86597906692673</f>
        <v>4.5945421848025483E-2</v>
      </c>
      <c r="I3093">
        <v>4.5945421848025761E-2</v>
      </c>
    </row>
    <row r="3094" spans="1:9" x14ac:dyDescent="0.25">
      <c r="A3094">
        <v>281</v>
      </c>
      <c r="B3094" t="s">
        <v>1460</v>
      </c>
      <c r="C3094" t="s">
        <v>48</v>
      </c>
      <c r="D3094" t="s">
        <v>1484</v>
      </c>
      <c r="E3094">
        <f>1/589</f>
        <v>1.697792869269949E-3</v>
      </c>
      <c r="F3094">
        <v>1</v>
      </c>
      <c r="G3094">
        <f>LOG(382/(1+1))</f>
        <v>2.2810333672477277</v>
      </c>
      <c r="H3094">
        <f>0.00169779286926994*5.25227342804663</f>
        <v>8.9172723735935506E-3</v>
      </c>
      <c r="I3094">
        <v>8.9172723735935992E-3</v>
      </c>
    </row>
    <row r="3095" spans="1:9" x14ac:dyDescent="0.25">
      <c r="A3095">
        <v>281</v>
      </c>
      <c r="B3095" t="s">
        <v>1460</v>
      </c>
      <c r="C3095" t="s">
        <v>48</v>
      </c>
      <c r="D3095" t="s">
        <v>1485</v>
      </c>
      <c r="E3095">
        <f>1/589</f>
        <v>1.697792869269949E-3</v>
      </c>
      <c r="F3095">
        <v>1</v>
      </c>
      <c r="G3095">
        <f>LOG(382/(1+1))</f>
        <v>2.2810333672477277</v>
      </c>
      <c r="H3095">
        <f>0.00169779286926994*5.25227342804663</f>
        <v>8.9172723735935506E-3</v>
      </c>
      <c r="I3095">
        <v>8.9172723735935992E-3</v>
      </c>
    </row>
    <row r="3096" spans="1:9" x14ac:dyDescent="0.25">
      <c r="A3096">
        <v>281</v>
      </c>
      <c r="B3096" t="s">
        <v>1460</v>
      </c>
      <c r="C3096" t="s">
        <v>48</v>
      </c>
      <c r="D3096" t="s">
        <v>1486</v>
      </c>
      <c r="E3096">
        <f>1/589</f>
        <v>1.697792869269949E-3</v>
      </c>
      <c r="F3096">
        <v>5</v>
      </c>
      <c r="G3096">
        <f>LOG(382/(5+1))</f>
        <v>1.803912112528065</v>
      </c>
      <c r="H3096">
        <f>0.00169779286926994*4.15366113937852</f>
        <v>7.052056263800505E-3</v>
      </c>
      <c r="I3096">
        <v>7.0520562638005432E-3</v>
      </c>
    </row>
    <row r="3097" spans="1:9" x14ac:dyDescent="0.25">
      <c r="A3097">
        <v>281</v>
      </c>
      <c r="B3097" t="s">
        <v>1460</v>
      </c>
      <c r="C3097" t="s">
        <v>48</v>
      </c>
      <c r="D3097" t="s">
        <v>1487</v>
      </c>
      <c r="E3097">
        <f>2/589</f>
        <v>3.3955857385398981E-3</v>
      </c>
      <c r="F3097">
        <v>1</v>
      </c>
      <c r="G3097">
        <f>LOG(382/(1+1))</f>
        <v>2.2810333672477277</v>
      </c>
      <c r="H3097">
        <f>0.00339558573853989*5.25227342804663</f>
        <v>1.7834544747187153E-2</v>
      </c>
      <c r="I3097">
        <v>1.7834544747187198E-2</v>
      </c>
    </row>
    <row r="3098" spans="1:9" x14ac:dyDescent="0.25">
      <c r="A3098">
        <v>281</v>
      </c>
      <c r="B3098" t="s">
        <v>1460</v>
      </c>
      <c r="C3098" t="s">
        <v>48</v>
      </c>
      <c r="D3098" t="s">
        <v>1488</v>
      </c>
      <c r="E3098">
        <f>2/589</f>
        <v>3.3955857385398981E-3</v>
      </c>
      <c r="F3098">
        <v>2</v>
      </c>
      <c r="G3098">
        <f>LOG(382/(2+1))</f>
        <v>2.1049421081920463</v>
      </c>
      <c r="H3098">
        <f>0.00339558573853989*4.84680831993846</f>
        <v>1.645775320861952E-2</v>
      </c>
      <c r="I3098">
        <v>1.6457753208619579E-2</v>
      </c>
    </row>
    <row r="3099" spans="1:9" x14ac:dyDescent="0.25">
      <c r="A3099">
        <v>281</v>
      </c>
      <c r="B3099" t="s">
        <v>1460</v>
      </c>
      <c r="C3099" t="s">
        <v>48</v>
      </c>
      <c r="D3099" t="s">
        <v>599</v>
      </c>
      <c r="E3099">
        <f>3/589</f>
        <v>5.0933786078098476E-3</v>
      </c>
      <c r="F3099">
        <v>28</v>
      </c>
      <c r="G3099">
        <f>LOG(382/(28+1))</f>
        <v>1.1196653650127526</v>
      </c>
      <c r="H3099">
        <f>0.00509337860780984*2.5781247786201</f>
        <v>1.3131365595688095E-2</v>
      </c>
      <c r="I3099">
        <v>1.3131365595688119E-2</v>
      </c>
    </row>
    <row r="3100" spans="1:9" x14ac:dyDescent="0.25">
      <c r="A3100">
        <v>281</v>
      </c>
      <c r="B3100" t="s">
        <v>1460</v>
      </c>
      <c r="C3100" t="s">
        <v>48</v>
      </c>
      <c r="D3100" t="s">
        <v>111</v>
      </c>
      <c r="E3100">
        <f>1/589</f>
        <v>1.697792869269949E-3</v>
      </c>
      <c r="F3100">
        <v>33</v>
      </c>
      <c r="G3100">
        <f>LOG(382/(33+1))</f>
        <v>1.0505844458694535</v>
      </c>
      <c r="H3100">
        <f>0.00169779286926994*2.41906008399041</f>
        <v>4.1070629609344603E-3</v>
      </c>
      <c r="I3100">
        <v>4.1070629609344881E-3</v>
      </c>
    </row>
    <row r="3101" spans="1:9" x14ac:dyDescent="0.25">
      <c r="A3101">
        <v>281</v>
      </c>
      <c r="B3101" t="s">
        <v>1460</v>
      </c>
      <c r="C3101" t="s">
        <v>48</v>
      </c>
      <c r="D3101" t="s">
        <v>1489</v>
      </c>
      <c r="E3101">
        <f>1/589</f>
        <v>1.697792869269949E-3</v>
      </c>
      <c r="F3101">
        <v>1</v>
      </c>
      <c r="G3101">
        <f>LOG(382/(1+1))</f>
        <v>2.2810333672477277</v>
      </c>
      <c r="H3101">
        <f>0.00169779286926994*5.25227342804663</f>
        <v>8.9172723735935506E-3</v>
      </c>
      <c r="I3101">
        <v>8.9172723735935992E-3</v>
      </c>
    </row>
    <row r="3102" spans="1:9" x14ac:dyDescent="0.25">
      <c r="A3102">
        <v>281</v>
      </c>
      <c r="B3102" t="s">
        <v>1460</v>
      </c>
      <c r="C3102" t="s">
        <v>48</v>
      </c>
      <c r="D3102" t="s">
        <v>1401</v>
      </c>
      <c r="E3102">
        <f>3/589</f>
        <v>5.0933786078098476E-3</v>
      </c>
      <c r="F3102">
        <v>16</v>
      </c>
      <c r="G3102">
        <f>LOG(382/(16+1))</f>
        <v>1.3516144415334348</v>
      </c>
      <c r="H3102">
        <f>0.00509337860780984*3.11220726455035</f>
        <v>1.585164990433113E-2</v>
      </c>
      <c r="I3102">
        <v>1.5851649904331199E-2</v>
      </c>
    </row>
    <row r="3103" spans="1:9" x14ac:dyDescent="0.25">
      <c r="A3103">
        <v>281</v>
      </c>
      <c r="B3103" t="s">
        <v>1460</v>
      </c>
      <c r="C3103" t="s">
        <v>48</v>
      </c>
      <c r="D3103" t="s">
        <v>913</v>
      </c>
      <c r="E3103">
        <f>2/589</f>
        <v>3.3955857385398981E-3</v>
      </c>
      <c r="F3103">
        <v>14</v>
      </c>
      <c r="G3103">
        <f>LOG(382/(14+1))</f>
        <v>1.4059721038560276</v>
      </c>
      <c r="H3103">
        <f>0.00339558573853989*3.23737040750436</f>
        <v>1.0992768786092877E-2</v>
      </c>
      <c r="I3103">
        <v>1.099276878609292E-2</v>
      </c>
    </row>
    <row r="3104" spans="1:9" x14ac:dyDescent="0.25">
      <c r="A3104">
        <v>281</v>
      </c>
      <c r="B3104" t="s">
        <v>1460</v>
      </c>
      <c r="C3104" t="s">
        <v>48</v>
      </c>
      <c r="D3104" t="s">
        <v>725</v>
      </c>
      <c r="E3104">
        <f>1/589</f>
        <v>1.697792869269949E-3</v>
      </c>
      <c r="F3104">
        <v>12</v>
      </c>
      <c r="G3104">
        <f>LOG(382/(12+1))</f>
        <v>1.468120010604872</v>
      </c>
      <c r="H3104">
        <f>0.00169779286926994*3.38047125114503</f>
        <v>5.739339984966064E-3</v>
      </c>
      <c r="I3104">
        <v>5.7393399849661091E-3</v>
      </c>
    </row>
    <row r="3105" spans="1:9" x14ac:dyDescent="0.25">
      <c r="A3105">
        <v>281</v>
      </c>
      <c r="B3105" t="s">
        <v>1460</v>
      </c>
      <c r="C3105" t="s">
        <v>48</v>
      </c>
      <c r="D3105" t="s">
        <v>168</v>
      </c>
      <c r="E3105">
        <f>2/589</f>
        <v>3.3955857385398981E-3</v>
      </c>
      <c r="F3105">
        <v>34</v>
      </c>
      <c r="G3105">
        <f>LOG(382/(34+1))</f>
        <v>1.037995318561433</v>
      </c>
      <c r="H3105">
        <f>0.00339558573853989*2.39007254711716</f>
        <v>8.1156962550667372E-3</v>
      </c>
      <c r="I3105">
        <v>8.1156962550667615E-3</v>
      </c>
    </row>
    <row r="3106" spans="1:9" x14ac:dyDescent="0.25">
      <c r="A3106">
        <v>281</v>
      </c>
      <c r="B3106" t="s">
        <v>1460</v>
      </c>
      <c r="C3106" t="s">
        <v>48</v>
      </c>
      <c r="D3106" t="s">
        <v>542</v>
      </c>
      <c r="E3106">
        <f>3/589</f>
        <v>5.0933786078098476E-3</v>
      </c>
      <c r="F3106">
        <v>42</v>
      </c>
      <c r="G3106">
        <f>LOG(382/(42+1))</f>
        <v>0.94859490733212215</v>
      </c>
      <c r="H3106">
        <f>0.00509337860780984*2.18422049291301</f>
        <v>1.1125061933342988E-2</v>
      </c>
      <c r="I3106">
        <v>1.112506193334302E-2</v>
      </c>
    </row>
    <row r="3107" spans="1:9" x14ac:dyDescent="0.25">
      <c r="A3107">
        <v>281</v>
      </c>
      <c r="B3107" t="s">
        <v>1460</v>
      </c>
      <c r="C3107" t="s">
        <v>48</v>
      </c>
      <c r="D3107" t="s">
        <v>42</v>
      </c>
      <c r="E3107">
        <f t="shared" ref="E3107:E3114" si="140">1/589</f>
        <v>1.697792869269949E-3</v>
      </c>
      <c r="F3107">
        <v>251</v>
      </c>
      <c r="G3107">
        <f>LOG(382/(251+1))</f>
        <v>0.18066282213016463</v>
      </c>
      <c r="H3107">
        <f>0.00169779286926994*0.415991521095151</f>
        <v>7.0626743819210316E-4</v>
      </c>
      <c r="I3107">
        <v>7.0626743819210836E-4</v>
      </c>
    </row>
    <row r="3108" spans="1:9" x14ac:dyDescent="0.25">
      <c r="A3108">
        <v>281</v>
      </c>
      <c r="B3108" t="s">
        <v>1460</v>
      </c>
      <c r="C3108" t="s">
        <v>48</v>
      </c>
      <c r="D3108" t="s">
        <v>1490</v>
      </c>
      <c r="E3108">
        <f t="shared" si="140"/>
        <v>1.697792869269949E-3</v>
      </c>
      <c r="F3108">
        <v>2</v>
      </c>
      <c r="G3108">
        <f>LOG(382/(2+1))</f>
        <v>2.1049421081920463</v>
      </c>
      <c r="H3108">
        <f>0.00169779286926994*4.84680831993846</f>
        <v>8.2288766043097355E-3</v>
      </c>
      <c r="I3108">
        <v>8.2288766043097875E-3</v>
      </c>
    </row>
    <row r="3109" spans="1:9" x14ac:dyDescent="0.25">
      <c r="A3109">
        <v>281</v>
      </c>
      <c r="B3109" t="s">
        <v>1460</v>
      </c>
      <c r="C3109" t="s">
        <v>48</v>
      </c>
      <c r="D3109" t="s">
        <v>17</v>
      </c>
      <c r="E3109">
        <f t="shared" si="140"/>
        <v>1.697792869269949E-3</v>
      </c>
      <c r="F3109">
        <v>169</v>
      </c>
      <c r="G3109">
        <f>LOG(382/(169+1))</f>
        <v>0.3516144415334348</v>
      </c>
      <c r="H3109">
        <f>0.00169779286926994*0.809622171556313</f>
        <v>1.3745707496711523E-3</v>
      </c>
      <c r="I3109">
        <v>1.3745707496711601E-3</v>
      </c>
    </row>
    <row r="3110" spans="1:9" x14ac:dyDescent="0.25">
      <c r="A3110">
        <v>281</v>
      </c>
      <c r="B3110" t="s">
        <v>1460</v>
      </c>
      <c r="C3110" t="s">
        <v>48</v>
      </c>
      <c r="D3110" t="s">
        <v>115</v>
      </c>
      <c r="E3110">
        <f t="shared" si="140"/>
        <v>1.697792869269949E-3</v>
      </c>
      <c r="F3110">
        <v>17</v>
      </c>
      <c r="G3110">
        <f>LOG(382/(17+1))</f>
        <v>1.3267908578084027</v>
      </c>
      <c r="H3110">
        <f>0.00169779286926994*3.05504885071041</f>
        <v>5.1868401540074594E-3</v>
      </c>
      <c r="I3110">
        <v>5.186840154007488E-3</v>
      </c>
    </row>
    <row r="3111" spans="1:9" x14ac:dyDescent="0.25">
      <c r="A3111">
        <v>281</v>
      </c>
      <c r="B3111" t="s">
        <v>1460</v>
      </c>
      <c r="C3111" t="s">
        <v>48</v>
      </c>
      <c r="D3111" t="s">
        <v>1491</v>
      </c>
      <c r="E3111">
        <f t="shared" si="140"/>
        <v>1.697792869269949E-3</v>
      </c>
      <c r="F3111">
        <v>4</v>
      </c>
      <c r="G3111">
        <f>LOG(382/(4+1))</f>
        <v>1.8830933585756899</v>
      </c>
      <c r="H3111">
        <f>0.00169779286926994*4.33598269617247</f>
        <v>7.3616005028394682E-3</v>
      </c>
      <c r="I3111">
        <v>7.3616005028395159E-3</v>
      </c>
    </row>
    <row r="3112" spans="1:9" x14ac:dyDescent="0.25">
      <c r="A3112">
        <v>281</v>
      </c>
      <c r="B3112" t="s">
        <v>1460</v>
      </c>
      <c r="C3112" t="s">
        <v>48</v>
      </c>
      <c r="D3112" t="s">
        <v>1403</v>
      </c>
      <c r="E3112">
        <f t="shared" si="140"/>
        <v>1.697792869269949E-3</v>
      </c>
      <c r="F3112">
        <v>10</v>
      </c>
      <c r="G3112">
        <f>LOG(382/(10+1))</f>
        <v>1.5406706777534838</v>
      </c>
      <c r="H3112">
        <f>0.00169779286926994*3.5475253358082</f>
        <v>6.0229632186896117E-3</v>
      </c>
      <c r="I3112">
        <v>6.0229632186896524E-3</v>
      </c>
    </row>
    <row r="3113" spans="1:9" x14ac:dyDescent="0.25">
      <c r="A3113">
        <v>281</v>
      </c>
      <c r="B3113" t="s">
        <v>1460</v>
      </c>
      <c r="C3113" t="s">
        <v>48</v>
      </c>
      <c r="D3113" t="s">
        <v>475</v>
      </c>
      <c r="E3113">
        <f t="shared" si="140"/>
        <v>1.697792869269949E-3</v>
      </c>
      <c r="F3113">
        <v>16</v>
      </c>
      <c r="G3113">
        <f>LOG(382/(16+1))</f>
        <v>1.3516144415334348</v>
      </c>
      <c r="H3113">
        <f>0.00169779286926994*3.11220726455035</f>
        <v>5.2838833014436891E-3</v>
      </c>
      <c r="I3113">
        <v>5.2838833014437333E-3</v>
      </c>
    </row>
    <row r="3114" spans="1:9" x14ac:dyDescent="0.25">
      <c r="A3114">
        <v>281</v>
      </c>
      <c r="B3114" t="s">
        <v>1460</v>
      </c>
      <c r="C3114" t="s">
        <v>48</v>
      </c>
      <c r="D3114" t="s">
        <v>336</v>
      </c>
      <c r="E3114">
        <f t="shared" si="140"/>
        <v>1.697792869269949E-3</v>
      </c>
      <c r="F3114">
        <v>10</v>
      </c>
      <c r="G3114">
        <f>LOG(382/(10+1))</f>
        <v>1.5406706777534838</v>
      </c>
      <c r="H3114">
        <f>0.00169779286926994*3.5475253358082</f>
        <v>6.0229632186896117E-3</v>
      </c>
      <c r="I3114">
        <v>6.0229632186896524E-3</v>
      </c>
    </row>
    <row r="3115" spans="1:9" x14ac:dyDescent="0.25">
      <c r="A3115">
        <v>281</v>
      </c>
      <c r="B3115" t="s">
        <v>1460</v>
      </c>
      <c r="C3115" t="s">
        <v>48</v>
      </c>
      <c r="D3115" t="s">
        <v>688</v>
      </c>
      <c r="E3115">
        <f>2/589</f>
        <v>3.3955857385398981E-3</v>
      </c>
      <c r="F3115">
        <v>23</v>
      </c>
      <c r="G3115">
        <f>LOG(382/(23+1))</f>
        <v>1.2018521212001028</v>
      </c>
      <c r="H3115">
        <f>0.00339558573853989*2.76736677825862</f>
        <v>9.3968311655640516E-3</v>
      </c>
      <c r="I3115">
        <v>9.3968311655641071E-3</v>
      </c>
    </row>
    <row r="3116" spans="1:9" x14ac:dyDescent="0.25">
      <c r="A3116">
        <v>281</v>
      </c>
      <c r="B3116" t="s">
        <v>1460</v>
      </c>
      <c r="C3116" t="s">
        <v>48</v>
      </c>
      <c r="D3116" t="s">
        <v>1492</v>
      </c>
      <c r="E3116">
        <f>3/589</f>
        <v>5.0933786078098476E-3</v>
      </c>
      <c r="F3116">
        <v>8</v>
      </c>
      <c r="G3116">
        <f>LOG(382/(8+1))</f>
        <v>1.6278208534723839</v>
      </c>
      <c r="H3116">
        <f>0.00509337860780984*3.74819603127035</f>
        <v>1.9090981483550141E-2</v>
      </c>
      <c r="I3116">
        <v>1.90909814835502E-2</v>
      </c>
    </row>
    <row r="3117" spans="1:9" x14ac:dyDescent="0.25">
      <c r="A3117">
        <v>281</v>
      </c>
      <c r="B3117" t="s">
        <v>1460</v>
      </c>
      <c r="C3117" t="s">
        <v>48</v>
      </c>
      <c r="D3117" t="s">
        <v>1493</v>
      </c>
      <c r="E3117">
        <f>1/589</f>
        <v>1.697792869269949E-3</v>
      </c>
      <c r="F3117">
        <v>1</v>
      </c>
      <c r="G3117">
        <f>LOG(382/(1+1))</f>
        <v>2.2810333672477277</v>
      </c>
      <c r="H3117">
        <f>0.00169779286926994*5.25227342804663</f>
        <v>8.9172723735935506E-3</v>
      </c>
      <c r="I3117">
        <v>8.9172723735935992E-3</v>
      </c>
    </row>
    <row r="3118" spans="1:9" x14ac:dyDescent="0.25">
      <c r="A3118">
        <v>281</v>
      </c>
      <c r="B3118" t="s">
        <v>1460</v>
      </c>
      <c r="C3118" t="s">
        <v>48</v>
      </c>
      <c r="D3118" t="s">
        <v>1494</v>
      </c>
      <c r="E3118">
        <f>1/589</f>
        <v>1.697792869269949E-3</v>
      </c>
      <c r="F3118">
        <v>1</v>
      </c>
      <c r="G3118">
        <f>LOG(382/(1+1))</f>
        <v>2.2810333672477277</v>
      </c>
      <c r="H3118">
        <f>0.00169779286926994*5.25227342804663</f>
        <v>8.9172723735935506E-3</v>
      </c>
      <c r="I3118">
        <v>8.9172723735935992E-3</v>
      </c>
    </row>
    <row r="3119" spans="1:9" x14ac:dyDescent="0.25">
      <c r="A3119">
        <v>281</v>
      </c>
      <c r="B3119" t="s">
        <v>1460</v>
      </c>
      <c r="C3119" t="s">
        <v>48</v>
      </c>
      <c r="D3119" t="s">
        <v>327</v>
      </c>
      <c r="E3119">
        <f>1/589</f>
        <v>1.697792869269949E-3</v>
      </c>
      <c r="F3119">
        <v>46</v>
      </c>
      <c r="G3119">
        <f>LOG(382/(46+1))</f>
        <v>0.90996550497599127</v>
      </c>
      <c r="H3119">
        <f>0.00169779286926994*2.09527300689651</f>
        <v>3.5573395702826805E-3</v>
      </c>
      <c r="I3119">
        <v>3.55733957028271E-3</v>
      </c>
    </row>
    <row r="3120" spans="1:9" x14ac:dyDescent="0.25">
      <c r="A3120">
        <v>281</v>
      </c>
      <c r="B3120" t="s">
        <v>1460</v>
      </c>
      <c r="C3120" t="s">
        <v>48</v>
      </c>
      <c r="D3120" t="s">
        <v>360</v>
      </c>
      <c r="E3120">
        <f>2/589</f>
        <v>3.3955857385398981E-3</v>
      </c>
      <c r="F3120">
        <v>15</v>
      </c>
      <c r="G3120">
        <f>LOG(382/(15+1))</f>
        <v>1.3779433802557839</v>
      </c>
      <c r="H3120">
        <f>0.00339558573853989*3.17283188636679</f>
        <v>1.0773622704131689E-2</v>
      </c>
      <c r="I3120">
        <v>1.077362270413173E-2</v>
      </c>
    </row>
    <row r="3121" spans="1:9" x14ac:dyDescent="0.25">
      <c r="A3121">
        <v>281</v>
      </c>
      <c r="B3121" t="s">
        <v>1460</v>
      </c>
      <c r="C3121" t="s">
        <v>48</v>
      </c>
      <c r="D3121" t="s">
        <v>589</v>
      </c>
      <c r="E3121">
        <f>1/589</f>
        <v>1.697792869269949E-3</v>
      </c>
      <c r="F3121">
        <v>12</v>
      </c>
      <c r="G3121">
        <f>LOG(382/(12+1))</f>
        <v>1.468120010604872</v>
      </c>
      <c r="H3121">
        <f>0.00169779286926994*3.38047125114503</f>
        <v>5.739339984966064E-3</v>
      </c>
      <c r="I3121">
        <v>5.7393399849661091E-3</v>
      </c>
    </row>
    <row r="3122" spans="1:9" x14ac:dyDescent="0.25">
      <c r="A3122">
        <v>281</v>
      </c>
      <c r="B3122" t="s">
        <v>1460</v>
      </c>
      <c r="C3122" t="s">
        <v>48</v>
      </c>
      <c r="D3122" t="s">
        <v>1495</v>
      </c>
      <c r="E3122">
        <f>1/589</f>
        <v>1.697792869269949E-3</v>
      </c>
      <c r="F3122">
        <v>1</v>
      </c>
      <c r="G3122">
        <f>LOG(382/(1+1))</f>
        <v>2.2810333672477277</v>
      </c>
      <c r="H3122">
        <f>0.00169779286926994*5.25227342804663</f>
        <v>8.9172723735935506E-3</v>
      </c>
      <c r="I3122">
        <v>8.9172723735935992E-3</v>
      </c>
    </row>
    <row r="3123" spans="1:9" x14ac:dyDescent="0.25">
      <c r="A3123">
        <v>281</v>
      </c>
      <c r="B3123" t="s">
        <v>1460</v>
      </c>
      <c r="C3123" t="s">
        <v>48</v>
      </c>
      <c r="D3123" t="s">
        <v>429</v>
      </c>
      <c r="E3123">
        <f>1/589</f>
        <v>1.697792869269949E-3</v>
      </c>
      <c r="F3123">
        <v>11</v>
      </c>
      <c r="G3123">
        <f>LOG(382/(11+1))</f>
        <v>1.5028821168640838</v>
      </c>
      <c r="H3123">
        <f>0.00169779286926994*3.46051395881857</f>
        <v>5.8752359232912589E-3</v>
      </c>
      <c r="I3123">
        <v>5.8752359232912988E-3</v>
      </c>
    </row>
    <row r="3124" spans="1:9" x14ac:dyDescent="0.25">
      <c r="A3124">
        <v>281</v>
      </c>
      <c r="B3124" t="s">
        <v>1460</v>
      </c>
      <c r="C3124" t="s">
        <v>48</v>
      </c>
      <c r="D3124" t="s">
        <v>195</v>
      </c>
      <c r="E3124">
        <f>1/589</f>
        <v>1.697792869269949E-3</v>
      </c>
      <c r="F3124">
        <v>55</v>
      </c>
      <c r="G3124">
        <f>LOG(382/(55+1))</f>
        <v>0.83387533590550833</v>
      </c>
      <c r="H3124">
        <f>0.00169779286926994*1.92006891787142</f>
        <v>3.259879317268947E-3</v>
      </c>
      <c r="I3124">
        <v>3.2598793172689739E-3</v>
      </c>
    </row>
    <row r="3125" spans="1:9" x14ac:dyDescent="0.25">
      <c r="A3125">
        <v>281</v>
      </c>
      <c r="B3125" t="s">
        <v>1460</v>
      </c>
      <c r="C3125" t="s">
        <v>48</v>
      </c>
      <c r="D3125" t="s">
        <v>1496</v>
      </c>
      <c r="E3125">
        <f>8/589</f>
        <v>1.3582342954159592E-2</v>
      </c>
      <c r="F3125">
        <v>39</v>
      </c>
      <c r="G3125">
        <f>LOG(382/(39+1))</f>
        <v>0.9800033715837464</v>
      </c>
      <c r="H3125">
        <f>0.0135823429541595*2.25654115449263</f>
        <v>3.0649115850493919E-2</v>
      </c>
      <c r="I3125">
        <v>3.0649115850494249E-2</v>
      </c>
    </row>
    <row r="3126" spans="1:9" x14ac:dyDescent="0.25">
      <c r="A3126">
        <v>281</v>
      </c>
      <c r="B3126" t="s">
        <v>1460</v>
      </c>
      <c r="C3126" t="s">
        <v>48</v>
      </c>
      <c r="D3126" t="s">
        <v>1497</v>
      </c>
      <c r="E3126">
        <f>1/589</f>
        <v>1.697792869269949E-3</v>
      </c>
      <c r="F3126">
        <v>3</v>
      </c>
      <c r="G3126">
        <f>LOG(382/(3+1))</f>
        <v>1.9800033715837464</v>
      </c>
      <c r="H3126">
        <f>0.00169779286926994*4.55912624748668</f>
        <v>7.7404520330843045E-3</v>
      </c>
      <c r="I3126">
        <v>7.7404520330843539E-3</v>
      </c>
    </row>
    <row r="3127" spans="1:9" x14ac:dyDescent="0.25">
      <c r="A3127">
        <v>281</v>
      </c>
      <c r="B3127" t="s">
        <v>1460</v>
      </c>
      <c r="C3127" t="s">
        <v>48</v>
      </c>
      <c r="D3127" t="s">
        <v>1155</v>
      </c>
      <c r="E3127">
        <f>2/589</f>
        <v>3.3955857385398981E-3</v>
      </c>
      <c r="F3127">
        <v>4</v>
      </c>
      <c r="G3127">
        <f>LOG(382/(4+1))</f>
        <v>1.8830933585756899</v>
      </c>
      <c r="H3127">
        <f>0.00339558573853989*4.33598269617247</f>
        <v>1.472320100567898E-2</v>
      </c>
      <c r="I3127">
        <v>1.472320100567903E-2</v>
      </c>
    </row>
    <row r="3128" spans="1:9" x14ac:dyDescent="0.25">
      <c r="A3128">
        <v>281</v>
      </c>
      <c r="B3128" t="s">
        <v>1460</v>
      </c>
      <c r="C3128" t="s">
        <v>48</v>
      </c>
      <c r="D3128" t="s">
        <v>333</v>
      </c>
      <c r="E3128">
        <f>1/589</f>
        <v>1.697792869269949E-3</v>
      </c>
      <c r="F3128">
        <v>9</v>
      </c>
      <c r="G3128">
        <f>LOG(382/(9+1))</f>
        <v>1.5820633629117087</v>
      </c>
      <c r="H3128">
        <f>0.00169779286926994*3.64283551561252</f>
        <v>6.1847801623302213E-3</v>
      </c>
      <c r="I3128">
        <v>6.1847801623302707E-3</v>
      </c>
    </row>
    <row r="3129" spans="1:9" x14ac:dyDescent="0.25">
      <c r="A3129">
        <v>281</v>
      </c>
      <c r="B3129" t="s">
        <v>1460</v>
      </c>
      <c r="C3129" t="s">
        <v>48</v>
      </c>
      <c r="D3129" t="s">
        <v>1498</v>
      </c>
      <c r="E3129">
        <f>1/589</f>
        <v>1.697792869269949E-3</v>
      </c>
      <c r="F3129">
        <v>1</v>
      </c>
      <c r="G3129">
        <f>LOG(382/(1+1))</f>
        <v>2.2810333672477277</v>
      </c>
      <c r="H3129">
        <f>0.00169779286926994*5.25227342804663</f>
        <v>8.9172723735935506E-3</v>
      </c>
      <c r="I3129">
        <v>8.9172723735935992E-3</v>
      </c>
    </row>
    <row r="3130" spans="1:9" x14ac:dyDescent="0.25">
      <c r="A3130">
        <v>281</v>
      </c>
      <c r="B3130" t="s">
        <v>1460</v>
      </c>
      <c r="C3130" t="s">
        <v>48</v>
      </c>
      <c r="D3130" t="s">
        <v>744</v>
      </c>
      <c r="E3130">
        <f>1/589</f>
        <v>1.697792869269949E-3</v>
      </c>
      <c r="F3130">
        <v>28</v>
      </c>
      <c r="G3130">
        <f>LOG(382/(28+1))</f>
        <v>1.1196653650127526</v>
      </c>
      <c r="H3130">
        <f>0.00169779286926994*2.5781247786201</f>
        <v>4.3771218652293477E-3</v>
      </c>
      <c r="I3130">
        <v>4.3771218652293737E-3</v>
      </c>
    </row>
    <row r="3131" spans="1:9" x14ac:dyDescent="0.25">
      <c r="A3131">
        <v>281</v>
      </c>
      <c r="B3131" t="s">
        <v>1460</v>
      </c>
      <c r="C3131" t="s">
        <v>48</v>
      </c>
      <c r="D3131" t="s">
        <v>570</v>
      </c>
      <c r="E3131">
        <f>2/589</f>
        <v>3.3955857385398981E-3</v>
      </c>
      <c r="F3131">
        <v>27</v>
      </c>
      <c r="G3131">
        <f>LOG(382/(27+1))</f>
        <v>1.1349053315694895</v>
      </c>
      <c r="H3131">
        <f>0.00339558573853989*2.61321609843137</f>
        <v>8.8733993155564132E-3</v>
      </c>
      <c r="I3131">
        <v>8.8733993155564374E-3</v>
      </c>
    </row>
    <row r="3132" spans="1:9" x14ac:dyDescent="0.25">
      <c r="A3132">
        <v>281</v>
      </c>
      <c r="B3132" t="s">
        <v>1460</v>
      </c>
      <c r="C3132" t="s">
        <v>48</v>
      </c>
      <c r="D3132" t="s">
        <v>1499</v>
      </c>
      <c r="E3132">
        <f>1/589</f>
        <v>1.697792869269949E-3</v>
      </c>
      <c r="F3132">
        <v>2</v>
      </c>
      <c r="G3132">
        <f>LOG(382/(2+1))</f>
        <v>2.1049421081920463</v>
      </c>
      <c r="H3132">
        <f>0.00169779286926994*4.84680831993846</f>
        <v>8.2288766043097355E-3</v>
      </c>
      <c r="I3132">
        <v>8.2288766043097875E-3</v>
      </c>
    </row>
    <row r="3133" spans="1:9" x14ac:dyDescent="0.25">
      <c r="A3133">
        <v>281</v>
      </c>
      <c r="B3133" t="s">
        <v>1460</v>
      </c>
      <c r="C3133" t="s">
        <v>48</v>
      </c>
      <c r="D3133" t="s">
        <v>1284</v>
      </c>
      <c r="E3133">
        <f>1/589</f>
        <v>1.697792869269949E-3</v>
      </c>
      <c r="F3133">
        <v>5</v>
      </c>
      <c r="G3133">
        <f>LOG(382/(5+1))</f>
        <v>1.803912112528065</v>
      </c>
      <c r="H3133">
        <f>0.00169779286926994*4.15366113937852</f>
        <v>7.052056263800505E-3</v>
      </c>
      <c r="I3133">
        <v>7.0520562638005432E-3</v>
      </c>
    </row>
    <row r="3134" spans="1:9" x14ac:dyDescent="0.25">
      <c r="A3134">
        <v>281</v>
      </c>
      <c r="B3134" t="s">
        <v>1460</v>
      </c>
      <c r="C3134" t="s">
        <v>48</v>
      </c>
      <c r="D3134" t="s">
        <v>1500</v>
      </c>
      <c r="E3134">
        <f>1/589</f>
        <v>1.697792869269949E-3</v>
      </c>
      <c r="F3134">
        <v>1</v>
      </c>
      <c r="G3134">
        <f>LOG(382/(1+1))</f>
        <v>2.2810333672477277</v>
      </c>
      <c r="H3134">
        <f>0.00169779286926994*5.25227342804663</f>
        <v>8.9172723735935506E-3</v>
      </c>
      <c r="I3134">
        <v>8.9172723735935992E-3</v>
      </c>
    </row>
    <row r="3135" spans="1:9" x14ac:dyDescent="0.25">
      <c r="A3135">
        <v>281</v>
      </c>
      <c r="B3135" t="s">
        <v>1460</v>
      </c>
      <c r="C3135" t="s">
        <v>48</v>
      </c>
      <c r="D3135" t="s">
        <v>1501</v>
      </c>
      <c r="E3135">
        <f>1/589</f>
        <v>1.697792869269949E-3</v>
      </c>
      <c r="F3135">
        <v>3</v>
      </c>
      <c r="G3135">
        <f>LOG(382/(3+1))</f>
        <v>1.9800033715837464</v>
      </c>
      <c r="H3135">
        <f>0.00169779286926994*4.55912624748668</f>
        <v>7.7404520330843045E-3</v>
      </c>
      <c r="I3135">
        <v>7.7404520330843539E-3</v>
      </c>
    </row>
    <row r="3136" spans="1:9" x14ac:dyDescent="0.25">
      <c r="A3136">
        <v>281</v>
      </c>
      <c r="B3136" t="s">
        <v>1460</v>
      </c>
      <c r="C3136" t="s">
        <v>48</v>
      </c>
      <c r="D3136" t="s">
        <v>1059</v>
      </c>
      <c r="E3136">
        <f>2/589</f>
        <v>3.3955857385398981E-3</v>
      </c>
      <c r="F3136">
        <v>16</v>
      </c>
      <c r="G3136">
        <f>LOG(382/(16+1))</f>
        <v>1.3516144415334348</v>
      </c>
      <c r="H3136">
        <f>0.00339558573853989*3.11220726455035</f>
        <v>1.0567766602887409E-2</v>
      </c>
      <c r="I3136">
        <v>1.056776660288747E-2</v>
      </c>
    </row>
    <row r="3137" spans="1:9" x14ac:dyDescent="0.25">
      <c r="A3137">
        <v>281</v>
      </c>
      <c r="B3137" t="s">
        <v>1460</v>
      </c>
      <c r="C3137" t="s">
        <v>48</v>
      </c>
      <c r="D3137" t="s">
        <v>105</v>
      </c>
      <c r="E3137">
        <f>3/589</f>
        <v>5.0933786078098476E-3</v>
      </c>
      <c r="F3137">
        <v>122</v>
      </c>
      <c r="G3137">
        <f>LOG(382/(122+1))</f>
        <v>0.49215825147231079</v>
      </c>
      <c r="H3137">
        <f>0.00509337860780984*1.13323625323415</f>
        <v>5.7720012898173937E-3</v>
      </c>
      <c r="I3137">
        <v>5.7720012898174406E-3</v>
      </c>
    </row>
    <row r="3138" spans="1:9" x14ac:dyDescent="0.25">
      <c r="A3138">
        <v>281</v>
      </c>
      <c r="B3138" t="s">
        <v>1460</v>
      </c>
      <c r="C3138" t="s">
        <v>48</v>
      </c>
      <c r="D3138" t="s">
        <v>552</v>
      </c>
      <c r="E3138">
        <f>1/589</f>
        <v>1.697792869269949E-3</v>
      </c>
      <c r="F3138">
        <v>14</v>
      </c>
      <c r="G3138">
        <f>LOG(382/(14+1))</f>
        <v>1.4059721038560276</v>
      </c>
      <c r="H3138">
        <f>0.00169779286926994*3.23737040750436</f>
        <v>5.4963843930464218E-3</v>
      </c>
      <c r="I3138">
        <v>5.4963843930464608E-3</v>
      </c>
    </row>
    <row r="3139" spans="1:9" x14ac:dyDescent="0.25">
      <c r="A3139">
        <v>281</v>
      </c>
      <c r="B3139" t="s">
        <v>1460</v>
      </c>
      <c r="C3139" t="s">
        <v>48</v>
      </c>
      <c r="D3139" t="s">
        <v>98</v>
      </c>
      <c r="E3139">
        <f>1/589</f>
        <v>1.697792869269949E-3</v>
      </c>
      <c r="F3139">
        <v>56</v>
      </c>
      <c r="G3139">
        <f>LOG(382/(56+1))</f>
        <v>0.82618850723921733</v>
      </c>
      <c r="H3139">
        <f>0.00169779286926994*1.90236934077202</f>
        <v>3.229829101480492E-3</v>
      </c>
      <c r="I3139">
        <v>3.229829101480518E-3</v>
      </c>
    </row>
    <row r="3140" spans="1:9" x14ac:dyDescent="0.25">
      <c r="A3140">
        <v>281</v>
      </c>
      <c r="B3140" t="s">
        <v>1460</v>
      </c>
      <c r="C3140" t="s">
        <v>48</v>
      </c>
      <c r="D3140" t="s">
        <v>1444</v>
      </c>
      <c r="E3140">
        <f>1/589</f>
        <v>1.697792869269949E-3</v>
      </c>
      <c r="F3140">
        <v>7</v>
      </c>
      <c r="G3140">
        <f>LOG(382/(7+1))</f>
        <v>1.6789733759197651</v>
      </c>
      <c r="H3140">
        <f>0.00169779286926994*3.86597906692673</f>
        <v>6.5636316925750584E-3</v>
      </c>
      <c r="I3140">
        <v>6.5636316925751087E-3</v>
      </c>
    </row>
    <row r="3141" spans="1:9" x14ac:dyDescent="0.25">
      <c r="A3141">
        <v>281</v>
      </c>
      <c r="B3141" t="s">
        <v>1460</v>
      </c>
      <c r="C3141" t="s">
        <v>48</v>
      </c>
      <c r="D3141" t="s">
        <v>1362</v>
      </c>
      <c r="E3141">
        <f>3/589</f>
        <v>5.0933786078098476E-3</v>
      </c>
      <c r="F3141">
        <v>12</v>
      </c>
      <c r="G3141">
        <f>LOG(382/(12+1))</f>
        <v>1.468120010604872</v>
      </c>
      <c r="H3141">
        <f>0.00509337860780984*3.38047125114503</f>
        <v>1.7218019954898262E-2</v>
      </c>
      <c r="I3141">
        <v>1.7218019954898332E-2</v>
      </c>
    </row>
    <row r="3142" spans="1:9" x14ac:dyDescent="0.25">
      <c r="A3142">
        <v>281</v>
      </c>
      <c r="B3142" t="s">
        <v>1460</v>
      </c>
      <c r="C3142" t="s">
        <v>48</v>
      </c>
      <c r="D3142" t="s">
        <v>313</v>
      </c>
      <c r="E3142">
        <f>3/589</f>
        <v>5.0933786078098476E-3</v>
      </c>
      <c r="F3142">
        <v>13</v>
      </c>
      <c r="G3142">
        <f>LOG(382/(13+1))</f>
        <v>1.4359353272334707</v>
      </c>
      <c r="H3142">
        <f>0.00509337860780984*3.30636327899131</f>
        <v>1.6840559994862336E-2</v>
      </c>
      <c r="I3142">
        <v>1.6840559994862399E-2</v>
      </c>
    </row>
    <row r="3143" spans="1:9" x14ac:dyDescent="0.25">
      <c r="A3143">
        <v>281</v>
      </c>
      <c r="B3143" t="s">
        <v>1460</v>
      </c>
      <c r="C3143" t="s">
        <v>48</v>
      </c>
      <c r="D3143" t="s">
        <v>315</v>
      </c>
      <c r="E3143">
        <f>2/589</f>
        <v>3.3955857385398981E-3</v>
      </c>
      <c r="F3143">
        <v>55</v>
      </c>
      <c r="G3143">
        <f>LOG(382/(55+1))</f>
        <v>0.83387533590550833</v>
      </c>
      <c r="H3143">
        <f>0.00339558573853989*1.92006891787142</f>
        <v>6.5197586345379132E-3</v>
      </c>
      <c r="I3143">
        <v>6.5197586345379487E-3</v>
      </c>
    </row>
    <row r="3144" spans="1:9" x14ac:dyDescent="0.25">
      <c r="A3144">
        <v>281</v>
      </c>
      <c r="B3144" t="s">
        <v>1460</v>
      </c>
      <c r="C3144" t="s">
        <v>48</v>
      </c>
      <c r="D3144" t="s">
        <v>1502</v>
      </c>
      <c r="E3144">
        <f t="shared" ref="E3144:E3149" si="141">1/589</f>
        <v>1.697792869269949E-3</v>
      </c>
      <c r="F3144">
        <v>3</v>
      </c>
      <c r="G3144">
        <f>LOG(382/(3+1))</f>
        <v>1.9800033715837464</v>
      </c>
      <c r="H3144">
        <f>0.00169779286926994*4.55912624748668</f>
        <v>7.7404520330843045E-3</v>
      </c>
      <c r="I3144">
        <v>7.7404520330843539E-3</v>
      </c>
    </row>
    <row r="3145" spans="1:9" x14ac:dyDescent="0.25">
      <c r="A3145">
        <v>281</v>
      </c>
      <c r="B3145" t="s">
        <v>1460</v>
      </c>
      <c r="C3145" t="s">
        <v>48</v>
      </c>
      <c r="D3145" t="s">
        <v>1081</v>
      </c>
      <c r="E3145">
        <f t="shared" si="141"/>
        <v>1.697792869269949E-3</v>
      </c>
      <c r="F3145">
        <v>27</v>
      </c>
      <c r="G3145">
        <f>LOG(382/(27+1))</f>
        <v>1.1349053315694895</v>
      </c>
      <c r="H3145">
        <f>0.00169779286926994*2.61321609843137</f>
        <v>4.4366996577781936E-3</v>
      </c>
      <c r="I3145">
        <v>4.4366996577782187E-3</v>
      </c>
    </row>
    <row r="3146" spans="1:9" x14ac:dyDescent="0.25">
      <c r="A3146">
        <v>281</v>
      </c>
      <c r="B3146" t="s">
        <v>1460</v>
      </c>
      <c r="C3146" t="s">
        <v>48</v>
      </c>
      <c r="D3146" t="s">
        <v>152</v>
      </c>
      <c r="E3146">
        <f t="shared" si="141"/>
        <v>1.697792869269949E-3</v>
      </c>
      <c r="F3146">
        <v>31</v>
      </c>
      <c r="G3146">
        <f>LOG(382/(31+1))</f>
        <v>1.0769133845918029</v>
      </c>
      <c r="H3146">
        <f>0.00169779286926994*2.47968470580684</f>
        <v>4.2099910115565818E-3</v>
      </c>
      <c r="I3146">
        <v>4.2099910115566191E-3</v>
      </c>
    </row>
    <row r="3147" spans="1:9" x14ac:dyDescent="0.25">
      <c r="A3147">
        <v>281</v>
      </c>
      <c r="B3147" t="s">
        <v>1460</v>
      </c>
      <c r="C3147" t="s">
        <v>48</v>
      </c>
      <c r="D3147" t="s">
        <v>1082</v>
      </c>
      <c r="E3147">
        <f t="shared" si="141"/>
        <v>1.697792869269949E-3</v>
      </c>
      <c r="F3147">
        <v>8</v>
      </c>
      <c r="G3147">
        <f>LOG(382/(8+1))</f>
        <v>1.6278208534723839</v>
      </c>
      <c r="H3147">
        <f>0.00169779286926994*3.74819603127035</f>
        <v>6.363660494516689E-3</v>
      </c>
      <c r="I3147">
        <v>6.3636604945167333E-3</v>
      </c>
    </row>
    <row r="3148" spans="1:9" x14ac:dyDescent="0.25">
      <c r="A3148">
        <v>281</v>
      </c>
      <c r="B3148" t="s">
        <v>1460</v>
      </c>
      <c r="C3148" t="s">
        <v>48</v>
      </c>
      <c r="D3148" t="s">
        <v>1503</v>
      </c>
      <c r="E3148">
        <f t="shared" si="141"/>
        <v>1.697792869269949E-3</v>
      </c>
      <c r="F3148">
        <v>1</v>
      </c>
      <c r="G3148">
        <f>LOG(382/(1+1))</f>
        <v>2.2810333672477277</v>
      </c>
      <c r="H3148">
        <f>0.00169779286926994*5.25227342804663</f>
        <v>8.9172723735935506E-3</v>
      </c>
      <c r="I3148">
        <v>8.9172723735935992E-3</v>
      </c>
    </row>
    <row r="3149" spans="1:9" x14ac:dyDescent="0.25">
      <c r="A3149">
        <v>281</v>
      </c>
      <c r="B3149" t="s">
        <v>1460</v>
      </c>
      <c r="C3149" t="s">
        <v>48</v>
      </c>
      <c r="D3149" t="s">
        <v>1504</v>
      </c>
      <c r="E3149">
        <f t="shared" si="141"/>
        <v>1.697792869269949E-3</v>
      </c>
      <c r="F3149">
        <v>1</v>
      </c>
      <c r="G3149">
        <f>LOG(382/(1+1))</f>
        <v>2.2810333672477277</v>
      </c>
      <c r="H3149">
        <f>0.00169779286926994*5.25227342804663</f>
        <v>8.9172723735935506E-3</v>
      </c>
      <c r="I3149">
        <v>8.9172723735935992E-3</v>
      </c>
    </row>
    <row r="3150" spans="1:9" x14ac:dyDescent="0.25">
      <c r="A3150">
        <v>281</v>
      </c>
      <c r="B3150" t="s">
        <v>1460</v>
      </c>
      <c r="C3150" t="s">
        <v>48</v>
      </c>
      <c r="D3150" t="s">
        <v>1505</v>
      </c>
      <c r="E3150">
        <f>2/589</f>
        <v>3.3955857385398981E-3</v>
      </c>
      <c r="F3150">
        <v>6</v>
      </c>
      <c r="G3150">
        <f>LOG(382/(6+1))</f>
        <v>1.736965322897452</v>
      </c>
      <c r="H3150">
        <f>0.00339558573853989*3.99951045955126</f>
        <v>1.358068067759338E-2</v>
      </c>
      <c r="I3150">
        <v>1.358068067759342E-2</v>
      </c>
    </row>
    <row r="3151" spans="1:9" x14ac:dyDescent="0.25">
      <c r="A3151">
        <v>281</v>
      </c>
      <c r="B3151" t="s">
        <v>1460</v>
      </c>
      <c r="C3151" t="s">
        <v>48</v>
      </c>
      <c r="D3151" t="s">
        <v>1506</v>
      </c>
      <c r="E3151">
        <f>2/589</f>
        <v>3.3955857385398981E-3</v>
      </c>
      <c r="F3151">
        <v>2</v>
      </c>
      <c r="G3151">
        <f>LOG(382/(2+1))</f>
        <v>2.1049421081920463</v>
      </c>
      <c r="H3151">
        <f>0.00339558573853989*4.84680831993846</f>
        <v>1.645775320861952E-2</v>
      </c>
      <c r="I3151">
        <v>1.6457753208619579E-2</v>
      </c>
    </row>
    <row r="3152" spans="1:9" x14ac:dyDescent="0.25">
      <c r="A3152">
        <v>281</v>
      </c>
      <c r="B3152" t="s">
        <v>1460</v>
      </c>
      <c r="C3152" t="s">
        <v>48</v>
      </c>
      <c r="D3152" t="s">
        <v>1507</v>
      </c>
      <c r="E3152">
        <f>1/589</f>
        <v>1.697792869269949E-3</v>
      </c>
      <c r="F3152">
        <v>3</v>
      </c>
      <c r="G3152">
        <f>LOG(382/(3+1))</f>
        <v>1.9800033715837464</v>
      </c>
      <c r="H3152">
        <f>0.00169779286926994*4.55912624748668</f>
        <v>7.7404520330843045E-3</v>
      </c>
      <c r="I3152">
        <v>7.7404520330843539E-3</v>
      </c>
    </row>
    <row r="3153" spans="1:9" x14ac:dyDescent="0.25">
      <c r="A3153">
        <v>281</v>
      </c>
      <c r="B3153" t="s">
        <v>1460</v>
      </c>
      <c r="C3153" t="s">
        <v>48</v>
      </c>
      <c r="D3153" t="s">
        <v>1508</v>
      </c>
      <c r="E3153">
        <f>1/589</f>
        <v>1.697792869269949E-3</v>
      </c>
      <c r="F3153">
        <v>1</v>
      </c>
      <c r="G3153">
        <f>LOG(382/(1+1))</f>
        <v>2.2810333672477277</v>
      </c>
      <c r="H3153">
        <f>0.00169779286926994*5.25227342804663</f>
        <v>8.9172723735935506E-3</v>
      </c>
      <c r="I3153">
        <v>8.9172723735935992E-3</v>
      </c>
    </row>
    <row r="3154" spans="1:9" x14ac:dyDescent="0.25">
      <c r="A3154">
        <v>281</v>
      </c>
      <c r="B3154" t="s">
        <v>1460</v>
      </c>
      <c r="C3154" t="s">
        <v>48</v>
      </c>
      <c r="D3154" t="s">
        <v>449</v>
      </c>
      <c r="E3154">
        <f>2/589</f>
        <v>3.3955857385398981E-3</v>
      </c>
      <c r="F3154">
        <v>9</v>
      </c>
      <c r="G3154">
        <f>LOG(382/(9+1))</f>
        <v>1.5820633629117087</v>
      </c>
      <c r="H3154">
        <f>0.00339558573853989*3.64283551561252</f>
        <v>1.2369560324660479E-2</v>
      </c>
      <c r="I3154">
        <v>1.236956032466054E-2</v>
      </c>
    </row>
    <row r="3155" spans="1:9" x14ac:dyDescent="0.25">
      <c r="A3155">
        <v>281</v>
      </c>
      <c r="B3155" t="s">
        <v>1460</v>
      </c>
      <c r="C3155" t="s">
        <v>48</v>
      </c>
      <c r="D3155" t="s">
        <v>149</v>
      </c>
      <c r="E3155">
        <f>2/589</f>
        <v>3.3955857385398981E-3</v>
      </c>
      <c r="F3155">
        <v>35</v>
      </c>
      <c r="G3155">
        <f>LOG(382/(35+1))</f>
        <v>1.0257608621444214</v>
      </c>
      <c r="H3155">
        <f>0.00339558573853989*2.36190167015046</f>
        <v>8.0200396269964492E-3</v>
      </c>
      <c r="I3155">
        <v>8.0200396269964856E-3</v>
      </c>
    </row>
    <row r="3156" spans="1:9" x14ac:dyDescent="0.25">
      <c r="A3156">
        <v>281</v>
      </c>
      <c r="B3156" t="s">
        <v>1460</v>
      </c>
      <c r="C3156" t="s">
        <v>48</v>
      </c>
      <c r="D3156" t="s">
        <v>1509</v>
      </c>
      <c r="E3156">
        <f>1/589</f>
        <v>1.697792869269949E-3</v>
      </c>
      <c r="F3156">
        <v>2</v>
      </c>
      <c r="G3156">
        <f>LOG(382/(2+1))</f>
        <v>2.1049421081920463</v>
      </c>
      <c r="H3156">
        <f>0.00169779286926994*4.84680831993846</f>
        <v>8.2288766043097355E-3</v>
      </c>
      <c r="I3156">
        <v>8.2288766043097875E-3</v>
      </c>
    </row>
    <row r="3157" spans="1:9" x14ac:dyDescent="0.25">
      <c r="A3157">
        <v>281</v>
      </c>
      <c r="B3157" t="s">
        <v>1460</v>
      </c>
      <c r="C3157" t="s">
        <v>48</v>
      </c>
      <c r="D3157" t="s">
        <v>1510</v>
      </c>
      <c r="E3157">
        <f>1/589</f>
        <v>1.697792869269949E-3</v>
      </c>
      <c r="F3157">
        <v>2</v>
      </c>
      <c r="G3157">
        <f>LOG(382/(2+1))</f>
        <v>2.1049421081920463</v>
      </c>
      <c r="H3157">
        <f>0.00169779286926994*4.84680831993846</f>
        <v>8.2288766043097355E-3</v>
      </c>
      <c r="I3157">
        <v>8.2288766043097875E-3</v>
      </c>
    </row>
    <row r="3158" spans="1:9" x14ac:dyDescent="0.25">
      <c r="A3158">
        <v>281</v>
      </c>
      <c r="B3158" t="s">
        <v>1460</v>
      </c>
      <c r="C3158" t="s">
        <v>48</v>
      </c>
      <c r="D3158" t="s">
        <v>1511</v>
      </c>
      <c r="E3158">
        <f>2/589</f>
        <v>3.3955857385398981E-3</v>
      </c>
      <c r="F3158">
        <v>3</v>
      </c>
      <c r="G3158">
        <f>LOG(382/(3+1))</f>
        <v>1.9800033715837464</v>
      </c>
      <c r="H3158">
        <f>0.00339558573853989*4.55912624748668</f>
        <v>1.5480904066168656E-2</v>
      </c>
      <c r="I3158">
        <v>1.548090406616871E-2</v>
      </c>
    </row>
    <row r="3159" spans="1:9" x14ac:dyDescent="0.25">
      <c r="A3159">
        <v>281</v>
      </c>
      <c r="B3159" t="s">
        <v>1460</v>
      </c>
      <c r="C3159" t="s">
        <v>48</v>
      </c>
      <c r="D3159" t="s">
        <v>1512</v>
      </c>
      <c r="E3159">
        <f>2/589</f>
        <v>3.3955857385398981E-3</v>
      </c>
      <c r="F3159">
        <v>3</v>
      </c>
      <c r="G3159">
        <f>LOG(382/(3+1))</f>
        <v>1.9800033715837464</v>
      </c>
      <c r="H3159">
        <f>0.00339558573853989*4.55912624748668</f>
        <v>1.5480904066168656E-2</v>
      </c>
      <c r="I3159">
        <v>1.548090406616871E-2</v>
      </c>
    </row>
    <row r="3160" spans="1:9" x14ac:dyDescent="0.25">
      <c r="A3160">
        <v>281</v>
      </c>
      <c r="B3160" t="s">
        <v>1460</v>
      </c>
      <c r="C3160" t="s">
        <v>48</v>
      </c>
      <c r="D3160" t="s">
        <v>1513</v>
      </c>
      <c r="E3160">
        <f>1/589</f>
        <v>1.697792869269949E-3</v>
      </c>
      <c r="F3160">
        <v>1</v>
      </c>
      <c r="G3160">
        <f>LOG(382/(1+1))</f>
        <v>2.2810333672477277</v>
      </c>
      <c r="H3160">
        <f>0.00169779286926994*5.25227342804663</f>
        <v>8.9172723735935506E-3</v>
      </c>
      <c r="I3160">
        <v>8.9172723735935992E-3</v>
      </c>
    </row>
    <row r="3161" spans="1:9" x14ac:dyDescent="0.25">
      <c r="A3161">
        <v>281</v>
      </c>
      <c r="B3161" t="s">
        <v>1460</v>
      </c>
      <c r="C3161" t="s">
        <v>48</v>
      </c>
      <c r="D3161" t="s">
        <v>591</v>
      </c>
      <c r="E3161">
        <f>1/589</f>
        <v>1.697792869269949E-3</v>
      </c>
      <c r="F3161">
        <v>21</v>
      </c>
      <c r="G3161">
        <f>LOG(382/(21+1))</f>
        <v>1.2396406820895025</v>
      </c>
      <c r="H3161">
        <f>0.00169779286926994*2.85437815524825</f>
        <v>4.8461428781803638E-3</v>
      </c>
      <c r="I3161">
        <v>4.8461428781804063E-3</v>
      </c>
    </row>
    <row r="3162" spans="1:9" x14ac:dyDescent="0.25">
      <c r="A3162">
        <v>281</v>
      </c>
      <c r="B3162" t="s">
        <v>1460</v>
      </c>
      <c r="C3162" t="s">
        <v>48</v>
      </c>
      <c r="D3162" t="s">
        <v>1514</v>
      </c>
      <c r="E3162">
        <f>1/589</f>
        <v>1.697792869269949E-3</v>
      </c>
      <c r="F3162">
        <v>5</v>
      </c>
      <c r="G3162">
        <f>LOG(382/(5+1))</f>
        <v>1.803912112528065</v>
      </c>
      <c r="H3162">
        <f>0.00169779286926994*4.15366113937852</f>
        <v>7.052056263800505E-3</v>
      </c>
      <c r="I3162">
        <v>7.0520562638005432E-3</v>
      </c>
    </row>
    <row r="3163" spans="1:9" x14ac:dyDescent="0.25">
      <c r="A3163">
        <v>281</v>
      </c>
      <c r="B3163" t="s">
        <v>1460</v>
      </c>
      <c r="C3163" t="s">
        <v>48</v>
      </c>
      <c r="D3163" t="s">
        <v>59</v>
      </c>
      <c r="E3163">
        <f>1/589</f>
        <v>1.697792869269949E-3</v>
      </c>
      <c r="F3163">
        <v>13</v>
      </c>
      <c r="G3163">
        <f>LOG(382/(13+1))</f>
        <v>1.4359353272334707</v>
      </c>
      <c r="H3163">
        <f>0.00169779286926994*3.30636327899131</f>
        <v>5.6135199982874232E-3</v>
      </c>
      <c r="I3163">
        <v>5.613519998287464E-3</v>
      </c>
    </row>
    <row r="3164" spans="1:9" x14ac:dyDescent="0.25">
      <c r="A3164">
        <v>281</v>
      </c>
      <c r="B3164" t="s">
        <v>1460</v>
      </c>
      <c r="C3164" t="s">
        <v>48</v>
      </c>
      <c r="D3164" t="s">
        <v>724</v>
      </c>
      <c r="E3164">
        <f>1/589</f>
        <v>1.697792869269949E-3</v>
      </c>
      <c r="F3164">
        <v>9</v>
      </c>
      <c r="G3164">
        <f>LOG(382/(9+1))</f>
        <v>1.5820633629117087</v>
      </c>
      <c r="H3164">
        <f>0.00169779286926994*3.64283551561252</f>
        <v>6.1847801623302213E-3</v>
      </c>
      <c r="I3164">
        <v>6.1847801623302707E-3</v>
      </c>
    </row>
    <row r="3165" spans="1:9" x14ac:dyDescent="0.25">
      <c r="A3165">
        <v>281</v>
      </c>
      <c r="B3165" t="s">
        <v>1460</v>
      </c>
      <c r="C3165" t="s">
        <v>48</v>
      </c>
      <c r="D3165" t="s">
        <v>52</v>
      </c>
      <c r="E3165">
        <f>2/589</f>
        <v>3.3955857385398981E-3</v>
      </c>
      <c r="F3165">
        <v>35</v>
      </c>
      <c r="G3165">
        <f>LOG(382/(35+1))</f>
        <v>1.0257608621444214</v>
      </c>
      <c r="H3165">
        <f>0.00339558573853989*2.36190167015046</f>
        <v>8.0200396269964492E-3</v>
      </c>
      <c r="I3165">
        <v>8.0200396269964856E-3</v>
      </c>
    </row>
    <row r="3166" spans="1:9" x14ac:dyDescent="0.25">
      <c r="A3166">
        <v>281</v>
      </c>
      <c r="B3166" t="s">
        <v>1460</v>
      </c>
      <c r="C3166" t="s">
        <v>48</v>
      </c>
      <c r="D3166" t="s">
        <v>1515</v>
      </c>
      <c r="E3166">
        <f>1/589</f>
        <v>1.697792869269949E-3</v>
      </c>
      <c r="F3166">
        <v>1</v>
      </c>
      <c r="G3166">
        <f>LOG(382/(1+1))</f>
        <v>2.2810333672477277</v>
      </c>
      <c r="H3166">
        <f>0.00169779286926994*5.25227342804663</f>
        <v>8.9172723735935506E-3</v>
      </c>
      <c r="I3166">
        <v>8.9172723735935992E-3</v>
      </c>
    </row>
    <row r="3167" spans="1:9" x14ac:dyDescent="0.25">
      <c r="A3167">
        <v>281</v>
      </c>
      <c r="B3167" t="s">
        <v>1460</v>
      </c>
      <c r="C3167" t="s">
        <v>48</v>
      </c>
      <c r="D3167" t="s">
        <v>1516</v>
      </c>
      <c r="E3167">
        <f>2/589</f>
        <v>3.3955857385398981E-3</v>
      </c>
      <c r="F3167">
        <v>1</v>
      </c>
      <c r="G3167">
        <f>LOG(382/(1+1))</f>
        <v>2.2810333672477277</v>
      </c>
      <c r="H3167">
        <f>0.00339558573853989*5.25227342804663</f>
        <v>1.7834544747187153E-2</v>
      </c>
      <c r="I3167">
        <v>1.7834544747187198E-2</v>
      </c>
    </row>
    <row r="3168" spans="1:9" x14ac:dyDescent="0.25">
      <c r="A3168">
        <v>281</v>
      </c>
      <c r="B3168" t="s">
        <v>1460</v>
      </c>
      <c r="C3168" t="s">
        <v>48</v>
      </c>
      <c r="D3168" t="s">
        <v>1199</v>
      </c>
      <c r="E3168">
        <f>1/589</f>
        <v>1.697792869269949E-3</v>
      </c>
      <c r="F3168">
        <v>8</v>
      </c>
      <c r="G3168">
        <f>LOG(382/(8+1))</f>
        <v>1.6278208534723839</v>
      </c>
      <c r="H3168">
        <f>0.00169779286926994*3.74819603127035</f>
        <v>6.363660494516689E-3</v>
      </c>
      <c r="I3168">
        <v>6.3636604945167333E-3</v>
      </c>
    </row>
    <row r="3169" spans="1:9" x14ac:dyDescent="0.25">
      <c r="A3169">
        <v>281</v>
      </c>
      <c r="B3169" t="s">
        <v>1460</v>
      </c>
      <c r="C3169" t="s">
        <v>48</v>
      </c>
      <c r="D3169" t="s">
        <v>1517</v>
      </c>
      <c r="E3169">
        <f>3/589</f>
        <v>5.0933786078098476E-3</v>
      </c>
      <c r="F3169">
        <v>1</v>
      </c>
      <c r="G3169">
        <f>LOG(382/(1+1))</f>
        <v>2.2810333672477277</v>
      </c>
      <c r="H3169">
        <f>0.00509337860780984*5.25227342804663</f>
        <v>2.6751817120780758E-2</v>
      </c>
      <c r="I3169">
        <v>2.6751817120780799E-2</v>
      </c>
    </row>
    <row r="3170" spans="1:9" x14ac:dyDescent="0.25">
      <c r="A3170">
        <v>281</v>
      </c>
      <c r="B3170" t="s">
        <v>1460</v>
      </c>
      <c r="C3170" t="s">
        <v>48</v>
      </c>
      <c r="D3170" t="s">
        <v>1518</v>
      </c>
      <c r="E3170">
        <f>2/589</f>
        <v>3.3955857385398981E-3</v>
      </c>
      <c r="F3170">
        <v>3</v>
      </c>
      <c r="G3170">
        <f>LOG(382/(3+1))</f>
        <v>1.9800033715837464</v>
      </c>
      <c r="H3170">
        <f>0.00339558573853989*4.55912624748668</f>
        <v>1.5480904066168656E-2</v>
      </c>
      <c r="I3170">
        <v>1.548090406616871E-2</v>
      </c>
    </row>
    <row r="3171" spans="1:9" x14ac:dyDescent="0.25">
      <c r="A3171">
        <v>281</v>
      </c>
      <c r="B3171" t="s">
        <v>1460</v>
      </c>
      <c r="C3171" t="s">
        <v>48</v>
      </c>
      <c r="D3171" t="s">
        <v>1519</v>
      </c>
      <c r="E3171">
        <f>2/589</f>
        <v>3.3955857385398981E-3</v>
      </c>
      <c r="F3171">
        <v>1</v>
      </c>
      <c r="G3171">
        <f>LOG(382/(1+1))</f>
        <v>2.2810333672477277</v>
      </c>
      <c r="H3171">
        <f>0.00339558573853989*5.25227342804663</f>
        <v>1.7834544747187153E-2</v>
      </c>
      <c r="I3171">
        <v>1.7834544747187198E-2</v>
      </c>
    </row>
    <row r="3172" spans="1:9" x14ac:dyDescent="0.25">
      <c r="A3172">
        <v>281</v>
      </c>
      <c r="B3172" t="s">
        <v>1460</v>
      </c>
      <c r="C3172" t="s">
        <v>48</v>
      </c>
      <c r="D3172" t="s">
        <v>324</v>
      </c>
      <c r="E3172">
        <f>4/589</f>
        <v>6.7911714770797962E-3</v>
      </c>
      <c r="F3172">
        <v>82</v>
      </c>
      <c r="G3172">
        <f>LOG(382/(82+1))</f>
        <v>0.66298527053563483</v>
      </c>
      <c r="H3172">
        <f>0.00679117147707979*1.52658000080997</f>
        <v>1.0367266558981111E-2</v>
      </c>
      <c r="I3172">
        <v>1.036726655898117E-2</v>
      </c>
    </row>
    <row r="3173" spans="1:9" x14ac:dyDescent="0.25">
      <c r="A3173">
        <v>281</v>
      </c>
      <c r="B3173" t="s">
        <v>1460</v>
      </c>
      <c r="C3173" t="s">
        <v>48</v>
      </c>
      <c r="D3173" t="s">
        <v>1520</v>
      </c>
      <c r="E3173">
        <f>5/589</f>
        <v>8.4889643463497456E-3</v>
      </c>
      <c r="F3173">
        <v>2</v>
      </c>
      <c r="G3173">
        <f>LOG(382/(2+1))</f>
        <v>2.1049421081920463</v>
      </c>
      <c r="H3173">
        <f>0.00848896434634974*4.84680831993846</f>
        <v>4.1144383021548873E-2</v>
      </c>
      <c r="I3173">
        <v>4.1144383021548943E-2</v>
      </c>
    </row>
    <row r="3174" spans="1:9" x14ac:dyDescent="0.25">
      <c r="A3174">
        <v>281</v>
      </c>
      <c r="B3174" t="s">
        <v>1460</v>
      </c>
      <c r="C3174" t="s">
        <v>48</v>
      </c>
      <c r="D3174" t="s">
        <v>1079</v>
      </c>
      <c r="E3174">
        <f>1/589</f>
        <v>1.697792869269949E-3</v>
      </c>
      <c r="F3174">
        <v>34</v>
      </c>
      <c r="G3174">
        <f>LOG(382/(34+1))</f>
        <v>1.037995318561433</v>
      </c>
      <c r="H3174">
        <f>0.00169779286926994*2.39007254711716</f>
        <v>4.0578481275333565E-3</v>
      </c>
      <c r="I3174">
        <v>4.0578481275333807E-3</v>
      </c>
    </row>
    <row r="3175" spans="1:9" x14ac:dyDescent="0.25">
      <c r="A3175">
        <v>281</v>
      </c>
      <c r="B3175" t="s">
        <v>1460</v>
      </c>
      <c r="C3175" t="s">
        <v>48</v>
      </c>
      <c r="D3175" t="s">
        <v>60</v>
      </c>
      <c r="E3175">
        <f>2/589</f>
        <v>3.3955857385398981E-3</v>
      </c>
      <c r="F3175">
        <v>24</v>
      </c>
      <c r="G3175">
        <f>LOG(382/(24+1))</f>
        <v>1.1841233542396712</v>
      </c>
      <c r="H3175">
        <f>0.00339558573853989*2.72654478373837</f>
        <v>9.2582165831523369E-3</v>
      </c>
      <c r="I3175">
        <v>9.258216583152375E-3</v>
      </c>
    </row>
    <row r="3176" spans="1:9" x14ac:dyDescent="0.25">
      <c r="A3176">
        <v>281</v>
      </c>
      <c r="B3176" t="s">
        <v>1460</v>
      </c>
      <c r="C3176" t="s">
        <v>48</v>
      </c>
      <c r="D3176" t="s">
        <v>409</v>
      </c>
      <c r="E3176">
        <f>1/589</f>
        <v>1.697792869269949E-3</v>
      </c>
      <c r="F3176">
        <v>3</v>
      </c>
      <c r="G3176">
        <f>LOG(382/(3+1))</f>
        <v>1.9800033715837464</v>
      </c>
      <c r="H3176">
        <f>0.00169779286926994*4.55912624748668</f>
        <v>7.7404520330843045E-3</v>
      </c>
      <c r="I3176">
        <v>7.7404520330843539E-3</v>
      </c>
    </row>
    <row r="3177" spans="1:9" x14ac:dyDescent="0.25">
      <c r="A3177">
        <v>281</v>
      </c>
      <c r="B3177" t="s">
        <v>1460</v>
      </c>
      <c r="C3177" t="s">
        <v>48</v>
      </c>
      <c r="D3177" t="s">
        <v>718</v>
      </c>
      <c r="E3177">
        <f>2/589</f>
        <v>3.3955857385398981E-3</v>
      </c>
      <c r="F3177">
        <v>4</v>
      </c>
      <c r="G3177">
        <f>LOG(382/(4+1))</f>
        <v>1.8830933585756899</v>
      </c>
      <c r="H3177">
        <f>0.00339558573853989*4.33598269617247</f>
        <v>1.472320100567898E-2</v>
      </c>
      <c r="I3177">
        <v>1.472320100567903E-2</v>
      </c>
    </row>
    <row r="3178" spans="1:9" x14ac:dyDescent="0.25">
      <c r="A3178">
        <v>281</v>
      </c>
      <c r="B3178" t="s">
        <v>1460</v>
      </c>
      <c r="C3178" t="s">
        <v>48</v>
      </c>
      <c r="D3178" t="s">
        <v>1521</v>
      </c>
      <c r="E3178">
        <f>1/589</f>
        <v>1.697792869269949E-3</v>
      </c>
      <c r="F3178">
        <v>6</v>
      </c>
      <c r="G3178">
        <f>LOG(382/(6+1))</f>
        <v>1.736965322897452</v>
      </c>
      <c r="H3178">
        <f>0.00169779286926994*3.99951045955126</f>
        <v>6.7903403387966701E-3</v>
      </c>
      <c r="I3178">
        <v>6.7903403387967092E-3</v>
      </c>
    </row>
    <row r="3179" spans="1:9" x14ac:dyDescent="0.25">
      <c r="A3179">
        <v>281</v>
      </c>
      <c r="B3179" t="s">
        <v>1460</v>
      </c>
      <c r="C3179" t="s">
        <v>48</v>
      </c>
      <c r="D3179" t="s">
        <v>1522</v>
      </c>
      <c r="E3179">
        <f>1/589</f>
        <v>1.697792869269949E-3</v>
      </c>
      <c r="F3179">
        <v>2</v>
      </c>
      <c r="G3179">
        <f>LOG(382/(2+1))</f>
        <v>2.1049421081920463</v>
      </c>
      <c r="H3179">
        <f>0.00169779286926994*4.84680831993846</f>
        <v>8.2288766043097355E-3</v>
      </c>
      <c r="I3179">
        <v>8.2288766043097875E-3</v>
      </c>
    </row>
    <row r="3180" spans="1:9" x14ac:dyDescent="0.25">
      <c r="A3180">
        <v>281</v>
      </c>
      <c r="B3180" t="s">
        <v>1460</v>
      </c>
      <c r="C3180" t="s">
        <v>48</v>
      </c>
      <c r="D3180" t="s">
        <v>426</v>
      </c>
      <c r="E3180">
        <f>1/589</f>
        <v>1.697792869269949E-3</v>
      </c>
      <c r="F3180">
        <v>10</v>
      </c>
      <c r="G3180">
        <f>LOG(382/(10+1))</f>
        <v>1.5406706777534838</v>
      </c>
      <c r="H3180">
        <f>0.00169779286926994*3.5475253358082</f>
        <v>6.0229632186896117E-3</v>
      </c>
      <c r="I3180">
        <v>6.0229632186896524E-3</v>
      </c>
    </row>
    <row r="3181" spans="1:9" x14ac:dyDescent="0.25">
      <c r="A3181">
        <v>281</v>
      </c>
      <c r="B3181" t="s">
        <v>1460</v>
      </c>
      <c r="C3181" t="s">
        <v>48</v>
      </c>
      <c r="D3181" t="s">
        <v>241</v>
      </c>
      <c r="E3181">
        <f>1/589</f>
        <v>1.697792869269949E-3</v>
      </c>
      <c r="F3181">
        <v>19</v>
      </c>
      <c r="G3181">
        <f>LOG(382/(19+1))</f>
        <v>1.2810333672477277</v>
      </c>
      <c r="H3181">
        <f>0.00169779286926994*2.94968833505258</f>
        <v>5.0079598218209917E-3</v>
      </c>
      <c r="I3181">
        <v>5.0079598218210264E-3</v>
      </c>
    </row>
    <row r="3182" spans="1:9" x14ac:dyDescent="0.25">
      <c r="A3182">
        <v>281</v>
      </c>
      <c r="B3182" t="s">
        <v>1460</v>
      </c>
      <c r="C3182" t="s">
        <v>48</v>
      </c>
      <c r="D3182" t="s">
        <v>1523</v>
      </c>
      <c r="E3182">
        <f>2/589</f>
        <v>3.3955857385398981E-3</v>
      </c>
      <c r="F3182">
        <v>1</v>
      </c>
      <c r="G3182">
        <f>LOG(382/(1+1))</f>
        <v>2.2810333672477277</v>
      </c>
      <c r="H3182">
        <f>0.00339558573853989*5.25227342804663</f>
        <v>1.7834544747187153E-2</v>
      </c>
      <c r="I3182">
        <v>1.7834544747187198E-2</v>
      </c>
    </row>
    <row r="3183" spans="1:9" x14ac:dyDescent="0.25">
      <c r="A3183">
        <v>281</v>
      </c>
      <c r="B3183" t="s">
        <v>1460</v>
      </c>
      <c r="C3183" t="s">
        <v>48</v>
      </c>
      <c r="D3183" t="s">
        <v>349</v>
      </c>
      <c r="E3183">
        <f>1/589</f>
        <v>1.697792869269949E-3</v>
      </c>
      <c r="F3183">
        <v>4</v>
      </c>
      <c r="G3183">
        <f>LOG(382/(4+1))</f>
        <v>1.8830933585756899</v>
      </c>
      <c r="H3183">
        <f>0.00169779286926994*4.33598269617247</f>
        <v>7.3616005028394682E-3</v>
      </c>
      <c r="I3183">
        <v>7.3616005028395159E-3</v>
      </c>
    </row>
    <row r="3184" spans="1:9" x14ac:dyDescent="0.25">
      <c r="A3184">
        <v>281</v>
      </c>
      <c r="B3184" t="s">
        <v>1460</v>
      </c>
      <c r="C3184" t="s">
        <v>48</v>
      </c>
      <c r="D3184" t="s">
        <v>680</v>
      </c>
      <c r="E3184">
        <f>1/589</f>
        <v>1.697792869269949E-3</v>
      </c>
      <c r="F3184">
        <v>25</v>
      </c>
      <c r="G3184">
        <f>LOG(382/(25+1))</f>
        <v>1.1670900149408907</v>
      </c>
      <c r="H3184">
        <f>0.00169779286926994*2.68732407058509</f>
        <v>4.5625196444568344E-3</v>
      </c>
      <c r="I3184">
        <v>4.5625196444568647E-3</v>
      </c>
    </row>
    <row r="3185" spans="1:9" x14ac:dyDescent="0.25">
      <c r="A3185">
        <v>281</v>
      </c>
      <c r="B3185" t="s">
        <v>1460</v>
      </c>
      <c r="C3185" t="s">
        <v>48</v>
      </c>
      <c r="D3185" t="s">
        <v>543</v>
      </c>
      <c r="E3185">
        <f>1/589</f>
        <v>1.697792869269949E-3</v>
      </c>
      <c r="F3185">
        <v>6</v>
      </c>
      <c r="G3185">
        <f>LOG(382/(6+1))</f>
        <v>1.736965322897452</v>
      </c>
      <c r="H3185">
        <f>0.00169779286926994*3.99951045955126</f>
        <v>6.7903403387966701E-3</v>
      </c>
      <c r="I3185">
        <v>6.7903403387967092E-3</v>
      </c>
    </row>
    <row r="3186" spans="1:9" x14ac:dyDescent="0.25">
      <c r="A3186">
        <v>281</v>
      </c>
      <c r="B3186" t="s">
        <v>1460</v>
      </c>
      <c r="C3186" t="s">
        <v>48</v>
      </c>
      <c r="D3186" t="s">
        <v>1021</v>
      </c>
      <c r="E3186">
        <f>1/589</f>
        <v>1.697792869269949E-3</v>
      </c>
      <c r="F3186">
        <v>6</v>
      </c>
      <c r="G3186">
        <f>LOG(382/(6+1))</f>
        <v>1.736965322897452</v>
      </c>
      <c r="H3186">
        <f>0.00169779286926994*3.99951045955126</f>
        <v>6.7903403387966701E-3</v>
      </c>
      <c r="I3186">
        <v>6.7903403387967092E-3</v>
      </c>
    </row>
    <row r="3187" spans="1:9" x14ac:dyDescent="0.25">
      <c r="A3187">
        <v>281</v>
      </c>
      <c r="B3187" t="s">
        <v>1460</v>
      </c>
      <c r="C3187" t="s">
        <v>48</v>
      </c>
      <c r="D3187" t="s">
        <v>216</v>
      </c>
      <c r="E3187">
        <f>5/589</f>
        <v>8.4889643463497456E-3</v>
      </c>
      <c r="F3187">
        <v>63</v>
      </c>
      <c r="G3187">
        <f>LOG(382/(63+1))</f>
        <v>0.7758833889278216</v>
      </c>
      <c r="H3187">
        <f>0.00848896434634974*1.7865375252469</f>
        <v>1.5165853355236833E-2</v>
      </c>
      <c r="I3187">
        <v>1.5165853355236869E-2</v>
      </c>
    </row>
    <row r="3188" spans="1:9" x14ac:dyDescent="0.25">
      <c r="A3188">
        <v>281</v>
      </c>
      <c r="B3188" t="s">
        <v>1460</v>
      </c>
      <c r="C3188" t="s">
        <v>48</v>
      </c>
      <c r="D3188" t="s">
        <v>131</v>
      </c>
      <c r="E3188">
        <f>1/589</f>
        <v>1.697792869269949E-3</v>
      </c>
      <c r="F3188">
        <v>38</v>
      </c>
      <c r="G3188">
        <f>LOG(382/(38+1))</f>
        <v>0.99099875588520958</v>
      </c>
      <c r="H3188">
        <f>0.00169779286926994*2.28185896247692</f>
        <v>3.8741238751730184E-3</v>
      </c>
      <c r="I3188">
        <v>3.874123875173054E-3</v>
      </c>
    </row>
    <row r="3189" spans="1:9" x14ac:dyDescent="0.25">
      <c r="A3189">
        <v>281</v>
      </c>
      <c r="B3189" t="s">
        <v>1460</v>
      </c>
      <c r="C3189" t="s">
        <v>48</v>
      </c>
      <c r="D3189" t="s">
        <v>237</v>
      </c>
      <c r="E3189">
        <f>2/589</f>
        <v>3.3955857385398981E-3</v>
      </c>
      <c r="F3189">
        <v>138</v>
      </c>
      <c r="G3189">
        <f>LOG(382/(138+1))</f>
        <v>0.43904856265761361</v>
      </c>
      <c r="H3189">
        <f>0.00339558573853989*1.01094667547588</f>
        <v>3.4327561136702125E-3</v>
      </c>
      <c r="I3189">
        <v>3.432756113670232E-3</v>
      </c>
    </row>
    <row r="3190" spans="1:9" x14ac:dyDescent="0.25">
      <c r="A3190">
        <v>281</v>
      </c>
      <c r="B3190" t="s">
        <v>1460</v>
      </c>
      <c r="C3190" t="s">
        <v>48</v>
      </c>
      <c r="D3190" t="s">
        <v>76</v>
      </c>
      <c r="E3190">
        <f>3/589</f>
        <v>5.0933786078098476E-3</v>
      </c>
      <c r="F3190">
        <v>140</v>
      </c>
      <c r="G3190">
        <f>LOG(382/(140+1))</f>
        <v>0.43284425025632883</v>
      </c>
      <c r="H3190">
        <f>0.00509337860780984*0.996660718228407</f>
        <v>5.0763703814689582E-3</v>
      </c>
      <c r="I3190">
        <v>5.076370381468966E-3</v>
      </c>
    </row>
    <row r="3191" spans="1:9" x14ac:dyDescent="0.25">
      <c r="A3191">
        <v>281</v>
      </c>
      <c r="B3191" t="s">
        <v>1460</v>
      </c>
      <c r="C3191" t="s">
        <v>48</v>
      </c>
      <c r="D3191" t="s">
        <v>602</v>
      </c>
      <c r="E3191">
        <f>1/589</f>
        <v>1.697792869269949E-3</v>
      </c>
      <c r="F3191">
        <v>13</v>
      </c>
      <c r="G3191">
        <f>LOG(382/(13+1))</f>
        <v>1.4359353272334707</v>
      </c>
      <c r="H3191">
        <f>0.00169779286926994*3.30636327899131</f>
        <v>5.6135199982874232E-3</v>
      </c>
      <c r="I3191">
        <v>5.613519998287464E-3</v>
      </c>
    </row>
    <row r="3192" spans="1:9" x14ac:dyDescent="0.25">
      <c r="A3192">
        <v>281</v>
      </c>
      <c r="B3192" t="s">
        <v>1460</v>
      </c>
      <c r="C3192" t="s">
        <v>48</v>
      </c>
      <c r="D3192" t="s">
        <v>217</v>
      </c>
      <c r="E3192">
        <f>1/589</f>
        <v>1.697792869269949E-3</v>
      </c>
      <c r="F3192">
        <v>12</v>
      </c>
      <c r="G3192">
        <f>LOG(382/(12+1))</f>
        <v>1.468120010604872</v>
      </c>
      <c r="H3192">
        <f>0.00169779286926994*3.38047125114503</f>
        <v>5.739339984966064E-3</v>
      </c>
      <c r="I3192">
        <v>5.7393399849661091E-3</v>
      </c>
    </row>
    <row r="3193" spans="1:9" x14ac:dyDescent="0.25">
      <c r="A3193">
        <v>281</v>
      </c>
      <c r="B3193" t="s">
        <v>1460</v>
      </c>
      <c r="C3193" t="s">
        <v>48</v>
      </c>
      <c r="D3193" t="s">
        <v>483</v>
      </c>
      <c r="E3193">
        <f>1/589</f>
        <v>1.697792869269949E-3</v>
      </c>
      <c r="F3193">
        <v>61</v>
      </c>
      <c r="G3193">
        <f>LOG(382/(61+1))</f>
        <v>0.7896716734134549</v>
      </c>
      <c r="H3193">
        <f>0.00169779286926994*1.81828622356148</f>
        <v>3.0870733846544486E-3</v>
      </c>
      <c r="I3193">
        <v>3.0870733846544711E-3</v>
      </c>
    </row>
    <row r="3194" spans="1:9" x14ac:dyDescent="0.25">
      <c r="A3194">
        <v>281</v>
      </c>
      <c r="B3194" t="s">
        <v>1460</v>
      </c>
      <c r="C3194" t="s">
        <v>48</v>
      </c>
      <c r="D3194" t="s">
        <v>1084</v>
      </c>
      <c r="E3194">
        <f>2/589</f>
        <v>3.3955857385398981E-3</v>
      </c>
      <c r="F3194">
        <v>6</v>
      </c>
      <c r="G3194">
        <f>LOG(382/(6+1))</f>
        <v>1.736965322897452</v>
      </c>
      <c r="H3194">
        <f>0.00339558573853989*3.99951045955126</f>
        <v>1.358068067759338E-2</v>
      </c>
      <c r="I3194">
        <v>1.358068067759342E-2</v>
      </c>
    </row>
    <row r="3195" spans="1:9" x14ac:dyDescent="0.25">
      <c r="A3195">
        <v>281</v>
      </c>
      <c r="B3195" t="s">
        <v>1460</v>
      </c>
      <c r="C3195" t="s">
        <v>48</v>
      </c>
      <c r="D3195" t="s">
        <v>1524</v>
      </c>
      <c r="E3195">
        <f>1/589</f>
        <v>1.697792869269949E-3</v>
      </c>
      <c r="F3195">
        <v>3</v>
      </c>
      <c r="G3195">
        <f>LOG(382/(3+1))</f>
        <v>1.9800033715837464</v>
      </c>
      <c r="H3195">
        <f>0.00169779286926994*4.55912624748668</f>
        <v>7.7404520330843045E-3</v>
      </c>
      <c r="I3195">
        <v>7.7404520330843539E-3</v>
      </c>
    </row>
    <row r="3196" spans="1:9" x14ac:dyDescent="0.25">
      <c r="A3196">
        <v>281</v>
      </c>
      <c r="B3196" t="s">
        <v>1460</v>
      </c>
      <c r="C3196" t="s">
        <v>48</v>
      </c>
      <c r="D3196" t="s">
        <v>520</v>
      </c>
      <c r="E3196">
        <f>1/589</f>
        <v>1.697792869269949E-3</v>
      </c>
      <c r="F3196">
        <v>25</v>
      </c>
      <c r="G3196">
        <f>LOG(382/(25+1))</f>
        <v>1.1670900149408907</v>
      </c>
      <c r="H3196">
        <f>0.00169779286926994*2.68732407058509</f>
        <v>4.5625196444568344E-3</v>
      </c>
      <c r="I3196">
        <v>4.5625196444568647E-3</v>
      </c>
    </row>
    <row r="3197" spans="1:9" x14ac:dyDescent="0.25">
      <c r="A3197">
        <v>281</v>
      </c>
      <c r="B3197" t="s">
        <v>1460</v>
      </c>
      <c r="C3197" t="s">
        <v>48</v>
      </c>
      <c r="D3197" t="s">
        <v>1525</v>
      </c>
      <c r="E3197">
        <f>3/589</f>
        <v>5.0933786078098476E-3</v>
      </c>
      <c r="F3197">
        <v>8</v>
      </c>
      <c r="G3197">
        <f>LOG(382/(8+1))</f>
        <v>1.6278208534723839</v>
      </c>
      <c r="H3197">
        <f>0.00509337860780984*3.74819603127035</f>
        <v>1.9090981483550141E-2</v>
      </c>
      <c r="I3197">
        <v>1.90909814835502E-2</v>
      </c>
    </row>
    <row r="3198" spans="1:9" x14ac:dyDescent="0.25">
      <c r="A3198">
        <v>281</v>
      </c>
      <c r="B3198" t="s">
        <v>1460</v>
      </c>
      <c r="C3198" t="s">
        <v>48</v>
      </c>
      <c r="D3198" t="s">
        <v>752</v>
      </c>
      <c r="E3198">
        <f>2/589</f>
        <v>3.3955857385398981E-3</v>
      </c>
      <c r="F3198">
        <v>34</v>
      </c>
      <c r="G3198">
        <f>LOG(382/(34+1))</f>
        <v>1.037995318561433</v>
      </c>
      <c r="H3198">
        <f>0.00339558573853989*2.39007254711716</f>
        <v>8.1156962550667372E-3</v>
      </c>
      <c r="I3198">
        <v>8.1156962550667615E-3</v>
      </c>
    </row>
    <row r="3199" spans="1:9" x14ac:dyDescent="0.25">
      <c r="A3199">
        <v>281</v>
      </c>
      <c r="B3199" t="s">
        <v>1460</v>
      </c>
      <c r="C3199" t="s">
        <v>48</v>
      </c>
      <c r="D3199" t="s">
        <v>1526</v>
      </c>
      <c r="E3199">
        <f t="shared" ref="E3199:E3205" si="142">1/589</f>
        <v>1.697792869269949E-3</v>
      </c>
      <c r="F3199">
        <v>2</v>
      </c>
      <c r="G3199">
        <f>LOG(382/(2+1))</f>
        <v>2.1049421081920463</v>
      </c>
      <c r="H3199">
        <f>0.00169779286926994*4.84680831993846</f>
        <v>8.2288766043097355E-3</v>
      </c>
      <c r="I3199">
        <v>8.2288766043097875E-3</v>
      </c>
    </row>
    <row r="3200" spans="1:9" x14ac:dyDescent="0.25">
      <c r="A3200">
        <v>281</v>
      </c>
      <c r="B3200" t="s">
        <v>1460</v>
      </c>
      <c r="C3200" t="s">
        <v>48</v>
      </c>
      <c r="D3200" t="s">
        <v>626</v>
      </c>
      <c r="E3200">
        <f t="shared" si="142"/>
        <v>1.697792869269949E-3</v>
      </c>
      <c r="F3200">
        <v>12</v>
      </c>
      <c r="G3200">
        <f>LOG(382/(12+1))</f>
        <v>1.468120010604872</v>
      </c>
      <c r="H3200">
        <f>0.00169779286926994*3.38047125114503</f>
        <v>5.739339984966064E-3</v>
      </c>
      <c r="I3200">
        <v>5.7393399849661091E-3</v>
      </c>
    </row>
    <row r="3201" spans="1:9" x14ac:dyDescent="0.25">
      <c r="A3201">
        <v>281</v>
      </c>
      <c r="B3201" t="s">
        <v>1460</v>
      </c>
      <c r="C3201" t="s">
        <v>48</v>
      </c>
      <c r="D3201" t="s">
        <v>1527</v>
      </c>
      <c r="E3201">
        <f t="shared" si="142"/>
        <v>1.697792869269949E-3</v>
      </c>
      <c r="F3201">
        <v>1</v>
      </c>
      <c r="G3201">
        <f>LOG(382/(1+1))</f>
        <v>2.2810333672477277</v>
      </c>
      <c r="H3201">
        <f>0.00169779286926994*5.25227342804663</f>
        <v>8.9172723735935506E-3</v>
      </c>
      <c r="I3201">
        <v>8.9172723735935992E-3</v>
      </c>
    </row>
    <row r="3202" spans="1:9" x14ac:dyDescent="0.25">
      <c r="A3202">
        <v>281</v>
      </c>
      <c r="B3202" t="s">
        <v>1460</v>
      </c>
      <c r="C3202" t="s">
        <v>48</v>
      </c>
      <c r="D3202" t="s">
        <v>1099</v>
      </c>
      <c r="E3202">
        <f t="shared" si="142"/>
        <v>1.697792869269949E-3</v>
      </c>
      <c r="F3202">
        <v>3</v>
      </c>
      <c r="G3202">
        <f>LOG(382/(3+1))</f>
        <v>1.9800033715837464</v>
      </c>
      <c r="H3202">
        <f>0.00169779286926994*4.55912624748668</f>
        <v>7.7404520330843045E-3</v>
      </c>
      <c r="I3202">
        <v>7.7404520330843539E-3</v>
      </c>
    </row>
    <row r="3203" spans="1:9" x14ac:dyDescent="0.25">
      <c r="A3203">
        <v>281</v>
      </c>
      <c r="B3203" t="s">
        <v>1460</v>
      </c>
      <c r="C3203" t="s">
        <v>48</v>
      </c>
      <c r="D3203" t="s">
        <v>34</v>
      </c>
      <c r="E3203">
        <f t="shared" si="142"/>
        <v>1.697792869269949E-3</v>
      </c>
      <c r="F3203">
        <v>11</v>
      </c>
      <c r="G3203">
        <f>LOG(382/(11+1))</f>
        <v>1.5028821168640838</v>
      </c>
      <c r="H3203">
        <f>0.00169779286926994*3.46051395881857</f>
        <v>5.8752359232912589E-3</v>
      </c>
      <c r="I3203">
        <v>5.8752359232912988E-3</v>
      </c>
    </row>
    <row r="3204" spans="1:9" x14ac:dyDescent="0.25">
      <c r="A3204">
        <v>281</v>
      </c>
      <c r="B3204" t="s">
        <v>1460</v>
      </c>
      <c r="C3204" t="s">
        <v>48</v>
      </c>
      <c r="D3204" t="s">
        <v>554</v>
      </c>
      <c r="E3204">
        <f t="shared" si="142"/>
        <v>1.697792869269949E-3</v>
      </c>
      <c r="F3204">
        <v>2</v>
      </c>
      <c r="G3204">
        <f>LOG(382/(2+1))</f>
        <v>2.1049421081920463</v>
      </c>
      <c r="H3204">
        <f>0.00169779286926994*4.84680831993846</f>
        <v>8.2288766043097355E-3</v>
      </c>
      <c r="I3204">
        <v>8.2288766043097875E-3</v>
      </c>
    </row>
    <row r="3205" spans="1:9" x14ac:dyDescent="0.25">
      <c r="A3205">
        <v>281</v>
      </c>
      <c r="B3205" t="s">
        <v>1460</v>
      </c>
      <c r="C3205" t="s">
        <v>48</v>
      </c>
      <c r="D3205" t="s">
        <v>1528</v>
      </c>
      <c r="E3205">
        <f t="shared" si="142"/>
        <v>1.697792869269949E-3</v>
      </c>
      <c r="F3205">
        <v>1</v>
      </c>
      <c r="G3205">
        <f>LOG(382/(1+1))</f>
        <v>2.2810333672477277</v>
      </c>
      <c r="H3205">
        <f>0.00169779286926994*5.25227342804663</f>
        <v>8.9172723735935506E-3</v>
      </c>
      <c r="I3205">
        <v>8.9172723735935992E-3</v>
      </c>
    </row>
    <row r="3206" spans="1:9" x14ac:dyDescent="0.25">
      <c r="A3206">
        <v>281</v>
      </c>
      <c r="B3206" t="s">
        <v>1460</v>
      </c>
      <c r="C3206" t="s">
        <v>48</v>
      </c>
      <c r="D3206" t="s">
        <v>215</v>
      </c>
      <c r="E3206">
        <f>3/589</f>
        <v>5.0933786078098476E-3</v>
      </c>
      <c r="F3206">
        <v>25</v>
      </c>
      <c r="G3206">
        <f>LOG(382/(25+1))</f>
        <v>1.1670900149408907</v>
      </c>
      <c r="H3206">
        <f>0.00509337860780984*2.68732407058509</f>
        <v>1.3687558933370557E-2</v>
      </c>
      <c r="I3206">
        <v>1.36875589333706E-2</v>
      </c>
    </row>
    <row r="3207" spans="1:9" x14ac:dyDescent="0.25">
      <c r="A3207">
        <v>281</v>
      </c>
      <c r="B3207" t="s">
        <v>1460</v>
      </c>
      <c r="C3207" t="s">
        <v>48</v>
      </c>
      <c r="D3207" t="s">
        <v>823</v>
      </c>
      <c r="E3207">
        <f>1/589</f>
        <v>1.697792869269949E-3</v>
      </c>
      <c r="F3207">
        <v>45</v>
      </c>
      <c r="G3207">
        <f>LOG(382/(45+1))</f>
        <v>0.9193055312301347</v>
      </c>
      <c r="H3207">
        <f>0.00169779286926994*2.11677921211748</f>
        <v>3.5938526521518996E-3</v>
      </c>
      <c r="I3207">
        <v>3.5938526521519191E-3</v>
      </c>
    </row>
    <row r="3208" spans="1:9" x14ac:dyDescent="0.25">
      <c r="A3208">
        <v>281</v>
      </c>
      <c r="B3208" t="s">
        <v>1460</v>
      </c>
      <c r="C3208" t="s">
        <v>48</v>
      </c>
      <c r="D3208" t="s">
        <v>1529</v>
      </c>
      <c r="E3208">
        <f>2/589</f>
        <v>3.3955857385398981E-3</v>
      </c>
      <c r="F3208">
        <v>4</v>
      </c>
      <c r="G3208">
        <f>LOG(382/(4+1))</f>
        <v>1.8830933585756899</v>
      </c>
      <c r="H3208">
        <f>0.00339558573853989*4.33598269617247</f>
        <v>1.472320100567898E-2</v>
      </c>
      <c r="I3208">
        <v>1.472320100567903E-2</v>
      </c>
    </row>
    <row r="3209" spans="1:9" x14ac:dyDescent="0.25">
      <c r="A3209">
        <v>281</v>
      </c>
      <c r="B3209" t="s">
        <v>1460</v>
      </c>
      <c r="C3209" t="s">
        <v>48</v>
      </c>
      <c r="D3209" t="s">
        <v>939</v>
      </c>
      <c r="E3209">
        <f>2/589</f>
        <v>3.3955857385398981E-3</v>
      </c>
      <c r="F3209">
        <v>35</v>
      </c>
      <c r="G3209">
        <f>LOG(382/(35+1))</f>
        <v>1.0257608621444214</v>
      </c>
      <c r="H3209">
        <f>0.00339558573853989*2.36190167015046</f>
        <v>8.0200396269964492E-3</v>
      </c>
      <c r="I3209">
        <v>8.0200396269964856E-3</v>
      </c>
    </row>
    <row r="3210" spans="1:9" x14ac:dyDescent="0.25">
      <c r="A3210">
        <v>281</v>
      </c>
      <c r="B3210" t="s">
        <v>1460</v>
      </c>
      <c r="C3210" t="s">
        <v>48</v>
      </c>
      <c r="D3210" t="s">
        <v>204</v>
      </c>
      <c r="E3210">
        <f>4/589</f>
        <v>6.7911714770797962E-3</v>
      </c>
      <c r="F3210">
        <v>166</v>
      </c>
      <c r="G3210">
        <f>LOG(382/(166+1))</f>
        <v>0.35934689176412549</v>
      </c>
      <c r="H3210">
        <f>0.00679117147707979*0.82742679618982</f>
        <v>5.6191972576558179E-3</v>
      </c>
      <c r="I3210">
        <v>5.619197257655824E-3</v>
      </c>
    </row>
    <row r="3211" spans="1:9" x14ac:dyDescent="0.25">
      <c r="A3211">
        <v>281</v>
      </c>
      <c r="B3211" t="s">
        <v>1460</v>
      </c>
      <c r="C3211" t="s">
        <v>48</v>
      </c>
      <c r="D3211" t="s">
        <v>1396</v>
      </c>
      <c r="E3211">
        <f t="shared" ref="E3211:E3220" si="143">1/589</f>
        <v>1.697792869269949E-3</v>
      </c>
      <c r="F3211">
        <v>18</v>
      </c>
      <c r="G3211">
        <f>LOG(382/(18+1))</f>
        <v>1.3033097619588798</v>
      </c>
      <c r="H3211">
        <f>0.00169779286926994*3.00098162944013</f>
        <v>5.095045211273538E-3</v>
      </c>
      <c r="I3211">
        <v>5.0950452112735727E-3</v>
      </c>
    </row>
    <row r="3212" spans="1:9" x14ac:dyDescent="0.25">
      <c r="A3212">
        <v>281</v>
      </c>
      <c r="B3212" t="s">
        <v>1460</v>
      </c>
      <c r="C3212" t="s">
        <v>48</v>
      </c>
      <c r="D3212" t="s">
        <v>161</v>
      </c>
      <c r="E3212">
        <f t="shared" si="143"/>
        <v>1.697792869269949E-3</v>
      </c>
      <c r="F3212">
        <v>33</v>
      </c>
      <c r="G3212">
        <f>LOG(382/(33+1))</f>
        <v>1.0505844458694535</v>
      </c>
      <c r="H3212">
        <f>0.00169779286926994*2.41906008399041</f>
        <v>4.1070629609344603E-3</v>
      </c>
      <c r="I3212">
        <v>4.1070629609344881E-3</v>
      </c>
    </row>
    <row r="3213" spans="1:9" x14ac:dyDescent="0.25">
      <c r="A3213">
        <v>281</v>
      </c>
      <c r="B3213" t="s">
        <v>1460</v>
      </c>
      <c r="C3213" t="s">
        <v>48</v>
      </c>
      <c r="D3213" t="s">
        <v>936</v>
      </c>
      <c r="E3213">
        <f t="shared" si="143"/>
        <v>1.697792869269949E-3</v>
      </c>
      <c r="F3213">
        <v>21</v>
      </c>
      <c r="G3213">
        <f>LOG(382/(21+1))</f>
        <v>1.2396406820895025</v>
      </c>
      <c r="H3213">
        <f>0.00169779286926994*2.85437815524825</f>
        <v>4.8461428781803638E-3</v>
      </c>
      <c r="I3213">
        <v>4.8461428781804063E-3</v>
      </c>
    </row>
    <row r="3214" spans="1:9" x14ac:dyDescent="0.25">
      <c r="A3214">
        <v>281</v>
      </c>
      <c r="B3214" t="s">
        <v>1460</v>
      </c>
      <c r="C3214" t="s">
        <v>48</v>
      </c>
      <c r="D3214" t="s">
        <v>726</v>
      </c>
      <c r="E3214">
        <f t="shared" si="143"/>
        <v>1.697792869269949E-3</v>
      </c>
      <c r="F3214">
        <v>37</v>
      </c>
      <c r="G3214">
        <f>LOG(382/(37+1))</f>
        <v>1.0022797662948986</v>
      </c>
      <c r="H3214">
        <f>0.00169779286926994*2.30783444888018</f>
        <v>3.9182248707642911E-3</v>
      </c>
      <c r="I3214">
        <v>3.9182248707643266E-3</v>
      </c>
    </row>
    <row r="3215" spans="1:9" x14ac:dyDescent="0.25">
      <c r="A3215">
        <v>281</v>
      </c>
      <c r="B3215" t="s">
        <v>1460</v>
      </c>
      <c r="C3215" t="s">
        <v>48</v>
      </c>
      <c r="D3215" t="s">
        <v>937</v>
      </c>
      <c r="E3215">
        <f t="shared" si="143"/>
        <v>1.697792869269949E-3</v>
      </c>
      <c r="F3215">
        <v>41</v>
      </c>
      <c r="G3215">
        <f>LOG(382/(41+1))</f>
        <v>0.95881407251380824</v>
      </c>
      <c r="H3215">
        <f>0.00169779286926994*2.2077509903232</f>
        <v>3.7483038884943776E-3</v>
      </c>
      <c r="I3215">
        <v>3.7483038884944088E-3</v>
      </c>
    </row>
    <row r="3216" spans="1:9" x14ac:dyDescent="0.25">
      <c r="A3216">
        <v>281</v>
      </c>
      <c r="B3216" t="s">
        <v>1460</v>
      </c>
      <c r="C3216" t="s">
        <v>48</v>
      </c>
      <c r="D3216" t="s">
        <v>932</v>
      </c>
      <c r="E3216">
        <f t="shared" si="143"/>
        <v>1.697792869269949E-3</v>
      </c>
      <c r="F3216">
        <v>35</v>
      </c>
      <c r="G3216">
        <f>LOG(382/(35+1))</f>
        <v>1.0257608621444214</v>
      </c>
      <c r="H3216">
        <f>0.00169779286926994*2.36190167015046</f>
        <v>4.0100198134982125E-3</v>
      </c>
      <c r="I3216">
        <v>4.0100198134982428E-3</v>
      </c>
    </row>
    <row r="3217" spans="1:9" x14ac:dyDescent="0.25">
      <c r="A3217">
        <v>281</v>
      </c>
      <c r="B3217" t="s">
        <v>1460</v>
      </c>
      <c r="C3217" t="s">
        <v>48</v>
      </c>
      <c r="D3217" t="s">
        <v>1453</v>
      </c>
      <c r="E3217">
        <f t="shared" si="143"/>
        <v>1.697792869269949E-3</v>
      </c>
      <c r="F3217">
        <v>23</v>
      </c>
      <c r="G3217">
        <f>LOG(382/(23+1))</f>
        <v>1.2018521212001028</v>
      </c>
      <c r="H3217">
        <f>0.00169779286926994*2.76736677825862</f>
        <v>4.6984155827820128E-3</v>
      </c>
      <c r="I3217">
        <v>4.6984155827820536E-3</v>
      </c>
    </row>
    <row r="3218" spans="1:9" x14ac:dyDescent="0.25">
      <c r="A3218">
        <v>281</v>
      </c>
      <c r="B3218" t="s">
        <v>1460</v>
      </c>
      <c r="C3218" t="s">
        <v>48</v>
      </c>
      <c r="D3218" t="s">
        <v>1328</v>
      </c>
      <c r="E3218">
        <f t="shared" si="143"/>
        <v>1.697792869269949E-3</v>
      </c>
      <c r="F3218">
        <v>22</v>
      </c>
      <c r="G3218">
        <f>LOG(382/(22+1))</f>
        <v>1.2203355268941158</v>
      </c>
      <c r="H3218">
        <f>0.00169779286926994*2.80992639267742</f>
        <v>4.7706729926611288E-3</v>
      </c>
      <c r="I3218">
        <v>4.7706729926611643E-3</v>
      </c>
    </row>
    <row r="3219" spans="1:9" x14ac:dyDescent="0.25">
      <c r="A3219">
        <v>281</v>
      </c>
      <c r="B3219" t="s">
        <v>1460</v>
      </c>
      <c r="C3219" t="s">
        <v>48</v>
      </c>
      <c r="D3219" t="s">
        <v>1530</v>
      </c>
      <c r="E3219">
        <f t="shared" si="143"/>
        <v>1.697792869269949E-3</v>
      </c>
      <c r="F3219">
        <v>1</v>
      </c>
      <c r="G3219">
        <f>LOG(382/(1+1))</f>
        <v>2.2810333672477277</v>
      </c>
      <c r="H3219">
        <f>0.00169779286926994*5.25227342804663</f>
        <v>8.9172723735935506E-3</v>
      </c>
      <c r="I3219">
        <v>8.9172723735935992E-3</v>
      </c>
    </row>
    <row r="3220" spans="1:9" x14ac:dyDescent="0.25">
      <c r="A3220">
        <v>281</v>
      </c>
      <c r="B3220" t="s">
        <v>1460</v>
      </c>
      <c r="C3220" t="s">
        <v>48</v>
      </c>
      <c r="D3220" t="s">
        <v>957</v>
      </c>
      <c r="E3220">
        <f t="shared" si="143"/>
        <v>1.697792869269949E-3</v>
      </c>
      <c r="F3220">
        <v>4</v>
      </c>
      <c r="G3220">
        <f>LOG(382/(4+1))</f>
        <v>1.8830933585756899</v>
      </c>
      <c r="H3220">
        <f>0.00169779286926994*4.33598269617247</f>
        <v>7.3616005028394682E-3</v>
      </c>
      <c r="I3220">
        <v>7.3616005028395159E-3</v>
      </c>
    </row>
    <row r="3221" spans="1:9" x14ac:dyDescent="0.25">
      <c r="A3221">
        <v>281</v>
      </c>
      <c r="B3221" t="s">
        <v>1460</v>
      </c>
      <c r="C3221" t="s">
        <v>48</v>
      </c>
      <c r="D3221" t="s">
        <v>1071</v>
      </c>
      <c r="E3221">
        <f>2/589</f>
        <v>3.3955857385398981E-3</v>
      </c>
      <c r="F3221">
        <v>5</v>
      </c>
      <c r="G3221">
        <f>LOG(382/(5+1))</f>
        <v>1.803912112528065</v>
      </c>
      <c r="H3221">
        <f>0.00339558573853989*4.15366113937852</f>
        <v>1.4104112527601052E-2</v>
      </c>
      <c r="I3221">
        <v>1.410411252760109E-2</v>
      </c>
    </row>
    <row r="3222" spans="1:9" x14ac:dyDescent="0.25">
      <c r="A3222">
        <v>281</v>
      </c>
      <c r="B3222" t="s">
        <v>1460</v>
      </c>
      <c r="C3222" t="s">
        <v>48</v>
      </c>
      <c r="D3222" t="s">
        <v>962</v>
      </c>
      <c r="E3222">
        <f>2/589</f>
        <v>3.3955857385398981E-3</v>
      </c>
      <c r="F3222">
        <v>8</v>
      </c>
      <c r="G3222">
        <f>LOG(382/(8+1))</f>
        <v>1.6278208534723839</v>
      </c>
      <c r="H3222">
        <f>0.00339558573853989*3.74819603127035</f>
        <v>1.2727320989033414E-2</v>
      </c>
      <c r="I3222">
        <v>1.272732098903347E-2</v>
      </c>
    </row>
    <row r="3223" spans="1:9" x14ac:dyDescent="0.25">
      <c r="A3223">
        <v>281</v>
      </c>
      <c r="B3223" t="s">
        <v>1460</v>
      </c>
      <c r="C3223" t="s">
        <v>48</v>
      </c>
      <c r="D3223" t="s">
        <v>1531</v>
      </c>
      <c r="E3223">
        <f>1/589</f>
        <v>1.697792869269949E-3</v>
      </c>
      <c r="F3223">
        <v>1</v>
      </c>
      <c r="G3223">
        <f>LOG(382/(1+1))</f>
        <v>2.2810333672477277</v>
      </c>
      <c r="H3223">
        <f>0.00169779286926994*5.25227342804663</f>
        <v>8.9172723735935506E-3</v>
      </c>
      <c r="I3223">
        <v>8.9172723735935992E-3</v>
      </c>
    </row>
    <row r="3224" spans="1:9" x14ac:dyDescent="0.25">
      <c r="A3224">
        <v>281</v>
      </c>
      <c r="B3224" t="s">
        <v>1460</v>
      </c>
      <c r="C3224" t="s">
        <v>48</v>
      </c>
      <c r="D3224" t="s">
        <v>1532</v>
      </c>
      <c r="E3224">
        <f>4/589</f>
        <v>6.7911714770797962E-3</v>
      </c>
      <c r="F3224">
        <v>28</v>
      </c>
      <c r="G3224">
        <f>LOG(382/(28+1))</f>
        <v>1.1196653650127526</v>
      </c>
      <c r="H3224">
        <f>0.00679117147707979*2.5781247786201</f>
        <v>1.7508487460917471E-2</v>
      </c>
      <c r="I3224">
        <v>1.7508487460917491E-2</v>
      </c>
    </row>
    <row r="3225" spans="1:9" x14ac:dyDescent="0.25">
      <c r="A3225">
        <v>281</v>
      </c>
      <c r="B3225" t="s">
        <v>1460</v>
      </c>
      <c r="C3225" t="s">
        <v>48</v>
      </c>
      <c r="D3225" t="s">
        <v>1533</v>
      </c>
      <c r="E3225">
        <f>5/589</f>
        <v>8.4889643463497456E-3</v>
      </c>
      <c r="F3225">
        <v>33</v>
      </c>
      <c r="G3225">
        <f>LOG(382/(33+1))</f>
        <v>1.0505844458694535</v>
      </c>
      <c r="H3225">
        <f>0.00848896434634974*2.41906008399041</f>
        <v>2.0535314804672401E-2</v>
      </c>
      <c r="I3225">
        <v>2.0535314804672439E-2</v>
      </c>
    </row>
    <row r="3226" spans="1:9" x14ac:dyDescent="0.25">
      <c r="A3226">
        <v>281</v>
      </c>
      <c r="B3226" t="s">
        <v>1460</v>
      </c>
      <c r="C3226" t="s">
        <v>48</v>
      </c>
      <c r="D3226" t="s">
        <v>11</v>
      </c>
      <c r="E3226">
        <f>9/589</f>
        <v>1.5280135823429542E-2</v>
      </c>
      <c r="F3226">
        <v>83</v>
      </c>
      <c r="G3226">
        <f>LOG(382/(83+1))</f>
        <v>0.65778407684982709</v>
      </c>
      <c r="H3226">
        <f>0.0152801358234295*1.51460380976326</f>
        <v>2.3143351931866389E-2</v>
      </c>
      <c r="I3226">
        <v>2.3143351931866479E-2</v>
      </c>
    </row>
    <row r="3227" spans="1:9" x14ac:dyDescent="0.25">
      <c r="A3227">
        <v>281</v>
      </c>
      <c r="B3227" t="s">
        <v>1460</v>
      </c>
      <c r="C3227" t="s">
        <v>48</v>
      </c>
      <c r="D3227" t="s">
        <v>12</v>
      </c>
      <c r="E3227">
        <f>4/589</f>
        <v>6.7911714770797962E-3</v>
      </c>
      <c r="F3227">
        <v>28</v>
      </c>
      <c r="G3227">
        <f>LOG(382/(28+1))</f>
        <v>1.1196653650127526</v>
      </c>
      <c r="H3227">
        <f>0.00679117147707979*2.5781247786201</f>
        <v>1.7508487460917471E-2</v>
      </c>
      <c r="I3227">
        <v>1.7508487460917491E-2</v>
      </c>
    </row>
    <row r="3228" spans="1:9" x14ac:dyDescent="0.25">
      <c r="A3228">
        <v>281</v>
      </c>
      <c r="B3228" t="s">
        <v>1460</v>
      </c>
      <c r="C3228" t="s">
        <v>48</v>
      </c>
      <c r="D3228" t="s">
        <v>829</v>
      </c>
      <c r="E3228">
        <f t="shared" ref="E3228:E3234" si="144">1/589</f>
        <v>1.697792869269949E-3</v>
      </c>
      <c r="F3228">
        <v>4</v>
      </c>
      <c r="G3228">
        <f>LOG(382/(4+1))</f>
        <v>1.8830933585756899</v>
      </c>
      <c r="H3228">
        <f>0.00169779286926994*4.33598269617247</f>
        <v>7.3616005028394682E-3</v>
      </c>
      <c r="I3228">
        <v>7.3616005028395159E-3</v>
      </c>
    </row>
    <row r="3229" spans="1:9" x14ac:dyDescent="0.25">
      <c r="A3229">
        <v>281</v>
      </c>
      <c r="B3229" t="s">
        <v>1460</v>
      </c>
      <c r="C3229" t="s">
        <v>48</v>
      </c>
      <c r="D3229" t="s">
        <v>28</v>
      </c>
      <c r="E3229">
        <f t="shared" si="144"/>
        <v>1.697792869269949E-3</v>
      </c>
      <c r="F3229">
        <v>35</v>
      </c>
      <c r="G3229">
        <f>LOG(382/(35+1))</f>
        <v>1.0257608621444214</v>
      </c>
      <c r="H3229">
        <f>0.00169779286926994*2.36190167015046</f>
        <v>4.0100198134982125E-3</v>
      </c>
      <c r="I3229">
        <v>4.0100198134982428E-3</v>
      </c>
    </row>
    <row r="3230" spans="1:9" x14ac:dyDescent="0.25">
      <c r="A3230">
        <v>281</v>
      </c>
      <c r="B3230" t="s">
        <v>1460</v>
      </c>
      <c r="C3230" t="s">
        <v>48</v>
      </c>
      <c r="D3230" t="s">
        <v>1534</v>
      </c>
      <c r="E3230">
        <f t="shared" si="144"/>
        <v>1.697792869269949E-3</v>
      </c>
      <c r="F3230">
        <v>25</v>
      </c>
      <c r="G3230">
        <f>LOG(382/(25+1))</f>
        <v>1.1670900149408907</v>
      </c>
      <c r="H3230">
        <f>0.00169779286926994*2.68732407058509</f>
        <v>4.5625196444568344E-3</v>
      </c>
      <c r="I3230">
        <v>4.5625196444568647E-3</v>
      </c>
    </row>
    <row r="3231" spans="1:9" x14ac:dyDescent="0.25">
      <c r="A3231">
        <v>281</v>
      </c>
      <c r="B3231" t="s">
        <v>1460</v>
      </c>
      <c r="C3231" t="s">
        <v>48</v>
      </c>
      <c r="D3231" t="s">
        <v>190</v>
      </c>
      <c r="E3231">
        <f t="shared" si="144"/>
        <v>1.697792869269949E-3</v>
      </c>
      <c r="F3231">
        <v>23</v>
      </c>
      <c r="G3231">
        <f>LOG(382/(23+1))</f>
        <v>1.2018521212001028</v>
      </c>
      <c r="H3231">
        <f>0.00169779286926994*2.76736677825862</f>
        <v>4.6984155827820128E-3</v>
      </c>
      <c r="I3231">
        <v>4.6984155827820536E-3</v>
      </c>
    </row>
    <row r="3232" spans="1:9" x14ac:dyDescent="0.25">
      <c r="A3232">
        <v>281</v>
      </c>
      <c r="B3232" t="s">
        <v>1460</v>
      </c>
      <c r="C3232" t="s">
        <v>48</v>
      </c>
      <c r="D3232" t="s">
        <v>1535</v>
      </c>
      <c r="E3232">
        <f t="shared" si="144"/>
        <v>1.697792869269949E-3</v>
      </c>
      <c r="F3232">
        <v>3</v>
      </c>
      <c r="G3232">
        <f>LOG(382/(3+1))</f>
        <v>1.9800033715837464</v>
      </c>
      <c r="H3232">
        <f>0.00169779286926994*4.55912624748668</f>
        <v>7.7404520330843045E-3</v>
      </c>
      <c r="I3232">
        <v>7.7404520330843539E-3</v>
      </c>
    </row>
    <row r="3233" spans="1:9" x14ac:dyDescent="0.25">
      <c r="A3233">
        <v>281</v>
      </c>
      <c r="B3233" t="s">
        <v>1460</v>
      </c>
      <c r="C3233" t="s">
        <v>48</v>
      </c>
      <c r="D3233" t="s">
        <v>218</v>
      </c>
      <c r="E3233">
        <f t="shared" si="144"/>
        <v>1.697792869269949E-3</v>
      </c>
      <c r="F3233">
        <v>35</v>
      </c>
      <c r="G3233">
        <f>LOG(382/(35+1))</f>
        <v>1.0257608621444214</v>
      </c>
      <c r="H3233">
        <f>0.00169779286926994*2.36190167015046</f>
        <v>4.0100198134982125E-3</v>
      </c>
      <c r="I3233">
        <v>4.0100198134982428E-3</v>
      </c>
    </row>
    <row r="3234" spans="1:9" x14ac:dyDescent="0.25">
      <c r="A3234">
        <v>281</v>
      </c>
      <c r="B3234" t="s">
        <v>1460</v>
      </c>
      <c r="C3234" t="s">
        <v>48</v>
      </c>
      <c r="D3234" t="s">
        <v>811</v>
      </c>
      <c r="E3234">
        <f t="shared" si="144"/>
        <v>1.697792869269949E-3</v>
      </c>
      <c r="F3234">
        <v>27</v>
      </c>
      <c r="G3234">
        <f>LOG(382/(27+1))</f>
        <v>1.1349053315694895</v>
      </c>
      <c r="H3234">
        <f>0.00169779286926994*2.61321609843137</f>
        <v>4.4366996577781936E-3</v>
      </c>
      <c r="I3234">
        <v>4.4366996577782187E-3</v>
      </c>
    </row>
    <row r="3235" spans="1:9" x14ac:dyDescent="0.25">
      <c r="A3235">
        <v>281</v>
      </c>
      <c r="B3235" t="s">
        <v>1460</v>
      </c>
      <c r="C3235" t="s">
        <v>48</v>
      </c>
      <c r="D3235" t="s">
        <v>593</v>
      </c>
      <c r="E3235">
        <f>3/589</f>
        <v>5.0933786078098476E-3</v>
      </c>
      <c r="F3235">
        <v>30</v>
      </c>
      <c r="G3235">
        <f>LOG(382/(30+1))</f>
        <v>1.090701669077436</v>
      </c>
      <c r="H3235">
        <f>0.00509337860780984*2.51143340412142</f>
        <v>1.2791681175491086E-2</v>
      </c>
      <c r="I3235">
        <v>1.279168117549115E-2</v>
      </c>
    </row>
    <row r="3236" spans="1:9" x14ac:dyDescent="0.25">
      <c r="A3236">
        <v>281</v>
      </c>
      <c r="B3236" t="s">
        <v>1460</v>
      </c>
      <c r="C3236" t="s">
        <v>48</v>
      </c>
      <c r="D3236" t="s">
        <v>898</v>
      </c>
      <c r="E3236">
        <f>1/589</f>
        <v>1.697792869269949E-3</v>
      </c>
      <c r="F3236">
        <v>22</v>
      </c>
      <c r="G3236">
        <f>LOG(382/(22+1))</f>
        <v>1.2203355268941158</v>
      </c>
      <c r="H3236">
        <f>0.00169779286926994*2.80992639267742</f>
        <v>4.7706729926611288E-3</v>
      </c>
      <c r="I3236">
        <v>4.7706729926611643E-3</v>
      </c>
    </row>
    <row r="3237" spans="1:9" x14ac:dyDescent="0.25">
      <c r="A3237">
        <v>281</v>
      </c>
      <c r="B3237" t="s">
        <v>1460</v>
      </c>
      <c r="C3237" t="s">
        <v>48</v>
      </c>
      <c r="D3237" t="s">
        <v>1536</v>
      </c>
      <c r="E3237">
        <f>3/589</f>
        <v>5.0933786078098476E-3</v>
      </c>
      <c r="F3237">
        <v>5</v>
      </c>
      <c r="G3237">
        <f>LOG(382/(5+1))</f>
        <v>1.803912112528065</v>
      </c>
      <c r="H3237">
        <f>0.00509337860780984*4.15366113937852</f>
        <v>2.11561687914016E-2</v>
      </c>
      <c r="I3237">
        <v>2.1156168791401631E-2</v>
      </c>
    </row>
    <row r="3238" spans="1:9" x14ac:dyDescent="0.25">
      <c r="A3238">
        <v>281</v>
      </c>
      <c r="B3238" t="s">
        <v>1460</v>
      </c>
      <c r="C3238" t="s">
        <v>48</v>
      </c>
      <c r="D3238" t="s">
        <v>322</v>
      </c>
      <c r="E3238">
        <f>8/589</f>
        <v>1.3582342954159592E-2</v>
      </c>
      <c r="F3238">
        <v>128</v>
      </c>
      <c r="G3238">
        <f>LOG(382/(128+1))</f>
        <v>0.47147365261245977</v>
      </c>
      <c r="H3238">
        <f>0.0135823429541595*1.0856082042449</f>
        <v>1.4745102943903465E-2</v>
      </c>
      <c r="I3238">
        <v>1.4745102943903609E-2</v>
      </c>
    </row>
    <row r="3239" spans="1:9" x14ac:dyDescent="0.25">
      <c r="A3239">
        <v>281</v>
      </c>
      <c r="B3239" t="s">
        <v>1460</v>
      </c>
      <c r="C3239" t="s">
        <v>48</v>
      </c>
      <c r="D3239" t="s">
        <v>97</v>
      </c>
      <c r="E3239">
        <f>2/589</f>
        <v>3.3955857385398981E-3</v>
      </c>
      <c r="F3239">
        <v>19</v>
      </c>
      <c r="G3239">
        <f>LOG(382/(19+1))</f>
        <v>1.2810333672477277</v>
      </c>
      <c r="H3239">
        <f>0.00339558573853989*2.94968833505258</f>
        <v>1.0015919643642013E-2</v>
      </c>
      <c r="I3239">
        <v>1.0015919643642049E-2</v>
      </c>
    </row>
    <row r="3240" spans="1:9" x14ac:dyDescent="0.25">
      <c r="A3240">
        <v>281</v>
      </c>
      <c r="B3240" t="s">
        <v>1460</v>
      </c>
      <c r="C3240" t="s">
        <v>48</v>
      </c>
      <c r="D3240" t="s">
        <v>279</v>
      </c>
      <c r="E3240">
        <f>1/589</f>
        <v>1.697792869269949E-3</v>
      </c>
      <c r="F3240">
        <v>22</v>
      </c>
      <c r="G3240">
        <f>LOG(382/(22+1))</f>
        <v>1.2203355268941158</v>
      </c>
      <c r="H3240">
        <f>0.00169779286926994*2.80992639267742</f>
        <v>4.7706729926611288E-3</v>
      </c>
      <c r="I3240">
        <v>4.7706729926611643E-3</v>
      </c>
    </row>
    <row r="3241" spans="1:9" x14ac:dyDescent="0.25">
      <c r="A3241">
        <v>281</v>
      </c>
      <c r="B3241" t="s">
        <v>1460</v>
      </c>
      <c r="C3241" t="s">
        <v>48</v>
      </c>
      <c r="D3241" t="s">
        <v>1537</v>
      </c>
      <c r="E3241">
        <f>4/589</f>
        <v>6.7911714770797962E-3</v>
      </c>
      <c r="F3241">
        <v>80</v>
      </c>
      <c r="G3241">
        <f>LOG(382/(80+1))</f>
        <v>0.67357834403305894</v>
      </c>
      <c r="H3241">
        <f>0.00679117147707979*1.55097145393413</f>
        <v>1.0532913099722435E-2</v>
      </c>
      <c r="I3241">
        <v>1.053291309972249E-2</v>
      </c>
    </row>
    <row r="3242" spans="1:9" x14ac:dyDescent="0.25">
      <c r="A3242">
        <v>281</v>
      </c>
      <c r="B3242" t="s">
        <v>1460</v>
      </c>
      <c r="C3242" t="s">
        <v>48</v>
      </c>
      <c r="D3242" t="s">
        <v>1359</v>
      </c>
      <c r="E3242">
        <f>3/589</f>
        <v>5.0933786078098476E-3</v>
      </c>
      <c r="F3242">
        <v>4</v>
      </c>
      <c r="G3242">
        <f>LOG(382/(4+1))</f>
        <v>1.8830933585756899</v>
      </c>
      <c r="H3242">
        <f>0.00509337860780984*4.33598269617247</f>
        <v>2.2084801508518492E-2</v>
      </c>
      <c r="I3242">
        <v>2.2084801508518551E-2</v>
      </c>
    </row>
    <row r="3243" spans="1:9" x14ac:dyDescent="0.25">
      <c r="A3243">
        <v>281</v>
      </c>
      <c r="B3243" t="s">
        <v>1460</v>
      </c>
      <c r="C3243" t="s">
        <v>48</v>
      </c>
      <c r="D3243" t="s">
        <v>1538</v>
      </c>
      <c r="E3243">
        <f>1/589</f>
        <v>1.697792869269949E-3</v>
      </c>
      <c r="F3243">
        <v>1</v>
      </c>
      <c r="G3243">
        <f>LOG(382/(1+1))</f>
        <v>2.2810333672477277</v>
      </c>
      <c r="H3243">
        <f>0.00169779286926994*5.25227342804663</f>
        <v>8.9172723735935506E-3</v>
      </c>
      <c r="I3243">
        <v>8.9172723735935992E-3</v>
      </c>
    </row>
    <row r="3244" spans="1:9" x14ac:dyDescent="0.25">
      <c r="A3244">
        <v>281</v>
      </c>
      <c r="B3244" t="s">
        <v>1460</v>
      </c>
      <c r="C3244" t="s">
        <v>48</v>
      </c>
      <c r="D3244" t="s">
        <v>1539</v>
      </c>
      <c r="E3244">
        <f>1/589</f>
        <v>1.697792869269949E-3</v>
      </c>
      <c r="F3244">
        <v>6</v>
      </c>
      <c r="G3244">
        <f>LOG(382/(6+1))</f>
        <v>1.736965322897452</v>
      </c>
      <c r="H3244">
        <f>0.00169779286926994*3.99951045955126</f>
        <v>6.7903403387966701E-3</v>
      </c>
      <c r="I3244">
        <v>6.7903403387967092E-3</v>
      </c>
    </row>
    <row r="3245" spans="1:9" x14ac:dyDescent="0.25">
      <c r="A3245">
        <v>281</v>
      </c>
      <c r="B3245" t="s">
        <v>1460</v>
      </c>
      <c r="C3245" t="s">
        <v>48</v>
      </c>
      <c r="D3245" t="s">
        <v>89</v>
      </c>
      <c r="E3245">
        <f>4/589</f>
        <v>6.7911714770797962E-3</v>
      </c>
      <c r="F3245">
        <v>40</v>
      </c>
      <c r="G3245">
        <f>LOG(382/(40+1))</f>
        <v>0.96927950619197323</v>
      </c>
      <c r="H3245">
        <f>0.00679117147707979*2.23184854190226</f>
        <v>1.5156866158928745E-2</v>
      </c>
      <c r="I3245">
        <v>1.5156866158928811E-2</v>
      </c>
    </row>
    <row r="3246" spans="1:9" x14ac:dyDescent="0.25">
      <c r="A3246">
        <v>281</v>
      </c>
      <c r="B3246" t="s">
        <v>1460</v>
      </c>
      <c r="C3246" t="s">
        <v>48</v>
      </c>
      <c r="D3246" t="s">
        <v>201</v>
      </c>
      <c r="E3246">
        <f>3/589</f>
        <v>5.0933786078098476E-3</v>
      </c>
      <c r="F3246">
        <v>72</v>
      </c>
      <c r="G3246">
        <f>LOG(382/(72+1))</f>
        <v>0.71874050279125279</v>
      </c>
      <c r="H3246">
        <f>0.00509337860780984*1.65496116745818</f>
        <v>8.4293438070874912E-3</v>
      </c>
      <c r="I3246">
        <v>8.4293438070875241E-3</v>
      </c>
    </row>
    <row r="3247" spans="1:9" x14ac:dyDescent="0.25">
      <c r="A3247">
        <v>281</v>
      </c>
      <c r="B3247" t="s">
        <v>1460</v>
      </c>
      <c r="C3247" t="s">
        <v>48</v>
      </c>
      <c r="D3247" t="s">
        <v>81</v>
      </c>
      <c r="E3247">
        <f>2/589</f>
        <v>3.3955857385398981E-3</v>
      </c>
      <c r="F3247">
        <v>114</v>
      </c>
      <c r="G3247">
        <f>LOG(382/(114+1))</f>
        <v>0.52136552255809698</v>
      </c>
      <c r="H3247">
        <f>0.00339558573853989*1.20048848024332</f>
        <v>4.076361562795644E-3</v>
      </c>
      <c r="I3247">
        <v>4.0763615627956709E-3</v>
      </c>
    </row>
    <row r="3248" spans="1:9" x14ac:dyDescent="0.25">
      <c r="A3248">
        <v>281</v>
      </c>
      <c r="B3248" t="s">
        <v>1460</v>
      </c>
      <c r="C3248" t="s">
        <v>48</v>
      </c>
      <c r="D3248" t="s">
        <v>716</v>
      </c>
      <c r="E3248">
        <f t="shared" ref="E3248:E3253" si="145">1/589</f>
        <v>1.697792869269949E-3</v>
      </c>
      <c r="F3248">
        <v>13</v>
      </c>
      <c r="G3248">
        <f>LOG(382/(13+1))</f>
        <v>1.4359353272334707</v>
      </c>
      <c r="H3248">
        <f>0.00169779286926994*3.30636327899131</f>
        <v>5.6135199982874232E-3</v>
      </c>
      <c r="I3248">
        <v>5.613519998287464E-3</v>
      </c>
    </row>
    <row r="3249" spans="1:9" x14ac:dyDescent="0.25">
      <c r="A3249">
        <v>281</v>
      </c>
      <c r="B3249" t="s">
        <v>1460</v>
      </c>
      <c r="C3249" t="s">
        <v>48</v>
      </c>
      <c r="D3249" t="s">
        <v>1540</v>
      </c>
      <c r="E3249">
        <f t="shared" si="145"/>
        <v>1.697792869269949E-3</v>
      </c>
      <c r="F3249">
        <v>12</v>
      </c>
      <c r="G3249">
        <f>LOG(382/(12+1))</f>
        <v>1.468120010604872</v>
      </c>
      <c r="H3249">
        <f>0.00169779286926994*3.38047125114503</f>
        <v>5.739339984966064E-3</v>
      </c>
      <c r="I3249">
        <v>5.7393399849661091E-3</v>
      </c>
    </row>
    <row r="3250" spans="1:9" x14ac:dyDescent="0.25">
      <c r="A3250">
        <v>281</v>
      </c>
      <c r="B3250" t="s">
        <v>1460</v>
      </c>
      <c r="C3250" t="s">
        <v>48</v>
      </c>
      <c r="D3250" t="s">
        <v>309</v>
      </c>
      <c r="E3250">
        <f t="shared" si="145"/>
        <v>1.697792869269949E-3</v>
      </c>
      <c r="F3250">
        <v>25</v>
      </c>
      <c r="G3250">
        <f>LOG(382/(25+1))</f>
        <v>1.1670900149408907</v>
      </c>
      <c r="H3250">
        <f>0.00169779286926994*2.68732407058509</f>
        <v>4.5625196444568344E-3</v>
      </c>
      <c r="I3250">
        <v>4.5625196444568647E-3</v>
      </c>
    </row>
    <row r="3251" spans="1:9" x14ac:dyDescent="0.25">
      <c r="A3251">
        <v>281</v>
      </c>
      <c r="B3251" t="s">
        <v>1460</v>
      </c>
      <c r="C3251" t="s">
        <v>48</v>
      </c>
      <c r="D3251" t="s">
        <v>1541</v>
      </c>
      <c r="E3251">
        <f t="shared" si="145"/>
        <v>1.697792869269949E-3</v>
      </c>
      <c r="F3251">
        <v>5</v>
      </c>
      <c r="G3251">
        <f>LOG(382/(5+1))</f>
        <v>1.803912112528065</v>
      </c>
      <c r="H3251">
        <f>0.00169779286926994*4.15366113937852</f>
        <v>7.052056263800505E-3</v>
      </c>
      <c r="I3251">
        <v>7.0520562638005432E-3</v>
      </c>
    </row>
    <row r="3252" spans="1:9" x14ac:dyDescent="0.25">
      <c r="A3252">
        <v>281</v>
      </c>
      <c r="B3252" t="s">
        <v>1460</v>
      </c>
      <c r="C3252" t="s">
        <v>48</v>
      </c>
      <c r="D3252" t="s">
        <v>1542</v>
      </c>
      <c r="E3252">
        <f t="shared" si="145"/>
        <v>1.697792869269949E-3</v>
      </c>
      <c r="F3252">
        <v>1</v>
      </c>
      <c r="G3252">
        <f>LOG(382/(1+1))</f>
        <v>2.2810333672477277</v>
      </c>
      <c r="H3252">
        <f>0.00169779286926994*5.25227342804663</f>
        <v>8.9172723735935506E-3</v>
      </c>
      <c r="I3252">
        <v>8.9172723735935992E-3</v>
      </c>
    </row>
    <row r="3253" spans="1:9" x14ac:dyDescent="0.25">
      <c r="A3253">
        <v>281</v>
      </c>
      <c r="B3253" t="s">
        <v>1460</v>
      </c>
      <c r="C3253" t="s">
        <v>48</v>
      </c>
      <c r="D3253" t="s">
        <v>485</v>
      </c>
      <c r="E3253">
        <f t="shared" si="145"/>
        <v>1.697792869269949E-3</v>
      </c>
      <c r="F3253">
        <v>74</v>
      </c>
      <c r="G3253">
        <f>LOG(382/(74+1))</f>
        <v>0.7070020995200087</v>
      </c>
      <c r="H3253">
        <f>0.00169779286926994*1.62793249507026</f>
        <v>2.763892181783109E-3</v>
      </c>
      <c r="I3253">
        <v>2.7638921817831319E-3</v>
      </c>
    </row>
    <row r="3254" spans="1:9" x14ac:dyDescent="0.25">
      <c r="A3254">
        <v>281</v>
      </c>
      <c r="B3254" t="s">
        <v>1460</v>
      </c>
      <c r="C3254" t="s">
        <v>48</v>
      </c>
      <c r="D3254" t="s">
        <v>1543</v>
      </c>
      <c r="E3254">
        <f>2/589</f>
        <v>3.3955857385398981E-3</v>
      </c>
      <c r="F3254">
        <v>2</v>
      </c>
      <c r="G3254">
        <f>LOG(382/(2+1))</f>
        <v>2.1049421081920463</v>
      </c>
      <c r="H3254">
        <f>0.00339558573853989*4.84680831993846</f>
        <v>1.645775320861952E-2</v>
      </c>
      <c r="I3254">
        <v>1.6457753208619579E-2</v>
      </c>
    </row>
    <row r="3255" spans="1:9" x14ac:dyDescent="0.25">
      <c r="A3255">
        <v>281</v>
      </c>
      <c r="B3255" t="s">
        <v>1460</v>
      </c>
      <c r="C3255" t="s">
        <v>48</v>
      </c>
      <c r="D3255" t="s">
        <v>1544</v>
      </c>
      <c r="E3255">
        <f>1/589</f>
        <v>1.697792869269949E-3</v>
      </c>
      <c r="F3255">
        <v>19</v>
      </c>
      <c r="G3255">
        <f>LOG(382/(19+1))</f>
        <v>1.2810333672477277</v>
      </c>
      <c r="H3255">
        <f>0.00169779286926994*2.94968833505258</f>
        <v>5.0079598218209917E-3</v>
      </c>
      <c r="I3255">
        <v>5.0079598218210264E-3</v>
      </c>
    </row>
    <row r="3256" spans="1:9" x14ac:dyDescent="0.25">
      <c r="A3256">
        <v>281</v>
      </c>
      <c r="B3256" t="s">
        <v>1460</v>
      </c>
      <c r="C3256" t="s">
        <v>48</v>
      </c>
      <c r="D3256" t="s">
        <v>594</v>
      </c>
      <c r="E3256">
        <f>2/589</f>
        <v>3.3955857385398981E-3</v>
      </c>
      <c r="F3256">
        <v>36</v>
      </c>
      <c r="G3256">
        <f>LOG(382/(36+1))</f>
        <v>1.0138616388447137</v>
      </c>
      <c r="H3256">
        <f>0.00339558573853989*2.33450269596235</f>
        <v>7.927004060992681E-3</v>
      </c>
      <c r="I3256">
        <v>7.9270040609927019E-3</v>
      </c>
    </row>
    <row r="3257" spans="1:9" x14ac:dyDescent="0.25">
      <c r="A3257">
        <v>281</v>
      </c>
      <c r="B3257" t="s">
        <v>1460</v>
      </c>
      <c r="C3257" t="s">
        <v>48</v>
      </c>
      <c r="D3257" t="s">
        <v>458</v>
      </c>
      <c r="E3257">
        <f>1/589</f>
        <v>1.697792869269949E-3</v>
      </c>
      <c r="F3257">
        <v>34</v>
      </c>
      <c r="G3257">
        <f>LOG(382/(34+1))</f>
        <v>1.037995318561433</v>
      </c>
      <c r="H3257">
        <f>0.00169779286926994*2.39007254711716</f>
        <v>4.0578481275333565E-3</v>
      </c>
      <c r="I3257">
        <v>4.0578481275333807E-3</v>
      </c>
    </row>
    <row r="3258" spans="1:9" x14ac:dyDescent="0.25">
      <c r="A3258">
        <v>281</v>
      </c>
      <c r="B3258" t="s">
        <v>1460</v>
      </c>
      <c r="C3258" t="s">
        <v>48</v>
      </c>
      <c r="D3258" t="s">
        <v>1545</v>
      </c>
      <c r="E3258">
        <f>1/589</f>
        <v>1.697792869269949E-3</v>
      </c>
      <c r="F3258">
        <v>5</v>
      </c>
      <c r="G3258">
        <f>LOG(382/(5+1))</f>
        <v>1.803912112528065</v>
      </c>
      <c r="H3258">
        <f>0.00169779286926994*4.15366113937852</f>
        <v>7.052056263800505E-3</v>
      </c>
      <c r="I3258">
        <v>7.0520562638005432E-3</v>
      </c>
    </row>
    <row r="3259" spans="1:9" x14ac:dyDescent="0.25">
      <c r="A3259">
        <v>281</v>
      </c>
      <c r="B3259" t="s">
        <v>1460</v>
      </c>
      <c r="C3259" t="s">
        <v>48</v>
      </c>
      <c r="D3259" t="s">
        <v>746</v>
      </c>
      <c r="E3259">
        <f>3/589</f>
        <v>5.0933786078098476E-3</v>
      </c>
      <c r="F3259">
        <v>58</v>
      </c>
      <c r="G3259">
        <f>LOG(382/(58+1))</f>
        <v>0.81121135126956456</v>
      </c>
      <c r="H3259">
        <f>0.00509337860780984*1.86788316470085</f>
        <v>9.513836152975453E-3</v>
      </c>
      <c r="I3259">
        <v>9.5138361529754963E-3</v>
      </c>
    </row>
    <row r="3260" spans="1:9" x14ac:dyDescent="0.25">
      <c r="A3260">
        <v>281</v>
      </c>
      <c r="B3260" t="s">
        <v>1460</v>
      </c>
      <c r="C3260" t="s">
        <v>48</v>
      </c>
      <c r="D3260" t="s">
        <v>1546</v>
      </c>
      <c r="E3260">
        <f>1/589</f>
        <v>1.697792869269949E-3</v>
      </c>
      <c r="F3260">
        <v>44</v>
      </c>
      <c r="G3260">
        <f>LOG(382/(44+1))</f>
        <v>0.92885084913636506</v>
      </c>
      <c r="H3260">
        <f>0.00169779286926994*2.13875811883625</f>
        <v>3.6311682832533758E-3</v>
      </c>
      <c r="I3260">
        <v>3.631168283253404E-3</v>
      </c>
    </row>
    <row r="3261" spans="1:9" x14ac:dyDescent="0.25">
      <c r="A3261">
        <v>281</v>
      </c>
      <c r="B3261" t="s">
        <v>1460</v>
      </c>
      <c r="C3261" t="s">
        <v>48</v>
      </c>
      <c r="D3261" t="s">
        <v>1303</v>
      </c>
      <c r="E3261">
        <f>1/589</f>
        <v>1.697792869269949E-3</v>
      </c>
      <c r="F3261">
        <v>17</v>
      </c>
      <c r="G3261">
        <f>LOG(382/(17+1))</f>
        <v>1.3267908578084027</v>
      </c>
      <c r="H3261">
        <f>0.00169779286926994*3.05504885071041</f>
        <v>5.1868401540074594E-3</v>
      </c>
      <c r="I3261">
        <v>5.186840154007488E-3</v>
      </c>
    </row>
    <row r="3262" spans="1:9" x14ac:dyDescent="0.25">
      <c r="A3262">
        <v>281</v>
      </c>
      <c r="B3262" t="s">
        <v>1460</v>
      </c>
      <c r="C3262" t="s">
        <v>48</v>
      </c>
      <c r="D3262" t="s">
        <v>1012</v>
      </c>
      <c r="E3262">
        <f>1/589</f>
        <v>1.697792869269949E-3</v>
      </c>
      <c r="F3262">
        <v>17</v>
      </c>
      <c r="G3262">
        <f>LOG(382/(17+1))</f>
        <v>1.3267908578084027</v>
      </c>
      <c r="H3262">
        <f>0.00169779286926994*3.05504885071041</f>
        <v>5.1868401540074594E-3</v>
      </c>
      <c r="I3262">
        <v>5.186840154007488E-3</v>
      </c>
    </row>
    <row r="3263" spans="1:9" x14ac:dyDescent="0.25">
      <c r="A3263">
        <v>281</v>
      </c>
      <c r="B3263" t="s">
        <v>1460</v>
      </c>
      <c r="C3263" t="s">
        <v>48</v>
      </c>
      <c r="D3263" t="s">
        <v>714</v>
      </c>
      <c r="E3263">
        <f>2/589</f>
        <v>3.3955857385398981E-3</v>
      </c>
      <c r="F3263">
        <v>12</v>
      </c>
      <c r="G3263">
        <f>LOG(382/(12+1))</f>
        <v>1.468120010604872</v>
      </c>
      <c r="H3263">
        <f>0.00339558573853989*3.38047125114503</f>
        <v>1.1478679969932163E-2</v>
      </c>
      <c r="I3263">
        <v>1.147867996993222E-2</v>
      </c>
    </row>
    <row r="3264" spans="1:9" x14ac:dyDescent="0.25">
      <c r="A3264">
        <v>281</v>
      </c>
      <c r="B3264" t="s">
        <v>1460</v>
      </c>
      <c r="C3264" t="s">
        <v>48</v>
      </c>
      <c r="D3264" t="s">
        <v>1547</v>
      </c>
      <c r="E3264">
        <f t="shared" ref="E3264:E3272" si="146">1/589</f>
        <v>1.697792869269949E-3</v>
      </c>
      <c r="F3264">
        <v>3</v>
      </c>
      <c r="G3264">
        <f>LOG(382/(3+1))</f>
        <v>1.9800033715837464</v>
      </c>
      <c r="H3264">
        <f>0.00169779286926994*4.55912624748668</f>
        <v>7.7404520330843045E-3</v>
      </c>
      <c r="I3264">
        <v>7.7404520330843539E-3</v>
      </c>
    </row>
    <row r="3265" spans="1:9" x14ac:dyDescent="0.25">
      <c r="A3265">
        <v>281</v>
      </c>
      <c r="B3265" t="s">
        <v>1460</v>
      </c>
      <c r="C3265" t="s">
        <v>48</v>
      </c>
      <c r="D3265" t="s">
        <v>1548</v>
      </c>
      <c r="E3265">
        <f t="shared" si="146"/>
        <v>1.697792869269949E-3</v>
      </c>
      <c r="F3265">
        <v>6</v>
      </c>
      <c r="G3265">
        <f>LOG(382/(6+1))</f>
        <v>1.736965322897452</v>
      </c>
      <c r="H3265">
        <f>0.00169779286926994*3.99951045955126</f>
        <v>6.7903403387966701E-3</v>
      </c>
      <c r="I3265">
        <v>6.7903403387967092E-3</v>
      </c>
    </row>
    <row r="3266" spans="1:9" x14ac:dyDescent="0.25">
      <c r="A3266">
        <v>281</v>
      </c>
      <c r="B3266" t="s">
        <v>1460</v>
      </c>
      <c r="C3266" t="s">
        <v>48</v>
      </c>
      <c r="D3266" t="s">
        <v>1549</v>
      </c>
      <c r="E3266">
        <f t="shared" si="146"/>
        <v>1.697792869269949E-3</v>
      </c>
      <c r="F3266">
        <v>5</v>
      </c>
      <c r="G3266">
        <f>LOG(382/(5+1))</f>
        <v>1.803912112528065</v>
      </c>
      <c r="H3266">
        <f>0.00169779286926994*4.15366113937852</f>
        <v>7.052056263800505E-3</v>
      </c>
      <c r="I3266">
        <v>7.0520562638005432E-3</v>
      </c>
    </row>
    <row r="3267" spans="1:9" x14ac:dyDescent="0.25">
      <c r="A3267">
        <v>281</v>
      </c>
      <c r="B3267" t="s">
        <v>1460</v>
      </c>
      <c r="C3267" t="s">
        <v>48</v>
      </c>
      <c r="D3267" t="s">
        <v>126</v>
      </c>
      <c r="E3267">
        <f t="shared" si="146"/>
        <v>1.697792869269949E-3</v>
      </c>
      <c r="F3267">
        <v>79</v>
      </c>
      <c r="G3267">
        <f>LOG(382/(79+1))</f>
        <v>0.67897337591976514</v>
      </c>
      <c r="H3267">
        <f>0.00169779286926994*1.56339397393269</f>
        <v>2.6543191408025155E-3</v>
      </c>
      <c r="I3267">
        <v>2.6543191408025359E-3</v>
      </c>
    </row>
    <row r="3268" spans="1:9" x14ac:dyDescent="0.25">
      <c r="A3268">
        <v>281</v>
      </c>
      <c r="B3268" t="s">
        <v>1460</v>
      </c>
      <c r="C3268" t="s">
        <v>48</v>
      </c>
      <c r="D3268" t="s">
        <v>50</v>
      </c>
      <c r="E3268">
        <f t="shared" si="146"/>
        <v>1.697792869269949E-3</v>
      </c>
      <c r="F3268">
        <v>109</v>
      </c>
      <c r="G3268">
        <f>LOG(382/(109+1))</f>
        <v>0.54067067775348365</v>
      </c>
      <c r="H3268">
        <f>0.00169779286926994*1.24494024281415</f>
        <v>2.1136506669170514E-3</v>
      </c>
      <c r="I3268">
        <v>2.1136506669170779E-3</v>
      </c>
    </row>
    <row r="3269" spans="1:9" x14ac:dyDescent="0.25">
      <c r="A3269">
        <v>281</v>
      </c>
      <c r="B3269" t="s">
        <v>1460</v>
      </c>
      <c r="C3269" t="s">
        <v>48</v>
      </c>
      <c r="D3269" t="s">
        <v>1550</v>
      </c>
      <c r="E3269">
        <f t="shared" si="146"/>
        <v>1.697792869269949E-3</v>
      </c>
      <c r="F3269">
        <v>16</v>
      </c>
      <c r="G3269">
        <f>LOG(382/(16+1))</f>
        <v>1.3516144415334348</v>
      </c>
      <c r="H3269">
        <f>0.00169779286926994*3.11220726455035</f>
        <v>5.2838833014436891E-3</v>
      </c>
      <c r="I3269">
        <v>5.2838833014437333E-3</v>
      </c>
    </row>
    <row r="3270" spans="1:9" x14ac:dyDescent="0.25">
      <c r="A3270">
        <v>281</v>
      </c>
      <c r="B3270" t="s">
        <v>1460</v>
      </c>
      <c r="C3270" t="s">
        <v>48</v>
      </c>
      <c r="D3270" t="s">
        <v>1551</v>
      </c>
      <c r="E3270">
        <f t="shared" si="146"/>
        <v>1.697792869269949E-3</v>
      </c>
      <c r="F3270">
        <v>15</v>
      </c>
      <c r="G3270">
        <f>LOG(382/(15+1))</f>
        <v>1.3779433802557839</v>
      </c>
      <c r="H3270">
        <f>0.00169779286926994*3.17283188636679</f>
        <v>5.3868113520658288E-3</v>
      </c>
      <c r="I3270">
        <v>5.3868113520658643E-3</v>
      </c>
    </row>
    <row r="3271" spans="1:9" x14ac:dyDescent="0.25">
      <c r="A3271">
        <v>281</v>
      </c>
      <c r="B3271" t="s">
        <v>1460</v>
      </c>
      <c r="C3271" t="s">
        <v>48</v>
      </c>
      <c r="D3271" t="s">
        <v>1552</v>
      </c>
      <c r="E3271">
        <f t="shared" si="146"/>
        <v>1.697792869269949E-3</v>
      </c>
      <c r="F3271">
        <v>2</v>
      </c>
      <c r="G3271">
        <f>LOG(382/(2+1))</f>
        <v>2.1049421081920463</v>
      </c>
      <c r="H3271">
        <f>0.00169779286926994*4.84680831993846</f>
        <v>8.2288766043097355E-3</v>
      </c>
      <c r="I3271">
        <v>8.2288766043097875E-3</v>
      </c>
    </row>
    <row r="3272" spans="1:9" x14ac:dyDescent="0.25">
      <c r="A3272">
        <v>281</v>
      </c>
      <c r="B3272" t="s">
        <v>1460</v>
      </c>
      <c r="C3272" t="s">
        <v>48</v>
      </c>
      <c r="D3272" t="s">
        <v>1553</v>
      </c>
      <c r="E3272">
        <f t="shared" si="146"/>
        <v>1.697792869269949E-3</v>
      </c>
      <c r="F3272">
        <v>3</v>
      </c>
      <c r="G3272">
        <f>LOG(382/(3+1))</f>
        <v>1.9800033715837464</v>
      </c>
      <c r="H3272">
        <f>0.00169779286926994*4.55912624748668</f>
        <v>7.7404520330843045E-3</v>
      </c>
      <c r="I3272">
        <v>7.7404520330843539E-3</v>
      </c>
    </row>
    <row r="3273" spans="1:9" x14ac:dyDescent="0.25">
      <c r="A3273">
        <v>282</v>
      </c>
      <c r="B3273" t="s">
        <v>1554</v>
      </c>
      <c r="C3273" t="s">
        <v>48</v>
      </c>
      <c r="D3273" t="s">
        <v>1555</v>
      </c>
      <c r="E3273">
        <f>7/174</f>
        <v>4.0229885057471264E-2</v>
      </c>
      <c r="F3273">
        <v>1</v>
      </c>
      <c r="G3273">
        <f>LOG(382/(1+1))</f>
        <v>2.2810333672477277</v>
      </c>
      <c r="H3273">
        <f>0.0402298850574712*5.25227342804663</f>
        <v>0.21129835630072616</v>
      </c>
      <c r="I3273">
        <v>0.21129835630072649</v>
      </c>
    </row>
    <row r="3274" spans="1:9" x14ac:dyDescent="0.25">
      <c r="A3274">
        <v>282</v>
      </c>
      <c r="B3274" t="s">
        <v>1554</v>
      </c>
      <c r="C3274" t="s">
        <v>48</v>
      </c>
      <c r="D3274" t="s">
        <v>1217</v>
      </c>
      <c r="E3274">
        <f>13/174</f>
        <v>7.4712643678160925E-2</v>
      </c>
      <c r="F3274">
        <v>5</v>
      </c>
      <c r="G3274">
        <f>LOG(382/(5+1))</f>
        <v>1.803912112528065</v>
      </c>
      <c r="H3274">
        <f>0.0747126436781609*4.15366113937852</f>
        <v>0.31033100466621116</v>
      </c>
      <c r="I3274">
        <v>0.31033100466621127</v>
      </c>
    </row>
    <row r="3275" spans="1:9" x14ac:dyDescent="0.25">
      <c r="A3275">
        <v>282</v>
      </c>
      <c r="B3275" t="s">
        <v>1554</v>
      </c>
      <c r="C3275" t="s">
        <v>48</v>
      </c>
      <c r="D3275" t="s">
        <v>1556</v>
      </c>
      <c r="E3275">
        <f>15/174</f>
        <v>8.6206896551724144E-2</v>
      </c>
      <c r="F3275">
        <v>1</v>
      </c>
      <c r="G3275">
        <f>LOG(382/(1+1))</f>
        <v>2.2810333672477277</v>
      </c>
      <c r="H3275">
        <f>0.0862068965517241*5.25227342804663</f>
        <v>0.45278219207298515</v>
      </c>
      <c r="I3275">
        <v>0.45278219207298542</v>
      </c>
    </row>
    <row r="3276" spans="1:9" x14ac:dyDescent="0.25">
      <c r="A3276">
        <v>282</v>
      </c>
      <c r="B3276" t="s">
        <v>1554</v>
      </c>
      <c r="C3276" t="s">
        <v>48</v>
      </c>
      <c r="D3276" t="s">
        <v>458</v>
      </c>
      <c r="E3276">
        <f>3/174</f>
        <v>1.7241379310344827E-2</v>
      </c>
      <c r="F3276">
        <v>34</v>
      </c>
      <c r="G3276">
        <f>LOG(382/(34+1))</f>
        <v>1.037995318561433</v>
      </c>
      <c r="H3276">
        <f>0.0172413793103448*2.39007254711716</f>
        <v>4.1208147364088898E-2</v>
      </c>
      <c r="I3276">
        <v>4.1208147364088989E-2</v>
      </c>
    </row>
    <row r="3277" spans="1:9" x14ac:dyDescent="0.25">
      <c r="A3277">
        <v>282</v>
      </c>
      <c r="B3277" t="s">
        <v>1554</v>
      </c>
      <c r="C3277" t="s">
        <v>48</v>
      </c>
      <c r="D3277" t="s">
        <v>53</v>
      </c>
      <c r="E3277">
        <f>5/174</f>
        <v>2.8735632183908046E-2</v>
      </c>
      <c r="F3277">
        <v>57</v>
      </c>
      <c r="G3277">
        <f>LOG(382/(57+1))</f>
        <v>0.81863536934877146</v>
      </c>
      <c r="H3277">
        <f>0.028735632183908*1.88497759806015</f>
        <v>5.4166022932762847E-2</v>
      </c>
      <c r="I3277">
        <v>5.4166022932763097E-2</v>
      </c>
    </row>
    <row r="3278" spans="1:9" x14ac:dyDescent="0.25">
      <c r="A3278">
        <v>282</v>
      </c>
      <c r="B3278" t="s">
        <v>1554</v>
      </c>
      <c r="C3278" t="s">
        <v>48</v>
      </c>
      <c r="D3278" t="s">
        <v>42</v>
      </c>
      <c r="E3278">
        <f>2/174</f>
        <v>1.1494252873563218E-2</v>
      </c>
      <c r="F3278">
        <v>251</v>
      </c>
      <c r="G3278">
        <f>LOG(382/(251+1))</f>
        <v>0.18066282213016463</v>
      </c>
      <c r="H3278">
        <f>0.0114942528735632*0.415991521095151</f>
        <v>4.7815117367258657E-3</v>
      </c>
      <c r="I3278">
        <v>4.781511736725883E-3</v>
      </c>
    </row>
    <row r="3279" spans="1:9" x14ac:dyDescent="0.25">
      <c r="A3279">
        <v>282</v>
      </c>
      <c r="B3279" t="s">
        <v>1554</v>
      </c>
      <c r="C3279" t="s">
        <v>48</v>
      </c>
      <c r="D3279" t="s">
        <v>15</v>
      </c>
      <c r="E3279">
        <f>5/174</f>
        <v>2.8735632183908046E-2</v>
      </c>
      <c r="F3279">
        <v>112</v>
      </c>
      <c r="G3279">
        <f>LOG(382/(112+1))</f>
        <v>0.52898491942828896</v>
      </c>
      <c r="H3279">
        <f>0.028735632183908*1.21803278989423</f>
        <v>3.500094223833989E-2</v>
      </c>
      <c r="I3279">
        <v>3.5000942238340077E-2</v>
      </c>
    </row>
    <row r="3280" spans="1:9" x14ac:dyDescent="0.25">
      <c r="A3280">
        <v>282</v>
      </c>
      <c r="B3280" t="s">
        <v>1554</v>
      </c>
      <c r="C3280" t="s">
        <v>48</v>
      </c>
      <c r="D3280" t="s">
        <v>17</v>
      </c>
      <c r="E3280">
        <f>2/174</f>
        <v>1.1494252873563218E-2</v>
      </c>
      <c r="F3280">
        <v>169</v>
      </c>
      <c r="G3280">
        <f>LOG(382/(169+1))</f>
        <v>0.3516144415334348</v>
      </c>
      <c r="H3280">
        <f>0.0114942528735632*0.809622171556313</f>
        <v>9.3060019719116288E-3</v>
      </c>
      <c r="I3280">
        <v>9.3060019719116479E-3</v>
      </c>
    </row>
    <row r="3281" spans="1:9" x14ac:dyDescent="0.25">
      <c r="A3281">
        <v>282</v>
      </c>
      <c r="B3281" t="s">
        <v>1554</v>
      </c>
      <c r="C3281" t="s">
        <v>48</v>
      </c>
      <c r="D3281" t="s">
        <v>1557</v>
      </c>
      <c r="E3281">
        <f>1/174</f>
        <v>5.7471264367816091E-3</v>
      </c>
      <c r="F3281">
        <v>2</v>
      </c>
      <c r="G3281">
        <f>LOG(382/(2+1))</f>
        <v>2.1049421081920463</v>
      </c>
      <c r="H3281">
        <f>0.0057471264367816*4.84680831993846</f>
        <v>2.7855220229531331E-2</v>
      </c>
      <c r="I3281">
        <v>2.7855220229531411E-2</v>
      </c>
    </row>
    <row r="3282" spans="1:9" x14ac:dyDescent="0.25">
      <c r="A3282">
        <v>282</v>
      </c>
      <c r="B3282" t="s">
        <v>1554</v>
      </c>
      <c r="C3282" t="s">
        <v>48</v>
      </c>
      <c r="D3282" t="s">
        <v>19</v>
      </c>
      <c r="E3282">
        <f>2/174</f>
        <v>1.1494252873563218E-2</v>
      </c>
      <c r="F3282">
        <v>220</v>
      </c>
      <c r="G3282">
        <f>LOG(382/(220+1))</f>
        <v>0.23767108922659805</v>
      </c>
      <c r="H3282">
        <f>0.0114942528735632*0.547257907088822</f>
        <v>6.2903207711358751E-3</v>
      </c>
      <c r="I3282">
        <v>6.2903207711358889E-3</v>
      </c>
    </row>
    <row r="3283" spans="1:9" x14ac:dyDescent="0.25">
      <c r="A3283">
        <v>282</v>
      </c>
      <c r="B3283" t="s">
        <v>1554</v>
      </c>
      <c r="C3283" t="s">
        <v>48</v>
      </c>
      <c r="D3283" t="s">
        <v>195</v>
      </c>
      <c r="E3283">
        <f>3/174</f>
        <v>1.7241379310344827E-2</v>
      </c>
      <c r="F3283">
        <v>55</v>
      </c>
      <c r="G3283">
        <f>LOG(382/(55+1))</f>
        <v>0.83387533590550833</v>
      </c>
      <c r="H3283">
        <f>0.0172413793103448*1.92006891787142</f>
        <v>3.3104636515024433E-2</v>
      </c>
      <c r="I3283">
        <v>3.3104636515024592E-2</v>
      </c>
    </row>
    <row r="3284" spans="1:9" x14ac:dyDescent="0.25">
      <c r="A3284">
        <v>282</v>
      </c>
      <c r="B3284" t="s">
        <v>1554</v>
      </c>
      <c r="C3284" t="s">
        <v>48</v>
      </c>
      <c r="D3284" t="s">
        <v>1558</v>
      </c>
      <c r="E3284">
        <f>1/174</f>
        <v>5.7471264367816091E-3</v>
      </c>
      <c r="F3284">
        <v>1</v>
      </c>
      <c r="G3284">
        <f>LOG(382/(1+1))</f>
        <v>2.2810333672477277</v>
      </c>
      <c r="H3284">
        <f>0.0057471264367816*5.25227342804663</f>
        <v>3.0185479471532304E-2</v>
      </c>
      <c r="I3284">
        <v>3.0185479471532359E-2</v>
      </c>
    </row>
    <row r="3285" spans="1:9" x14ac:dyDescent="0.25">
      <c r="A3285">
        <v>282</v>
      </c>
      <c r="B3285" t="s">
        <v>1554</v>
      </c>
      <c r="C3285" t="s">
        <v>48</v>
      </c>
      <c r="D3285" t="s">
        <v>23</v>
      </c>
      <c r="E3285">
        <f>2/174</f>
        <v>1.1494252873563218E-2</v>
      </c>
      <c r="F3285">
        <v>275</v>
      </c>
      <c r="G3285">
        <f>LOG(382/(275+1))</f>
        <v>0.14115428084649101</v>
      </c>
      <c r="H3285">
        <f>0.0114942528735632*0.325019742889425</f>
        <v>3.7358591136715451E-3</v>
      </c>
      <c r="I3285">
        <v>3.7358591136715529E-3</v>
      </c>
    </row>
    <row r="3286" spans="1:9" x14ac:dyDescent="0.25">
      <c r="A3286">
        <v>282</v>
      </c>
      <c r="B3286" t="s">
        <v>1554</v>
      </c>
      <c r="C3286" t="s">
        <v>48</v>
      </c>
      <c r="D3286" t="s">
        <v>105</v>
      </c>
      <c r="E3286">
        <f>1/174</f>
        <v>5.7471264367816091E-3</v>
      </c>
      <c r="F3286">
        <v>122</v>
      </c>
      <c r="G3286">
        <f>LOG(382/(122+1))</f>
        <v>0.49215825147231079</v>
      </c>
      <c r="H3286">
        <f>0.0057471264367816*1.13323625323415</f>
        <v>6.5128520300813111E-3</v>
      </c>
      <c r="I3286">
        <v>6.5128520300813649E-3</v>
      </c>
    </row>
    <row r="3287" spans="1:9" x14ac:dyDescent="0.25">
      <c r="A3287">
        <v>282</v>
      </c>
      <c r="B3287" t="s">
        <v>1554</v>
      </c>
      <c r="C3287" t="s">
        <v>48</v>
      </c>
      <c r="D3287" t="s">
        <v>196</v>
      </c>
      <c r="E3287">
        <f>1/174</f>
        <v>5.7471264367816091E-3</v>
      </c>
      <c r="F3287">
        <v>33</v>
      </c>
      <c r="G3287">
        <f>LOG(382/(33+1))</f>
        <v>1.0505844458694535</v>
      </c>
      <c r="H3287">
        <f>0.0057471264367816*2.41906008399041</f>
        <v>1.3902644160864404E-2</v>
      </c>
      <c r="I3287">
        <v>1.3902644160864451E-2</v>
      </c>
    </row>
    <row r="3288" spans="1:9" x14ac:dyDescent="0.25">
      <c r="A3288">
        <v>282</v>
      </c>
      <c r="B3288" t="s">
        <v>1554</v>
      </c>
      <c r="C3288" t="s">
        <v>48</v>
      </c>
      <c r="D3288" t="s">
        <v>222</v>
      </c>
      <c r="E3288">
        <f>1/174</f>
        <v>5.7471264367816091E-3</v>
      </c>
      <c r="F3288">
        <v>22</v>
      </c>
      <c r="G3288">
        <f>LOG(382/(22+1))</f>
        <v>1.2203355268941158</v>
      </c>
      <c r="H3288">
        <f>0.0057471264367816*2.80992639267742</f>
        <v>1.6149002256766753E-2</v>
      </c>
      <c r="I3288">
        <v>1.6149002256766819E-2</v>
      </c>
    </row>
    <row r="3289" spans="1:9" x14ac:dyDescent="0.25">
      <c r="A3289">
        <v>282</v>
      </c>
      <c r="B3289" t="s">
        <v>1554</v>
      </c>
      <c r="C3289" t="s">
        <v>48</v>
      </c>
      <c r="D3289" t="s">
        <v>1444</v>
      </c>
      <c r="E3289">
        <f>1/174</f>
        <v>5.7471264367816091E-3</v>
      </c>
      <c r="F3289">
        <v>7</v>
      </c>
      <c r="G3289">
        <f>LOG(382/(7+1))</f>
        <v>1.6789733759197651</v>
      </c>
      <c r="H3289">
        <f>0.0057471264367816*3.86597906692673</f>
        <v>2.2218270499578873E-2</v>
      </c>
      <c r="I3289">
        <v>2.221827049957896E-2</v>
      </c>
    </row>
    <row r="3290" spans="1:9" x14ac:dyDescent="0.25">
      <c r="A3290">
        <v>282</v>
      </c>
      <c r="B3290" t="s">
        <v>1554</v>
      </c>
      <c r="C3290" t="s">
        <v>48</v>
      </c>
      <c r="D3290" t="s">
        <v>1525</v>
      </c>
      <c r="E3290">
        <f>1/174</f>
        <v>5.7471264367816091E-3</v>
      </c>
      <c r="F3290">
        <v>8</v>
      </c>
      <c r="G3290">
        <f>LOG(382/(8+1))</f>
        <v>1.6278208534723839</v>
      </c>
      <c r="H3290">
        <f>0.0057471264367816*3.74819603127035</f>
        <v>2.1541356501553699E-2</v>
      </c>
      <c r="I3290">
        <v>2.1541356501553768E-2</v>
      </c>
    </row>
    <row r="3291" spans="1:9" x14ac:dyDescent="0.25">
      <c r="A3291">
        <v>282</v>
      </c>
      <c r="B3291" t="s">
        <v>1554</v>
      </c>
      <c r="C3291" t="s">
        <v>48</v>
      </c>
      <c r="D3291" t="s">
        <v>131</v>
      </c>
      <c r="E3291">
        <f>3/174</f>
        <v>1.7241379310344827E-2</v>
      </c>
      <c r="F3291">
        <v>38</v>
      </c>
      <c r="G3291">
        <f>LOG(382/(38+1))</f>
        <v>0.99099875588520958</v>
      </c>
      <c r="H3291">
        <f>0.0172413793103448*2.28185896247692</f>
        <v>3.9342395904774417E-2</v>
      </c>
      <c r="I3291">
        <v>3.9342395904774639E-2</v>
      </c>
    </row>
    <row r="3292" spans="1:9" x14ac:dyDescent="0.25">
      <c r="A3292">
        <v>282</v>
      </c>
      <c r="B3292" t="s">
        <v>1554</v>
      </c>
      <c r="C3292" t="s">
        <v>48</v>
      </c>
      <c r="D3292" t="s">
        <v>50</v>
      </c>
      <c r="E3292">
        <f>3/174</f>
        <v>1.7241379310344827E-2</v>
      </c>
      <c r="F3292">
        <v>109</v>
      </c>
      <c r="G3292">
        <f>LOG(382/(109+1))</f>
        <v>0.54067067775348365</v>
      </c>
      <c r="H3292">
        <f>0.0172413793103448*1.24494024281415</f>
        <v>2.1464486945071519E-2</v>
      </c>
      <c r="I3292">
        <v>2.146448694507171E-2</v>
      </c>
    </row>
    <row r="3293" spans="1:9" x14ac:dyDescent="0.25">
      <c r="A3293">
        <v>282</v>
      </c>
      <c r="B3293" t="s">
        <v>1554</v>
      </c>
      <c r="C3293" t="s">
        <v>48</v>
      </c>
      <c r="D3293" t="s">
        <v>41</v>
      </c>
      <c r="E3293">
        <f>4/174</f>
        <v>2.2988505747126436E-2</v>
      </c>
      <c r="F3293">
        <v>195</v>
      </c>
      <c r="G3293">
        <f>LOG(382/(195+1))</f>
        <v>0.28980729155523272</v>
      </c>
      <c r="H3293">
        <f>0.0229885057471264*0.667305949376058</f>
        <v>1.5340366652323148E-2</v>
      </c>
      <c r="I3293">
        <v>1.5340366652323171E-2</v>
      </c>
    </row>
    <row r="3294" spans="1:9" x14ac:dyDescent="0.25">
      <c r="A3294">
        <v>282</v>
      </c>
      <c r="B3294" t="s">
        <v>1554</v>
      </c>
      <c r="C3294" t="s">
        <v>48</v>
      </c>
      <c r="D3294" t="s">
        <v>190</v>
      </c>
      <c r="E3294">
        <f>1/174</f>
        <v>5.7471264367816091E-3</v>
      </c>
      <c r="F3294">
        <v>23</v>
      </c>
      <c r="G3294">
        <f>LOG(382/(23+1))</f>
        <v>1.2018521212001028</v>
      </c>
      <c r="H3294">
        <f>0.0057471264367816*2.76736677825862</f>
        <v>1.5904406771601241E-2</v>
      </c>
      <c r="I3294">
        <v>1.590440677160132E-2</v>
      </c>
    </row>
    <row r="3295" spans="1:9" x14ac:dyDescent="0.25">
      <c r="A3295">
        <v>282</v>
      </c>
      <c r="B3295" t="s">
        <v>1554</v>
      </c>
      <c r="C3295" t="s">
        <v>48</v>
      </c>
      <c r="D3295" t="s">
        <v>189</v>
      </c>
      <c r="E3295">
        <f>2/174</f>
        <v>1.1494252873563218E-2</v>
      </c>
      <c r="F3295">
        <v>27</v>
      </c>
      <c r="G3295">
        <f>LOG(382/(27+1))</f>
        <v>1.1349053315694895</v>
      </c>
      <c r="H3295">
        <f>0.0114942528735632*2.61321609843137</f>
        <v>3.0036966648636389E-2</v>
      </c>
      <c r="I3295">
        <v>3.0036966648636448E-2</v>
      </c>
    </row>
    <row r="3296" spans="1:9" x14ac:dyDescent="0.25">
      <c r="A3296">
        <v>282</v>
      </c>
      <c r="B3296" t="s">
        <v>1554</v>
      </c>
      <c r="C3296" t="s">
        <v>48</v>
      </c>
      <c r="D3296" t="s">
        <v>924</v>
      </c>
      <c r="E3296">
        <f t="shared" ref="E3296:E3303" si="147">1/174</f>
        <v>5.7471264367816091E-3</v>
      </c>
      <c r="F3296">
        <v>13</v>
      </c>
      <c r="G3296">
        <f>LOG(382/(13+1))</f>
        <v>1.4359353272334707</v>
      </c>
      <c r="H3296">
        <f>0.0057471264367816*3.30636327899131</f>
        <v>1.9002087810294853E-2</v>
      </c>
      <c r="I3296">
        <v>1.9002087810294919E-2</v>
      </c>
    </row>
    <row r="3297" spans="1:9" x14ac:dyDescent="0.25">
      <c r="A3297">
        <v>282</v>
      </c>
      <c r="B3297" t="s">
        <v>1554</v>
      </c>
      <c r="C3297" t="s">
        <v>48</v>
      </c>
      <c r="D3297" t="s">
        <v>418</v>
      </c>
      <c r="E3297">
        <f t="shared" si="147"/>
        <v>5.7471264367816091E-3</v>
      </c>
      <c r="F3297">
        <v>11</v>
      </c>
      <c r="G3297">
        <f>LOG(382/(11+1))</f>
        <v>1.5028821168640838</v>
      </c>
      <c r="H3297">
        <f>0.0057471264367816*3.46051395881857</f>
        <v>1.9888011257577956E-2</v>
      </c>
      <c r="I3297">
        <v>1.9888011257578019E-2</v>
      </c>
    </row>
    <row r="3298" spans="1:9" x14ac:dyDescent="0.25">
      <c r="A3298">
        <v>282</v>
      </c>
      <c r="B3298" t="s">
        <v>1554</v>
      </c>
      <c r="C3298" t="s">
        <v>48</v>
      </c>
      <c r="D3298" t="s">
        <v>1021</v>
      </c>
      <c r="E3298">
        <f t="shared" si="147"/>
        <v>5.7471264367816091E-3</v>
      </c>
      <c r="F3298">
        <v>6</v>
      </c>
      <c r="G3298">
        <f>LOG(382/(6+1))</f>
        <v>1.736965322897452</v>
      </c>
      <c r="H3298">
        <f>0.0057471264367816*3.99951045955126</f>
        <v>2.2985692296271572E-2</v>
      </c>
      <c r="I3298">
        <v>2.298569229627162E-2</v>
      </c>
    </row>
    <row r="3299" spans="1:9" x14ac:dyDescent="0.25">
      <c r="A3299">
        <v>282</v>
      </c>
      <c r="B3299" t="s">
        <v>1554</v>
      </c>
      <c r="C3299" t="s">
        <v>48</v>
      </c>
      <c r="D3299" t="s">
        <v>1131</v>
      </c>
      <c r="E3299">
        <f t="shared" si="147"/>
        <v>5.7471264367816091E-3</v>
      </c>
      <c r="F3299">
        <v>6</v>
      </c>
      <c r="G3299">
        <f>LOG(382/(6+1))</f>
        <v>1.736965322897452</v>
      </c>
      <c r="H3299">
        <f>0.0057471264367816*3.99951045955126</f>
        <v>2.2985692296271572E-2</v>
      </c>
      <c r="I3299">
        <v>2.298569229627162E-2</v>
      </c>
    </row>
    <row r="3300" spans="1:9" x14ac:dyDescent="0.25">
      <c r="A3300">
        <v>282</v>
      </c>
      <c r="B3300" t="s">
        <v>1554</v>
      </c>
      <c r="C3300" t="s">
        <v>48</v>
      </c>
      <c r="D3300" t="s">
        <v>1018</v>
      </c>
      <c r="E3300">
        <f t="shared" si="147"/>
        <v>5.7471264367816091E-3</v>
      </c>
      <c r="F3300">
        <v>6</v>
      </c>
      <c r="G3300">
        <f>LOG(382/(6+1))</f>
        <v>1.736965322897452</v>
      </c>
      <c r="H3300">
        <f>0.0057471264367816*3.99951045955126</f>
        <v>2.2985692296271572E-2</v>
      </c>
      <c r="I3300">
        <v>2.298569229627162E-2</v>
      </c>
    </row>
    <row r="3301" spans="1:9" x14ac:dyDescent="0.25">
      <c r="A3301">
        <v>282</v>
      </c>
      <c r="B3301" t="s">
        <v>1554</v>
      </c>
      <c r="C3301" t="s">
        <v>48</v>
      </c>
      <c r="D3301" t="s">
        <v>739</v>
      </c>
      <c r="E3301">
        <f t="shared" si="147"/>
        <v>5.7471264367816091E-3</v>
      </c>
      <c r="F3301">
        <v>24</v>
      </c>
      <c r="G3301">
        <f>LOG(382/(24+1))</f>
        <v>1.1841233542396712</v>
      </c>
      <c r="H3301">
        <f>0.0057471264367816*2.72654478373837</f>
        <v>1.5669797607691754E-2</v>
      </c>
      <c r="I3301">
        <v>1.5669797607691809E-2</v>
      </c>
    </row>
    <row r="3302" spans="1:9" x14ac:dyDescent="0.25">
      <c r="A3302">
        <v>282</v>
      </c>
      <c r="B3302" t="s">
        <v>1554</v>
      </c>
      <c r="C3302" t="s">
        <v>48</v>
      </c>
      <c r="D3302" t="s">
        <v>1559</v>
      </c>
      <c r="E3302">
        <f t="shared" si="147"/>
        <v>5.7471264367816091E-3</v>
      </c>
      <c r="F3302">
        <v>1</v>
      </c>
      <c r="G3302">
        <f>LOG(382/(1+1))</f>
        <v>2.2810333672477277</v>
      </c>
      <c r="H3302">
        <f>0.0057471264367816*5.25227342804663</f>
        <v>3.0185479471532304E-2</v>
      </c>
      <c r="I3302">
        <v>3.0185479471532359E-2</v>
      </c>
    </row>
    <row r="3303" spans="1:9" x14ac:dyDescent="0.25">
      <c r="A3303">
        <v>282</v>
      </c>
      <c r="B3303" t="s">
        <v>1554</v>
      </c>
      <c r="C3303" t="s">
        <v>48</v>
      </c>
      <c r="D3303" t="s">
        <v>86</v>
      </c>
      <c r="E3303">
        <f t="shared" si="147"/>
        <v>5.7471264367816091E-3</v>
      </c>
      <c r="F3303">
        <v>8</v>
      </c>
      <c r="G3303">
        <f>LOG(382/(8+1))</f>
        <v>1.6278208534723839</v>
      </c>
      <c r="H3303">
        <f>0.0057471264367816*3.74819603127035</f>
        <v>2.1541356501553699E-2</v>
      </c>
      <c r="I3303">
        <v>2.1541356501553768E-2</v>
      </c>
    </row>
    <row r="3304" spans="1:9" x14ac:dyDescent="0.25">
      <c r="A3304">
        <v>282</v>
      </c>
      <c r="B3304" t="s">
        <v>1554</v>
      </c>
      <c r="C3304" t="s">
        <v>48</v>
      </c>
      <c r="D3304" t="s">
        <v>54</v>
      </c>
      <c r="E3304">
        <f>2/174</f>
        <v>1.1494252873563218E-2</v>
      </c>
      <c r="F3304">
        <v>25</v>
      </c>
      <c r="G3304">
        <f>LOG(382/(25+1))</f>
        <v>1.1670900149408907</v>
      </c>
      <c r="H3304">
        <f>0.0114942528735632*2.68732407058509</f>
        <v>3.0888782420518224E-2</v>
      </c>
      <c r="I3304">
        <v>3.0888782420518311E-2</v>
      </c>
    </row>
    <row r="3305" spans="1:9" x14ac:dyDescent="0.25">
      <c r="A3305">
        <v>282</v>
      </c>
      <c r="B3305" t="s">
        <v>1554</v>
      </c>
      <c r="C3305" t="s">
        <v>48</v>
      </c>
      <c r="D3305" t="s">
        <v>666</v>
      </c>
      <c r="E3305">
        <f>3/174</f>
        <v>1.7241379310344827E-2</v>
      </c>
      <c r="F3305">
        <v>9</v>
      </c>
      <c r="G3305">
        <f>LOG(382/(9+1))</f>
        <v>1.5820633629117087</v>
      </c>
      <c r="H3305">
        <f>0.0172413793103448*3.64283551561252</f>
        <v>6.2807508889870939E-2</v>
      </c>
      <c r="I3305">
        <v>6.2807508889871189E-2</v>
      </c>
    </row>
    <row r="3306" spans="1:9" x14ac:dyDescent="0.25">
      <c r="A3306">
        <v>282</v>
      </c>
      <c r="B3306" t="s">
        <v>1554</v>
      </c>
      <c r="C3306" t="s">
        <v>48</v>
      </c>
      <c r="D3306" t="s">
        <v>695</v>
      </c>
      <c r="E3306">
        <f>1/174</f>
        <v>5.7471264367816091E-3</v>
      </c>
      <c r="F3306">
        <v>13</v>
      </c>
      <c r="G3306">
        <f>LOG(382/(13+1))</f>
        <v>1.4359353272334707</v>
      </c>
      <c r="H3306">
        <f>0.0057471264367816*3.30636327899131</f>
        <v>1.9002087810294853E-2</v>
      </c>
      <c r="I3306">
        <v>1.9002087810294919E-2</v>
      </c>
    </row>
    <row r="3307" spans="1:9" x14ac:dyDescent="0.25">
      <c r="A3307">
        <v>282</v>
      </c>
      <c r="B3307" t="s">
        <v>1554</v>
      </c>
      <c r="C3307" t="s">
        <v>48</v>
      </c>
      <c r="D3307" t="s">
        <v>262</v>
      </c>
      <c r="E3307">
        <f>1/174</f>
        <v>5.7471264367816091E-3</v>
      </c>
      <c r="F3307">
        <v>13</v>
      </c>
      <c r="G3307">
        <f>LOG(382/(13+1))</f>
        <v>1.4359353272334707</v>
      </c>
      <c r="H3307">
        <f>0.0057471264367816*3.30636327899131</f>
        <v>1.9002087810294853E-2</v>
      </c>
      <c r="I3307">
        <v>1.9002087810294919E-2</v>
      </c>
    </row>
    <row r="3308" spans="1:9" x14ac:dyDescent="0.25">
      <c r="A3308">
        <v>282</v>
      </c>
      <c r="B3308" t="s">
        <v>1554</v>
      </c>
      <c r="C3308" t="s">
        <v>48</v>
      </c>
      <c r="D3308" t="s">
        <v>1560</v>
      </c>
      <c r="E3308">
        <f>1/174</f>
        <v>5.7471264367816091E-3</v>
      </c>
      <c r="F3308">
        <v>1</v>
      </c>
      <c r="G3308">
        <f>LOG(382/(1+1))</f>
        <v>2.2810333672477277</v>
      </c>
      <c r="H3308">
        <f>0.0057471264367816*5.25227342804663</f>
        <v>3.0185479471532304E-2</v>
      </c>
      <c r="I3308">
        <v>3.0185479471532359E-2</v>
      </c>
    </row>
    <row r="3309" spans="1:9" x14ac:dyDescent="0.25">
      <c r="A3309">
        <v>282</v>
      </c>
      <c r="B3309" t="s">
        <v>1554</v>
      </c>
      <c r="C3309" t="s">
        <v>48</v>
      </c>
      <c r="D3309" t="s">
        <v>187</v>
      </c>
      <c r="E3309">
        <f>1/174</f>
        <v>5.7471264367816091E-3</v>
      </c>
      <c r="F3309">
        <v>21</v>
      </c>
      <c r="G3309">
        <f>LOG(382/(21+1))</f>
        <v>1.2396406820895025</v>
      </c>
      <c r="H3309">
        <f>0.0057471264367816*2.85437815524825</f>
        <v>1.6404472156599108E-2</v>
      </c>
      <c r="I3309">
        <v>1.6404472156599188E-2</v>
      </c>
    </row>
    <row r="3310" spans="1:9" x14ac:dyDescent="0.25">
      <c r="A3310">
        <v>282</v>
      </c>
      <c r="B3310" t="s">
        <v>1554</v>
      </c>
      <c r="C3310" t="s">
        <v>48</v>
      </c>
      <c r="D3310" t="s">
        <v>144</v>
      </c>
      <c r="E3310">
        <f>2/174</f>
        <v>1.1494252873563218E-2</v>
      </c>
      <c r="F3310">
        <v>105</v>
      </c>
      <c r="G3310">
        <f>LOG(382/(105+1))</f>
        <v>0.55675749764693849</v>
      </c>
      <c r="H3310">
        <f>0.0114942528735632*1.2819815144945</f>
        <v>1.4735419706833308E-2</v>
      </c>
      <c r="I3310">
        <v>1.473541970683342E-2</v>
      </c>
    </row>
    <row r="3311" spans="1:9" x14ac:dyDescent="0.25">
      <c r="A3311">
        <v>282</v>
      </c>
      <c r="B3311" t="s">
        <v>1554</v>
      </c>
      <c r="C3311" t="s">
        <v>48</v>
      </c>
      <c r="D3311" t="s">
        <v>1561</v>
      </c>
      <c r="E3311">
        <f t="shared" ref="E3311:E3316" si="148">1/174</f>
        <v>5.7471264367816091E-3</v>
      </c>
      <c r="F3311">
        <v>1</v>
      </c>
      <c r="G3311">
        <f>LOG(382/(1+1))</f>
        <v>2.2810333672477277</v>
      </c>
      <c r="H3311">
        <f>0.0057471264367816*5.25227342804663</f>
        <v>3.0185479471532304E-2</v>
      </c>
      <c r="I3311">
        <v>3.0185479471532359E-2</v>
      </c>
    </row>
    <row r="3312" spans="1:9" x14ac:dyDescent="0.25">
      <c r="A3312">
        <v>282</v>
      </c>
      <c r="B3312" t="s">
        <v>1554</v>
      </c>
      <c r="C3312" t="s">
        <v>48</v>
      </c>
      <c r="D3312" t="s">
        <v>22</v>
      </c>
      <c r="E3312">
        <f t="shared" si="148"/>
        <v>5.7471264367816091E-3</v>
      </c>
      <c r="F3312">
        <v>259</v>
      </c>
      <c r="G3312">
        <f>LOG(382/(259+1))</f>
        <v>0.16709001494089079</v>
      </c>
      <c r="H3312">
        <f>0.0057471264367816*0.384738977591047</f>
        <v>2.2111435493738299E-3</v>
      </c>
      <c r="I3312">
        <v>2.211143549373836E-3</v>
      </c>
    </row>
    <row r="3313" spans="1:9" x14ac:dyDescent="0.25">
      <c r="A3313">
        <v>282</v>
      </c>
      <c r="B3313" t="s">
        <v>1554</v>
      </c>
      <c r="C3313" t="s">
        <v>48</v>
      </c>
      <c r="D3313" t="s">
        <v>1562</v>
      </c>
      <c r="E3313">
        <f t="shared" si="148"/>
        <v>5.7471264367816091E-3</v>
      </c>
      <c r="F3313">
        <v>1</v>
      </c>
      <c r="G3313">
        <f>LOG(382/(1+1))</f>
        <v>2.2810333672477277</v>
      </c>
      <c r="H3313">
        <f>0.0057471264367816*5.25227342804663</f>
        <v>3.0185479471532304E-2</v>
      </c>
      <c r="I3313">
        <v>3.0185479471532359E-2</v>
      </c>
    </row>
    <row r="3314" spans="1:9" x14ac:dyDescent="0.25">
      <c r="A3314">
        <v>282</v>
      </c>
      <c r="B3314" t="s">
        <v>1554</v>
      </c>
      <c r="C3314" t="s">
        <v>48</v>
      </c>
      <c r="D3314" t="s">
        <v>339</v>
      </c>
      <c r="E3314">
        <f t="shared" si="148"/>
        <v>5.7471264367816091E-3</v>
      </c>
      <c r="F3314">
        <v>66</v>
      </c>
      <c r="G3314">
        <f>LOG(382/(66+1))</f>
        <v>0.75598856021088234</v>
      </c>
      <c r="H3314">
        <f>0.0057471264367816*1.7407279892156</f>
        <v>1.0004183846066651E-2</v>
      </c>
      <c r="I3314">
        <v>1.000418384606672E-2</v>
      </c>
    </row>
    <row r="3315" spans="1:9" x14ac:dyDescent="0.25">
      <c r="A3315">
        <v>282</v>
      </c>
      <c r="B3315" t="s">
        <v>1554</v>
      </c>
      <c r="C3315" t="s">
        <v>48</v>
      </c>
      <c r="D3315" t="s">
        <v>591</v>
      </c>
      <c r="E3315">
        <f t="shared" si="148"/>
        <v>5.7471264367816091E-3</v>
      </c>
      <c r="F3315">
        <v>21</v>
      </c>
      <c r="G3315">
        <f>LOG(382/(21+1))</f>
        <v>1.2396406820895025</v>
      </c>
      <c r="H3315">
        <f>0.0057471264367816*2.85437815524825</f>
        <v>1.6404472156599108E-2</v>
      </c>
      <c r="I3315">
        <v>1.6404472156599188E-2</v>
      </c>
    </row>
    <row r="3316" spans="1:9" x14ac:dyDescent="0.25">
      <c r="A3316">
        <v>282</v>
      </c>
      <c r="B3316" t="s">
        <v>1554</v>
      </c>
      <c r="C3316" t="s">
        <v>48</v>
      </c>
      <c r="D3316" t="s">
        <v>1433</v>
      </c>
      <c r="E3316">
        <f t="shared" si="148"/>
        <v>5.7471264367816091E-3</v>
      </c>
      <c r="F3316">
        <v>21</v>
      </c>
      <c r="G3316">
        <f>LOG(382/(21+1))</f>
        <v>1.2396406820895025</v>
      </c>
      <c r="H3316">
        <f>0.0057471264367816*2.85437815524825</f>
        <v>1.6404472156599108E-2</v>
      </c>
      <c r="I3316">
        <v>1.6404472156599188E-2</v>
      </c>
    </row>
    <row r="3317" spans="1:9" x14ac:dyDescent="0.25">
      <c r="A3317">
        <v>282</v>
      </c>
      <c r="B3317" t="s">
        <v>1554</v>
      </c>
      <c r="C3317" t="s">
        <v>48</v>
      </c>
      <c r="D3317" t="s">
        <v>432</v>
      </c>
      <c r="E3317">
        <f>2/174</f>
        <v>1.1494252873563218E-2</v>
      </c>
      <c r="F3317">
        <v>67</v>
      </c>
      <c r="G3317">
        <f>LOG(382/(67+1))</f>
        <v>0.7495544502054724</v>
      </c>
      <c r="H3317">
        <f>0.0114942528735632*1.72591290343046</f>
        <v>1.983807934977537E-2</v>
      </c>
      <c r="I3317">
        <v>1.9838079349775498E-2</v>
      </c>
    </row>
    <row r="3318" spans="1:9" x14ac:dyDescent="0.25">
      <c r="A3318">
        <v>282</v>
      </c>
      <c r="B3318" t="s">
        <v>1554</v>
      </c>
      <c r="C3318" t="s">
        <v>48</v>
      </c>
      <c r="D3318" t="s">
        <v>814</v>
      </c>
      <c r="E3318">
        <f>1/174</f>
        <v>5.7471264367816091E-3</v>
      </c>
      <c r="F3318">
        <v>18</v>
      </c>
      <c r="G3318">
        <f>LOG(382/(18+1))</f>
        <v>1.3033097619588798</v>
      </c>
      <c r="H3318">
        <f>0.0057471264367816*3.00098162944013</f>
        <v>1.7247020858851294E-2</v>
      </c>
      <c r="I3318">
        <v>1.7247020858851349E-2</v>
      </c>
    </row>
    <row r="3319" spans="1:9" x14ac:dyDescent="0.25">
      <c r="A3319">
        <v>282</v>
      </c>
      <c r="B3319" t="s">
        <v>1554</v>
      </c>
      <c r="C3319" t="s">
        <v>48</v>
      </c>
      <c r="D3319" t="s">
        <v>1401</v>
      </c>
      <c r="E3319">
        <f>1/174</f>
        <v>5.7471264367816091E-3</v>
      </c>
      <c r="F3319">
        <v>16</v>
      </c>
      <c r="G3319">
        <f>LOG(382/(16+1))</f>
        <v>1.3516144415334348</v>
      </c>
      <c r="H3319">
        <f>0.0057471264367816*3.11220726455035</f>
        <v>1.788624864684106E-2</v>
      </c>
      <c r="I3319">
        <v>1.788624864684114E-2</v>
      </c>
    </row>
    <row r="3320" spans="1:9" x14ac:dyDescent="0.25">
      <c r="A3320">
        <v>282</v>
      </c>
      <c r="B3320" t="s">
        <v>1554</v>
      </c>
      <c r="C3320" t="s">
        <v>48</v>
      </c>
      <c r="D3320" t="s">
        <v>224</v>
      </c>
      <c r="E3320">
        <f>3/174</f>
        <v>1.7241379310344827E-2</v>
      </c>
      <c r="F3320">
        <v>16</v>
      </c>
      <c r="G3320">
        <f>LOG(382/(16+1))</f>
        <v>1.3516144415334348</v>
      </c>
      <c r="H3320">
        <f>0.0172413793103448*3.11220726455035</f>
        <v>5.3658745940523188E-2</v>
      </c>
      <c r="I3320">
        <v>5.3658745940523431E-2</v>
      </c>
    </row>
    <row r="3321" spans="1:9" x14ac:dyDescent="0.25">
      <c r="A3321">
        <v>282</v>
      </c>
      <c r="B3321" t="s">
        <v>1554</v>
      </c>
      <c r="C3321" t="s">
        <v>48</v>
      </c>
      <c r="D3321" t="s">
        <v>1437</v>
      </c>
      <c r="E3321">
        <f>1/174</f>
        <v>5.7471264367816091E-3</v>
      </c>
      <c r="F3321">
        <v>4</v>
      </c>
      <c r="G3321">
        <f>LOG(382/(4+1))</f>
        <v>1.8830933585756899</v>
      </c>
      <c r="H3321">
        <f>0.0057471264367816*4.33598269617247</f>
        <v>2.4919440782600364E-2</v>
      </c>
      <c r="I3321">
        <v>2.491944078260043E-2</v>
      </c>
    </row>
    <row r="3322" spans="1:9" x14ac:dyDescent="0.25">
      <c r="A3322">
        <v>282</v>
      </c>
      <c r="B3322" t="s">
        <v>1554</v>
      </c>
      <c r="C3322" t="s">
        <v>48</v>
      </c>
      <c r="D3322" t="s">
        <v>1438</v>
      </c>
      <c r="E3322">
        <f>1/174</f>
        <v>5.7471264367816091E-3</v>
      </c>
      <c r="F3322">
        <v>2</v>
      </c>
      <c r="G3322">
        <f>LOG(382/(2+1))</f>
        <v>2.1049421081920463</v>
      </c>
      <c r="H3322">
        <f>0.0057471264367816*4.84680831993846</f>
        <v>2.7855220229531331E-2</v>
      </c>
      <c r="I3322">
        <v>2.7855220229531411E-2</v>
      </c>
    </row>
    <row r="3323" spans="1:9" x14ac:dyDescent="0.25">
      <c r="A3323">
        <v>282</v>
      </c>
      <c r="B3323" t="s">
        <v>1554</v>
      </c>
      <c r="C3323" t="s">
        <v>48</v>
      </c>
      <c r="D3323" t="s">
        <v>91</v>
      </c>
      <c r="E3323">
        <f>1/174</f>
        <v>5.7471264367816091E-3</v>
      </c>
      <c r="F3323">
        <v>33</v>
      </c>
      <c r="G3323">
        <f>LOG(382/(33+1))</f>
        <v>1.0505844458694535</v>
      </c>
      <c r="H3323">
        <f>0.0057471264367816*2.41906008399041</f>
        <v>1.3902644160864404E-2</v>
      </c>
      <c r="I3323">
        <v>1.3902644160864451E-2</v>
      </c>
    </row>
    <row r="3324" spans="1:9" x14ac:dyDescent="0.25">
      <c r="A3324">
        <v>282</v>
      </c>
      <c r="B3324" t="s">
        <v>1554</v>
      </c>
      <c r="C3324" t="s">
        <v>48</v>
      </c>
      <c r="D3324" t="s">
        <v>452</v>
      </c>
      <c r="E3324">
        <f>2/174</f>
        <v>1.1494252873563218E-2</v>
      </c>
      <c r="F3324">
        <v>2</v>
      </c>
      <c r="G3324">
        <f>LOG(382/(2+1))</f>
        <v>2.1049421081920463</v>
      </c>
      <c r="H3324">
        <f>0.0114942528735632*4.84680831993846</f>
        <v>5.5710440459062663E-2</v>
      </c>
      <c r="I3324">
        <v>5.5710440459062822E-2</v>
      </c>
    </row>
    <row r="3325" spans="1:9" x14ac:dyDescent="0.25">
      <c r="A3325">
        <v>282</v>
      </c>
      <c r="B3325" t="s">
        <v>1554</v>
      </c>
      <c r="C3325" t="s">
        <v>48</v>
      </c>
      <c r="D3325" t="s">
        <v>211</v>
      </c>
      <c r="E3325">
        <f>1/174</f>
        <v>5.7471264367816091E-3</v>
      </c>
      <c r="F3325">
        <v>10</v>
      </c>
      <c r="G3325">
        <f>LOG(382/(10+1))</f>
        <v>1.5406706777534838</v>
      </c>
      <c r="H3325">
        <f>0.0057471264367816*3.5475253358082</f>
        <v>2.0388076642575827E-2</v>
      </c>
      <c r="I3325">
        <v>2.038807664257589E-2</v>
      </c>
    </row>
    <row r="3326" spans="1:9" x14ac:dyDescent="0.25">
      <c r="A3326">
        <v>282</v>
      </c>
      <c r="B3326" t="s">
        <v>1554</v>
      </c>
      <c r="C3326" t="s">
        <v>48</v>
      </c>
      <c r="D3326" t="s">
        <v>1563</v>
      </c>
      <c r="E3326">
        <f>1/174</f>
        <v>5.7471264367816091E-3</v>
      </c>
      <c r="F3326">
        <v>3</v>
      </c>
      <c r="G3326">
        <f>LOG(382/(3+1))</f>
        <v>1.9800033715837464</v>
      </c>
      <c r="H3326">
        <f>0.0057471264367816*4.55912624748668</f>
        <v>2.6201874985555589E-2</v>
      </c>
      <c r="I3326">
        <v>2.6201874985555661E-2</v>
      </c>
    </row>
    <row r="3327" spans="1:9" x14ac:dyDescent="0.25">
      <c r="A3327">
        <v>282</v>
      </c>
      <c r="B3327" t="s">
        <v>1554</v>
      </c>
      <c r="C3327" t="s">
        <v>48</v>
      </c>
      <c r="D3327" t="s">
        <v>1564</v>
      </c>
      <c r="E3327">
        <f>1/174</f>
        <v>5.7471264367816091E-3</v>
      </c>
      <c r="F3327">
        <v>1</v>
      </c>
      <c r="G3327">
        <f>LOG(382/(1+1))</f>
        <v>2.2810333672477277</v>
      </c>
      <c r="H3327">
        <f>0.0057471264367816*5.25227342804663</f>
        <v>3.0185479471532304E-2</v>
      </c>
      <c r="I3327">
        <v>3.0185479471532359E-2</v>
      </c>
    </row>
    <row r="3328" spans="1:9" x14ac:dyDescent="0.25">
      <c r="A3328">
        <v>282</v>
      </c>
      <c r="B3328" t="s">
        <v>1554</v>
      </c>
      <c r="C3328" t="s">
        <v>48</v>
      </c>
      <c r="D3328" t="s">
        <v>406</v>
      </c>
      <c r="E3328">
        <f>2/174</f>
        <v>1.1494252873563218E-2</v>
      </c>
      <c r="F3328">
        <v>10</v>
      </c>
      <c r="G3328">
        <f>LOG(382/(10+1))</f>
        <v>1.5406706777534838</v>
      </c>
      <c r="H3328">
        <f>0.0114942528735632*3.5475253358082</f>
        <v>4.0776153285151655E-2</v>
      </c>
      <c r="I3328">
        <v>4.077615328515178E-2</v>
      </c>
    </row>
    <row r="3329" spans="1:9" x14ac:dyDescent="0.25">
      <c r="A3329">
        <v>282</v>
      </c>
      <c r="B3329" t="s">
        <v>1554</v>
      </c>
      <c r="C3329" t="s">
        <v>48</v>
      </c>
      <c r="D3329" t="s">
        <v>1565</v>
      </c>
      <c r="E3329">
        <f t="shared" ref="E3329:E3339" si="149">1/174</f>
        <v>5.7471264367816091E-3</v>
      </c>
      <c r="F3329">
        <v>1</v>
      </c>
      <c r="G3329">
        <f>LOG(382/(1+1))</f>
        <v>2.2810333672477277</v>
      </c>
      <c r="H3329">
        <f>0.0057471264367816*5.25227342804663</f>
        <v>3.0185479471532304E-2</v>
      </c>
      <c r="I3329">
        <v>3.0185479471532359E-2</v>
      </c>
    </row>
    <row r="3330" spans="1:9" x14ac:dyDescent="0.25">
      <c r="A3330">
        <v>282</v>
      </c>
      <c r="B3330" t="s">
        <v>1554</v>
      </c>
      <c r="C3330" t="s">
        <v>48</v>
      </c>
      <c r="D3330" t="s">
        <v>617</v>
      </c>
      <c r="E3330">
        <f t="shared" si="149"/>
        <v>5.7471264367816091E-3</v>
      </c>
      <c r="F3330">
        <v>4</v>
      </c>
      <c r="G3330">
        <f>LOG(382/(4+1))</f>
        <v>1.8830933585756899</v>
      </c>
      <c r="H3330">
        <f>0.0057471264367816*4.33598269617247</f>
        <v>2.4919440782600364E-2</v>
      </c>
      <c r="I3330">
        <v>2.491944078260043E-2</v>
      </c>
    </row>
    <row r="3331" spans="1:9" x14ac:dyDescent="0.25">
      <c r="A3331">
        <v>282</v>
      </c>
      <c r="B3331" t="s">
        <v>1554</v>
      </c>
      <c r="C3331" t="s">
        <v>48</v>
      </c>
      <c r="D3331" t="s">
        <v>230</v>
      </c>
      <c r="E3331">
        <f t="shared" si="149"/>
        <v>5.7471264367816091E-3</v>
      </c>
      <c r="F3331">
        <v>9</v>
      </c>
      <c r="G3331">
        <f>LOG(382/(9+1))</f>
        <v>1.5820633629117087</v>
      </c>
      <c r="H3331">
        <f>0.0057471264367816*3.64283551561252</f>
        <v>2.0935836296623645E-2</v>
      </c>
      <c r="I3331">
        <v>2.0935836296623728E-2</v>
      </c>
    </row>
    <row r="3332" spans="1:9" x14ac:dyDescent="0.25">
      <c r="A3332">
        <v>282</v>
      </c>
      <c r="B3332" t="s">
        <v>1554</v>
      </c>
      <c r="C3332" t="s">
        <v>48</v>
      </c>
      <c r="D3332" t="s">
        <v>121</v>
      </c>
      <c r="E3332">
        <f t="shared" si="149"/>
        <v>5.7471264367816091E-3</v>
      </c>
      <c r="F3332">
        <v>22</v>
      </c>
      <c r="G3332">
        <f>LOG(382/(22+1))</f>
        <v>1.2203355268941158</v>
      </c>
      <c r="H3332">
        <f>0.0057471264367816*2.80992639267742</f>
        <v>1.6149002256766753E-2</v>
      </c>
      <c r="I3332">
        <v>1.6149002256766819E-2</v>
      </c>
    </row>
    <row r="3333" spans="1:9" x14ac:dyDescent="0.25">
      <c r="A3333">
        <v>282</v>
      </c>
      <c r="B3333" t="s">
        <v>1554</v>
      </c>
      <c r="C3333" t="s">
        <v>48</v>
      </c>
      <c r="D3333" t="s">
        <v>88</v>
      </c>
      <c r="E3333">
        <f t="shared" si="149"/>
        <v>5.7471264367816091E-3</v>
      </c>
      <c r="F3333">
        <v>13</v>
      </c>
      <c r="G3333">
        <f>LOG(382/(13+1))</f>
        <v>1.4359353272334707</v>
      </c>
      <c r="H3333">
        <f>0.0057471264367816*3.30636327899131</f>
        <v>1.9002087810294853E-2</v>
      </c>
      <c r="I3333">
        <v>1.9002087810294919E-2</v>
      </c>
    </row>
    <row r="3334" spans="1:9" x14ac:dyDescent="0.25">
      <c r="A3334">
        <v>282</v>
      </c>
      <c r="B3334" t="s">
        <v>1554</v>
      </c>
      <c r="C3334" t="s">
        <v>48</v>
      </c>
      <c r="D3334" t="s">
        <v>98</v>
      </c>
      <c r="E3334">
        <f t="shared" si="149"/>
        <v>5.7471264367816091E-3</v>
      </c>
      <c r="F3334">
        <v>56</v>
      </c>
      <c r="G3334">
        <f>LOG(382/(56+1))</f>
        <v>0.82618850723921733</v>
      </c>
      <c r="H3334">
        <f>0.0057471264367816*1.90236934077202</f>
        <v>1.093315713087366E-2</v>
      </c>
      <c r="I3334">
        <v>1.093315713087371E-2</v>
      </c>
    </row>
    <row r="3335" spans="1:9" x14ac:dyDescent="0.25">
      <c r="A3335">
        <v>282</v>
      </c>
      <c r="B3335" t="s">
        <v>1554</v>
      </c>
      <c r="C3335" t="s">
        <v>48</v>
      </c>
      <c r="D3335" t="s">
        <v>87</v>
      </c>
      <c r="E3335">
        <f t="shared" si="149"/>
        <v>5.7471264367816091E-3</v>
      </c>
      <c r="F3335">
        <v>12</v>
      </c>
      <c r="G3335">
        <f>LOG(382/(12+1))</f>
        <v>1.468120010604872</v>
      </c>
      <c r="H3335">
        <f>0.0057471264367816*3.38047125114503</f>
        <v>1.9427995696235774E-2</v>
      </c>
      <c r="I3335">
        <v>1.942799569623585E-2</v>
      </c>
    </row>
    <row r="3336" spans="1:9" x14ac:dyDescent="0.25">
      <c r="A3336">
        <v>282</v>
      </c>
      <c r="B3336" t="s">
        <v>1554</v>
      </c>
      <c r="C3336" t="s">
        <v>48</v>
      </c>
      <c r="D3336" t="s">
        <v>961</v>
      </c>
      <c r="E3336">
        <f t="shared" si="149"/>
        <v>5.7471264367816091E-3</v>
      </c>
      <c r="F3336">
        <v>5</v>
      </c>
      <c r="G3336">
        <f>LOG(382/(5+1))</f>
        <v>1.803912112528065</v>
      </c>
      <c r="H3336">
        <f>0.0057471264367816*4.15366113937852</f>
        <v>2.3871615743554672E-2</v>
      </c>
      <c r="I3336">
        <v>2.387161574355471E-2</v>
      </c>
    </row>
    <row r="3337" spans="1:9" x14ac:dyDescent="0.25">
      <c r="A3337">
        <v>282</v>
      </c>
      <c r="B3337" t="s">
        <v>1554</v>
      </c>
      <c r="C3337" t="s">
        <v>48</v>
      </c>
      <c r="D3337" t="s">
        <v>1398</v>
      </c>
      <c r="E3337">
        <f t="shared" si="149"/>
        <v>5.7471264367816091E-3</v>
      </c>
      <c r="F3337">
        <v>29</v>
      </c>
      <c r="G3337">
        <f>LOG(382/(29+1))</f>
        <v>1.1049421081920463</v>
      </c>
      <c r="H3337">
        <f>0.0057471264367816*2.54422322694442</f>
        <v>1.4621972568646066E-2</v>
      </c>
      <c r="I3337">
        <v>1.4621972568646091E-2</v>
      </c>
    </row>
    <row r="3338" spans="1:9" x14ac:dyDescent="0.25">
      <c r="A3338">
        <v>282</v>
      </c>
      <c r="B3338" t="s">
        <v>1554</v>
      </c>
      <c r="C3338" t="s">
        <v>48</v>
      </c>
      <c r="D3338" t="s">
        <v>1566</v>
      </c>
      <c r="E3338">
        <f t="shared" si="149"/>
        <v>5.7471264367816091E-3</v>
      </c>
      <c r="F3338">
        <v>1</v>
      </c>
      <c r="G3338">
        <f>LOG(382/(1+1))</f>
        <v>2.2810333672477277</v>
      </c>
      <c r="H3338">
        <f>0.0057471264367816*5.25227342804663</f>
        <v>3.0185479471532304E-2</v>
      </c>
      <c r="I3338">
        <v>3.0185479471532359E-2</v>
      </c>
    </row>
    <row r="3339" spans="1:9" x14ac:dyDescent="0.25">
      <c r="A3339">
        <v>282</v>
      </c>
      <c r="B3339" t="s">
        <v>1554</v>
      </c>
      <c r="C3339" t="s">
        <v>48</v>
      </c>
      <c r="D3339" t="s">
        <v>542</v>
      </c>
      <c r="E3339">
        <f t="shared" si="149"/>
        <v>5.7471264367816091E-3</v>
      </c>
      <c r="F3339">
        <v>42</v>
      </c>
      <c r="G3339">
        <f>LOG(382/(42+1))</f>
        <v>0.94859490733212215</v>
      </c>
      <c r="H3339">
        <f>0.0057471264367816*2.18422049291301</f>
        <v>1.2552991338580495E-2</v>
      </c>
      <c r="I3339">
        <v>1.2552991338580529E-2</v>
      </c>
    </row>
    <row r="3340" spans="1:9" x14ac:dyDescent="0.25">
      <c r="A3340">
        <v>282</v>
      </c>
      <c r="B3340" t="s">
        <v>1554</v>
      </c>
      <c r="C3340" t="s">
        <v>48</v>
      </c>
      <c r="D3340" t="s">
        <v>237</v>
      </c>
      <c r="E3340">
        <f>4/174</f>
        <v>2.2988505747126436E-2</v>
      </c>
      <c r="F3340">
        <v>138</v>
      </c>
      <c r="G3340">
        <f>LOG(382/(138+1))</f>
        <v>0.43904856265761361</v>
      </c>
      <c r="H3340">
        <f>0.0229885057471264*1.01094667547588</f>
        <v>2.3240153459215592E-2</v>
      </c>
      <c r="I3340">
        <v>2.324015345921571E-2</v>
      </c>
    </row>
    <row r="3341" spans="1:9" x14ac:dyDescent="0.25">
      <c r="A3341">
        <v>282</v>
      </c>
      <c r="B3341" t="s">
        <v>1554</v>
      </c>
      <c r="C3341" t="s">
        <v>48</v>
      </c>
      <c r="D3341" t="s">
        <v>596</v>
      </c>
      <c r="E3341">
        <f t="shared" ref="E3341:E3347" si="150">1/174</f>
        <v>5.7471264367816091E-3</v>
      </c>
      <c r="F3341">
        <v>60</v>
      </c>
      <c r="G3341">
        <f>LOG(382/(60+1))</f>
        <v>0.79673352790094176</v>
      </c>
      <c r="H3341">
        <f>0.0057471264367816*1.83454674443326</f>
        <v>1.0543372094444005E-2</v>
      </c>
      <c r="I3341">
        <v>1.054337209444405E-2</v>
      </c>
    </row>
    <row r="3342" spans="1:9" x14ac:dyDescent="0.25">
      <c r="A3342">
        <v>282</v>
      </c>
      <c r="B3342" t="s">
        <v>1554</v>
      </c>
      <c r="C3342" t="s">
        <v>48</v>
      </c>
      <c r="D3342" t="s">
        <v>597</v>
      </c>
      <c r="E3342">
        <f t="shared" si="150"/>
        <v>5.7471264367816091E-3</v>
      </c>
      <c r="F3342">
        <v>51</v>
      </c>
      <c r="G3342">
        <f>LOG(382/(51+1))</f>
        <v>0.86606001927690957</v>
      </c>
      <c r="H3342">
        <f>0.0057471264367816*1.99417689002514</f>
        <v>1.1460786724282395E-2</v>
      </c>
      <c r="I3342">
        <v>1.1460786724282459E-2</v>
      </c>
    </row>
    <row r="3343" spans="1:9" x14ac:dyDescent="0.25">
      <c r="A3343">
        <v>282</v>
      </c>
      <c r="B3343" t="s">
        <v>1554</v>
      </c>
      <c r="C3343" t="s">
        <v>48</v>
      </c>
      <c r="D3343" t="s">
        <v>805</v>
      </c>
      <c r="E3343">
        <f t="shared" si="150"/>
        <v>5.7471264367816091E-3</v>
      </c>
      <c r="F3343">
        <v>19</v>
      </c>
      <c r="G3343">
        <f>LOG(382/(19+1))</f>
        <v>1.2810333672477277</v>
      </c>
      <c r="H3343">
        <f>0.0057471264367816*2.94968833505258</f>
        <v>1.6952231810646982E-2</v>
      </c>
      <c r="I3343">
        <v>1.6952231810647041E-2</v>
      </c>
    </row>
    <row r="3344" spans="1:9" x14ac:dyDescent="0.25">
      <c r="A3344">
        <v>282</v>
      </c>
      <c r="B3344" t="s">
        <v>1554</v>
      </c>
      <c r="C3344" t="s">
        <v>48</v>
      </c>
      <c r="D3344" t="s">
        <v>1567</v>
      </c>
      <c r="E3344">
        <f t="shared" si="150"/>
        <v>5.7471264367816091E-3</v>
      </c>
      <c r="F3344">
        <v>1</v>
      </c>
      <c r="G3344">
        <f>LOG(382/(1+1))</f>
        <v>2.2810333672477277</v>
      </c>
      <c r="H3344">
        <f>0.0057471264367816*5.25227342804663</f>
        <v>3.0185479471532304E-2</v>
      </c>
      <c r="I3344">
        <v>3.0185479471532359E-2</v>
      </c>
    </row>
    <row r="3345" spans="1:9" x14ac:dyDescent="0.25">
      <c r="A3345">
        <v>282</v>
      </c>
      <c r="B3345" t="s">
        <v>1554</v>
      </c>
      <c r="C3345" t="s">
        <v>48</v>
      </c>
      <c r="D3345" t="s">
        <v>1568</v>
      </c>
      <c r="E3345">
        <f t="shared" si="150"/>
        <v>5.7471264367816091E-3</v>
      </c>
      <c r="F3345">
        <v>1</v>
      </c>
      <c r="G3345">
        <f>LOG(382/(1+1))</f>
        <v>2.2810333672477277</v>
      </c>
      <c r="H3345">
        <f>0.0057471264367816*5.25227342804663</f>
        <v>3.0185479471532304E-2</v>
      </c>
      <c r="I3345">
        <v>3.0185479471532359E-2</v>
      </c>
    </row>
    <row r="3346" spans="1:9" x14ac:dyDescent="0.25">
      <c r="A3346">
        <v>282</v>
      </c>
      <c r="B3346" t="s">
        <v>1554</v>
      </c>
      <c r="C3346" t="s">
        <v>48</v>
      </c>
      <c r="D3346" t="s">
        <v>439</v>
      </c>
      <c r="E3346">
        <f t="shared" si="150"/>
        <v>5.7471264367816091E-3</v>
      </c>
      <c r="F3346">
        <v>28</v>
      </c>
      <c r="G3346">
        <f>LOG(382/(28+1))</f>
        <v>1.1196653650127526</v>
      </c>
      <c r="H3346">
        <f>0.0057471264367816*2.5781247786201</f>
        <v>1.4816809072529285E-2</v>
      </c>
      <c r="I3346">
        <v>1.481680907252932E-2</v>
      </c>
    </row>
    <row r="3347" spans="1:9" x14ac:dyDescent="0.25">
      <c r="A3347">
        <v>282</v>
      </c>
      <c r="B3347" t="s">
        <v>1554</v>
      </c>
      <c r="C3347" t="s">
        <v>48</v>
      </c>
      <c r="D3347" t="s">
        <v>688</v>
      </c>
      <c r="E3347">
        <f t="shared" si="150"/>
        <v>5.7471264367816091E-3</v>
      </c>
      <c r="F3347">
        <v>23</v>
      </c>
      <c r="G3347">
        <f>LOG(382/(23+1))</f>
        <v>1.2018521212001028</v>
      </c>
      <c r="H3347">
        <f>0.0057471264367816*2.76736677825862</f>
        <v>1.5904406771601241E-2</v>
      </c>
      <c r="I3347">
        <v>1.590440677160132E-2</v>
      </c>
    </row>
    <row r="3348" spans="1:9" x14ac:dyDescent="0.25">
      <c r="A3348">
        <v>282</v>
      </c>
      <c r="B3348" t="s">
        <v>1554</v>
      </c>
      <c r="C3348" t="s">
        <v>48</v>
      </c>
      <c r="D3348" t="s">
        <v>600</v>
      </c>
      <c r="E3348">
        <f>2/174</f>
        <v>1.1494252873563218E-2</v>
      </c>
      <c r="F3348">
        <v>102</v>
      </c>
      <c r="G3348">
        <f>LOG(382/(102+1))</f>
        <v>0.56922613820653656</v>
      </c>
      <c r="H3348">
        <f>0.0114942528735632*1.31069162037693</f>
        <v>1.5065420923872735E-2</v>
      </c>
      <c r="I3348">
        <v>1.506542092387287E-2</v>
      </c>
    </row>
    <row r="3349" spans="1:9" x14ac:dyDescent="0.25">
      <c r="A3349">
        <v>282</v>
      </c>
      <c r="B3349" t="s">
        <v>1554</v>
      </c>
      <c r="C3349" t="s">
        <v>48</v>
      </c>
      <c r="D3349" t="s">
        <v>1446</v>
      </c>
      <c r="E3349">
        <f t="shared" ref="E3349:E3354" si="151">1/174</f>
        <v>5.7471264367816091E-3</v>
      </c>
      <c r="F3349">
        <v>8</v>
      </c>
      <c r="G3349">
        <f>LOG(382/(8+1))</f>
        <v>1.6278208534723839</v>
      </c>
      <c r="H3349">
        <f>0.0057471264367816*3.74819603127035</f>
        <v>2.1541356501553699E-2</v>
      </c>
      <c r="I3349">
        <v>2.1541356501553768E-2</v>
      </c>
    </row>
    <row r="3350" spans="1:9" x14ac:dyDescent="0.25">
      <c r="A3350">
        <v>282</v>
      </c>
      <c r="B3350" t="s">
        <v>1554</v>
      </c>
      <c r="C3350" t="s">
        <v>48</v>
      </c>
      <c r="D3350" t="s">
        <v>1447</v>
      </c>
      <c r="E3350">
        <f t="shared" si="151"/>
        <v>5.7471264367816091E-3</v>
      </c>
      <c r="F3350">
        <v>6</v>
      </c>
      <c r="G3350">
        <f>LOG(382/(6+1))</f>
        <v>1.736965322897452</v>
      </c>
      <c r="H3350">
        <f>0.0057471264367816*3.99951045955126</f>
        <v>2.2985692296271572E-2</v>
      </c>
      <c r="I3350">
        <v>2.298569229627162E-2</v>
      </c>
    </row>
    <row r="3351" spans="1:9" x14ac:dyDescent="0.25">
      <c r="A3351">
        <v>282</v>
      </c>
      <c r="B3351" t="s">
        <v>1554</v>
      </c>
      <c r="C3351" t="s">
        <v>48</v>
      </c>
      <c r="D3351" t="s">
        <v>1448</v>
      </c>
      <c r="E3351">
        <f t="shared" si="151"/>
        <v>5.7471264367816091E-3</v>
      </c>
      <c r="F3351">
        <v>11</v>
      </c>
      <c r="G3351">
        <f>LOG(382/(11+1))</f>
        <v>1.5028821168640838</v>
      </c>
      <c r="H3351">
        <f>0.0057471264367816*3.46051395881857</f>
        <v>1.9888011257577956E-2</v>
      </c>
      <c r="I3351">
        <v>1.9888011257578019E-2</v>
      </c>
    </row>
    <row r="3352" spans="1:9" x14ac:dyDescent="0.25">
      <c r="A3352">
        <v>282</v>
      </c>
      <c r="B3352" t="s">
        <v>1554</v>
      </c>
      <c r="C3352" t="s">
        <v>48</v>
      </c>
      <c r="D3352" t="s">
        <v>236</v>
      </c>
      <c r="E3352">
        <f t="shared" si="151"/>
        <v>5.7471264367816091E-3</v>
      </c>
      <c r="F3352">
        <v>87</v>
      </c>
      <c r="G3352">
        <f>LOG(382/(87+1))</f>
        <v>0.63758069076154011</v>
      </c>
      <c r="H3352">
        <f>0.0057471264367816*1.46808379412836</f>
        <v>8.4372631846457331E-3</v>
      </c>
      <c r="I3352">
        <v>8.4372631846457973E-3</v>
      </c>
    </row>
    <row r="3353" spans="1:9" x14ac:dyDescent="0.25">
      <c r="A3353">
        <v>282</v>
      </c>
      <c r="B3353" t="s">
        <v>1554</v>
      </c>
      <c r="C3353" t="s">
        <v>48</v>
      </c>
      <c r="D3353" t="s">
        <v>693</v>
      </c>
      <c r="E3353">
        <f t="shared" si="151"/>
        <v>5.7471264367816091E-3</v>
      </c>
      <c r="F3353">
        <v>25</v>
      </c>
      <c r="G3353">
        <f>LOG(382/(25+1))</f>
        <v>1.1670900149408907</v>
      </c>
      <c r="H3353">
        <f>0.0057471264367816*2.68732407058509</f>
        <v>1.5444391210259112E-2</v>
      </c>
      <c r="I3353">
        <v>1.5444391210259161E-2</v>
      </c>
    </row>
    <row r="3354" spans="1:9" x14ac:dyDescent="0.25">
      <c r="A3354">
        <v>282</v>
      </c>
      <c r="B3354" t="s">
        <v>1554</v>
      </c>
      <c r="C3354" t="s">
        <v>48</v>
      </c>
      <c r="D3354" t="s">
        <v>1569</v>
      </c>
      <c r="E3354">
        <f t="shared" si="151"/>
        <v>5.7471264367816091E-3</v>
      </c>
      <c r="F3354">
        <v>1</v>
      </c>
      <c r="G3354">
        <f>LOG(382/(1+1))</f>
        <v>2.2810333672477277</v>
      </c>
      <c r="H3354">
        <f>0.0057471264367816*5.25227342804663</f>
        <v>3.0185479471532304E-2</v>
      </c>
      <c r="I3354">
        <v>3.0185479471532359E-2</v>
      </c>
    </row>
    <row r="3355" spans="1:9" x14ac:dyDescent="0.25">
      <c r="A3355">
        <v>282</v>
      </c>
      <c r="B3355" t="s">
        <v>1554</v>
      </c>
      <c r="C3355" t="s">
        <v>48</v>
      </c>
      <c r="D3355" t="s">
        <v>201</v>
      </c>
      <c r="E3355">
        <f>2/174</f>
        <v>1.1494252873563218E-2</v>
      </c>
      <c r="F3355">
        <v>72</v>
      </c>
      <c r="G3355">
        <f>LOG(382/(72+1))</f>
        <v>0.71874050279125279</v>
      </c>
      <c r="H3355">
        <f>0.0114942528735632*1.65496116745818</f>
        <v>1.902254215469169E-2</v>
      </c>
      <c r="I3355">
        <v>1.902254215469177E-2</v>
      </c>
    </row>
    <row r="3356" spans="1:9" x14ac:dyDescent="0.25">
      <c r="A3356">
        <v>282</v>
      </c>
      <c r="B3356" t="s">
        <v>1554</v>
      </c>
      <c r="C3356" t="s">
        <v>48</v>
      </c>
      <c r="D3356" t="s">
        <v>331</v>
      </c>
      <c r="E3356">
        <f>2/174</f>
        <v>1.1494252873563218E-2</v>
      </c>
      <c r="F3356">
        <v>130</v>
      </c>
      <c r="G3356">
        <f>LOG(382/(130+1))</f>
        <v>0.46479206725594452</v>
      </c>
      <c r="H3356">
        <f>0.0114942528735632*1.07022328540542</f>
        <v>1.2301417073625498E-2</v>
      </c>
      <c r="I3356">
        <v>1.2301417073625561E-2</v>
      </c>
    </row>
    <row r="3357" spans="1:9" x14ac:dyDescent="0.25">
      <c r="A3357">
        <v>282</v>
      </c>
      <c r="B3357" t="s">
        <v>1554</v>
      </c>
      <c r="C3357" t="s">
        <v>48</v>
      </c>
      <c r="D3357" t="s">
        <v>207</v>
      </c>
      <c r="E3357">
        <f t="shared" ref="E3357:E3366" si="152">1/174</f>
        <v>5.7471264367816091E-3</v>
      </c>
      <c r="F3357">
        <v>21</v>
      </c>
      <c r="G3357">
        <f>LOG(382/(21+1))</f>
        <v>1.2396406820895025</v>
      </c>
      <c r="H3357">
        <f>0.0057471264367816*2.85437815524825</f>
        <v>1.6404472156599108E-2</v>
      </c>
      <c r="I3357">
        <v>1.6404472156599188E-2</v>
      </c>
    </row>
    <row r="3358" spans="1:9" x14ac:dyDescent="0.25">
      <c r="A3358">
        <v>282</v>
      </c>
      <c r="B3358" t="s">
        <v>1554</v>
      </c>
      <c r="C3358" t="s">
        <v>48</v>
      </c>
      <c r="D3358" t="s">
        <v>1127</v>
      </c>
      <c r="E3358">
        <f t="shared" si="152"/>
        <v>5.7471264367816091E-3</v>
      </c>
      <c r="F3358">
        <v>18</v>
      </c>
      <c r="G3358">
        <f>LOG(382/(18+1))</f>
        <v>1.3033097619588798</v>
      </c>
      <c r="H3358">
        <f>0.0057471264367816*3.00098162944013</f>
        <v>1.7247020858851294E-2</v>
      </c>
      <c r="I3358">
        <v>1.7247020858851349E-2</v>
      </c>
    </row>
    <row r="3359" spans="1:9" x14ac:dyDescent="0.25">
      <c r="A3359">
        <v>282</v>
      </c>
      <c r="B3359" t="s">
        <v>1554</v>
      </c>
      <c r="C3359" t="s">
        <v>48</v>
      </c>
      <c r="D3359" t="s">
        <v>123</v>
      </c>
      <c r="E3359">
        <f t="shared" si="152"/>
        <v>5.7471264367816091E-3</v>
      </c>
      <c r="F3359">
        <v>74</v>
      </c>
      <c r="G3359">
        <f>LOG(382/(74+1))</f>
        <v>0.7070020995200087</v>
      </c>
      <c r="H3359">
        <f>0.0057471264367816*1.62793249507026</f>
        <v>9.355933879714123E-3</v>
      </c>
      <c r="I3359">
        <v>9.3559338797141647E-3</v>
      </c>
    </row>
    <row r="3360" spans="1:9" x14ac:dyDescent="0.25">
      <c r="A3360">
        <v>282</v>
      </c>
      <c r="B3360" t="s">
        <v>1554</v>
      </c>
      <c r="C3360" t="s">
        <v>48</v>
      </c>
      <c r="D3360" t="s">
        <v>133</v>
      </c>
      <c r="E3360">
        <f t="shared" si="152"/>
        <v>5.7471264367816091E-3</v>
      </c>
      <c r="F3360">
        <v>142</v>
      </c>
      <c r="G3360">
        <f>LOG(382/(142+1))</f>
        <v>0.42672732544664693</v>
      </c>
      <c r="H3360">
        <f>0.0057471264367816*0.982575978346667</f>
        <v>5.6469883813026747E-3</v>
      </c>
      <c r="I3360">
        <v>5.6469883813026894E-3</v>
      </c>
    </row>
    <row r="3361" spans="1:9" x14ac:dyDescent="0.25">
      <c r="A3361">
        <v>282</v>
      </c>
      <c r="B3361" t="s">
        <v>1554</v>
      </c>
      <c r="C3361" t="s">
        <v>48</v>
      </c>
      <c r="D3361" t="s">
        <v>77</v>
      </c>
      <c r="E3361">
        <f t="shared" si="152"/>
        <v>5.7471264367816091E-3</v>
      </c>
      <c r="F3361">
        <v>148</v>
      </c>
      <c r="G3361">
        <f>LOG(382/(148+1))</f>
        <v>0.40887709449943471</v>
      </c>
      <c r="H3361">
        <f>0.0057471264367816*0.941474302661116</f>
        <v>5.4107718543742207E-3</v>
      </c>
      <c r="I3361">
        <v>5.4107718543742302E-3</v>
      </c>
    </row>
    <row r="3362" spans="1:9" x14ac:dyDescent="0.25">
      <c r="A3362">
        <v>282</v>
      </c>
      <c r="B3362" t="s">
        <v>1554</v>
      </c>
      <c r="C3362" t="s">
        <v>48</v>
      </c>
      <c r="D3362" t="s">
        <v>40</v>
      </c>
      <c r="E3362">
        <f t="shared" si="152"/>
        <v>5.7471264367816091E-3</v>
      </c>
      <c r="F3362">
        <v>159</v>
      </c>
      <c r="G3362">
        <f>LOG(382/(159+1))</f>
        <v>0.377943380255784</v>
      </c>
      <c r="H3362">
        <f>0.0057471264367816*0.870246793372748</f>
        <v>5.0014183527169343E-3</v>
      </c>
      <c r="I3362">
        <v>5.0014183527169447E-3</v>
      </c>
    </row>
    <row r="3363" spans="1:9" x14ac:dyDescent="0.25">
      <c r="A3363">
        <v>282</v>
      </c>
      <c r="B3363" t="s">
        <v>1554</v>
      </c>
      <c r="C3363" t="s">
        <v>48</v>
      </c>
      <c r="D3363" t="s">
        <v>1452</v>
      </c>
      <c r="E3363">
        <f t="shared" si="152"/>
        <v>5.7471264367816091E-3</v>
      </c>
      <c r="F3363">
        <v>8</v>
      </c>
      <c r="G3363">
        <f>LOG(382/(8+1))</f>
        <v>1.6278208534723839</v>
      </c>
      <c r="H3363">
        <f>0.0057471264367816*3.74819603127035</f>
        <v>2.1541356501553699E-2</v>
      </c>
      <c r="I3363">
        <v>2.1541356501553768E-2</v>
      </c>
    </row>
    <row r="3364" spans="1:9" x14ac:dyDescent="0.25">
      <c r="A3364">
        <v>282</v>
      </c>
      <c r="B3364" t="s">
        <v>1554</v>
      </c>
      <c r="C3364" t="s">
        <v>48</v>
      </c>
      <c r="D3364" t="s">
        <v>1453</v>
      </c>
      <c r="E3364">
        <f t="shared" si="152"/>
        <v>5.7471264367816091E-3</v>
      </c>
      <c r="F3364">
        <v>23</v>
      </c>
      <c r="G3364">
        <f>LOG(382/(23+1))</f>
        <v>1.2018521212001028</v>
      </c>
      <c r="H3364">
        <f>0.0057471264367816*2.76736677825862</f>
        <v>1.5904406771601241E-2</v>
      </c>
      <c r="I3364">
        <v>1.590440677160132E-2</v>
      </c>
    </row>
    <row r="3365" spans="1:9" x14ac:dyDescent="0.25">
      <c r="A3365">
        <v>282</v>
      </c>
      <c r="B3365" t="s">
        <v>1554</v>
      </c>
      <c r="C3365" t="s">
        <v>48</v>
      </c>
      <c r="D3365" t="s">
        <v>405</v>
      </c>
      <c r="E3365">
        <f t="shared" si="152"/>
        <v>5.7471264367816091E-3</v>
      </c>
      <c r="F3365">
        <v>10</v>
      </c>
      <c r="G3365">
        <f>LOG(382/(10+1))</f>
        <v>1.5406706777534838</v>
      </c>
      <c r="H3365">
        <f>0.0057471264367816*3.5475253358082</f>
        <v>2.0388076642575827E-2</v>
      </c>
      <c r="I3365">
        <v>2.038807664257589E-2</v>
      </c>
    </row>
    <row r="3366" spans="1:9" x14ac:dyDescent="0.25">
      <c r="A3366">
        <v>282</v>
      </c>
      <c r="B3366" t="s">
        <v>1554</v>
      </c>
      <c r="C3366" t="s">
        <v>48</v>
      </c>
      <c r="D3366" t="s">
        <v>243</v>
      </c>
      <c r="E3366">
        <f t="shared" si="152"/>
        <v>5.7471264367816091E-3</v>
      </c>
      <c r="F3366">
        <v>131</v>
      </c>
      <c r="G3366">
        <f>LOG(382/(131+1))</f>
        <v>0.46148943170585888</v>
      </c>
      <c r="H3366">
        <f>0.0057471264367816*1.0626186860202</f>
        <v>6.1070039426448178E-3</v>
      </c>
      <c r="I3366">
        <v>6.1070039426448517E-3</v>
      </c>
    </row>
    <row r="3367" spans="1:9" x14ac:dyDescent="0.25">
      <c r="A3367">
        <v>282</v>
      </c>
      <c r="B3367" t="s">
        <v>1554</v>
      </c>
      <c r="C3367" t="s">
        <v>48</v>
      </c>
      <c r="D3367" t="s">
        <v>85</v>
      </c>
      <c r="E3367">
        <f>2/174</f>
        <v>1.1494252873563218E-2</v>
      </c>
      <c r="F3367">
        <v>13</v>
      </c>
      <c r="G3367">
        <f>LOG(382/(13+1))</f>
        <v>1.4359353272334707</v>
      </c>
      <c r="H3367">
        <f>0.0114942528735632*3.30636327899131</f>
        <v>3.8004175620589706E-2</v>
      </c>
      <c r="I3367">
        <v>3.8004175620589838E-2</v>
      </c>
    </row>
    <row r="3368" spans="1:9" x14ac:dyDescent="0.25">
      <c r="A3368">
        <v>282</v>
      </c>
      <c r="B3368" t="s">
        <v>1554</v>
      </c>
      <c r="C3368" t="s">
        <v>48</v>
      </c>
      <c r="D3368" t="s">
        <v>1570</v>
      </c>
      <c r="E3368">
        <f t="shared" ref="E3368:E3374" si="153">1/174</f>
        <v>5.7471264367816091E-3</v>
      </c>
      <c r="F3368">
        <v>1</v>
      </c>
      <c r="G3368">
        <f>LOG(382/(1+1))</f>
        <v>2.2810333672477277</v>
      </c>
      <c r="H3368">
        <f>0.0057471264367816*5.25227342804663</f>
        <v>3.0185479471532304E-2</v>
      </c>
      <c r="I3368">
        <v>3.0185479471532359E-2</v>
      </c>
    </row>
    <row r="3369" spans="1:9" x14ac:dyDescent="0.25">
      <c r="A3369">
        <v>282</v>
      </c>
      <c r="B3369" t="s">
        <v>1554</v>
      </c>
      <c r="C3369" t="s">
        <v>48</v>
      </c>
      <c r="D3369" t="s">
        <v>881</v>
      </c>
      <c r="E3369">
        <f t="shared" si="153"/>
        <v>5.7471264367816091E-3</v>
      </c>
      <c r="F3369">
        <v>15</v>
      </c>
      <c r="G3369">
        <f>LOG(382/(15+1))</f>
        <v>1.3779433802557839</v>
      </c>
      <c r="H3369">
        <f>0.0057471264367816*3.17283188636679</f>
        <v>1.8234666013602213E-2</v>
      </c>
      <c r="I3369">
        <v>1.8234666013602269E-2</v>
      </c>
    </row>
    <row r="3370" spans="1:9" x14ac:dyDescent="0.25">
      <c r="A3370">
        <v>282</v>
      </c>
      <c r="B3370" t="s">
        <v>1554</v>
      </c>
      <c r="C3370" t="s">
        <v>48</v>
      </c>
      <c r="D3370" t="s">
        <v>1025</v>
      </c>
      <c r="E3370">
        <f t="shared" si="153"/>
        <v>5.7471264367816091E-3</v>
      </c>
      <c r="F3370">
        <v>7</v>
      </c>
      <c r="G3370">
        <f>LOG(382/(7+1))</f>
        <v>1.6789733759197651</v>
      </c>
      <c r="H3370">
        <f>0.0057471264367816*3.86597906692673</f>
        <v>2.2218270499578873E-2</v>
      </c>
      <c r="I3370">
        <v>2.221827049957896E-2</v>
      </c>
    </row>
    <row r="3371" spans="1:9" x14ac:dyDescent="0.25">
      <c r="A3371">
        <v>282</v>
      </c>
      <c r="B3371" t="s">
        <v>1554</v>
      </c>
      <c r="C3371" t="s">
        <v>48</v>
      </c>
      <c r="D3371" t="s">
        <v>263</v>
      </c>
      <c r="E3371">
        <f t="shared" si="153"/>
        <v>5.7471264367816091E-3</v>
      </c>
      <c r="F3371">
        <v>41</v>
      </c>
      <c r="G3371">
        <f>LOG(382/(41+1))</f>
        <v>0.95881407251380824</v>
      </c>
      <c r="H3371">
        <f>0.0057471264367816*2.2077509903232</f>
        <v>1.2688224082317222E-2</v>
      </c>
      <c r="I3371">
        <v>1.2688224082317279E-2</v>
      </c>
    </row>
    <row r="3372" spans="1:9" x14ac:dyDescent="0.25">
      <c r="A3372">
        <v>282</v>
      </c>
      <c r="B3372" t="s">
        <v>1554</v>
      </c>
      <c r="C3372" t="s">
        <v>48</v>
      </c>
      <c r="D3372" t="s">
        <v>520</v>
      </c>
      <c r="E3372">
        <f t="shared" si="153"/>
        <v>5.7471264367816091E-3</v>
      </c>
      <c r="F3372">
        <v>25</v>
      </c>
      <c r="G3372">
        <f>LOG(382/(25+1))</f>
        <v>1.1670900149408907</v>
      </c>
      <c r="H3372">
        <f>0.0057471264367816*2.68732407058509</f>
        <v>1.5444391210259112E-2</v>
      </c>
      <c r="I3372">
        <v>1.5444391210259161E-2</v>
      </c>
    </row>
    <row r="3373" spans="1:9" x14ac:dyDescent="0.25">
      <c r="A3373">
        <v>282</v>
      </c>
      <c r="B3373" t="s">
        <v>1554</v>
      </c>
      <c r="C3373" t="s">
        <v>48</v>
      </c>
      <c r="D3373" t="s">
        <v>342</v>
      </c>
      <c r="E3373">
        <f t="shared" si="153"/>
        <v>5.7471264367816091E-3</v>
      </c>
      <c r="F3373">
        <v>35</v>
      </c>
      <c r="G3373">
        <f>LOG(382/(35+1))</f>
        <v>1.0257608621444214</v>
      </c>
      <c r="H3373">
        <f>0.0057471264367816*2.36190167015046</f>
        <v>1.3574147529600322E-2</v>
      </c>
      <c r="I3373">
        <v>1.357414752960037E-2</v>
      </c>
    </row>
    <row r="3374" spans="1:9" x14ac:dyDescent="0.25">
      <c r="A3374">
        <v>282</v>
      </c>
      <c r="B3374" t="s">
        <v>1554</v>
      </c>
      <c r="C3374" t="s">
        <v>48</v>
      </c>
      <c r="D3374" t="s">
        <v>1571</v>
      </c>
      <c r="E3374">
        <f t="shared" si="153"/>
        <v>5.7471264367816091E-3</v>
      </c>
      <c r="F3374">
        <v>1</v>
      </c>
      <c r="G3374">
        <f>LOG(382/(1+1))</f>
        <v>2.2810333672477277</v>
      </c>
      <c r="H3374">
        <f>0.0057471264367816*5.25227342804663</f>
        <v>3.0185479471532304E-2</v>
      </c>
      <c r="I3374">
        <v>3.0185479471532359E-2</v>
      </c>
    </row>
    <row r="3375" spans="1:9" x14ac:dyDescent="0.25">
      <c r="A3375">
        <v>284</v>
      </c>
      <c r="B3375" t="s">
        <v>1572</v>
      </c>
      <c r="C3375" t="s">
        <v>48</v>
      </c>
      <c r="D3375" t="s">
        <v>1255</v>
      </c>
      <c r="E3375">
        <f>2/25</f>
        <v>0.08</v>
      </c>
      <c r="F3375">
        <v>12</v>
      </c>
      <c r="G3375">
        <f>LOG(382/(12+1))</f>
        <v>1.468120010604872</v>
      </c>
      <c r="H3375">
        <f>0.08*3.38047125114503</f>
        <v>0.2704377000916024</v>
      </c>
      <c r="I3375">
        <v>0.27043770009160312</v>
      </c>
    </row>
    <row r="3376" spans="1:9" x14ac:dyDescent="0.25">
      <c r="A3376">
        <v>284</v>
      </c>
      <c r="B3376" t="s">
        <v>1572</v>
      </c>
      <c r="C3376" t="s">
        <v>48</v>
      </c>
      <c r="D3376" t="s">
        <v>1573</v>
      </c>
      <c r="E3376">
        <f>2/25</f>
        <v>0.08</v>
      </c>
      <c r="F3376">
        <v>1</v>
      </c>
      <c r="G3376">
        <f>LOG(382/(1+1))</f>
        <v>2.2810333672477277</v>
      </c>
      <c r="H3376">
        <f>0.08*5.25227342804663</f>
        <v>0.42018187424373038</v>
      </c>
      <c r="I3376">
        <v>0.42018187424373038</v>
      </c>
    </row>
    <row r="3377" spans="1:9" x14ac:dyDescent="0.25">
      <c r="A3377">
        <v>284</v>
      </c>
      <c r="B3377" t="s">
        <v>1572</v>
      </c>
      <c r="C3377" t="s">
        <v>48</v>
      </c>
      <c r="D3377" t="s">
        <v>183</v>
      </c>
      <c r="E3377">
        <f>3/25</f>
        <v>0.12</v>
      </c>
      <c r="F3377">
        <v>46</v>
      </c>
      <c r="G3377">
        <f>LOG(382/(46+1))</f>
        <v>0.90996550497599127</v>
      </c>
      <c r="H3377">
        <f>0.12*2.09527300689651</f>
        <v>0.2514327608275812</v>
      </c>
      <c r="I3377">
        <v>0.25143276082758198</v>
      </c>
    </row>
    <row r="3378" spans="1:9" x14ac:dyDescent="0.25">
      <c r="A3378">
        <v>284</v>
      </c>
      <c r="B3378" t="s">
        <v>1572</v>
      </c>
      <c r="C3378" t="s">
        <v>48</v>
      </c>
      <c r="D3378" t="s">
        <v>911</v>
      </c>
      <c r="E3378">
        <f t="shared" ref="E3378:E3395" si="154">1/25</f>
        <v>0.04</v>
      </c>
      <c r="F3378">
        <v>22</v>
      </c>
      <c r="G3378">
        <f>LOG(382/(22+1))</f>
        <v>1.2203355268941158</v>
      </c>
      <c r="H3378">
        <f>0.04*2.80992639267742</f>
        <v>0.11239705570709679</v>
      </c>
      <c r="I3378">
        <v>0.112397055707097</v>
      </c>
    </row>
    <row r="3379" spans="1:9" x14ac:dyDescent="0.25">
      <c r="A3379">
        <v>284</v>
      </c>
      <c r="B3379" t="s">
        <v>1572</v>
      </c>
      <c r="C3379" t="s">
        <v>48</v>
      </c>
      <c r="D3379" t="s">
        <v>11</v>
      </c>
      <c r="E3379">
        <f t="shared" si="154"/>
        <v>0.04</v>
      </c>
      <c r="F3379">
        <v>83</v>
      </c>
      <c r="G3379">
        <f>LOG(382/(83+1))</f>
        <v>0.65778407684982709</v>
      </c>
      <c r="H3379">
        <f>0.04*1.51460380976326</f>
        <v>6.0584152390530395E-2</v>
      </c>
      <c r="I3379">
        <v>6.0584152390530457E-2</v>
      </c>
    </row>
    <row r="3380" spans="1:9" x14ac:dyDescent="0.25">
      <c r="A3380">
        <v>284</v>
      </c>
      <c r="B3380" t="s">
        <v>1572</v>
      </c>
      <c r="C3380" t="s">
        <v>48</v>
      </c>
      <c r="D3380" t="s">
        <v>15</v>
      </c>
      <c r="E3380">
        <f t="shared" si="154"/>
        <v>0.04</v>
      </c>
      <c r="F3380">
        <v>112</v>
      </c>
      <c r="G3380">
        <f>LOG(382/(112+1))</f>
        <v>0.52898491942828896</v>
      </c>
      <c r="H3380">
        <f>0.04*1.21803278989423</f>
        <v>4.8721311595769201E-2</v>
      </c>
      <c r="I3380">
        <v>4.8721311595769388E-2</v>
      </c>
    </row>
    <row r="3381" spans="1:9" x14ac:dyDescent="0.25">
      <c r="A3381">
        <v>284</v>
      </c>
      <c r="B3381" t="s">
        <v>1572</v>
      </c>
      <c r="C3381" t="s">
        <v>48</v>
      </c>
      <c r="D3381" t="s">
        <v>1574</v>
      </c>
      <c r="E3381">
        <f t="shared" si="154"/>
        <v>0.04</v>
      </c>
      <c r="F3381">
        <v>1</v>
      </c>
      <c r="G3381">
        <f>LOG(382/(1+1))</f>
        <v>2.2810333672477277</v>
      </c>
      <c r="H3381">
        <f>0.04*5.25227342804663</f>
        <v>0.21009093712186519</v>
      </c>
      <c r="I3381">
        <v>0.21009093712186519</v>
      </c>
    </row>
    <row r="3382" spans="1:9" x14ac:dyDescent="0.25">
      <c r="A3382">
        <v>284</v>
      </c>
      <c r="B3382" t="s">
        <v>1572</v>
      </c>
      <c r="C3382" t="s">
        <v>48</v>
      </c>
      <c r="D3382" t="s">
        <v>17</v>
      </c>
      <c r="E3382">
        <f t="shared" si="154"/>
        <v>0.04</v>
      </c>
      <c r="F3382">
        <v>169</v>
      </c>
      <c r="G3382">
        <f>LOG(382/(169+1))</f>
        <v>0.3516144415334348</v>
      </c>
      <c r="H3382">
        <f>0.04*0.809622171556313</f>
        <v>3.2384886862252521E-2</v>
      </c>
      <c r="I3382">
        <v>3.2384886862252528E-2</v>
      </c>
    </row>
    <row r="3383" spans="1:9" x14ac:dyDescent="0.25">
      <c r="A3383">
        <v>284</v>
      </c>
      <c r="B3383" t="s">
        <v>1572</v>
      </c>
      <c r="C3383" t="s">
        <v>48</v>
      </c>
      <c r="D3383" t="s">
        <v>1064</v>
      </c>
      <c r="E3383">
        <f t="shared" si="154"/>
        <v>0.04</v>
      </c>
      <c r="F3383">
        <v>7</v>
      </c>
      <c r="G3383">
        <f>LOG(382/(7+1))</f>
        <v>1.6789733759197651</v>
      </c>
      <c r="H3383">
        <f>0.04*3.86597906692673</f>
        <v>0.1546391626770692</v>
      </c>
      <c r="I3383">
        <v>0.15463916267706959</v>
      </c>
    </row>
    <row r="3384" spans="1:9" x14ac:dyDescent="0.25">
      <c r="A3384">
        <v>284</v>
      </c>
      <c r="B3384" t="s">
        <v>1572</v>
      </c>
      <c r="C3384" t="s">
        <v>48</v>
      </c>
      <c r="D3384" t="s">
        <v>19</v>
      </c>
      <c r="E3384">
        <f t="shared" si="154"/>
        <v>0.04</v>
      </c>
      <c r="F3384">
        <v>220</v>
      </c>
      <c r="G3384">
        <f>LOG(382/(220+1))</f>
        <v>0.23767108922659805</v>
      </c>
      <c r="H3384">
        <f>0.04*0.547257907088822</f>
        <v>2.1890316283552883E-2</v>
      </c>
      <c r="I3384">
        <v>2.18903162835529E-2</v>
      </c>
    </row>
    <row r="3385" spans="1:9" x14ac:dyDescent="0.25">
      <c r="A3385">
        <v>284</v>
      </c>
      <c r="B3385" t="s">
        <v>1572</v>
      </c>
      <c r="C3385" t="s">
        <v>48</v>
      </c>
      <c r="D3385" t="s">
        <v>808</v>
      </c>
      <c r="E3385">
        <f t="shared" si="154"/>
        <v>0.04</v>
      </c>
      <c r="F3385">
        <v>20</v>
      </c>
      <c r="G3385">
        <f>LOG(382/(20+1))</f>
        <v>1.2598440681777894</v>
      </c>
      <c r="H3385">
        <f>0.04*2.90089817088315</f>
        <v>0.116035926835326</v>
      </c>
      <c r="I3385">
        <v>0.1160359268353261</v>
      </c>
    </row>
    <row r="3386" spans="1:9" x14ac:dyDescent="0.25">
      <c r="A3386">
        <v>284</v>
      </c>
      <c r="B3386" t="s">
        <v>1572</v>
      </c>
      <c r="C3386" t="s">
        <v>48</v>
      </c>
      <c r="D3386" t="s">
        <v>809</v>
      </c>
      <c r="E3386">
        <f t="shared" si="154"/>
        <v>0.04</v>
      </c>
      <c r="F3386">
        <v>19</v>
      </c>
      <c r="G3386">
        <f>LOG(382/(19+1))</f>
        <v>1.2810333672477277</v>
      </c>
      <c r="H3386">
        <f>0.04*2.94968833505258</f>
        <v>0.1179875334021032</v>
      </c>
      <c r="I3386">
        <v>0.1179875334021034</v>
      </c>
    </row>
    <row r="3387" spans="1:9" x14ac:dyDescent="0.25">
      <c r="A3387">
        <v>284</v>
      </c>
      <c r="B3387" t="s">
        <v>1572</v>
      </c>
      <c r="C3387" t="s">
        <v>48</v>
      </c>
      <c r="D3387" t="s">
        <v>22</v>
      </c>
      <c r="E3387">
        <f t="shared" si="154"/>
        <v>0.04</v>
      </c>
      <c r="F3387">
        <v>259</v>
      </c>
      <c r="G3387">
        <f>LOG(382/(259+1))</f>
        <v>0.16709001494089079</v>
      </c>
      <c r="H3387">
        <f>0.04*0.384738977591047</f>
        <v>1.5389559103641882E-2</v>
      </c>
      <c r="I3387">
        <v>1.5389559103641899E-2</v>
      </c>
    </row>
    <row r="3388" spans="1:9" x14ac:dyDescent="0.25">
      <c r="A3388">
        <v>284</v>
      </c>
      <c r="B3388" t="s">
        <v>1572</v>
      </c>
      <c r="C3388" t="s">
        <v>48</v>
      </c>
      <c r="D3388" t="s">
        <v>23</v>
      </c>
      <c r="E3388">
        <f t="shared" si="154"/>
        <v>0.04</v>
      </c>
      <c r="F3388">
        <v>275</v>
      </c>
      <c r="G3388">
        <f>LOG(382/(275+1))</f>
        <v>0.14115428084649101</v>
      </c>
      <c r="H3388">
        <f>0.04*0.325019742889425</f>
        <v>1.3000789715576999E-2</v>
      </c>
      <c r="I3388">
        <v>1.300078971557701E-2</v>
      </c>
    </row>
    <row r="3389" spans="1:9" x14ac:dyDescent="0.25">
      <c r="A3389">
        <v>284</v>
      </c>
      <c r="B3389" t="s">
        <v>1572</v>
      </c>
      <c r="C3389" t="s">
        <v>48</v>
      </c>
      <c r="D3389" t="s">
        <v>404</v>
      </c>
      <c r="E3389">
        <f t="shared" si="154"/>
        <v>0.04</v>
      </c>
      <c r="F3389">
        <v>22</v>
      </c>
      <c r="G3389">
        <f>LOG(382/(22+1))</f>
        <v>1.2203355268941158</v>
      </c>
      <c r="H3389">
        <f>0.04*2.80992639267742</f>
        <v>0.11239705570709679</v>
      </c>
      <c r="I3389">
        <v>0.112397055707097</v>
      </c>
    </row>
    <row r="3390" spans="1:9" x14ac:dyDescent="0.25">
      <c r="A3390">
        <v>284</v>
      </c>
      <c r="B3390" t="s">
        <v>1572</v>
      </c>
      <c r="C3390" t="s">
        <v>48</v>
      </c>
      <c r="D3390" t="s">
        <v>39</v>
      </c>
      <c r="E3390">
        <f t="shared" si="154"/>
        <v>0.04</v>
      </c>
      <c r="F3390">
        <v>145</v>
      </c>
      <c r="G3390">
        <f>LOG(382/(145+1))</f>
        <v>0.41771050712727159</v>
      </c>
      <c r="H3390">
        <f>0.04*0.961813986898238</f>
        <v>3.8472559475929521E-2</v>
      </c>
      <c r="I3390">
        <v>3.8472559475929549E-2</v>
      </c>
    </row>
    <row r="3391" spans="1:9" x14ac:dyDescent="0.25">
      <c r="A3391">
        <v>284</v>
      </c>
      <c r="B3391" t="s">
        <v>1572</v>
      </c>
      <c r="C3391" t="s">
        <v>48</v>
      </c>
      <c r="D3391" t="s">
        <v>204</v>
      </c>
      <c r="E3391">
        <f t="shared" si="154"/>
        <v>0.04</v>
      </c>
      <c r="F3391">
        <v>166</v>
      </c>
      <c r="G3391">
        <f>LOG(382/(166+1))</f>
        <v>0.35934689176412549</v>
      </c>
      <c r="H3391">
        <f>0.04*0.82742679618982</f>
        <v>3.30970718475928E-2</v>
      </c>
      <c r="I3391">
        <v>3.30970718475928E-2</v>
      </c>
    </row>
    <row r="3392" spans="1:9" x14ac:dyDescent="0.25">
      <c r="A3392">
        <v>284</v>
      </c>
      <c r="B3392" t="s">
        <v>1572</v>
      </c>
      <c r="C3392" t="s">
        <v>48</v>
      </c>
      <c r="D3392" t="s">
        <v>77</v>
      </c>
      <c r="E3392">
        <f t="shared" si="154"/>
        <v>0.04</v>
      </c>
      <c r="F3392">
        <v>148</v>
      </c>
      <c r="G3392">
        <f>LOG(382/(148+1))</f>
        <v>0.40887709449943471</v>
      </c>
      <c r="H3392">
        <f>0.04*0.941474302661116</f>
        <v>3.7658972106444637E-2</v>
      </c>
      <c r="I3392">
        <v>3.7658972106444637E-2</v>
      </c>
    </row>
    <row r="3393" spans="1:9" x14ac:dyDescent="0.25">
      <c r="A3393">
        <v>284</v>
      </c>
      <c r="B3393" t="s">
        <v>1572</v>
      </c>
      <c r="C3393" t="s">
        <v>48</v>
      </c>
      <c r="D3393" t="s">
        <v>331</v>
      </c>
      <c r="E3393">
        <f t="shared" si="154"/>
        <v>0.04</v>
      </c>
      <c r="F3393">
        <v>130</v>
      </c>
      <c r="G3393">
        <f>LOG(382/(130+1))</f>
        <v>0.46479206725594452</v>
      </c>
      <c r="H3393">
        <f>0.04*1.07022328540542</f>
        <v>4.2808931416216806E-2</v>
      </c>
      <c r="I3393">
        <v>4.2808931416216937E-2</v>
      </c>
    </row>
    <row r="3394" spans="1:9" x14ac:dyDescent="0.25">
      <c r="A3394">
        <v>284</v>
      </c>
      <c r="B3394" t="s">
        <v>1572</v>
      </c>
      <c r="C3394" t="s">
        <v>48</v>
      </c>
      <c r="D3394" t="s">
        <v>53</v>
      </c>
      <c r="E3394">
        <f t="shared" si="154"/>
        <v>0.04</v>
      </c>
      <c r="F3394">
        <v>57</v>
      </c>
      <c r="G3394">
        <f>LOG(382/(57+1))</f>
        <v>0.81863536934877146</v>
      </c>
      <c r="H3394">
        <f>0.04*1.88497759806015</f>
        <v>7.5399103922405994E-2</v>
      </c>
      <c r="I3394">
        <v>7.539910392240623E-2</v>
      </c>
    </row>
    <row r="3395" spans="1:9" x14ac:dyDescent="0.25">
      <c r="A3395">
        <v>284</v>
      </c>
      <c r="B3395" t="s">
        <v>1572</v>
      </c>
      <c r="C3395" t="s">
        <v>48</v>
      </c>
      <c r="D3395" t="s">
        <v>52</v>
      </c>
      <c r="E3395">
        <f t="shared" si="154"/>
        <v>0.04</v>
      </c>
      <c r="F3395">
        <v>35</v>
      </c>
      <c r="G3395">
        <f>LOG(382/(35+1))</f>
        <v>1.0257608621444214</v>
      </c>
      <c r="H3395">
        <f>0.04*2.36190167015046</f>
        <v>9.4476066806018402E-2</v>
      </c>
      <c r="I3395">
        <v>9.4476066806018597E-2</v>
      </c>
    </row>
    <row r="3396" spans="1:9" x14ac:dyDescent="0.25">
      <c r="A3396">
        <v>286</v>
      </c>
      <c r="B3396" t="s">
        <v>1575</v>
      </c>
      <c r="C3396" t="s">
        <v>48</v>
      </c>
      <c r="D3396" t="s">
        <v>1101</v>
      </c>
      <c r="E3396">
        <f>3/90</f>
        <v>3.3333333333333333E-2</v>
      </c>
      <c r="F3396">
        <v>2</v>
      </c>
      <c r="G3396">
        <f>LOG(382/(2+1))</f>
        <v>2.1049421081920463</v>
      </c>
      <c r="H3396">
        <f>0.0333333333333333*4.84680831993846</f>
        <v>0.16156027733128184</v>
      </c>
      <c r="I3396">
        <v>0.1615602773312822</v>
      </c>
    </row>
    <row r="3397" spans="1:9" x14ac:dyDescent="0.25">
      <c r="A3397">
        <v>286</v>
      </c>
      <c r="B3397" t="s">
        <v>1575</v>
      </c>
      <c r="C3397" t="s">
        <v>48</v>
      </c>
      <c r="D3397" t="s">
        <v>41</v>
      </c>
      <c r="E3397">
        <f>5/90</f>
        <v>5.5555555555555552E-2</v>
      </c>
      <c r="F3397">
        <v>195</v>
      </c>
      <c r="G3397">
        <f>LOG(382/(195+1))</f>
        <v>0.28980729155523272</v>
      </c>
      <c r="H3397">
        <f>0.0555555555555555*0.667305949376058</f>
        <v>3.7072552743114294E-2</v>
      </c>
      <c r="I3397">
        <v>3.7072552743114343E-2</v>
      </c>
    </row>
    <row r="3398" spans="1:9" x14ac:dyDescent="0.25">
      <c r="A3398">
        <v>286</v>
      </c>
      <c r="B3398" t="s">
        <v>1575</v>
      </c>
      <c r="C3398" t="s">
        <v>48</v>
      </c>
      <c r="D3398" t="s">
        <v>726</v>
      </c>
      <c r="E3398">
        <f>4/90</f>
        <v>4.4444444444444446E-2</v>
      </c>
      <c r="F3398">
        <v>37</v>
      </c>
      <c r="G3398">
        <f>LOG(382/(37+1))</f>
        <v>1.0022797662948986</v>
      </c>
      <c r="H3398">
        <f>0.0444444444444444*2.30783444888018</f>
        <v>0.10257041995023011</v>
      </c>
      <c r="I3398">
        <v>0.1025704199502306</v>
      </c>
    </row>
    <row r="3399" spans="1:9" x14ac:dyDescent="0.25">
      <c r="A3399">
        <v>286</v>
      </c>
      <c r="B3399" t="s">
        <v>1575</v>
      </c>
      <c r="C3399" t="s">
        <v>48</v>
      </c>
      <c r="D3399" t="s">
        <v>1576</v>
      </c>
      <c r="E3399">
        <f>2/90</f>
        <v>2.2222222222222223E-2</v>
      </c>
      <c r="F3399">
        <v>2</v>
      </c>
      <c r="G3399">
        <f>LOG(382/(2+1))</f>
        <v>2.1049421081920463</v>
      </c>
      <c r="H3399">
        <f>0.0222222222222222*4.84680831993846</f>
        <v>0.10770685155418788</v>
      </c>
      <c r="I3399">
        <v>0.1077068515541881</v>
      </c>
    </row>
    <row r="3400" spans="1:9" x14ac:dyDescent="0.25">
      <c r="A3400">
        <v>286</v>
      </c>
      <c r="B3400" t="s">
        <v>1575</v>
      </c>
      <c r="C3400" t="s">
        <v>48</v>
      </c>
      <c r="D3400" t="s">
        <v>1577</v>
      </c>
      <c r="E3400">
        <f>1/90</f>
        <v>1.1111111111111112E-2</v>
      </c>
      <c r="F3400">
        <v>3</v>
      </c>
      <c r="G3400">
        <f>LOG(382/(3+1))</f>
        <v>1.9800033715837464</v>
      </c>
      <c r="H3400">
        <f>0.0111111111111111*4.55912624748668</f>
        <v>5.06569583054075E-2</v>
      </c>
      <c r="I3400">
        <v>5.0656958305407611E-2</v>
      </c>
    </row>
    <row r="3401" spans="1:9" x14ac:dyDescent="0.25">
      <c r="A3401">
        <v>286</v>
      </c>
      <c r="B3401" t="s">
        <v>1575</v>
      </c>
      <c r="C3401" t="s">
        <v>48</v>
      </c>
      <c r="D3401" t="s">
        <v>1578</v>
      </c>
      <c r="E3401">
        <f>10/90</f>
        <v>0.1111111111111111</v>
      </c>
      <c r="F3401">
        <v>8</v>
      </c>
      <c r="G3401">
        <f>LOG(382/(8+1))</f>
        <v>1.6278208534723839</v>
      </c>
      <c r="H3401">
        <f>0.111111111111111*3.74819603127035</f>
        <v>0.41646622569670511</v>
      </c>
      <c r="I3401">
        <v>0.41646622569670622</v>
      </c>
    </row>
    <row r="3402" spans="1:9" x14ac:dyDescent="0.25">
      <c r="A3402">
        <v>286</v>
      </c>
      <c r="B3402" t="s">
        <v>1575</v>
      </c>
      <c r="C3402" t="s">
        <v>48</v>
      </c>
      <c r="D3402" t="s">
        <v>465</v>
      </c>
      <c r="E3402">
        <f>1/90</f>
        <v>1.1111111111111112E-2</v>
      </c>
      <c r="F3402">
        <v>36</v>
      </c>
      <c r="G3402">
        <f>LOG(382/(36+1))</f>
        <v>1.0138616388447137</v>
      </c>
      <c r="H3402">
        <f>0.0111111111111111*2.33450269596235</f>
        <v>2.5938918844026083E-2</v>
      </c>
      <c r="I3402">
        <v>2.5938918844026122E-2</v>
      </c>
    </row>
    <row r="3403" spans="1:9" x14ac:dyDescent="0.25">
      <c r="A3403">
        <v>286</v>
      </c>
      <c r="B3403" t="s">
        <v>1575</v>
      </c>
      <c r="C3403" t="s">
        <v>48</v>
      </c>
      <c r="D3403" t="s">
        <v>40</v>
      </c>
      <c r="E3403">
        <f>3/90</f>
        <v>3.3333333333333333E-2</v>
      </c>
      <c r="F3403">
        <v>159</v>
      </c>
      <c r="G3403">
        <f>LOG(382/(159+1))</f>
        <v>0.377943380255784</v>
      </c>
      <c r="H3403">
        <f>0.0333333333333333*0.870246793372748</f>
        <v>2.9008226445758237E-2</v>
      </c>
      <c r="I3403">
        <v>2.9008226445758279E-2</v>
      </c>
    </row>
    <row r="3404" spans="1:9" x14ac:dyDescent="0.25">
      <c r="A3404">
        <v>286</v>
      </c>
      <c r="B3404" t="s">
        <v>1575</v>
      </c>
      <c r="C3404" t="s">
        <v>48</v>
      </c>
      <c r="D3404" t="s">
        <v>22</v>
      </c>
      <c r="E3404">
        <f>1/90</f>
        <v>1.1111111111111112E-2</v>
      </c>
      <c r="F3404">
        <v>259</v>
      </c>
      <c r="G3404">
        <f>LOG(382/(259+1))</f>
        <v>0.16709001494089079</v>
      </c>
      <c r="H3404">
        <f>0.0111111111111111*0.384738977591047</f>
        <v>4.2748775287894071E-3</v>
      </c>
      <c r="I3404">
        <v>4.2748775287894166E-3</v>
      </c>
    </row>
    <row r="3405" spans="1:9" x14ac:dyDescent="0.25">
      <c r="A3405">
        <v>286</v>
      </c>
      <c r="B3405" t="s">
        <v>1575</v>
      </c>
      <c r="C3405" t="s">
        <v>48</v>
      </c>
      <c r="D3405" t="s">
        <v>23</v>
      </c>
      <c r="E3405">
        <f>1/90</f>
        <v>1.1111111111111112E-2</v>
      </c>
      <c r="F3405">
        <v>275</v>
      </c>
      <c r="G3405">
        <f>LOG(382/(275+1))</f>
        <v>0.14115428084649101</v>
      </c>
      <c r="H3405">
        <f>0.0111111111111111*0.325019742889425</f>
        <v>3.6113304765491628E-3</v>
      </c>
      <c r="I3405">
        <v>3.611330476549168E-3</v>
      </c>
    </row>
    <row r="3406" spans="1:9" x14ac:dyDescent="0.25">
      <c r="A3406">
        <v>286</v>
      </c>
      <c r="B3406" t="s">
        <v>1575</v>
      </c>
      <c r="C3406" t="s">
        <v>48</v>
      </c>
      <c r="D3406" t="s">
        <v>24</v>
      </c>
      <c r="E3406">
        <f>2/90</f>
        <v>2.2222222222222223E-2</v>
      </c>
      <c r="F3406">
        <v>59</v>
      </c>
      <c r="G3406">
        <f>LOG(382/(59+1))</f>
        <v>0.80391211252806505</v>
      </c>
      <c r="H3406">
        <f>0.0222222222222222*1.85107604638447</f>
        <v>4.1135023252988179E-2</v>
      </c>
      <c r="I3406">
        <v>4.1135023252988318E-2</v>
      </c>
    </row>
    <row r="3407" spans="1:9" x14ac:dyDescent="0.25">
      <c r="A3407">
        <v>286</v>
      </c>
      <c r="B3407" t="s">
        <v>1575</v>
      </c>
      <c r="C3407" t="s">
        <v>48</v>
      </c>
      <c r="D3407" t="s">
        <v>1579</v>
      </c>
      <c r="E3407">
        <f t="shared" ref="E3407:E3420" si="155">1/90</f>
        <v>1.1111111111111112E-2</v>
      </c>
      <c r="F3407">
        <v>6</v>
      </c>
      <c r="G3407">
        <f>LOG(382/(6+1))</f>
        <v>1.736965322897452</v>
      </c>
      <c r="H3407">
        <f>0.0111111111111111*3.99951045955126</f>
        <v>4.4439005106125064E-2</v>
      </c>
      <c r="I3407">
        <v>4.4439005106125133E-2</v>
      </c>
    </row>
    <row r="3408" spans="1:9" x14ac:dyDescent="0.25">
      <c r="A3408">
        <v>286</v>
      </c>
      <c r="B3408" t="s">
        <v>1575</v>
      </c>
      <c r="C3408" t="s">
        <v>48</v>
      </c>
      <c r="D3408" t="s">
        <v>38</v>
      </c>
      <c r="E3408">
        <f t="shared" si="155"/>
        <v>1.1111111111111112E-2</v>
      </c>
      <c r="F3408">
        <v>86</v>
      </c>
      <c r="G3408">
        <f>LOG(382/(86+1))</f>
        <v>0.64254411029309022</v>
      </c>
      <c r="H3408">
        <f>0.0111111111111111*1.47951248995199</f>
        <v>1.6439027666133206E-2</v>
      </c>
      <c r="I3408">
        <v>1.6439027666133241E-2</v>
      </c>
    </row>
    <row r="3409" spans="1:9" x14ac:dyDescent="0.25">
      <c r="A3409">
        <v>286</v>
      </c>
      <c r="B3409" t="s">
        <v>1575</v>
      </c>
      <c r="C3409" t="s">
        <v>48</v>
      </c>
      <c r="D3409" t="s">
        <v>1580</v>
      </c>
      <c r="E3409">
        <f t="shared" si="155"/>
        <v>1.1111111111111112E-2</v>
      </c>
      <c r="F3409">
        <v>1</v>
      </c>
      <c r="G3409">
        <f>LOG(382/(1+1))</f>
        <v>2.2810333672477277</v>
      </c>
      <c r="H3409">
        <f>0.0111111111111111*5.25227342804663</f>
        <v>5.8358593644962493E-2</v>
      </c>
      <c r="I3409">
        <v>5.8358593644962563E-2</v>
      </c>
    </row>
    <row r="3410" spans="1:9" x14ac:dyDescent="0.25">
      <c r="A3410">
        <v>286</v>
      </c>
      <c r="B3410" t="s">
        <v>1575</v>
      </c>
      <c r="C3410" t="s">
        <v>48</v>
      </c>
      <c r="D3410" t="s">
        <v>1581</v>
      </c>
      <c r="E3410">
        <f t="shared" si="155"/>
        <v>1.1111111111111112E-2</v>
      </c>
      <c r="F3410">
        <v>4</v>
      </c>
      <c r="G3410">
        <f>LOG(382/(4+1))</f>
        <v>1.8830933585756899</v>
      </c>
      <c r="H3410">
        <f>0.0111111111111111*4.33598269617247</f>
        <v>4.81775855130274E-2</v>
      </c>
      <c r="I3410">
        <v>4.8177585513027497E-2</v>
      </c>
    </row>
    <row r="3411" spans="1:9" x14ac:dyDescent="0.25">
      <c r="A3411">
        <v>286</v>
      </c>
      <c r="B3411" t="s">
        <v>1575</v>
      </c>
      <c r="C3411" t="s">
        <v>48</v>
      </c>
      <c r="D3411" t="s">
        <v>350</v>
      </c>
      <c r="E3411">
        <f t="shared" si="155"/>
        <v>1.1111111111111112E-2</v>
      </c>
      <c r="F3411">
        <v>5</v>
      </c>
      <c r="G3411">
        <f>LOG(382/(5+1))</f>
        <v>1.803912112528065</v>
      </c>
      <c r="H3411">
        <f>0.0111111111111111*4.15366113937852</f>
        <v>4.6151790437539059E-2</v>
      </c>
      <c r="I3411">
        <v>4.6151790437539107E-2</v>
      </c>
    </row>
    <row r="3412" spans="1:9" x14ac:dyDescent="0.25">
      <c r="A3412">
        <v>286</v>
      </c>
      <c r="B3412" t="s">
        <v>1575</v>
      </c>
      <c r="C3412" t="s">
        <v>48</v>
      </c>
      <c r="D3412" t="s">
        <v>117</v>
      </c>
      <c r="E3412">
        <f t="shared" si="155"/>
        <v>1.1111111111111112E-2</v>
      </c>
      <c r="F3412">
        <v>8</v>
      </c>
      <c r="G3412">
        <f>LOG(382/(8+1))</f>
        <v>1.6278208534723839</v>
      </c>
      <c r="H3412">
        <f>0.0111111111111111*3.74819603127035</f>
        <v>4.1646622569670513E-2</v>
      </c>
      <c r="I3412">
        <v>4.1646622569670617E-2</v>
      </c>
    </row>
    <row r="3413" spans="1:9" x14ac:dyDescent="0.25">
      <c r="A3413">
        <v>286</v>
      </c>
      <c r="B3413" t="s">
        <v>1575</v>
      </c>
      <c r="C3413" t="s">
        <v>48</v>
      </c>
      <c r="D3413" t="s">
        <v>1582</v>
      </c>
      <c r="E3413">
        <f t="shared" si="155"/>
        <v>1.1111111111111112E-2</v>
      </c>
      <c r="F3413">
        <v>1</v>
      </c>
      <c r="G3413">
        <f>LOG(382/(1+1))</f>
        <v>2.2810333672477277</v>
      </c>
      <c r="H3413">
        <f>0.0111111111111111*5.25227342804663</f>
        <v>5.8358593644962493E-2</v>
      </c>
      <c r="I3413">
        <v>5.8358593644962563E-2</v>
      </c>
    </row>
    <row r="3414" spans="1:9" x14ac:dyDescent="0.25">
      <c r="A3414">
        <v>286</v>
      </c>
      <c r="B3414" t="s">
        <v>1575</v>
      </c>
      <c r="C3414" t="s">
        <v>48</v>
      </c>
      <c r="D3414" t="s">
        <v>1583</v>
      </c>
      <c r="E3414">
        <f t="shared" si="155"/>
        <v>1.1111111111111112E-2</v>
      </c>
      <c r="F3414">
        <v>1</v>
      </c>
      <c r="G3414">
        <f>LOG(382/(1+1))</f>
        <v>2.2810333672477277</v>
      </c>
      <c r="H3414">
        <f>0.0111111111111111*5.25227342804663</f>
        <v>5.8358593644962493E-2</v>
      </c>
      <c r="I3414">
        <v>5.8358593644962563E-2</v>
      </c>
    </row>
    <row r="3415" spans="1:9" x14ac:dyDescent="0.25">
      <c r="A3415">
        <v>286</v>
      </c>
      <c r="B3415" t="s">
        <v>1575</v>
      </c>
      <c r="C3415" t="s">
        <v>48</v>
      </c>
      <c r="D3415" t="s">
        <v>149</v>
      </c>
      <c r="E3415">
        <f t="shared" si="155"/>
        <v>1.1111111111111112E-2</v>
      </c>
      <c r="F3415">
        <v>35</v>
      </c>
      <c r="G3415">
        <f>LOG(382/(35+1))</f>
        <v>1.0257608621444214</v>
      </c>
      <c r="H3415">
        <f>0.0111111111111111*2.36190167015046</f>
        <v>2.6243351890560641E-2</v>
      </c>
      <c r="I3415">
        <v>2.624335189056072E-2</v>
      </c>
    </row>
    <row r="3416" spans="1:9" x14ac:dyDescent="0.25">
      <c r="A3416">
        <v>286</v>
      </c>
      <c r="B3416" t="s">
        <v>1575</v>
      </c>
      <c r="C3416" t="s">
        <v>48</v>
      </c>
      <c r="D3416" t="s">
        <v>1584</v>
      </c>
      <c r="E3416">
        <f t="shared" si="155"/>
        <v>1.1111111111111112E-2</v>
      </c>
      <c r="F3416">
        <v>1</v>
      </c>
      <c r="G3416">
        <f>LOG(382/(1+1))</f>
        <v>2.2810333672477277</v>
      </c>
      <c r="H3416">
        <f>0.0111111111111111*5.25227342804663</f>
        <v>5.8358593644962493E-2</v>
      </c>
      <c r="I3416">
        <v>5.8358593644962563E-2</v>
      </c>
    </row>
    <row r="3417" spans="1:9" x14ac:dyDescent="0.25">
      <c r="A3417">
        <v>286</v>
      </c>
      <c r="B3417" t="s">
        <v>1575</v>
      </c>
      <c r="C3417" t="s">
        <v>48</v>
      </c>
      <c r="D3417" t="s">
        <v>475</v>
      </c>
      <c r="E3417">
        <f t="shared" si="155"/>
        <v>1.1111111111111112E-2</v>
      </c>
      <c r="F3417">
        <v>16</v>
      </c>
      <c r="G3417">
        <f>LOG(382/(16+1))</f>
        <v>1.3516144415334348</v>
      </c>
      <c r="H3417">
        <f>0.0111111111111111*3.11220726455035</f>
        <v>3.4580080717226069E-2</v>
      </c>
      <c r="I3417">
        <v>3.4580080717226222E-2</v>
      </c>
    </row>
    <row r="3418" spans="1:9" x14ac:dyDescent="0.25">
      <c r="A3418">
        <v>286</v>
      </c>
      <c r="B3418" t="s">
        <v>1575</v>
      </c>
      <c r="C3418" t="s">
        <v>48</v>
      </c>
      <c r="D3418" t="s">
        <v>1585</v>
      </c>
      <c r="E3418">
        <f t="shared" si="155"/>
        <v>1.1111111111111112E-2</v>
      </c>
      <c r="F3418">
        <v>1</v>
      </c>
      <c r="G3418">
        <f>LOG(382/(1+1))</f>
        <v>2.2810333672477277</v>
      </c>
      <c r="H3418">
        <f>0.0111111111111111*5.25227342804663</f>
        <v>5.8358593644962493E-2</v>
      </c>
      <c r="I3418">
        <v>5.8358593644962563E-2</v>
      </c>
    </row>
    <row r="3419" spans="1:9" x14ac:dyDescent="0.25">
      <c r="A3419">
        <v>286</v>
      </c>
      <c r="B3419" t="s">
        <v>1575</v>
      </c>
      <c r="C3419" t="s">
        <v>48</v>
      </c>
      <c r="D3419" t="s">
        <v>1586</v>
      </c>
      <c r="E3419">
        <f t="shared" si="155"/>
        <v>1.1111111111111112E-2</v>
      </c>
      <c r="F3419">
        <v>1</v>
      </c>
      <c r="G3419">
        <f>LOG(382/(1+1))</f>
        <v>2.2810333672477277</v>
      </c>
      <c r="H3419">
        <f>0.0111111111111111*5.25227342804663</f>
        <v>5.8358593644962493E-2</v>
      </c>
      <c r="I3419">
        <v>5.8358593644962563E-2</v>
      </c>
    </row>
    <row r="3420" spans="1:9" x14ac:dyDescent="0.25">
      <c r="A3420">
        <v>286</v>
      </c>
      <c r="B3420" t="s">
        <v>1575</v>
      </c>
      <c r="C3420" t="s">
        <v>48</v>
      </c>
      <c r="D3420" t="s">
        <v>1524</v>
      </c>
      <c r="E3420">
        <f t="shared" si="155"/>
        <v>1.1111111111111112E-2</v>
      </c>
      <c r="F3420">
        <v>3</v>
      </c>
      <c r="G3420">
        <f>LOG(382/(3+1))</f>
        <v>1.9800033715837464</v>
      </c>
      <c r="H3420">
        <f>0.0111111111111111*4.55912624748668</f>
        <v>5.06569583054075E-2</v>
      </c>
      <c r="I3420">
        <v>5.0656958305407611E-2</v>
      </c>
    </row>
    <row r="3421" spans="1:9" x14ac:dyDescent="0.25">
      <c r="A3421">
        <v>286</v>
      </c>
      <c r="B3421" t="s">
        <v>1575</v>
      </c>
      <c r="C3421" t="s">
        <v>48</v>
      </c>
      <c r="D3421" t="s">
        <v>1587</v>
      </c>
      <c r="E3421">
        <f>2/90</f>
        <v>2.2222222222222223E-2</v>
      </c>
      <c r="F3421">
        <v>2</v>
      </c>
      <c r="G3421">
        <f>LOG(382/(2+1))</f>
        <v>2.1049421081920463</v>
      </c>
      <c r="H3421">
        <f>0.0222222222222222*4.84680831993846</f>
        <v>0.10770685155418788</v>
      </c>
      <c r="I3421">
        <v>0.1077068515541881</v>
      </c>
    </row>
    <row r="3422" spans="1:9" x14ac:dyDescent="0.25">
      <c r="A3422">
        <v>286</v>
      </c>
      <c r="B3422" t="s">
        <v>1575</v>
      </c>
      <c r="C3422" t="s">
        <v>48</v>
      </c>
      <c r="D3422" t="s">
        <v>1588</v>
      </c>
      <c r="E3422">
        <f t="shared" ref="E3422:E3430" si="156">1/90</f>
        <v>1.1111111111111112E-2</v>
      </c>
      <c r="F3422">
        <v>4</v>
      </c>
      <c r="G3422">
        <f>LOG(382/(4+1))</f>
        <v>1.8830933585756899</v>
      </c>
      <c r="H3422">
        <f>0.0111111111111111*4.33598269617247</f>
        <v>4.81775855130274E-2</v>
      </c>
      <c r="I3422">
        <v>4.8177585513027497E-2</v>
      </c>
    </row>
    <row r="3423" spans="1:9" x14ac:dyDescent="0.25">
      <c r="A3423">
        <v>286</v>
      </c>
      <c r="B3423" t="s">
        <v>1575</v>
      </c>
      <c r="C3423" t="s">
        <v>48</v>
      </c>
      <c r="D3423" t="s">
        <v>234</v>
      </c>
      <c r="E3423">
        <f t="shared" si="156"/>
        <v>1.1111111111111112E-2</v>
      </c>
      <c r="F3423">
        <v>6</v>
      </c>
      <c r="G3423">
        <f>LOG(382/(6+1))</f>
        <v>1.736965322897452</v>
      </c>
      <c r="H3423">
        <f>0.0111111111111111*3.99951045955126</f>
        <v>4.4439005106125064E-2</v>
      </c>
      <c r="I3423">
        <v>4.4439005106125133E-2</v>
      </c>
    </row>
    <row r="3424" spans="1:9" x14ac:dyDescent="0.25">
      <c r="A3424">
        <v>286</v>
      </c>
      <c r="B3424" t="s">
        <v>1575</v>
      </c>
      <c r="C3424" t="s">
        <v>48</v>
      </c>
      <c r="D3424" t="s">
        <v>187</v>
      </c>
      <c r="E3424">
        <f t="shared" si="156"/>
        <v>1.1111111111111112E-2</v>
      </c>
      <c r="F3424">
        <v>21</v>
      </c>
      <c r="G3424">
        <f>LOG(382/(21+1))</f>
        <v>1.2396406820895025</v>
      </c>
      <c r="H3424">
        <f>0.0111111111111111*2.85437815524825</f>
        <v>3.1715312836091629E-2</v>
      </c>
      <c r="I3424">
        <v>3.1715312836091768E-2</v>
      </c>
    </row>
    <row r="3425" spans="1:9" x14ac:dyDescent="0.25">
      <c r="A3425">
        <v>286</v>
      </c>
      <c r="B3425" t="s">
        <v>1575</v>
      </c>
      <c r="C3425" t="s">
        <v>48</v>
      </c>
      <c r="D3425" t="s">
        <v>1589</v>
      </c>
      <c r="E3425">
        <f t="shared" si="156"/>
        <v>1.1111111111111112E-2</v>
      </c>
      <c r="F3425">
        <v>1</v>
      </c>
      <c r="G3425">
        <f>LOG(382/(1+1))</f>
        <v>2.2810333672477277</v>
      </c>
      <c r="H3425">
        <f>0.0111111111111111*5.25227342804663</f>
        <v>5.8358593644962493E-2</v>
      </c>
      <c r="I3425">
        <v>5.8358593644962563E-2</v>
      </c>
    </row>
    <row r="3426" spans="1:9" x14ac:dyDescent="0.25">
      <c r="A3426">
        <v>286</v>
      </c>
      <c r="B3426" t="s">
        <v>1575</v>
      </c>
      <c r="C3426" t="s">
        <v>48</v>
      </c>
      <c r="D3426" t="s">
        <v>1590</v>
      </c>
      <c r="E3426">
        <f t="shared" si="156"/>
        <v>1.1111111111111112E-2</v>
      </c>
      <c r="F3426">
        <v>1</v>
      </c>
      <c r="G3426">
        <f>LOG(382/(1+1))</f>
        <v>2.2810333672477277</v>
      </c>
      <c r="H3426">
        <f>0.0111111111111111*5.25227342804663</f>
        <v>5.8358593644962493E-2</v>
      </c>
      <c r="I3426">
        <v>5.8358593644962563E-2</v>
      </c>
    </row>
    <row r="3427" spans="1:9" x14ac:dyDescent="0.25">
      <c r="A3427">
        <v>286</v>
      </c>
      <c r="B3427" t="s">
        <v>1575</v>
      </c>
      <c r="C3427" t="s">
        <v>48</v>
      </c>
      <c r="D3427" t="s">
        <v>1591</v>
      </c>
      <c r="E3427">
        <f t="shared" si="156"/>
        <v>1.1111111111111112E-2</v>
      </c>
      <c r="F3427">
        <v>3</v>
      </c>
      <c r="G3427">
        <f>LOG(382/(3+1))</f>
        <v>1.9800033715837464</v>
      </c>
      <c r="H3427">
        <f>0.0111111111111111*4.55912624748668</f>
        <v>5.06569583054075E-2</v>
      </c>
      <c r="I3427">
        <v>5.0656958305407611E-2</v>
      </c>
    </row>
    <row r="3428" spans="1:9" x14ac:dyDescent="0.25">
      <c r="A3428">
        <v>286</v>
      </c>
      <c r="B3428" t="s">
        <v>1575</v>
      </c>
      <c r="C3428" t="s">
        <v>48</v>
      </c>
      <c r="D3428" t="s">
        <v>345</v>
      </c>
      <c r="E3428">
        <f t="shared" si="156"/>
        <v>1.1111111111111112E-2</v>
      </c>
      <c r="F3428">
        <v>8</v>
      </c>
      <c r="G3428">
        <f>LOG(382/(8+1))</f>
        <v>1.6278208534723839</v>
      </c>
      <c r="H3428">
        <f>0.0111111111111111*3.74819603127035</f>
        <v>4.1646622569670513E-2</v>
      </c>
      <c r="I3428">
        <v>4.1646622569670617E-2</v>
      </c>
    </row>
    <row r="3429" spans="1:9" x14ac:dyDescent="0.25">
      <c r="A3429">
        <v>286</v>
      </c>
      <c r="B3429" t="s">
        <v>1575</v>
      </c>
      <c r="C3429" t="s">
        <v>48</v>
      </c>
      <c r="D3429" t="s">
        <v>1592</v>
      </c>
      <c r="E3429">
        <f t="shared" si="156"/>
        <v>1.1111111111111112E-2</v>
      </c>
      <c r="F3429">
        <v>1</v>
      </c>
      <c r="G3429">
        <f>LOG(382/(1+1))</f>
        <v>2.2810333672477277</v>
      </c>
      <c r="H3429">
        <f>0.0111111111111111*5.25227342804663</f>
        <v>5.8358593644962493E-2</v>
      </c>
      <c r="I3429">
        <v>5.8358593644962563E-2</v>
      </c>
    </row>
    <row r="3430" spans="1:9" x14ac:dyDescent="0.25">
      <c r="A3430">
        <v>286</v>
      </c>
      <c r="B3430" t="s">
        <v>1575</v>
      </c>
      <c r="C3430" t="s">
        <v>48</v>
      </c>
      <c r="D3430" t="s">
        <v>1593</v>
      </c>
      <c r="E3430">
        <f t="shared" si="156"/>
        <v>1.1111111111111112E-2</v>
      </c>
      <c r="F3430">
        <v>1</v>
      </c>
      <c r="G3430">
        <f>LOG(382/(1+1))</f>
        <v>2.2810333672477277</v>
      </c>
      <c r="H3430">
        <f>0.0111111111111111*5.25227342804663</f>
        <v>5.8358593644962493E-2</v>
      </c>
      <c r="I3430">
        <v>5.8358593644962563E-2</v>
      </c>
    </row>
    <row r="3431" spans="1:9" x14ac:dyDescent="0.25">
      <c r="A3431">
        <v>286</v>
      </c>
      <c r="B3431" t="s">
        <v>1575</v>
      </c>
      <c r="C3431" t="s">
        <v>48</v>
      </c>
      <c r="D3431" t="s">
        <v>31</v>
      </c>
      <c r="E3431">
        <f>2/90</f>
        <v>2.2222222222222223E-2</v>
      </c>
      <c r="F3431">
        <v>31</v>
      </c>
      <c r="G3431">
        <f>LOG(382/(31+1))</f>
        <v>1.0769133845918029</v>
      </c>
      <c r="H3431">
        <f>0.0222222222222222*2.47968470580684</f>
        <v>5.5104104573485274E-2</v>
      </c>
      <c r="I3431">
        <v>5.5104104573485531E-2</v>
      </c>
    </row>
    <row r="3432" spans="1:9" x14ac:dyDescent="0.25">
      <c r="A3432">
        <v>286</v>
      </c>
      <c r="B3432" t="s">
        <v>1575</v>
      </c>
      <c r="C3432" t="s">
        <v>48</v>
      </c>
      <c r="D3432" t="s">
        <v>245</v>
      </c>
      <c r="E3432">
        <f t="shared" ref="E3432:E3452" si="157">1/90</f>
        <v>1.1111111111111112E-2</v>
      </c>
      <c r="F3432">
        <v>11</v>
      </c>
      <c r="G3432">
        <f>LOG(382/(11+1))</f>
        <v>1.5028821168640838</v>
      </c>
      <c r="H3432">
        <f>0.0111111111111111*3.46051395881857</f>
        <v>3.8450155097984072E-2</v>
      </c>
      <c r="I3432">
        <v>3.8450155097984169E-2</v>
      </c>
    </row>
    <row r="3433" spans="1:9" x14ac:dyDescent="0.25">
      <c r="A3433">
        <v>286</v>
      </c>
      <c r="B3433" t="s">
        <v>1575</v>
      </c>
      <c r="C3433" t="s">
        <v>48</v>
      </c>
      <c r="D3433" t="s">
        <v>1377</v>
      </c>
      <c r="E3433">
        <f t="shared" si="157"/>
        <v>1.1111111111111112E-2</v>
      </c>
      <c r="F3433">
        <v>5</v>
      </c>
      <c r="G3433">
        <f>LOG(382/(5+1))</f>
        <v>1.803912112528065</v>
      </c>
      <c r="H3433">
        <f>0.0111111111111111*4.15366113937852</f>
        <v>4.6151790437539059E-2</v>
      </c>
      <c r="I3433">
        <v>4.6151790437539107E-2</v>
      </c>
    </row>
    <row r="3434" spans="1:9" x14ac:dyDescent="0.25">
      <c r="A3434">
        <v>286</v>
      </c>
      <c r="B3434" t="s">
        <v>1575</v>
      </c>
      <c r="C3434" t="s">
        <v>48</v>
      </c>
      <c r="D3434" t="s">
        <v>942</v>
      </c>
      <c r="E3434">
        <f t="shared" si="157"/>
        <v>1.1111111111111112E-2</v>
      </c>
      <c r="F3434">
        <v>10</v>
      </c>
      <c r="G3434">
        <f>LOG(382/(10+1))</f>
        <v>1.5406706777534838</v>
      </c>
      <c r="H3434">
        <f>0.0111111111111111*3.5475253358082</f>
        <v>3.9416948175646629E-2</v>
      </c>
      <c r="I3434">
        <v>3.941694817564672E-2</v>
      </c>
    </row>
    <row r="3435" spans="1:9" x14ac:dyDescent="0.25">
      <c r="A3435">
        <v>286</v>
      </c>
      <c r="B3435" t="s">
        <v>1575</v>
      </c>
      <c r="C3435" t="s">
        <v>48</v>
      </c>
      <c r="D3435" t="s">
        <v>11</v>
      </c>
      <c r="E3435">
        <f t="shared" si="157"/>
        <v>1.1111111111111112E-2</v>
      </c>
      <c r="F3435">
        <v>83</v>
      </c>
      <c r="G3435">
        <f>LOG(382/(83+1))</f>
        <v>0.65778407684982709</v>
      </c>
      <c r="H3435">
        <f>0.0111111111111111*1.51460380976326</f>
        <v>1.682893121959176E-2</v>
      </c>
      <c r="I3435">
        <v>1.6828931219591791E-2</v>
      </c>
    </row>
    <row r="3436" spans="1:9" x14ac:dyDescent="0.25">
      <c r="A3436">
        <v>286</v>
      </c>
      <c r="B3436" t="s">
        <v>1575</v>
      </c>
      <c r="C3436" t="s">
        <v>48</v>
      </c>
      <c r="D3436" t="s">
        <v>105</v>
      </c>
      <c r="E3436">
        <f t="shared" si="157"/>
        <v>1.1111111111111112E-2</v>
      </c>
      <c r="F3436">
        <v>122</v>
      </c>
      <c r="G3436">
        <f>LOG(382/(122+1))</f>
        <v>0.49215825147231079</v>
      </c>
      <c r="H3436">
        <f>0.0111111111111111*1.13323625323415</f>
        <v>1.2591513924823876E-2</v>
      </c>
      <c r="I3436">
        <v>1.259151392482397E-2</v>
      </c>
    </row>
    <row r="3437" spans="1:9" x14ac:dyDescent="0.25">
      <c r="A3437">
        <v>286</v>
      </c>
      <c r="B3437" t="s">
        <v>1575</v>
      </c>
      <c r="C3437" t="s">
        <v>48</v>
      </c>
      <c r="D3437" t="s">
        <v>1594</v>
      </c>
      <c r="E3437">
        <f t="shared" si="157"/>
        <v>1.1111111111111112E-2</v>
      </c>
      <c r="F3437">
        <v>1</v>
      </c>
      <c r="G3437">
        <f>LOG(382/(1+1))</f>
        <v>2.2810333672477277</v>
      </c>
      <c r="H3437">
        <f>0.0111111111111111*5.25227342804663</f>
        <v>5.8358593644962493E-2</v>
      </c>
      <c r="I3437">
        <v>5.8358593644962563E-2</v>
      </c>
    </row>
    <row r="3438" spans="1:9" x14ac:dyDescent="0.25">
      <c r="A3438">
        <v>286</v>
      </c>
      <c r="B3438" t="s">
        <v>1575</v>
      </c>
      <c r="C3438" t="s">
        <v>48</v>
      </c>
      <c r="D3438" t="s">
        <v>941</v>
      </c>
      <c r="E3438">
        <f t="shared" si="157"/>
        <v>1.1111111111111112E-2</v>
      </c>
      <c r="F3438">
        <v>3</v>
      </c>
      <c r="G3438">
        <f>LOG(382/(3+1))</f>
        <v>1.9800033715837464</v>
      </c>
      <c r="H3438">
        <f>0.0111111111111111*4.55912624748668</f>
        <v>5.06569583054075E-2</v>
      </c>
      <c r="I3438">
        <v>5.0656958305407611E-2</v>
      </c>
    </row>
    <row r="3439" spans="1:9" x14ac:dyDescent="0.25">
      <c r="A3439">
        <v>286</v>
      </c>
      <c r="B3439" t="s">
        <v>1575</v>
      </c>
      <c r="C3439" t="s">
        <v>48</v>
      </c>
      <c r="D3439" t="s">
        <v>1595</v>
      </c>
      <c r="E3439">
        <f t="shared" si="157"/>
        <v>1.1111111111111112E-2</v>
      </c>
      <c r="F3439">
        <v>2</v>
      </c>
      <c r="G3439">
        <f>LOG(382/(2+1))</f>
        <v>2.1049421081920463</v>
      </c>
      <c r="H3439">
        <f>0.0111111111111111*4.84680831993846</f>
        <v>5.3853425777093941E-2</v>
      </c>
      <c r="I3439">
        <v>5.3853425777094059E-2</v>
      </c>
    </row>
    <row r="3440" spans="1:9" x14ac:dyDescent="0.25">
      <c r="A3440">
        <v>286</v>
      </c>
      <c r="B3440" t="s">
        <v>1575</v>
      </c>
      <c r="C3440" t="s">
        <v>48</v>
      </c>
      <c r="D3440" t="s">
        <v>913</v>
      </c>
      <c r="E3440">
        <f t="shared" si="157"/>
        <v>1.1111111111111112E-2</v>
      </c>
      <c r="F3440">
        <v>14</v>
      </c>
      <c r="G3440">
        <f>LOG(382/(14+1))</f>
        <v>1.4059721038560276</v>
      </c>
      <c r="H3440">
        <f>0.0111111111111111*3.23737040750436</f>
        <v>3.5970782305603959E-2</v>
      </c>
      <c r="I3440">
        <v>3.5970782305604063E-2</v>
      </c>
    </row>
    <row r="3441" spans="1:9" x14ac:dyDescent="0.25">
      <c r="A3441">
        <v>286</v>
      </c>
      <c r="B3441" t="s">
        <v>1575</v>
      </c>
      <c r="C3441" t="s">
        <v>48</v>
      </c>
      <c r="D3441" t="s">
        <v>725</v>
      </c>
      <c r="E3441">
        <f t="shared" si="157"/>
        <v>1.1111111111111112E-2</v>
      </c>
      <c r="F3441">
        <v>12</v>
      </c>
      <c r="G3441">
        <f>LOG(382/(12+1))</f>
        <v>1.468120010604872</v>
      </c>
      <c r="H3441">
        <f>0.0111111111111111*3.38047125114503</f>
        <v>3.7560791679389187E-2</v>
      </c>
      <c r="I3441">
        <v>3.7560791679389319E-2</v>
      </c>
    </row>
    <row r="3442" spans="1:9" x14ac:dyDescent="0.25">
      <c r="A3442">
        <v>286</v>
      </c>
      <c r="B3442" t="s">
        <v>1575</v>
      </c>
      <c r="C3442" t="s">
        <v>48</v>
      </c>
      <c r="D3442" t="s">
        <v>929</v>
      </c>
      <c r="E3442">
        <f t="shared" si="157"/>
        <v>1.1111111111111112E-2</v>
      </c>
      <c r="F3442">
        <v>32</v>
      </c>
      <c r="G3442">
        <f>LOG(382/(32+1))</f>
        <v>1.0635494230338212</v>
      </c>
      <c r="H3442">
        <f>0.0111111111111111*2.44891304714009</f>
        <v>2.7210144968223195E-2</v>
      </c>
      <c r="I3442">
        <v>2.7210144968223281E-2</v>
      </c>
    </row>
    <row r="3443" spans="1:9" x14ac:dyDescent="0.25">
      <c r="A3443">
        <v>286</v>
      </c>
      <c r="B3443" t="s">
        <v>1575</v>
      </c>
      <c r="C3443" t="s">
        <v>48</v>
      </c>
      <c r="D3443" t="s">
        <v>1596</v>
      </c>
      <c r="E3443">
        <f t="shared" si="157"/>
        <v>1.1111111111111112E-2</v>
      </c>
      <c r="F3443">
        <v>3</v>
      </c>
      <c r="G3443">
        <f>LOG(382/(3+1))</f>
        <v>1.9800033715837464</v>
      </c>
      <c r="H3443">
        <f>0.0111111111111111*4.55912624748668</f>
        <v>5.06569583054075E-2</v>
      </c>
      <c r="I3443">
        <v>5.0656958305407611E-2</v>
      </c>
    </row>
    <row r="3444" spans="1:9" x14ac:dyDescent="0.25">
      <c r="A3444">
        <v>286</v>
      </c>
      <c r="B3444" t="s">
        <v>1575</v>
      </c>
      <c r="C3444" t="s">
        <v>48</v>
      </c>
      <c r="D3444" t="s">
        <v>1597</v>
      </c>
      <c r="E3444">
        <f t="shared" si="157"/>
        <v>1.1111111111111112E-2</v>
      </c>
      <c r="F3444">
        <v>1</v>
      </c>
      <c r="G3444">
        <f>LOG(382/(1+1))</f>
        <v>2.2810333672477277</v>
      </c>
      <c r="H3444">
        <f>0.0111111111111111*5.25227342804663</f>
        <v>5.8358593644962493E-2</v>
      </c>
      <c r="I3444">
        <v>5.8358593644962563E-2</v>
      </c>
    </row>
    <row r="3445" spans="1:9" x14ac:dyDescent="0.25">
      <c r="A3445">
        <v>286</v>
      </c>
      <c r="B3445" t="s">
        <v>1575</v>
      </c>
      <c r="C3445" t="s">
        <v>48</v>
      </c>
      <c r="D3445" t="s">
        <v>103</v>
      </c>
      <c r="E3445">
        <f t="shared" si="157"/>
        <v>1.1111111111111112E-2</v>
      </c>
      <c r="F3445">
        <v>38</v>
      </c>
      <c r="G3445">
        <f>LOG(382/(38+1))</f>
        <v>0.99099875588520958</v>
      </c>
      <c r="H3445">
        <f>0.0111111111111111*2.28185896247692</f>
        <v>2.5353988471965752E-2</v>
      </c>
      <c r="I3445">
        <v>2.535398847196588E-2</v>
      </c>
    </row>
    <row r="3446" spans="1:9" x14ac:dyDescent="0.25">
      <c r="A3446">
        <v>286</v>
      </c>
      <c r="B3446" t="s">
        <v>1575</v>
      </c>
      <c r="C3446" t="s">
        <v>48</v>
      </c>
      <c r="D3446" t="s">
        <v>399</v>
      </c>
      <c r="E3446">
        <f t="shared" si="157"/>
        <v>1.1111111111111112E-2</v>
      </c>
      <c r="F3446">
        <v>27</v>
      </c>
      <c r="G3446">
        <f>LOG(382/(27+1))</f>
        <v>1.1349053315694895</v>
      </c>
      <c r="H3446">
        <f>0.0111111111111111*2.61321609843137</f>
        <v>2.9035734427015195E-2</v>
      </c>
      <c r="I3446">
        <v>2.903573442701524E-2</v>
      </c>
    </row>
    <row r="3447" spans="1:9" x14ac:dyDescent="0.25">
      <c r="A3447">
        <v>286</v>
      </c>
      <c r="B3447" t="s">
        <v>1575</v>
      </c>
      <c r="C3447" t="s">
        <v>48</v>
      </c>
      <c r="D3447" t="s">
        <v>1598</v>
      </c>
      <c r="E3447">
        <f t="shared" si="157"/>
        <v>1.1111111111111112E-2</v>
      </c>
      <c r="F3447">
        <v>1</v>
      </c>
      <c r="G3447">
        <f>LOG(382/(1+1))</f>
        <v>2.2810333672477277</v>
      </c>
      <c r="H3447">
        <f>0.0111111111111111*5.25227342804663</f>
        <v>5.8358593644962493E-2</v>
      </c>
      <c r="I3447">
        <v>5.8358593644962563E-2</v>
      </c>
    </row>
    <row r="3448" spans="1:9" x14ac:dyDescent="0.25">
      <c r="A3448">
        <v>286</v>
      </c>
      <c r="B3448" t="s">
        <v>1575</v>
      </c>
      <c r="C3448" t="s">
        <v>48</v>
      </c>
      <c r="D3448" t="s">
        <v>1599</v>
      </c>
      <c r="E3448">
        <f t="shared" si="157"/>
        <v>1.1111111111111112E-2</v>
      </c>
      <c r="F3448">
        <v>1</v>
      </c>
      <c r="G3448">
        <f>LOG(382/(1+1))</f>
        <v>2.2810333672477277</v>
      </c>
      <c r="H3448">
        <f>0.0111111111111111*5.25227342804663</f>
        <v>5.8358593644962493E-2</v>
      </c>
      <c r="I3448">
        <v>5.8358593644962563E-2</v>
      </c>
    </row>
    <row r="3449" spans="1:9" x14ac:dyDescent="0.25">
      <c r="A3449">
        <v>286</v>
      </c>
      <c r="B3449" t="s">
        <v>1575</v>
      </c>
      <c r="C3449" t="s">
        <v>48</v>
      </c>
      <c r="D3449" t="s">
        <v>1600</v>
      </c>
      <c r="E3449">
        <f t="shared" si="157"/>
        <v>1.1111111111111112E-2</v>
      </c>
      <c r="F3449">
        <v>1</v>
      </c>
      <c r="G3449">
        <f>LOG(382/(1+1))</f>
        <v>2.2810333672477277</v>
      </c>
      <c r="H3449">
        <f>0.0111111111111111*5.25227342804663</f>
        <v>5.8358593644962493E-2</v>
      </c>
      <c r="I3449">
        <v>5.8358593644962563E-2</v>
      </c>
    </row>
    <row r="3450" spans="1:9" x14ac:dyDescent="0.25">
      <c r="A3450">
        <v>286</v>
      </c>
      <c r="B3450" t="s">
        <v>1575</v>
      </c>
      <c r="C3450" t="s">
        <v>48</v>
      </c>
      <c r="D3450" t="s">
        <v>1601</v>
      </c>
      <c r="E3450">
        <f t="shared" si="157"/>
        <v>1.1111111111111112E-2</v>
      </c>
      <c r="F3450">
        <v>2</v>
      </c>
      <c r="G3450">
        <f>LOG(382/(2+1))</f>
        <v>2.1049421081920463</v>
      </c>
      <c r="H3450">
        <f>0.0111111111111111*4.84680831993846</f>
        <v>5.3853425777093941E-2</v>
      </c>
      <c r="I3450">
        <v>5.3853425777094059E-2</v>
      </c>
    </row>
    <row r="3451" spans="1:9" x14ac:dyDescent="0.25">
      <c r="A3451">
        <v>286</v>
      </c>
      <c r="B3451" t="s">
        <v>1575</v>
      </c>
      <c r="C3451" t="s">
        <v>48</v>
      </c>
      <c r="D3451" t="s">
        <v>1230</v>
      </c>
      <c r="E3451">
        <f t="shared" si="157"/>
        <v>1.1111111111111112E-2</v>
      </c>
      <c r="F3451">
        <v>10</v>
      </c>
      <c r="G3451">
        <f>LOG(382/(10+1))</f>
        <v>1.5406706777534838</v>
      </c>
      <c r="H3451">
        <f>0.0111111111111111*3.5475253358082</f>
        <v>3.9416948175646629E-2</v>
      </c>
      <c r="I3451">
        <v>3.941694817564672E-2</v>
      </c>
    </row>
    <row r="3452" spans="1:9" x14ac:dyDescent="0.25">
      <c r="A3452">
        <v>286</v>
      </c>
      <c r="B3452" t="s">
        <v>1575</v>
      </c>
      <c r="C3452" t="s">
        <v>48</v>
      </c>
      <c r="D3452" t="s">
        <v>1602</v>
      </c>
      <c r="E3452">
        <f t="shared" si="157"/>
        <v>1.1111111111111112E-2</v>
      </c>
      <c r="F3452">
        <v>2</v>
      </c>
      <c r="G3452">
        <f>LOG(382/(2+1))</f>
        <v>2.1049421081920463</v>
      </c>
      <c r="H3452">
        <f>0.0111111111111111*4.84680831993846</f>
        <v>5.3853425777093941E-2</v>
      </c>
      <c r="I3452">
        <v>5.3853425777094059E-2</v>
      </c>
    </row>
    <row r="3453" spans="1:9" x14ac:dyDescent="0.25">
      <c r="A3453">
        <v>286</v>
      </c>
      <c r="B3453" t="s">
        <v>1575</v>
      </c>
      <c r="C3453" t="s">
        <v>48</v>
      </c>
      <c r="D3453" t="s">
        <v>482</v>
      </c>
      <c r="E3453">
        <f>2/90</f>
        <v>2.2222222222222223E-2</v>
      </c>
      <c r="F3453">
        <v>16</v>
      </c>
      <c r="G3453">
        <f>LOG(382/(16+1))</f>
        <v>1.3516144415334348</v>
      </c>
      <c r="H3453">
        <f>0.0222222222222222*3.11220726455035</f>
        <v>6.9160161434452139E-2</v>
      </c>
      <c r="I3453">
        <v>6.916016143445243E-2</v>
      </c>
    </row>
    <row r="3454" spans="1:9" x14ac:dyDescent="0.25">
      <c r="A3454">
        <v>286</v>
      </c>
      <c r="B3454" t="s">
        <v>1575</v>
      </c>
      <c r="C3454" t="s">
        <v>48</v>
      </c>
      <c r="D3454" t="s">
        <v>680</v>
      </c>
      <c r="E3454">
        <f t="shared" ref="E3454:E3460" si="158">1/90</f>
        <v>1.1111111111111112E-2</v>
      </c>
      <c r="F3454">
        <v>25</v>
      </c>
      <c r="G3454">
        <f>LOG(382/(25+1))</f>
        <v>1.1670900149408907</v>
      </c>
      <c r="H3454">
        <f>0.0111111111111111*2.68732407058509</f>
        <v>2.9859156339834301E-2</v>
      </c>
      <c r="I3454">
        <v>2.985915633983437E-2</v>
      </c>
    </row>
    <row r="3455" spans="1:9" x14ac:dyDescent="0.25">
      <c r="A3455">
        <v>286</v>
      </c>
      <c r="B3455" t="s">
        <v>1575</v>
      </c>
      <c r="C3455" t="s">
        <v>48</v>
      </c>
      <c r="D3455" t="s">
        <v>373</v>
      </c>
      <c r="E3455">
        <f t="shared" si="158"/>
        <v>1.1111111111111112E-2</v>
      </c>
      <c r="F3455">
        <v>4</v>
      </c>
      <c r="G3455">
        <f>LOG(382/(4+1))</f>
        <v>1.8830933585756899</v>
      </c>
      <c r="H3455">
        <f>0.0111111111111111*4.33598269617247</f>
        <v>4.81775855130274E-2</v>
      </c>
      <c r="I3455">
        <v>4.8177585513027497E-2</v>
      </c>
    </row>
    <row r="3456" spans="1:9" x14ac:dyDescent="0.25">
      <c r="A3456">
        <v>286</v>
      </c>
      <c r="B3456" t="s">
        <v>1575</v>
      </c>
      <c r="C3456" t="s">
        <v>48</v>
      </c>
      <c r="D3456" t="s">
        <v>927</v>
      </c>
      <c r="E3456">
        <f t="shared" si="158"/>
        <v>1.1111111111111112E-2</v>
      </c>
      <c r="F3456">
        <v>4</v>
      </c>
      <c r="G3456">
        <f>LOG(382/(4+1))</f>
        <v>1.8830933585756899</v>
      </c>
      <c r="H3456">
        <f>0.0111111111111111*4.33598269617247</f>
        <v>4.81775855130274E-2</v>
      </c>
      <c r="I3456">
        <v>4.8177585513027497E-2</v>
      </c>
    </row>
    <row r="3457" spans="1:9" x14ac:dyDescent="0.25">
      <c r="A3457">
        <v>286</v>
      </c>
      <c r="B3457" t="s">
        <v>1575</v>
      </c>
      <c r="C3457" t="s">
        <v>48</v>
      </c>
      <c r="D3457" t="s">
        <v>1603</v>
      </c>
      <c r="E3457">
        <f t="shared" si="158"/>
        <v>1.1111111111111112E-2</v>
      </c>
      <c r="F3457">
        <v>1</v>
      </c>
      <c r="G3457">
        <f>LOG(382/(1+1))</f>
        <v>2.2810333672477277</v>
      </c>
      <c r="H3457">
        <f>0.0111111111111111*5.25227342804663</f>
        <v>5.8358593644962493E-2</v>
      </c>
      <c r="I3457">
        <v>5.8358593644962563E-2</v>
      </c>
    </row>
    <row r="3458" spans="1:9" x14ac:dyDescent="0.25">
      <c r="A3458">
        <v>286</v>
      </c>
      <c r="B3458" t="s">
        <v>1575</v>
      </c>
      <c r="C3458" t="s">
        <v>48</v>
      </c>
      <c r="D3458" t="s">
        <v>1604</v>
      </c>
      <c r="E3458">
        <f t="shared" si="158"/>
        <v>1.1111111111111112E-2</v>
      </c>
      <c r="F3458">
        <v>1</v>
      </c>
      <c r="G3458">
        <f>LOG(382/(1+1))</f>
        <v>2.2810333672477277</v>
      </c>
      <c r="H3458">
        <f>0.0111111111111111*5.25227342804663</f>
        <v>5.8358593644962493E-2</v>
      </c>
      <c r="I3458">
        <v>5.8358593644962563E-2</v>
      </c>
    </row>
    <row r="3459" spans="1:9" x14ac:dyDescent="0.25">
      <c r="A3459">
        <v>286</v>
      </c>
      <c r="B3459" t="s">
        <v>1575</v>
      </c>
      <c r="C3459" t="s">
        <v>48</v>
      </c>
      <c r="D3459" t="s">
        <v>1605</v>
      </c>
      <c r="E3459">
        <f t="shared" si="158"/>
        <v>1.1111111111111112E-2</v>
      </c>
      <c r="F3459">
        <v>1</v>
      </c>
      <c r="G3459">
        <f>LOG(382/(1+1))</f>
        <v>2.2810333672477277</v>
      </c>
      <c r="H3459">
        <f>0.0111111111111111*5.25227342804663</f>
        <v>5.8358593644962493E-2</v>
      </c>
      <c r="I3459">
        <v>5.8358593644962563E-2</v>
      </c>
    </row>
    <row r="3460" spans="1:9" x14ac:dyDescent="0.25">
      <c r="A3460">
        <v>286</v>
      </c>
      <c r="B3460" t="s">
        <v>1575</v>
      </c>
      <c r="C3460" t="s">
        <v>48</v>
      </c>
      <c r="D3460" t="s">
        <v>1606</v>
      </c>
      <c r="E3460">
        <f t="shared" si="158"/>
        <v>1.1111111111111112E-2</v>
      </c>
      <c r="F3460">
        <v>1</v>
      </c>
      <c r="G3460">
        <f>LOG(382/(1+1))</f>
        <v>2.2810333672477277</v>
      </c>
      <c r="H3460">
        <f>0.0111111111111111*5.25227342804663</f>
        <v>5.8358593644962493E-2</v>
      </c>
      <c r="I3460">
        <v>5.8358593644962563E-2</v>
      </c>
    </row>
    <row r="3461" spans="1:9" x14ac:dyDescent="0.25">
      <c r="A3461">
        <v>287</v>
      </c>
      <c r="B3461" t="s">
        <v>1607</v>
      </c>
      <c r="C3461" t="s">
        <v>48</v>
      </c>
      <c r="D3461" t="s">
        <v>269</v>
      </c>
      <c r="E3461">
        <f>3/60</f>
        <v>0.05</v>
      </c>
      <c r="F3461">
        <v>4</v>
      </c>
      <c r="G3461">
        <f>LOG(382/(4+1))</f>
        <v>1.8830933585756899</v>
      </c>
      <c r="H3461">
        <f>0.05*4.33598269617247</f>
        <v>0.21679913480862353</v>
      </c>
      <c r="I3461">
        <v>0.21679913480862381</v>
      </c>
    </row>
    <row r="3462" spans="1:9" x14ac:dyDescent="0.25">
      <c r="A3462">
        <v>287</v>
      </c>
      <c r="B3462" t="s">
        <v>1607</v>
      </c>
      <c r="C3462" t="s">
        <v>48</v>
      </c>
      <c r="D3462" t="s">
        <v>111</v>
      </c>
      <c r="E3462">
        <f>3/60</f>
        <v>0.05</v>
      </c>
      <c r="F3462">
        <v>33</v>
      </c>
      <c r="G3462">
        <f>LOG(382/(33+1))</f>
        <v>1.0505844458694535</v>
      </c>
      <c r="H3462">
        <f>0.05*2.41906008399041</f>
        <v>0.12095300419952051</v>
      </c>
      <c r="I3462">
        <v>0.12095300419952069</v>
      </c>
    </row>
    <row r="3463" spans="1:9" x14ac:dyDescent="0.25">
      <c r="A3463">
        <v>287</v>
      </c>
      <c r="B3463" t="s">
        <v>1607</v>
      </c>
      <c r="C3463" t="s">
        <v>48</v>
      </c>
      <c r="D3463" t="s">
        <v>15</v>
      </c>
      <c r="E3463">
        <f>2/60</f>
        <v>3.3333333333333333E-2</v>
      </c>
      <c r="F3463">
        <v>112</v>
      </c>
      <c r="G3463">
        <f>LOG(382/(112+1))</f>
        <v>0.52898491942828896</v>
      </c>
      <c r="H3463">
        <f>0.0333333333333333*1.21803278989423</f>
        <v>4.060109299647429E-2</v>
      </c>
      <c r="I3463">
        <v>4.0601092996474492E-2</v>
      </c>
    </row>
    <row r="3464" spans="1:9" x14ac:dyDescent="0.25">
      <c r="A3464">
        <v>287</v>
      </c>
      <c r="B3464" t="s">
        <v>1607</v>
      </c>
      <c r="C3464" t="s">
        <v>48</v>
      </c>
      <c r="D3464" t="s">
        <v>42</v>
      </c>
      <c r="E3464">
        <f t="shared" ref="E3464:E3485" si="159">1/60</f>
        <v>1.6666666666666666E-2</v>
      </c>
      <c r="F3464">
        <v>251</v>
      </c>
      <c r="G3464">
        <f>LOG(382/(251+1))</f>
        <v>0.18066282213016463</v>
      </c>
      <c r="H3464">
        <f>0.0166666666666666*0.415991521095151</f>
        <v>6.9331920182524884E-3</v>
      </c>
      <c r="I3464">
        <v>6.9331920182525309E-3</v>
      </c>
    </row>
    <row r="3465" spans="1:9" x14ac:dyDescent="0.25">
      <c r="A3465">
        <v>287</v>
      </c>
      <c r="B3465" t="s">
        <v>1607</v>
      </c>
      <c r="C3465" t="s">
        <v>48</v>
      </c>
      <c r="D3465" t="s">
        <v>17</v>
      </c>
      <c r="E3465">
        <f t="shared" si="159"/>
        <v>1.6666666666666666E-2</v>
      </c>
      <c r="F3465">
        <v>169</v>
      </c>
      <c r="G3465">
        <f>LOG(382/(169+1))</f>
        <v>0.3516144415334348</v>
      </c>
      <c r="H3465">
        <f>0.0166666666666666*0.809622171556313</f>
        <v>1.3493702859271831E-2</v>
      </c>
      <c r="I3465">
        <v>1.349370285927189E-2</v>
      </c>
    </row>
    <row r="3466" spans="1:9" x14ac:dyDescent="0.25">
      <c r="A3466">
        <v>287</v>
      </c>
      <c r="B3466" t="s">
        <v>1607</v>
      </c>
      <c r="C3466" t="s">
        <v>48</v>
      </c>
      <c r="D3466" t="s">
        <v>250</v>
      </c>
      <c r="E3466">
        <f t="shared" si="159"/>
        <v>1.6666666666666666E-2</v>
      </c>
      <c r="F3466">
        <v>14</v>
      </c>
      <c r="G3466">
        <f>LOG(382/(14+1))</f>
        <v>1.4059721038560276</v>
      </c>
      <c r="H3466">
        <f>0.0166666666666666*3.23737040750436</f>
        <v>5.3956173458405782E-2</v>
      </c>
      <c r="I3466">
        <v>5.3956173458406087E-2</v>
      </c>
    </row>
    <row r="3467" spans="1:9" x14ac:dyDescent="0.25">
      <c r="A3467">
        <v>287</v>
      </c>
      <c r="B3467" t="s">
        <v>1607</v>
      </c>
      <c r="C3467" t="s">
        <v>48</v>
      </c>
      <c r="D3467" t="s">
        <v>251</v>
      </c>
      <c r="E3467">
        <f t="shared" si="159"/>
        <v>1.6666666666666666E-2</v>
      </c>
      <c r="F3467">
        <v>6</v>
      </c>
      <c r="G3467">
        <f>LOG(382/(6+1))</f>
        <v>1.736965322897452</v>
      </c>
      <c r="H3467">
        <f>0.0166666666666666*3.99951045955126</f>
        <v>6.6658507659187405E-2</v>
      </c>
      <c r="I3467">
        <v>6.6658507659187696E-2</v>
      </c>
    </row>
    <row r="3468" spans="1:9" x14ac:dyDescent="0.25">
      <c r="A3468">
        <v>287</v>
      </c>
      <c r="B3468" t="s">
        <v>1607</v>
      </c>
      <c r="C3468" t="s">
        <v>48</v>
      </c>
      <c r="D3468" t="s">
        <v>19</v>
      </c>
      <c r="E3468">
        <f t="shared" si="159"/>
        <v>1.6666666666666666E-2</v>
      </c>
      <c r="F3468">
        <v>220</v>
      </c>
      <c r="G3468">
        <f>LOG(382/(220+1))</f>
        <v>0.23767108922659805</v>
      </c>
      <c r="H3468">
        <f>0.0166666666666666*0.547257907088822</f>
        <v>9.1209651181469974E-3</v>
      </c>
      <c r="I3468">
        <v>9.120965118147039E-3</v>
      </c>
    </row>
    <row r="3469" spans="1:9" x14ac:dyDescent="0.25">
      <c r="A3469">
        <v>287</v>
      </c>
      <c r="B3469" t="s">
        <v>1607</v>
      </c>
      <c r="C3469" t="s">
        <v>48</v>
      </c>
      <c r="D3469" t="s">
        <v>44</v>
      </c>
      <c r="E3469">
        <f t="shared" si="159"/>
        <v>1.6666666666666666E-2</v>
      </c>
      <c r="F3469">
        <v>151</v>
      </c>
      <c r="G3469">
        <f>LOG(382/(151+1))</f>
        <v>0.40021977496693617</v>
      </c>
      <c r="H3469">
        <f>0.0166666666666666*0.921540087760298</f>
        <v>1.5359001462671574E-2</v>
      </c>
      <c r="I3469">
        <v>1.5359001462671639E-2</v>
      </c>
    </row>
    <row r="3470" spans="1:9" x14ac:dyDescent="0.25">
      <c r="A3470">
        <v>287</v>
      </c>
      <c r="B3470" t="s">
        <v>1607</v>
      </c>
      <c r="C3470" t="s">
        <v>48</v>
      </c>
      <c r="D3470" t="s">
        <v>21</v>
      </c>
      <c r="E3470">
        <f t="shared" si="159"/>
        <v>1.6666666666666666E-2</v>
      </c>
      <c r="F3470">
        <v>14</v>
      </c>
      <c r="G3470">
        <f>LOG(382/(14+1))</f>
        <v>1.4059721038560276</v>
      </c>
      <c r="H3470">
        <f>0.0166666666666666*3.23737040750436</f>
        <v>5.3956173458405782E-2</v>
      </c>
      <c r="I3470">
        <v>5.3956173458406087E-2</v>
      </c>
    </row>
    <row r="3471" spans="1:9" x14ac:dyDescent="0.25">
      <c r="A3471">
        <v>287</v>
      </c>
      <c r="B3471" t="s">
        <v>1607</v>
      </c>
      <c r="C3471" t="s">
        <v>48</v>
      </c>
      <c r="D3471" t="s">
        <v>22</v>
      </c>
      <c r="E3471">
        <f t="shared" si="159"/>
        <v>1.6666666666666666E-2</v>
      </c>
      <c r="F3471">
        <v>259</v>
      </c>
      <c r="G3471">
        <f>LOG(382/(259+1))</f>
        <v>0.16709001494089079</v>
      </c>
      <c r="H3471">
        <f>0.0166666666666666*0.384738977591047</f>
        <v>6.412316293184092E-3</v>
      </c>
      <c r="I3471">
        <v>6.4123162931841249E-3</v>
      </c>
    </row>
    <row r="3472" spans="1:9" x14ac:dyDescent="0.25">
      <c r="A3472">
        <v>287</v>
      </c>
      <c r="B3472" t="s">
        <v>1607</v>
      </c>
      <c r="C3472" t="s">
        <v>48</v>
      </c>
      <c r="D3472" t="s">
        <v>23</v>
      </c>
      <c r="E3472">
        <f t="shared" si="159"/>
        <v>1.6666666666666666E-2</v>
      </c>
      <c r="F3472">
        <v>275</v>
      </c>
      <c r="G3472">
        <f>LOG(382/(275+1))</f>
        <v>0.14115428084649101</v>
      </c>
      <c r="H3472">
        <f>0.0166666666666666*0.325019742889425</f>
        <v>5.416995714823728E-3</v>
      </c>
      <c r="I3472">
        <v>5.4169957148237522E-3</v>
      </c>
    </row>
    <row r="3473" spans="1:9" x14ac:dyDescent="0.25">
      <c r="A3473">
        <v>287</v>
      </c>
      <c r="B3473" t="s">
        <v>1607</v>
      </c>
      <c r="C3473" t="s">
        <v>48</v>
      </c>
      <c r="D3473" t="s">
        <v>24</v>
      </c>
      <c r="E3473">
        <f t="shared" si="159"/>
        <v>1.6666666666666666E-2</v>
      </c>
      <c r="F3473">
        <v>59</v>
      </c>
      <c r="G3473">
        <f>LOG(382/(59+1))</f>
        <v>0.80391211252806505</v>
      </c>
      <c r="H3473">
        <f>0.0166666666666666*1.85107604638447</f>
        <v>3.0851267439741044E-2</v>
      </c>
      <c r="I3473">
        <v>3.0851267439741242E-2</v>
      </c>
    </row>
    <row r="3474" spans="1:9" x14ac:dyDescent="0.25">
      <c r="A3474">
        <v>287</v>
      </c>
      <c r="B3474" t="s">
        <v>1607</v>
      </c>
      <c r="C3474" t="s">
        <v>48</v>
      </c>
      <c r="D3474" t="s">
        <v>600</v>
      </c>
      <c r="E3474">
        <f t="shared" si="159"/>
        <v>1.6666666666666666E-2</v>
      </c>
      <c r="F3474">
        <v>102</v>
      </c>
      <c r="G3474">
        <f>LOG(382/(102+1))</f>
        <v>0.56922613820653656</v>
      </c>
      <c r="H3474">
        <f>0.0166666666666666*1.31069162037693</f>
        <v>2.1844860339615416E-2</v>
      </c>
      <c r="I3474">
        <v>2.1844860339615659E-2</v>
      </c>
    </row>
    <row r="3475" spans="1:9" x14ac:dyDescent="0.25">
      <c r="A3475">
        <v>287</v>
      </c>
      <c r="B3475" t="s">
        <v>1607</v>
      </c>
      <c r="C3475" t="s">
        <v>48</v>
      </c>
      <c r="D3475" t="s">
        <v>1473</v>
      </c>
      <c r="E3475">
        <f t="shared" si="159"/>
        <v>1.6666666666666666E-2</v>
      </c>
      <c r="F3475">
        <v>39</v>
      </c>
      <c r="G3475">
        <f>LOG(382/(39+1))</f>
        <v>0.9800033715837464</v>
      </c>
      <c r="H3475">
        <f>0.0166666666666666*2.25654115449263</f>
        <v>3.7609019241543688E-2</v>
      </c>
      <c r="I3475">
        <v>3.7609019241543987E-2</v>
      </c>
    </row>
    <row r="3476" spans="1:9" x14ac:dyDescent="0.25">
      <c r="A3476">
        <v>287</v>
      </c>
      <c r="B3476" t="s">
        <v>1607</v>
      </c>
      <c r="C3476" t="s">
        <v>48</v>
      </c>
      <c r="D3476" t="s">
        <v>82</v>
      </c>
      <c r="E3476">
        <f t="shared" si="159"/>
        <v>1.6666666666666666E-2</v>
      </c>
      <c r="F3476">
        <v>92</v>
      </c>
      <c r="G3476">
        <f>LOG(382/(92+1))</f>
        <v>0.61358041435777355</v>
      </c>
      <c r="H3476">
        <f>0.0166666666666666*1.41282111545331</f>
        <v>2.3547018590888404E-2</v>
      </c>
      <c r="I3476">
        <v>2.354701859088865E-2</v>
      </c>
    </row>
    <row r="3477" spans="1:9" x14ac:dyDescent="0.25">
      <c r="A3477">
        <v>287</v>
      </c>
      <c r="B3477" t="s">
        <v>1607</v>
      </c>
      <c r="C3477" t="s">
        <v>48</v>
      </c>
      <c r="D3477" t="s">
        <v>829</v>
      </c>
      <c r="E3477">
        <f t="shared" si="159"/>
        <v>1.6666666666666666E-2</v>
      </c>
      <c r="F3477">
        <v>4</v>
      </c>
      <c r="G3477">
        <f>LOG(382/(4+1))</f>
        <v>1.8830933585756899</v>
      </c>
      <c r="H3477">
        <f>0.0166666666666666*4.33598269617247</f>
        <v>7.2266378269540882E-2</v>
      </c>
      <c r="I3477">
        <v>7.2266378269541243E-2</v>
      </c>
    </row>
    <row r="3478" spans="1:9" x14ac:dyDescent="0.25">
      <c r="A3478">
        <v>287</v>
      </c>
      <c r="B3478" t="s">
        <v>1607</v>
      </c>
      <c r="C3478" t="s">
        <v>48</v>
      </c>
      <c r="D3478" t="s">
        <v>361</v>
      </c>
      <c r="E3478">
        <f t="shared" si="159"/>
        <v>1.6666666666666666E-2</v>
      </c>
      <c r="F3478">
        <v>118</v>
      </c>
      <c r="G3478">
        <f>LOG(382/(118+1))</f>
        <v>0.50651640151917798</v>
      </c>
      <c r="H3478">
        <f>0.0166666666666666*1.16629711549504</f>
        <v>1.9438285258250587E-2</v>
      </c>
      <c r="I3478">
        <v>1.9438285258250761E-2</v>
      </c>
    </row>
    <row r="3479" spans="1:9" x14ac:dyDescent="0.25">
      <c r="A3479">
        <v>287</v>
      </c>
      <c r="B3479" t="s">
        <v>1607</v>
      </c>
      <c r="C3479" t="s">
        <v>48</v>
      </c>
      <c r="D3479" t="s">
        <v>1553</v>
      </c>
      <c r="E3479">
        <f t="shared" si="159"/>
        <v>1.6666666666666666E-2</v>
      </c>
      <c r="F3479">
        <v>3</v>
      </c>
      <c r="G3479">
        <f>LOG(382/(3+1))</f>
        <v>1.9800033715837464</v>
      </c>
      <c r="H3479">
        <f>0.0166666666666666*4.55912624748668</f>
        <v>7.5985437458111038E-2</v>
      </c>
      <c r="I3479">
        <v>7.5985437458111413E-2</v>
      </c>
    </row>
    <row r="3480" spans="1:9" x14ac:dyDescent="0.25">
      <c r="A3480">
        <v>287</v>
      </c>
      <c r="B3480" t="s">
        <v>1607</v>
      </c>
      <c r="C3480" t="s">
        <v>48</v>
      </c>
      <c r="D3480" t="s">
        <v>805</v>
      </c>
      <c r="E3480">
        <f t="shared" si="159"/>
        <v>1.6666666666666666E-2</v>
      </c>
      <c r="F3480">
        <v>19</v>
      </c>
      <c r="G3480">
        <f>LOG(382/(19+1))</f>
        <v>1.2810333672477277</v>
      </c>
      <c r="H3480">
        <f>0.0166666666666666*2.94968833505258</f>
        <v>4.9161472250876137E-2</v>
      </c>
      <c r="I3480">
        <v>4.9161472250876408E-2</v>
      </c>
    </row>
    <row r="3481" spans="1:9" x14ac:dyDescent="0.25">
      <c r="A3481">
        <v>287</v>
      </c>
      <c r="B3481" t="s">
        <v>1607</v>
      </c>
      <c r="C3481" t="s">
        <v>48</v>
      </c>
      <c r="D3481" t="s">
        <v>1433</v>
      </c>
      <c r="E3481">
        <f t="shared" si="159"/>
        <v>1.6666666666666666E-2</v>
      </c>
      <c r="F3481">
        <v>21</v>
      </c>
      <c r="G3481">
        <f>LOG(382/(21+1))</f>
        <v>1.2396406820895025</v>
      </c>
      <c r="H3481">
        <f>0.0166666666666666*2.85437815524825</f>
        <v>4.7572969254137308E-2</v>
      </c>
      <c r="I3481">
        <v>4.7572969254137662E-2</v>
      </c>
    </row>
    <row r="3482" spans="1:9" x14ac:dyDescent="0.25">
      <c r="A3482">
        <v>287</v>
      </c>
      <c r="B3482" t="s">
        <v>1607</v>
      </c>
      <c r="C3482" t="s">
        <v>48</v>
      </c>
      <c r="D3482" t="s">
        <v>335</v>
      </c>
      <c r="E3482">
        <f t="shared" si="159"/>
        <v>1.6666666666666666E-2</v>
      </c>
      <c r="F3482">
        <v>7</v>
      </c>
      <c r="G3482">
        <f>LOG(382/(7+1))</f>
        <v>1.6789733759197651</v>
      </c>
      <c r="H3482">
        <f>0.0166666666666666*3.86597906692673</f>
        <v>6.4432984448778582E-2</v>
      </c>
      <c r="I3482">
        <v>6.4432984448778985E-2</v>
      </c>
    </row>
    <row r="3483" spans="1:9" x14ac:dyDescent="0.25">
      <c r="A3483">
        <v>287</v>
      </c>
      <c r="B3483" t="s">
        <v>1607</v>
      </c>
      <c r="C3483" t="s">
        <v>48</v>
      </c>
      <c r="D3483" t="s">
        <v>932</v>
      </c>
      <c r="E3483">
        <f t="shared" si="159"/>
        <v>1.6666666666666666E-2</v>
      </c>
      <c r="F3483">
        <v>35</v>
      </c>
      <c r="G3483">
        <f>LOG(382/(35+1))</f>
        <v>1.0257608621444214</v>
      </c>
      <c r="H3483">
        <f>0.0166666666666666*2.36190167015046</f>
        <v>3.9365027835840845E-2</v>
      </c>
      <c r="I3483">
        <v>3.9365027835841081E-2</v>
      </c>
    </row>
    <row r="3484" spans="1:9" x14ac:dyDescent="0.25">
      <c r="A3484">
        <v>287</v>
      </c>
      <c r="B3484" t="s">
        <v>1607</v>
      </c>
      <c r="C3484" t="s">
        <v>48</v>
      </c>
      <c r="D3484" t="s">
        <v>36</v>
      </c>
      <c r="E3484">
        <f t="shared" si="159"/>
        <v>1.6666666666666666E-2</v>
      </c>
      <c r="F3484">
        <v>58</v>
      </c>
      <c r="G3484">
        <f>LOG(382/(58+1))</f>
        <v>0.81121135126956456</v>
      </c>
      <c r="H3484">
        <f>0.0166666666666666*1.86788316470085</f>
        <v>3.1131386078347378E-2</v>
      </c>
      <c r="I3484">
        <v>3.1131386078347589E-2</v>
      </c>
    </row>
    <row r="3485" spans="1:9" x14ac:dyDescent="0.25">
      <c r="A3485">
        <v>287</v>
      </c>
      <c r="B3485" t="s">
        <v>1607</v>
      </c>
      <c r="C3485" t="s">
        <v>48</v>
      </c>
      <c r="D3485" t="s">
        <v>161</v>
      </c>
      <c r="E3485">
        <f t="shared" si="159"/>
        <v>1.6666666666666666E-2</v>
      </c>
      <c r="F3485">
        <v>33</v>
      </c>
      <c r="G3485">
        <f>LOG(382/(33+1))</f>
        <v>1.0505844458694535</v>
      </c>
      <c r="H3485">
        <f>0.0166666666666666*2.41906008399041</f>
        <v>4.0317668066506676E-2</v>
      </c>
      <c r="I3485">
        <v>4.0317668066506898E-2</v>
      </c>
    </row>
    <row r="3486" spans="1:9" x14ac:dyDescent="0.25">
      <c r="A3486">
        <v>287</v>
      </c>
      <c r="B3486" t="s">
        <v>1607</v>
      </c>
      <c r="C3486" t="s">
        <v>48</v>
      </c>
      <c r="D3486" t="s">
        <v>77</v>
      </c>
      <c r="E3486">
        <f>2/60</f>
        <v>3.3333333333333333E-2</v>
      </c>
      <c r="F3486">
        <v>148</v>
      </c>
      <c r="G3486">
        <f>LOG(382/(148+1))</f>
        <v>0.40887709449943471</v>
      </c>
      <c r="H3486">
        <f>0.0333333333333333*0.941474302661116</f>
        <v>3.1382476755370502E-2</v>
      </c>
      <c r="I3486">
        <v>3.1382476755370543E-2</v>
      </c>
    </row>
    <row r="3487" spans="1:9" x14ac:dyDescent="0.25">
      <c r="A3487">
        <v>287</v>
      </c>
      <c r="B3487" t="s">
        <v>1607</v>
      </c>
      <c r="C3487" t="s">
        <v>48</v>
      </c>
      <c r="D3487" t="s">
        <v>477</v>
      </c>
      <c r="E3487">
        <f>1/60</f>
        <v>1.6666666666666666E-2</v>
      </c>
      <c r="F3487">
        <v>17</v>
      </c>
      <c r="G3487">
        <f>LOG(382/(17+1))</f>
        <v>1.3267908578084027</v>
      </c>
      <c r="H3487">
        <f>0.0166666666666666*3.05504885071041</f>
        <v>5.0917480845173294E-2</v>
      </c>
      <c r="I3487">
        <v>5.0917480845173502E-2</v>
      </c>
    </row>
    <row r="3488" spans="1:9" x14ac:dyDescent="0.25">
      <c r="A3488">
        <v>287</v>
      </c>
      <c r="B3488" t="s">
        <v>1607</v>
      </c>
      <c r="C3488" t="s">
        <v>48</v>
      </c>
      <c r="D3488" t="s">
        <v>1608</v>
      </c>
      <c r="E3488">
        <f>1/60</f>
        <v>1.6666666666666666E-2</v>
      </c>
      <c r="F3488">
        <v>13</v>
      </c>
      <c r="G3488">
        <f>LOG(382/(13+1))</f>
        <v>1.4359353272334707</v>
      </c>
      <c r="H3488">
        <f>0.0166666666666666*3.30636327899131</f>
        <v>5.5106054649854949E-2</v>
      </c>
      <c r="I3488">
        <v>5.5106054649855282E-2</v>
      </c>
    </row>
    <row r="3489" spans="1:9" x14ac:dyDescent="0.25">
      <c r="A3489">
        <v>287</v>
      </c>
      <c r="B3489" t="s">
        <v>1607</v>
      </c>
      <c r="C3489" t="s">
        <v>48</v>
      </c>
      <c r="D3489" t="s">
        <v>25</v>
      </c>
      <c r="E3489">
        <f>1/60</f>
        <v>1.6666666666666666E-2</v>
      </c>
      <c r="F3489">
        <v>106</v>
      </c>
      <c r="G3489">
        <f>LOG(382/(106+1))</f>
        <v>0.55267958522649907</v>
      </c>
      <c r="H3489">
        <f>0.0166666666666666*1.27259177414466</f>
        <v>2.1209862902410916E-2</v>
      </c>
      <c r="I3489">
        <v>2.1209862902411149E-2</v>
      </c>
    </row>
    <row r="3490" spans="1:9" x14ac:dyDescent="0.25">
      <c r="A3490">
        <v>287</v>
      </c>
      <c r="B3490" t="s">
        <v>1607</v>
      </c>
      <c r="C3490" t="s">
        <v>48</v>
      </c>
      <c r="D3490" t="s">
        <v>131</v>
      </c>
      <c r="E3490">
        <f>2/60</f>
        <v>3.3333333333333333E-2</v>
      </c>
      <c r="F3490">
        <v>38</v>
      </c>
      <c r="G3490">
        <f>LOG(382/(38+1))</f>
        <v>0.99099875588520958</v>
      </c>
      <c r="H3490">
        <f>0.0333333333333333*2.28185896247692</f>
        <v>7.6061965415897256E-2</v>
      </c>
      <c r="I3490">
        <v>7.6061965415897631E-2</v>
      </c>
    </row>
    <row r="3491" spans="1:9" x14ac:dyDescent="0.25">
      <c r="A3491">
        <v>287</v>
      </c>
      <c r="B3491" t="s">
        <v>1607</v>
      </c>
      <c r="C3491" t="s">
        <v>48</v>
      </c>
      <c r="D3491" t="s">
        <v>76</v>
      </c>
      <c r="E3491">
        <f t="shared" ref="E3491:E3500" si="160">1/60</f>
        <v>1.6666666666666666E-2</v>
      </c>
      <c r="F3491">
        <v>140</v>
      </c>
      <c r="G3491">
        <f>LOG(382/(140+1))</f>
        <v>0.43284425025632883</v>
      </c>
      <c r="H3491">
        <f>0.0166666666666666*0.996660718228407</f>
        <v>1.6611011970473384E-2</v>
      </c>
      <c r="I3491">
        <v>1.661101197047345E-2</v>
      </c>
    </row>
    <row r="3492" spans="1:9" x14ac:dyDescent="0.25">
      <c r="A3492">
        <v>287</v>
      </c>
      <c r="B3492" t="s">
        <v>1607</v>
      </c>
      <c r="C3492" t="s">
        <v>48</v>
      </c>
      <c r="D3492" t="s">
        <v>483</v>
      </c>
      <c r="E3492">
        <f t="shared" si="160"/>
        <v>1.6666666666666666E-2</v>
      </c>
      <c r="F3492">
        <v>61</v>
      </c>
      <c r="G3492">
        <f>LOG(382/(61+1))</f>
        <v>0.7896716734134549</v>
      </c>
      <c r="H3492">
        <f>0.0166666666666666*1.81828622356148</f>
        <v>3.0304770392691215E-2</v>
      </c>
      <c r="I3492">
        <v>3.0304770392691392E-2</v>
      </c>
    </row>
    <row r="3493" spans="1:9" x14ac:dyDescent="0.25">
      <c r="A3493">
        <v>287</v>
      </c>
      <c r="B3493" t="s">
        <v>1607</v>
      </c>
      <c r="C3493" t="s">
        <v>48</v>
      </c>
      <c r="D3493" t="s">
        <v>404</v>
      </c>
      <c r="E3493">
        <f t="shared" si="160"/>
        <v>1.6666666666666666E-2</v>
      </c>
      <c r="F3493">
        <v>22</v>
      </c>
      <c r="G3493">
        <f>LOG(382/(22+1))</f>
        <v>1.2203355268941158</v>
      </c>
      <c r="H3493">
        <f>0.0166666666666666*2.80992639267742</f>
        <v>4.6832106544623477E-2</v>
      </c>
      <c r="I3493">
        <v>4.6832106544623761E-2</v>
      </c>
    </row>
    <row r="3494" spans="1:9" x14ac:dyDescent="0.25">
      <c r="A3494">
        <v>287</v>
      </c>
      <c r="B3494" t="s">
        <v>1607</v>
      </c>
      <c r="C3494" t="s">
        <v>48</v>
      </c>
      <c r="D3494" t="s">
        <v>39</v>
      </c>
      <c r="E3494">
        <f t="shared" si="160"/>
        <v>1.6666666666666666E-2</v>
      </c>
      <c r="F3494">
        <v>145</v>
      </c>
      <c r="G3494">
        <f>LOG(382/(145+1))</f>
        <v>0.41771050712727159</v>
      </c>
      <c r="H3494">
        <f>0.0166666666666666*0.961813986898238</f>
        <v>1.6030233114970569E-2</v>
      </c>
      <c r="I3494">
        <v>1.6030233114970649E-2</v>
      </c>
    </row>
    <row r="3495" spans="1:9" x14ac:dyDescent="0.25">
      <c r="A3495">
        <v>287</v>
      </c>
      <c r="B3495" t="s">
        <v>1607</v>
      </c>
      <c r="C3495" t="s">
        <v>48</v>
      </c>
      <c r="D3495" t="s">
        <v>38</v>
      </c>
      <c r="E3495">
        <f t="shared" si="160"/>
        <v>1.6666666666666666E-2</v>
      </c>
      <c r="F3495">
        <v>86</v>
      </c>
      <c r="G3495">
        <f>LOG(382/(86+1))</f>
        <v>0.64254411029309022</v>
      </c>
      <c r="H3495">
        <f>0.0166666666666666*1.47951248995199</f>
        <v>2.4658541499199736E-2</v>
      </c>
      <c r="I3495">
        <v>2.4658541499199851E-2</v>
      </c>
    </row>
    <row r="3496" spans="1:9" x14ac:dyDescent="0.25">
      <c r="A3496">
        <v>287</v>
      </c>
      <c r="B3496" t="s">
        <v>1607</v>
      </c>
      <c r="C3496" t="s">
        <v>48</v>
      </c>
      <c r="D3496" t="s">
        <v>262</v>
      </c>
      <c r="E3496">
        <f t="shared" si="160"/>
        <v>1.6666666666666666E-2</v>
      </c>
      <c r="F3496">
        <v>13</v>
      </c>
      <c r="G3496">
        <f>LOG(382/(13+1))</f>
        <v>1.4359353272334707</v>
      </c>
      <c r="H3496">
        <f>0.0166666666666666*3.30636327899131</f>
        <v>5.5106054649854949E-2</v>
      </c>
      <c r="I3496">
        <v>5.5106054649855282E-2</v>
      </c>
    </row>
    <row r="3497" spans="1:9" x14ac:dyDescent="0.25">
      <c r="A3497">
        <v>287</v>
      </c>
      <c r="B3497" t="s">
        <v>1607</v>
      </c>
      <c r="C3497" t="s">
        <v>48</v>
      </c>
      <c r="D3497" t="s">
        <v>11</v>
      </c>
      <c r="E3497">
        <f t="shared" si="160"/>
        <v>1.6666666666666666E-2</v>
      </c>
      <c r="F3497">
        <v>83</v>
      </c>
      <c r="G3497">
        <f>LOG(382/(83+1))</f>
        <v>0.65778407684982709</v>
      </c>
      <c r="H3497">
        <f>0.0166666666666666*1.51460380976326</f>
        <v>2.5243396829387567E-2</v>
      </c>
      <c r="I3497">
        <v>2.5243396829387688E-2</v>
      </c>
    </row>
    <row r="3498" spans="1:9" x14ac:dyDescent="0.25">
      <c r="A3498">
        <v>287</v>
      </c>
      <c r="B3498" t="s">
        <v>1607</v>
      </c>
      <c r="C3498" t="s">
        <v>48</v>
      </c>
      <c r="D3498" t="s">
        <v>12</v>
      </c>
      <c r="E3498">
        <f t="shared" si="160"/>
        <v>1.6666666666666666E-2</v>
      </c>
      <c r="F3498">
        <v>28</v>
      </c>
      <c r="G3498">
        <f>LOG(382/(28+1))</f>
        <v>1.1196653650127526</v>
      </c>
      <c r="H3498">
        <f>0.0166666666666666*2.5781247786201</f>
        <v>4.2968746310334829E-2</v>
      </c>
      <c r="I3498">
        <v>4.2968746310335017E-2</v>
      </c>
    </row>
    <row r="3499" spans="1:9" x14ac:dyDescent="0.25">
      <c r="A3499">
        <v>287</v>
      </c>
      <c r="B3499" t="s">
        <v>1607</v>
      </c>
      <c r="C3499" t="s">
        <v>48</v>
      </c>
      <c r="D3499" t="s">
        <v>1609</v>
      </c>
      <c r="E3499">
        <f t="shared" si="160"/>
        <v>1.6666666666666666E-2</v>
      </c>
      <c r="F3499">
        <v>2</v>
      </c>
      <c r="G3499">
        <f>LOG(382/(2+1))</f>
        <v>2.1049421081920463</v>
      </c>
      <c r="H3499">
        <f>0.0166666666666666*4.84680831993846</f>
        <v>8.0780138665640683E-2</v>
      </c>
      <c r="I3499">
        <v>8.0780138665641085E-2</v>
      </c>
    </row>
    <row r="3500" spans="1:9" x14ac:dyDescent="0.25">
      <c r="A3500">
        <v>287</v>
      </c>
      <c r="B3500" t="s">
        <v>1607</v>
      </c>
      <c r="C3500" t="s">
        <v>48</v>
      </c>
      <c r="D3500" t="s">
        <v>204</v>
      </c>
      <c r="E3500">
        <f t="shared" si="160"/>
        <v>1.6666666666666666E-2</v>
      </c>
      <c r="F3500">
        <v>166</v>
      </c>
      <c r="G3500">
        <f>LOG(382/(166+1))</f>
        <v>0.35934689176412549</v>
      </c>
      <c r="H3500">
        <f>0.0166666666666666*0.82742679618982</f>
        <v>1.3790446603163611E-2</v>
      </c>
      <c r="I3500">
        <v>1.379044660316367E-2</v>
      </c>
    </row>
    <row r="3501" spans="1:9" x14ac:dyDescent="0.25">
      <c r="A3501">
        <v>287</v>
      </c>
      <c r="B3501" t="s">
        <v>1607</v>
      </c>
      <c r="C3501" t="s">
        <v>48</v>
      </c>
      <c r="D3501" t="s">
        <v>331</v>
      </c>
      <c r="E3501">
        <f>2/60</f>
        <v>3.3333333333333333E-2</v>
      </c>
      <c r="F3501">
        <v>130</v>
      </c>
      <c r="G3501">
        <f>LOG(382/(130+1))</f>
        <v>0.46479206725594452</v>
      </c>
      <c r="H3501">
        <f>0.0333333333333333*1.07022328540542</f>
        <v>3.5674109513513963E-2</v>
      </c>
      <c r="I3501">
        <v>3.5674109513514123E-2</v>
      </c>
    </row>
    <row r="3502" spans="1:9" x14ac:dyDescent="0.25">
      <c r="A3502">
        <v>287</v>
      </c>
      <c r="B3502" t="s">
        <v>1607</v>
      </c>
      <c r="C3502" t="s">
        <v>48</v>
      </c>
      <c r="D3502" t="s">
        <v>939</v>
      </c>
      <c r="E3502">
        <f>1/60</f>
        <v>1.6666666666666666E-2</v>
      </c>
      <c r="F3502">
        <v>35</v>
      </c>
      <c r="G3502">
        <f>LOG(382/(35+1))</f>
        <v>1.0257608621444214</v>
      </c>
      <c r="H3502">
        <f>0.0166666666666666*2.36190167015046</f>
        <v>3.9365027835840845E-2</v>
      </c>
      <c r="I3502">
        <v>3.9365027835841081E-2</v>
      </c>
    </row>
    <row r="3503" spans="1:9" x14ac:dyDescent="0.25">
      <c r="A3503">
        <v>287</v>
      </c>
      <c r="B3503" t="s">
        <v>1607</v>
      </c>
      <c r="C3503" t="s">
        <v>48</v>
      </c>
      <c r="D3503" t="s">
        <v>237</v>
      </c>
      <c r="E3503">
        <f>1/60</f>
        <v>1.6666666666666666E-2</v>
      </c>
      <c r="F3503">
        <v>138</v>
      </c>
      <c r="G3503">
        <f>LOG(382/(138+1))</f>
        <v>0.43904856265761361</v>
      </c>
      <c r="H3503">
        <f>0.0166666666666666*1.01094667547588</f>
        <v>1.6849111257931267E-2</v>
      </c>
      <c r="I3503">
        <v>1.6849111257931391E-2</v>
      </c>
    </row>
    <row r="3504" spans="1:9" x14ac:dyDescent="0.25">
      <c r="A3504">
        <v>287</v>
      </c>
      <c r="B3504" t="s">
        <v>1607</v>
      </c>
      <c r="C3504" t="s">
        <v>48</v>
      </c>
      <c r="D3504" t="s">
        <v>133</v>
      </c>
      <c r="E3504">
        <f>1/60</f>
        <v>1.6666666666666666E-2</v>
      </c>
      <c r="F3504">
        <v>142</v>
      </c>
      <c r="G3504">
        <f>LOG(382/(142+1))</f>
        <v>0.42672732544664693</v>
      </c>
      <c r="H3504">
        <f>0.0166666666666666*0.982575978346667</f>
        <v>1.637626630577772E-2</v>
      </c>
      <c r="I3504">
        <v>1.6376266305777799E-2</v>
      </c>
    </row>
    <row r="3505" spans="1:9" x14ac:dyDescent="0.25">
      <c r="A3505">
        <v>287</v>
      </c>
      <c r="B3505" t="s">
        <v>1607</v>
      </c>
      <c r="C3505" t="s">
        <v>48</v>
      </c>
      <c r="D3505" t="s">
        <v>219</v>
      </c>
      <c r="E3505">
        <f>1/60</f>
        <v>1.6666666666666666E-2</v>
      </c>
      <c r="F3505">
        <v>19</v>
      </c>
      <c r="G3505">
        <f>LOG(382/(19+1))</f>
        <v>1.2810333672477277</v>
      </c>
      <c r="H3505">
        <f>0.0166666666666666*2.94968833505258</f>
        <v>4.9161472250876137E-2</v>
      </c>
      <c r="I3505">
        <v>4.9161472250876408E-2</v>
      </c>
    </row>
    <row r="3506" spans="1:9" x14ac:dyDescent="0.25">
      <c r="A3506">
        <v>287</v>
      </c>
      <c r="B3506" t="s">
        <v>1607</v>
      </c>
      <c r="C3506" t="s">
        <v>48</v>
      </c>
      <c r="D3506" t="s">
        <v>112</v>
      </c>
      <c r="E3506">
        <f>2/60</f>
        <v>3.3333333333333333E-2</v>
      </c>
      <c r="F3506">
        <v>52</v>
      </c>
      <c r="G3506">
        <f>LOG(382/(52+1))</f>
        <v>0.85778749331091964</v>
      </c>
      <c r="H3506">
        <f>0.0333333333333333*1.97512869505445</f>
        <v>6.5837623168481602E-2</v>
      </c>
      <c r="I3506">
        <v>6.5837623168481782E-2</v>
      </c>
    </row>
    <row r="3507" spans="1:9" x14ac:dyDescent="0.25">
      <c r="A3507">
        <v>287</v>
      </c>
      <c r="B3507" t="s">
        <v>1607</v>
      </c>
      <c r="C3507" t="s">
        <v>48</v>
      </c>
      <c r="D3507" t="s">
        <v>91</v>
      </c>
      <c r="E3507">
        <f>1/60</f>
        <v>1.6666666666666666E-2</v>
      </c>
      <c r="F3507">
        <v>33</v>
      </c>
      <c r="G3507">
        <f>LOG(382/(33+1))</f>
        <v>1.0505844458694535</v>
      </c>
      <c r="H3507">
        <f>0.0166666666666666*2.41906008399041</f>
        <v>4.0317668066506676E-2</v>
      </c>
      <c r="I3507">
        <v>4.0317668066506898E-2</v>
      </c>
    </row>
    <row r="3508" spans="1:9" x14ac:dyDescent="0.25">
      <c r="A3508">
        <v>287</v>
      </c>
      <c r="B3508" t="s">
        <v>1607</v>
      </c>
      <c r="C3508" t="s">
        <v>48</v>
      </c>
      <c r="D3508" t="s">
        <v>54</v>
      </c>
      <c r="E3508">
        <f>1/60</f>
        <v>1.6666666666666666E-2</v>
      </c>
      <c r="F3508">
        <v>25</v>
      </c>
      <c r="G3508">
        <f>LOG(382/(25+1))</f>
        <v>1.1670900149408907</v>
      </c>
      <c r="H3508">
        <f>0.0166666666666666*2.68732407058509</f>
        <v>4.4788734509751321E-2</v>
      </c>
      <c r="I3508">
        <v>4.478873450975155E-2</v>
      </c>
    </row>
    <row r="3509" spans="1:9" x14ac:dyDescent="0.25">
      <c r="A3509">
        <v>287</v>
      </c>
      <c r="B3509" t="s">
        <v>1607</v>
      </c>
      <c r="C3509" t="s">
        <v>48</v>
      </c>
      <c r="D3509" t="s">
        <v>50</v>
      </c>
      <c r="E3509">
        <f>1/60</f>
        <v>1.6666666666666666E-2</v>
      </c>
      <c r="F3509">
        <v>109</v>
      </c>
      <c r="G3509">
        <f>LOG(382/(109+1))</f>
        <v>0.54067067775348365</v>
      </c>
      <c r="H3509">
        <f>0.0166666666666666*1.24494024281415</f>
        <v>2.0749004046902417E-2</v>
      </c>
      <c r="I3509">
        <v>2.074900404690265E-2</v>
      </c>
    </row>
    <row r="3510" spans="1:9" x14ac:dyDescent="0.25">
      <c r="A3510">
        <v>287</v>
      </c>
      <c r="B3510" t="s">
        <v>1607</v>
      </c>
      <c r="C3510" t="s">
        <v>48</v>
      </c>
      <c r="D3510" t="s">
        <v>126</v>
      </c>
      <c r="E3510">
        <f>1/60</f>
        <v>1.6666666666666666E-2</v>
      </c>
      <c r="F3510">
        <v>79</v>
      </c>
      <c r="G3510">
        <f>LOG(382/(79+1))</f>
        <v>0.67897337591976514</v>
      </c>
      <c r="H3510">
        <f>0.0166666666666666*1.56339397393269</f>
        <v>2.6056566232211399E-2</v>
      </c>
      <c r="I3510">
        <v>2.6056566232211559E-2</v>
      </c>
    </row>
    <row r="3511" spans="1:9" x14ac:dyDescent="0.25">
      <c r="A3511">
        <v>287</v>
      </c>
      <c r="B3511" t="s">
        <v>1607</v>
      </c>
      <c r="C3511" t="s">
        <v>48</v>
      </c>
      <c r="D3511" t="s">
        <v>53</v>
      </c>
      <c r="E3511">
        <f>1/60</f>
        <v>1.6666666666666666E-2</v>
      </c>
      <c r="F3511">
        <v>57</v>
      </c>
      <c r="G3511">
        <f>LOG(382/(57+1))</f>
        <v>0.81863536934877146</v>
      </c>
      <c r="H3511">
        <f>0.0166666666666666*1.88497759806015</f>
        <v>3.1416293301002374E-2</v>
      </c>
      <c r="I3511">
        <v>3.1416293301002603E-2</v>
      </c>
    </row>
    <row r="3512" spans="1:9" x14ac:dyDescent="0.25">
      <c r="A3512">
        <v>288</v>
      </c>
      <c r="B3512" t="s">
        <v>1610</v>
      </c>
      <c r="C3512" t="s">
        <v>48</v>
      </c>
      <c r="D3512" t="s">
        <v>1611</v>
      </c>
      <c r="E3512">
        <f>2/20</f>
        <v>0.1</v>
      </c>
      <c r="F3512">
        <v>1</v>
      </c>
      <c r="G3512">
        <f>LOG(382/(1+1))</f>
        <v>2.2810333672477277</v>
      </c>
      <c r="H3512">
        <f>0.1*5.25227342804663</f>
        <v>0.52522734280466299</v>
      </c>
      <c r="I3512">
        <v>0.52522734280466299</v>
      </c>
    </row>
    <row r="3513" spans="1:9" x14ac:dyDescent="0.25">
      <c r="A3513">
        <v>288</v>
      </c>
      <c r="B3513" t="s">
        <v>1610</v>
      </c>
      <c r="C3513" t="s">
        <v>48</v>
      </c>
      <c r="D3513" t="s">
        <v>259</v>
      </c>
      <c r="E3513">
        <f>1/20</f>
        <v>0.05</v>
      </c>
      <c r="F3513">
        <v>11</v>
      </c>
      <c r="G3513">
        <f>LOG(382/(11+1))</f>
        <v>1.5028821168640838</v>
      </c>
      <c r="H3513">
        <f>0.05*3.46051395881857</f>
        <v>0.17302569794092851</v>
      </c>
      <c r="I3513">
        <v>0.17302569794092881</v>
      </c>
    </row>
    <row r="3514" spans="1:9" x14ac:dyDescent="0.25">
      <c r="A3514">
        <v>288</v>
      </c>
      <c r="B3514" t="s">
        <v>1610</v>
      </c>
      <c r="C3514" t="s">
        <v>48</v>
      </c>
      <c r="D3514" t="s">
        <v>50</v>
      </c>
      <c r="E3514">
        <f>2/20</f>
        <v>0.1</v>
      </c>
      <c r="F3514">
        <v>109</v>
      </c>
      <c r="G3514">
        <f>LOG(382/(109+1))</f>
        <v>0.54067067775348365</v>
      </c>
      <c r="H3514">
        <f>0.1*1.24494024281415</f>
        <v>0.12449402428141501</v>
      </c>
      <c r="I3514">
        <v>0.1244940242814159</v>
      </c>
    </row>
    <row r="3515" spans="1:9" x14ac:dyDescent="0.25">
      <c r="A3515">
        <v>288</v>
      </c>
      <c r="B3515" t="s">
        <v>1610</v>
      </c>
      <c r="C3515" t="s">
        <v>48</v>
      </c>
      <c r="E3515">
        <f>1/20</f>
        <v>0.05</v>
      </c>
      <c r="F3515">
        <v>20</v>
      </c>
      <c r="G3515">
        <f>LOG(382/(20+1))</f>
        <v>1.2598440681777894</v>
      </c>
      <c r="H3515">
        <f>0.05*2.90089817088315</f>
        <v>0.1450449085441575</v>
      </c>
      <c r="I3515">
        <v>0.14504490854415761</v>
      </c>
    </row>
    <row r="3516" spans="1:9" x14ac:dyDescent="0.25">
      <c r="A3516">
        <v>288</v>
      </c>
      <c r="B3516" t="s">
        <v>1610</v>
      </c>
      <c r="C3516" t="s">
        <v>48</v>
      </c>
      <c r="D3516" t="s">
        <v>38</v>
      </c>
      <c r="E3516">
        <f>1/20</f>
        <v>0.05</v>
      </c>
      <c r="F3516">
        <v>86</v>
      </c>
      <c r="G3516">
        <f>LOG(382/(86+1))</f>
        <v>0.64254411029309022</v>
      </c>
      <c r="H3516">
        <f>0.05*1.47951248995199</f>
        <v>7.3975624497599507E-2</v>
      </c>
      <c r="I3516">
        <v>7.3975624497599576E-2</v>
      </c>
    </row>
    <row r="3517" spans="1:9" x14ac:dyDescent="0.25">
      <c r="A3517">
        <v>288</v>
      </c>
      <c r="B3517" t="s">
        <v>1610</v>
      </c>
      <c r="C3517" t="s">
        <v>48</v>
      </c>
      <c r="D3517" t="s">
        <v>189</v>
      </c>
      <c r="E3517">
        <f>5/20</f>
        <v>0.25</v>
      </c>
      <c r="F3517">
        <v>27</v>
      </c>
      <c r="G3517">
        <f>LOG(382/(27+1))</f>
        <v>1.1349053315694895</v>
      </c>
      <c r="H3517">
        <f>0.25*2.61321609843137</f>
        <v>0.65330402460784254</v>
      </c>
      <c r="I3517">
        <v>0.65330402460784276</v>
      </c>
    </row>
    <row r="3518" spans="1:9" x14ac:dyDescent="0.25">
      <c r="A3518">
        <v>288</v>
      </c>
      <c r="B3518" t="s">
        <v>1610</v>
      </c>
      <c r="C3518" t="s">
        <v>48</v>
      </c>
      <c r="D3518" t="s">
        <v>41</v>
      </c>
      <c r="E3518">
        <f>1/20</f>
        <v>0.05</v>
      </c>
      <c r="F3518">
        <v>195</v>
      </c>
      <c r="G3518">
        <f>LOG(382/(195+1))</f>
        <v>0.28980729155523272</v>
      </c>
      <c r="H3518">
        <f>0.05*0.667305949376058</f>
        <v>3.3365297468802901E-2</v>
      </c>
      <c r="I3518">
        <v>3.3365297468802901E-2</v>
      </c>
    </row>
    <row r="3519" spans="1:9" x14ac:dyDescent="0.25">
      <c r="A3519">
        <v>288</v>
      </c>
      <c r="B3519" t="s">
        <v>1610</v>
      </c>
      <c r="C3519" t="s">
        <v>48</v>
      </c>
      <c r="D3519" t="s">
        <v>187</v>
      </c>
      <c r="E3519">
        <f>3/20</f>
        <v>0.15</v>
      </c>
      <c r="F3519">
        <v>21</v>
      </c>
      <c r="G3519">
        <f>LOG(382/(21+1))</f>
        <v>1.2396406820895025</v>
      </c>
      <c r="H3519">
        <f>0.15*2.85437815524825</f>
        <v>0.42815672328723747</v>
      </c>
      <c r="I3519">
        <v>0.42815672328723892</v>
      </c>
    </row>
    <row r="3520" spans="1:9" x14ac:dyDescent="0.25">
      <c r="A3520">
        <v>288</v>
      </c>
      <c r="B3520" t="s">
        <v>1610</v>
      </c>
      <c r="C3520" t="s">
        <v>48</v>
      </c>
      <c r="D3520" t="s">
        <v>1266</v>
      </c>
      <c r="E3520">
        <f>2/20</f>
        <v>0.1</v>
      </c>
      <c r="F3520">
        <v>3</v>
      </c>
      <c r="G3520">
        <f>LOG(382/(3+1))</f>
        <v>1.9800033715837464</v>
      </c>
      <c r="H3520">
        <f>0.1*4.55912624748668</f>
        <v>0.45591262474866801</v>
      </c>
      <c r="I3520">
        <v>0.45591262474866839</v>
      </c>
    </row>
    <row r="3521" spans="1:9" x14ac:dyDescent="0.25">
      <c r="A3521">
        <v>288</v>
      </c>
      <c r="B3521" t="s">
        <v>1610</v>
      </c>
      <c r="C3521" t="s">
        <v>48</v>
      </c>
      <c r="D3521" t="s">
        <v>280</v>
      </c>
      <c r="E3521">
        <f>1/20</f>
        <v>0.05</v>
      </c>
      <c r="F3521">
        <v>2</v>
      </c>
      <c r="G3521">
        <f>LOG(382/(2+1))</f>
        <v>2.1049421081920463</v>
      </c>
      <c r="H3521">
        <f>0.05*4.84680831993846</f>
        <v>0.24234041599692302</v>
      </c>
      <c r="I3521">
        <v>0.2423404159969233</v>
      </c>
    </row>
    <row r="3522" spans="1:9" x14ac:dyDescent="0.25">
      <c r="A3522">
        <v>288</v>
      </c>
      <c r="B3522" t="s">
        <v>1610</v>
      </c>
      <c r="C3522" t="s">
        <v>48</v>
      </c>
      <c r="D3522" t="s">
        <v>62</v>
      </c>
      <c r="E3522">
        <f>1/20</f>
        <v>0.05</v>
      </c>
      <c r="F3522">
        <v>6</v>
      </c>
      <c r="G3522">
        <f>LOG(382/(6+1))</f>
        <v>1.736965322897452</v>
      </c>
      <c r="H3522">
        <f>0.05*3.99951045955126</f>
        <v>0.19997552297756302</v>
      </c>
      <c r="I3522">
        <v>0.1999755229775631</v>
      </c>
    </row>
    <row r="3523" spans="1:9" x14ac:dyDescent="0.25">
      <c r="A3523">
        <v>290</v>
      </c>
      <c r="B3523" t="s">
        <v>1612</v>
      </c>
      <c r="C3523" t="s">
        <v>138</v>
      </c>
      <c r="D3523" t="s">
        <v>1613</v>
      </c>
      <c r="E3523">
        <f>1/18</f>
        <v>5.5555555555555552E-2</v>
      </c>
      <c r="F3523">
        <v>2</v>
      </c>
      <c r="G3523">
        <f>LOG(382/(2+1))</f>
        <v>2.1049421081920463</v>
      </c>
      <c r="H3523">
        <f>0.0555555555555555*4.84680831993846</f>
        <v>0.26926712888546972</v>
      </c>
      <c r="I3523">
        <v>0.26926712888547027</v>
      </c>
    </row>
    <row r="3524" spans="1:9" x14ac:dyDescent="0.25">
      <c r="A3524">
        <v>290</v>
      </c>
      <c r="B3524" t="s">
        <v>1612</v>
      </c>
      <c r="C3524" t="s">
        <v>138</v>
      </c>
      <c r="D3524" t="s">
        <v>750</v>
      </c>
      <c r="E3524">
        <f>2/18</f>
        <v>0.1111111111111111</v>
      </c>
      <c r="F3524">
        <v>9</v>
      </c>
      <c r="G3524">
        <f>LOG(382/(9+1))</f>
        <v>1.5820633629117087</v>
      </c>
      <c r="H3524">
        <f>0.111111111111111*3.64283551561252</f>
        <v>0.40475950173472403</v>
      </c>
      <c r="I3524">
        <v>0.40475950173472552</v>
      </c>
    </row>
    <row r="3525" spans="1:9" x14ac:dyDescent="0.25">
      <c r="A3525">
        <v>290</v>
      </c>
      <c r="B3525" t="s">
        <v>1612</v>
      </c>
      <c r="C3525" t="s">
        <v>138</v>
      </c>
      <c r="D3525" t="s">
        <v>755</v>
      </c>
      <c r="E3525">
        <f t="shared" ref="E3525:E3532" si="161">1/18</f>
        <v>5.5555555555555552E-2</v>
      </c>
      <c r="F3525">
        <v>19</v>
      </c>
      <c r="G3525">
        <f>LOG(382/(19+1))</f>
        <v>1.2810333672477277</v>
      </c>
      <c r="H3525">
        <f>0.0555555555555555*2.94968833505258</f>
        <v>0.16387157416958761</v>
      </c>
      <c r="I3525">
        <v>0.163871574169588</v>
      </c>
    </row>
    <row r="3526" spans="1:9" x14ac:dyDescent="0.25">
      <c r="A3526">
        <v>290</v>
      </c>
      <c r="B3526" t="s">
        <v>1612</v>
      </c>
      <c r="C3526" t="s">
        <v>138</v>
      </c>
      <c r="D3526" t="s">
        <v>204</v>
      </c>
      <c r="E3526">
        <f t="shared" si="161"/>
        <v>5.5555555555555552E-2</v>
      </c>
      <c r="F3526">
        <v>166</v>
      </c>
      <c r="G3526">
        <f>LOG(382/(166+1))</f>
        <v>0.35934689176412549</v>
      </c>
      <c r="H3526">
        <f>0.0555555555555555*0.82742679618982</f>
        <v>4.5968155343878839E-2</v>
      </c>
      <c r="I3526">
        <v>4.5968155343878887E-2</v>
      </c>
    </row>
    <row r="3527" spans="1:9" x14ac:dyDescent="0.25">
      <c r="A3527">
        <v>290</v>
      </c>
      <c r="B3527" t="s">
        <v>1612</v>
      </c>
      <c r="C3527" t="s">
        <v>138</v>
      </c>
      <c r="D3527" t="s">
        <v>1614</v>
      </c>
      <c r="E3527">
        <f t="shared" si="161"/>
        <v>5.5555555555555552E-2</v>
      </c>
      <c r="F3527">
        <v>2</v>
      </c>
      <c r="G3527">
        <f>LOG(382/(2+1))</f>
        <v>2.1049421081920463</v>
      </c>
      <c r="H3527">
        <f>0.0555555555555555*4.84680831993846</f>
        <v>0.26926712888546972</v>
      </c>
      <c r="I3527">
        <v>0.26926712888547027</v>
      </c>
    </row>
    <row r="3528" spans="1:9" x14ac:dyDescent="0.25">
      <c r="A3528">
        <v>290</v>
      </c>
      <c r="B3528" t="s">
        <v>1612</v>
      </c>
      <c r="C3528" t="s">
        <v>138</v>
      </c>
      <c r="D3528" t="s">
        <v>39</v>
      </c>
      <c r="E3528">
        <f t="shared" si="161"/>
        <v>5.5555555555555552E-2</v>
      </c>
      <c r="F3528">
        <v>145</v>
      </c>
      <c r="G3528">
        <f>LOG(382/(145+1))</f>
        <v>0.41771050712727159</v>
      </c>
      <c r="H3528">
        <f>0.0555555555555555*0.961813986898238</f>
        <v>5.3434110383235388E-2</v>
      </c>
      <c r="I3528">
        <v>5.3434110383235478E-2</v>
      </c>
    </row>
    <row r="3529" spans="1:9" x14ac:dyDescent="0.25">
      <c r="A3529">
        <v>290</v>
      </c>
      <c r="B3529" t="s">
        <v>1612</v>
      </c>
      <c r="C3529" t="s">
        <v>138</v>
      </c>
      <c r="D3529" t="s">
        <v>331</v>
      </c>
      <c r="E3529">
        <f t="shared" si="161"/>
        <v>5.5555555555555552E-2</v>
      </c>
      <c r="F3529">
        <v>130</v>
      </c>
      <c r="G3529">
        <f>LOG(382/(130+1))</f>
        <v>0.46479206725594452</v>
      </c>
      <c r="H3529">
        <f>0.0555555555555555*1.07022328540542</f>
        <v>5.9456849189189941E-2</v>
      </c>
      <c r="I3529">
        <v>5.9456849189190197E-2</v>
      </c>
    </row>
    <row r="3530" spans="1:9" x14ac:dyDescent="0.25">
      <c r="A3530">
        <v>290</v>
      </c>
      <c r="B3530" t="s">
        <v>1612</v>
      </c>
      <c r="C3530" t="s">
        <v>138</v>
      </c>
      <c r="D3530" t="s">
        <v>105</v>
      </c>
      <c r="E3530">
        <f t="shared" si="161"/>
        <v>5.5555555555555552E-2</v>
      </c>
      <c r="F3530">
        <v>122</v>
      </c>
      <c r="G3530">
        <f>LOG(382/(122+1))</f>
        <v>0.49215825147231079</v>
      </c>
      <c r="H3530">
        <f>0.0555555555555555*1.13323625323415</f>
        <v>6.2957569624119372E-2</v>
      </c>
      <c r="I3530">
        <v>6.2957569624119858E-2</v>
      </c>
    </row>
    <row r="3531" spans="1:9" x14ac:dyDescent="0.25">
      <c r="A3531">
        <v>290</v>
      </c>
      <c r="B3531" t="s">
        <v>1612</v>
      </c>
      <c r="C3531" t="s">
        <v>138</v>
      </c>
      <c r="D3531" t="s">
        <v>76</v>
      </c>
      <c r="E3531">
        <f t="shared" si="161"/>
        <v>5.5555555555555552E-2</v>
      </c>
      <c r="F3531">
        <v>140</v>
      </c>
      <c r="G3531">
        <f>LOG(382/(140+1))</f>
        <v>0.43284425025632883</v>
      </c>
      <c r="H3531">
        <f>0.0555555555555555*0.996660718228407</f>
        <v>5.5370039901578107E-2</v>
      </c>
      <c r="I3531">
        <v>5.5370039901578162E-2</v>
      </c>
    </row>
    <row r="3532" spans="1:9" x14ac:dyDescent="0.25">
      <c r="A3532">
        <v>290</v>
      </c>
      <c r="B3532" t="s">
        <v>1612</v>
      </c>
      <c r="C3532" t="s">
        <v>138</v>
      </c>
      <c r="D3532" t="s">
        <v>752</v>
      </c>
      <c r="E3532">
        <f t="shared" si="161"/>
        <v>5.5555555555555552E-2</v>
      </c>
      <c r="F3532">
        <v>34</v>
      </c>
      <c r="G3532">
        <f>LOG(382/(34+1))</f>
        <v>1.037995318561433</v>
      </c>
      <c r="H3532">
        <f>0.0555555555555555*2.39007254711716</f>
        <v>0.13278180817317542</v>
      </c>
      <c r="I3532">
        <v>0.13278180817317559</v>
      </c>
    </row>
    <row r="3533" spans="1:9" x14ac:dyDescent="0.25">
      <c r="A3533">
        <v>290</v>
      </c>
      <c r="B3533" t="s">
        <v>1612</v>
      </c>
      <c r="C3533" t="s">
        <v>138</v>
      </c>
      <c r="D3533" t="s">
        <v>40</v>
      </c>
      <c r="E3533">
        <f>2/18</f>
        <v>0.1111111111111111</v>
      </c>
      <c r="F3533">
        <v>159</v>
      </c>
      <c r="G3533">
        <f>LOG(382/(159+1))</f>
        <v>0.377943380255784</v>
      </c>
      <c r="H3533">
        <f>0.111111111111111*0.870246793372748</f>
        <v>9.669408815252746E-2</v>
      </c>
      <c r="I3533">
        <v>9.6694088152527585E-2</v>
      </c>
    </row>
    <row r="3534" spans="1:9" x14ac:dyDescent="0.25">
      <c r="A3534">
        <v>290</v>
      </c>
      <c r="B3534" t="s">
        <v>1612</v>
      </c>
      <c r="C3534" t="s">
        <v>138</v>
      </c>
      <c r="D3534" t="s">
        <v>41</v>
      </c>
      <c r="E3534">
        <f>1/18</f>
        <v>5.5555555555555552E-2</v>
      </c>
      <c r="F3534">
        <v>195</v>
      </c>
      <c r="G3534">
        <f>LOG(382/(195+1))</f>
        <v>0.28980729155523272</v>
      </c>
      <c r="H3534">
        <f>0.0555555555555555*0.667305949376058</f>
        <v>3.7072552743114294E-2</v>
      </c>
      <c r="I3534">
        <v>3.7072552743114343E-2</v>
      </c>
    </row>
    <row r="3535" spans="1:9" x14ac:dyDescent="0.25">
      <c r="A3535">
        <v>290</v>
      </c>
      <c r="B3535" t="s">
        <v>1612</v>
      </c>
      <c r="C3535" t="s">
        <v>138</v>
      </c>
      <c r="D3535" t="s">
        <v>38</v>
      </c>
      <c r="E3535">
        <f>1/18</f>
        <v>5.5555555555555552E-2</v>
      </c>
      <c r="F3535">
        <v>86</v>
      </c>
      <c r="G3535">
        <f>LOG(382/(86+1))</f>
        <v>0.64254411029309022</v>
      </c>
      <c r="H3535">
        <f>0.0555555555555555*1.47951248995199</f>
        <v>8.2195138330666023E-2</v>
      </c>
      <c r="I3535">
        <v>8.2195138330666176E-2</v>
      </c>
    </row>
    <row r="3536" spans="1:9" x14ac:dyDescent="0.25">
      <c r="A3536">
        <v>290</v>
      </c>
      <c r="B3536" t="s">
        <v>1612</v>
      </c>
      <c r="C3536" t="s">
        <v>138</v>
      </c>
      <c r="D3536" t="s">
        <v>706</v>
      </c>
      <c r="E3536">
        <f>1/18</f>
        <v>5.5555555555555552E-2</v>
      </c>
      <c r="F3536">
        <v>6</v>
      </c>
      <c r="G3536">
        <f>LOG(382/(6+1))</f>
        <v>1.736965322897452</v>
      </c>
      <c r="H3536">
        <f>0.0555555555555555*3.99951045955126</f>
        <v>0.22219502553062531</v>
      </c>
      <c r="I3536">
        <v>0.22219502553062559</v>
      </c>
    </row>
    <row r="3537" spans="1:9" x14ac:dyDescent="0.25">
      <c r="A3537">
        <v>290</v>
      </c>
      <c r="B3537" t="s">
        <v>1612</v>
      </c>
      <c r="C3537" t="s">
        <v>138</v>
      </c>
      <c r="D3537" t="s">
        <v>1185</v>
      </c>
      <c r="E3537">
        <f>1/18</f>
        <v>5.5555555555555552E-2</v>
      </c>
      <c r="F3537">
        <v>9</v>
      </c>
      <c r="G3537">
        <f>LOG(382/(9+1))</f>
        <v>1.5820633629117087</v>
      </c>
      <c r="H3537">
        <f>0.0555555555555555*3.64283551561252</f>
        <v>0.20237975086736201</v>
      </c>
      <c r="I3537">
        <v>0.20237975086736271</v>
      </c>
    </row>
    <row r="3538" spans="1:9" x14ac:dyDescent="0.25">
      <c r="A3538">
        <v>290</v>
      </c>
      <c r="B3538" t="s">
        <v>1612</v>
      </c>
      <c r="C3538" t="s">
        <v>138</v>
      </c>
      <c r="D3538" t="s">
        <v>582</v>
      </c>
      <c r="E3538">
        <f>1/18</f>
        <v>5.5555555555555552E-2</v>
      </c>
      <c r="F3538">
        <v>14</v>
      </c>
      <c r="G3538">
        <f>LOG(382/(14+1))</f>
        <v>1.4059721038560276</v>
      </c>
      <c r="H3538">
        <f>0.0555555555555555*3.23737040750436</f>
        <v>0.1798539115280198</v>
      </c>
      <c r="I3538">
        <v>0.1798539115280203</v>
      </c>
    </row>
    <row r="3539" spans="1:9" x14ac:dyDescent="0.25">
      <c r="A3539">
        <v>291</v>
      </c>
      <c r="B3539" t="s">
        <v>1615</v>
      </c>
      <c r="C3539" t="s">
        <v>48</v>
      </c>
      <c r="D3539" t="s">
        <v>905</v>
      </c>
      <c r="E3539">
        <f>2/237</f>
        <v>8.4388185654008432E-3</v>
      </c>
      <c r="F3539">
        <v>5</v>
      </c>
      <c r="G3539">
        <f>LOG(382/(5+1))</f>
        <v>1.803912112528065</v>
      </c>
      <c r="H3539">
        <f>0.00843881856540084*4.15366113937852</f>
        <v>3.505199273737146E-2</v>
      </c>
      <c r="I3539">
        <v>3.5051992737371467E-2</v>
      </c>
    </row>
    <row r="3540" spans="1:9" x14ac:dyDescent="0.25">
      <c r="A3540">
        <v>291</v>
      </c>
      <c r="B3540" t="s">
        <v>1615</v>
      </c>
      <c r="C3540" t="s">
        <v>48</v>
      </c>
      <c r="D3540" t="s">
        <v>538</v>
      </c>
      <c r="E3540">
        <f>3/237</f>
        <v>1.2658227848101266E-2</v>
      </c>
      <c r="F3540">
        <v>3</v>
      </c>
      <c r="G3540">
        <f>LOG(382/(3+1))</f>
        <v>1.9800033715837464</v>
      </c>
      <c r="H3540">
        <f>0.0126582278481012*4.55912624748668</f>
        <v>5.7710458828945016E-2</v>
      </c>
      <c r="I3540">
        <v>5.771045882894537E-2</v>
      </c>
    </row>
    <row r="3541" spans="1:9" x14ac:dyDescent="0.25">
      <c r="A3541">
        <v>291</v>
      </c>
      <c r="B3541" t="s">
        <v>1615</v>
      </c>
      <c r="C3541" t="s">
        <v>48</v>
      </c>
      <c r="D3541" t="s">
        <v>1191</v>
      </c>
      <c r="E3541">
        <f>6/237</f>
        <v>2.5316455696202531E-2</v>
      </c>
      <c r="F3541">
        <v>4</v>
      </c>
      <c r="G3541">
        <f>LOG(382/(4+1))</f>
        <v>1.8830933585756899</v>
      </c>
      <c r="H3541">
        <f>0.0253164556962025*4.33598269617247</f>
        <v>0.10977171382715101</v>
      </c>
      <c r="I3541">
        <v>0.1097717138271513</v>
      </c>
    </row>
    <row r="3542" spans="1:9" x14ac:dyDescent="0.25">
      <c r="A3542">
        <v>291</v>
      </c>
      <c r="B3542" t="s">
        <v>1615</v>
      </c>
      <c r="C3542" t="s">
        <v>48</v>
      </c>
      <c r="D3542" t="s">
        <v>68</v>
      </c>
      <c r="E3542">
        <f>5/237</f>
        <v>2.1097046413502109E-2</v>
      </c>
      <c r="F3542">
        <v>43</v>
      </c>
      <c r="G3542">
        <f>LOG(382/(43+1))</f>
        <v>0.93861068642552126</v>
      </c>
      <c r="H3542">
        <f>0.0210970464135021*2.16123097468831</f>
        <v>4.5595590183297653E-2</v>
      </c>
      <c r="I3542">
        <v>4.5595590183297757E-2</v>
      </c>
    </row>
    <row r="3543" spans="1:9" x14ac:dyDescent="0.25">
      <c r="A3543">
        <v>291</v>
      </c>
      <c r="B3543" t="s">
        <v>1615</v>
      </c>
      <c r="C3543" t="s">
        <v>48</v>
      </c>
      <c r="D3543" t="s">
        <v>44</v>
      </c>
      <c r="E3543">
        <f>6/237</f>
        <v>2.5316455696202531E-2</v>
      </c>
      <c r="F3543">
        <v>151</v>
      </c>
      <c r="G3543">
        <f>LOG(382/(151+1))</f>
        <v>0.40021977496693617</v>
      </c>
      <c r="H3543">
        <f>0.0253164556962025*0.921540087760298</f>
        <v>2.3330128804058149E-2</v>
      </c>
      <c r="I3543">
        <v>2.333012880405819E-2</v>
      </c>
    </row>
    <row r="3544" spans="1:9" x14ac:dyDescent="0.25">
      <c r="A3544">
        <v>291</v>
      </c>
      <c r="B3544" t="s">
        <v>1615</v>
      </c>
      <c r="C3544" t="s">
        <v>48</v>
      </c>
      <c r="D3544" t="s">
        <v>552</v>
      </c>
      <c r="E3544">
        <f>7/237</f>
        <v>2.9535864978902954E-2</v>
      </c>
      <c r="F3544">
        <v>14</v>
      </c>
      <c r="G3544">
        <f>LOG(382/(14+1))</f>
        <v>1.4059721038560276</v>
      </c>
      <c r="H3544">
        <f>0.0295358649789029*3.23737040750436</f>
        <v>9.5618535242744634E-2</v>
      </c>
      <c r="I3544">
        <v>9.5618535242744968E-2</v>
      </c>
    </row>
    <row r="3545" spans="1:9" x14ac:dyDescent="0.25">
      <c r="A3545">
        <v>291</v>
      </c>
      <c r="B3545" t="s">
        <v>1615</v>
      </c>
      <c r="C3545" t="s">
        <v>48</v>
      </c>
      <c r="D3545" t="s">
        <v>878</v>
      </c>
      <c r="E3545">
        <f>11/237</f>
        <v>4.6413502109704644E-2</v>
      </c>
      <c r="F3545">
        <v>9</v>
      </c>
      <c r="G3545">
        <f>LOG(382/(9+1))</f>
        <v>1.5820633629117087</v>
      </c>
      <c r="H3545">
        <f>0.0464135021097046*3.64283551561252</f>
        <v>0.16907675388918855</v>
      </c>
      <c r="I3545">
        <v>0.16907675388918911</v>
      </c>
    </row>
    <row r="3546" spans="1:9" x14ac:dyDescent="0.25">
      <c r="A3546">
        <v>291</v>
      </c>
      <c r="B3546" t="s">
        <v>1615</v>
      </c>
      <c r="C3546" t="s">
        <v>48</v>
      </c>
      <c r="D3546" t="s">
        <v>64</v>
      </c>
      <c r="E3546">
        <f>8/237</f>
        <v>3.3755274261603373E-2</v>
      </c>
      <c r="F3546">
        <v>16</v>
      </c>
      <c r="G3546">
        <f>LOG(382/(16+1))</f>
        <v>1.3516144415334348</v>
      </c>
      <c r="H3546">
        <f>0.0337552742616033*3.11220726455035</f>
        <v>0.10505340977385125</v>
      </c>
      <c r="I3546">
        <v>0.1050534097738518</v>
      </c>
    </row>
    <row r="3547" spans="1:9" x14ac:dyDescent="0.25">
      <c r="A3547">
        <v>291</v>
      </c>
      <c r="B3547" t="s">
        <v>1615</v>
      </c>
      <c r="C3547" t="s">
        <v>48</v>
      </c>
      <c r="D3547" t="s">
        <v>196</v>
      </c>
      <c r="E3547">
        <f>1/237</f>
        <v>4.2194092827004216E-3</v>
      </c>
      <c r="F3547">
        <v>33</v>
      </c>
      <c r="G3547">
        <f>LOG(382/(33+1))</f>
        <v>1.0505844458694535</v>
      </c>
      <c r="H3547">
        <f>0.00421940928270042*2.41906008399041</f>
        <v>1.0207004573799194E-2</v>
      </c>
      <c r="I3547">
        <v>1.020700457379921E-2</v>
      </c>
    </row>
    <row r="3548" spans="1:9" x14ac:dyDescent="0.25">
      <c r="A3548">
        <v>291</v>
      </c>
      <c r="B3548" t="s">
        <v>1615</v>
      </c>
      <c r="C3548" t="s">
        <v>48</v>
      </c>
      <c r="D3548" t="s">
        <v>119</v>
      </c>
      <c r="E3548">
        <f>3/237</f>
        <v>1.2658227848101266E-2</v>
      </c>
      <c r="F3548">
        <v>79</v>
      </c>
      <c r="G3548">
        <f>LOG(382/(79+1))</f>
        <v>0.67897337591976514</v>
      </c>
      <c r="H3548">
        <f>0.0126582278481012*1.56339397393269</f>
        <v>1.9789797138388378E-2</v>
      </c>
      <c r="I3548">
        <v>1.9789797138388531E-2</v>
      </c>
    </row>
    <row r="3549" spans="1:9" x14ac:dyDescent="0.25">
      <c r="A3549">
        <v>291</v>
      </c>
      <c r="B3549" t="s">
        <v>1615</v>
      </c>
      <c r="C3549" t="s">
        <v>48</v>
      </c>
      <c r="D3549" t="s">
        <v>236</v>
      </c>
      <c r="E3549">
        <f>1/237</f>
        <v>4.2194092827004216E-3</v>
      </c>
      <c r="F3549">
        <v>87</v>
      </c>
      <c r="G3549">
        <f>LOG(382/(87+1))</f>
        <v>0.63758069076154011</v>
      </c>
      <c r="H3549">
        <f>0.00421940928270042*1.46808379412836</f>
        <v>6.1944463887272545E-3</v>
      </c>
      <c r="I3549">
        <v>6.1944463887272944E-3</v>
      </c>
    </row>
    <row r="3550" spans="1:9" x14ac:dyDescent="0.25">
      <c r="A3550">
        <v>291</v>
      </c>
      <c r="B3550" t="s">
        <v>1615</v>
      </c>
      <c r="C3550" t="s">
        <v>48</v>
      </c>
      <c r="D3550" t="s">
        <v>40</v>
      </c>
      <c r="E3550">
        <f>3/237</f>
        <v>1.2658227848101266E-2</v>
      </c>
      <c r="F3550">
        <v>159</v>
      </c>
      <c r="G3550">
        <f>LOG(382/(159+1))</f>
        <v>0.377943380255784</v>
      </c>
      <c r="H3550">
        <f>0.0126582278481012*0.870246793372748</f>
        <v>1.101578219459169E-2</v>
      </c>
      <c r="I3550">
        <v>1.1015782194591751E-2</v>
      </c>
    </row>
    <row r="3551" spans="1:9" x14ac:dyDescent="0.25">
      <c r="A3551">
        <v>291</v>
      </c>
      <c r="B3551" t="s">
        <v>1615</v>
      </c>
      <c r="C3551" t="s">
        <v>48</v>
      </c>
      <c r="D3551" t="s">
        <v>41</v>
      </c>
      <c r="E3551">
        <f>5/237</f>
        <v>2.1097046413502109E-2</v>
      </c>
      <c r="F3551">
        <v>195</v>
      </c>
      <c r="G3551">
        <f>LOG(382/(195+1))</f>
        <v>0.28980729155523272</v>
      </c>
      <c r="H3551">
        <f>0.0210970464135021*0.667305949376058</f>
        <v>1.4078184585992777E-2</v>
      </c>
      <c r="I3551">
        <v>1.4078184585992779E-2</v>
      </c>
    </row>
    <row r="3552" spans="1:9" x14ac:dyDescent="0.25">
      <c r="A3552">
        <v>291</v>
      </c>
      <c r="B3552" t="s">
        <v>1615</v>
      </c>
      <c r="C3552" t="s">
        <v>48</v>
      </c>
      <c r="D3552" t="s">
        <v>1243</v>
      </c>
      <c r="E3552">
        <f>2/237</f>
        <v>8.4388185654008432E-3</v>
      </c>
      <c r="F3552">
        <v>2</v>
      </c>
      <c r="G3552">
        <f>LOG(382/(2+1))</f>
        <v>2.1049421081920463</v>
      </c>
      <c r="H3552">
        <f>0.00843881856540084*4.84680831993846</f>
        <v>4.0901336033235931E-2</v>
      </c>
      <c r="I3552">
        <v>4.0901336033235987E-2</v>
      </c>
    </row>
    <row r="3553" spans="1:9" x14ac:dyDescent="0.25">
      <c r="A3553">
        <v>291</v>
      </c>
      <c r="B3553" t="s">
        <v>1615</v>
      </c>
      <c r="C3553" t="s">
        <v>48</v>
      </c>
      <c r="D3553" t="s">
        <v>58</v>
      </c>
      <c r="E3553">
        <f>1/237</f>
        <v>4.2194092827004216E-3</v>
      </c>
      <c r="F3553">
        <v>18</v>
      </c>
      <c r="G3553">
        <f>LOG(382/(18+1))</f>
        <v>1.3033097619588798</v>
      </c>
      <c r="H3553">
        <f>0.00421940928270042*3.00098162944013</f>
        <v>1.2662369744473117E-2</v>
      </c>
      <c r="I3553">
        <v>1.2662369744473141E-2</v>
      </c>
    </row>
    <row r="3554" spans="1:9" x14ac:dyDescent="0.25">
      <c r="A3554">
        <v>291</v>
      </c>
      <c r="B3554" t="s">
        <v>1615</v>
      </c>
      <c r="C3554" t="s">
        <v>48</v>
      </c>
      <c r="D3554" t="s">
        <v>105</v>
      </c>
      <c r="E3554">
        <f>1/237</f>
        <v>4.2194092827004216E-3</v>
      </c>
      <c r="F3554">
        <v>122</v>
      </c>
      <c r="G3554">
        <f>LOG(382/(122+1))</f>
        <v>0.49215825147231079</v>
      </c>
      <c r="H3554">
        <f>0.00421940928270042*1.13323625323415</f>
        <v>4.7815875663888164E-3</v>
      </c>
      <c r="I3554">
        <v>4.7815875663888502E-3</v>
      </c>
    </row>
    <row r="3555" spans="1:9" x14ac:dyDescent="0.25">
      <c r="A3555">
        <v>291</v>
      </c>
      <c r="B3555" t="s">
        <v>1615</v>
      </c>
      <c r="C3555" t="s">
        <v>48</v>
      </c>
      <c r="D3555" t="s">
        <v>349</v>
      </c>
      <c r="E3555">
        <f>1/237</f>
        <v>4.2194092827004216E-3</v>
      </c>
      <c r="F3555">
        <v>4</v>
      </c>
      <c r="G3555">
        <f>LOG(382/(4+1))</f>
        <v>1.8830933585756899</v>
      </c>
      <c r="H3555">
        <f>0.00421940928270042*4.33598269617247</f>
        <v>1.8295285637858514E-2</v>
      </c>
      <c r="I3555">
        <v>1.8295285637858542E-2</v>
      </c>
    </row>
    <row r="3556" spans="1:9" x14ac:dyDescent="0.25">
      <c r="A3556">
        <v>291</v>
      </c>
      <c r="B3556" t="s">
        <v>1615</v>
      </c>
      <c r="C3556" t="s">
        <v>48</v>
      </c>
      <c r="D3556" t="s">
        <v>198</v>
      </c>
      <c r="E3556">
        <f>1/237</f>
        <v>4.2194092827004216E-3</v>
      </c>
      <c r="F3556">
        <v>11</v>
      </c>
      <c r="G3556">
        <f>LOG(382/(11+1))</f>
        <v>1.5028821168640838</v>
      </c>
      <c r="H3556">
        <f>0.00421940928270042*3.46051395881857</f>
        <v>1.4601324720753452E-2</v>
      </c>
      <c r="I3556">
        <v>1.460132472075348E-2</v>
      </c>
    </row>
    <row r="3557" spans="1:9" x14ac:dyDescent="0.25">
      <c r="A3557">
        <v>291</v>
      </c>
      <c r="B3557" t="s">
        <v>1615</v>
      </c>
      <c r="C3557" t="s">
        <v>48</v>
      </c>
      <c r="D3557" t="s">
        <v>39</v>
      </c>
      <c r="E3557">
        <f>2/237</f>
        <v>8.4388185654008432E-3</v>
      </c>
      <c r="F3557">
        <v>145</v>
      </c>
      <c r="G3557">
        <f>LOG(382/(145+1))</f>
        <v>0.41771050712727159</v>
      </c>
      <c r="H3557">
        <f>0.00843881856540084*0.961813986898238</f>
        <v>8.1165737290990504E-3</v>
      </c>
      <c r="I3557">
        <v>8.1165737290990608E-3</v>
      </c>
    </row>
    <row r="3558" spans="1:9" x14ac:dyDescent="0.25">
      <c r="A3558">
        <v>291</v>
      </c>
      <c r="B3558" t="s">
        <v>1615</v>
      </c>
      <c r="C3558" t="s">
        <v>48</v>
      </c>
      <c r="D3558" t="s">
        <v>636</v>
      </c>
      <c r="E3558">
        <f>1/237</f>
        <v>4.2194092827004216E-3</v>
      </c>
      <c r="F3558">
        <v>31</v>
      </c>
      <c r="G3558">
        <f>LOG(382/(31+1))</f>
        <v>1.0769133845918029</v>
      </c>
      <c r="H3558">
        <f>0.00421940928270042*2.47968470580684</f>
        <v>1.046280466585164E-2</v>
      </c>
      <c r="I3558">
        <v>1.046280466585168E-2</v>
      </c>
    </row>
    <row r="3559" spans="1:9" x14ac:dyDescent="0.25">
      <c r="A3559">
        <v>291</v>
      </c>
      <c r="B3559" t="s">
        <v>1615</v>
      </c>
      <c r="C3559" t="s">
        <v>48</v>
      </c>
      <c r="D3559" t="s">
        <v>1136</v>
      </c>
      <c r="E3559">
        <f>2/237</f>
        <v>8.4388185654008432E-3</v>
      </c>
      <c r="F3559">
        <v>4</v>
      </c>
      <c r="G3559">
        <f>LOG(382/(4+1))</f>
        <v>1.8830933585756899</v>
      </c>
      <c r="H3559">
        <f>0.00843881856540084*4.33598269617247</f>
        <v>3.6590571275717028E-2</v>
      </c>
      <c r="I3559">
        <v>3.6590571275717083E-2</v>
      </c>
    </row>
    <row r="3560" spans="1:9" x14ac:dyDescent="0.25">
      <c r="A3560">
        <v>291</v>
      </c>
      <c r="B3560" t="s">
        <v>1615</v>
      </c>
      <c r="C3560" t="s">
        <v>48</v>
      </c>
      <c r="D3560" t="s">
        <v>1616</v>
      </c>
      <c r="E3560">
        <f>3/237</f>
        <v>1.2658227848101266E-2</v>
      </c>
      <c r="F3560">
        <v>4</v>
      </c>
      <c r="G3560">
        <f>LOG(382/(4+1))</f>
        <v>1.8830933585756899</v>
      </c>
      <c r="H3560">
        <f>0.0126582278481012*4.33598269617247</f>
        <v>5.4885856913575289E-2</v>
      </c>
      <c r="I3560">
        <v>5.4885856913575629E-2</v>
      </c>
    </row>
    <row r="3561" spans="1:9" x14ac:dyDescent="0.25">
      <c r="A3561">
        <v>291</v>
      </c>
      <c r="B3561" t="s">
        <v>1615</v>
      </c>
      <c r="C3561" t="s">
        <v>48</v>
      </c>
      <c r="D3561" t="s">
        <v>624</v>
      </c>
      <c r="E3561">
        <f>1/237</f>
        <v>4.2194092827004216E-3</v>
      </c>
      <c r="F3561">
        <v>5</v>
      </c>
      <c r="G3561">
        <f>LOG(382/(5+1))</f>
        <v>1.803912112528065</v>
      </c>
      <c r="H3561">
        <f>0.00421940928270042*4.15366113937852</f>
        <v>1.752599636868573E-2</v>
      </c>
      <c r="I3561">
        <v>1.752599636868574E-2</v>
      </c>
    </row>
    <row r="3562" spans="1:9" x14ac:dyDescent="0.25">
      <c r="A3562">
        <v>291</v>
      </c>
      <c r="B3562" t="s">
        <v>1615</v>
      </c>
      <c r="C3562" t="s">
        <v>48</v>
      </c>
      <c r="D3562" t="s">
        <v>126</v>
      </c>
      <c r="E3562">
        <f>6/237</f>
        <v>2.5316455696202531E-2</v>
      </c>
      <c r="F3562">
        <v>79</v>
      </c>
      <c r="G3562">
        <f>LOG(382/(79+1))</f>
        <v>0.67897337591976514</v>
      </c>
      <c r="H3562">
        <f>0.0253164556962025*1.56339397393269</f>
        <v>3.9579594276776917E-2</v>
      </c>
      <c r="I3562">
        <v>3.9579594276777062E-2</v>
      </c>
    </row>
    <row r="3563" spans="1:9" x14ac:dyDescent="0.25">
      <c r="A3563">
        <v>291</v>
      </c>
      <c r="B3563" t="s">
        <v>1615</v>
      </c>
      <c r="C3563" t="s">
        <v>48</v>
      </c>
      <c r="D3563" t="s">
        <v>50</v>
      </c>
      <c r="E3563">
        <f>13/237</f>
        <v>5.4852320675105488E-2</v>
      </c>
      <c r="F3563">
        <v>109</v>
      </c>
      <c r="G3563">
        <f>LOG(382/(109+1))</f>
        <v>0.54067067775348365</v>
      </c>
      <c r="H3563">
        <f>0.0548523206751054*1.24494024281415</f>
        <v>6.8287861420185336E-2</v>
      </c>
      <c r="I3563">
        <v>6.8287861420185933E-2</v>
      </c>
    </row>
    <row r="3564" spans="1:9" x14ac:dyDescent="0.25">
      <c r="A3564">
        <v>291</v>
      </c>
      <c r="B3564" t="s">
        <v>1615</v>
      </c>
      <c r="C3564" t="s">
        <v>48</v>
      </c>
      <c r="D3564" t="s">
        <v>1617</v>
      </c>
      <c r="E3564">
        <f>2/237</f>
        <v>8.4388185654008432E-3</v>
      </c>
      <c r="F3564">
        <v>1</v>
      </c>
      <c r="G3564">
        <f>LOG(382/(1+1))</f>
        <v>2.2810333672477277</v>
      </c>
      <c r="H3564">
        <f>0.00843881856540084*5.25227342804663</f>
        <v>4.432298251516141E-2</v>
      </c>
      <c r="I3564">
        <v>4.4322982515161431E-2</v>
      </c>
    </row>
    <row r="3565" spans="1:9" x14ac:dyDescent="0.25">
      <c r="A3565">
        <v>291</v>
      </c>
      <c r="B3565" t="s">
        <v>1615</v>
      </c>
      <c r="C3565" t="s">
        <v>48</v>
      </c>
      <c r="D3565" t="s">
        <v>600</v>
      </c>
      <c r="E3565">
        <f>1/237</f>
        <v>4.2194092827004216E-3</v>
      </c>
      <c r="F3565">
        <v>102</v>
      </c>
      <c r="G3565">
        <f>LOG(382/(102+1))</f>
        <v>0.56922613820653656</v>
      </c>
      <c r="H3565">
        <f>0.00421940928270042*1.31069162037693</f>
        <v>5.5303443897760738E-3</v>
      </c>
      <c r="I3565">
        <v>5.5303443897761146E-3</v>
      </c>
    </row>
    <row r="3566" spans="1:9" x14ac:dyDescent="0.25">
      <c r="A3566">
        <v>291</v>
      </c>
      <c r="B3566" t="s">
        <v>1615</v>
      </c>
      <c r="C3566" t="s">
        <v>48</v>
      </c>
      <c r="D3566" t="s">
        <v>1618</v>
      </c>
      <c r="E3566">
        <f>3/237</f>
        <v>1.2658227848101266E-2</v>
      </c>
      <c r="F3566">
        <v>6</v>
      </c>
      <c r="G3566">
        <f>LOG(382/(6+1))</f>
        <v>1.736965322897452</v>
      </c>
      <c r="H3566">
        <f>0.0126582278481012*3.99951045955126</f>
        <v>5.0626714677863789E-2</v>
      </c>
      <c r="I3566">
        <v>5.0626714677864067E-2</v>
      </c>
    </row>
    <row r="3567" spans="1:9" x14ac:dyDescent="0.25">
      <c r="A3567">
        <v>291</v>
      </c>
      <c r="B3567" t="s">
        <v>1615</v>
      </c>
      <c r="C3567" t="s">
        <v>48</v>
      </c>
      <c r="D3567" t="s">
        <v>1619</v>
      </c>
      <c r="E3567">
        <f>4/237</f>
        <v>1.6877637130801686E-2</v>
      </c>
      <c r="F3567">
        <v>1</v>
      </c>
      <c r="G3567">
        <f>LOG(382/(1+1))</f>
        <v>2.2810333672477277</v>
      </c>
      <c r="H3567">
        <f>0.0168776371308016*5.25227342804663</f>
        <v>8.8645965030322404E-2</v>
      </c>
      <c r="I3567">
        <v>8.8645965030322862E-2</v>
      </c>
    </row>
    <row r="3568" spans="1:9" x14ac:dyDescent="0.25">
      <c r="A3568">
        <v>291</v>
      </c>
      <c r="B3568" t="s">
        <v>1615</v>
      </c>
      <c r="C3568" t="s">
        <v>48</v>
      </c>
      <c r="D3568" t="s">
        <v>1620</v>
      </c>
      <c r="E3568">
        <f>1/237</f>
        <v>4.2194092827004216E-3</v>
      </c>
      <c r="F3568">
        <v>2</v>
      </c>
      <c r="G3568">
        <f>LOG(382/(2+1))</f>
        <v>2.1049421081920463</v>
      </c>
      <c r="H3568">
        <f>0.00421940928270042*4.84680831993846</f>
        <v>2.0450668016617966E-2</v>
      </c>
      <c r="I3568">
        <v>2.0450668016618E-2</v>
      </c>
    </row>
    <row r="3569" spans="1:9" x14ac:dyDescent="0.25">
      <c r="A3569">
        <v>291</v>
      </c>
      <c r="B3569" t="s">
        <v>1615</v>
      </c>
      <c r="C3569" t="s">
        <v>48</v>
      </c>
      <c r="D3569" t="s">
        <v>100</v>
      </c>
      <c r="E3569">
        <f>2/237</f>
        <v>8.4388185654008432E-3</v>
      </c>
      <c r="F3569">
        <v>9</v>
      </c>
      <c r="G3569">
        <f>LOG(382/(9+1))</f>
        <v>1.5820633629117087</v>
      </c>
      <c r="H3569">
        <f>0.00843881856540084*3.64283551561252</f>
        <v>3.0741227979852476E-2</v>
      </c>
      <c r="I3569">
        <v>3.074122797985257E-2</v>
      </c>
    </row>
    <row r="3570" spans="1:9" x14ac:dyDescent="0.25">
      <c r="A3570">
        <v>291</v>
      </c>
      <c r="B3570" t="s">
        <v>1615</v>
      </c>
      <c r="C3570" t="s">
        <v>48</v>
      </c>
      <c r="D3570" t="s">
        <v>106</v>
      </c>
      <c r="E3570">
        <f>2/237</f>
        <v>8.4388185654008432E-3</v>
      </c>
      <c r="F3570">
        <v>17</v>
      </c>
      <c r="G3570">
        <f>LOG(382/(17+1))</f>
        <v>1.3267908578084027</v>
      </c>
      <c r="H3570">
        <f>0.00843881856540084*3.05504885071041</f>
        <v>2.5781002959581505E-2</v>
      </c>
      <c r="I3570">
        <v>2.5781002959581519E-2</v>
      </c>
    </row>
    <row r="3571" spans="1:9" x14ac:dyDescent="0.25">
      <c r="A3571">
        <v>291</v>
      </c>
      <c r="B3571" t="s">
        <v>1615</v>
      </c>
      <c r="C3571" t="s">
        <v>48</v>
      </c>
      <c r="D3571" t="s">
        <v>1621</v>
      </c>
      <c r="E3571">
        <f>2/237</f>
        <v>8.4388185654008432E-3</v>
      </c>
      <c r="F3571">
        <v>1</v>
      </c>
      <c r="G3571">
        <f>LOG(382/(1+1))</f>
        <v>2.2810333672477277</v>
      </c>
      <c r="H3571">
        <f>0.00843881856540084*5.25227342804663</f>
        <v>4.432298251516141E-2</v>
      </c>
      <c r="I3571">
        <v>4.4322982515161431E-2</v>
      </c>
    </row>
    <row r="3572" spans="1:9" x14ac:dyDescent="0.25">
      <c r="A3572">
        <v>291</v>
      </c>
      <c r="B3572" t="s">
        <v>1615</v>
      </c>
      <c r="C3572" t="s">
        <v>48</v>
      </c>
      <c r="D3572" t="s">
        <v>336</v>
      </c>
      <c r="E3572">
        <f>2/237</f>
        <v>8.4388185654008432E-3</v>
      </c>
      <c r="F3572">
        <v>10</v>
      </c>
      <c r="G3572">
        <f>LOG(382/(10+1))</f>
        <v>1.5406706777534838</v>
      </c>
      <c r="H3572">
        <f>0.00843881856540084*3.5475253358082</f>
        <v>2.9936922665048087E-2</v>
      </c>
      <c r="I3572">
        <v>2.9936922665048139E-2</v>
      </c>
    </row>
    <row r="3573" spans="1:9" x14ac:dyDescent="0.25">
      <c r="A3573">
        <v>291</v>
      </c>
      <c r="B3573" t="s">
        <v>1615</v>
      </c>
      <c r="C3573" t="s">
        <v>48</v>
      </c>
      <c r="D3573" t="s">
        <v>1622</v>
      </c>
      <c r="E3573">
        <f>2/237</f>
        <v>8.4388185654008432E-3</v>
      </c>
      <c r="F3573">
        <v>2</v>
      </c>
      <c r="G3573">
        <f>LOG(382/(2+1))</f>
        <v>2.1049421081920463</v>
      </c>
      <c r="H3573">
        <f>0.00843881856540084*4.84680831993846</f>
        <v>4.0901336033235931E-2</v>
      </c>
      <c r="I3573">
        <v>4.0901336033235987E-2</v>
      </c>
    </row>
    <row r="3574" spans="1:9" x14ac:dyDescent="0.25">
      <c r="A3574">
        <v>291</v>
      </c>
      <c r="B3574" t="s">
        <v>1615</v>
      </c>
      <c r="C3574" t="s">
        <v>48</v>
      </c>
      <c r="D3574" t="s">
        <v>1623</v>
      </c>
      <c r="E3574">
        <f>1/237</f>
        <v>4.2194092827004216E-3</v>
      </c>
      <c r="F3574">
        <v>3</v>
      </c>
      <c r="G3574">
        <f>LOG(382/(3+1))</f>
        <v>1.9800033715837464</v>
      </c>
      <c r="H3574">
        <f>0.00421940928270042*4.55912624748668</f>
        <v>1.9236819609648431E-2</v>
      </c>
      <c r="I3574">
        <v>1.9236819609648459E-2</v>
      </c>
    </row>
    <row r="3575" spans="1:9" x14ac:dyDescent="0.25">
      <c r="A3575">
        <v>291</v>
      </c>
      <c r="B3575" t="s">
        <v>1615</v>
      </c>
      <c r="C3575" t="s">
        <v>48</v>
      </c>
      <c r="D3575" t="s">
        <v>25</v>
      </c>
      <c r="E3575">
        <f>1/237</f>
        <v>4.2194092827004216E-3</v>
      </c>
      <c r="F3575">
        <v>106</v>
      </c>
      <c r="G3575">
        <f>LOG(382/(106+1))</f>
        <v>0.55267958522649907</v>
      </c>
      <c r="H3575">
        <f>0.00421940928270042*1.27259177414466</f>
        <v>5.3695855449141742E-3</v>
      </c>
      <c r="I3575">
        <v>5.3695855449142149E-3</v>
      </c>
    </row>
    <row r="3576" spans="1:9" x14ac:dyDescent="0.25">
      <c r="A3576">
        <v>291</v>
      </c>
      <c r="B3576" t="s">
        <v>1615</v>
      </c>
      <c r="C3576" t="s">
        <v>48</v>
      </c>
      <c r="D3576" t="s">
        <v>1624</v>
      </c>
      <c r="E3576">
        <f>5/237</f>
        <v>2.1097046413502109E-2</v>
      </c>
      <c r="F3576">
        <v>4</v>
      </c>
      <c r="G3576">
        <f>LOG(382/(4+1))</f>
        <v>1.8830933585756899</v>
      </c>
      <c r="H3576">
        <f>0.0210970464135021*4.33598269617247</f>
        <v>9.147642818929258E-2</v>
      </c>
      <c r="I3576">
        <v>9.1476428189292719E-2</v>
      </c>
    </row>
    <row r="3577" spans="1:9" x14ac:dyDescent="0.25">
      <c r="A3577">
        <v>291</v>
      </c>
      <c r="B3577" t="s">
        <v>1615</v>
      </c>
      <c r="C3577" t="s">
        <v>48</v>
      </c>
      <c r="D3577" t="s">
        <v>151</v>
      </c>
      <c r="E3577">
        <f>2/237</f>
        <v>8.4388185654008432E-3</v>
      </c>
      <c r="F3577">
        <v>14</v>
      </c>
      <c r="G3577">
        <f>LOG(382/(14+1))</f>
        <v>1.4059721038560276</v>
      </c>
      <c r="H3577">
        <f>0.00843881856540084*3.23737040750436</f>
        <v>2.7319581497927074E-2</v>
      </c>
      <c r="I3577">
        <v>2.7319581497927129E-2</v>
      </c>
    </row>
    <row r="3578" spans="1:9" x14ac:dyDescent="0.25">
      <c r="A3578">
        <v>291</v>
      </c>
      <c r="B3578" t="s">
        <v>1615</v>
      </c>
      <c r="C3578" t="s">
        <v>48</v>
      </c>
      <c r="D3578" t="s">
        <v>174</v>
      </c>
      <c r="E3578">
        <f>1/237</f>
        <v>4.2194092827004216E-3</v>
      </c>
      <c r="F3578">
        <v>5</v>
      </c>
      <c r="G3578">
        <f>LOG(382/(5+1))</f>
        <v>1.803912112528065</v>
      </c>
      <c r="H3578">
        <f>0.00421940928270042*4.15366113937852</f>
        <v>1.752599636868573E-2</v>
      </c>
      <c r="I3578">
        <v>1.752599636868574E-2</v>
      </c>
    </row>
    <row r="3579" spans="1:9" x14ac:dyDescent="0.25">
      <c r="A3579">
        <v>291</v>
      </c>
      <c r="B3579" t="s">
        <v>1615</v>
      </c>
      <c r="C3579" t="s">
        <v>48</v>
      </c>
      <c r="D3579" t="s">
        <v>152</v>
      </c>
      <c r="E3579">
        <f>1/237</f>
        <v>4.2194092827004216E-3</v>
      </c>
      <c r="F3579">
        <v>31</v>
      </c>
      <c r="G3579">
        <f>LOG(382/(31+1))</f>
        <v>1.0769133845918029</v>
      </c>
      <c r="H3579">
        <f>0.00421940928270042*2.47968470580684</f>
        <v>1.046280466585164E-2</v>
      </c>
      <c r="I3579">
        <v>1.046280466585168E-2</v>
      </c>
    </row>
    <row r="3580" spans="1:9" x14ac:dyDescent="0.25">
      <c r="A3580">
        <v>291</v>
      </c>
      <c r="B3580" t="s">
        <v>1615</v>
      </c>
      <c r="C3580" t="s">
        <v>48</v>
      </c>
      <c r="D3580" t="s">
        <v>1625</v>
      </c>
      <c r="E3580">
        <f>1/237</f>
        <v>4.2194092827004216E-3</v>
      </c>
      <c r="F3580">
        <v>1</v>
      </c>
      <c r="G3580">
        <f>LOG(382/(1+1))</f>
        <v>2.2810333672477277</v>
      </c>
      <c r="H3580">
        <f>0.00421940928270042*5.25227342804663</f>
        <v>2.2161491257580705E-2</v>
      </c>
      <c r="I3580">
        <v>2.2161491257580719E-2</v>
      </c>
    </row>
    <row r="3581" spans="1:9" x14ac:dyDescent="0.25">
      <c r="A3581">
        <v>291</v>
      </c>
      <c r="B3581" t="s">
        <v>1615</v>
      </c>
      <c r="C3581" t="s">
        <v>48</v>
      </c>
      <c r="D3581" t="s">
        <v>239</v>
      </c>
      <c r="E3581">
        <f>3/237</f>
        <v>1.2658227848101266E-2</v>
      </c>
      <c r="F3581">
        <v>40</v>
      </c>
      <c r="G3581">
        <f>LOG(382/(40+1))</f>
        <v>0.96927950619197323</v>
      </c>
      <c r="H3581">
        <f>0.0126582278481012*2.23184854190226</f>
        <v>2.8251247365851242E-2</v>
      </c>
      <c r="I3581">
        <v>2.8251247365851481E-2</v>
      </c>
    </row>
    <row r="3582" spans="1:9" x14ac:dyDescent="0.25">
      <c r="A3582">
        <v>291</v>
      </c>
      <c r="B3582" t="s">
        <v>1615</v>
      </c>
      <c r="C3582" t="s">
        <v>48</v>
      </c>
      <c r="D3582" t="s">
        <v>448</v>
      </c>
      <c r="E3582">
        <f>1/237</f>
        <v>4.2194092827004216E-3</v>
      </c>
      <c r="F3582">
        <v>19</v>
      </c>
      <c r="G3582">
        <f>LOG(382/(19+1))</f>
        <v>1.2810333672477277</v>
      </c>
      <c r="H3582">
        <f>0.00421940928270042*2.94968833505258</f>
        <v>1.2445942341994002E-2</v>
      </c>
      <c r="I3582">
        <v>1.244594234199403E-2</v>
      </c>
    </row>
    <row r="3583" spans="1:9" x14ac:dyDescent="0.25">
      <c r="A3583">
        <v>291</v>
      </c>
      <c r="B3583" t="s">
        <v>1615</v>
      </c>
      <c r="C3583" t="s">
        <v>48</v>
      </c>
      <c r="D3583" t="s">
        <v>1626</v>
      </c>
      <c r="E3583">
        <f>1/237</f>
        <v>4.2194092827004216E-3</v>
      </c>
      <c r="F3583">
        <v>32</v>
      </c>
      <c r="G3583">
        <f>LOG(382/(32+1))</f>
        <v>1.0635494230338212</v>
      </c>
      <c r="H3583">
        <f>0.00421940928270042*2.44891304714009</f>
        <v>1.0332966443629066E-2</v>
      </c>
      <c r="I3583">
        <v>1.0332966443629091E-2</v>
      </c>
    </row>
    <row r="3584" spans="1:9" x14ac:dyDescent="0.25">
      <c r="A3584">
        <v>291</v>
      </c>
      <c r="B3584" t="s">
        <v>1615</v>
      </c>
      <c r="C3584" t="s">
        <v>48</v>
      </c>
      <c r="D3584" t="s">
        <v>204</v>
      </c>
      <c r="E3584">
        <f>2/237</f>
        <v>8.4388185654008432E-3</v>
      </c>
      <c r="F3584">
        <v>166</v>
      </c>
      <c r="G3584">
        <f>LOG(382/(166+1))</f>
        <v>0.35934689176412549</v>
      </c>
      <c r="H3584">
        <f>0.00843881856540084*0.82742679618982</f>
        <v>6.9825046091967899E-3</v>
      </c>
      <c r="I3584">
        <v>6.9825046091967933E-3</v>
      </c>
    </row>
    <row r="3585" spans="1:9" x14ac:dyDescent="0.25">
      <c r="A3585">
        <v>291</v>
      </c>
      <c r="B3585" t="s">
        <v>1615</v>
      </c>
      <c r="C3585" t="s">
        <v>48</v>
      </c>
      <c r="D3585" t="s">
        <v>1627</v>
      </c>
      <c r="E3585">
        <f t="shared" ref="E3585:E3594" si="162">1/237</f>
        <v>4.2194092827004216E-3</v>
      </c>
      <c r="F3585">
        <v>3</v>
      </c>
      <c r="G3585">
        <f>LOG(382/(3+1))</f>
        <v>1.9800033715837464</v>
      </c>
      <c r="H3585">
        <f>0.00421940928270042*4.55912624748668</f>
        <v>1.9236819609648431E-2</v>
      </c>
      <c r="I3585">
        <v>1.9236819609648459E-2</v>
      </c>
    </row>
    <row r="3586" spans="1:9" x14ac:dyDescent="0.25">
      <c r="A3586">
        <v>291</v>
      </c>
      <c r="B3586" t="s">
        <v>1615</v>
      </c>
      <c r="C3586" t="s">
        <v>48</v>
      </c>
      <c r="D3586" t="s">
        <v>1628</v>
      </c>
      <c r="E3586">
        <f t="shared" si="162"/>
        <v>4.2194092827004216E-3</v>
      </c>
      <c r="F3586">
        <v>1</v>
      </c>
      <c r="G3586">
        <f>LOG(382/(1+1))</f>
        <v>2.2810333672477277</v>
      </c>
      <c r="H3586">
        <f>0.00421940928270042*5.25227342804663</f>
        <v>2.2161491257580705E-2</v>
      </c>
      <c r="I3586">
        <v>2.2161491257580719E-2</v>
      </c>
    </row>
    <row r="3587" spans="1:9" x14ac:dyDescent="0.25">
      <c r="A3587">
        <v>291</v>
      </c>
      <c r="B3587" t="s">
        <v>1615</v>
      </c>
      <c r="C3587" t="s">
        <v>48</v>
      </c>
      <c r="D3587" t="s">
        <v>1629</v>
      </c>
      <c r="E3587">
        <f t="shared" si="162"/>
        <v>4.2194092827004216E-3</v>
      </c>
      <c r="F3587">
        <v>2</v>
      </c>
      <c r="G3587">
        <f>LOG(382/(2+1))</f>
        <v>2.1049421081920463</v>
      </c>
      <c r="H3587">
        <f>0.00421940928270042*4.84680831993846</f>
        <v>2.0450668016617966E-2</v>
      </c>
      <c r="I3587">
        <v>2.0450668016618E-2</v>
      </c>
    </row>
    <row r="3588" spans="1:9" x14ac:dyDescent="0.25">
      <c r="A3588">
        <v>291</v>
      </c>
      <c r="B3588" t="s">
        <v>1615</v>
      </c>
      <c r="C3588" t="s">
        <v>48</v>
      </c>
      <c r="D3588" t="s">
        <v>147</v>
      </c>
      <c r="E3588">
        <f t="shared" si="162"/>
        <v>4.2194092827004216E-3</v>
      </c>
      <c r="F3588">
        <v>48</v>
      </c>
      <c r="G3588">
        <f>LOG(382/(48+1))</f>
        <v>0.89186728288319506</v>
      </c>
      <c r="H3588">
        <f>0.00421940928270042*2.05360031049594</f>
        <v>8.6649802130630334E-3</v>
      </c>
      <c r="I3588">
        <v>8.6649802130630751E-3</v>
      </c>
    </row>
    <row r="3589" spans="1:9" x14ac:dyDescent="0.25">
      <c r="A3589">
        <v>291</v>
      </c>
      <c r="B3589" t="s">
        <v>1615</v>
      </c>
      <c r="C3589" t="s">
        <v>48</v>
      </c>
      <c r="D3589" t="s">
        <v>237</v>
      </c>
      <c r="E3589">
        <f t="shared" si="162"/>
        <v>4.2194092827004216E-3</v>
      </c>
      <c r="F3589">
        <v>138</v>
      </c>
      <c r="G3589">
        <f>LOG(382/(138+1))</f>
        <v>0.43904856265761361</v>
      </c>
      <c r="H3589">
        <f>0.00421940928270042*1.01094667547588</f>
        <v>4.2655977868180572E-3</v>
      </c>
      <c r="I3589">
        <v>4.2655977868180728E-3</v>
      </c>
    </row>
    <row r="3590" spans="1:9" x14ac:dyDescent="0.25">
      <c r="A3590">
        <v>291</v>
      </c>
      <c r="B3590" t="s">
        <v>1615</v>
      </c>
      <c r="C3590" t="s">
        <v>48</v>
      </c>
      <c r="D3590" t="s">
        <v>1630</v>
      </c>
      <c r="E3590">
        <f t="shared" si="162"/>
        <v>4.2194092827004216E-3</v>
      </c>
      <c r="F3590">
        <v>3</v>
      </c>
      <c r="G3590">
        <f>LOG(382/(3+1))</f>
        <v>1.9800033715837464</v>
      </c>
      <c r="H3590">
        <f>0.00421940928270042*4.55912624748668</f>
        <v>1.9236819609648431E-2</v>
      </c>
      <c r="I3590">
        <v>1.9236819609648459E-2</v>
      </c>
    </row>
    <row r="3591" spans="1:9" x14ac:dyDescent="0.25">
      <c r="A3591">
        <v>291</v>
      </c>
      <c r="B3591" t="s">
        <v>1615</v>
      </c>
      <c r="C3591" t="s">
        <v>48</v>
      </c>
      <c r="D3591" t="s">
        <v>693</v>
      </c>
      <c r="E3591">
        <f t="shared" si="162"/>
        <v>4.2194092827004216E-3</v>
      </c>
      <c r="F3591">
        <v>25</v>
      </c>
      <c r="G3591">
        <f>LOG(382/(25+1))</f>
        <v>1.1670900149408907</v>
      </c>
      <c r="H3591">
        <f>0.00421940928270042*2.68732407058509</f>
        <v>1.1338920129051007E-2</v>
      </c>
      <c r="I3591">
        <v>1.1338920129051029E-2</v>
      </c>
    </row>
    <row r="3592" spans="1:9" x14ac:dyDescent="0.25">
      <c r="A3592">
        <v>291</v>
      </c>
      <c r="B3592" t="s">
        <v>1615</v>
      </c>
      <c r="C3592" t="s">
        <v>48</v>
      </c>
      <c r="D3592" t="s">
        <v>144</v>
      </c>
      <c r="E3592">
        <f t="shared" si="162"/>
        <v>4.2194092827004216E-3</v>
      </c>
      <c r="F3592">
        <v>105</v>
      </c>
      <c r="G3592">
        <f>LOG(382/(105+1))</f>
        <v>0.55675749764693849</v>
      </c>
      <c r="H3592">
        <f>0.00421940928270042*1.2819815144945</f>
        <v>5.4092047025084359E-3</v>
      </c>
      <c r="I3592">
        <v>5.4092047025084706E-3</v>
      </c>
    </row>
    <row r="3593" spans="1:9" x14ac:dyDescent="0.25">
      <c r="A3593">
        <v>291</v>
      </c>
      <c r="B3593" t="s">
        <v>1615</v>
      </c>
      <c r="C3593" t="s">
        <v>48</v>
      </c>
      <c r="D3593" t="s">
        <v>758</v>
      </c>
      <c r="E3593">
        <f t="shared" si="162"/>
        <v>4.2194092827004216E-3</v>
      </c>
      <c r="F3593">
        <v>26</v>
      </c>
      <c r="G3593">
        <f>LOG(382/(26+1))</f>
        <v>1.1506995987527215</v>
      </c>
      <c r="H3593">
        <f>0.00421940928270042*2.64958374260224</f>
        <v>1.1179678238828011E-2</v>
      </c>
      <c r="I3593">
        <v>1.1179678238828041E-2</v>
      </c>
    </row>
    <row r="3594" spans="1:9" x14ac:dyDescent="0.25">
      <c r="A3594">
        <v>291</v>
      </c>
      <c r="B3594" t="s">
        <v>1615</v>
      </c>
      <c r="C3594" t="s">
        <v>48</v>
      </c>
      <c r="D3594" t="s">
        <v>339</v>
      </c>
      <c r="E3594">
        <f t="shared" si="162"/>
        <v>4.2194092827004216E-3</v>
      </c>
      <c r="F3594">
        <v>66</v>
      </c>
      <c r="G3594">
        <f>LOG(382/(66+1))</f>
        <v>0.75598856021088234</v>
      </c>
      <c r="H3594">
        <f>0.00421940928270042*1.7407279892156</f>
        <v>7.344843836352739E-3</v>
      </c>
      <c r="I3594">
        <v>7.3448438363527806E-3</v>
      </c>
    </row>
    <row r="3595" spans="1:9" x14ac:dyDescent="0.25">
      <c r="A3595">
        <v>291</v>
      </c>
      <c r="B3595" t="s">
        <v>1615</v>
      </c>
      <c r="C3595" t="s">
        <v>48</v>
      </c>
      <c r="D3595" t="s">
        <v>340</v>
      </c>
      <c r="E3595">
        <f>2/237</f>
        <v>8.4388185654008432E-3</v>
      </c>
      <c r="F3595">
        <v>28</v>
      </c>
      <c r="G3595">
        <f>LOG(382/(28+1))</f>
        <v>1.1196653650127526</v>
      </c>
      <c r="H3595">
        <f>0.00843881856540084*2.5781247786201</f>
        <v>2.1756327245739226E-2</v>
      </c>
      <c r="I3595">
        <v>2.1756327245739251E-2</v>
      </c>
    </row>
    <row r="3596" spans="1:9" x14ac:dyDescent="0.25">
      <c r="A3596">
        <v>291</v>
      </c>
      <c r="B3596" t="s">
        <v>1615</v>
      </c>
      <c r="C3596" t="s">
        <v>48</v>
      </c>
      <c r="D3596" t="s">
        <v>475</v>
      </c>
      <c r="E3596">
        <f t="shared" ref="E3596:E3602" si="163">1/237</f>
        <v>4.2194092827004216E-3</v>
      </c>
      <c r="F3596">
        <v>16</v>
      </c>
      <c r="G3596">
        <f>LOG(382/(16+1))</f>
        <v>1.3516144415334348</v>
      </c>
      <c r="H3596">
        <f>0.00421940928270042*3.11220726455035</f>
        <v>1.3131676221731427E-2</v>
      </c>
      <c r="I3596">
        <v>1.313167622173147E-2</v>
      </c>
    </row>
    <row r="3597" spans="1:9" x14ac:dyDescent="0.25">
      <c r="A3597">
        <v>291</v>
      </c>
      <c r="B3597" t="s">
        <v>1615</v>
      </c>
      <c r="C3597" t="s">
        <v>48</v>
      </c>
      <c r="D3597" t="s">
        <v>42</v>
      </c>
      <c r="E3597">
        <f t="shared" si="163"/>
        <v>4.2194092827004216E-3</v>
      </c>
      <c r="F3597">
        <v>251</v>
      </c>
      <c r="G3597">
        <f>LOG(382/(251+1))</f>
        <v>0.18066282213016463</v>
      </c>
      <c r="H3597">
        <f>0.00421940928270042*0.415991521095151</f>
        <v>1.7552384856335476E-3</v>
      </c>
      <c r="I3597">
        <v>1.7552384856335519E-3</v>
      </c>
    </row>
    <row r="3598" spans="1:9" x14ac:dyDescent="0.25">
      <c r="A3598">
        <v>291</v>
      </c>
      <c r="B3598" t="s">
        <v>1615</v>
      </c>
      <c r="C3598" t="s">
        <v>48</v>
      </c>
      <c r="D3598" t="s">
        <v>157</v>
      </c>
      <c r="E3598">
        <f t="shared" si="163"/>
        <v>4.2194092827004216E-3</v>
      </c>
      <c r="F3598">
        <v>16</v>
      </c>
      <c r="G3598">
        <f>LOG(382/(16+1))</f>
        <v>1.3516144415334348</v>
      </c>
      <c r="H3598">
        <f>0.00421940928270042*3.11220726455035</f>
        <v>1.3131676221731427E-2</v>
      </c>
      <c r="I3598">
        <v>1.313167622173147E-2</v>
      </c>
    </row>
    <row r="3599" spans="1:9" x14ac:dyDescent="0.25">
      <c r="A3599">
        <v>291</v>
      </c>
      <c r="B3599" t="s">
        <v>1615</v>
      </c>
      <c r="C3599" t="s">
        <v>48</v>
      </c>
      <c r="D3599" t="s">
        <v>218</v>
      </c>
      <c r="E3599">
        <f t="shared" si="163"/>
        <v>4.2194092827004216E-3</v>
      </c>
      <c r="F3599">
        <v>35</v>
      </c>
      <c r="G3599">
        <f>LOG(382/(35+1))</f>
        <v>1.0257608621444214</v>
      </c>
      <c r="H3599">
        <f>0.00421940928270042*2.36190167015046</f>
        <v>9.9658298318584769E-3</v>
      </c>
      <c r="I3599">
        <v>9.9658298318585012E-3</v>
      </c>
    </row>
    <row r="3600" spans="1:9" x14ac:dyDescent="0.25">
      <c r="A3600">
        <v>291</v>
      </c>
      <c r="B3600" t="s">
        <v>1615</v>
      </c>
      <c r="C3600" t="s">
        <v>48</v>
      </c>
      <c r="D3600" t="s">
        <v>187</v>
      </c>
      <c r="E3600">
        <f t="shared" si="163"/>
        <v>4.2194092827004216E-3</v>
      </c>
      <c r="F3600">
        <v>21</v>
      </c>
      <c r="G3600">
        <f>LOG(382/(21+1))</f>
        <v>1.2396406820895025</v>
      </c>
      <c r="H3600">
        <f>0.00421940928270042*2.85437815524825</f>
        <v>1.2043789684591766E-2</v>
      </c>
      <c r="I3600">
        <v>1.204378968459181E-2</v>
      </c>
    </row>
    <row r="3601" spans="1:9" x14ac:dyDescent="0.25">
      <c r="A3601">
        <v>291</v>
      </c>
      <c r="B3601" t="s">
        <v>1615</v>
      </c>
      <c r="C3601" t="s">
        <v>48</v>
      </c>
      <c r="D3601" t="s">
        <v>1631</v>
      </c>
      <c r="E3601">
        <f t="shared" si="163"/>
        <v>4.2194092827004216E-3</v>
      </c>
      <c r="F3601">
        <v>5</v>
      </c>
      <c r="G3601">
        <f>LOG(382/(5+1))</f>
        <v>1.803912112528065</v>
      </c>
      <c r="H3601">
        <f>0.00421940928270042*4.15366113937852</f>
        <v>1.752599636868573E-2</v>
      </c>
      <c r="I3601">
        <v>1.752599636868574E-2</v>
      </c>
    </row>
    <row r="3602" spans="1:9" x14ac:dyDescent="0.25">
      <c r="A3602">
        <v>291</v>
      </c>
      <c r="B3602" t="s">
        <v>1615</v>
      </c>
      <c r="C3602" t="s">
        <v>48</v>
      </c>
      <c r="D3602" t="s">
        <v>1632</v>
      </c>
      <c r="E3602">
        <f t="shared" si="163"/>
        <v>4.2194092827004216E-3</v>
      </c>
      <c r="F3602">
        <v>1</v>
      </c>
      <c r="G3602">
        <f>LOG(382/(1+1))</f>
        <v>2.2810333672477277</v>
      </c>
      <c r="H3602">
        <f>0.00421940928270042*5.25227342804663</f>
        <v>2.2161491257580705E-2</v>
      </c>
      <c r="I3602">
        <v>2.2161491257580719E-2</v>
      </c>
    </row>
    <row r="3603" spans="1:9" x14ac:dyDescent="0.25">
      <c r="A3603">
        <v>291</v>
      </c>
      <c r="B3603" t="s">
        <v>1615</v>
      </c>
      <c r="C3603" t="s">
        <v>48</v>
      </c>
      <c r="D3603" t="s">
        <v>1633</v>
      </c>
      <c r="E3603">
        <f>2/237</f>
        <v>8.4388185654008432E-3</v>
      </c>
      <c r="F3603">
        <v>18</v>
      </c>
      <c r="G3603">
        <f>LOG(382/(18+1))</f>
        <v>1.3033097619588798</v>
      </c>
      <c r="H3603">
        <f>0.00843881856540084*3.00098162944013</f>
        <v>2.5324739488946233E-2</v>
      </c>
      <c r="I3603">
        <v>2.5324739488946282E-2</v>
      </c>
    </row>
    <row r="3604" spans="1:9" x14ac:dyDescent="0.25">
      <c r="A3604">
        <v>291</v>
      </c>
      <c r="B3604" t="s">
        <v>1615</v>
      </c>
      <c r="C3604" t="s">
        <v>48</v>
      </c>
      <c r="D3604" t="s">
        <v>601</v>
      </c>
      <c r="E3604">
        <f>2/237</f>
        <v>8.4388185654008432E-3</v>
      </c>
      <c r="F3604">
        <v>7</v>
      </c>
      <c r="G3604">
        <f>LOG(382/(7+1))</f>
        <v>1.6789733759197651</v>
      </c>
      <c r="H3604">
        <f>0.00843881856540084*3.86597906692673</f>
        <v>3.2624295923432307E-2</v>
      </c>
      <c r="I3604">
        <v>3.2624295923432398E-2</v>
      </c>
    </row>
    <row r="3605" spans="1:9" x14ac:dyDescent="0.25">
      <c r="A3605">
        <v>291</v>
      </c>
      <c r="B3605" t="s">
        <v>1615</v>
      </c>
      <c r="C3605" t="s">
        <v>48</v>
      </c>
      <c r="D3605" t="s">
        <v>388</v>
      </c>
      <c r="E3605">
        <f>2/237</f>
        <v>8.4388185654008432E-3</v>
      </c>
      <c r="F3605">
        <v>44</v>
      </c>
      <c r="G3605">
        <f>LOG(382/(44+1))</f>
        <v>0.92885084913636506</v>
      </c>
      <c r="H3605">
        <f>0.00843881856540084*2.13875811883625</f>
        <v>1.8048591720137119E-2</v>
      </c>
      <c r="I3605">
        <v>1.8048591720137171E-2</v>
      </c>
    </row>
    <row r="3606" spans="1:9" x14ac:dyDescent="0.25">
      <c r="A3606">
        <v>291</v>
      </c>
      <c r="B3606" t="s">
        <v>1615</v>
      </c>
      <c r="C3606" t="s">
        <v>48</v>
      </c>
      <c r="D3606" t="s">
        <v>1634</v>
      </c>
      <c r="E3606">
        <f>2/237</f>
        <v>8.4388185654008432E-3</v>
      </c>
      <c r="F3606">
        <v>7</v>
      </c>
      <c r="G3606">
        <f>LOG(382/(7+1))</f>
        <v>1.6789733759197651</v>
      </c>
      <c r="H3606">
        <f>0.00843881856540084*3.86597906692673</f>
        <v>3.2624295923432307E-2</v>
      </c>
      <c r="I3606">
        <v>3.2624295923432398E-2</v>
      </c>
    </row>
    <row r="3607" spans="1:9" x14ac:dyDescent="0.25">
      <c r="A3607">
        <v>291</v>
      </c>
      <c r="B3607" t="s">
        <v>1615</v>
      </c>
      <c r="C3607" t="s">
        <v>48</v>
      </c>
      <c r="D3607" t="s">
        <v>765</v>
      </c>
      <c r="E3607">
        <f>1/237</f>
        <v>4.2194092827004216E-3</v>
      </c>
      <c r="F3607">
        <v>44</v>
      </c>
      <c r="G3607">
        <f>LOG(382/(44+1))</f>
        <v>0.92885084913636506</v>
      </c>
      <c r="H3607">
        <f>0.00421940928270042*2.13875811883625</f>
        <v>9.0242958600685597E-3</v>
      </c>
      <c r="I3607">
        <v>9.0242958600685874E-3</v>
      </c>
    </row>
    <row r="3608" spans="1:9" x14ac:dyDescent="0.25">
      <c r="A3608">
        <v>291</v>
      </c>
      <c r="B3608" t="s">
        <v>1615</v>
      </c>
      <c r="C3608" t="s">
        <v>48</v>
      </c>
      <c r="D3608" t="s">
        <v>1635</v>
      </c>
      <c r="E3608">
        <f>1/237</f>
        <v>4.2194092827004216E-3</v>
      </c>
      <c r="F3608">
        <v>1</v>
      </c>
      <c r="G3608">
        <f>LOG(382/(1+1))</f>
        <v>2.2810333672477277</v>
      </c>
      <c r="H3608">
        <f>0.00421940928270042*5.25227342804663</f>
        <v>2.2161491257580705E-2</v>
      </c>
      <c r="I3608">
        <v>2.2161491257580719E-2</v>
      </c>
    </row>
    <row r="3609" spans="1:9" x14ac:dyDescent="0.25">
      <c r="A3609">
        <v>291</v>
      </c>
      <c r="B3609" t="s">
        <v>1615</v>
      </c>
      <c r="C3609" t="s">
        <v>48</v>
      </c>
      <c r="D3609" t="s">
        <v>1636</v>
      </c>
      <c r="E3609">
        <f>1/237</f>
        <v>4.2194092827004216E-3</v>
      </c>
      <c r="F3609">
        <v>1</v>
      </c>
      <c r="G3609">
        <f>LOG(382/(1+1))</f>
        <v>2.2810333672477277</v>
      </c>
      <c r="H3609">
        <f>0.00421940928270042*5.25227342804663</f>
        <v>2.2161491257580705E-2</v>
      </c>
      <c r="I3609">
        <v>2.2161491257580719E-2</v>
      </c>
    </row>
    <row r="3610" spans="1:9" x14ac:dyDescent="0.25">
      <c r="A3610">
        <v>291</v>
      </c>
      <c r="B3610" t="s">
        <v>1615</v>
      </c>
      <c r="C3610" t="s">
        <v>48</v>
      </c>
      <c r="D3610" t="s">
        <v>363</v>
      </c>
      <c r="E3610">
        <f>3/237</f>
        <v>1.2658227848101266E-2</v>
      </c>
      <c r="F3610">
        <v>36</v>
      </c>
      <c r="G3610">
        <f>LOG(382/(36+1))</f>
        <v>1.0138616388447137</v>
      </c>
      <c r="H3610">
        <f>0.0126582278481012*2.33450269596235</f>
        <v>2.9550667037497948E-2</v>
      </c>
      <c r="I3610">
        <v>2.9550667037498111E-2</v>
      </c>
    </row>
    <row r="3611" spans="1:9" x14ac:dyDescent="0.25">
      <c r="A3611">
        <v>291</v>
      </c>
      <c r="B3611" t="s">
        <v>1615</v>
      </c>
      <c r="C3611" t="s">
        <v>48</v>
      </c>
      <c r="D3611" t="s">
        <v>1125</v>
      </c>
      <c r="E3611">
        <f>1/237</f>
        <v>4.2194092827004216E-3</v>
      </c>
      <c r="F3611">
        <v>19</v>
      </c>
      <c r="G3611">
        <f>LOG(382/(19+1))</f>
        <v>1.2810333672477277</v>
      </c>
      <c r="H3611">
        <f>0.00421940928270042*2.94968833505258</f>
        <v>1.2445942341994002E-2</v>
      </c>
      <c r="I3611">
        <v>1.244594234199403E-2</v>
      </c>
    </row>
    <row r="3612" spans="1:9" x14ac:dyDescent="0.25">
      <c r="A3612">
        <v>291</v>
      </c>
      <c r="B3612" t="s">
        <v>1615</v>
      </c>
      <c r="C3612" t="s">
        <v>48</v>
      </c>
      <c r="D3612" t="s">
        <v>31</v>
      </c>
      <c r="E3612">
        <f>2/237</f>
        <v>8.4388185654008432E-3</v>
      </c>
      <c r="F3612">
        <v>31</v>
      </c>
      <c r="G3612">
        <f>LOG(382/(31+1))</f>
        <v>1.0769133845918029</v>
      </c>
      <c r="H3612">
        <f>0.00843881856540084*2.47968470580684</f>
        <v>2.0925609331703281E-2</v>
      </c>
      <c r="I3612">
        <v>2.092560933170336E-2</v>
      </c>
    </row>
    <row r="3613" spans="1:9" x14ac:dyDescent="0.25">
      <c r="A3613">
        <v>291</v>
      </c>
      <c r="B3613" t="s">
        <v>1615</v>
      </c>
      <c r="C3613" t="s">
        <v>48</v>
      </c>
      <c r="D3613" t="s">
        <v>129</v>
      </c>
      <c r="E3613">
        <f>1/237</f>
        <v>4.2194092827004216E-3</v>
      </c>
      <c r="F3613">
        <v>7</v>
      </c>
      <c r="G3613">
        <f>LOG(382/(7+1))</f>
        <v>1.6789733759197651</v>
      </c>
      <c r="H3613">
        <f>0.00421940928270042*3.86597906692673</f>
        <v>1.6312147961716154E-2</v>
      </c>
      <c r="I3613">
        <v>1.6312147961716199E-2</v>
      </c>
    </row>
    <row r="3614" spans="1:9" x14ac:dyDescent="0.25">
      <c r="A3614">
        <v>291</v>
      </c>
      <c r="B3614" t="s">
        <v>1615</v>
      </c>
      <c r="C3614" t="s">
        <v>48</v>
      </c>
      <c r="D3614" t="s">
        <v>99</v>
      </c>
      <c r="E3614">
        <f>2/237</f>
        <v>8.4388185654008432E-3</v>
      </c>
      <c r="F3614">
        <v>4</v>
      </c>
      <c r="G3614">
        <f>LOG(382/(4+1))</f>
        <v>1.8830933585756899</v>
      </c>
      <c r="H3614">
        <f>0.00843881856540084*4.33598269617247</f>
        <v>3.6590571275717028E-2</v>
      </c>
      <c r="I3614">
        <v>3.6590571275717083E-2</v>
      </c>
    </row>
    <row r="3615" spans="1:9" x14ac:dyDescent="0.25">
      <c r="A3615">
        <v>291</v>
      </c>
      <c r="B3615" t="s">
        <v>1615</v>
      </c>
      <c r="C3615" t="s">
        <v>48</v>
      </c>
      <c r="D3615" t="s">
        <v>118</v>
      </c>
      <c r="E3615">
        <f>1/237</f>
        <v>4.2194092827004216E-3</v>
      </c>
      <c r="F3615">
        <v>8</v>
      </c>
      <c r="G3615">
        <f>LOG(382/(8+1))</f>
        <v>1.6278208534723839</v>
      </c>
      <c r="H3615">
        <f>0.00421940928270042*3.74819603127035</f>
        <v>1.5815173127722987E-2</v>
      </c>
      <c r="I3615">
        <v>1.5815173127723021E-2</v>
      </c>
    </row>
    <row r="3616" spans="1:9" x14ac:dyDescent="0.25">
      <c r="A3616">
        <v>291</v>
      </c>
      <c r="B3616" t="s">
        <v>1615</v>
      </c>
      <c r="C3616" t="s">
        <v>48</v>
      </c>
      <c r="D3616" t="s">
        <v>130</v>
      </c>
      <c r="E3616">
        <f>1/237</f>
        <v>4.2194092827004216E-3</v>
      </c>
      <c r="F3616">
        <v>4</v>
      </c>
      <c r="G3616">
        <f>LOG(382/(4+1))</f>
        <v>1.8830933585756899</v>
      </c>
      <c r="H3616">
        <f>0.00421940928270042*4.33598269617247</f>
        <v>1.8295285637858514E-2</v>
      </c>
      <c r="I3616">
        <v>1.8295285637858542E-2</v>
      </c>
    </row>
    <row r="3617" spans="1:9" x14ac:dyDescent="0.25">
      <c r="A3617">
        <v>291</v>
      </c>
      <c r="B3617" t="s">
        <v>1615</v>
      </c>
      <c r="C3617" t="s">
        <v>48</v>
      </c>
      <c r="D3617" t="s">
        <v>98</v>
      </c>
      <c r="E3617">
        <f>2/237</f>
        <v>8.4388185654008432E-3</v>
      </c>
      <c r="F3617">
        <v>56</v>
      </c>
      <c r="G3617">
        <f>LOG(382/(56+1))</f>
        <v>0.82618850723921733</v>
      </c>
      <c r="H3617">
        <f>0.00843881856540084*1.90236934077202</f>
        <v>1.6053749711156279E-2</v>
      </c>
      <c r="I3617">
        <v>1.6053749711156331E-2</v>
      </c>
    </row>
    <row r="3618" spans="1:9" x14ac:dyDescent="0.25">
      <c r="A3618">
        <v>291</v>
      </c>
      <c r="B3618" t="s">
        <v>1615</v>
      </c>
      <c r="C3618" t="s">
        <v>48</v>
      </c>
      <c r="D3618" t="s">
        <v>38</v>
      </c>
      <c r="E3618">
        <f>1/237</f>
        <v>4.2194092827004216E-3</v>
      </c>
      <c r="F3618">
        <v>86</v>
      </c>
      <c r="G3618">
        <f>LOG(382/(86+1))</f>
        <v>0.64254411029309022</v>
      </c>
      <c r="H3618">
        <f>0.00421940928270042*1.47951248995199</f>
        <v>6.2426687339746387E-3</v>
      </c>
      <c r="I3618">
        <v>6.2426687339746474E-3</v>
      </c>
    </row>
    <row r="3619" spans="1:9" x14ac:dyDescent="0.25">
      <c r="A3619">
        <v>291</v>
      </c>
      <c r="B3619" t="s">
        <v>1615</v>
      </c>
      <c r="C3619" t="s">
        <v>48</v>
      </c>
      <c r="D3619" t="s">
        <v>1129</v>
      </c>
      <c r="E3619">
        <f>1/237</f>
        <v>4.2194092827004216E-3</v>
      </c>
      <c r="F3619">
        <v>4</v>
      </c>
      <c r="G3619">
        <f>LOG(382/(4+1))</f>
        <v>1.8830933585756899</v>
      </c>
      <c r="H3619">
        <f>0.00421940928270042*4.33598269617247</f>
        <v>1.8295285637858514E-2</v>
      </c>
      <c r="I3619">
        <v>1.8295285637858542E-2</v>
      </c>
    </row>
    <row r="3620" spans="1:9" x14ac:dyDescent="0.25">
      <c r="A3620">
        <v>291</v>
      </c>
      <c r="B3620" t="s">
        <v>1615</v>
      </c>
      <c r="C3620" t="s">
        <v>48</v>
      </c>
      <c r="D3620" t="s">
        <v>416</v>
      </c>
      <c r="E3620">
        <f>3/237</f>
        <v>1.2658227848101266E-2</v>
      </c>
      <c r="F3620">
        <v>5</v>
      </c>
      <c r="G3620">
        <f>LOG(382/(5+1))</f>
        <v>1.803912112528065</v>
      </c>
      <c r="H3620">
        <f>0.0126582278481012*4.15366113937852</f>
        <v>5.257798910605694E-2</v>
      </c>
      <c r="I3620">
        <v>5.257798910605721E-2</v>
      </c>
    </row>
    <row r="3621" spans="1:9" x14ac:dyDescent="0.25">
      <c r="A3621">
        <v>291</v>
      </c>
      <c r="B3621" t="s">
        <v>1615</v>
      </c>
      <c r="C3621" t="s">
        <v>48</v>
      </c>
      <c r="D3621" t="s">
        <v>417</v>
      </c>
      <c r="E3621">
        <f>4/237</f>
        <v>1.6877637130801686E-2</v>
      </c>
      <c r="F3621">
        <v>7</v>
      </c>
      <c r="G3621">
        <f>LOG(382/(7+1))</f>
        <v>1.6789733759197651</v>
      </c>
      <c r="H3621">
        <f>0.0168776371308016*3.86597906692673</f>
        <v>6.5248591846864309E-2</v>
      </c>
      <c r="I3621">
        <v>6.5248591846864795E-2</v>
      </c>
    </row>
    <row r="3622" spans="1:9" x14ac:dyDescent="0.25">
      <c r="A3622">
        <v>291</v>
      </c>
      <c r="B3622" t="s">
        <v>1615</v>
      </c>
      <c r="C3622" t="s">
        <v>48</v>
      </c>
      <c r="D3622" t="s">
        <v>1637</v>
      </c>
      <c r="E3622">
        <f>1/237</f>
        <v>4.2194092827004216E-3</v>
      </c>
      <c r="F3622">
        <v>1</v>
      </c>
      <c r="G3622">
        <f>LOG(382/(1+1))</f>
        <v>2.2810333672477277</v>
      </c>
      <c r="H3622">
        <f>0.00421940928270042*5.25227342804663</f>
        <v>2.2161491257580705E-2</v>
      </c>
      <c r="I3622">
        <v>2.2161491257580719E-2</v>
      </c>
    </row>
    <row r="3623" spans="1:9" x14ac:dyDescent="0.25">
      <c r="A3623">
        <v>291</v>
      </c>
      <c r="B3623" t="s">
        <v>1615</v>
      </c>
      <c r="C3623" t="s">
        <v>48</v>
      </c>
      <c r="D3623" t="s">
        <v>797</v>
      </c>
      <c r="E3623">
        <f>3/237</f>
        <v>1.2658227848101266E-2</v>
      </c>
      <c r="F3623">
        <v>3</v>
      </c>
      <c r="G3623">
        <f>LOG(382/(3+1))</f>
        <v>1.9800033715837464</v>
      </c>
      <c r="H3623">
        <f>0.0126582278481012*4.55912624748668</f>
        <v>5.7710458828945016E-2</v>
      </c>
      <c r="I3623">
        <v>5.771045882894537E-2</v>
      </c>
    </row>
    <row r="3624" spans="1:9" x14ac:dyDescent="0.25">
      <c r="A3624">
        <v>291</v>
      </c>
      <c r="B3624" t="s">
        <v>1615</v>
      </c>
      <c r="C3624" t="s">
        <v>48</v>
      </c>
      <c r="D3624" t="s">
        <v>112</v>
      </c>
      <c r="E3624">
        <f>3/237</f>
        <v>1.2658227848101266E-2</v>
      </c>
      <c r="F3624">
        <v>52</v>
      </c>
      <c r="G3624">
        <f>LOG(382/(52+1))</f>
        <v>0.85778749331091964</v>
      </c>
      <c r="H3624">
        <f>0.0126582278481012*1.97512869505445</f>
        <v>2.500162905132202E-2</v>
      </c>
      <c r="I3624">
        <v>2.500162905132219E-2</v>
      </c>
    </row>
    <row r="3625" spans="1:9" x14ac:dyDescent="0.25">
      <c r="A3625">
        <v>291</v>
      </c>
      <c r="B3625" t="s">
        <v>1615</v>
      </c>
      <c r="C3625" t="s">
        <v>48</v>
      </c>
      <c r="D3625" t="s">
        <v>54</v>
      </c>
      <c r="E3625">
        <f>3/237</f>
        <v>1.2658227848101266E-2</v>
      </c>
      <c r="F3625">
        <v>25</v>
      </c>
      <c r="G3625">
        <f>LOG(382/(25+1))</f>
        <v>1.1670900149408907</v>
      </c>
      <c r="H3625">
        <f>0.0126582278481012*2.68732407058509</f>
        <v>3.4016760387152858E-2</v>
      </c>
      <c r="I3625">
        <v>3.401676038715308E-2</v>
      </c>
    </row>
    <row r="3626" spans="1:9" x14ac:dyDescent="0.25">
      <c r="A3626">
        <v>291</v>
      </c>
      <c r="B3626" t="s">
        <v>1615</v>
      </c>
      <c r="C3626" t="s">
        <v>48</v>
      </c>
      <c r="D3626" t="s">
        <v>1638</v>
      </c>
      <c r="E3626">
        <f>2/237</f>
        <v>8.4388185654008432E-3</v>
      </c>
      <c r="F3626">
        <v>1</v>
      </c>
      <c r="G3626">
        <f>LOG(382/(1+1))</f>
        <v>2.2810333672477277</v>
      </c>
      <c r="H3626">
        <f>0.00843881856540084*5.25227342804663</f>
        <v>4.432298251516141E-2</v>
      </c>
      <c r="I3626">
        <v>4.4322982515161431E-2</v>
      </c>
    </row>
    <row r="3627" spans="1:9" x14ac:dyDescent="0.25">
      <c r="A3627">
        <v>291</v>
      </c>
      <c r="B3627" t="s">
        <v>1615</v>
      </c>
      <c r="C3627" t="s">
        <v>48</v>
      </c>
      <c r="D3627" t="s">
        <v>1639</v>
      </c>
      <c r="E3627">
        <f>1/237</f>
        <v>4.2194092827004216E-3</v>
      </c>
      <c r="F3627">
        <v>10</v>
      </c>
      <c r="G3627">
        <f>LOG(382/(10+1))</f>
        <v>1.5406706777534838</v>
      </c>
      <c r="H3627">
        <f>0.00421940928270042*3.5475253358082</f>
        <v>1.4968461332524044E-2</v>
      </c>
      <c r="I3627">
        <v>1.496846133252407E-2</v>
      </c>
    </row>
    <row r="3628" spans="1:9" x14ac:dyDescent="0.25">
      <c r="A3628">
        <v>291</v>
      </c>
      <c r="B3628" t="s">
        <v>1615</v>
      </c>
      <c r="C3628" t="s">
        <v>48</v>
      </c>
      <c r="D3628" t="s">
        <v>1264</v>
      </c>
      <c r="E3628">
        <f>1/237</f>
        <v>4.2194092827004216E-3</v>
      </c>
      <c r="F3628">
        <v>5</v>
      </c>
      <c r="G3628">
        <f>LOG(382/(5+1))</f>
        <v>1.803912112528065</v>
      </c>
      <c r="H3628">
        <f>0.00421940928270042*4.15366113937852</f>
        <v>1.752599636868573E-2</v>
      </c>
      <c r="I3628">
        <v>1.752599636868574E-2</v>
      </c>
    </row>
    <row r="3629" spans="1:9" x14ac:dyDescent="0.25">
      <c r="A3629">
        <v>291</v>
      </c>
      <c r="B3629" t="s">
        <v>1615</v>
      </c>
      <c r="C3629" t="s">
        <v>48</v>
      </c>
      <c r="D3629" t="s">
        <v>859</v>
      </c>
      <c r="E3629">
        <f>3/237</f>
        <v>1.2658227848101266E-2</v>
      </c>
      <c r="F3629">
        <v>6</v>
      </c>
      <c r="G3629">
        <f>LOG(382/(6+1))</f>
        <v>1.736965322897452</v>
      </c>
      <c r="H3629">
        <f>0.0126582278481012*3.99951045955126</f>
        <v>5.0626714677863789E-2</v>
      </c>
      <c r="I3629">
        <v>5.0626714677864067E-2</v>
      </c>
    </row>
    <row r="3630" spans="1:9" x14ac:dyDescent="0.25">
      <c r="A3630">
        <v>291</v>
      </c>
      <c r="B3630" t="s">
        <v>1615</v>
      </c>
      <c r="C3630" t="s">
        <v>48</v>
      </c>
      <c r="D3630" t="s">
        <v>1640</v>
      </c>
      <c r="E3630">
        <f t="shared" ref="E3630:E3644" si="164">1/237</f>
        <v>4.2194092827004216E-3</v>
      </c>
      <c r="F3630">
        <v>2</v>
      </c>
      <c r="G3630">
        <f>LOG(382/(2+1))</f>
        <v>2.1049421081920463</v>
      </c>
      <c r="H3630">
        <f>0.00421940928270042*4.84680831993846</f>
        <v>2.0450668016617966E-2</v>
      </c>
      <c r="I3630">
        <v>2.0450668016618E-2</v>
      </c>
    </row>
    <row r="3631" spans="1:9" x14ac:dyDescent="0.25">
      <c r="A3631">
        <v>291</v>
      </c>
      <c r="B3631" t="s">
        <v>1615</v>
      </c>
      <c r="C3631" t="s">
        <v>48</v>
      </c>
      <c r="D3631" t="s">
        <v>171</v>
      </c>
      <c r="E3631">
        <f t="shared" si="164"/>
        <v>4.2194092827004216E-3</v>
      </c>
      <c r="F3631">
        <v>6</v>
      </c>
      <c r="G3631">
        <f>LOG(382/(6+1))</f>
        <v>1.736965322897452</v>
      </c>
      <c r="H3631">
        <f>0.00421940928270042*3.99951045955126</f>
        <v>1.6875571559288007E-2</v>
      </c>
      <c r="I3631">
        <v>1.6875571559288021E-2</v>
      </c>
    </row>
    <row r="3632" spans="1:9" x14ac:dyDescent="0.25">
      <c r="A3632">
        <v>291</v>
      </c>
      <c r="B3632" t="s">
        <v>1615</v>
      </c>
      <c r="C3632" t="s">
        <v>48</v>
      </c>
      <c r="D3632" t="s">
        <v>911</v>
      </c>
      <c r="E3632">
        <f t="shared" si="164"/>
        <v>4.2194092827004216E-3</v>
      </c>
      <c r="F3632">
        <v>22</v>
      </c>
      <c r="G3632">
        <f>LOG(382/(22+1))</f>
        <v>1.2203355268941158</v>
      </c>
      <c r="H3632">
        <f>0.00421940928270042*2.80992639267742</f>
        <v>1.1856229504968009E-2</v>
      </c>
      <c r="I3632">
        <v>1.1856229504968041E-2</v>
      </c>
    </row>
    <row r="3633" spans="1:9" x14ac:dyDescent="0.25">
      <c r="A3633">
        <v>291</v>
      </c>
      <c r="B3633" t="s">
        <v>1615</v>
      </c>
      <c r="C3633" t="s">
        <v>48</v>
      </c>
      <c r="D3633" t="s">
        <v>1641</v>
      </c>
      <c r="E3633">
        <f t="shared" si="164"/>
        <v>4.2194092827004216E-3</v>
      </c>
      <c r="F3633">
        <v>1</v>
      </c>
      <c r="G3633">
        <f>LOG(382/(1+1))</f>
        <v>2.2810333672477277</v>
      </c>
      <c r="H3633">
        <f>0.00421940928270042*5.25227342804663</f>
        <v>2.2161491257580705E-2</v>
      </c>
      <c r="I3633">
        <v>2.2161491257580719E-2</v>
      </c>
    </row>
    <row r="3634" spans="1:9" x14ac:dyDescent="0.25">
      <c r="A3634">
        <v>291</v>
      </c>
      <c r="B3634" t="s">
        <v>1615</v>
      </c>
      <c r="C3634" t="s">
        <v>48</v>
      </c>
      <c r="D3634" t="s">
        <v>1642</v>
      </c>
      <c r="E3634">
        <f t="shared" si="164"/>
        <v>4.2194092827004216E-3</v>
      </c>
      <c r="F3634">
        <v>1</v>
      </c>
      <c r="G3634">
        <f>LOG(382/(1+1))</f>
        <v>2.2810333672477277</v>
      </c>
      <c r="H3634">
        <f>0.00421940928270042*5.25227342804663</f>
        <v>2.2161491257580705E-2</v>
      </c>
      <c r="I3634">
        <v>2.2161491257580719E-2</v>
      </c>
    </row>
    <row r="3635" spans="1:9" x14ac:dyDescent="0.25">
      <c r="A3635">
        <v>291</v>
      </c>
      <c r="B3635" t="s">
        <v>1615</v>
      </c>
      <c r="C3635" t="s">
        <v>48</v>
      </c>
      <c r="D3635" t="s">
        <v>1643</v>
      </c>
      <c r="E3635">
        <f t="shared" si="164"/>
        <v>4.2194092827004216E-3</v>
      </c>
      <c r="F3635">
        <v>1</v>
      </c>
      <c r="G3635">
        <f>LOG(382/(1+1))</f>
        <v>2.2810333672477277</v>
      </c>
      <c r="H3635">
        <f>0.00421940928270042*5.25227342804663</f>
        <v>2.2161491257580705E-2</v>
      </c>
      <c r="I3635">
        <v>2.2161491257580719E-2</v>
      </c>
    </row>
    <row r="3636" spans="1:9" x14ac:dyDescent="0.25">
      <c r="A3636">
        <v>291</v>
      </c>
      <c r="B3636" t="s">
        <v>1615</v>
      </c>
      <c r="C3636" t="s">
        <v>48</v>
      </c>
      <c r="D3636" t="s">
        <v>1257</v>
      </c>
      <c r="E3636">
        <f t="shared" si="164"/>
        <v>4.2194092827004216E-3</v>
      </c>
      <c r="F3636">
        <v>10</v>
      </c>
      <c r="G3636">
        <f>LOG(382/(10+1))</f>
        <v>1.5406706777534838</v>
      </c>
      <c r="H3636">
        <f>0.00421940928270042*3.5475253358082</f>
        <v>1.4968461332524044E-2</v>
      </c>
      <c r="I3636">
        <v>1.496846133252407E-2</v>
      </c>
    </row>
    <row r="3637" spans="1:9" x14ac:dyDescent="0.25">
      <c r="A3637">
        <v>291</v>
      </c>
      <c r="B3637" t="s">
        <v>1615</v>
      </c>
      <c r="C3637" t="s">
        <v>48</v>
      </c>
      <c r="D3637" t="s">
        <v>1644</v>
      </c>
      <c r="E3637">
        <f t="shared" si="164"/>
        <v>4.2194092827004216E-3</v>
      </c>
      <c r="F3637">
        <v>4</v>
      </c>
      <c r="G3637">
        <f>LOG(382/(4+1))</f>
        <v>1.8830933585756899</v>
      </c>
      <c r="H3637">
        <f>0.00421940928270042*4.33598269617247</f>
        <v>1.8295285637858514E-2</v>
      </c>
      <c r="I3637">
        <v>1.8295285637858542E-2</v>
      </c>
    </row>
    <row r="3638" spans="1:9" x14ac:dyDescent="0.25">
      <c r="A3638">
        <v>291</v>
      </c>
      <c r="B3638" t="s">
        <v>1615</v>
      </c>
      <c r="C3638" t="s">
        <v>48</v>
      </c>
      <c r="D3638" t="s">
        <v>1134</v>
      </c>
      <c r="E3638">
        <f t="shared" si="164"/>
        <v>4.2194092827004216E-3</v>
      </c>
      <c r="F3638">
        <v>3</v>
      </c>
      <c r="G3638">
        <f>LOG(382/(3+1))</f>
        <v>1.9800033715837464</v>
      </c>
      <c r="H3638">
        <f>0.00421940928270042*4.55912624748668</f>
        <v>1.9236819609648431E-2</v>
      </c>
      <c r="I3638">
        <v>1.9236819609648459E-2</v>
      </c>
    </row>
    <row r="3639" spans="1:9" x14ac:dyDescent="0.25">
      <c r="A3639">
        <v>291</v>
      </c>
      <c r="B3639" t="s">
        <v>1615</v>
      </c>
      <c r="C3639" t="s">
        <v>48</v>
      </c>
      <c r="D3639" t="s">
        <v>1645</v>
      </c>
      <c r="E3639">
        <f t="shared" si="164"/>
        <v>4.2194092827004216E-3</v>
      </c>
      <c r="F3639">
        <v>2</v>
      </c>
      <c r="G3639">
        <f>LOG(382/(2+1))</f>
        <v>2.1049421081920463</v>
      </c>
      <c r="H3639">
        <f>0.00421940928270042*4.84680831993846</f>
        <v>2.0450668016617966E-2</v>
      </c>
      <c r="I3639">
        <v>2.0450668016618E-2</v>
      </c>
    </row>
    <row r="3640" spans="1:9" x14ac:dyDescent="0.25">
      <c r="A3640">
        <v>291</v>
      </c>
      <c r="B3640" t="s">
        <v>1615</v>
      </c>
      <c r="C3640" t="s">
        <v>48</v>
      </c>
      <c r="D3640" t="s">
        <v>695</v>
      </c>
      <c r="E3640">
        <f t="shared" si="164"/>
        <v>4.2194092827004216E-3</v>
      </c>
      <c r="F3640">
        <v>13</v>
      </c>
      <c r="G3640">
        <f>LOG(382/(13+1))</f>
        <v>1.4359353272334707</v>
      </c>
      <c r="H3640">
        <f>0.00421940928270042*3.30636327899131</f>
        <v>1.3950899911355733E-2</v>
      </c>
      <c r="I3640">
        <v>1.3950899911355759E-2</v>
      </c>
    </row>
    <row r="3641" spans="1:9" x14ac:dyDescent="0.25">
      <c r="A3641">
        <v>291</v>
      </c>
      <c r="B3641" t="s">
        <v>1615</v>
      </c>
      <c r="C3641" t="s">
        <v>48</v>
      </c>
      <c r="D3641" t="s">
        <v>53</v>
      </c>
      <c r="E3641">
        <f t="shared" si="164"/>
        <v>4.2194092827004216E-3</v>
      </c>
      <c r="F3641">
        <v>57</v>
      </c>
      <c r="G3641">
        <f>LOG(382/(57+1))</f>
        <v>0.81863536934877146</v>
      </c>
      <c r="H3641">
        <f>0.00421940928270042*1.88497759806015</f>
        <v>7.9534919749373375E-3</v>
      </c>
      <c r="I3641">
        <v>7.9534919749373652E-3</v>
      </c>
    </row>
    <row r="3642" spans="1:9" x14ac:dyDescent="0.25">
      <c r="A3642">
        <v>291</v>
      </c>
      <c r="B3642" t="s">
        <v>1615</v>
      </c>
      <c r="C3642" t="s">
        <v>48</v>
      </c>
      <c r="D3642" t="s">
        <v>490</v>
      </c>
      <c r="E3642">
        <f t="shared" si="164"/>
        <v>4.2194092827004216E-3</v>
      </c>
      <c r="F3642">
        <v>31</v>
      </c>
      <c r="G3642">
        <f>LOG(382/(31+1))</f>
        <v>1.0769133845918029</v>
      </c>
      <c r="H3642">
        <f>0.00421940928270042*2.47968470580684</f>
        <v>1.046280466585164E-2</v>
      </c>
      <c r="I3642">
        <v>1.046280466585168E-2</v>
      </c>
    </row>
    <row r="3643" spans="1:9" x14ac:dyDescent="0.25">
      <c r="A3643">
        <v>291</v>
      </c>
      <c r="B3643" t="s">
        <v>1615</v>
      </c>
      <c r="C3643" t="s">
        <v>48</v>
      </c>
      <c r="D3643" t="s">
        <v>1646</v>
      </c>
      <c r="E3643">
        <f t="shared" si="164"/>
        <v>4.2194092827004216E-3</v>
      </c>
      <c r="F3643">
        <v>1</v>
      </c>
      <c r="G3643">
        <f>LOG(382/(1+1))</f>
        <v>2.2810333672477277</v>
      </c>
      <c r="H3643">
        <f>0.00421940928270042*5.25227342804663</f>
        <v>2.2161491257580705E-2</v>
      </c>
      <c r="I3643">
        <v>2.2161491257580719E-2</v>
      </c>
    </row>
    <row r="3644" spans="1:9" x14ac:dyDescent="0.25">
      <c r="A3644">
        <v>291</v>
      </c>
      <c r="B3644" t="s">
        <v>1615</v>
      </c>
      <c r="C3644" t="s">
        <v>48</v>
      </c>
      <c r="D3644" t="s">
        <v>1098</v>
      </c>
      <c r="E3644">
        <f t="shared" si="164"/>
        <v>4.2194092827004216E-3</v>
      </c>
      <c r="F3644">
        <v>19</v>
      </c>
      <c r="G3644">
        <f>LOG(382/(19+1))</f>
        <v>1.2810333672477277</v>
      </c>
      <c r="H3644">
        <f>0.00421940928270042*2.94968833505258</f>
        <v>1.2445942341994002E-2</v>
      </c>
      <c r="I3644">
        <v>1.244594234199403E-2</v>
      </c>
    </row>
    <row r="3645" spans="1:9" x14ac:dyDescent="0.25">
      <c r="A3645">
        <v>291</v>
      </c>
      <c r="B3645" t="s">
        <v>1615</v>
      </c>
      <c r="C3645" t="s">
        <v>48</v>
      </c>
      <c r="D3645" t="s">
        <v>1647</v>
      </c>
      <c r="E3645">
        <f>2/237</f>
        <v>8.4388185654008432E-3</v>
      </c>
      <c r="F3645">
        <v>1</v>
      </c>
      <c r="G3645">
        <f>LOG(382/(1+1))</f>
        <v>2.2810333672477277</v>
      </c>
      <c r="H3645">
        <f>0.00843881856540084*5.25227342804663</f>
        <v>4.432298251516141E-2</v>
      </c>
      <c r="I3645">
        <v>4.4322982515161431E-2</v>
      </c>
    </row>
    <row r="3646" spans="1:9" x14ac:dyDescent="0.25">
      <c r="A3646">
        <v>291</v>
      </c>
      <c r="B3646" t="s">
        <v>1615</v>
      </c>
      <c r="C3646" t="s">
        <v>48</v>
      </c>
      <c r="D3646" t="s">
        <v>811</v>
      </c>
      <c r="E3646">
        <f>2/237</f>
        <v>8.4388185654008432E-3</v>
      </c>
      <c r="F3646">
        <v>27</v>
      </c>
      <c r="G3646">
        <f>LOG(382/(27+1))</f>
        <v>1.1349053315694895</v>
      </c>
      <c r="H3646">
        <f>0.00843881856540084*2.61321609843137</f>
        <v>2.2052456526846995E-2</v>
      </c>
      <c r="I3646">
        <v>2.2052456526847009E-2</v>
      </c>
    </row>
    <row r="3647" spans="1:9" x14ac:dyDescent="0.25">
      <c r="A3647">
        <v>291</v>
      </c>
      <c r="B3647" t="s">
        <v>1615</v>
      </c>
      <c r="C3647" t="s">
        <v>48</v>
      </c>
      <c r="D3647" t="s">
        <v>1648</v>
      </c>
      <c r="E3647">
        <f>1/237</f>
        <v>4.2194092827004216E-3</v>
      </c>
      <c r="F3647">
        <v>1</v>
      </c>
      <c r="G3647">
        <f>LOG(382/(1+1))</f>
        <v>2.2810333672477277</v>
      </c>
      <c r="H3647">
        <f>0.00421940928270042*5.25227342804663</f>
        <v>2.2161491257580705E-2</v>
      </c>
      <c r="I3647">
        <v>2.2161491257580719E-2</v>
      </c>
    </row>
    <row r="3648" spans="1:9" x14ac:dyDescent="0.25">
      <c r="A3648">
        <v>291</v>
      </c>
      <c r="B3648" t="s">
        <v>1615</v>
      </c>
      <c r="C3648" t="s">
        <v>48</v>
      </c>
      <c r="D3648" t="s">
        <v>617</v>
      </c>
      <c r="E3648">
        <f>2/237</f>
        <v>8.4388185654008432E-3</v>
      </c>
      <c r="F3648">
        <v>4</v>
      </c>
      <c r="G3648">
        <f>LOG(382/(4+1))</f>
        <v>1.8830933585756899</v>
      </c>
      <c r="H3648">
        <f>0.00843881856540084*4.33598269617247</f>
        <v>3.6590571275717028E-2</v>
      </c>
      <c r="I3648">
        <v>3.6590571275717083E-2</v>
      </c>
    </row>
    <row r="3649" spans="1:9" x14ac:dyDescent="0.25">
      <c r="A3649">
        <v>291</v>
      </c>
      <c r="B3649" t="s">
        <v>1615</v>
      </c>
      <c r="C3649" t="s">
        <v>48</v>
      </c>
      <c r="D3649" t="s">
        <v>1649</v>
      </c>
      <c r="E3649">
        <f>2/237</f>
        <v>8.4388185654008432E-3</v>
      </c>
      <c r="F3649">
        <v>1</v>
      </c>
      <c r="G3649">
        <f>LOG(382/(1+1))</f>
        <v>2.2810333672477277</v>
      </c>
      <c r="H3649">
        <f>0.00843881856540084*5.25227342804663</f>
        <v>4.432298251516141E-2</v>
      </c>
      <c r="I3649">
        <v>4.4322982515161431E-2</v>
      </c>
    </row>
    <row r="3650" spans="1:9" x14ac:dyDescent="0.25">
      <c r="A3650">
        <v>291</v>
      </c>
      <c r="B3650" t="s">
        <v>1615</v>
      </c>
      <c r="C3650" t="s">
        <v>48</v>
      </c>
      <c r="D3650" t="s">
        <v>1650</v>
      </c>
      <c r="E3650">
        <f t="shared" ref="E3650:E3658" si="165">1/237</f>
        <v>4.2194092827004216E-3</v>
      </c>
      <c r="F3650">
        <v>2</v>
      </c>
      <c r="G3650">
        <f>LOG(382/(2+1))</f>
        <v>2.1049421081920463</v>
      </c>
      <c r="H3650">
        <f>0.00421940928270042*4.84680831993846</f>
        <v>2.0450668016617966E-2</v>
      </c>
      <c r="I3650">
        <v>2.0450668016618E-2</v>
      </c>
    </row>
    <row r="3651" spans="1:9" x14ac:dyDescent="0.25">
      <c r="A3651">
        <v>291</v>
      </c>
      <c r="B3651" t="s">
        <v>1615</v>
      </c>
      <c r="C3651" t="s">
        <v>48</v>
      </c>
      <c r="D3651" t="s">
        <v>1651</v>
      </c>
      <c r="E3651">
        <f t="shared" si="165"/>
        <v>4.2194092827004216E-3</v>
      </c>
      <c r="F3651">
        <v>2</v>
      </c>
      <c r="G3651">
        <f>LOG(382/(2+1))</f>
        <v>2.1049421081920463</v>
      </c>
      <c r="H3651">
        <f>0.00421940928270042*4.84680831993846</f>
        <v>2.0450668016617966E-2</v>
      </c>
      <c r="I3651">
        <v>2.0450668016618E-2</v>
      </c>
    </row>
    <row r="3652" spans="1:9" x14ac:dyDescent="0.25">
      <c r="A3652">
        <v>291</v>
      </c>
      <c r="B3652" t="s">
        <v>1615</v>
      </c>
      <c r="C3652" t="s">
        <v>48</v>
      </c>
      <c r="D3652" t="s">
        <v>247</v>
      </c>
      <c r="E3652">
        <f t="shared" si="165"/>
        <v>4.2194092827004216E-3</v>
      </c>
      <c r="F3652">
        <v>121</v>
      </c>
      <c r="G3652">
        <f>LOG(382/(121+1))</f>
        <v>0.49570353223696051</v>
      </c>
      <c r="H3652">
        <f>0.00421940928270042*1.14139956387331</f>
        <v>4.8160319150772554E-3</v>
      </c>
      <c r="I3652">
        <v>4.8160319150772936E-3</v>
      </c>
    </row>
    <row r="3653" spans="1:9" x14ac:dyDescent="0.25">
      <c r="A3653">
        <v>291</v>
      </c>
      <c r="B3653" t="s">
        <v>1615</v>
      </c>
      <c r="C3653" t="s">
        <v>48</v>
      </c>
      <c r="D3653" t="s">
        <v>1652</v>
      </c>
      <c r="E3653">
        <f t="shared" si="165"/>
        <v>4.2194092827004216E-3</v>
      </c>
      <c r="F3653">
        <v>7</v>
      </c>
      <c r="G3653">
        <f>LOG(382/(7+1))</f>
        <v>1.6789733759197651</v>
      </c>
      <c r="H3653">
        <f>0.00421940928270042*3.86597906692673</f>
        <v>1.6312147961716154E-2</v>
      </c>
      <c r="I3653">
        <v>1.6312147961716199E-2</v>
      </c>
    </row>
    <row r="3654" spans="1:9" x14ac:dyDescent="0.25">
      <c r="A3654">
        <v>291</v>
      </c>
      <c r="B3654" t="s">
        <v>1615</v>
      </c>
      <c r="C3654" t="s">
        <v>48</v>
      </c>
      <c r="D3654" t="s">
        <v>1653</v>
      </c>
      <c r="E3654">
        <f t="shared" si="165"/>
        <v>4.2194092827004216E-3</v>
      </c>
      <c r="F3654">
        <v>4</v>
      </c>
      <c r="G3654">
        <f>LOG(382/(4+1))</f>
        <v>1.8830933585756899</v>
      </c>
      <c r="H3654">
        <f>0.00421940928270042*4.33598269617247</f>
        <v>1.8295285637858514E-2</v>
      </c>
      <c r="I3654">
        <v>1.8295285637858542E-2</v>
      </c>
    </row>
    <row r="3655" spans="1:9" x14ac:dyDescent="0.25">
      <c r="A3655">
        <v>291</v>
      </c>
      <c r="B3655" t="s">
        <v>1615</v>
      </c>
      <c r="C3655" t="s">
        <v>48</v>
      </c>
      <c r="D3655" t="s">
        <v>739</v>
      </c>
      <c r="E3655">
        <f t="shared" si="165"/>
        <v>4.2194092827004216E-3</v>
      </c>
      <c r="F3655">
        <v>24</v>
      </c>
      <c r="G3655">
        <f>LOG(382/(24+1))</f>
        <v>1.1841233542396712</v>
      </c>
      <c r="H3655">
        <f>0.00421940928270042*2.72654478373837</f>
        <v>1.1504408370204087E-2</v>
      </c>
      <c r="I3655">
        <v>1.1504408370204109E-2</v>
      </c>
    </row>
    <row r="3656" spans="1:9" x14ac:dyDescent="0.25">
      <c r="A3656">
        <v>291</v>
      </c>
      <c r="B3656" t="s">
        <v>1615</v>
      </c>
      <c r="C3656" t="s">
        <v>48</v>
      </c>
      <c r="D3656" t="s">
        <v>216</v>
      </c>
      <c r="E3656">
        <f t="shared" si="165"/>
        <v>4.2194092827004216E-3</v>
      </c>
      <c r="F3656">
        <v>63</v>
      </c>
      <c r="G3656">
        <f>LOG(382/(63+1))</f>
        <v>0.7758833889278216</v>
      </c>
      <c r="H3656">
        <f>0.00421940928270042*1.7865375252469</f>
        <v>7.5381330179194054E-3</v>
      </c>
      <c r="I3656">
        <v>7.5381330179194227E-3</v>
      </c>
    </row>
    <row r="3657" spans="1:9" x14ac:dyDescent="0.25">
      <c r="A3657">
        <v>291</v>
      </c>
      <c r="B3657" t="s">
        <v>1615</v>
      </c>
      <c r="C3657" t="s">
        <v>48</v>
      </c>
      <c r="D3657" t="s">
        <v>784</v>
      </c>
      <c r="E3657">
        <f t="shared" si="165"/>
        <v>4.2194092827004216E-3</v>
      </c>
      <c r="F3657">
        <v>6</v>
      </c>
      <c r="G3657">
        <f>LOG(382/(6+1))</f>
        <v>1.736965322897452</v>
      </c>
      <c r="H3657">
        <f>0.00421940928270042*3.99951045955126</f>
        <v>1.6875571559288007E-2</v>
      </c>
      <c r="I3657">
        <v>1.6875571559288021E-2</v>
      </c>
    </row>
    <row r="3658" spans="1:9" x14ac:dyDescent="0.25">
      <c r="A3658">
        <v>291</v>
      </c>
      <c r="B3658" t="s">
        <v>1615</v>
      </c>
      <c r="C3658" t="s">
        <v>48</v>
      </c>
      <c r="D3658" t="s">
        <v>1654</v>
      </c>
      <c r="E3658">
        <f t="shared" si="165"/>
        <v>4.2194092827004216E-3</v>
      </c>
      <c r="F3658">
        <v>4</v>
      </c>
      <c r="G3658">
        <f>LOG(382/(4+1))</f>
        <v>1.8830933585756899</v>
      </c>
      <c r="H3658">
        <f>0.00421940928270042*4.33598269617247</f>
        <v>1.8295285637858514E-2</v>
      </c>
      <c r="I3658">
        <v>1.8295285637858542E-2</v>
      </c>
    </row>
    <row r="3659" spans="1:9" x14ac:dyDescent="0.25">
      <c r="A3659">
        <v>293</v>
      </c>
      <c r="B3659" t="s">
        <v>1655</v>
      </c>
      <c r="C3659" t="s">
        <v>48</v>
      </c>
      <c r="D3659" t="s">
        <v>1240</v>
      </c>
      <c r="E3659">
        <f>5/154</f>
        <v>3.2467532467532464E-2</v>
      </c>
      <c r="F3659">
        <v>3</v>
      </c>
      <c r="G3659">
        <f>LOG(382/(3+1))</f>
        <v>1.9800033715837464</v>
      </c>
      <c r="H3659">
        <f>0.0324675324675324*4.55912624748668</f>
        <v>0.14802357946385294</v>
      </c>
      <c r="I3659">
        <v>0.14802357946385339</v>
      </c>
    </row>
    <row r="3660" spans="1:9" x14ac:dyDescent="0.25">
      <c r="A3660">
        <v>293</v>
      </c>
      <c r="B3660" t="s">
        <v>1655</v>
      </c>
      <c r="C3660" t="s">
        <v>48</v>
      </c>
      <c r="D3660" t="s">
        <v>259</v>
      </c>
      <c r="E3660">
        <f>1/154</f>
        <v>6.4935064935064939E-3</v>
      </c>
      <c r="F3660">
        <v>11</v>
      </c>
      <c r="G3660">
        <f>LOG(382/(11+1))</f>
        <v>1.5028821168640838</v>
      </c>
      <c r="H3660">
        <f>0.00649350649350649*3.46051395881857</f>
        <v>2.2470869862458234E-2</v>
      </c>
      <c r="I3660">
        <v>2.2470869862458279E-2</v>
      </c>
    </row>
    <row r="3661" spans="1:9" x14ac:dyDescent="0.25">
      <c r="A3661">
        <v>293</v>
      </c>
      <c r="B3661" t="s">
        <v>1655</v>
      </c>
      <c r="C3661" t="s">
        <v>48</v>
      </c>
      <c r="D3661" t="s">
        <v>50</v>
      </c>
      <c r="E3661">
        <f>3/154</f>
        <v>1.948051948051948E-2</v>
      </c>
      <c r="F3661">
        <v>109</v>
      </c>
      <c r="G3661">
        <f>LOG(382/(109+1))</f>
        <v>0.54067067775348365</v>
      </c>
      <c r="H3661">
        <f>0.0194805194805194*1.24494024281415</f>
        <v>2.4252082652223603E-2</v>
      </c>
      <c r="I3661">
        <v>2.425208265222387E-2</v>
      </c>
    </row>
    <row r="3662" spans="1:9" x14ac:dyDescent="0.25">
      <c r="A3662">
        <v>293</v>
      </c>
      <c r="B3662" t="s">
        <v>1655</v>
      </c>
      <c r="C3662" t="s">
        <v>48</v>
      </c>
      <c r="E3662">
        <f>1/154</f>
        <v>6.4935064935064939E-3</v>
      </c>
      <c r="F3662">
        <v>20</v>
      </c>
      <c r="G3662">
        <f>LOG(382/(20+1))</f>
        <v>1.2598440681777894</v>
      </c>
      <c r="H3662">
        <f>0.00649350649350649*2.90089817088315</f>
        <v>1.8837001109630835E-2</v>
      </c>
      <c r="I3662">
        <v>1.8837001109630859E-2</v>
      </c>
    </row>
    <row r="3663" spans="1:9" x14ac:dyDescent="0.25">
      <c r="A3663">
        <v>293</v>
      </c>
      <c r="B3663" t="s">
        <v>1655</v>
      </c>
      <c r="C3663" t="s">
        <v>48</v>
      </c>
      <c r="D3663" t="s">
        <v>38</v>
      </c>
      <c r="E3663">
        <f>1/154</f>
        <v>6.4935064935064939E-3</v>
      </c>
      <c r="F3663">
        <v>86</v>
      </c>
      <c r="G3663">
        <f>LOG(382/(86+1))</f>
        <v>0.64254411029309022</v>
      </c>
      <c r="H3663">
        <f>0.00649350649350649*1.47951248995199</f>
        <v>9.6072239607272025E-3</v>
      </c>
      <c r="I3663">
        <v>9.6072239607272181E-3</v>
      </c>
    </row>
    <row r="3664" spans="1:9" x14ac:dyDescent="0.25">
      <c r="A3664">
        <v>293</v>
      </c>
      <c r="B3664" t="s">
        <v>1655</v>
      </c>
      <c r="C3664" t="s">
        <v>48</v>
      </c>
      <c r="D3664" t="s">
        <v>189</v>
      </c>
      <c r="E3664">
        <f>2/154</f>
        <v>1.2987012987012988E-2</v>
      </c>
      <c r="F3664">
        <v>27</v>
      </c>
      <c r="G3664">
        <f>LOG(382/(27+1))</f>
        <v>1.1349053315694895</v>
      </c>
      <c r="H3664">
        <f>0.0129870129870129*2.61321609843137</f>
        <v>3.3937871408199385E-2</v>
      </c>
      <c r="I3664">
        <v>3.3937871408199628E-2</v>
      </c>
    </row>
    <row r="3665" spans="1:9" x14ac:dyDescent="0.25">
      <c r="A3665">
        <v>293</v>
      </c>
      <c r="B3665" t="s">
        <v>1655</v>
      </c>
      <c r="C3665" t="s">
        <v>48</v>
      </c>
      <c r="D3665" t="s">
        <v>41</v>
      </c>
      <c r="E3665">
        <f t="shared" ref="E3665:E3670" si="166">1/154</f>
        <v>6.4935064935064939E-3</v>
      </c>
      <c r="F3665">
        <v>195</v>
      </c>
      <c r="G3665">
        <f>LOG(382/(195+1))</f>
        <v>0.28980729155523272</v>
      </c>
      <c r="H3665">
        <f>0.00649350649350649*0.667305949376058</f>
        <v>4.333155515428946E-3</v>
      </c>
      <c r="I3665">
        <v>4.3331555154289486E-3</v>
      </c>
    </row>
    <row r="3666" spans="1:9" x14ac:dyDescent="0.25">
      <c r="A3666">
        <v>293</v>
      </c>
      <c r="B3666" t="s">
        <v>1655</v>
      </c>
      <c r="C3666" t="s">
        <v>48</v>
      </c>
      <c r="D3666" t="s">
        <v>190</v>
      </c>
      <c r="E3666">
        <f t="shared" si="166"/>
        <v>6.4935064935064939E-3</v>
      </c>
      <c r="F3666">
        <v>23</v>
      </c>
      <c r="G3666">
        <f>LOG(382/(23+1))</f>
        <v>1.2018521212001028</v>
      </c>
      <c r="H3666">
        <f>0.00649350649350649*2.76736677825862</f>
        <v>1.7969914144536484E-2</v>
      </c>
      <c r="I3666">
        <v>1.796991414453656E-2</v>
      </c>
    </row>
    <row r="3667" spans="1:9" x14ac:dyDescent="0.25">
      <c r="A3667">
        <v>293</v>
      </c>
      <c r="B3667" t="s">
        <v>1655</v>
      </c>
      <c r="C3667" t="s">
        <v>48</v>
      </c>
      <c r="D3667" t="s">
        <v>158</v>
      </c>
      <c r="E3667">
        <f t="shared" si="166"/>
        <v>6.4935064935064939E-3</v>
      </c>
      <c r="F3667">
        <v>5</v>
      </c>
      <c r="G3667">
        <f>LOG(382/(5+1))</f>
        <v>1.803912112528065</v>
      </c>
      <c r="H3667">
        <f>0.00649350649350649*4.15366113937852</f>
        <v>2.6971825580379982E-2</v>
      </c>
      <c r="I3667">
        <v>2.6971825580379999E-2</v>
      </c>
    </row>
    <row r="3668" spans="1:9" x14ac:dyDescent="0.25">
      <c r="A3668">
        <v>293</v>
      </c>
      <c r="B3668" t="s">
        <v>1655</v>
      </c>
      <c r="C3668" t="s">
        <v>48</v>
      </c>
      <c r="D3668" t="s">
        <v>1238</v>
      </c>
      <c r="E3668">
        <f t="shared" si="166"/>
        <v>6.4935064935064939E-3</v>
      </c>
      <c r="F3668">
        <v>10</v>
      </c>
      <c r="G3668">
        <f>LOG(382/(10+1))</f>
        <v>1.5406706777534838</v>
      </c>
      <c r="H3668">
        <f>0.00649350649350649*3.5475253358082</f>
        <v>2.3035878803949337E-2</v>
      </c>
      <c r="I3668">
        <v>2.3035878803949379E-2</v>
      </c>
    </row>
    <row r="3669" spans="1:9" x14ac:dyDescent="0.25">
      <c r="A3669">
        <v>293</v>
      </c>
      <c r="B3669" t="s">
        <v>1655</v>
      </c>
      <c r="C3669" t="s">
        <v>48</v>
      </c>
      <c r="D3669" t="s">
        <v>23</v>
      </c>
      <c r="E3669">
        <f t="shared" si="166"/>
        <v>6.4935064935064939E-3</v>
      </c>
      <c r="F3669">
        <v>275</v>
      </c>
      <c r="G3669">
        <f>LOG(382/(275+1))</f>
        <v>0.14115428084649101</v>
      </c>
      <c r="H3669">
        <f>0.00649350649350649*0.325019742889425</f>
        <v>2.1105178109702906E-3</v>
      </c>
      <c r="I3669">
        <v>2.1105178109702932E-3</v>
      </c>
    </row>
    <row r="3670" spans="1:9" x14ac:dyDescent="0.25">
      <c r="A3670">
        <v>293</v>
      </c>
      <c r="B3670" t="s">
        <v>1655</v>
      </c>
      <c r="C3670" t="s">
        <v>48</v>
      </c>
      <c r="D3670" t="s">
        <v>187</v>
      </c>
      <c r="E3670">
        <f t="shared" si="166"/>
        <v>6.4935064935064939E-3</v>
      </c>
      <c r="F3670">
        <v>21</v>
      </c>
      <c r="G3670">
        <f>LOG(382/(21+1))</f>
        <v>1.2396406820895025</v>
      </c>
      <c r="H3670">
        <f>0.00649350649350649*2.85437815524825</f>
        <v>1.8534923086027586E-2</v>
      </c>
      <c r="I3670">
        <v>1.8534923086027659E-2</v>
      </c>
    </row>
    <row r="3671" spans="1:9" x14ac:dyDescent="0.25">
      <c r="A3671">
        <v>293</v>
      </c>
      <c r="B3671" t="s">
        <v>1655</v>
      </c>
      <c r="C3671" t="s">
        <v>48</v>
      </c>
      <c r="D3671" t="s">
        <v>1241</v>
      </c>
      <c r="E3671">
        <f>2/154</f>
        <v>1.2987012987012988E-2</v>
      </c>
      <c r="F3671">
        <v>4</v>
      </c>
      <c r="G3671">
        <f>LOG(382/(4+1))</f>
        <v>1.8830933585756899</v>
      </c>
      <c r="H3671">
        <f>0.0129870129870129*4.33598269617247</f>
        <v>5.6311463586655078E-2</v>
      </c>
      <c r="I3671">
        <v>5.6311463586655522E-2</v>
      </c>
    </row>
    <row r="3672" spans="1:9" x14ac:dyDescent="0.25">
      <c r="A3672">
        <v>293</v>
      </c>
      <c r="B3672" t="s">
        <v>1655</v>
      </c>
      <c r="C3672" t="s">
        <v>48</v>
      </c>
      <c r="D3672" t="s">
        <v>279</v>
      </c>
      <c r="E3672">
        <f>11/154</f>
        <v>7.1428571428571425E-2</v>
      </c>
      <c r="F3672">
        <v>22</v>
      </c>
      <c r="G3672">
        <f>LOG(382/(22+1))</f>
        <v>1.2203355268941158</v>
      </c>
      <c r="H3672">
        <f>0.0714285714285714*2.80992639267742</f>
        <v>0.20070902804838706</v>
      </c>
      <c r="I3672">
        <v>0.2007090280483875</v>
      </c>
    </row>
    <row r="3673" spans="1:9" x14ac:dyDescent="0.25">
      <c r="A3673">
        <v>293</v>
      </c>
      <c r="B3673" t="s">
        <v>1655</v>
      </c>
      <c r="C3673" t="s">
        <v>48</v>
      </c>
      <c r="D3673" t="s">
        <v>276</v>
      </c>
      <c r="E3673">
        <f>3/154</f>
        <v>1.948051948051948E-2</v>
      </c>
      <c r="F3673">
        <v>10</v>
      </c>
      <c r="G3673">
        <f>LOG(382/(10+1))</f>
        <v>1.5406706777534838</v>
      </c>
      <c r="H3673">
        <f>0.0194805194805194*3.5475253358082</f>
        <v>6.9107636411847764E-2</v>
      </c>
      <c r="I3673">
        <v>6.9107636411848139E-2</v>
      </c>
    </row>
    <row r="3674" spans="1:9" x14ac:dyDescent="0.25">
      <c r="A3674">
        <v>293</v>
      </c>
      <c r="B3674" t="s">
        <v>1655</v>
      </c>
      <c r="C3674" t="s">
        <v>48</v>
      </c>
      <c r="D3674" t="s">
        <v>104</v>
      </c>
      <c r="E3674">
        <f>5/154</f>
        <v>3.2467532467532464E-2</v>
      </c>
      <c r="F3674">
        <v>49</v>
      </c>
      <c r="G3674">
        <f>LOG(382/(49+1))</f>
        <v>0.88309335857568994</v>
      </c>
      <c r="H3674">
        <f>0.0324675324675324*2.03339760317842</f>
        <v>6.6019402700597918E-2</v>
      </c>
      <c r="I3674">
        <v>6.6019402700598334E-2</v>
      </c>
    </row>
    <row r="3675" spans="1:9" x14ac:dyDescent="0.25">
      <c r="A3675">
        <v>293</v>
      </c>
      <c r="B3675" t="s">
        <v>1655</v>
      </c>
      <c r="C3675" t="s">
        <v>48</v>
      </c>
      <c r="D3675" t="s">
        <v>1656</v>
      </c>
      <c r="E3675">
        <f>1/154</f>
        <v>6.4935064935064939E-3</v>
      </c>
      <c r="F3675">
        <v>1</v>
      </c>
      <c r="G3675">
        <f>LOG(382/(1+1))</f>
        <v>2.2810333672477277</v>
      </c>
      <c r="H3675">
        <f>0.00649350649350649*5.25227342804663</f>
        <v>3.4105671610692383E-2</v>
      </c>
      <c r="I3675">
        <v>3.4105671610692397E-2</v>
      </c>
    </row>
    <row r="3676" spans="1:9" x14ac:dyDescent="0.25">
      <c r="A3676">
        <v>293</v>
      </c>
      <c r="B3676" t="s">
        <v>1655</v>
      </c>
      <c r="C3676" t="s">
        <v>48</v>
      </c>
      <c r="D3676" t="s">
        <v>61</v>
      </c>
      <c r="E3676">
        <f>1/154</f>
        <v>6.4935064935064939E-3</v>
      </c>
      <c r="F3676">
        <v>6</v>
      </c>
      <c r="G3676">
        <f>LOG(382/(6+1))</f>
        <v>1.736965322897452</v>
      </c>
      <c r="H3676">
        <f>0.00649350649350649*3.99951045955126</f>
        <v>2.5970847139943232E-2</v>
      </c>
      <c r="I3676">
        <v>2.597084713994326E-2</v>
      </c>
    </row>
    <row r="3677" spans="1:9" x14ac:dyDescent="0.25">
      <c r="A3677">
        <v>293</v>
      </c>
      <c r="B3677" t="s">
        <v>1655</v>
      </c>
      <c r="C3677" t="s">
        <v>48</v>
      </c>
      <c r="D3677" t="s">
        <v>291</v>
      </c>
      <c r="E3677">
        <f>11/154</f>
        <v>7.1428571428571425E-2</v>
      </c>
      <c r="F3677">
        <v>2</v>
      </c>
      <c r="G3677">
        <f>LOG(382/(2+1))</f>
        <v>2.1049421081920463</v>
      </c>
      <c r="H3677">
        <f>0.0714285714285714*4.84680831993846</f>
        <v>0.34620059428131844</v>
      </c>
      <c r="I3677">
        <v>0.34620059428131889</v>
      </c>
    </row>
    <row r="3678" spans="1:9" x14ac:dyDescent="0.25">
      <c r="A3678">
        <v>293</v>
      </c>
      <c r="B3678" t="s">
        <v>1655</v>
      </c>
      <c r="C3678" t="s">
        <v>48</v>
      </c>
      <c r="D3678" t="s">
        <v>293</v>
      </c>
      <c r="E3678">
        <f>12/154</f>
        <v>7.792207792207792E-2</v>
      </c>
      <c r="F3678">
        <v>8</v>
      </c>
      <c r="G3678">
        <f>LOG(382/(8+1))</f>
        <v>1.6278208534723839</v>
      </c>
      <c r="H3678">
        <f>0.0779220779220779*3.74819603127035</f>
        <v>0.29206722321587136</v>
      </c>
      <c r="I3678">
        <v>0.29206722321587192</v>
      </c>
    </row>
    <row r="3679" spans="1:9" x14ac:dyDescent="0.25">
      <c r="A3679">
        <v>293</v>
      </c>
      <c r="B3679" t="s">
        <v>1655</v>
      </c>
      <c r="C3679" t="s">
        <v>48</v>
      </c>
      <c r="D3679" t="s">
        <v>1657</v>
      </c>
      <c r="E3679">
        <f>3/154</f>
        <v>1.948051948051948E-2</v>
      </c>
      <c r="F3679">
        <v>1</v>
      </c>
      <c r="G3679">
        <f>LOG(382/(1+1))</f>
        <v>2.2810333672477277</v>
      </c>
      <c r="H3679">
        <f>0.0194805194805194*5.25227342804663</f>
        <v>0.10231701483207678</v>
      </c>
      <c r="I3679">
        <v>0.1023170148320772</v>
      </c>
    </row>
    <row r="3680" spans="1:9" x14ac:dyDescent="0.25">
      <c r="A3680">
        <v>293</v>
      </c>
      <c r="B3680" t="s">
        <v>1655</v>
      </c>
      <c r="C3680" t="s">
        <v>48</v>
      </c>
      <c r="D3680" t="s">
        <v>295</v>
      </c>
      <c r="E3680">
        <f>10/154</f>
        <v>6.4935064935064929E-2</v>
      </c>
      <c r="F3680">
        <v>5</v>
      </c>
      <c r="G3680">
        <f>LOG(382/(5+1))</f>
        <v>1.803912112528065</v>
      </c>
      <c r="H3680">
        <f>0.0649350649350649*4.15366113937852</f>
        <v>0.26971825580379988</v>
      </c>
      <c r="I3680">
        <v>0.26971825580379999</v>
      </c>
    </row>
    <row r="3681" spans="1:9" x14ac:dyDescent="0.25">
      <c r="A3681">
        <v>293</v>
      </c>
      <c r="B3681" t="s">
        <v>1655</v>
      </c>
      <c r="C3681" t="s">
        <v>48</v>
      </c>
      <c r="D3681" t="s">
        <v>1658</v>
      </c>
      <c r="E3681">
        <f>8/154</f>
        <v>5.1948051948051951E-2</v>
      </c>
      <c r="F3681">
        <v>1</v>
      </c>
      <c r="G3681">
        <f>LOG(382/(1+1))</f>
        <v>2.2810333672477277</v>
      </c>
      <c r="H3681">
        <f>0.0519480519480519*5.25227342804663</f>
        <v>0.27284537288553895</v>
      </c>
      <c r="I3681">
        <v>0.27284537288553917</v>
      </c>
    </row>
    <row r="3682" spans="1:9" x14ac:dyDescent="0.25">
      <c r="A3682">
        <v>293</v>
      </c>
      <c r="B3682" t="s">
        <v>1655</v>
      </c>
      <c r="C3682" t="s">
        <v>48</v>
      </c>
      <c r="D3682" t="s">
        <v>292</v>
      </c>
      <c r="E3682">
        <f>2/154</f>
        <v>1.2987012987012988E-2</v>
      </c>
      <c r="F3682">
        <v>3</v>
      </c>
      <c r="G3682">
        <f>LOG(382/(3+1))</f>
        <v>1.9800033715837464</v>
      </c>
      <c r="H3682">
        <f>0.0129870129870129*4.55912624748668</f>
        <v>5.9209431785540903E-2</v>
      </c>
      <c r="I3682">
        <v>5.9209431785541361E-2</v>
      </c>
    </row>
    <row r="3683" spans="1:9" x14ac:dyDescent="0.25">
      <c r="A3683">
        <v>293</v>
      </c>
      <c r="B3683" t="s">
        <v>1655</v>
      </c>
      <c r="C3683" t="s">
        <v>48</v>
      </c>
      <c r="D3683" t="s">
        <v>297</v>
      </c>
      <c r="E3683">
        <f>1/154</f>
        <v>6.4935064935064939E-3</v>
      </c>
      <c r="F3683">
        <v>2</v>
      </c>
      <c r="G3683">
        <f>LOG(382/(2+1))</f>
        <v>2.1049421081920463</v>
      </c>
      <c r="H3683">
        <f>0.00649350649350649*4.84680831993846</f>
        <v>3.1472781298301666E-2</v>
      </c>
      <c r="I3683">
        <v>3.1472781298301722E-2</v>
      </c>
    </row>
    <row r="3684" spans="1:9" x14ac:dyDescent="0.25">
      <c r="A3684">
        <v>293</v>
      </c>
      <c r="B3684" t="s">
        <v>1655</v>
      </c>
      <c r="C3684" t="s">
        <v>48</v>
      </c>
      <c r="D3684" t="s">
        <v>1659</v>
      </c>
      <c r="E3684">
        <f>1/154</f>
        <v>6.4935064935064939E-3</v>
      </c>
      <c r="F3684">
        <v>1</v>
      </c>
      <c r="G3684">
        <f>LOG(382/(1+1))</f>
        <v>2.2810333672477277</v>
      </c>
      <c r="H3684">
        <f>0.00649350649350649*5.25227342804663</f>
        <v>3.4105671610692383E-2</v>
      </c>
      <c r="I3684">
        <v>3.4105671610692397E-2</v>
      </c>
    </row>
    <row r="3685" spans="1:9" x14ac:dyDescent="0.25">
      <c r="A3685">
        <v>293</v>
      </c>
      <c r="B3685" t="s">
        <v>1655</v>
      </c>
      <c r="C3685" t="s">
        <v>48</v>
      </c>
      <c r="D3685" t="s">
        <v>926</v>
      </c>
      <c r="E3685">
        <f>2/154</f>
        <v>1.2987012987012988E-2</v>
      </c>
      <c r="F3685">
        <v>4</v>
      </c>
      <c r="G3685">
        <f>LOG(382/(4+1))</f>
        <v>1.8830933585756899</v>
      </c>
      <c r="H3685">
        <f>0.0129870129870129*4.33598269617247</f>
        <v>5.6311463586655078E-2</v>
      </c>
      <c r="I3685">
        <v>5.6311463586655522E-2</v>
      </c>
    </row>
    <row r="3686" spans="1:9" x14ac:dyDescent="0.25">
      <c r="A3686">
        <v>293</v>
      </c>
      <c r="B3686" t="s">
        <v>1655</v>
      </c>
      <c r="C3686" t="s">
        <v>48</v>
      </c>
      <c r="D3686" t="s">
        <v>1660</v>
      </c>
      <c r="E3686">
        <f>1/154</f>
        <v>6.4935064935064939E-3</v>
      </c>
      <c r="F3686">
        <v>1</v>
      </c>
      <c r="G3686">
        <f>LOG(382/(1+1))</f>
        <v>2.2810333672477277</v>
      </c>
      <c r="H3686">
        <f>0.00649350649350649*5.25227342804663</f>
        <v>3.4105671610692383E-2</v>
      </c>
      <c r="I3686">
        <v>3.4105671610692397E-2</v>
      </c>
    </row>
    <row r="3687" spans="1:9" x14ac:dyDescent="0.25">
      <c r="A3687">
        <v>293</v>
      </c>
      <c r="B3687" t="s">
        <v>1655</v>
      </c>
      <c r="C3687" t="s">
        <v>48</v>
      </c>
      <c r="D3687" t="s">
        <v>1661</v>
      </c>
      <c r="E3687">
        <f>2/154</f>
        <v>1.2987012987012988E-2</v>
      </c>
      <c r="F3687">
        <v>1</v>
      </c>
      <c r="G3687">
        <f>LOG(382/(1+1))</f>
        <v>2.2810333672477277</v>
      </c>
      <c r="H3687">
        <f>0.0129870129870129*5.25227342804663</f>
        <v>6.8211343221384349E-2</v>
      </c>
      <c r="I3687">
        <v>6.8211343221384807E-2</v>
      </c>
    </row>
    <row r="3688" spans="1:9" x14ac:dyDescent="0.25">
      <c r="A3688">
        <v>293</v>
      </c>
      <c r="B3688" t="s">
        <v>1655</v>
      </c>
      <c r="C3688" t="s">
        <v>48</v>
      </c>
      <c r="D3688" t="s">
        <v>1662</v>
      </c>
      <c r="E3688">
        <f>1/154</f>
        <v>6.4935064935064939E-3</v>
      </c>
      <c r="F3688">
        <v>1</v>
      </c>
      <c r="G3688">
        <f>LOG(382/(1+1))</f>
        <v>2.2810333672477277</v>
      </c>
      <c r="H3688">
        <f>0.00649350649350649*5.25227342804663</f>
        <v>3.4105671610692383E-2</v>
      </c>
      <c r="I3688">
        <v>3.4105671610692397E-2</v>
      </c>
    </row>
    <row r="3689" spans="1:9" x14ac:dyDescent="0.25">
      <c r="A3689">
        <v>293</v>
      </c>
      <c r="B3689" t="s">
        <v>1655</v>
      </c>
      <c r="C3689" t="s">
        <v>48</v>
      </c>
      <c r="D3689" t="s">
        <v>72</v>
      </c>
      <c r="E3689">
        <f>6/154</f>
        <v>3.896103896103896E-2</v>
      </c>
      <c r="F3689">
        <v>13</v>
      </c>
      <c r="G3689">
        <f>LOG(382/(13+1))</f>
        <v>1.4359353272334707</v>
      </c>
      <c r="H3689">
        <f>0.0389610389610389*3.30636327899131</f>
        <v>0.12881934853212876</v>
      </c>
      <c r="I3689">
        <v>0.1288193485321292</v>
      </c>
    </row>
    <row r="3690" spans="1:9" x14ac:dyDescent="0.25">
      <c r="A3690">
        <v>293</v>
      </c>
      <c r="B3690" t="s">
        <v>1655</v>
      </c>
      <c r="C3690" t="s">
        <v>48</v>
      </c>
      <c r="D3690" t="s">
        <v>1663</v>
      </c>
      <c r="E3690">
        <f>1/154</f>
        <v>6.4935064935064939E-3</v>
      </c>
      <c r="F3690">
        <v>1</v>
      </c>
      <c r="G3690">
        <f>LOG(382/(1+1))</f>
        <v>2.2810333672477277</v>
      </c>
      <c r="H3690">
        <f>0.00649350649350649*5.25227342804663</f>
        <v>3.4105671610692383E-2</v>
      </c>
      <c r="I3690">
        <v>3.4105671610692397E-2</v>
      </c>
    </row>
    <row r="3691" spans="1:9" x14ac:dyDescent="0.25">
      <c r="A3691">
        <v>293</v>
      </c>
      <c r="B3691" t="s">
        <v>1655</v>
      </c>
      <c r="C3691" t="s">
        <v>48</v>
      </c>
      <c r="D3691" t="s">
        <v>1664</v>
      </c>
      <c r="E3691">
        <f>1/154</f>
        <v>6.4935064935064939E-3</v>
      </c>
      <c r="F3691">
        <v>1</v>
      </c>
      <c r="G3691">
        <f>LOG(382/(1+1))</f>
        <v>2.2810333672477277</v>
      </c>
      <c r="H3691">
        <f>0.00649350649350649*5.25227342804663</f>
        <v>3.4105671610692383E-2</v>
      </c>
      <c r="I3691">
        <v>3.4105671610692397E-2</v>
      </c>
    </row>
    <row r="3692" spans="1:9" x14ac:dyDescent="0.25">
      <c r="A3692">
        <v>293</v>
      </c>
      <c r="B3692" t="s">
        <v>1655</v>
      </c>
      <c r="C3692" t="s">
        <v>48</v>
      </c>
      <c r="D3692" t="s">
        <v>1665</v>
      </c>
      <c r="E3692">
        <f>1/154</f>
        <v>6.4935064935064939E-3</v>
      </c>
      <c r="F3692">
        <v>17</v>
      </c>
      <c r="G3692">
        <f>LOG(382/(17+1))</f>
        <v>1.3267908578084027</v>
      </c>
      <c r="H3692">
        <f>0.00649350649350649*3.05504885071041</f>
        <v>1.9837979550067584E-2</v>
      </c>
      <c r="I3692">
        <v>1.9837979550067601E-2</v>
      </c>
    </row>
    <row r="3693" spans="1:9" x14ac:dyDescent="0.25">
      <c r="A3693">
        <v>293</v>
      </c>
      <c r="B3693" t="s">
        <v>1655</v>
      </c>
      <c r="C3693" t="s">
        <v>48</v>
      </c>
      <c r="D3693" t="s">
        <v>1666</v>
      </c>
      <c r="E3693">
        <f>1/154</f>
        <v>6.4935064935064939E-3</v>
      </c>
      <c r="F3693">
        <v>1</v>
      </c>
      <c r="G3693">
        <f>LOG(382/(1+1))</f>
        <v>2.2810333672477277</v>
      </c>
      <c r="H3693">
        <f>0.00649350649350649*5.25227342804663</f>
        <v>3.4105671610692383E-2</v>
      </c>
      <c r="I3693">
        <v>3.4105671610692397E-2</v>
      </c>
    </row>
    <row r="3694" spans="1:9" x14ac:dyDescent="0.25">
      <c r="A3694">
        <v>293</v>
      </c>
      <c r="B3694" t="s">
        <v>1655</v>
      </c>
      <c r="C3694" t="s">
        <v>48</v>
      </c>
      <c r="D3694" t="s">
        <v>184</v>
      </c>
      <c r="E3694">
        <f>1/154</f>
        <v>6.4935064935064939E-3</v>
      </c>
      <c r="F3694">
        <v>7</v>
      </c>
      <c r="G3694">
        <f>LOG(382/(7+1))</f>
        <v>1.6789733759197651</v>
      </c>
      <c r="H3694">
        <f>0.00649350649350649*3.86597906692673</f>
        <v>2.5103760174848881E-2</v>
      </c>
      <c r="I3694">
        <v>2.5103760174848961E-2</v>
      </c>
    </row>
    <row r="3695" spans="1:9" x14ac:dyDescent="0.25">
      <c r="A3695">
        <v>293</v>
      </c>
      <c r="B3695" t="s">
        <v>1655</v>
      </c>
      <c r="C3695" t="s">
        <v>48</v>
      </c>
      <c r="D3695" t="s">
        <v>286</v>
      </c>
      <c r="E3695">
        <f>4/154</f>
        <v>2.5974025974025976E-2</v>
      </c>
      <c r="F3695">
        <v>3</v>
      </c>
      <c r="G3695">
        <f>LOG(382/(3+1))</f>
        <v>1.9800033715837464</v>
      </c>
      <c r="H3695">
        <f>0.0259740259740259*4.55912624748668</f>
        <v>0.11841886357108226</v>
      </c>
      <c r="I3695">
        <v>0.11841886357108269</v>
      </c>
    </row>
    <row r="3696" spans="1:9" x14ac:dyDescent="0.25">
      <c r="A3696">
        <v>293</v>
      </c>
      <c r="B3696" t="s">
        <v>1655</v>
      </c>
      <c r="C3696" t="s">
        <v>48</v>
      </c>
      <c r="D3696" t="s">
        <v>111</v>
      </c>
      <c r="E3696">
        <f>2/154</f>
        <v>1.2987012987012988E-2</v>
      </c>
      <c r="F3696">
        <v>33</v>
      </c>
      <c r="G3696">
        <f>LOG(382/(33+1))</f>
        <v>1.0505844458694535</v>
      </c>
      <c r="H3696">
        <f>0.0129870129870129*2.41906008399041</f>
        <v>3.1416364727147969E-2</v>
      </c>
      <c r="I3696">
        <v>3.1416364727148233E-2</v>
      </c>
    </row>
    <row r="3697" spans="1:9" x14ac:dyDescent="0.25">
      <c r="A3697">
        <v>293</v>
      </c>
      <c r="B3697" t="s">
        <v>1655</v>
      </c>
      <c r="C3697" t="s">
        <v>48</v>
      </c>
      <c r="D3697" t="s">
        <v>1667</v>
      </c>
      <c r="E3697">
        <f>2/154</f>
        <v>1.2987012987012988E-2</v>
      </c>
      <c r="F3697">
        <v>1</v>
      </c>
      <c r="G3697">
        <f>LOG(382/(1+1))</f>
        <v>2.2810333672477277</v>
      </c>
      <c r="H3697">
        <f>0.0129870129870129*5.25227342804663</f>
        <v>6.8211343221384349E-2</v>
      </c>
      <c r="I3697">
        <v>6.8211343221384807E-2</v>
      </c>
    </row>
    <row r="3698" spans="1:9" x14ac:dyDescent="0.25">
      <c r="A3698">
        <v>293</v>
      </c>
      <c r="B3698" t="s">
        <v>1655</v>
      </c>
      <c r="C3698" t="s">
        <v>48</v>
      </c>
      <c r="D3698" t="s">
        <v>1668</v>
      </c>
      <c r="E3698">
        <f t="shared" ref="E3698:E3716" si="167">1/154</f>
        <v>6.4935064935064939E-3</v>
      </c>
      <c r="F3698">
        <v>1</v>
      </c>
      <c r="G3698">
        <f>LOG(382/(1+1))</f>
        <v>2.2810333672477277</v>
      </c>
      <c r="H3698">
        <f>0.00649350649350649*5.25227342804663</f>
        <v>3.4105671610692383E-2</v>
      </c>
      <c r="I3698">
        <v>3.4105671610692397E-2</v>
      </c>
    </row>
    <row r="3699" spans="1:9" x14ac:dyDescent="0.25">
      <c r="A3699">
        <v>293</v>
      </c>
      <c r="B3699" t="s">
        <v>1655</v>
      </c>
      <c r="C3699" t="s">
        <v>48</v>
      </c>
      <c r="D3699" t="s">
        <v>1669</v>
      </c>
      <c r="E3699">
        <f t="shared" si="167"/>
        <v>6.4935064935064939E-3</v>
      </c>
      <c r="F3699">
        <v>1</v>
      </c>
      <c r="G3699">
        <f>LOG(382/(1+1))</f>
        <v>2.2810333672477277</v>
      </c>
      <c r="H3699">
        <f>0.00649350649350649*5.25227342804663</f>
        <v>3.4105671610692383E-2</v>
      </c>
      <c r="I3699">
        <v>3.4105671610692397E-2</v>
      </c>
    </row>
    <row r="3700" spans="1:9" x14ac:dyDescent="0.25">
      <c r="A3700">
        <v>293</v>
      </c>
      <c r="B3700" t="s">
        <v>1655</v>
      </c>
      <c r="C3700" t="s">
        <v>48</v>
      </c>
      <c r="D3700" t="s">
        <v>1670</v>
      </c>
      <c r="E3700">
        <f t="shared" si="167"/>
        <v>6.4935064935064939E-3</v>
      </c>
      <c r="F3700">
        <v>2</v>
      </c>
      <c r="G3700">
        <f>LOG(382/(2+1))</f>
        <v>2.1049421081920463</v>
      </c>
      <c r="H3700">
        <f>0.00649350649350649*4.84680831993846</f>
        <v>3.1472781298301666E-2</v>
      </c>
      <c r="I3700">
        <v>3.1472781298301722E-2</v>
      </c>
    </row>
    <row r="3701" spans="1:9" x14ac:dyDescent="0.25">
      <c r="A3701">
        <v>293</v>
      </c>
      <c r="B3701" t="s">
        <v>1655</v>
      </c>
      <c r="C3701" t="s">
        <v>48</v>
      </c>
      <c r="D3701" t="s">
        <v>1671</v>
      </c>
      <c r="E3701">
        <f t="shared" si="167"/>
        <v>6.4935064935064939E-3</v>
      </c>
      <c r="F3701">
        <v>1</v>
      </c>
      <c r="G3701">
        <f>LOG(382/(1+1))</f>
        <v>2.2810333672477277</v>
      </c>
      <c r="H3701">
        <f>0.00649350649350649*5.25227342804663</f>
        <v>3.4105671610692383E-2</v>
      </c>
      <c r="I3701">
        <v>3.4105671610692397E-2</v>
      </c>
    </row>
    <row r="3702" spans="1:9" x14ac:dyDescent="0.25">
      <c r="A3702">
        <v>293</v>
      </c>
      <c r="B3702" t="s">
        <v>1655</v>
      </c>
      <c r="C3702" t="s">
        <v>48</v>
      </c>
      <c r="D3702" t="s">
        <v>1237</v>
      </c>
      <c r="E3702">
        <f t="shared" si="167"/>
        <v>6.4935064935064939E-3</v>
      </c>
      <c r="F3702">
        <v>2</v>
      </c>
      <c r="G3702">
        <f>LOG(382/(2+1))</f>
        <v>2.1049421081920463</v>
      </c>
      <c r="H3702">
        <f>0.00649350649350649*4.84680831993846</f>
        <v>3.1472781298301666E-2</v>
      </c>
      <c r="I3702">
        <v>3.1472781298301722E-2</v>
      </c>
    </row>
    <row r="3703" spans="1:9" x14ac:dyDescent="0.25">
      <c r="A3703">
        <v>293</v>
      </c>
      <c r="B3703" t="s">
        <v>1655</v>
      </c>
      <c r="C3703" t="s">
        <v>48</v>
      </c>
      <c r="D3703" t="s">
        <v>1276</v>
      </c>
      <c r="E3703">
        <f t="shared" si="167"/>
        <v>6.4935064935064939E-3</v>
      </c>
      <c r="F3703">
        <v>2</v>
      </c>
      <c r="G3703">
        <f>LOG(382/(2+1))</f>
        <v>2.1049421081920463</v>
      </c>
      <c r="H3703">
        <f>0.00649350649350649*4.84680831993846</f>
        <v>3.1472781298301666E-2</v>
      </c>
      <c r="I3703">
        <v>3.1472781298301722E-2</v>
      </c>
    </row>
    <row r="3704" spans="1:9" x14ac:dyDescent="0.25">
      <c r="A3704">
        <v>293</v>
      </c>
      <c r="B3704" t="s">
        <v>1655</v>
      </c>
      <c r="C3704" t="s">
        <v>48</v>
      </c>
      <c r="D3704" t="s">
        <v>1672</v>
      </c>
      <c r="E3704">
        <f t="shared" si="167"/>
        <v>6.4935064935064939E-3</v>
      </c>
      <c r="F3704">
        <v>1</v>
      </c>
      <c r="G3704">
        <f>LOG(382/(1+1))</f>
        <v>2.2810333672477277</v>
      </c>
      <c r="H3704">
        <f>0.00649350649350649*5.25227342804663</f>
        <v>3.4105671610692383E-2</v>
      </c>
      <c r="I3704">
        <v>3.4105671610692397E-2</v>
      </c>
    </row>
    <row r="3705" spans="1:9" x14ac:dyDescent="0.25">
      <c r="A3705">
        <v>293</v>
      </c>
      <c r="B3705" t="s">
        <v>1655</v>
      </c>
      <c r="C3705" t="s">
        <v>48</v>
      </c>
      <c r="D3705" t="s">
        <v>303</v>
      </c>
      <c r="E3705">
        <f t="shared" si="167"/>
        <v>6.4935064935064939E-3</v>
      </c>
      <c r="F3705">
        <v>3</v>
      </c>
      <c r="G3705">
        <f>LOG(382/(3+1))</f>
        <v>1.9800033715837464</v>
      </c>
      <c r="H3705">
        <f>0.00649350649350649*4.55912624748668</f>
        <v>2.9604715892770632E-2</v>
      </c>
      <c r="I3705">
        <v>2.960471589277068E-2</v>
      </c>
    </row>
    <row r="3706" spans="1:9" x14ac:dyDescent="0.25">
      <c r="A3706">
        <v>293</v>
      </c>
      <c r="B3706" t="s">
        <v>1655</v>
      </c>
      <c r="C3706" t="s">
        <v>48</v>
      </c>
      <c r="D3706" t="s">
        <v>1673</v>
      </c>
      <c r="E3706">
        <f t="shared" si="167"/>
        <v>6.4935064935064939E-3</v>
      </c>
      <c r="F3706">
        <v>1</v>
      </c>
      <c r="G3706">
        <f>LOG(382/(1+1))</f>
        <v>2.2810333672477277</v>
      </c>
      <c r="H3706">
        <f>0.00649350649350649*5.25227342804663</f>
        <v>3.4105671610692383E-2</v>
      </c>
      <c r="I3706">
        <v>3.4105671610692397E-2</v>
      </c>
    </row>
    <row r="3707" spans="1:9" x14ac:dyDescent="0.25">
      <c r="A3707">
        <v>293</v>
      </c>
      <c r="B3707" t="s">
        <v>1655</v>
      </c>
      <c r="C3707" t="s">
        <v>48</v>
      </c>
      <c r="D3707" t="s">
        <v>1674</v>
      </c>
      <c r="E3707">
        <f t="shared" si="167"/>
        <v>6.4935064935064939E-3</v>
      </c>
      <c r="F3707">
        <v>1</v>
      </c>
      <c r="G3707">
        <f>LOG(382/(1+1))</f>
        <v>2.2810333672477277</v>
      </c>
      <c r="H3707">
        <f>0.00649350649350649*5.25227342804663</f>
        <v>3.4105671610692383E-2</v>
      </c>
      <c r="I3707">
        <v>3.4105671610692397E-2</v>
      </c>
    </row>
    <row r="3708" spans="1:9" x14ac:dyDescent="0.25">
      <c r="A3708">
        <v>293</v>
      </c>
      <c r="B3708" t="s">
        <v>1655</v>
      </c>
      <c r="C3708" t="s">
        <v>48</v>
      </c>
      <c r="D3708" t="s">
        <v>1675</v>
      </c>
      <c r="E3708">
        <f t="shared" si="167"/>
        <v>6.4935064935064939E-3</v>
      </c>
      <c r="F3708">
        <v>1</v>
      </c>
      <c r="G3708">
        <f>LOG(382/(1+1))</f>
        <v>2.2810333672477277</v>
      </c>
      <c r="H3708">
        <f>0.00649350649350649*5.25227342804663</f>
        <v>3.4105671610692383E-2</v>
      </c>
      <c r="I3708">
        <v>3.4105671610692397E-2</v>
      </c>
    </row>
    <row r="3709" spans="1:9" x14ac:dyDescent="0.25">
      <c r="A3709">
        <v>293</v>
      </c>
      <c r="B3709" t="s">
        <v>1655</v>
      </c>
      <c r="C3709" t="s">
        <v>48</v>
      </c>
      <c r="D3709" t="s">
        <v>1676</v>
      </c>
      <c r="E3709">
        <f t="shared" si="167"/>
        <v>6.4935064935064939E-3</v>
      </c>
      <c r="F3709">
        <v>1</v>
      </c>
      <c r="G3709">
        <f>LOG(382/(1+1))</f>
        <v>2.2810333672477277</v>
      </c>
      <c r="H3709">
        <f>0.00649350649350649*5.25227342804663</f>
        <v>3.4105671610692383E-2</v>
      </c>
      <c r="I3709">
        <v>3.4105671610692397E-2</v>
      </c>
    </row>
    <row r="3710" spans="1:9" x14ac:dyDescent="0.25">
      <c r="A3710">
        <v>293</v>
      </c>
      <c r="B3710" t="s">
        <v>1655</v>
      </c>
      <c r="C3710" t="s">
        <v>48</v>
      </c>
      <c r="D3710" t="s">
        <v>1677</v>
      </c>
      <c r="E3710">
        <f t="shared" si="167"/>
        <v>6.4935064935064939E-3</v>
      </c>
      <c r="F3710">
        <v>2</v>
      </c>
      <c r="G3710">
        <f>LOG(382/(2+1))</f>
        <v>2.1049421081920463</v>
      </c>
      <c r="H3710">
        <f>0.00649350649350649*4.84680831993846</f>
        <v>3.1472781298301666E-2</v>
      </c>
      <c r="I3710">
        <v>3.1472781298301722E-2</v>
      </c>
    </row>
    <row r="3711" spans="1:9" x14ac:dyDescent="0.25">
      <c r="A3711">
        <v>293</v>
      </c>
      <c r="B3711" t="s">
        <v>1655</v>
      </c>
      <c r="C3711" t="s">
        <v>48</v>
      </c>
      <c r="D3711" t="s">
        <v>1030</v>
      </c>
      <c r="E3711">
        <f t="shared" si="167"/>
        <v>6.4935064935064939E-3</v>
      </c>
      <c r="F3711">
        <v>6</v>
      </c>
      <c r="G3711">
        <f>LOG(382/(6+1))</f>
        <v>1.736965322897452</v>
      </c>
      <c r="H3711">
        <f>0.00649350649350649*3.99951045955126</f>
        <v>2.5970847139943232E-2</v>
      </c>
      <c r="I3711">
        <v>2.597084713994326E-2</v>
      </c>
    </row>
    <row r="3712" spans="1:9" x14ac:dyDescent="0.25">
      <c r="A3712">
        <v>293</v>
      </c>
      <c r="B3712" t="s">
        <v>1655</v>
      </c>
      <c r="C3712" t="s">
        <v>48</v>
      </c>
      <c r="D3712" t="s">
        <v>1678</v>
      </c>
      <c r="E3712">
        <f t="shared" si="167"/>
        <v>6.4935064935064939E-3</v>
      </c>
      <c r="F3712">
        <v>1</v>
      </c>
      <c r="G3712">
        <f>LOG(382/(1+1))</f>
        <v>2.2810333672477277</v>
      </c>
      <c r="H3712">
        <f>0.00649350649350649*5.25227342804663</f>
        <v>3.4105671610692383E-2</v>
      </c>
      <c r="I3712">
        <v>3.4105671610692397E-2</v>
      </c>
    </row>
    <row r="3713" spans="1:9" x14ac:dyDescent="0.25">
      <c r="A3713">
        <v>293</v>
      </c>
      <c r="B3713" t="s">
        <v>1655</v>
      </c>
      <c r="C3713" t="s">
        <v>48</v>
      </c>
      <c r="D3713" t="s">
        <v>1679</v>
      </c>
      <c r="E3713">
        <f t="shared" si="167"/>
        <v>6.4935064935064939E-3</v>
      </c>
      <c r="F3713">
        <v>1</v>
      </c>
      <c r="G3713">
        <f>LOG(382/(1+1))</f>
        <v>2.2810333672477277</v>
      </c>
      <c r="H3713">
        <f>0.00649350649350649*5.25227342804663</f>
        <v>3.4105671610692383E-2</v>
      </c>
      <c r="I3713">
        <v>3.4105671610692397E-2</v>
      </c>
    </row>
    <row r="3714" spans="1:9" x14ac:dyDescent="0.25">
      <c r="A3714">
        <v>293</v>
      </c>
      <c r="B3714" t="s">
        <v>1655</v>
      </c>
      <c r="C3714" t="s">
        <v>48</v>
      </c>
      <c r="D3714" t="s">
        <v>1680</v>
      </c>
      <c r="E3714">
        <f t="shared" si="167"/>
        <v>6.4935064935064939E-3</v>
      </c>
      <c r="F3714">
        <v>1</v>
      </c>
      <c r="G3714">
        <f>LOG(382/(1+1))</f>
        <v>2.2810333672477277</v>
      </c>
      <c r="H3714">
        <f>0.00649350649350649*5.25227342804663</f>
        <v>3.4105671610692383E-2</v>
      </c>
      <c r="I3714">
        <v>3.4105671610692397E-2</v>
      </c>
    </row>
    <row r="3715" spans="1:9" x14ac:dyDescent="0.25">
      <c r="A3715">
        <v>293</v>
      </c>
      <c r="B3715" t="s">
        <v>1655</v>
      </c>
      <c r="C3715" t="s">
        <v>48</v>
      </c>
      <c r="D3715" t="s">
        <v>1681</v>
      </c>
      <c r="E3715">
        <f t="shared" si="167"/>
        <v>6.4935064935064939E-3</v>
      </c>
      <c r="F3715">
        <v>2</v>
      </c>
      <c r="G3715">
        <f>LOG(382/(2+1))</f>
        <v>2.1049421081920463</v>
      </c>
      <c r="H3715">
        <f>0.00649350649350649*4.84680831993846</f>
        <v>3.1472781298301666E-2</v>
      </c>
      <c r="I3715">
        <v>3.1472781298301722E-2</v>
      </c>
    </row>
    <row r="3716" spans="1:9" x14ac:dyDescent="0.25">
      <c r="A3716">
        <v>293</v>
      </c>
      <c r="B3716" t="s">
        <v>1655</v>
      </c>
      <c r="C3716" t="s">
        <v>48</v>
      </c>
      <c r="D3716" t="s">
        <v>1682</v>
      </c>
      <c r="E3716">
        <f t="shared" si="167"/>
        <v>6.4935064935064939E-3</v>
      </c>
      <c r="F3716">
        <v>1</v>
      </c>
      <c r="G3716">
        <f>LOG(382/(1+1))</f>
        <v>2.2810333672477277</v>
      </c>
      <c r="H3716">
        <f>0.00649350649350649*5.25227342804663</f>
        <v>3.4105671610692383E-2</v>
      </c>
      <c r="I3716">
        <v>3.4105671610692397E-2</v>
      </c>
    </row>
    <row r="3717" spans="1:9" x14ac:dyDescent="0.25">
      <c r="A3717">
        <v>293</v>
      </c>
      <c r="B3717" t="s">
        <v>1655</v>
      </c>
      <c r="C3717" t="s">
        <v>48</v>
      </c>
      <c r="D3717" t="s">
        <v>1683</v>
      </c>
      <c r="E3717">
        <f>3/154</f>
        <v>1.948051948051948E-2</v>
      </c>
      <c r="F3717">
        <v>2</v>
      </c>
      <c r="G3717">
        <f>LOG(382/(2+1))</f>
        <v>2.1049421081920463</v>
      </c>
      <c r="H3717">
        <f>0.0194805194805194*4.84680831993846</f>
        <v>9.441834389490468E-2</v>
      </c>
      <c r="I3717">
        <v>9.4418343894905166E-2</v>
      </c>
    </row>
    <row r="3718" spans="1:9" x14ac:dyDescent="0.25">
      <c r="A3718">
        <v>293</v>
      </c>
      <c r="B3718" t="s">
        <v>1655</v>
      </c>
      <c r="C3718" t="s">
        <v>48</v>
      </c>
      <c r="D3718" t="s">
        <v>1684</v>
      </c>
      <c r="E3718">
        <f t="shared" ref="E3718:E3734" si="168">1/154</f>
        <v>6.4935064935064939E-3</v>
      </c>
      <c r="F3718">
        <v>1</v>
      </c>
      <c r="G3718">
        <f>LOG(382/(1+1))</f>
        <v>2.2810333672477277</v>
      </c>
      <c r="H3718">
        <f>0.00649350649350649*5.25227342804663</f>
        <v>3.4105671610692383E-2</v>
      </c>
      <c r="I3718">
        <v>3.4105671610692397E-2</v>
      </c>
    </row>
    <row r="3719" spans="1:9" x14ac:dyDescent="0.25">
      <c r="A3719">
        <v>293</v>
      </c>
      <c r="B3719" t="s">
        <v>1655</v>
      </c>
      <c r="C3719" t="s">
        <v>48</v>
      </c>
      <c r="D3719" t="s">
        <v>1298</v>
      </c>
      <c r="E3719">
        <f t="shared" si="168"/>
        <v>6.4935064935064939E-3</v>
      </c>
      <c r="F3719">
        <v>4</v>
      </c>
      <c r="G3719">
        <f>LOG(382/(4+1))</f>
        <v>1.8830933585756899</v>
      </c>
      <c r="H3719">
        <f>0.00649350649350649*4.33598269617247</f>
        <v>2.8155731793327712E-2</v>
      </c>
      <c r="I3719">
        <v>2.8155731793327761E-2</v>
      </c>
    </row>
    <row r="3720" spans="1:9" x14ac:dyDescent="0.25">
      <c r="A3720">
        <v>293</v>
      </c>
      <c r="B3720" t="s">
        <v>1655</v>
      </c>
      <c r="C3720" t="s">
        <v>48</v>
      </c>
      <c r="D3720" t="s">
        <v>1685</v>
      </c>
      <c r="E3720">
        <f t="shared" si="168"/>
        <v>6.4935064935064939E-3</v>
      </c>
      <c r="F3720">
        <v>1</v>
      </c>
      <c r="G3720">
        <f t="shared" ref="G3720:G3725" si="169">LOG(382/(1+1))</f>
        <v>2.2810333672477277</v>
      </c>
      <c r="H3720">
        <f t="shared" ref="H3720:H3725" si="170">0.00649350649350649*5.25227342804663</f>
        <v>3.4105671610692383E-2</v>
      </c>
      <c r="I3720">
        <v>3.4105671610692397E-2</v>
      </c>
    </row>
    <row r="3721" spans="1:9" x14ac:dyDescent="0.25">
      <c r="A3721">
        <v>293</v>
      </c>
      <c r="B3721" t="s">
        <v>1655</v>
      </c>
      <c r="C3721" t="s">
        <v>48</v>
      </c>
      <c r="D3721" t="s">
        <v>1686</v>
      </c>
      <c r="E3721">
        <f t="shared" si="168"/>
        <v>6.4935064935064939E-3</v>
      </c>
      <c r="F3721">
        <v>1</v>
      </c>
      <c r="G3721">
        <f t="shared" si="169"/>
        <v>2.2810333672477277</v>
      </c>
      <c r="H3721">
        <f t="shared" si="170"/>
        <v>3.4105671610692383E-2</v>
      </c>
      <c r="I3721">
        <v>3.4105671610692397E-2</v>
      </c>
    </row>
    <row r="3722" spans="1:9" x14ac:dyDescent="0.25">
      <c r="A3722">
        <v>293</v>
      </c>
      <c r="B3722" t="s">
        <v>1655</v>
      </c>
      <c r="C3722" t="s">
        <v>48</v>
      </c>
      <c r="D3722" t="s">
        <v>1687</v>
      </c>
      <c r="E3722">
        <f t="shared" si="168"/>
        <v>6.4935064935064939E-3</v>
      </c>
      <c r="F3722">
        <v>1</v>
      </c>
      <c r="G3722">
        <f t="shared" si="169"/>
        <v>2.2810333672477277</v>
      </c>
      <c r="H3722">
        <f t="shared" si="170"/>
        <v>3.4105671610692383E-2</v>
      </c>
      <c r="I3722">
        <v>3.4105671610692397E-2</v>
      </c>
    </row>
    <row r="3723" spans="1:9" x14ac:dyDescent="0.25">
      <c r="A3723">
        <v>293</v>
      </c>
      <c r="B3723" t="s">
        <v>1655</v>
      </c>
      <c r="C3723" t="s">
        <v>48</v>
      </c>
      <c r="D3723" t="s">
        <v>1688</v>
      </c>
      <c r="E3723">
        <f t="shared" si="168"/>
        <v>6.4935064935064939E-3</v>
      </c>
      <c r="F3723">
        <v>1</v>
      </c>
      <c r="G3723">
        <f t="shared" si="169"/>
        <v>2.2810333672477277</v>
      </c>
      <c r="H3723">
        <f t="shared" si="170"/>
        <v>3.4105671610692383E-2</v>
      </c>
      <c r="I3723">
        <v>3.4105671610692397E-2</v>
      </c>
    </row>
    <row r="3724" spans="1:9" x14ac:dyDescent="0.25">
      <c r="A3724">
        <v>293</v>
      </c>
      <c r="B3724" t="s">
        <v>1655</v>
      </c>
      <c r="C3724" t="s">
        <v>48</v>
      </c>
      <c r="D3724" t="s">
        <v>1689</v>
      </c>
      <c r="E3724">
        <f t="shared" si="168"/>
        <v>6.4935064935064939E-3</v>
      </c>
      <c r="F3724">
        <v>1</v>
      </c>
      <c r="G3724">
        <f t="shared" si="169"/>
        <v>2.2810333672477277</v>
      </c>
      <c r="H3724">
        <f t="shared" si="170"/>
        <v>3.4105671610692383E-2</v>
      </c>
      <c r="I3724">
        <v>3.4105671610692397E-2</v>
      </c>
    </row>
    <row r="3725" spans="1:9" x14ac:dyDescent="0.25">
      <c r="A3725">
        <v>293</v>
      </c>
      <c r="B3725" t="s">
        <v>1655</v>
      </c>
      <c r="C3725" t="s">
        <v>48</v>
      </c>
      <c r="D3725" t="s">
        <v>1690</v>
      </c>
      <c r="E3725">
        <f t="shared" si="168"/>
        <v>6.4935064935064939E-3</v>
      </c>
      <c r="F3725">
        <v>1</v>
      </c>
      <c r="G3725">
        <f t="shared" si="169"/>
        <v>2.2810333672477277</v>
      </c>
      <c r="H3725">
        <f t="shared" si="170"/>
        <v>3.4105671610692383E-2</v>
      </c>
      <c r="I3725">
        <v>3.4105671610692397E-2</v>
      </c>
    </row>
    <row r="3726" spans="1:9" x14ac:dyDescent="0.25">
      <c r="A3726">
        <v>293</v>
      </c>
      <c r="B3726" t="s">
        <v>1655</v>
      </c>
      <c r="C3726" t="s">
        <v>48</v>
      </c>
      <c r="D3726" t="s">
        <v>948</v>
      </c>
      <c r="E3726">
        <f t="shared" si="168"/>
        <v>6.4935064935064939E-3</v>
      </c>
      <c r="F3726">
        <v>4</v>
      </c>
      <c r="G3726">
        <f>LOG(382/(4+1))</f>
        <v>1.8830933585756899</v>
      </c>
      <c r="H3726">
        <f>0.00649350649350649*4.33598269617247</f>
        <v>2.8155731793327712E-2</v>
      </c>
      <c r="I3726">
        <v>2.8155731793327761E-2</v>
      </c>
    </row>
    <row r="3727" spans="1:9" x14ac:dyDescent="0.25">
      <c r="A3727">
        <v>293</v>
      </c>
      <c r="B3727" t="s">
        <v>1655</v>
      </c>
      <c r="C3727" t="s">
        <v>48</v>
      </c>
      <c r="D3727" t="s">
        <v>1691</v>
      </c>
      <c r="E3727">
        <f t="shared" si="168"/>
        <v>6.4935064935064939E-3</v>
      </c>
      <c r="F3727">
        <v>1</v>
      </c>
      <c r="G3727">
        <f>LOG(382/(1+1))</f>
        <v>2.2810333672477277</v>
      </c>
      <c r="H3727">
        <f>0.00649350649350649*5.25227342804663</f>
        <v>3.4105671610692383E-2</v>
      </c>
      <c r="I3727">
        <v>3.4105671610692397E-2</v>
      </c>
    </row>
    <row r="3728" spans="1:9" x14ac:dyDescent="0.25">
      <c r="A3728">
        <v>293</v>
      </c>
      <c r="B3728" t="s">
        <v>1655</v>
      </c>
      <c r="C3728" t="s">
        <v>48</v>
      </c>
      <c r="D3728" t="s">
        <v>1692</v>
      </c>
      <c r="E3728">
        <f t="shared" si="168"/>
        <v>6.4935064935064939E-3</v>
      </c>
      <c r="F3728">
        <v>1</v>
      </c>
      <c r="G3728">
        <f>LOG(382/(1+1))</f>
        <v>2.2810333672477277</v>
      </c>
      <c r="H3728">
        <f>0.00649350649350649*5.25227342804663</f>
        <v>3.4105671610692383E-2</v>
      </c>
      <c r="I3728">
        <v>3.4105671610692397E-2</v>
      </c>
    </row>
    <row r="3729" spans="1:9" x14ac:dyDescent="0.25">
      <c r="A3729">
        <v>293</v>
      </c>
      <c r="B3729" t="s">
        <v>1655</v>
      </c>
      <c r="C3729" t="s">
        <v>48</v>
      </c>
      <c r="D3729" t="s">
        <v>181</v>
      </c>
      <c r="E3729">
        <f t="shared" si="168"/>
        <v>6.4935064935064939E-3</v>
      </c>
      <c r="F3729">
        <v>3</v>
      </c>
      <c r="G3729">
        <f>LOG(382/(3+1))</f>
        <v>1.9800033715837464</v>
      </c>
      <c r="H3729">
        <f>0.00649350649350649*4.55912624748668</f>
        <v>2.9604715892770632E-2</v>
      </c>
      <c r="I3729">
        <v>2.960471589277068E-2</v>
      </c>
    </row>
    <row r="3730" spans="1:9" x14ac:dyDescent="0.25">
      <c r="A3730">
        <v>293</v>
      </c>
      <c r="B3730" t="s">
        <v>1655</v>
      </c>
      <c r="C3730" t="s">
        <v>48</v>
      </c>
      <c r="D3730" t="s">
        <v>1693</v>
      </c>
      <c r="E3730">
        <f t="shared" si="168"/>
        <v>6.4935064935064939E-3</v>
      </c>
      <c r="F3730">
        <v>1</v>
      </c>
      <c r="G3730">
        <f>LOG(382/(1+1))</f>
        <v>2.2810333672477277</v>
      </c>
      <c r="H3730">
        <f>0.00649350649350649*5.25227342804663</f>
        <v>3.4105671610692383E-2</v>
      </c>
      <c r="I3730">
        <v>3.4105671610692397E-2</v>
      </c>
    </row>
    <row r="3731" spans="1:9" x14ac:dyDescent="0.25">
      <c r="A3731">
        <v>293</v>
      </c>
      <c r="B3731" t="s">
        <v>1655</v>
      </c>
      <c r="C3731" t="s">
        <v>48</v>
      </c>
      <c r="D3731" t="s">
        <v>1694</v>
      </c>
      <c r="E3731">
        <f t="shared" si="168"/>
        <v>6.4935064935064939E-3</v>
      </c>
      <c r="F3731">
        <v>1</v>
      </c>
      <c r="G3731">
        <f>LOG(382/(1+1))</f>
        <v>2.2810333672477277</v>
      </c>
      <c r="H3731">
        <f>0.00649350649350649*5.25227342804663</f>
        <v>3.4105671610692383E-2</v>
      </c>
      <c r="I3731">
        <v>3.4105671610692397E-2</v>
      </c>
    </row>
    <row r="3732" spans="1:9" x14ac:dyDescent="0.25">
      <c r="A3732">
        <v>293</v>
      </c>
      <c r="B3732" t="s">
        <v>1655</v>
      </c>
      <c r="C3732" t="s">
        <v>48</v>
      </c>
      <c r="D3732" t="s">
        <v>1695</v>
      </c>
      <c r="E3732">
        <f t="shared" si="168"/>
        <v>6.4935064935064939E-3</v>
      </c>
      <c r="F3732">
        <v>1</v>
      </c>
      <c r="G3732">
        <f>LOG(382/(1+1))</f>
        <v>2.2810333672477277</v>
      </c>
      <c r="H3732">
        <f>0.00649350649350649*5.25227342804663</f>
        <v>3.4105671610692383E-2</v>
      </c>
      <c r="I3732">
        <v>3.4105671610692397E-2</v>
      </c>
    </row>
    <row r="3733" spans="1:9" x14ac:dyDescent="0.25">
      <c r="A3733">
        <v>293</v>
      </c>
      <c r="B3733" t="s">
        <v>1655</v>
      </c>
      <c r="C3733" t="s">
        <v>48</v>
      </c>
      <c r="D3733" t="s">
        <v>1696</v>
      </c>
      <c r="E3733">
        <f t="shared" si="168"/>
        <v>6.4935064935064939E-3</v>
      </c>
      <c r="F3733">
        <v>2</v>
      </c>
      <c r="G3733">
        <f>LOG(382/(2+1))</f>
        <v>2.1049421081920463</v>
      </c>
      <c r="H3733">
        <f>0.00649350649350649*4.84680831993846</f>
        <v>3.1472781298301666E-2</v>
      </c>
      <c r="I3733">
        <v>3.1472781298301722E-2</v>
      </c>
    </row>
    <row r="3734" spans="1:9" x14ac:dyDescent="0.25">
      <c r="A3734">
        <v>293</v>
      </c>
      <c r="B3734" t="s">
        <v>1655</v>
      </c>
      <c r="C3734" t="s">
        <v>48</v>
      </c>
      <c r="D3734" t="s">
        <v>1697</v>
      </c>
      <c r="E3734">
        <f t="shared" si="168"/>
        <v>6.4935064935064939E-3</v>
      </c>
      <c r="F3734">
        <v>2</v>
      </c>
      <c r="G3734">
        <f>LOG(382/(2+1))</f>
        <v>2.1049421081920463</v>
      </c>
      <c r="H3734">
        <f>0.00649350649350649*4.84680831993846</f>
        <v>3.1472781298301666E-2</v>
      </c>
      <c r="I3734">
        <v>3.1472781298301722E-2</v>
      </c>
    </row>
    <row r="3735" spans="1:9" x14ac:dyDescent="0.25">
      <c r="A3735">
        <v>294</v>
      </c>
      <c r="B3735" t="s">
        <v>1698</v>
      </c>
      <c r="C3735" t="s">
        <v>48</v>
      </c>
      <c r="D3735" t="s">
        <v>1699</v>
      </c>
      <c r="E3735">
        <f>7/117</f>
        <v>5.9829059829059832E-2</v>
      </c>
      <c r="F3735">
        <v>2</v>
      </c>
      <c r="G3735">
        <f>LOG(382/(2+1))</f>
        <v>2.1049421081920463</v>
      </c>
      <c r="H3735">
        <f>0.0598290598290598*4.84680831993846</f>
        <v>0.2899799849535829</v>
      </c>
      <c r="I3735">
        <v>0.2899799849535834</v>
      </c>
    </row>
    <row r="3736" spans="1:9" x14ac:dyDescent="0.25">
      <c r="A3736">
        <v>294</v>
      </c>
      <c r="B3736" t="s">
        <v>1698</v>
      </c>
      <c r="C3736" t="s">
        <v>48</v>
      </c>
      <c r="D3736" t="s">
        <v>1700</v>
      </c>
      <c r="E3736">
        <f>7/117</f>
        <v>5.9829059829059832E-2</v>
      </c>
      <c r="F3736">
        <v>1</v>
      </c>
      <c r="G3736">
        <f>LOG(382/(1+1))</f>
        <v>2.2810333672477277</v>
      </c>
      <c r="H3736">
        <f>0.0598290598290598*5.25227342804663</f>
        <v>0.31423858116518283</v>
      </c>
      <c r="I3736">
        <v>0.314238581165183</v>
      </c>
    </row>
    <row r="3737" spans="1:9" x14ac:dyDescent="0.25">
      <c r="A3737">
        <v>294</v>
      </c>
      <c r="B3737" t="s">
        <v>1698</v>
      </c>
      <c r="C3737" t="s">
        <v>48</v>
      </c>
      <c r="D3737" t="s">
        <v>38</v>
      </c>
      <c r="E3737">
        <f>1/117</f>
        <v>8.5470085470085479E-3</v>
      </c>
      <c r="F3737">
        <v>86</v>
      </c>
      <c r="G3737">
        <f>LOG(382/(86+1))</f>
        <v>0.64254411029309022</v>
      </c>
      <c r="H3737">
        <f>0.00854700854700854*1.47951248995199</f>
        <v>1.2645405897025544E-2</v>
      </c>
      <c r="I3737">
        <v>1.264540589702557E-2</v>
      </c>
    </row>
    <row r="3738" spans="1:9" x14ac:dyDescent="0.25">
      <c r="A3738">
        <v>294</v>
      </c>
      <c r="B3738" t="s">
        <v>1698</v>
      </c>
      <c r="C3738" t="s">
        <v>48</v>
      </c>
      <c r="D3738" t="s">
        <v>52</v>
      </c>
      <c r="E3738">
        <f>5/117</f>
        <v>4.2735042735042736E-2</v>
      </c>
      <c r="F3738">
        <v>35</v>
      </c>
      <c r="G3738">
        <f>LOG(382/(35+1))</f>
        <v>1.0257608621444214</v>
      </c>
      <c r="H3738">
        <f>0.0427350427350427*2.36190167015046</f>
        <v>0.10093596880984863</v>
      </c>
      <c r="I3738">
        <v>0.1009359688098489</v>
      </c>
    </row>
    <row r="3739" spans="1:9" x14ac:dyDescent="0.25">
      <c r="A3739">
        <v>294</v>
      </c>
      <c r="B3739" t="s">
        <v>1698</v>
      </c>
      <c r="C3739" t="s">
        <v>48</v>
      </c>
      <c r="D3739" t="s">
        <v>85</v>
      </c>
      <c r="E3739">
        <f>1/117</f>
        <v>8.5470085470085479E-3</v>
      </c>
      <c r="F3739">
        <v>13</v>
      </c>
      <c r="G3739">
        <f>LOG(382/(13+1))</f>
        <v>1.4359353272334707</v>
      </c>
      <c r="H3739">
        <f>0.00854700854700854*3.30636327899131</f>
        <v>2.8259515205053907E-2</v>
      </c>
      <c r="I3739">
        <v>2.825951520505399E-2</v>
      </c>
    </row>
    <row r="3740" spans="1:9" x14ac:dyDescent="0.25">
      <c r="A3740">
        <v>294</v>
      </c>
      <c r="B3740" t="s">
        <v>1698</v>
      </c>
      <c r="C3740" t="s">
        <v>48</v>
      </c>
      <c r="D3740" t="s">
        <v>1355</v>
      </c>
      <c r="E3740">
        <f>2/117</f>
        <v>1.7094017094017096E-2</v>
      </c>
      <c r="F3740">
        <v>7</v>
      </c>
      <c r="G3740">
        <f>LOG(382/(7+1))</f>
        <v>1.6789733759197651</v>
      </c>
      <c r="H3740">
        <f>0.017094017094017*3.86597906692673</f>
        <v>6.608511225515741E-2</v>
      </c>
      <c r="I3740">
        <v>6.6085112255157938E-2</v>
      </c>
    </row>
    <row r="3741" spans="1:9" x14ac:dyDescent="0.25">
      <c r="A3741">
        <v>294</v>
      </c>
      <c r="B3741" t="s">
        <v>1698</v>
      </c>
      <c r="C3741" t="s">
        <v>48</v>
      </c>
      <c r="D3741" t="s">
        <v>276</v>
      </c>
      <c r="E3741">
        <f>2/117</f>
        <v>1.7094017094017096E-2</v>
      </c>
      <c r="F3741">
        <v>10</v>
      </c>
      <c r="G3741">
        <f>LOG(382/(10+1))</f>
        <v>1.5406706777534838</v>
      </c>
      <c r="H3741">
        <f>0.017094017094017*3.5475253358082</f>
        <v>6.064145873176377E-2</v>
      </c>
      <c r="I3741">
        <v>6.0641458731764193E-2</v>
      </c>
    </row>
    <row r="3742" spans="1:9" x14ac:dyDescent="0.25">
      <c r="A3742">
        <v>294</v>
      </c>
      <c r="B3742" t="s">
        <v>1698</v>
      </c>
      <c r="C3742" t="s">
        <v>48</v>
      </c>
      <c r="D3742" t="s">
        <v>104</v>
      </c>
      <c r="E3742">
        <f>2/117</f>
        <v>1.7094017094017096E-2</v>
      </c>
      <c r="F3742">
        <v>49</v>
      </c>
      <c r="G3742">
        <f>LOG(382/(49+1))</f>
        <v>0.88309335857568994</v>
      </c>
      <c r="H3742">
        <f>0.017094017094017*2.03339760317842</f>
        <v>3.4758933387665107E-2</v>
      </c>
      <c r="I3742">
        <v>3.4758933387665447E-2</v>
      </c>
    </row>
    <row r="3743" spans="1:9" x14ac:dyDescent="0.25">
      <c r="A3743">
        <v>294</v>
      </c>
      <c r="B3743" t="s">
        <v>1698</v>
      </c>
      <c r="C3743" t="s">
        <v>48</v>
      </c>
      <c r="D3743" t="s">
        <v>50</v>
      </c>
      <c r="E3743">
        <f>8/117</f>
        <v>6.8376068376068383E-2</v>
      </c>
      <c r="F3743">
        <v>109</v>
      </c>
      <c r="G3743">
        <f>LOG(382/(109+1))</f>
        <v>0.54067067775348365</v>
      </c>
      <c r="H3743">
        <f>0.0683760683760683*1.24494024281415</f>
        <v>8.5124119166779394E-2</v>
      </c>
      <c r="I3743">
        <v>8.5124119166780102E-2</v>
      </c>
    </row>
    <row r="3744" spans="1:9" x14ac:dyDescent="0.25">
      <c r="A3744">
        <v>294</v>
      </c>
      <c r="B3744" t="s">
        <v>1698</v>
      </c>
      <c r="C3744" t="s">
        <v>48</v>
      </c>
      <c r="D3744" t="s">
        <v>188</v>
      </c>
      <c r="E3744">
        <f>2/117</f>
        <v>1.7094017094017096E-2</v>
      </c>
      <c r="F3744">
        <v>19</v>
      </c>
      <c r="G3744">
        <f>LOG(382/(19+1))</f>
        <v>1.2810333672477277</v>
      </c>
      <c r="H3744">
        <f>0.017094017094017*2.94968833505258</f>
        <v>5.0422022821411346E-2</v>
      </c>
      <c r="I3744">
        <v>5.0422022821411713E-2</v>
      </c>
    </row>
    <row r="3745" spans="1:9" x14ac:dyDescent="0.25">
      <c r="A3745">
        <v>294</v>
      </c>
      <c r="B3745" t="s">
        <v>1698</v>
      </c>
      <c r="C3745" t="s">
        <v>48</v>
      </c>
      <c r="D3745" t="s">
        <v>490</v>
      </c>
      <c r="E3745">
        <f>1/117</f>
        <v>8.5470085470085479E-3</v>
      </c>
      <c r="F3745">
        <v>31</v>
      </c>
      <c r="G3745">
        <f>LOG(382/(31+1))</f>
        <v>1.0769133845918029</v>
      </c>
      <c r="H3745">
        <f>0.00854700854700854*2.47968470580684</f>
        <v>2.1193886374417416E-2</v>
      </c>
      <c r="I3745">
        <v>2.1193886374417509E-2</v>
      </c>
    </row>
    <row r="3746" spans="1:9" x14ac:dyDescent="0.25">
      <c r="A3746">
        <v>294</v>
      </c>
      <c r="B3746" t="s">
        <v>1698</v>
      </c>
      <c r="C3746" t="s">
        <v>48</v>
      </c>
      <c r="D3746" t="s">
        <v>42</v>
      </c>
      <c r="E3746">
        <f>1/117</f>
        <v>8.5470085470085479E-3</v>
      </c>
      <c r="F3746">
        <v>251</v>
      </c>
      <c r="G3746">
        <f>LOG(382/(251+1))</f>
        <v>0.18066282213016463</v>
      </c>
      <c r="H3746">
        <f>0.00854700854700854*0.415991521095151</f>
        <v>3.5554830862833385E-3</v>
      </c>
      <c r="I3746">
        <v>3.5554830862833502E-3</v>
      </c>
    </row>
    <row r="3747" spans="1:9" x14ac:dyDescent="0.25">
      <c r="A3747">
        <v>294</v>
      </c>
      <c r="B3747" t="s">
        <v>1698</v>
      </c>
      <c r="C3747" t="s">
        <v>48</v>
      </c>
      <c r="D3747" t="s">
        <v>15</v>
      </c>
      <c r="E3747">
        <f>1/117</f>
        <v>8.5470085470085479E-3</v>
      </c>
      <c r="F3747">
        <v>112</v>
      </c>
      <c r="G3747">
        <f>LOG(382/(112+1))</f>
        <v>0.52898491942828896</v>
      </c>
      <c r="H3747">
        <f>0.00854700854700854*1.21803278989423</f>
        <v>1.0410536665762641E-2</v>
      </c>
      <c r="I3747">
        <v>1.041053666576269E-2</v>
      </c>
    </row>
    <row r="3748" spans="1:9" x14ac:dyDescent="0.25">
      <c r="A3748">
        <v>294</v>
      </c>
      <c r="B3748" t="s">
        <v>1698</v>
      </c>
      <c r="C3748" t="s">
        <v>48</v>
      </c>
      <c r="D3748" t="s">
        <v>250</v>
      </c>
      <c r="E3748">
        <f>1/117</f>
        <v>8.5470085470085479E-3</v>
      </c>
      <c r="F3748">
        <v>14</v>
      </c>
      <c r="G3748">
        <f>LOG(382/(14+1))</f>
        <v>1.4059721038560276</v>
      </c>
      <c r="H3748">
        <f>0.00854700854700854*3.23737040750436</f>
        <v>2.766983254277228E-2</v>
      </c>
      <c r="I3748">
        <v>2.766983254277236E-2</v>
      </c>
    </row>
    <row r="3749" spans="1:9" x14ac:dyDescent="0.25">
      <c r="A3749">
        <v>294</v>
      </c>
      <c r="B3749" t="s">
        <v>1698</v>
      </c>
      <c r="C3749" t="s">
        <v>48</v>
      </c>
      <c r="D3749" t="s">
        <v>729</v>
      </c>
      <c r="E3749">
        <f>1/117</f>
        <v>8.5470085470085479E-3</v>
      </c>
      <c r="F3749">
        <v>4</v>
      </c>
      <c r="G3749">
        <f>LOG(382/(4+1))</f>
        <v>1.8830933585756899</v>
      </c>
      <c r="H3749">
        <f>0.00854700854700854*4.33598269617247</f>
        <v>3.7059681163867236E-2</v>
      </c>
      <c r="I3749">
        <v>3.7059681163867313E-2</v>
      </c>
    </row>
    <row r="3750" spans="1:9" x14ac:dyDescent="0.25">
      <c r="A3750">
        <v>294</v>
      </c>
      <c r="B3750" t="s">
        <v>1698</v>
      </c>
      <c r="C3750" t="s">
        <v>48</v>
      </c>
      <c r="D3750" t="s">
        <v>19</v>
      </c>
      <c r="E3750">
        <f>2/117</f>
        <v>1.7094017094017096E-2</v>
      </c>
      <c r="F3750">
        <v>220</v>
      </c>
      <c r="G3750">
        <f>LOG(382/(220+1))</f>
        <v>0.23767108922659805</v>
      </c>
      <c r="H3750">
        <f>0.017094017094017*0.547257907088822</f>
        <v>9.3548360186122906E-3</v>
      </c>
      <c r="I3750">
        <v>9.3548360186123496E-3</v>
      </c>
    </row>
    <row r="3751" spans="1:9" x14ac:dyDescent="0.25">
      <c r="A3751">
        <v>294</v>
      </c>
      <c r="B3751" t="s">
        <v>1698</v>
      </c>
      <c r="C3751" t="s">
        <v>48</v>
      </c>
      <c r="D3751" t="s">
        <v>44</v>
      </c>
      <c r="E3751">
        <f>2/117</f>
        <v>1.7094017094017096E-2</v>
      </c>
      <c r="F3751">
        <v>151</v>
      </c>
      <c r="G3751">
        <f>LOG(382/(151+1))</f>
        <v>0.40021977496693617</v>
      </c>
      <c r="H3751">
        <f>0.017094017094017*0.921540087760298</f>
        <v>1.5752822012996461E-2</v>
      </c>
      <c r="I3751">
        <v>1.5752822012996558E-2</v>
      </c>
    </row>
    <row r="3752" spans="1:9" x14ac:dyDescent="0.25">
      <c r="A3752">
        <v>294</v>
      </c>
      <c r="B3752" t="s">
        <v>1698</v>
      </c>
      <c r="C3752" t="s">
        <v>48</v>
      </c>
      <c r="D3752" t="s">
        <v>22</v>
      </c>
      <c r="E3752">
        <f>1/117</f>
        <v>8.5470085470085479E-3</v>
      </c>
      <c r="F3752">
        <v>259</v>
      </c>
      <c r="G3752">
        <f>LOG(382/(259+1))</f>
        <v>0.16709001494089079</v>
      </c>
      <c r="H3752">
        <f>0.00854700854700854*0.384738977591047</f>
        <v>3.2883673298380058E-3</v>
      </c>
      <c r="I3752">
        <v>3.2883673298380132E-3</v>
      </c>
    </row>
    <row r="3753" spans="1:9" x14ac:dyDescent="0.25">
      <c r="A3753">
        <v>294</v>
      </c>
      <c r="B3753" t="s">
        <v>1698</v>
      </c>
      <c r="C3753" t="s">
        <v>48</v>
      </c>
      <c r="D3753" t="s">
        <v>23</v>
      </c>
      <c r="E3753">
        <f>1/117</f>
        <v>8.5470085470085479E-3</v>
      </c>
      <c r="F3753">
        <v>275</v>
      </c>
      <c r="G3753">
        <f>LOG(382/(275+1))</f>
        <v>0.14115428084649101</v>
      </c>
      <c r="H3753">
        <f>0.00854700854700854*0.325019742889425</f>
        <v>2.7779465204224333E-3</v>
      </c>
      <c r="I3753">
        <v>2.7779465204224368E-3</v>
      </c>
    </row>
    <row r="3754" spans="1:9" x14ac:dyDescent="0.25">
      <c r="A3754">
        <v>294</v>
      </c>
      <c r="B3754" t="s">
        <v>1698</v>
      </c>
      <c r="C3754" t="s">
        <v>48</v>
      </c>
      <c r="D3754" t="s">
        <v>289</v>
      </c>
      <c r="E3754">
        <f>1/117</f>
        <v>8.5470085470085479E-3</v>
      </c>
      <c r="F3754">
        <v>8</v>
      </c>
      <c r="G3754">
        <f>LOG(382/(8+1))</f>
        <v>1.6278208534723839</v>
      </c>
      <c r="H3754">
        <f>0.00854700854700854*3.74819603127035</f>
        <v>3.2035863515131165E-2</v>
      </c>
      <c r="I3754">
        <v>3.2035863515131248E-2</v>
      </c>
    </row>
    <row r="3755" spans="1:9" x14ac:dyDescent="0.25">
      <c r="A3755">
        <v>294</v>
      </c>
      <c r="B3755" t="s">
        <v>1698</v>
      </c>
      <c r="C3755" t="s">
        <v>48</v>
      </c>
      <c r="D3755" t="s">
        <v>131</v>
      </c>
      <c r="E3755">
        <f>2/117</f>
        <v>1.7094017094017096E-2</v>
      </c>
      <c r="F3755">
        <v>38</v>
      </c>
      <c r="G3755">
        <f>LOG(382/(38+1))</f>
        <v>0.99099875588520958</v>
      </c>
      <c r="H3755">
        <f>0.017094017094017*2.28185896247692</f>
        <v>3.9006136110716363E-2</v>
      </c>
      <c r="I3755">
        <v>3.9006136110716738E-2</v>
      </c>
    </row>
    <row r="3756" spans="1:9" x14ac:dyDescent="0.25">
      <c r="A3756">
        <v>294</v>
      </c>
      <c r="B3756" t="s">
        <v>1698</v>
      </c>
      <c r="C3756" t="s">
        <v>48</v>
      </c>
      <c r="D3756" t="s">
        <v>1396</v>
      </c>
      <c r="E3756">
        <f>2/117</f>
        <v>1.7094017094017096E-2</v>
      </c>
      <c r="F3756">
        <v>18</v>
      </c>
      <c r="G3756">
        <f>LOG(382/(18+1))</f>
        <v>1.3033097619588798</v>
      </c>
      <c r="H3756">
        <f>0.017094017094017*3.00098162944013</f>
        <v>5.1298831272480569E-2</v>
      </c>
      <c r="I3756">
        <v>5.1298831272480937E-2</v>
      </c>
    </row>
    <row r="3757" spans="1:9" x14ac:dyDescent="0.25">
      <c r="A3757">
        <v>294</v>
      </c>
      <c r="B3757" t="s">
        <v>1698</v>
      </c>
      <c r="C3757" t="s">
        <v>48</v>
      </c>
      <c r="D3757" t="s">
        <v>907</v>
      </c>
      <c r="E3757">
        <f t="shared" ref="E3757:E3762" si="171">1/117</f>
        <v>8.5470085470085479E-3</v>
      </c>
      <c r="F3757">
        <v>6</v>
      </c>
      <c r="G3757">
        <f>LOG(382/(6+1))</f>
        <v>1.736965322897452</v>
      </c>
      <c r="H3757">
        <f>0.00854700854700854*3.99951045955126</f>
        <v>3.4183850081634673E-2</v>
      </c>
      <c r="I3757">
        <v>3.4183850081634722E-2</v>
      </c>
    </row>
    <row r="3758" spans="1:9" x14ac:dyDescent="0.25">
      <c r="A3758">
        <v>294</v>
      </c>
      <c r="B3758" t="s">
        <v>1698</v>
      </c>
      <c r="C3758" t="s">
        <v>48</v>
      </c>
      <c r="D3758" t="s">
        <v>187</v>
      </c>
      <c r="E3758">
        <f t="shared" si="171"/>
        <v>8.5470085470085479E-3</v>
      </c>
      <c r="F3758">
        <v>21</v>
      </c>
      <c r="G3758">
        <f>LOG(382/(21+1))</f>
        <v>1.2396406820895025</v>
      </c>
      <c r="H3758">
        <f>0.00854700854700854*2.85437815524825</f>
        <v>2.4396394489301258E-2</v>
      </c>
      <c r="I3758">
        <v>2.4396394489301362E-2</v>
      </c>
    </row>
    <row r="3759" spans="1:9" x14ac:dyDescent="0.25">
      <c r="A3759">
        <v>294</v>
      </c>
      <c r="B3759" t="s">
        <v>1698</v>
      </c>
      <c r="C3759" t="s">
        <v>48</v>
      </c>
      <c r="D3759" t="s">
        <v>1581</v>
      </c>
      <c r="E3759">
        <f t="shared" si="171"/>
        <v>8.5470085470085479E-3</v>
      </c>
      <c r="F3759">
        <v>4</v>
      </c>
      <c r="G3759">
        <f>LOG(382/(4+1))</f>
        <v>1.8830933585756899</v>
      </c>
      <c r="H3759">
        <f>0.00854700854700854*4.33598269617247</f>
        <v>3.7059681163867236E-2</v>
      </c>
      <c r="I3759">
        <v>3.7059681163867313E-2</v>
      </c>
    </row>
    <row r="3760" spans="1:9" x14ac:dyDescent="0.25">
      <c r="A3760">
        <v>294</v>
      </c>
      <c r="B3760" t="s">
        <v>1698</v>
      </c>
      <c r="C3760" t="s">
        <v>48</v>
      </c>
      <c r="D3760" t="s">
        <v>1701</v>
      </c>
      <c r="E3760">
        <f t="shared" si="171"/>
        <v>8.5470085470085479E-3</v>
      </c>
      <c r="F3760">
        <v>1</v>
      </c>
      <c r="G3760">
        <f>LOG(382/(1+1))</f>
        <v>2.2810333672477277</v>
      </c>
      <c r="H3760">
        <f>0.00854700854700854*5.25227342804663</f>
        <v>4.4891225880740383E-2</v>
      </c>
      <c r="I3760">
        <v>4.4891225880740432E-2</v>
      </c>
    </row>
    <row r="3761" spans="1:9" x14ac:dyDescent="0.25">
      <c r="A3761">
        <v>294</v>
      </c>
      <c r="B3761" t="s">
        <v>1698</v>
      </c>
      <c r="C3761" t="s">
        <v>48</v>
      </c>
      <c r="D3761" t="s">
        <v>1702</v>
      </c>
      <c r="E3761">
        <f t="shared" si="171"/>
        <v>8.5470085470085479E-3</v>
      </c>
      <c r="F3761">
        <v>3</v>
      </c>
      <c r="G3761">
        <f>LOG(382/(3+1))</f>
        <v>1.9800033715837464</v>
      </c>
      <c r="H3761">
        <f>0.00854700854700854*4.55912624748668</f>
        <v>3.8966891004159621E-2</v>
      </c>
      <c r="I3761">
        <v>3.8966891004159697E-2</v>
      </c>
    </row>
    <row r="3762" spans="1:9" x14ac:dyDescent="0.25">
      <c r="A3762">
        <v>294</v>
      </c>
      <c r="B3762" t="s">
        <v>1698</v>
      </c>
      <c r="C3762" t="s">
        <v>48</v>
      </c>
      <c r="D3762" t="s">
        <v>1703</v>
      </c>
      <c r="E3762">
        <f t="shared" si="171"/>
        <v>8.5470085470085479E-3</v>
      </c>
      <c r="F3762">
        <v>2</v>
      </c>
      <c r="G3762">
        <f>LOG(382/(2+1))</f>
        <v>2.1049421081920463</v>
      </c>
      <c r="H3762">
        <f>0.00854700854700854*4.84680831993846</f>
        <v>4.1425712136226117E-2</v>
      </c>
      <c r="I3762">
        <v>4.14257121362262E-2</v>
      </c>
    </row>
    <row r="3763" spans="1:9" x14ac:dyDescent="0.25">
      <c r="A3763">
        <v>294</v>
      </c>
      <c r="B3763" t="s">
        <v>1698</v>
      </c>
      <c r="C3763" t="s">
        <v>48</v>
      </c>
      <c r="D3763" t="s">
        <v>372</v>
      </c>
      <c r="E3763">
        <f>2/117</f>
        <v>1.7094017094017096E-2</v>
      </c>
      <c r="F3763">
        <v>8</v>
      </c>
      <c r="G3763">
        <f>LOG(382/(8+1))</f>
        <v>1.6278208534723839</v>
      </c>
      <c r="H3763">
        <f>0.017094017094017*3.74819603127035</f>
        <v>6.4071727030262038E-2</v>
      </c>
      <c r="I3763">
        <v>6.4071727030262496E-2</v>
      </c>
    </row>
    <row r="3764" spans="1:9" x14ac:dyDescent="0.25">
      <c r="A3764">
        <v>294</v>
      </c>
      <c r="B3764" t="s">
        <v>1698</v>
      </c>
      <c r="C3764" t="s">
        <v>48</v>
      </c>
      <c r="D3764" t="s">
        <v>1704</v>
      </c>
      <c r="E3764">
        <f>1/117</f>
        <v>8.5470085470085479E-3</v>
      </c>
      <c r="F3764">
        <v>4</v>
      </c>
      <c r="G3764">
        <f>LOG(382/(4+1))</f>
        <v>1.8830933585756899</v>
      </c>
      <c r="H3764">
        <f>0.00854700854700854*4.33598269617247</f>
        <v>3.7059681163867236E-2</v>
      </c>
      <c r="I3764">
        <v>3.7059681163867313E-2</v>
      </c>
    </row>
    <row r="3765" spans="1:9" x14ac:dyDescent="0.25">
      <c r="A3765">
        <v>294</v>
      </c>
      <c r="B3765" t="s">
        <v>1698</v>
      </c>
      <c r="C3765" t="s">
        <v>48</v>
      </c>
      <c r="D3765" t="s">
        <v>272</v>
      </c>
      <c r="E3765">
        <f>1/117</f>
        <v>8.5470085470085479E-3</v>
      </c>
      <c r="F3765">
        <v>17</v>
      </c>
      <c r="G3765">
        <f>LOG(382/(17+1))</f>
        <v>1.3267908578084027</v>
      </c>
      <c r="H3765">
        <f>0.00854700854700854*3.05504885071041</f>
        <v>2.6111528638550489E-2</v>
      </c>
      <c r="I3765">
        <v>2.611152863855052E-2</v>
      </c>
    </row>
    <row r="3766" spans="1:9" x14ac:dyDescent="0.25">
      <c r="A3766">
        <v>294</v>
      </c>
      <c r="B3766" t="s">
        <v>1698</v>
      </c>
      <c r="C3766" t="s">
        <v>48</v>
      </c>
      <c r="D3766" t="s">
        <v>482</v>
      </c>
      <c r="E3766">
        <f>6/117</f>
        <v>5.128205128205128E-2</v>
      </c>
      <c r="F3766">
        <v>16</v>
      </c>
      <c r="G3766">
        <f>LOG(382/(16+1))</f>
        <v>1.3516144415334348</v>
      </c>
      <c r="H3766">
        <f>0.0512820512820512*3.11220726455035</f>
        <v>0.15960037254104331</v>
      </c>
      <c r="I3766">
        <v>0.15960037254104409</v>
      </c>
    </row>
    <row r="3767" spans="1:9" x14ac:dyDescent="0.25">
      <c r="A3767">
        <v>294</v>
      </c>
      <c r="B3767" t="s">
        <v>1698</v>
      </c>
      <c r="C3767" t="s">
        <v>48</v>
      </c>
      <c r="D3767" t="s">
        <v>190</v>
      </c>
      <c r="E3767">
        <f t="shared" ref="E3767:E3774" si="172">1/117</f>
        <v>8.5470085470085479E-3</v>
      </c>
      <c r="F3767">
        <v>23</v>
      </c>
      <c r="G3767">
        <f>LOG(382/(23+1))</f>
        <v>1.2018521212001028</v>
      </c>
      <c r="H3767">
        <f>0.00854700854700854*2.76736677825862</f>
        <v>2.3652707506483912E-2</v>
      </c>
      <c r="I3767">
        <v>2.365270750648402E-2</v>
      </c>
    </row>
    <row r="3768" spans="1:9" x14ac:dyDescent="0.25">
      <c r="A3768">
        <v>294</v>
      </c>
      <c r="B3768" t="s">
        <v>1698</v>
      </c>
      <c r="C3768" t="s">
        <v>48</v>
      </c>
      <c r="D3768" t="s">
        <v>1705</v>
      </c>
      <c r="E3768">
        <f t="shared" si="172"/>
        <v>8.5470085470085479E-3</v>
      </c>
      <c r="F3768">
        <v>1</v>
      </c>
      <c r="G3768">
        <f>LOG(382/(1+1))</f>
        <v>2.2810333672477277</v>
      </c>
      <c r="H3768">
        <f>0.00854700854700854*5.25227342804663</f>
        <v>4.4891225880740383E-2</v>
      </c>
      <c r="I3768">
        <v>4.4891225880740432E-2</v>
      </c>
    </row>
    <row r="3769" spans="1:9" x14ac:dyDescent="0.25">
      <c r="A3769">
        <v>294</v>
      </c>
      <c r="B3769" t="s">
        <v>1698</v>
      </c>
      <c r="C3769" t="s">
        <v>48</v>
      </c>
      <c r="D3769" t="s">
        <v>451</v>
      </c>
      <c r="E3769">
        <f t="shared" si="172"/>
        <v>8.5470085470085479E-3</v>
      </c>
      <c r="F3769">
        <v>15</v>
      </c>
      <c r="G3769">
        <f>LOG(382/(15+1))</f>
        <v>1.3779433802557839</v>
      </c>
      <c r="H3769">
        <f>0.00854700854700854*3.17283188636679</f>
        <v>2.7118221250998182E-2</v>
      </c>
      <c r="I3769">
        <v>2.7118221250998241E-2</v>
      </c>
    </row>
    <row r="3770" spans="1:9" x14ac:dyDescent="0.25">
      <c r="A3770">
        <v>294</v>
      </c>
      <c r="B3770" t="s">
        <v>1698</v>
      </c>
      <c r="C3770" t="s">
        <v>48</v>
      </c>
      <c r="D3770" t="s">
        <v>1706</v>
      </c>
      <c r="E3770">
        <f t="shared" si="172"/>
        <v>8.5470085470085479E-3</v>
      </c>
      <c r="F3770">
        <v>5</v>
      </c>
      <c r="G3770">
        <f>LOG(382/(5+1))</f>
        <v>1.803912112528065</v>
      </c>
      <c r="H3770">
        <f>0.00854700854700854*4.15366113937852</f>
        <v>3.5501377259645438E-2</v>
      </c>
      <c r="I3770">
        <v>3.5501377259645472E-2</v>
      </c>
    </row>
    <row r="3771" spans="1:9" x14ac:dyDescent="0.25">
      <c r="A3771">
        <v>294</v>
      </c>
      <c r="B3771" t="s">
        <v>1698</v>
      </c>
      <c r="C3771" t="s">
        <v>48</v>
      </c>
      <c r="D3771" t="s">
        <v>566</v>
      </c>
      <c r="E3771">
        <f t="shared" si="172"/>
        <v>8.5470085470085479E-3</v>
      </c>
      <c r="F3771">
        <v>8</v>
      </c>
      <c r="G3771">
        <f>LOG(382/(8+1))</f>
        <v>1.6278208534723839</v>
      </c>
      <c r="H3771">
        <f>0.00854700854700854*3.74819603127035</f>
        <v>3.2035863515131165E-2</v>
      </c>
      <c r="I3771">
        <v>3.2035863515131248E-2</v>
      </c>
    </row>
    <row r="3772" spans="1:9" x14ac:dyDescent="0.25">
      <c r="A3772">
        <v>294</v>
      </c>
      <c r="B3772" t="s">
        <v>1698</v>
      </c>
      <c r="C3772" t="s">
        <v>48</v>
      </c>
      <c r="D3772" t="s">
        <v>260</v>
      </c>
      <c r="E3772">
        <f t="shared" si="172"/>
        <v>8.5470085470085479E-3</v>
      </c>
      <c r="F3772">
        <v>31</v>
      </c>
      <c r="G3772">
        <f>LOG(382/(31+1))</f>
        <v>1.0769133845918029</v>
      </c>
      <c r="H3772">
        <f>0.00854700854700854*2.47968470580684</f>
        <v>2.1193886374417416E-2</v>
      </c>
      <c r="I3772">
        <v>2.1193886374417509E-2</v>
      </c>
    </row>
    <row r="3773" spans="1:9" x14ac:dyDescent="0.25">
      <c r="A3773">
        <v>294</v>
      </c>
      <c r="B3773" t="s">
        <v>1698</v>
      </c>
      <c r="C3773" t="s">
        <v>48</v>
      </c>
      <c r="D3773" t="s">
        <v>219</v>
      </c>
      <c r="E3773">
        <f t="shared" si="172"/>
        <v>8.5470085470085479E-3</v>
      </c>
      <c r="F3773">
        <v>19</v>
      </c>
      <c r="G3773">
        <f>LOG(382/(19+1))</f>
        <v>1.2810333672477277</v>
      </c>
      <c r="H3773">
        <f>0.00854700854700854*2.94968833505258</f>
        <v>2.5211011410705787E-2</v>
      </c>
      <c r="I3773">
        <v>2.521101141070585E-2</v>
      </c>
    </row>
    <row r="3774" spans="1:9" x14ac:dyDescent="0.25">
      <c r="A3774">
        <v>294</v>
      </c>
      <c r="B3774" t="s">
        <v>1698</v>
      </c>
      <c r="C3774" t="s">
        <v>48</v>
      </c>
      <c r="D3774" t="s">
        <v>215</v>
      </c>
      <c r="E3774">
        <f t="shared" si="172"/>
        <v>8.5470085470085479E-3</v>
      </c>
      <c r="F3774">
        <v>25</v>
      </c>
      <c r="G3774">
        <f>LOG(382/(25+1))</f>
        <v>1.1670900149408907</v>
      </c>
      <c r="H3774">
        <f>0.00854700854700854*2.68732407058509</f>
        <v>2.2968581799872545E-2</v>
      </c>
      <c r="I3774">
        <v>2.296858179987259E-2</v>
      </c>
    </row>
    <row r="3775" spans="1:9" x14ac:dyDescent="0.25">
      <c r="A3775">
        <v>294</v>
      </c>
      <c r="B3775" t="s">
        <v>1698</v>
      </c>
      <c r="C3775" t="s">
        <v>48</v>
      </c>
      <c r="D3775" t="s">
        <v>216</v>
      </c>
      <c r="E3775">
        <f>2/117</f>
        <v>1.7094017094017096E-2</v>
      </c>
      <c r="F3775">
        <v>63</v>
      </c>
      <c r="G3775">
        <f>LOG(382/(63+1))</f>
        <v>0.7758833889278216</v>
      </c>
      <c r="H3775">
        <f>0.017094017094017*1.7865375252469</f>
        <v>3.0539102995673334E-2</v>
      </c>
      <c r="I3775">
        <v>3.0539102995673559E-2</v>
      </c>
    </row>
    <row r="3776" spans="1:9" x14ac:dyDescent="0.25">
      <c r="A3776">
        <v>294</v>
      </c>
      <c r="B3776" t="s">
        <v>1698</v>
      </c>
      <c r="C3776" t="s">
        <v>48</v>
      </c>
      <c r="D3776" t="s">
        <v>957</v>
      </c>
      <c r="E3776">
        <f>2/117</f>
        <v>1.7094017094017096E-2</v>
      </c>
      <c r="F3776">
        <v>4</v>
      </c>
      <c r="G3776">
        <f>LOG(382/(4+1))</f>
        <v>1.8830933585756899</v>
      </c>
      <c r="H3776">
        <f>0.017094017094017*4.33598269617247</f>
        <v>7.4119362327734126E-2</v>
      </c>
      <c r="I3776">
        <v>7.4119362327734625E-2</v>
      </c>
    </row>
    <row r="3777" spans="1:9" x14ac:dyDescent="0.25">
      <c r="A3777">
        <v>294</v>
      </c>
      <c r="B3777" t="s">
        <v>1698</v>
      </c>
      <c r="C3777" t="s">
        <v>48</v>
      </c>
      <c r="D3777" t="s">
        <v>393</v>
      </c>
      <c r="E3777">
        <f t="shared" ref="E3777:E3782" si="173">1/117</f>
        <v>8.5470085470085479E-3</v>
      </c>
      <c r="F3777">
        <v>6</v>
      </c>
      <c r="G3777">
        <f>LOG(382/(6+1))</f>
        <v>1.736965322897452</v>
      </c>
      <c r="H3777">
        <f>0.00854700854700854*3.99951045955126</f>
        <v>3.4183850081634673E-2</v>
      </c>
      <c r="I3777">
        <v>3.4183850081634722E-2</v>
      </c>
    </row>
    <row r="3778" spans="1:9" x14ac:dyDescent="0.25">
      <c r="A3778">
        <v>294</v>
      </c>
      <c r="B3778" t="s">
        <v>1698</v>
      </c>
      <c r="C3778" t="s">
        <v>48</v>
      </c>
      <c r="D3778" t="s">
        <v>78</v>
      </c>
      <c r="E3778">
        <f t="shared" si="173"/>
        <v>8.5470085470085479E-3</v>
      </c>
      <c r="F3778">
        <v>122</v>
      </c>
      <c r="G3778">
        <f>LOG(382/(122+1))</f>
        <v>0.49215825147231079</v>
      </c>
      <c r="H3778">
        <f>0.00854700854700854*1.13323625323415</f>
        <v>9.6857799421722138E-3</v>
      </c>
      <c r="I3778">
        <v>9.6857799421722884E-3</v>
      </c>
    </row>
    <row r="3779" spans="1:9" x14ac:dyDescent="0.25">
      <c r="A3779">
        <v>294</v>
      </c>
      <c r="B3779" t="s">
        <v>1698</v>
      </c>
      <c r="C3779" t="s">
        <v>48</v>
      </c>
      <c r="D3779" t="s">
        <v>1707</v>
      </c>
      <c r="E3779">
        <f t="shared" si="173"/>
        <v>8.5470085470085479E-3</v>
      </c>
      <c r="F3779">
        <v>1</v>
      </c>
      <c r="G3779">
        <f>LOG(382/(1+1))</f>
        <v>2.2810333672477277</v>
      </c>
      <c r="H3779">
        <f>0.00854700854700854*5.25227342804663</f>
        <v>4.4891225880740383E-2</v>
      </c>
      <c r="I3779">
        <v>4.4891225880740432E-2</v>
      </c>
    </row>
    <row r="3780" spans="1:9" x14ac:dyDescent="0.25">
      <c r="A3780">
        <v>294</v>
      </c>
      <c r="B3780" t="s">
        <v>1698</v>
      </c>
      <c r="C3780" t="s">
        <v>48</v>
      </c>
      <c r="D3780" t="s">
        <v>1328</v>
      </c>
      <c r="E3780">
        <f t="shared" si="173"/>
        <v>8.5470085470085479E-3</v>
      </c>
      <c r="F3780">
        <v>22</v>
      </c>
      <c r="G3780">
        <f>LOG(382/(22+1))</f>
        <v>1.2203355268941158</v>
      </c>
      <c r="H3780">
        <f>0.00854700854700854*2.80992639267742</f>
        <v>2.401646489467878E-2</v>
      </c>
      <c r="I3780">
        <v>2.401646489467885E-2</v>
      </c>
    </row>
    <row r="3781" spans="1:9" x14ac:dyDescent="0.25">
      <c r="A3781">
        <v>294</v>
      </c>
      <c r="B3781" t="s">
        <v>1698</v>
      </c>
      <c r="C3781" t="s">
        <v>48</v>
      </c>
      <c r="D3781" t="s">
        <v>103</v>
      </c>
      <c r="E3781">
        <f t="shared" si="173"/>
        <v>8.5470085470085479E-3</v>
      </c>
      <c r="F3781">
        <v>38</v>
      </c>
      <c r="G3781">
        <f>LOG(382/(38+1))</f>
        <v>0.99099875588520958</v>
      </c>
      <c r="H3781">
        <f>0.00854700854700854*2.28185896247692</f>
        <v>1.9503068055358275E-2</v>
      </c>
      <c r="I3781">
        <v>1.9503068055358369E-2</v>
      </c>
    </row>
    <row r="3782" spans="1:9" x14ac:dyDescent="0.25">
      <c r="A3782">
        <v>294</v>
      </c>
      <c r="B3782" t="s">
        <v>1698</v>
      </c>
      <c r="C3782" t="s">
        <v>48</v>
      </c>
      <c r="D3782" t="s">
        <v>458</v>
      </c>
      <c r="E3782">
        <f t="shared" si="173"/>
        <v>8.5470085470085479E-3</v>
      </c>
      <c r="F3782">
        <v>34</v>
      </c>
      <c r="G3782">
        <f>LOG(382/(34+1))</f>
        <v>1.037995318561433</v>
      </c>
      <c r="H3782">
        <f>0.00854700854700854*2.39007254711716</f>
        <v>2.0427970488180836E-2</v>
      </c>
      <c r="I3782">
        <v>2.0427970488180871E-2</v>
      </c>
    </row>
    <row r="3783" spans="1:9" x14ac:dyDescent="0.25">
      <c r="A3783">
        <v>294</v>
      </c>
      <c r="B3783" t="s">
        <v>1698</v>
      </c>
      <c r="C3783" t="s">
        <v>48</v>
      </c>
      <c r="D3783" t="s">
        <v>76</v>
      </c>
      <c r="E3783">
        <f>2/117</f>
        <v>1.7094017094017096E-2</v>
      </c>
      <c r="F3783">
        <v>140</v>
      </c>
      <c r="G3783">
        <f>LOG(382/(140+1))</f>
        <v>0.43284425025632883</v>
      </c>
      <c r="H3783">
        <f>0.017094017094017*0.996660718228407</f>
        <v>1.7036935354331647E-2</v>
      </c>
      <c r="I3783">
        <v>1.7036935354331741E-2</v>
      </c>
    </row>
    <row r="3784" spans="1:9" x14ac:dyDescent="0.25">
      <c r="A3784">
        <v>294</v>
      </c>
      <c r="B3784" t="s">
        <v>1698</v>
      </c>
      <c r="C3784" t="s">
        <v>48</v>
      </c>
      <c r="D3784" t="s">
        <v>77</v>
      </c>
      <c r="E3784">
        <f>1/117</f>
        <v>8.5470085470085479E-3</v>
      </c>
      <c r="F3784">
        <v>148</v>
      </c>
      <c r="G3784">
        <f>LOG(382/(148+1))</f>
        <v>0.40887709449943471</v>
      </c>
      <c r="H3784">
        <f>0.00854700854700854*0.941474302661116</f>
        <v>8.0467889116334623E-3</v>
      </c>
      <c r="I3784">
        <v>8.046788911633471E-3</v>
      </c>
    </row>
    <row r="3785" spans="1:9" x14ac:dyDescent="0.25">
      <c r="A3785">
        <v>294</v>
      </c>
      <c r="B3785" t="s">
        <v>1698</v>
      </c>
      <c r="C3785" t="s">
        <v>48</v>
      </c>
      <c r="D3785" t="s">
        <v>144</v>
      </c>
      <c r="E3785">
        <f>3/117</f>
        <v>2.564102564102564E-2</v>
      </c>
      <c r="F3785">
        <v>105</v>
      </c>
      <c r="G3785">
        <f>LOG(382/(105+1))</f>
        <v>0.55675749764693849</v>
      </c>
      <c r="H3785">
        <f>0.0256410256410256*1.2819815144945</f>
        <v>3.2871320884474302E-2</v>
      </c>
      <c r="I3785">
        <v>3.2871320884474559E-2</v>
      </c>
    </row>
    <row r="3786" spans="1:9" x14ac:dyDescent="0.25">
      <c r="A3786">
        <v>294</v>
      </c>
      <c r="B3786" t="s">
        <v>1698</v>
      </c>
      <c r="C3786" t="s">
        <v>48</v>
      </c>
      <c r="D3786" t="s">
        <v>1708</v>
      </c>
      <c r="E3786">
        <f>1/117</f>
        <v>8.5470085470085479E-3</v>
      </c>
      <c r="F3786">
        <v>7</v>
      </c>
      <c r="G3786">
        <f>LOG(382/(7+1))</f>
        <v>1.6789733759197651</v>
      </c>
      <c r="H3786">
        <f>0.00854700854700854*3.86597906692673</f>
        <v>3.3042556127578858E-2</v>
      </c>
      <c r="I3786">
        <v>3.3042556127578969E-2</v>
      </c>
    </row>
    <row r="3787" spans="1:9" x14ac:dyDescent="0.25">
      <c r="A3787">
        <v>294</v>
      </c>
      <c r="B3787" t="s">
        <v>1698</v>
      </c>
      <c r="C3787" t="s">
        <v>48</v>
      </c>
      <c r="D3787" t="s">
        <v>237</v>
      </c>
      <c r="E3787">
        <f>2/117</f>
        <v>1.7094017094017096E-2</v>
      </c>
      <c r="F3787">
        <v>138</v>
      </c>
      <c r="G3787">
        <f>LOG(382/(138+1))</f>
        <v>0.43904856265761361</v>
      </c>
      <c r="H3787">
        <f>0.017094017094017*1.01094667547588</f>
        <v>1.7281139751724347E-2</v>
      </c>
      <c r="I3787">
        <v>1.72811397517245E-2</v>
      </c>
    </row>
    <row r="3788" spans="1:9" x14ac:dyDescent="0.25">
      <c r="A3788">
        <v>294</v>
      </c>
      <c r="B3788" t="s">
        <v>1698</v>
      </c>
      <c r="C3788" t="s">
        <v>48</v>
      </c>
      <c r="D3788" t="s">
        <v>133</v>
      </c>
      <c r="E3788">
        <f t="shared" ref="E3788:E3808" si="174">1/117</f>
        <v>8.5470085470085479E-3</v>
      </c>
      <c r="F3788">
        <v>142</v>
      </c>
      <c r="G3788">
        <f>LOG(382/(142+1))</f>
        <v>0.42672732544664693</v>
      </c>
      <c r="H3788">
        <f>0.00854700854700854*0.982575978346667</f>
        <v>8.398085285014241E-3</v>
      </c>
      <c r="I3788">
        <v>8.3980852850142566E-3</v>
      </c>
    </row>
    <row r="3789" spans="1:9" x14ac:dyDescent="0.25">
      <c r="A3789">
        <v>294</v>
      </c>
      <c r="B3789" t="s">
        <v>1698</v>
      </c>
      <c r="C3789" t="s">
        <v>48</v>
      </c>
      <c r="D3789" t="s">
        <v>331</v>
      </c>
      <c r="E3789">
        <f t="shared" si="174"/>
        <v>8.5470085470085479E-3</v>
      </c>
      <c r="F3789">
        <v>130</v>
      </c>
      <c r="G3789">
        <f>LOG(382/(130+1))</f>
        <v>0.46479206725594452</v>
      </c>
      <c r="H3789">
        <f>0.00854700854700854*1.07022328540542</f>
        <v>9.1472075675676848E-3</v>
      </c>
      <c r="I3789">
        <v>9.1472075675677247E-3</v>
      </c>
    </row>
    <row r="3790" spans="1:9" x14ac:dyDescent="0.25">
      <c r="A3790">
        <v>294</v>
      </c>
      <c r="B3790" t="s">
        <v>1698</v>
      </c>
      <c r="C3790" t="s">
        <v>48</v>
      </c>
      <c r="D3790" t="s">
        <v>1709</v>
      </c>
      <c r="E3790">
        <f t="shared" si="174"/>
        <v>8.5470085470085479E-3</v>
      </c>
      <c r="F3790">
        <v>21</v>
      </c>
      <c r="G3790">
        <f>LOG(382/(21+1))</f>
        <v>1.2396406820895025</v>
      </c>
      <c r="H3790">
        <f>0.00854700854700854*2.85437815524825</f>
        <v>2.4396394489301258E-2</v>
      </c>
      <c r="I3790">
        <v>2.4396394489301362E-2</v>
      </c>
    </row>
    <row r="3791" spans="1:9" x14ac:dyDescent="0.25">
      <c r="A3791">
        <v>294</v>
      </c>
      <c r="B3791" t="s">
        <v>1698</v>
      </c>
      <c r="C3791" t="s">
        <v>48</v>
      </c>
      <c r="D3791" t="s">
        <v>483</v>
      </c>
      <c r="E3791">
        <f t="shared" si="174"/>
        <v>8.5470085470085479E-3</v>
      </c>
      <c r="F3791">
        <v>61</v>
      </c>
      <c r="G3791">
        <f>LOG(382/(61+1))</f>
        <v>0.7896716734134549</v>
      </c>
      <c r="H3791">
        <f>0.00854700854700854*1.81828622356148</f>
        <v>1.5540907893687849E-2</v>
      </c>
      <c r="I3791">
        <v>1.5540907893687899E-2</v>
      </c>
    </row>
    <row r="3792" spans="1:9" x14ac:dyDescent="0.25">
      <c r="A3792">
        <v>294</v>
      </c>
      <c r="B3792" t="s">
        <v>1698</v>
      </c>
      <c r="C3792" t="s">
        <v>48</v>
      </c>
      <c r="D3792" t="s">
        <v>339</v>
      </c>
      <c r="E3792">
        <f t="shared" si="174"/>
        <v>8.5470085470085479E-3</v>
      </c>
      <c r="F3792">
        <v>66</v>
      </c>
      <c r="G3792">
        <f>LOG(382/(66+1))</f>
        <v>0.75598856021088234</v>
      </c>
      <c r="H3792">
        <f>0.00854700854700854*1.7407279892156</f>
        <v>1.4878017001842721E-2</v>
      </c>
      <c r="I3792">
        <v>1.4878017001842809E-2</v>
      </c>
    </row>
    <row r="3793" spans="1:9" x14ac:dyDescent="0.25">
      <c r="A3793">
        <v>294</v>
      </c>
      <c r="B3793" t="s">
        <v>1698</v>
      </c>
      <c r="C3793" t="s">
        <v>48</v>
      </c>
      <c r="D3793" t="s">
        <v>542</v>
      </c>
      <c r="E3793">
        <f t="shared" si="174"/>
        <v>8.5470085470085479E-3</v>
      </c>
      <c r="F3793">
        <v>42</v>
      </c>
      <c r="G3793">
        <f>LOG(382/(42+1))</f>
        <v>0.94859490733212215</v>
      </c>
      <c r="H3793">
        <f>0.00854700854700854*2.18422049291301</f>
        <v>1.8668551221478698E-2</v>
      </c>
      <c r="I3793">
        <v>1.866855122147874E-2</v>
      </c>
    </row>
    <row r="3794" spans="1:9" x14ac:dyDescent="0.25">
      <c r="A3794">
        <v>294</v>
      </c>
      <c r="B3794" t="s">
        <v>1698</v>
      </c>
      <c r="C3794" t="s">
        <v>48</v>
      </c>
      <c r="D3794" t="s">
        <v>920</v>
      </c>
      <c r="E3794">
        <f t="shared" si="174"/>
        <v>8.5470085470085479E-3</v>
      </c>
      <c r="F3794">
        <v>30</v>
      </c>
      <c r="G3794">
        <f>LOG(382/(30+1))</f>
        <v>1.090701669077436</v>
      </c>
      <c r="H3794">
        <f>0.00854700854700854*2.51143340412142</f>
        <v>2.1465242770268528E-2</v>
      </c>
      <c r="I3794">
        <v>2.1465242770268629E-2</v>
      </c>
    </row>
    <row r="3795" spans="1:9" x14ac:dyDescent="0.25">
      <c r="A3795">
        <v>294</v>
      </c>
      <c r="B3795" t="s">
        <v>1698</v>
      </c>
      <c r="C3795" t="s">
        <v>48</v>
      </c>
      <c r="D3795" t="s">
        <v>432</v>
      </c>
      <c r="E3795">
        <f t="shared" si="174"/>
        <v>8.5470085470085479E-3</v>
      </c>
      <c r="F3795">
        <v>67</v>
      </c>
      <c r="G3795">
        <f>LOG(382/(67+1))</f>
        <v>0.7495544502054724</v>
      </c>
      <c r="H3795">
        <f>0.00854700854700854*1.72591290343046</f>
        <v>1.4751392337012467E-2</v>
      </c>
      <c r="I3795">
        <v>1.475139233701255E-2</v>
      </c>
    </row>
    <row r="3796" spans="1:9" x14ac:dyDescent="0.25">
      <c r="A3796">
        <v>294</v>
      </c>
      <c r="B3796" t="s">
        <v>1698</v>
      </c>
      <c r="C3796" t="s">
        <v>48</v>
      </c>
      <c r="D3796" t="s">
        <v>600</v>
      </c>
      <c r="E3796">
        <f t="shared" si="174"/>
        <v>8.5470085470085479E-3</v>
      </c>
      <c r="F3796">
        <v>102</v>
      </c>
      <c r="G3796">
        <f>LOG(382/(102+1))</f>
        <v>0.56922613820653656</v>
      </c>
      <c r="H3796">
        <f>0.00854700854700854*1.31069162037693</f>
        <v>1.1202492481854093E-2</v>
      </c>
      <c r="I3796">
        <v>1.1202492481854179E-2</v>
      </c>
    </row>
    <row r="3797" spans="1:9" x14ac:dyDescent="0.25">
      <c r="A3797">
        <v>294</v>
      </c>
      <c r="B3797" t="s">
        <v>1698</v>
      </c>
      <c r="C3797" t="s">
        <v>48</v>
      </c>
      <c r="D3797" t="s">
        <v>1433</v>
      </c>
      <c r="E3797">
        <f t="shared" si="174"/>
        <v>8.5470085470085479E-3</v>
      </c>
      <c r="F3797">
        <v>21</v>
      </c>
      <c r="G3797">
        <f>LOG(382/(21+1))</f>
        <v>1.2396406820895025</v>
      </c>
      <c r="H3797">
        <f>0.00854700854700854*2.85437815524825</f>
        <v>2.4396394489301258E-2</v>
      </c>
      <c r="I3797">
        <v>2.4396394489301362E-2</v>
      </c>
    </row>
    <row r="3798" spans="1:9" x14ac:dyDescent="0.25">
      <c r="A3798">
        <v>294</v>
      </c>
      <c r="B3798" t="s">
        <v>1698</v>
      </c>
      <c r="C3798" t="s">
        <v>48</v>
      </c>
      <c r="D3798" t="s">
        <v>360</v>
      </c>
      <c r="E3798">
        <f t="shared" si="174"/>
        <v>8.5470085470085479E-3</v>
      </c>
      <c r="F3798">
        <v>15</v>
      </c>
      <c r="G3798">
        <f>LOG(382/(15+1))</f>
        <v>1.3779433802557839</v>
      </c>
      <c r="H3798">
        <f>0.00854700854700854*3.17283188636679</f>
        <v>2.7118221250998182E-2</v>
      </c>
      <c r="I3798">
        <v>2.7118221250998241E-2</v>
      </c>
    </row>
    <row r="3799" spans="1:9" x14ac:dyDescent="0.25">
      <c r="A3799">
        <v>294</v>
      </c>
      <c r="B3799" t="s">
        <v>1698</v>
      </c>
      <c r="C3799" t="s">
        <v>48</v>
      </c>
      <c r="D3799" t="s">
        <v>149</v>
      </c>
      <c r="E3799">
        <f t="shared" si="174"/>
        <v>8.5470085470085479E-3</v>
      </c>
      <c r="F3799">
        <v>35</v>
      </c>
      <c r="G3799">
        <f>LOG(382/(35+1))</f>
        <v>1.0257608621444214</v>
      </c>
      <c r="H3799">
        <f>0.00854700854700854*2.36190167015046</f>
        <v>2.0187193761969726E-2</v>
      </c>
      <c r="I3799">
        <v>2.0187193761969788E-2</v>
      </c>
    </row>
    <row r="3800" spans="1:9" x14ac:dyDescent="0.25">
      <c r="A3800">
        <v>294</v>
      </c>
      <c r="B3800" t="s">
        <v>1698</v>
      </c>
      <c r="C3800" t="s">
        <v>48</v>
      </c>
      <c r="D3800" t="s">
        <v>72</v>
      </c>
      <c r="E3800">
        <f t="shared" si="174"/>
        <v>8.5470085470085479E-3</v>
      </c>
      <c r="F3800">
        <v>13</v>
      </c>
      <c r="G3800">
        <f>LOG(382/(13+1))</f>
        <v>1.4359353272334707</v>
      </c>
      <c r="H3800">
        <f>0.00854700854700854*3.30636327899131</f>
        <v>2.8259515205053907E-2</v>
      </c>
      <c r="I3800">
        <v>2.825951520505399E-2</v>
      </c>
    </row>
    <row r="3801" spans="1:9" x14ac:dyDescent="0.25">
      <c r="A3801">
        <v>294</v>
      </c>
      <c r="B3801" t="s">
        <v>1698</v>
      </c>
      <c r="C3801" t="s">
        <v>48</v>
      </c>
      <c r="D3801" t="s">
        <v>361</v>
      </c>
      <c r="E3801">
        <f t="shared" si="174"/>
        <v>8.5470085470085479E-3</v>
      </c>
      <c r="F3801">
        <v>118</v>
      </c>
      <c r="G3801">
        <f>LOG(382/(118+1))</f>
        <v>0.50651640151917798</v>
      </c>
      <c r="H3801">
        <f>0.00854700854700854*1.16629711549504</f>
        <v>9.9683514144875106E-3</v>
      </c>
      <c r="I3801">
        <v>9.968351414487573E-3</v>
      </c>
    </row>
    <row r="3802" spans="1:9" x14ac:dyDescent="0.25">
      <c r="A3802">
        <v>294</v>
      </c>
      <c r="B3802" t="s">
        <v>1698</v>
      </c>
      <c r="C3802" t="s">
        <v>48</v>
      </c>
      <c r="D3802" t="s">
        <v>236</v>
      </c>
      <c r="E3802">
        <f t="shared" si="174"/>
        <v>8.5470085470085479E-3</v>
      </c>
      <c r="F3802">
        <v>87</v>
      </c>
      <c r="G3802">
        <f>LOG(382/(87+1))</f>
        <v>0.63758069076154011</v>
      </c>
      <c r="H3802">
        <f>0.00854700854700854*1.46808379412836</f>
        <v>1.2547724736139817E-2</v>
      </c>
      <c r="I3802">
        <v>1.25477247361399E-2</v>
      </c>
    </row>
    <row r="3803" spans="1:9" x14ac:dyDescent="0.25">
      <c r="A3803">
        <v>294</v>
      </c>
      <c r="B3803" t="s">
        <v>1698</v>
      </c>
      <c r="C3803" t="s">
        <v>48</v>
      </c>
      <c r="D3803" t="s">
        <v>119</v>
      </c>
      <c r="E3803">
        <f t="shared" si="174"/>
        <v>8.5470085470085479E-3</v>
      </c>
      <c r="F3803">
        <v>79</v>
      </c>
      <c r="G3803">
        <f>LOG(382/(79+1))</f>
        <v>0.67897337591976514</v>
      </c>
      <c r="H3803">
        <f>0.00854700854700854*1.56339397393269</f>
        <v>1.3362341657544347E-2</v>
      </c>
      <c r="I3803">
        <v>1.336234165754439E-2</v>
      </c>
    </row>
    <row r="3804" spans="1:9" x14ac:dyDescent="0.25">
      <c r="A3804">
        <v>294</v>
      </c>
      <c r="B3804" t="s">
        <v>1698</v>
      </c>
      <c r="C3804" t="s">
        <v>48</v>
      </c>
      <c r="D3804" t="s">
        <v>1710</v>
      </c>
      <c r="E3804">
        <f t="shared" si="174"/>
        <v>8.5470085470085479E-3</v>
      </c>
      <c r="F3804">
        <v>1</v>
      </c>
      <c r="G3804">
        <f>LOG(382/(1+1))</f>
        <v>2.2810333672477277</v>
      </c>
      <c r="H3804">
        <f>0.00854700854700854*5.25227342804663</f>
        <v>4.4891225880740383E-2</v>
      </c>
      <c r="I3804">
        <v>4.4891225880740432E-2</v>
      </c>
    </row>
    <row r="3805" spans="1:9" x14ac:dyDescent="0.25">
      <c r="A3805">
        <v>294</v>
      </c>
      <c r="B3805" t="s">
        <v>1698</v>
      </c>
      <c r="C3805" t="s">
        <v>48</v>
      </c>
      <c r="D3805" t="s">
        <v>53</v>
      </c>
      <c r="E3805">
        <f t="shared" si="174"/>
        <v>8.5470085470085479E-3</v>
      </c>
      <c r="F3805">
        <v>57</v>
      </c>
      <c r="G3805">
        <f>LOG(382/(57+1))</f>
        <v>0.81863536934877146</v>
      </c>
      <c r="H3805">
        <f>0.00854700854700854*1.88497759806015</f>
        <v>1.6110919641539729E-2</v>
      </c>
      <c r="I3805">
        <v>1.6110919641539791E-2</v>
      </c>
    </row>
    <row r="3806" spans="1:9" x14ac:dyDescent="0.25">
      <c r="A3806">
        <v>294</v>
      </c>
      <c r="B3806" t="s">
        <v>1698</v>
      </c>
      <c r="C3806" t="s">
        <v>48</v>
      </c>
      <c r="D3806" t="s">
        <v>1711</v>
      </c>
      <c r="E3806">
        <f t="shared" si="174"/>
        <v>8.5470085470085479E-3</v>
      </c>
      <c r="F3806">
        <v>4</v>
      </c>
      <c r="G3806">
        <f>LOG(382/(4+1))</f>
        <v>1.8830933585756899</v>
      </c>
      <c r="H3806">
        <f>0.00854700854700854*4.33598269617247</f>
        <v>3.7059681163867236E-2</v>
      </c>
      <c r="I3806">
        <v>3.7059681163867313E-2</v>
      </c>
    </row>
    <row r="3807" spans="1:9" x14ac:dyDescent="0.25">
      <c r="A3807">
        <v>294</v>
      </c>
      <c r="B3807" t="s">
        <v>1698</v>
      </c>
      <c r="C3807" t="s">
        <v>48</v>
      </c>
      <c r="D3807" t="s">
        <v>40</v>
      </c>
      <c r="E3807">
        <f t="shared" si="174"/>
        <v>8.5470085470085479E-3</v>
      </c>
      <c r="F3807">
        <v>159</v>
      </c>
      <c r="G3807">
        <f>LOG(382/(159+1))</f>
        <v>0.377943380255784</v>
      </c>
      <c r="H3807">
        <f>0.00854700854700854*0.870246793372748</f>
        <v>7.4380067809636519E-3</v>
      </c>
      <c r="I3807">
        <v>7.4380067809636623E-3</v>
      </c>
    </row>
    <row r="3808" spans="1:9" x14ac:dyDescent="0.25">
      <c r="A3808">
        <v>294</v>
      </c>
      <c r="B3808" t="s">
        <v>1698</v>
      </c>
      <c r="C3808" t="s">
        <v>48</v>
      </c>
      <c r="D3808" t="s">
        <v>41</v>
      </c>
      <c r="E3808">
        <f t="shared" si="174"/>
        <v>8.5470085470085479E-3</v>
      </c>
      <c r="F3808">
        <v>195</v>
      </c>
      <c r="G3808">
        <f>LOG(382/(195+1))</f>
        <v>0.28980729155523272</v>
      </c>
      <c r="H3808">
        <f>0.00854700854700854*0.667305949376058</f>
        <v>5.7034696527868151E-3</v>
      </c>
      <c r="I3808">
        <v>5.7034696527868212E-3</v>
      </c>
    </row>
    <row r="3809" spans="1:9" x14ac:dyDescent="0.25">
      <c r="A3809">
        <v>295</v>
      </c>
      <c r="B3809" t="s">
        <v>1712</v>
      </c>
      <c r="C3809" t="s">
        <v>48</v>
      </c>
      <c r="D3809" t="s">
        <v>179</v>
      </c>
      <c r="E3809">
        <f>9/56</f>
        <v>0.16071428571428573</v>
      </c>
      <c r="F3809">
        <v>15</v>
      </c>
      <c r="G3809">
        <f>LOG(382/(15+1))</f>
        <v>1.3779433802557839</v>
      </c>
      <c r="H3809">
        <f>0.160714285714285*3.17283188636679</f>
        <v>0.50991941030894616</v>
      </c>
      <c r="I3809">
        <v>0.50991941030894905</v>
      </c>
    </row>
    <row r="3810" spans="1:9" x14ac:dyDescent="0.25">
      <c r="A3810">
        <v>295</v>
      </c>
      <c r="B3810" t="s">
        <v>1712</v>
      </c>
      <c r="C3810" t="s">
        <v>48</v>
      </c>
      <c r="D3810" t="s">
        <v>104</v>
      </c>
      <c r="E3810">
        <f>5/56</f>
        <v>8.9285714285714288E-2</v>
      </c>
      <c r="F3810">
        <v>49</v>
      </c>
      <c r="G3810">
        <f>LOG(382/(49+1))</f>
        <v>0.88309335857568994</v>
      </c>
      <c r="H3810">
        <f>0.0892857142857142*2.03339760317842</f>
        <v>0.18155335742664447</v>
      </c>
      <c r="I3810">
        <v>0.18155335742664541</v>
      </c>
    </row>
    <row r="3811" spans="1:9" x14ac:dyDescent="0.25">
      <c r="A3811">
        <v>295</v>
      </c>
      <c r="B3811" t="s">
        <v>1712</v>
      </c>
      <c r="C3811" t="s">
        <v>48</v>
      </c>
      <c r="D3811" t="s">
        <v>1713</v>
      </c>
      <c r="E3811">
        <f>10/56</f>
        <v>0.17857142857142858</v>
      </c>
      <c r="F3811">
        <v>1</v>
      </c>
      <c r="G3811">
        <f>LOG(382/(1+1))</f>
        <v>2.2810333672477277</v>
      </c>
      <c r="H3811">
        <f>0.178571428571428*5.25227342804663</f>
        <v>0.93790596929403802</v>
      </c>
      <c r="I3811">
        <v>0.93790596929404102</v>
      </c>
    </row>
    <row r="3812" spans="1:9" x14ac:dyDescent="0.25">
      <c r="A3812">
        <v>295</v>
      </c>
      <c r="B3812" t="s">
        <v>1712</v>
      </c>
      <c r="C3812" t="s">
        <v>48</v>
      </c>
      <c r="D3812" t="s">
        <v>60</v>
      </c>
      <c r="E3812">
        <f>6/56</f>
        <v>0.10714285714285714</v>
      </c>
      <c r="F3812">
        <v>24</v>
      </c>
      <c r="G3812">
        <f>LOG(382/(24+1))</f>
        <v>1.1841233542396712</v>
      </c>
      <c r="H3812">
        <f>0.107142857142857*2.72654478373837</f>
        <v>0.29212979825768209</v>
      </c>
      <c r="I3812">
        <v>0.29212979825768293</v>
      </c>
    </row>
    <row r="3813" spans="1:9" x14ac:dyDescent="0.25">
      <c r="A3813">
        <v>295</v>
      </c>
      <c r="B3813" t="s">
        <v>1712</v>
      </c>
      <c r="C3813" t="s">
        <v>48</v>
      </c>
      <c r="D3813" t="s">
        <v>262</v>
      </c>
      <c r="E3813">
        <f>2/56</f>
        <v>3.5714285714285712E-2</v>
      </c>
      <c r="F3813">
        <v>13</v>
      </c>
      <c r="G3813">
        <f>LOG(382/(13+1))</f>
        <v>1.4359353272334707</v>
      </c>
      <c r="H3813">
        <f>0.0357142857142857*3.30636327899131</f>
        <v>0.11808440282111816</v>
      </c>
      <c r="I3813">
        <v>0.1180844028211184</v>
      </c>
    </row>
    <row r="3814" spans="1:9" x14ac:dyDescent="0.25">
      <c r="A3814">
        <v>295</v>
      </c>
      <c r="B3814" t="s">
        <v>1712</v>
      </c>
      <c r="C3814" t="s">
        <v>48</v>
      </c>
      <c r="D3814" t="s">
        <v>189</v>
      </c>
      <c r="E3814">
        <f t="shared" ref="E3814:E3837" si="175">1/56</f>
        <v>1.7857142857142856E-2</v>
      </c>
      <c r="F3814">
        <v>27</v>
      </c>
      <c r="G3814">
        <f>LOG(382/(27+1))</f>
        <v>1.1349053315694895</v>
      </c>
      <c r="H3814">
        <f>0.0178571428571428*2.61321609843137</f>
        <v>4.6664573186274316E-2</v>
      </c>
      <c r="I3814">
        <v>4.6664573186274483E-2</v>
      </c>
    </row>
    <row r="3815" spans="1:9" x14ac:dyDescent="0.25">
      <c r="A3815">
        <v>295</v>
      </c>
      <c r="B3815" t="s">
        <v>1712</v>
      </c>
      <c r="C3815" t="s">
        <v>48</v>
      </c>
      <c r="D3815" t="s">
        <v>58</v>
      </c>
      <c r="E3815">
        <f t="shared" si="175"/>
        <v>1.7857142857142856E-2</v>
      </c>
      <c r="F3815">
        <v>18</v>
      </c>
      <c r="G3815">
        <f>LOG(382/(18+1))</f>
        <v>1.3033097619588798</v>
      </c>
      <c r="H3815">
        <f>0.0178571428571428*3.00098162944013</f>
        <v>5.3588957668573585E-2</v>
      </c>
      <c r="I3815">
        <v>5.3588957668573828E-2</v>
      </c>
    </row>
    <row r="3816" spans="1:9" x14ac:dyDescent="0.25">
      <c r="A3816">
        <v>295</v>
      </c>
      <c r="B3816" t="s">
        <v>1712</v>
      </c>
      <c r="C3816" t="s">
        <v>48</v>
      </c>
      <c r="D3816" t="s">
        <v>19</v>
      </c>
      <c r="E3816">
        <f t="shared" si="175"/>
        <v>1.7857142857142856E-2</v>
      </c>
      <c r="F3816">
        <v>220</v>
      </c>
      <c r="G3816">
        <f>LOG(382/(220+1))</f>
        <v>0.23767108922659805</v>
      </c>
      <c r="H3816">
        <f>0.0178571428571428*0.547257907088822</f>
        <v>9.7724626265860773E-3</v>
      </c>
      <c r="I3816">
        <v>9.7724626265861137E-3</v>
      </c>
    </row>
    <row r="3817" spans="1:9" x14ac:dyDescent="0.25">
      <c r="A3817">
        <v>295</v>
      </c>
      <c r="B3817" t="s">
        <v>1712</v>
      </c>
      <c r="C3817" t="s">
        <v>48</v>
      </c>
      <c r="D3817" t="s">
        <v>44</v>
      </c>
      <c r="E3817">
        <f t="shared" si="175"/>
        <v>1.7857142857142856E-2</v>
      </c>
      <c r="F3817">
        <v>151</v>
      </c>
      <c r="G3817">
        <f>LOG(382/(151+1))</f>
        <v>0.40021977496693617</v>
      </c>
      <c r="H3817">
        <f>0.0178571428571428*0.921540087760298</f>
        <v>1.6456072995719558E-2</v>
      </c>
      <c r="I3817">
        <v>1.645607299571962E-2</v>
      </c>
    </row>
    <row r="3818" spans="1:9" x14ac:dyDescent="0.25">
      <c r="A3818">
        <v>295</v>
      </c>
      <c r="B3818" t="s">
        <v>1712</v>
      </c>
      <c r="C3818" t="s">
        <v>48</v>
      </c>
      <c r="D3818" t="s">
        <v>22</v>
      </c>
      <c r="E3818">
        <f t="shared" si="175"/>
        <v>1.7857142857142856E-2</v>
      </c>
      <c r="F3818">
        <v>259</v>
      </c>
      <c r="G3818">
        <f>LOG(382/(259+1))</f>
        <v>0.16709001494089079</v>
      </c>
      <c r="H3818">
        <f>0.0178571428571428*0.384738977591047</f>
        <v>6.8703388855543895E-3</v>
      </c>
      <c r="I3818">
        <v>6.8703388855544199E-3</v>
      </c>
    </row>
    <row r="3819" spans="1:9" x14ac:dyDescent="0.25">
      <c r="A3819">
        <v>295</v>
      </c>
      <c r="B3819" t="s">
        <v>1712</v>
      </c>
      <c r="C3819" t="s">
        <v>48</v>
      </c>
      <c r="D3819" t="s">
        <v>23</v>
      </c>
      <c r="E3819">
        <f t="shared" si="175"/>
        <v>1.7857142857142856E-2</v>
      </c>
      <c r="F3819">
        <v>275</v>
      </c>
      <c r="G3819">
        <f>LOG(382/(275+1))</f>
        <v>0.14115428084649101</v>
      </c>
      <c r="H3819">
        <f>0.0178571428571428*0.325019742889425</f>
        <v>5.803923980168285E-3</v>
      </c>
      <c r="I3819">
        <v>5.8039239801683058E-3</v>
      </c>
    </row>
    <row r="3820" spans="1:9" x14ac:dyDescent="0.25">
      <c r="A3820">
        <v>295</v>
      </c>
      <c r="B3820" t="s">
        <v>1712</v>
      </c>
      <c r="C3820" t="s">
        <v>48</v>
      </c>
      <c r="D3820" t="s">
        <v>243</v>
      </c>
      <c r="E3820">
        <f t="shared" si="175"/>
        <v>1.7857142857142856E-2</v>
      </c>
      <c r="F3820">
        <v>131</v>
      </c>
      <c r="G3820">
        <f>LOG(382/(131+1))</f>
        <v>0.46148943170585888</v>
      </c>
      <c r="H3820">
        <f>0.0178571428571428*1.0626186860202</f>
        <v>1.8975333678932085E-2</v>
      </c>
      <c r="I3820">
        <v>1.897533367893222E-2</v>
      </c>
    </row>
    <row r="3821" spans="1:9" x14ac:dyDescent="0.25">
      <c r="A3821">
        <v>295</v>
      </c>
      <c r="B3821" t="s">
        <v>1712</v>
      </c>
      <c r="C3821" t="s">
        <v>48</v>
      </c>
      <c r="D3821" t="s">
        <v>1714</v>
      </c>
      <c r="E3821">
        <f t="shared" si="175"/>
        <v>1.7857142857142856E-2</v>
      </c>
      <c r="F3821">
        <v>9</v>
      </c>
      <c r="G3821">
        <f>LOG(382/(9+1))</f>
        <v>1.5820633629117087</v>
      </c>
      <c r="H3821">
        <f>0.0178571428571428*3.64283551561252</f>
        <v>6.5050634207366217E-2</v>
      </c>
      <c r="I3821">
        <v>6.5050634207366592E-2</v>
      </c>
    </row>
    <row r="3822" spans="1:9" x14ac:dyDescent="0.25">
      <c r="A3822">
        <v>295</v>
      </c>
      <c r="B3822" t="s">
        <v>1712</v>
      </c>
      <c r="C3822" t="s">
        <v>48</v>
      </c>
      <c r="D3822" t="s">
        <v>566</v>
      </c>
      <c r="E3822">
        <f t="shared" si="175"/>
        <v>1.7857142857142856E-2</v>
      </c>
      <c r="F3822">
        <v>8</v>
      </c>
      <c r="G3822">
        <f>LOG(382/(8+1))</f>
        <v>1.6278208534723839</v>
      </c>
      <c r="H3822">
        <f>0.0178571428571428*3.74819603127035</f>
        <v>6.6932071986970321E-2</v>
      </c>
      <c r="I3822">
        <v>6.693207198697064E-2</v>
      </c>
    </row>
    <row r="3823" spans="1:9" x14ac:dyDescent="0.25">
      <c r="A3823">
        <v>295</v>
      </c>
      <c r="B3823" t="s">
        <v>1712</v>
      </c>
      <c r="C3823" t="s">
        <v>48</v>
      </c>
      <c r="D3823" t="s">
        <v>1715</v>
      </c>
      <c r="E3823">
        <f t="shared" si="175"/>
        <v>1.7857142857142856E-2</v>
      </c>
      <c r="F3823">
        <v>1</v>
      </c>
      <c r="G3823">
        <f>LOG(382/(1+1))</f>
        <v>2.2810333672477277</v>
      </c>
      <c r="H3823">
        <f>0.0178571428571428*5.25227342804663</f>
        <v>9.3790596929403808E-2</v>
      </c>
      <c r="I3823">
        <v>9.3790596929404099E-2</v>
      </c>
    </row>
    <row r="3824" spans="1:9" x14ac:dyDescent="0.25">
      <c r="A3824">
        <v>295</v>
      </c>
      <c r="B3824" t="s">
        <v>1712</v>
      </c>
      <c r="C3824" t="s">
        <v>48</v>
      </c>
      <c r="D3824" t="s">
        <v>1716</v>
      </c>
      <c r="E3824">
        <f t="shared" si="175"/>
        <v>1.7857142857142856E-2</v>
      </c>
      <c r="F3824">
        <v>1</v>
      </c>
      <c r="G3824">
        <f>LOG(382/(1+1))</f>
        <v>2.2810333672477277</v>
      </c>
      <c r="H3824">
        <f>0.0178571428571428*5.25227342804663</f>
        <v>9.3790596929403808E-2</v>
      </c>
      <c r="I3824">
        <v>9.3790596929404099E-2</v>
      </c>
    </row>
    <row r="3825" spans="1:9" x14ac:dyDescent="0.25">
      <c r="A3825">
        <v>295</v>
      </c>
      <c r="B3825" t="s">
        <v>1712</v>
      </c>
      <c r="C3825" t="s">
        <v>48</v>
      </c>
      <c r="D3825" t="s">
        <v>1717</v>
      </c>
      <c r="E3825">
        <f t="shared" si="175"/>
        <v>1.7857142857142856E-2</v>
      </c>
      <c r="F3825">
        <v>1</v>
      </c>
      <c r="G3825">
        <f>LOG(382/(1+1))</f>
        <v>2.2810333672477277</v>
      </c>
      <c r="H3825">
        <f>0.0178571428571428*5.25227342804663</f>
        <v>9.3790596929403808E-2</v>
      </c>
      <c r="I3825">
        <v>9.3790596929404099E-2</v>
      </c>
    </row>
    <row r="3826" spans="1:9" x14ac:dyDescent="0.25">
      <c r="A3826">
        <v>295</v>
      </c>
      <c r="B3826" t="s">
        <v>1712</v>
      </c>
      <c r="C3826" t="s">
        <v>48</v>
      </c>
      <c r="D3826" t="s">
        <v>1718</v>
      </c>
      <c r="E3826">
        <f t="shared" si="175"/>
        <v>1.7857142857142856E-2</v>
      </c>
      <c r="F3826">
        <v>1</v>
      </c>
      <c r="G3826">
        <f>LOG(382/(1+1))</f>
        <v>2.2810333672477277</v>
      </c>
      <c r="H3826">
        <f>0.0178571428571428*5.25227342804663</f>
        <v>9.3790596929403808E-2</v>
      </c>
      <c r="I3826">
        <v>9.3790596929404099E-2</v>
      </c>
    </row>
    <row r="3827" spans="1:9" x14ac:dyDescent="0.25">
      <c r="A3827">
        <v>295</v>
      </c>
      <c r="B3827" t="s">
        <v>1712</v>
      </c>
      <c r="C3827" t="s">
        <v>48</v>
      </c>
      <c r="D3827" t="s">
        <v>953</v>
      </c>
      <c r="E3827">
        <f t="shared" si="175"/>
        <v>1.7857142857142856E-2</v>
      </c>
      <c r="F3827">
        <v>16</v>
      </c>
      <c r="G3827">
        <f>LOG(382/(16+1))</f>
        <v>1.3516144415334348</v>
      </c>
      <c r="H3827">
        <f>0.0178571428571428*3.11220726455035</f>
        <v>5.5575129724113215E-2</v>
      </c>
      <c r="I3827">
        <v>5.5575129724113548E-2</v>
      </c>
    </row>
    <row r="3828" spans="1:9" x14ac:dyDescent="0.25">
      <c r="A3828">
        <v>295</v>
      </c>
      <c r="B3828" t="s">
        <v>1712</v>
      </c>
      <c r="C3828" t="s">
        <v>48</v>
      </c>
      <c r="D3828" t="s">
        <v>1719</v>
      </c>
      <c r="E3828">
        <f t="shared" si="175"/>
        <v>1.7857142857142856E-2</v>
      </c>
      <c r="F3828">
        <v>1</v>
      </c>
      <c r="G3828">
        <f>LOG(382/(1+1))</f>
        <v>2.2810333672477277</v>
      </c>
      <c r="H3828">
        <f>0.0178571428571428*5.25227342804663</f>
        <v>9.3790596929403808E-2</v>
      </c>
      <c r="I3828">
        <v>9.3790596929404099E-2</v>
      </c>
    </row>
    <row r="3829" spans="1:9" x14ac:dyDescent="0.25">
      <c r="A3829">
        <v>295</v>
      </c>
      <c r="B3829" t="s">
        <v>1712</v>
      </c>
      <c r="C3829" t="s">
        <v>48</v>
      </c>
      <c r="D3829" t="s">
        <v>1720</v>
      </c>
      <c r="E3829">
        <f t="shared" si="175"/>
        <v>1.7857142857142856E-2</v>
      </c>
      <c r="F3829">
        <v>1</v>
      </c>
      <c r="G3829">
        <f>LOG(382/(1+1))</f>
        <v>2.2810333672477277</v>
      </c>
      <c r="H3829">
        <f>0.0178571428571428*5.25227342804663</f>
        <v>9.3790596929403808E-2</v>
      </c>
      <c r="I3829">
        <v>9.3790596929404099E-2</v>
      </c>
    </row>
    <row r="3830" spans="1:9" x14ac:dyDescent="0.25">
      <c r="A3830">
        <v>295</v>
      </c>
      <c r="B3830" t="s">
        <v>1712</v>
      </c>
      <c r="C3830" t="s">
        <v>48</v>
      </c>
      <c r="D3830" t="s">
        <v>473</v>
      </c>
      <c r="E3830">
        <f t="shared" si="175"/>
        <v>1.7857142857142856E-2</v>
      </c>
      <c r="F3830">
        <v>2</v>
      </c>
      <c r="G3830">
        <f>LOG(382/(2+1))</f>
        <v>2.1049421081920463</v>
      </c>
      <c r="H3830">
        <f>0.0178571428571428*4.84680831993846</f>
        <v>8.6550148570329374E-2</v>
      </c>
      <c r="I3830">
        <v>8.6550148570329735E-2</v>
      </c>
    </row>
    <row r="3831" spans="1:9" x14ac:dyDescent="0.25">
      <c r="A3831">
        <v>295</v>
      </c>
      <c r="B3831" t="s">
        <v>1712</v>
      </c>
      <c r="C3831" t="s">
        <v>48</v>
      </c>
      <c r="D3831" t="s">
        <v>1721</v>
      </c>
      <c r="E3831">
        <f t="shared" si="175"/>
        <v>1.7857142857142856E-2</v>
      </c>
      <c r="F3831">
        <v>1</v>
      </c>
      <c r="G3831">
        <f>LOG(382/(1+1))</f>
        <v>2.2810333672477277</v>
      </c>
      <c r="H3831">
        <f>0.0178571428571428*5.25227342804663</f>
        <v>9.3790596929403808E-2</v>
      </c>
      <c r="I3831">
        <v>9.3790596929404099E-2</v>
      </c>
    </row>
    <row r="3832" spans="1:9" x14ac:dyDescent="0.25">
      <c r="A3832">
        <v>295</v>
      </c>
      <c r="B3832" t="s">
        <v>1712</v>
      </c>
      <c r="C3832" t="s">
        <v>48</v>
      </c>
      <c r="D3832" t="s">
        <v>1722</v>
      </c>
      <c r="E3832">
        <f t="shared" si="175"/>
        <v>1.7857142857142856E-2</v>
      </c>
      <c r="F3832">
        <v>1</v>
      </c>
      <c r="G3832">
        <f>LOG(382/(1+1))</f>
        <v>2.2810333672477277</v>
      </c>
      <c r="H3832">
        <f>0.0178571428571428*5.25227342804663</f>
        <v>9.3790596929403808E-2</v>
      </c>
      <c r="I3832">
        <v>9.3790596929404099E-2</v>
      </c>
    </row>
    <row r="3833" spans="1:9" x14ac:dyDescent="0.25">
      <c r="A3833">
        <v>295</v>
      </c>
      <c r="B3833" t="s">
        <v>1712</v>
      </c>
      <c r="C3833" t="s">
        <v>48</v>
      </c>
      <c r="D3833" t="s">
        <v>1723</v>
      </c>
      <c r="E3833">
        <f t="shared" si="175"/>
        <v>1.7857142857142856E-2</v>
      </c>
      <c r="F3833">
        <v>1</v>
      </c>
      <c r="G3833">
        <f>LOG(382/(1+1))</f>
        <v>2.2810333672477277</v>
      </c>
      <c r="H3833">
        <f>0.0178571428571428*5.25227342804663</f>
        <v>9.3790596929403808E-2</v>
      </c>
      <c r="I3833">
        <v>9.3790596929404099E-2</v>
      </c>
    </row>
    <row r="3834" spans="1:9" x14ac:dyDescent="0.25">
      <c r="A3834">
        <v>295</v>
      </c>
      <c r="B3834" t="s">
        <v>1712</v>
      </c>
      <c r="C3834" t="s">
        <v>48</v>
      </c>
      <c r="D3834" t="s">
        <v>1073</v>
      </c>
      <c r="E3834">
        <f t="shared" si="175"/>
        <v>1.7857142857142856E-2</v>
      </c>
      <c r="F3834">
        <v>25</v>
      </c>
      <c r="G3834">
        <f>LOG(382/(25+1))</f>
        <v>1.1670900149408907</v>
      </c>
      <c r="H3834">
        <f>0.0178571428571428*2.68732407058509</f>
        <v>4.7987929831876455E-2</v>
      </c>
      <c r="I3834">
        <v>4.7987929831876663E-2</v>
      </c>
    </row>
    <row r="3835" spans="1:9" x14ac:dyDescent="0.25">
      <c r="A3835">
        <v>295</v>
      </c>
      <c r="B3835" t="s">
        <v>1712</v>
      </c>
      <c r="C3835" t="s">
        <v>48</v>
      </c>
      <c r="D3835" t="s">
        <v>542</v>
      </c>
      <c r="E3835">
        <f t="shared" si="175"/>
        <v>1.7857142857142856E-2</v>
      </c>
      <c r="F3835">
        <v>42</v>
      </c>
      <c r="G3835">
        <f>LOG(382/(42+1))</f>
        <v>0.94859490733212215</v>
      </c>
      <c r="H3835">
        <f>0.0178571428571428*2.18422049291301</f>
        <v>3.9003937373446478E-2</v>
      </c>
      <c r="I3835">
        <v>3.9003937373446658E-2</v>
      </c>
    </row>
    <row r="3836" spans="1:9" x14ac:dyDescent="0.25">
      <c r="A3836">
        <v>295</v>
      </c>
      <c r="B3836" t="s">
        <v>1712</v>
      </c>
      <c r="C3836" t="s">
        <v>48</v>
      </c>
      <c r="D3836" t="s">
        <v>1724</v>
      </c>
      <c r="E3836">
        <f t="shared" si="175"/>
        <v>1.7857142857142856E-2</v>
      </c>
      <c r="F3836">
        <v>1</v>
      </c>
      <c r="G3836">
        <f>LOG(382/(1+1))</f>
        <v>2.2810333672477277</v>
      </c>
      <c r="H3836">
        <f>0.0178571428571428*5.25227342804663</f>
        <v>9.3790596929403808E-2</v>
      </c>
      <c r="I3836">
        <v>9.3790596929404099E-2</v>
      </c>
    </row>
    <row r="3837" spans="1:9" x14ac:dyDescent="0.25">
      <c r="A3837">
        <v>295</v>
      </c>
      <c r="B3837" t="s">
        <v>1712</v>
      </c>
      <c r="C3837" t="s">
        <v>48</v>
      </c>
      <c r="D3837" t="s">
        <v>1725</v>
      </c>
      <c r="E3837">
        <f t="shared" si="175"/>
        <v>1.7857142857142856E-2</v>
      </c>
      <c r="F3837">
        <v>1</v>
      </c>
      <c r="G3837">
        <f>LOG(382/(1+1))</f>
        <v>2.2810333672477277</v>
      </c>
      <c r="H3837">
        <f>0.0178571428571428*5.25227342804663</f>
        <v>9.3790596929403808E-2</v>
      </c>
      <c r="I3837">
        <v>9.3790596929404099E-2</v>
      </c>
    </row>
    <row r="3838" spans="1:9" x14ac:dyDescent="0.25">
      <c r="A3838">
        <v>296</v>
      </c>
      <c r="B3838" t="s">
        <v>1726</v>
      </c>
      <c r="C3838" t="s">
        <v>48</v>
      </c>
      <c r="D3838" t="s">
        <v>147</v>
      </c>
      <c r="E3838">
        <f>5/142</f>
        <v>3.5211267605633804E-2</v>
      </c>
      <c r="F3838">
        <v>48</v>
      </c>
      <c r="G3838">
        <f>LOG(382/(48+1))</f>
        <v>0.89186728288319506</v>
      </c>
      <c r="H3838">
        <f>0.0352112676056338*2.05360031049594</f>
        <v>7.2309870087885197E-2</v>
      </c>
      <c r="I3838">
        <v>7.230987008788553E-2</v>
      </c>
    </row>
    <row r="3839" spans="1:9" x14ac:dyDescent="0.25">
      <c r="A3839">
        <v>296</v>
      </c>
      <c r="B3839" t="s">
        <v>1726</v>
      </c>
      <c r="C3839" t="s">
        <v>48</v>
      </c>
      <c r="D3839" t="s">
        <v>642</v>
      </c>
      <c r="E3839">
        <f>3/142</f>
        <v>2.1126760563380281E-2</v>
      </c>
      <c r="F3839">
        <v>2</v>
      </c>
      <c r="G3839">
        <f>LOG(382/(2+1))</f>
        <v>2.1049421081920463</v>
      </c>
      <c r="H3839">
        <f>0.0211267605633802*4.84680831993846</f>
        <v>0.1023973588719389</v>
      </c>
      <c r="I3839">
        <v>0.1023973588719394</v>
      </c>
    </row>
    <row r="3840" spans="1:9" x14ac:dyDescent="0.25">
      <c r="A3840">
        <v>296</v>
      </c>
      <c r="B3840" t="s">
        <v>1726</v>
      </c>
      <c r="C3840" t="s">
        <v>48</v>
      </c>
      <c r="D3840" t="s">
        <v>548</v>
      </c>
      <c r="E3840">
        <f>3/142</f>
        <v>2.1126760563380281E-2</v>
      </c>
      <c r="F3840">
        <v>3</v>
      </c>
      <c r="G3840">
        <f>LOG(382/(3+1))</f>
        <v>1.9800033715837464</v>
      </c>
      <c r="H3840">
        <f>0.0211267605633802*4.55912624748668</f>
        <v>9.6319568608873155E-2</v>
      </c>
      <c r="I3840">
        <v>9.6319568608873612E-2</v>
      </c>
    </row>
    <row r="3841" spans="1:9" x14ac:dyDescent="0.25">
      <c r="A3841">
        <v>296</v>
      </c>
      <c r="B3841" t="s">
        <v>1726</v>
      </c>
      <c r="C3841" t="s">
        <v>48</v>
      </c>
      <c r="D3841" t="s">
        <v>552</v>
      </c>
      <c r="E3841">
        <f>1/142</f>
        <v>7.0422535211267607E-3</v>
      </c>
      <c r="F3841">
        <v>14</v>
      </c>
      <c r="G3841">
        <f>LOG(382/(14+1))</f>
        <v>1.4059721038560276</v>
      </c>
      <c r="H3841">
        <f>0.00704225352112676*3.23737040750436</f>
        <v>2.2798383151439151E-2</v>
      </c>
      <c r="I3841">
        <v>2.279838315143919E-2</v>
      </c>
    </row>
    <row r="3842" spans="1:9" x14ac:dyDescent="0.25">
      <c r="A3842">
        <v>296</v>
      </c>
      <c r="B3842" t="s">
        <v>1726</v>
      </c>
      <c r="C3842" t="s">
        <v>48</v>
      </c>
      <c r="D3842" t="s">
        <v>1727</v>
      </c>
      <c r="E3842">
        <f>4/142</f>
        <v>2.8169014084507043E-2</v>
      </c>
      <c r="F3842">
        <v>27</v>
      </c>
      <c r="G3842">
        <f>LOG(382/(27+1))</f>
        <v>1.1349053315694895</v>
      </c>
      <c r="H3842">
        <f>0.028169014084507*2.61321609843137</f>
        <v>7.3611721082573703E-2</v>
      </c>
      <c r="I3842">
        <v>7.3611721082573828E-2</v>
      </c>
    </row>
    <row r="3843" spans="1:9" x14ac:dyDescent="0.25">
      <c r="A3843">
        <v>296</v>
      </c>
      <c r="B3843" t="s">
        <v>1726</v>
      </c>
      <c r="C3843" t="s">
        <v>48</v>
      </c>
      <c r="D3843" t="s">
        <v>19</v>
      </c>
      <c r="E3843">
        <f>1/142</f>
        <v>7.0422535211267607E-3</v>
      </c>
      <c r="F3843">
        <v>220</v>
      </c>
      <c r="G3843">
        <f>LOG(382/(220+1))</f>
        <v>0.23767108922659805</v>
      </c>
      <c r="H3843">
        <f>0.00704225352112676*0.547257907088822</f>
        <v>3.8539289231607184E-3</v>
      </c>
      <c r="I3843">
        <v>3.853928923160721E-3</v>
      </c>
    </row>
    <row r="3844" spans="1:9" x14ac:dyDescent="0.25">
      <c r="A3844">
        <v>296</v>
      </c>
      <c r="B3844" t="s">
        <v>1726</v>
      </c>
      <c r="C3844" t="s">
        <v>48</v>
      </c>
      <c r="D3844" t="s">
        <v>195</v>
      </c>
      <c r="E3844">
        <f>1/142</f>
        <v>7.0422535211267607E-3</v>
      </c>
      <c r="F3844">
        <v>55</v>
      </c>
      <c r="G3844">
        <f>LOG(382/(55+1))</f>
        <v>0.83387533590550833</v>
      </c>
      <c r="H3844">
        <f>0.00704225352112676*1.92006891787142</f>
        <v>1.3521612097686056E-2</v>
      </c>
      <c r="I3844">
        <v>1.3521612097686099E-2</v>
      </c>
    </row>
    <row r="3845" spans="1:9" x14ac:dyDescent="0.25">
      <c r="A3845">
        <v>296</v>
      </c>
      <c r="B3845" t="s">
        <v>1726</v>
      </c>
      <c r="C3845" t="s">
        <v>48</v>
      </c>
      <c r="D3845" t="s">
        <v>22</v>
      </c>
      <c r="E3845">
        <f>2/142</f>
        <v>1.4084507042253521E-2</v>
      </c>
      <c r="F3845">
        <v>259</v>
      </c>
      <c r="G3845">
        <f>LOG(382/(259+1))</f>
        <v>0.16709001494089079</v>
      </c>
      <c r="H3845">
        <f>0.0140845070422535*0.384738977591047</f>
        <v>5.4188588393105138E-3</v>
      </c>
      <c r="I3845">
        <v>5.4188588393105294E-3</v>
      </c>
    </row>
    <row r="3846" spans="1:9" x14ac:dyDescent="0.25">
      <c r="A3846">
        <v>296</v>
      </c>
      <c r="B3846" t="s">
        <v>1726</v>
      </c>
      <c r="C3846" t="s">
        <v>48</v>
      </c>
      <c r="D3846" t="s">
        <v>23</v>
      </c>
      <c r="E3846">
        <f>2/142</f>
        <v>1.4084507042253521E-2</v>
      </c>
      <c r="F3846">
        <v>275</v>
      </c>
      <c r="G3846">
        <f>LOG(382/(275+1))</f>
        <v>0.14115428084649101</v>
      </c>
      <c r="H3846">
        <f>0.0140845070422535*0.325019742889425</f>
        <v>4.5777428575975287E-3</v>
      </c>
      <c r="I3846">
        <v>4.5777428575975374E-3</v>
      </c>
    </row>
    <row r="3847" spans="1:9" x14ac:dyDescent="0.25">
      <c r="A3847">
        <v>296</v>
      </c>
      <c r="B3847" t="s">
        <v>1726</v>
      </c>
      <c r="C3847" t="s">
        <v>48</v>
      </c>
      <c r="D3847" t="s">
        <v>38</v>
      </c>
      <c r="E3847">
        <f>1/142</f>
        <v>7.0422535211267607E-3</v>
      </c>
      <c r="F3847">
        <v>86</v>
      </c>
      <c r="G3847">
        <f>LOG(382/(86+1))</f>
        <v>0.64254411029309022</v>
      </c>
      <c r="H3847">
        <f>0.00704225352112676*1.47951248995199</f>
        <v>1.0419102041915422E-2</v>
      </c>
      <c r="I3847">
        <v>1.0419102041915431E-2</v>
      </c>
    </row>
    <row r="3848" spans="1:9" x14ac:dyDescent="0.25">
      <c r="A3848">
        <v>296</v>
      </c>
      <c r="B3848" t="s">
        <v>1726</v>
      </c>
      <c r="C3848" t="s">
        <v>48</v>
      </c>
      <c r="D3848" t="s">
        <v>215</v>
      </c>
      <c r="E3848">
        <f>2/142</f>
        <v>1.4084507042253521E-2</v>
      </c>
      <c r="F3848">
        <v>25</v>
      </c>
      <c r="G3848">
        <f>LOG(382/(25+1))</f>
        <v>1.1670900149408907</v>
      </c>
      <c r="H3848">
        <f>0.0140845070422535*2.68732407058509</f>
        <v>3.7849634796973043E-2</v>
      </c>
      <c r="I3848">
        <v>3.7849634796973147E-2</v>
      </c>
    </row>
    <row r="3849" spans="1:9" x14ac:dyDescent="0.25">
      <c r="A3849">
        <v>296</v>
      </c>
      <c r="B3849" t="s">
        <v>1726</v>
      </c>
      <c r="C3849" t="s">
        <v>48</v>
      </c>
      <c r="D3849" t="s">
        <v>216</v>
      </c>
      <c r="E3849">
        <f>2/142</f>
        <v>1.4084507042253521E-2</v>
      </c>
      <c r="F3849">
        <v>63</v>
      </c>
      <c r="G3849">
        <f>LOG(382/(63+1))</f>
        <v>0.7758833889278216</v>
      </c>
      <c r="H3849">
        <f>0.0140845070422535*1.7865375252469</f>
        <v>2.5162500355590103E-2</v>
      </c>
      <c r="I3849">
        <v>2.516250035559019E-2</v>
      </c>
    </row>
    <row r="3850" spans="1:9" x14ac:dyDescent="0.25">
      <c r="A3850">
        <v>296</v>
      </c>
      <c r="B3850" t="s">
        <v>1726</v>
      </c>
      <c r="C3850" t="s">
        <v>48</v>
      </c>
      <c r="D3850" t="s">
        <v>39</v>
      </c>
      <c r="E3850">
        <f>1/142</f>
        <v>7.0422535211267607E-3</v>
      </c>
      <c r="F3850">
        <v>145</v>
      </c>
      <c r="G3850">
        <f>LOG(382/(145+1))</f>
        <v>0.41771050712727159</v>
      </c>
      <c r="H3850">
        <f>0.00704225352112676*0.961813986898238</f>
        <v>6.7733379359030841E-3</v>
      </c>
      <c r="I3850">
        <v>6.7733379359030893E-3</v>
      </c>
    </row>
    <row r="3851" spans="1:9" x14ac:dyDescent="0.25">
      <c r="A3851">
        <v>296</v>
      </c>
      <c r="B3851" t="s">
        <v>1726</v>
      </c>
      <c r="C3851" t="s">
        <v>48</v>
      </c>
      <c r="D3851" t="s">
        <v>465</v>
      </c>
      <c r="E3851">
        <f>1/142</f>
        <v>7.0422535211267607E-3</v>
      </c>
      <c r="F3851">
        <v>36</v>
      </c>
      <c r="G3851">
        <f>LOG(382/(36+1))</f>
        <v>1.0138616388447137</v>
      </c>
      <c r="H3851">
        <f>0.00704225352112676*2.33450269596235</f>
        <v>1.6440159830720773E-2</v>
      </c>
      <c r="I3851">
        <v>1.644015983072078E-2</v>
      </c>
    </row>
    <row r="3852" spans="1:9" x14ac:dyDescent="0.25">
      <c r="A3852">
        <v>296</v>
      </c>
      <c r="B3852" t="s">
        <v>1726</v>
      </c>
      <c r="C3852" t="s">
        <v>48</v>
      </c>
      <c r="D3852" t="s">
        <v>40</v>
      </c>
      <c r="E3852">
        <f>5/142</f>
        <v>3.5211267605633804E-2</v>
      </c>
      <c r="F3852">
        <v>159</v>
      </c>
      <c r="G3852">
        <f>LOG(382/(159+1))</f>
        <v>0.377943380255784</v>
      </c>
      <c r="H3852">
        <f>0.0352112676056338*0.870246793372748</f>
        <v>3.0642492724392532E-2</v>
      </c>
      <c r="I3852">
        <v>3.064249272439255E-2</v>
      </c>
    </row>
    <row r="3853" spans="1:9" x14ac:dyDescent="0.25">
      <c r="A3853">
        <v>296</v>
      </c>
      <c r="B3853" t="s">
        <v>1726</v>
      </c>
      <c r="C3853" t="s">
        <v>48</v>
      </c>
      <c r="D3853" t="s">
        <v>41</v>
      </c>
      <c r="E3853">
        <f>5/142</f>
        <v>3.5211267605633804E-2</v>
      </c>
      <c r="F3853">
        <v>195</v>
      </c>
      <c r="G3853">
        <f>LOG(382/(195+1))</f>
        <v>0.28980729155523272</v>
      </c>
      <c r="H3853">
        <f>0.0352112676056338*0.667305949376058</f>
        <v>2.3496688358311899E-2</v>
      </c>
      <c r="I3853">
        <v>2.3496688358311899E-2</v>
      </c>
    </row>
    <row r="3854" spans="1:9" x14ac:dyDescent="0.25">
      <c r="A3854">
        <v>296</v>
      </c>
      <c r="B3854" t="s">
        <v>1726</v>
      </c>
      <c r="C3854" t="s">
        <v>48</v>
      </c>
      <c r="D3854" t="s">
        <v>1125</v>
      </c>
      <c r="E3854">
        <f>1/142</f>
        <v>7.0422535211267607E-3</v>
      </c>
      <c r="F3854">
        <v>19</v>
      </c>
      <c r="G3854">
        <f>LOG(382/(19+1))</f>
        <v>1.2810333672477277</v>
      </c>
      <c r="H3854">
        <f>0.00704225352112676*2.94968833505258</f>
        <v>2.077245306375056E-2</v>
      </c>
      <c r="I3854">
        <v>2.0772453063750591E-2</v>
      </c>
    </row>
    <row r="3855" spans="1:9" x14ac:dyDescent="0.25">
      <c r="A3855">
        <v>296</v>
      </c>
      <c r="B3855" t="s">
        <v>1726</v>
      </c>
      <c r="C3855" t="s">
        <v>48</v>
      </c>
      <c r="D3855" t="s">
        <v>89</v>
      </c>
      <c r="E3855">
        <f>2/142</f>
        <v>1.4084507042253521E-2</v>
      </c>
      <c r="F3855">
        <v>40</v>
      </c>
      <c r="G3855">
        <f>LOG(382/(40+1))</f>
        <v>0.96927950619197323</v>
      </c>
      <c r="H3855">
        <f>0.0140845070422535*2.23184854190226</f>
        <v>3.1434486505665583E-2</v>
      </c>
      <c r="I3855">
        <v>3.1434486505665743E-2</v>
      </c>
    </row>
    <row r="3856" spans="1:9" x14ac:dyDescent="0.25">
      <c r="A3856">
        <v>296</v>
      </c>
      <c r="B3856" t="s">
        <v>1726</v>
      </c>
      <c r="C3856" t="s">
        <v>48</v>
      </c>
      <c r="D3856" t="s">
        <v>126</v>
      </c>
      <c r="E3856">
        <f>5/142</f>
        <v>3.5211267605633804E-2</v>
      </c>
      <c r="F3856">
        <v>79</v>
      </c>
      <c r="G3856">
        <f>LOG(382/(79+1))</f>
        <v>0.67897337591976514</v>
      </c>
      <c r="H3856">
        <f>0.0352112676056338*1.56339397393269</f>
        <v>5.5049083589179218E-2</v>
      </c>
      <c r="I3856">
        <v>5.5049083589179357E-2</v>
      </c>
    </row>
    <row r="3857" spans="1:9" x14ac:dyDescent="0.25">
      <c r="A3857">
        <v>296</v>
      </c>
      <c r="B3857" t="s">
        <v>1726</v>
      </c>
      <c r="C3857" t="s">
        <v>48</v>
      </c>
      <c r="D3857" t="s">
        <v>50</v>
      </c>
      <c r="E3857">
        <f>5/142</f>
        <v>3.5211267605633804E-2</v>
      </c>
      <c r="F3857">
        <v>109</v>
      </c>
      <c r="G3857">
        <f>LOG(382/(109+1))</f>
        <v>0.54067067775348365</v>
      </c>
      <c r="H3857">
        <f>0.0352112676056338*1.24494024281415</f>
        <v>4.3835924042751759E-2</v>
      </c>
      <c r="I3857">
        <v>4.3835924042752078E-2</v>
      </c>
    </row>
    <row r="3858" spans="1:9" x14ac:dyDescent="0.25">
      <c r="A3858">
        <v>296</v>
      </c>
      <c r="B3858" t="s">
        <v>1726</v>
      </c>
      <c r="C3858" t="s">
        <v>48</v>
      </c>
      <c r="D3858" t="s">
        <v>408</v>
      </c>
      <c r="E3858">
        <f>2/142</f>
        <v>1.4084507042253521E-2</v>
      </c>
      <c r="F3858">
        <v>27</v>
      </c>
      <c r="G3858">
        <f>LOG(382/(27+1))</f>
        <v>1.1349053315694895</v>
      </c>
      <c r="H3858">
        <f>0.0140845070422535*2.61321609843137</f>
        <v>3.6805860541286851E-2</v>
      </c>
      <c r="I3858">
        <v>3.6805860541286907E-2</v>
      </c>
    </row>
    <row r="3859" spans="1:9" x14ac:dyDescent="0.25">
      <c r="A3859">
        <v>296</v>
      </c>
      <c r="B3859" t="s">
        <v>1726</v>
      </c>
      <c r="C3859" t="s">
        <v>48</v>
      </c>
      <c r="D3859" t="s">
        <v>1728</v>
      </c>
      <c r="E3859">
        <f>2/142</f>
        <v>1.4084507042253521E-2</v>
      </c>
      <c r="F3859">
        <v>2</v>
      </c>
      <c r="G3859">
        <f>LOG(382/(2+1))</f>
        <v>2.1049421081920463</v>
      </c>
      <c r="H3859">
        <f>0.0140845070422535*4.84680831993846</f>
        <v>6.8264905914626098E-2</v>
      </c>
      <c r="I3859">
        <v>6.8264905914626278E-2</v>
      </c>
    </row>
    <row r="3860" spans="1:9" x14ac:dyDescent="0.25">
      <c r="A3860">
        <v>296</v>
      </c>
      <c r="B3860" t="s">
        <v>1726</v>
      </c>
      <c r="C3860" t="s">
        <v>48</v>
      </c>
      <c r="D3860" t="s">
        <v>81</v>
      </c>
      <c r="E3860">
        <f>2/142</f>
        <v>1.4084507042253521E-2</v>
      </c>
      <c r="F3860">
        <v>114</v>
      </c>
      <c r="G3860">
        <f>LOG(382/(114+1))</f>
        <v>0.52136552255809698</v>
      </c>
      <c r="H3860">
        <f>0.0140845070422535*1.20048848024332</f>
        <v>1.6908288454131244E-2</v>
      </c>
      <c r="I3860">
        <v>1.6908288454131341E-2</v>
      </c>
    </row>
    <row r="3861" spans="1:9" x14ac:dyDescent="0.25">
      <c r="A3861">
        <v>296</v>
      </c>
      <c r="B3861" t="s">
        <v>1726</v>
      </c>
      <c r="C3861" t="s">
        <v>48</v>
      </c>
      <c r="D3861" t="s">
        <v>82</v>
      </c>
      <c r="E3861">
        <f>2/142</f>
        <v>1.4084507042253521E-2</v>
      </c>
      <c r="F3861">
        <v>92</v>
      </c>
      <c r="G3861">
        <f>LOG(382/(92+1))</f>
        <v>0.61358041435777355</v>
      </c>
      <c r="H3861">
        <f>0.0140845070422535*1.41282111545331</f>
        <v>1.989888895004659E-2</v>
      </c>
      <c r="I3861">
        <v>1.989888895004675E-2</v>
      </c>
    </row>
    <row r="3862" spans="1:9" x14ac:dyDescent="0.25">
      <c r="A3862">
        <v>296</v>
      </c>
      <c r="B3862" t="s">
        <v>1726</v>
      </c>
      <c r="C3862" t="s">
        <v>48</v>
      </c>
      <c r="D3862" t="s">
        <v>1729</v>
      </c>
      <c r="E3862">
        <f t="shared" ref="E3862:E3877" si="176">1/142</f>
        <v>7.0422535211267607E-3</v>
      </c>
      <c r="F3862">
        <v>7</v>
      </c>
      <c r="G3862">
        <f>LOG(382/(7+1))</f>
        <v>1.6789733759197651</v>
      </c>
      <c r="H3862">
        <f>0.00704225352112676*3.86597906692673</f>
        <v>2.7225204696667112E-2</v>
      </c>
      <c r="I3862">
        <v>2.7225204696667182E-2</v>
      </c>
    </row>
    <row r="3863" spans="1:9" x14ac:dyDescent="0.25">
      <c r="A3863">
        <v>296</v>
      </c>
      <c r="B3863" t="s">
        <v>1726</v>
      </c>
      <c r="C3863" t="s">
        <v>48</v>
      </c>
      <c r="D3863" t="s">
        <v>1730</v>
      </c>
      <c r="E3863">
        <f t="shared" si="176"/>
        <v>7.0422535211267607E-3</v>
      </c>
      <c r="F3863">
        <v>35</v>
      </c>
      <c r="G3863">
        <f>LOG(382/(35+1))</f>
        <v>1.0257608621444214</v>
      </c>
      <c r="H3863">
        <f>0.00704225352112676*2.36190167015046</f>
        <v>1.6633110353172251E-2</v>
      </c>
      <c r="I3863">
        <v>1.663311035317229E-2</v>
      </c>
    </row>
    <row r="3864" spans="1:9" x14ac:dyDescent="0.25">
      <c r="A3864">
        <v>296</v>
      </c>
      <c r="B3864" t="s">
        <v>1726</v>
      </c>
      <c r="C3864" t="s">
        <v>48</v>
      </c>
      <c r="D3864" t="s">
        <v>1731</v>
      </c>
      <c r="E3864">
        <f t="shared" si="176"/>
        <v>7.0422535211267607E-3</v>
      </c>
      <c r="F3864">
        <v>15</v>
      </c>
      <c r="G3864">
        <f>LOG(382/(15+1))</f>
        <v>1.3779433802557839</v>
      </c>
      <c r="H3864">
        <f>0.00704225352112676*3.17283188636679</f>
        <v>2.2343886523709788E-2</v>
      </c>
      <c r="I3864">
        <v>2.2343886523709819E-2</v>
      </c>
    </row>
    <row r="3865" spans="1:9" x14ac:dyDescent="0.25">
      <c r="A3865">
        <v>296</v>
      </c>
      <c r="B3865" t="s">
        <v>1726</v>
      </c>
      <c r="C3865" t="s">
        <v>48</v>
      </c>
      <c r="D3865" t="s">
        <v>1550</v>
      </c>
      <c r="E3865">
        <f t="shared" si="176"/>
        <v>7.0422535211267607E-3</v>
      </c>
      <c r="F3865">
        <v>16</v>
      </c>
      <c r="G3865">
        <f>LOG(382/(16+1))</f>
        <v>1.3516144415334348</v>
      </c>
      <c r="H3865">
        <f>0.00704225352112676*3.11220726455035</f>
        <v>2.1916952567255982E-2</v>
      </c>
      <c r="I3865">
        <v>2.1916952567256051E-2</v>
      </c>
    </row>
    <row r="3866" spans="1:9" x14ac:dyDescent="0.25">
      <c r="A3866">
        <v>296</v>
      </c>
      <c r="B3866" t="s">
        <v>1726</v>
      </c>
      <c r="C3866" t="s">
        <v>48</v>
      </c>
      <c r="D3866" t="s">
        <v>1551</v>
      </c>
      <c r="E3866">
        <f t="shared" si="176"/>
        <v>7.0422535211267607E-3</v>
      </c>
      <c r="F3866">
        <v>15</v>
      </c>
      <c r="G3866">
        <f>LOG(382/(15+1))</f>
        <v>1.3779433802557839</v>
      </c>
      <c r="H3866">
        <f>0.00704225352112676*3.17283188636679</f>
        <v>2.2343886523709788E-2</v>
      </c>
      <c r="I3866">
        <v>2.2343886523709819E-2</v>
      </c>
    </row>
    <row r="3867" spans="1:9" x14ac:dyDescent="0.25">
      <c r="A3867">
        <v>296</v>
      </c>
      <c r="B3867" t="s">
        <v>1726</v>
      </c>
      <c r="C3867" t="s">
        <v>48</v>
      </c>
      <c r="D3867" t="s">
        <v>1732</v>
      </c>
      <c r="E3867">
        <f t="shared" si="176"/>
        <v>7.0422535211267607E-3</v>
      </c>
      <c r="F3867">
        <v>16</v>
      </c>
      <c r="G3867">
        <f>LOG(382/(16+1))</f>
        <v>1.3516144415334348</v>
      </c>
      <c r="H3867">
        <f>0.00704225352112676*3.11220726455035</f>
        <v>2.1916952567255982E-2</v>
      </c>
      <c r="I3867">
        <v>2.1916952567256051E-2</v>
      </c>
    </row>
    <row r="3868" spans="1:9" x14ac:dyDescent="0.25">
      <c r="A3868">
        <v>296</v>
      </c>
      <c r="B3868" t="s">
        <v>1726</v>
      </c>
      <c r="C3868" t="s">
        <v>48</v>
      </c>
      <c r="D3868" t="s">
        <v>1733</v>
      </c>
      <c r="E3868">
        <f t="shared" si="176"/>
        <v>7.0422535211267607E-3</v>
      </c>
      <c r="F3868">
        <v>19</v>
      </c>
      <c r="G3868">
        <f>LOG(382/(19+1))</f>
        <v>1.2810333672477277</v>
      </c>
      <c r="H3868">
        <f>0.00704225352112676*2.94968833505258</f>
        <v>2.077245306375056E-2</v>
      </c>
      <c r="I3868">
        <v>2.0772453063750591E-2</v>
      </c>
    </row>
    <row r="3869" spans="1:9" x14ac:dyDescent="0.25">
      <c r="A3869">
        <v>296</v>
      </c>
      <c r="B3869" t="s">
        <v>1726</v>
      </c>
      <c r="C3869" t="s">
        <v>48</v>
      </c>
      <c r="D3869" t="s">
        <v>1734</v>
      </c>
      <c r="E3869">
        <f t="shared" si="176"/>
        <v>7.0422535211267607E-3</v>
      </c>
      <c r="F3869">
        <v>1</v>
      </c>
      <c r="G3869">
        <f>LOG(382/(1+1))</f>
        <v>2.2810333672477277</v>
      </c>
      <c r="H3869">
        <f>0.00704225352112676*5.25227342804663</f>
        <v>3.6987841042581897E-2</v>
      </c>
      <c r="I3869">
        <v>3.6987841042581897E-2</v>
      </c>
    </row>
    <row r="3870" spans="1:9" x14ac:dyDescent="0.25">
      <c r="A3870">
        <v>296</v>
      </c>
      <c r="B3870" t="s">
        <v>1726</v>
      </c>
      <c r="C3870" t="s">
        <v>48</v>
      </c>
      <c r="D3870" t="s">
        <v>98</v>
      </c>
      <c r="E3870">
        <f t="shared" si="176"/>
        <v>7.0422535211267607E-3</v>
      </c>
      <c r="F3870">
        <v>56</v>
      </c>
      <c r="G3870">
        <f>LOG(382/(56+1))</f>
        <v>0.82618850723921733</v>
      </c>
      <c r="H3870">
        <f>0.00704225352112676*1.90236934077202</f>
        <v>1.339696718853535E-2</v>
      </c>
      <c r="I3870">
        <v>1.339696718853539E-2</v>
      </c>
    </row>
    <row r="3871" spans="1:9" x14ac:dyDescent="0.25">
      <c r="A3871">
        <v>296</v>
      </c>
      <c r="B3871" t="s">
        <v>1726</v>
      </c>
      <c r="C3871" t="s">
        <v>48</v>
      </c>
      <c r="D3871" t="s">
        <v>1735</v>
      </c>
      <c r="E3871">
        <f t="shared" si="176"/>
        <v>7.0422535211267607E-3</v>
      </c>
      <c r="F3871">
        <v>2</v>
      </c>
      <c r="G3871">
        <f>LOG(382/(2+1))</f>
        <v>2.1049421081920463</v>
      </c>
      <c r="H3871">
        <f>0.00704225352112676*4.84680831993846</f>
        <v>3.4132452957313097E-2</v>
      </c>
      <c r="I3871">
        <v>3.4132452957313139E-2</v>
      </c>
    </row>
    <row r="3872" spans="1:9" x14ac:dyDescent="0.25">
      <c r="A3872">
        <v>296</v>
      </c>
      <c r="B3872" t="s">
        <v>1726</v>
      </c>
      <c r="C3872" t="s">
        <v>48</v>
      </c>
      <c r="D3872" t="s">
        <v>1736</v>
      </c>
      <c r="E3872">
        <f t="shared" si="176"/>
        <v>7.0422535211267607E-3</v>
      </c>
      <c r="F3872">
        <v>1</v>
      </c>
      <c r="G3872">
        <f>LOG(382/(1+1))</f>
        <v>2.2810333672477277</v>
      </c>
      <c r="H3872">
        <f>0.00704225352112676*5.25227342804663</f>
        <v>3.6987841042581897E-2</v>
      </c>
      <c r="I3872">
        <v>3.6987841042581897E-2</v>
      </c>
    </row>
    <row r="3873" spans="1:9" x14ac:dyDescent="0.25">
      <c r="A3873">
        <v>296</v>
      </c>
      <c r="B3873" t="s">
        <v>1726</v>
      </c>
      <c r="C3873" t="s">
        <v>48</v>
      </c>
      <c r="D3873" t="s">
        <v>1737</v>
      </c>
      <c r="E3873">
        <f t="shared" si="176"/>
        <v>7.0422535211267607E-3</v>
      </c>
      <c r="F3873">
        <v>1</v>
      </c>
      <c r="G3873">
        <f>LOG(382/(1+1))</f>
        <v>2.2810333672477277</v>
      </c>
      <c r="H3873">
        <f>0.00704225352112676*5.25227342804663</f>
        <v>3.6987841042581897E-2</v>
      </c>
      <c r="I3873">
        <v>3.6987841042581897E-2</v>
      </c>
    </row>
    <row r="3874" spans="1:9" x14ac:dyDescent="0.25">
      <c r="A3874">
        <v>296</v>
      </c>
      <c r="B3874" t="s">
        <v>1726</v>
      </c>
      <c r="C3874" t="s">
        <v>48</v>
      </c>
      <c r="D3874" t="s">
        <v>1549</v>
      </c>
      <c r="E3874">
        <f t="shared" si="176"/>
        <v>7.0422535211267607E-3</v>
      </c>
      <c r="F3874">
        <v>5</v>
      </c>
      <c r="G3874">
        <f>LOG(382/(5+1))</f>
        <v>1.803912112528065</v>
      </c>
      <c r="H3874">
        <f>0.00704225352112676*4.15366113937852</f>
        <v>2.9251134784355769E-2</v>
      </c>
      <c r="I3874">
        <v>2.9251134784355769E-2</v>
      </c>
    </row>
    <row r="3875" spans="1:9" x14ac:dyDescent="0.25">
      <c r="A3875">
        <v>296</v>
      </c>
      <c r="B3875" t="s">
        <v>1726</v>
      </c>
      <c r="C3875" t="s">
        <v>48</v>
      </c>
      <c r="D3875" t="s">
        <v>1738</v>
      </c>
      <c r="E3875">
        <f t="shared" si="176"/>
        <v>7.0422535211267607E-3</v>
      </c>
      <c r="F3875">
        <v>24</v>
      </c>
      <c r="G3875">
        <f>LOG(382/(24+1))</f>
        <v>1.1841233542396712</v>
      </c>
      <c r="H3875">
        <f>0.00704225352112676*2.72654478373837</f>
        <v>1.9201019603791336E-2</v>
      </c>
      <c r="I3875">
        <v>1.9201019603791371E-2</v>
      </c>
    </row>
    <row r="3876" spans="1:9" x14ac:dyDescent="0.25">
      <c r="A3876">
        <v>296</v>
      </c>
      <c r="B3876" t="s">
        <v>1726</v>
      </c>
      <c r="C3876" t="s">
        <v>48</v>
      </c>
      <c r="D3876" t="s">
        <v>1739</v>
      </c>
      <c r="E3876">
        <f t="shared" si="176"/>
        <v>7.0422535211267607E-3</v>
      </c>
      <c r="F3876">
        <v>30</v>
      </c>
      <c r="G3876">
        <f>LOG(382/(30+1))</f>
        <v>1.090701669077436</v>
      </c>
      <c r="H3876">
        <f>0.00704225352112676*2.51143340412142</f>
        <v>1.7686150733249435E-2</v>
      </c>
      <c r="I3876">
        <v>1.76861507332495E-2</v>
      </c>
    </row>
    <row r="3877" spans="1:9" x14ac:dyDescent="0.25">
      <c r="A3877">
        <v>296</v>
      </c>
      <c r="B3877" t="s">
        <v>1726</v>
      </c>
      <c r="C3877" t="s">
        <v>48</v>
      </c>
      <c r="D3877" t="s">
        <v>1740</v>
      </c>
      <c r="E3877">
        <f t="shared" si="176"/>
        <v>7.0422535211267607E-3</v>
      </c>
      <c r="F3877">
        <v>5</v>
      </c>
      <c r="G3877">
        <f>LOG(382/(5+1))</f>
        <v>1.803912112528065</v>
      </c>
      <c r="H3877">
        <f>0.00704225352112676*4.15366113937852</f>
        <v>2.9251134784355769E-2</v>
      </c>
      <c r="I3877">
        <v>2.9251134784355769E-2</v>
      </c>
    </row>
    <row r="3878" spans="1:9" x14ac:dyDescent="0.25">
      <c r="A3878">
        <v>296</v>
      </c>
      <c r="B3878" t="s">
        <v>1726</v>
      </c>
      <c r="C3878" t="s">
        <v>48</v>
      </c>
      <c r="D3878" t="s">
        <v>196</v>
      </c>
      <c r="E3878">
        <f>2/142</f>
        <v>1.4084507042253521E-2</v>
      </c>
      <c r="F3878">
        <v>33</v>
      </c>
      <c r="G3878">
        <f>LOG(382/(33+1))</f>
        <v>1.0505844458694535</v>
      </c>
      <c r="H3878">
        <f>0.0140845070422535*2.41906008399041</f>
        <v>3.407126878859728E-2</v>
      </c>
      <c r="I3878">
        <v>3.4071268788597377E-2</v>
      </c>
    </row>
    <row r="3879" spans="1:9" x14ac:dyDescent="0.25">
      <c r="A3879">
        <v>296</v>
      </c>
      <c r="B3879" t="s">
        <v>1726</v>
      </c>
      <c r="C3879" t="s">
        <v>48</v>
      </c>
      <c r="D3879" t="s">
        <v>1191</v>
      </c>
      <c r="E3879">
        <f>2/142</f>
        <v>1.4084507042253521E-2</v>
      </c>
      <c r="F3879">
        <v>4</v>
      </c>
      <c r="G3879">
        <f>LOG(382/(4+1))</f>
        <v>1.8830933585756899</v>
      </c>
      <c r="H3879">
        <f>0.0140845070422535*4.33598269617247</f>
        <v>6.1070178819330481E-2</v>
      </c>
      <c r="I3879">
        <v>6.1070178819330627E-2</v>
      </c>
    </row>
    <row r="3880" spans="1:9" x14ac:dyDescent="0.25">
      <c r="A3880">
        <v>296</v>
      </c>
      <c r="B3880" t="s">
        <v>1726</v>
      </c>
      <c r="C3880" t="s">
        <v>48</v>
      </c>
      <c r="D3880" t="s">
        <v>129</v>
      </c>
      <c r="E3880">
        <f t="shared" ref="E3880:E3897" si="177">1/142</f>
        <v>7.0422535211267607E-3</v>
      </c>
      <c r="F3880">
        <v>7</v>
      </c>
      <c r="G3880">
        <f>LOG(382/(7+1))</f>
        <v>1.6789733759197651</v>
      </c>
      <c r="H3880">
        <f>0.00704225352112676*3.86597906692673</f>
        <v>2.7225204696667112E-2</v>
      </c>
      <c r="I3880">
        <v>2.7225204696667182E-2</v>
      </c>
    </row>
    <row r="3881" spans="1:9" x14ac:dyDescent="0.25">
      <c r="A3881">
        <v>296</v>
      </c>
      <c r="B3881" t="s">
        <v>1726</v>
      </c>
      <c r="C3881" t="s">
        <v>48</v>
      </c>
      <c r="D3881" t="s">
        <v>130</v>
      </c>
      <c r="E3881">
        <f t="shared" si="177"/>
        <v>7.0422535211267607E-3</v>
      </c>
      <c r="F3881">
        <v>4</v>
      </c>
      <c r="G3881">
        <f>LOG(382/(4+1))</f>
        <v>1.8830933585756899</v>
      </c>
      <c r="H3881">
        <f>0.00704225352112676*4.33598269617247</f>
        <v>3.0535089409665282E-2</v>
      </c>
      <c r="I3881">
        <v>3.053508940966532E-2</v>
      </c>
    </row>
    <row r="3882" spans="1:9" x14ac:dyDescent="0.25">
      <c r="A3882">
        <v>296</v>
      </c>
      <c r="B3882" t="s">
        <v>1726</v>
      </c>
      <c r="C3882" t="s">
        <v>48</v>
      </c>
      <c r="D3882" t="s">
        <v>1618</v>
      </c>
      <c r="E3882">
        <f t="shared" si="177"/>
        <v>7.0422535211267607E-3</v>
      </c>
      <c r="F3882">
        <v>6</v>
      </c>
      <c r="G3882">
        <f>LOG(382/(6+1))</f>
        <v>1.736965322897452</v>
      </c>
      <c r="H3882">
        <f>0.00704225352112676*3.99951045955126</f>
        <v>2.8165566616558165E-2</v>
      </c>
      <c r="I3882">
        <v>2.8165566616558179E-2</v>
      </c>
    </row>
    <row r="3883" spans="1:9" x14ac:dyDescent="0.25">
      <c r="A3883">
        <v>296</v>
      </c>
      <c r="B3883" t="s">
        <v>1726</v>
      </c>
      <c r="C3883" t="s">
        <v>48</v>
      </c>
      <c r="D3883" t="s">
        <v>878</v>
      </c>
      <c r="E3883">
        <f t="shared" si="177"/>
        <v>7.0422535211267607E-3</v>
      </c>
      <c r="F3883">
        <v>9</v>
      </c>
      <c r="G3883">
        <f>LOG(382/(9+1))</f>
        <v>1.5820633629117087</v>
      </c>
      <c r="H3883">
        <f>0.00704225352112676*3.64283551561252</f>
        <v>2.5653771236707885E-2</v>
      </c>
      <c r="I3883">
        <v>2.5653771236707951E-2</v>
      </c>
    </row>
    <row r="3884" spans="1:9" x14ac:dyDescent="0.25">
      <c r="A3884">
        <v>296</v>
      </c>
      <c r="B3884" t="s">
        <v>1726</v>
      </c>
      <c r="C3884" t="s">
        <v>48</v>
      </c>
      <c r="D3884" t="s">
        <v>100</v>
      </c>
      <c r="E3884">
        <f t="shared" si="177"/>
        <v>7.0422535211267607E-3</v>
      </c>
      <c r="F3884">
        <v>9</v>
      </c>
      <c r="G3884">
        <f>LOG(382/(9+1))</f>
        <v>1.5820633629117087</v>
      </c>
      <c r="H3884">
        <f>0.00704225352112676*3.64283551561252</f>
        <v>2.5653771236707885E-2</v>
      </c>
      <c r="I3884">
        <v>2.5653771236707951E-2</v>
      </c>
    </row>
    <row r="3885" spans="1:9" x14ac:dyDescent="0.25">
      <c r="A3885">
        <v>296</v>
      </c>
      <c r="B3885" t="s">
        <v>1726</v>
      </c>
      <c r="C3885" t="s">
        <v>48</v>
      </c>
      <c r="D3885" t="s">
        <v>336</v>
      </c>
      <c r="E3885">
        <f t="shared" si="177"/>
        <v>7.0422535211267607E-3</v>
      </c>
      <c r="F3885">
        <v>10</v>
      </c>
      <c r="G3885">
        <f>LOG(382/(10+1))</f>
        <v>1.5406706777534838</v>
      </c>
      <c r="H3885">
        <f>0.00704225352112676*3.5475253358082</f>
        <v>2.4982572787381689E-2</v>
      </c>
      <c r="I3885">
        <v>2.498257278738172E-2</v>
      </c>
    </row>
    <row r="3886" spans="1:9" x14ac:dyDescent="0.25">
      <c r="A3886">
        <v>296</v>
      </c>
      <c r="B3886" t="s">
        <v>1726</v>
      </c>
      <c r="C3886" t="s">
        <v>48</v>
      </c>
      <c r="D3886" t="s">
        <v>1622</v>
      </c>
      <c r="E3886">
        <f t="shared" si="177"/>
        <v>7.0422535211267607E-3</v>
      </c>
      <c r="F3886">
        <v>2</v>
      </c>
      <c r="G3886">
        <f>LOG(382/(2+1))</f>
        <v>2.1049421081920463</v>
      </c>
      <c r="H3886">
        <f>0.00704225352112676*4.84680831993846</f>
        <v>3.4132452957313097E-2</v>
      </c>
      <c r="I3886">
        <v>3.4132452957313139E-2</v>
      </c>
    </row>
    <row r="3887" spans="1:9" x14ac:dyDescent="0.25">
      <c r="A3887">
        <v>296</v>
      </c>
      <c r="B3887" t="s">
        <v>1726</v>
      </c>
      <c r="C3887" t="s">
        <v>48</v>
      </c>
      <c r="D3887" t="s">
        <v>106</v>
      </c>
      <c r="E3887">
        <f t="shared" si="177"/>
        <v>7.0422535211267607E-3</v>
      </c>
      <c r="F3887">
        <v>17</v>
      </c>
      <c r="G3887">
        <f>LOG(382/(17+1))</f>
        <v>1.3267908578084027</v>
      </c>
      <c r="H3887">
        <f>0.00704225352112676*3.05504885071041</f>
        <v>2.1514428526129645E-2</v>
      </c>
      <c r="I3887">
        <v>2.1514428526129649E-2</v>
      </c>
    </row>
    <row r="3888" spans="1:9" x14ac:dyDescent="0.25">
      <c r="A3888">
        <v>296</v>
      </c>
      <c r="B3888" t="s">
        <v>1726</v>
      </c>
      <c r="C3888" t="s">
        <v>48</v>
      </c>
      <c r="D3888" t="s">
        <v>417</v>
      </c>
      <c r="E3888">
        <f t="shared" si="177"/>
        <v>7.0422535211267607E-3</v>
      </c>
      <c r="F3888">
        <v>7</v>
      </c>
      <c r="G3888">
        <f>LOG(382/(7+1))</f>
        <v>1.6789733759197651</v>
      </c>
      <c r="H3888">
        <f>0.00704225352112676*3.86597906692673</f>
        <v>2.7225204696667112E-2</v>
      </c>
      <c r="I3888">
        <v>2.7225204696667182E-2</v>
      </c>
    </row>
    <row r="3889" spans="1:9" x14ac:dyDescent="0.25">
      <c r="A3889">
        <v>296</v>
      </c>
      <c r="B3889" t="s">
        <v>1726</v>
      </c>
      <c r="C3889" t="s">
        <v>48</v>
      </c>
      <c r="D3889" t="s">
        <v>797</v>
      </c>
      <c r="E3889">
        <f t="shared" si="177"/>
        <v>7.0422535211267607E-3</v>
      </c>
      <c r="F3889">
        <v>3</v>
      </c>
      <c r="G3889">
        <f>LOG(382/(3+1))</f>
        <v>1.9800033715837464</v>
      </c>
      <c r="H3889">
        <f>0.00704225352112676*4.55912624748668</f>
        <v>3.2106522869624503E-2</v>
      </c>
      <c r="I3889">
        <v>3.2106522869624537E-2</v>
      </c>
    </row>
    <row r="3890" spans="1:9" x14ac:dyDescent="0.25">
      <c r="A3890">
        <v>296</v>
      </c>
      <c r="B3890" t="s">
        <v>1726</v>
      </c>
      <c r="C3890" t="s">
        <v>48</v>
      </c>
      <c r="D3890" t="s">
        <v>112</v>
      </c>
      <c r="E3890">
        <f t="shared" si="177"/>
        <v>7.0422535211267607E-3</v>
      </c>
      <c r="F3890">
        <v>52</v>
      </c>
      <c r="G3890">
        <f>LOG(382/(52+1))</f>
        <v>0.85778749331091964</v>
      </c>
      <c r="H3890">
        <f>0.00704225352112676*1.97512869505445</f>
        <v>1.3909357007425703E-2</v>
      </c>
      <c r="I3890">
        <v>1.3909357007425731E-2</v>
      </c>
    </row>
    <row r="3891" spans="1:9" x14ac:dyDescent="0.25">
      <c r="A3891">
        <v>296</v>
      </c>
      <c r="B3891" t="s">
        <v>1726</v>
      </c>
      <c r="C3891" t="s">
        <v>48</v>
      </c>
      <c r="D3891" t="s">
        <v>54</v>
      </c>
      <c r="E3891">
        <f t="shared" si="177"/>
        <v>7.0422535211267607E-3</v>
      </c>
      <c r="F3891">
        <v>25</v>
      </c>
      <c r="G3891">
        <f>LOG(382/(25+1))</f>
        <v>1.1670900149408907</v>
      </c>
      <c r="H3891">
        <f>0.00704225352112676*2.68732407058509</f>
        <v>1.8924817398486549E-2</v>
      </c>
      <c r="I3891">
        <v>1.892481739848657E-2</v>
      </c>
    </row>
    <row r="3892" spans="1:9" x14ac:dyDescent="0.25">
      <c r="A3892">
        <v>296</v>
      </c>
      <c r="B3892" t="s">
        <v>1726</v>
      </c>
      <c r="C3892" t="s">
        <v>48</v>
      </c>
      <c r="D3892" t="s">
        <v>545</v>
      </c>
      <c r="E3892">
        <f t="shared" si="177"/>
        <v>7.0422535211267607E-3</v>
      </c>
      <c r="F3892">
        <v>6</v>
      </c>
      <c r="G3892">
        <f>LOG(382/(6+1))</f>
        <v>1.736965322897452</v>
      </c>
      <c r="H3892">
        <f>0.00704225352112676*3.99951045955126</f>
        <v>2.8165566616558165E-2</v>
      </c>
      <c r="I3892">
        <v>2.8165566616558179E-2</v>
      </c>
    </row>
    <row r="3893" spans="1:9" x14ac:dyDescent="0.25">
      <c r="A3893">
        <v>296</v>
      </c>
      <c r="B3893" t="s">
        <v>1726</v>
      </c>
      <c r="C3893" t="s">
        <v>48</v>
      </c>
      <c r="D3893" t="s">
        <v>201</v>
      </c>
      <c r="E3893">
        <f t="shared" si="177"/>
        <v>7.0422535211267607E-3</v>
      </c>
      <c r="F3893">
        <v>72</v>
      </c>
      <c r="G3893">
        <f>LOG(382/(72+1))</f>
        <v>0.71874050279125279</v>
      </c>
      <c r="H3893">
        <f>0.00704225352112676*1.65496116745818</f>
        <v>1.165465610886042E-2</v>
      </c>
      <c r="I3893">
        <v>1.165465610886045E-2</v>
      </c>
    </row>
    <row r="3894" spans="1:9" x14ac:dyDescent="0.25">
      <c r="A3894">
        <v>296</v>
      </c>
      <c r="B3894" t="s">
        <v>1726</v>
      </c>
      <c r="C3894" t="s">
        <v>48</v>
      </c>
      <c r="D3894" t="s">
        <v>1080</v>
      </c>
      <c r="E3894">
        <f t="shared" si="177"/>
        <v>7.0422535211267607E-3</v>
      </c>
      <c r="F3894">
        <v>26</v>
      </c>
      <c r="G3894">
        <f>LOG(382/(26+1))</f>
        <v>1.1506995987527215</v>
      </c>
      <c r="H3894">
        <f>0.00704225352112676*2.64958374260224</f>
        <v>1.8659040440860843E-2</v>
      </c>
      <c r="I3894">
        <v>1.8659040440860891E-2</v>
      </c>
    </row>
    <row r="3895" spans="1:9" x14ac:dyDescent="0.25">
      <c r="A3895">
        <v>296</v>
      </c>
      <c r="B3895" t="s">
        <v>1726</v>
      </c>
      <c r="C3895" t="s">
        <v>48</v>
      </c>
      <c r="D3895" t="s">
        <v>1741</v>
      </c>
      <c r="E3895">
        <f t="shared" si="177"/>
        <v>7.0422535211267607E-3</v>
      </c>
      <c r="F3895">
        <v>6</v>
      </c>
      <c r="G3895">
        <f>LOG(382/(6+1))</f>
        <v>1.736965322897452</v>
      </c>
      <c r="H3895">
        <f>0.00704225352112676*3.99951045955126</f>
        <v>2.8165566616558165E-2</v>
      </c>
      <c r="I3895">
        <v>2.8165566616558179E-2</v>
      </c>
    </row>
    <row r="3896" spans="1:9" x14ac:dyDescent="0.25">
      <c r="A3896">
        <v>296</v>
      </c>
      <c r="B3896" t="s">
        <v>1726</v>
      </c>
      <c r="C3896" t="s">
        <v>48</v>
      </c>
      <c r="D3896" t="s">
        <v>1742</v>
      </c>
      <c r="E3896">
        <f t="shared" si="177"/>
        <v>7.0422535211267607E-3</v>
      </c>
      <c r="F3896">
        <v>7</v>
      </c>
      <c r="G3896">
        <f>LOG(382/(7+1))</f>
        <v>1.6789733759197651</v>
      </c>
      <c r="H3896">
        <f>0.00704225352112676*3.86597906692673</f>
        <v>2.7225204696667112E-2</v>
      </c>
      <c r="I3896">
        <v>2.7225204696667182E-2</v>
      </c>
    </row>
    <row r="3897" spans="1:9" x14ac:dyDescent="0.25">
      <c r="A3897">
        <v>296</v>
      </c>
      <c r="B3897" t="s">
        <v>1726</v>
      </c>
      <c r="C3897" t="s">
        <v>48</v>
      </c>
      <c r="D3897" t="s">
        <v>1129</v>
      </c>
      <c r="E3897">
        <f t="shared" si="177"/>
        <v>7.0422535211267607E-3</v>
      </c>
      <c r="F3897">
        <v>4</v>
      </c>
      <c r="G3897">
        <f>LOG(382/(4+1))</f>
        <v>1.8830933585756899</v>
      </c>
      <c r="H3897">
        <f>0.00704225352112676*4.33598269617247</f>
        <v>3.0535089409665282E-2</v>
      </c>
      <c r="I3897">
        <v>3.053508940966532E-2</v>
      </c>
    </row>
    <row r="3898" spans="1:9" x14ac:dyDescent="0.25">
      <c r="A3898">
        <v>296</v>
      </c>
      <c r="B3898" t="s">
        <v>1726</v>
      </c>
      <c r="C3898" t="s">
        <v>48</v>
      </c>
      <c r="D3898" t="s">
        <v>78</v>
      </c>
      <c r="E3898">
        <f>2/142</f>
        <v>1.4084507042253521E-2</v>
      </c>
      <c r="F3898">
        <v>122</v>
      </c>
      <c r="G3898">
        <f>LOG(382/(122+1))</f>
        <v>0.49215825147231079</v>
      </c>
      <c r="H3898">
        <f>0.0140845070422535*1.13323625323415</f>
        <v>1.5961073989213356E-2</v>
      </c>
      <c r="I3898">
        <v>1.5961073989213492E-2</v>
      </c>
    </row>
    <row r="3899" spans="1:9" x14ac:dyDescent="0.25">
      <c r="A3899">
        <v>296</v>
      </c>
      <c r="B3899" t="s">
        <v>1726</v>
      </c>
      <c r="C3899" t="s">
        <v>48</v>
      </c>
      <c r="D3899" t="s">
        <v>1127</v>
      </c>
      <c r="E3899">
        <f t="shared" ref="E3899:E3905" si="178">1/142</f>
        <v>7.0422535211267607E-3</v>
      </c>
      <c r="F3899">
        <v>18</v>
      </c>
      <c r="G3899">
        <f>LOG(382/(18+1))</f>
        <v>1.3033097619588798</v>
      </c>
      <c r="H3899">
        <f>0.00704225352112676*3.00098162944013</f>
        <v>2.1133673446761477E-2</v>
      </c>
      <c r="I3899">
        <v>2.1133673446761508E-2</v>
      </c>
    </row>
    <row r="3900" spans="1:9" x14ac:dyDescent="0.25">
      <c r="A3900">
        <v>296</v>
      </c>
      <c r="B3900" t="s">
        <v>1726</v>
      </c>
      <c r="C3900" t="s">
        <v>48</v>
      </c>
      <c r="D3900" t="s">
        <v>419</v>
      </c>
      <c r="E3900">
        <f t="shared" si="178"/>
        <v>7.0422535211267607E-3</v>
      </c>
      <c r="F3900">
        <v>4</v>
      </c>
      <c r="G3900">
        <f>LOG(382/(4+1))</f>
        <v>1.8830933585756899</v>
      </c>
      <c r="H3900">
        <f>0.00704225352112676*4.33598269617247</f>
        <v>3.0535089409665282E-2</v>
      </c>
      <c r="I3900">
        <v>3.053508940966532E-2</v>
      </c>
    </row>
    <row r="3901" spans="1:9" x14ac:dyDescent="0.25">
      <c r="A3901">
        <v>296</v>
      </c>
      <c r="B3901" t="s">
        <v>1726</v>
      </c>
      <c r="C3901" t="s">
        <v>48</v>
      </c>
      <c r="D3901" t="s">
        <v>1743</v>
      </c>
      <c r="E3901">
        <f t="shared" si="178"/>
        <v>7.0422535211267607E-3</v>
      </c>
      <c r="F3901">
        <v>3</v>
      </c>
      <c r="G3901">
        <f>LOG(382/(3+1))</f>
        <v>1.9800033715837464</v>
      </c>
      <c r="H3901">
        <f>0.00704225352112676*4.55912624748668</f>
        <v>3.2106522869624503E-2</v>
      </c>
      <c r="I3901">
        <v>3.2106522869624537E-2</v>
      </c>
    </row>
    <row r="3902" spans="1:9" x14ac:dyDescent="0.25">
      <c r="A3902">
        <v>296</v>
      </c>
      <c r="B3902" t="s">
        <v>1726</v>
      </c>
      <c r="C3902" t="s">
        <v>48</v>
      </c>
      <c r="D3902" t="s">
        <v>1744</v>
      </c>
      <c r="E3902">
        <f t="shared" si="178"/>
        <v>7.0422535211267607E-3</v>
      </c>
      <c r="F3902">
        <v>1</v>
      </c>
      <c r="G3902">
        <f>LOG(382/(1+1))</f>
        <v>2.2810333672477277</v>
      </c>
      <c r="H3902">
        <f>0.00704225352112676*5.25227342804663</f>
        <v>3.6987841042581897E-2</v>
      </c>
      <c r="I3902">
        <v>3.6987841042581897E-2</v>
      </c>
    </row>
    <row r="3903" spans="1:9" x14ac:dyDescent="0.25">
      <c r="A3903">
        <v>296</v>
      </c>
      <c r="B3903" t="s">
        <v>1726</v>
      </c>
      <c r="C3903" t="s">
        <v>48</v>
      </c>
      <c r="D3903" t="s">
        <v>1745</v>
      </c>
      <c r="E3903">
        <f t="shared" si="178"/>
        <v>7.0422535211267607E-3</v>
      </c>
      <c r="F3903">
        <v>12</v>
      </c>
      <c r="G3903">
        <f>LOG(382/(12+1))</f>
        <v>1.468120010604872</v>
      </c>
      <c r="H3903">
        <f>0.00704225352112676*3.38047125114503</f>
        <v>2.380613557144387E-2</v>
      </c>
      <c r="I3903">
        <v>2.3806135571443929E-2</v>
      </c>
    </row>
    <row r="3904" spans="1:9" x14ac:dyDescent="0.25">
      <c r="A3904">
        <v>296</v>
      </c>
      <c r="B3904" t="s">
        <v>1726</v>
      </c>
      <c r="C3904" t="s">
        <v>48</v>
      </c>
      <c r="D3904" t="s">
        <v>754</v>
      </c>
      <c r="E3904">
        <f t="shared" si="178"/>
        <v>7.0422535211267607E-3</v>
      </c>
      <c r="F3904">
        <v>111</v>
      </c>
      <c r="G3904">
        <f>LOG(382/(111+1))</f>
        <v>0.53284534024152708</v>
      </c>
      <c r="H3904">
        <f>0.00704225352112676*1.22692173731148</f>
        <v>8.6402939247287314E-3</v>
      </c>
      <c r="I3904">
        <v>8.6402939247287366E-3</v>
      </c>
    </row>
    <row r="3905" spans="1:9" x14ac:dyDescent="0.25">
      <c r="A3905">
        <v>296</v>
      </c>
      <c r="B3905" t="s">
        <v>1726</v>
      </c>
      <c r="C3905" t="s">
        <v>48</v>
      </c>
      <c r="D3905" t="s">
        <v>1746</v>
      </c>
      <c r="E3905">
        <f t="shared" si="178"/>
        <v>7.0422535211267607E-3</v>
      </c>
      <c r="F3905">
        <v>5</v>
      </c>
      <c r="G3905">
        <f>LOG(382/(5+1))</f>
        <v>1.803912112528065</v>
      </c>
      <c r="H3905">
        <f>0.00704225352112676*4.15366113937852</f>
        <v>2.9251134784355769E-2</v>
      </c>
      <c r="I3905">
        <v>2.9251134784355769E-2</v>
      </c>
    </row>
    <row r="3906" spans="1:9" x14ac:dyDescent="0.25">
      <c r="A3906">
        <v>296</v>
      </c>
      <c r="B3906" t="s">
        <v>1726</v>
      </c>
      <c r="C3906" t="s">
        <v>48</v>
      </c>
      <c r="D3906" t="s">
        <v>65</v>
      </c>
      <c r="E3906">
        <f>2/142</f>
        <v>1.4084507042253521E-2</v>
      </c>
      <c r="F3906">
        <v>32</v>
      </c>
      <c r="G3906">
        <f>LOG(382/(32+1))</f>
        <v>1.0635494230338212</v>
      </c>
      <c r="H3906">
        <f>0.0140845070422535*2.44891304714009</f>
        <v>3.4491733058311082E-2</v>
      </c>
      <c r="I3906">
        <v>3.44917330583112E-2</v>
      </c>
    </row>
    <row r="3907" spans="1:9" x14ac:dyDescent="0.25">
      <c r="A3907">
        <v>296</v>
      </c>
      <c r="B3907" t="s">
        <v>1726</v>
      </c>
      <c r="C3907" t="s">
        <v>48</v>
      </c>
      <c r="D3907" t="s">
        <v>1747</v>
      </c>
      <c r="E3907">
        <f t="shared" ref="E3907:E3934" si="179">1/142</f>
        <v>7.0422535211267607E-3</v>
      </c>
      <c r="F3907">
        <v>4</v>
      </c>
      <c r="G3907">
        <f>LOG(382/(4+1))</f>
        <v>1.8830933585756899</v>
      </c>
      <c r="H3907">
        <f>0.00704225352112676*4.33598269617247</f>
        <v>3.0535089409665282E-2</v>
      </c>
      <c r="I3907">
        <v>3.053508940966532E-2</v>
      </c>
    </row>
    <row r="3908" spans="1:9" x14ac:dyDescent="0.25">
      <c r="A3908">
        <v>296</v>
      </c>
      <c r="B3908" t="s">
        <v>1726</v>
      </c>
      <c r="C3908" t="s">
        <v>48</v>
      </c>
      <c r="D3908" t="s">
        <v>1168</v>
      </c>
      <c r="E3908">
        <f t="shared" si="179"/>
        <v>7.0422535211267607E-3</v>
      </c>
      <c r="F3908">
        <v>5</v>
      </c>
      <c r="G3908">
        <f>LOG(382/(5+1))</f>
        <v>1.803912112528065</v>
      </c>
      <c r="H3908">
        <f>0.00704225352112676*4.15366113937852</f>
        <v>2.9251134784355769E-2</v>
      </c>
      <c r="I3908">
        <v>2.9251134784355769E-2</v>
      </c>
    </row>
    <row r="3909" spans="1:9" x14ac:dyDescent="0.25">
      <c r="A3909">
        <v>296</v>
      </c>
      <c r="B3909" t="s">
        <v>1726</v>
      </c>
      <c r="C3909" t="s">
        <v>48</v>
      </c>
      <c r="D3909" t="s">
        <v>121</v>
      </c>
      <c r="E3909">
        <f t="shared" si="179"/>
        <v>7.0422535211267607E-3</v>
      </c>
      <c r="F3909">
        <v>22</v>
      </c>
      <c r="G3909">
        <f>LOG(382/(22+1))</f>
        <v>1.2203355268941158</v>
      </c>
      <c r="H3909">
        <f>0.00704225352112676*2.80992639267742</f>
        <v>1.9788214032939573E-2</v>
      </c>
      <c r="I3909">
        <v>1.9788214032939622E-2</v>
      </c>
    </row>
    <row r="3910" spans="1:9" x14ac:dyDescent="0.25">
      <c r="A3910">
        <v>296</v>
      </c>
      <c r="B3910" t="s">
        <v>1726</v>
      </c>
      <c r="C3910" t="s">
        <v>48</v>
      </c>
      <c r="D3910" t="s">
        <v>53</v>
      </c>
      <c r="E3910">
        <f t="shared" si="179"/>
        <v>7.0422535211267607E-3</v>
      </c>
      <c r="F3910">
        <v>57</v>
      </c>
      <c r="G3910">
        <f>LOG(382/(57+1))</f>
        <v>0.81863536934877146</v>
      </c>
      <c r="H3910">
        <f>0.00704225352112676*1.88497759806015</f>
        <v>1.3274490127184154E-2</v>
      </c>
      <c r="I3910">
        <v>1.3274490127184201E-2</v>
      </c>
    </row>
    <row r="3911" spans="1:9" x14ac:dyDescent="0.25">
      <c r="A3911">
        <v>296</v>
      </c>
      <c r="B3911" t="s">
        <v>1726</v>
      </c>
      <c r="C3911" t="s">
        <v>48</v>
      </c>
      <c r="D3911" t="s">
        <v>87</v>
      </c>
      <c r="E3911">
        <f t="shared" si="179"/>
        <v>7.0422535211267607E-3</v>
      </c>
      <c r="F3911">
        <v>12</v>
      </c>
      <c r="G3911">
        <f>LOG(382/(12+1))</f>
        <v>1.468120010604872</v>
      </c>
      <c r="H3911">
        <f>0.00704225352112676*3.38047125114503</f>
        <v>2.380613557144387E-2</v>
      </c>
      <c r="I3911">
        <v>2.3806135571443929E-2</v>
      </c>
    </row>
    <row r="3912" spans="1:9" x14ac:dyDescent="0.25">
      <c r="A3912">
        <v>296</v>
      </c>
      <c r="B3912" t="s">
        <v>1726</v>
      </c>
      <c r="C3912" t="s">
        <v>48</v>
      </c>
      <c r="D3912" t="s">
        <v>420</v>
      </c>
      <c r="E3912">
        <f t="shared" si="179"/>
        <v>7.0422535211267607E-3</v>
      </c>
      <c r="F3912">
        <v>3</v>
      </c>
      <c r="G3912">
        <f>LOG(382/(3+1))</f>
        <v>1.9800033715837464</v>
      </c>
      <c r="H3912">
        <f>0.00704225352112676*4.55912624748668</f>
        <v>3.2106522869624503E-2</v>
      </c>
      <c r="I3912">
        <v>3.2106522869624537E-2</v>
      </c>
    </row>
    <row r="3913" spans="1:9" x14ac:dyDescent="0.25">
      <c r="A3913">
        <v>296</v>
      </c>
      <c r="B3913" t="s">
        <v>1726</v>
      </c>
      <c r="C3913" t="s">
        <v>48</v>
      </c>
      <c r="D3913" t="s">
        <v>421</v>
      </c>
      <c r="E3913">
        <f t="shared" si="179"/>
        <v>7.0422535211267607E-3</v>
      </c>
      <c r="F3913">
        <v>2</v>
      </c>
      <c r="G3913">
        <f>LOG(382/(2+1))</f>
        <v>2.1049421081920463</v>
      </c>
      <c r="H3913">
        <f>0.00704225352112676*4.84680831993846</f>
        <v>3.4132452957313097E-2</v>
      </c>
      <c r="I3913">
        <v>3.4132452957313139E-2</v>
      </c>
    </row>
    <row r="3914" spans="1:9" x14ac:dyDescent="0.25">
      <c r="A3914">
        <v>296</v>
      </c>
      <c r="B3914" t="s">
        <v>1726</v>
      </c>
      <c r="C3914" t="s">
        <v>48</v>
      </c>
      <c r="D3914" t="s">
        <v>144</v>
      </c>
      <c r="E3914">
        <f t="shared" si="179"/>
        <v>7.0422535211267607E-3</v>
      </c>
      <c r="F3914">
        <v>105</v>
      </c>
      <c r="G3914">
        <f>LOG(382/(105+1))</f>
        <v>0.55675749764693849</v>
      </c>
      <c r="H3914">
        <f>0.00704225352112676*1.2819815144945</f>
        <v>9.0280388344683091E-3</v>
      </c>
      <c r="I3914">
        <v>9.0280388344683663E-3</v>
      </c>
    </row>
    <row r="3915" spans="1:9" x14ac:dyDescent="0.25">
      <c r="A3915">
        <v>296</v>
      </c>
      <c r="B3915" t="s">
        <v>1726</v>
      </c>
      <c r="C3915" t="s">
        <v>48</v>
      </c>
      <c r="D3915" t="s">
        <v>758</v>
      </c>
      <c r="E3915">
        <f t="shared" si="179"/>
        <v>7.0422535211267607E-3</v>
      </c>
      <c r="F3915">
        <v>26</v>
      </c>
      <c r="G3915">
        <f>LOG(382/(26+1))</f>
        <v>1.1506995987527215</v>
      </c>
      <c r="H3915">
        <f>0.00704225352112676*2.64958374260224</f>
        <v>1.8659040440860843E-2</v>
      </c>
      <c r="I3915">
        <v>1.8659040440860891E-2</v>
      </c>
    </row>
    <row r="3916" spans="1:9" x14ac:dyDescent="0.25">
      <c r="A3916">
        <v>296</v>
      </c>
      <c r="B3916" t="s">
        <v>1726</v>
      </c>
      <c r="C3916" t="s">
        <v>48</v>
      </c>
      <c r="D3916" t="s">
        <v>42</v>
      </c>
      <c r="E3916">
        <f t="shared" si="179"/>
        <v>7.0422535211267607E-3</v>
      </c>
      <c r="F3916">
        <v>251</v>
      </c>
      <c r="G3916">
        <f>LOG(382/(251+1))</f>
        <v>0.18066282213016463</v>
      </c>
      <c r="H3916">
        <f>0.00704225352112676*0.415991521095151</f>
        <v>2.9295177541912038E-3</v>
      </c>
      <c r="I3916">
        <v>2.9295177541912099E-3</v>
      </c>
    </row>
    <row r="3917" spans="1:9" x14ac:dyDescent="0.25">
      <c r="A3917">
        <v>296</v>
      </c>
      <c r="B3917" t="s">
        <v>1726</v>
      </c>
      <c r="C3917" t="s">
        <v>48</v>
      </c>
      <c r="D3917" t="s">
        <v>744</v>
      </c>
      <c r="E3917">
        <f t="shared" si="179"/>
        <v>7.0422535211267607E-3</v>
      </c>
      <c r="F3917">
        <v>28</v>
      </c>
      <c r="G3917">
        <f>LOG(382/(28+1))</f>
        <v>1.1196653650127526</v>
      </c>
      <c r="H3917">
        <f>0.00704225352112676*2.5781247786201</f>
        <v>1.8155808300141546E-2</v>
      </c>
      <c r="I3917">
        <v>1.815580830014156E-2</v>
      </c>
    </row>
    <row r="3918" spans="1:9" x14ac:dyDescent="0.25">
      <c r="A3918">
        <v>296</v>
      </c>
      <c r="B3918" t="s">
        <v>1726</v>
      </c>
      <c r="C3918" t="s">
        <v>48</v>
      </c>
      <c r="D3918" t="s">
        <v>755</v>
      </c>
      <c r="E3918">
        <f t="shared" si="179"/>
        <v>7.0422535211267607E-3</v>
      </c>
      <c r="F3918">
        <v>19</v>
      </c>
      <c r="G3918">
        <f>LOG(382/(19+1))</f>
        <v>1.2810333672477277</v>
      </c>
      <c r="H3918">
        <f>0.00704225352112676*2.94968833505258</f>
        <v>2.077245306375056E-2</v>
      </c>
      <c r="I3918">
        <v>2.0772453063750591E-2</v>
      </c>
    </row>
    <row r="3919" spans="1:9" x14ac:dyDescent="0.25">
      <c r="A3919">
        <v>296</v>
      </c>
      <c r="B3919" t="s">
        <v>1726</v>
      </c>
      <c r="C3919" t="s">
        <v>48</v>
      </c>
      <c r="D3919" t="s">
        <v>339</v>
      </c>
      <c r="E3919">
        <f t="shared" si="179"/>
        <v>7.0422535211267607E-3</v>
      </c>
      <c r="F3919">
        <v>66</v>
      </c>
      <c r="G3919">
        <f>LOG(382/(66+1))</f>
        <v>0.75598856021088234</v>
      </c>
      <c r="H3919">
        <f>0.00704225352112676*1.7407279892156</f>
        <v>1.2258647811377464E-2</v>
      </c>
      <c r="I3919">
        <v>1.225864781137753E-2</v>
      </c>
    </row>
    <row r="3920" spans="1:9" x14ac:dyDescent="0.25">
      <c r="A3920">
        <v>296</v>
      </c>
      <c r="B3920" t="s">
        <v>1726</v>
      </c>
      <c r="C3920" t="s">
        <v>48</v>
      </c>
      <c r="D3920" t="s">
        <v>340</v>
      </c>
      <c r="E3920">
        <f t="shared" si="179"/>
        <v>7.0422535211267607E-3</v>
      </c>
      <c r="F3920">
        <v>28</v>
      </c>
      <c r="G3920">
        <f>LOG(382/(28+1))</f>
        <v>1.1196653650127526</v>
      </c>
      <c r="H3920">
        <f>0.00704225352112676*2.5781247786201</f>
        <v>1.8155808300141546E-2</v>
      </c>
      <c r="I3920">
        <v>1.815580830014156E-2</v>
      </c>
    </row>
    <row r="3921" spans="1:9" x14ac:dyDescent="0.25">
      <c r="A3921">
        <v>296</v>
      </c>
      <c r="B3921" t="s">
        <v>1726</v>
      </c>
      <c r="C3921" t="s">
        <v>48</v>
      </c>
      <c r="D3921" t="s">
        <v>119</v>
      </c>
      <c r="E3921">
        <f t="shared" si="179"/>
        <v>7.0422535211267607E-3</v>
      </c>
      <c r="F3921">
        <v>79</v>
      </c>
      <c r="G3921">
        <f>LOG(382/(79+1))</f>
        <v>0.67897337591976514</v>
      </c>
      <c r="H3921">
        <f>0.00704225352112676*1.56339397393269</f>
        <v>1.1009816717835845E-2</v>
      </c>
      <c r="I3921">
        <v>1.1009816717835869E-2</v>
      </c>
    </row>
    <row r="3922" spans="1:9" x14ac:dyDescent="0.25">
      <c r="A3922">
        <v>296</v>
      </c>
      <c r="B3922" t="s">
        <v>1726</v>
      </c>
      <c r="C3922" t="s">
        <v>48</v>
      </c>
      <c r="D3922" t="s">
        <v>1473</v>
      </c>
      <c r="E3922">
        <f t="shared" si="179"/>
        <v>7.0422535211267607E-3</v>
      </c>
      <c r="F3922">
        <v>39</v>
      </c>
      <c r="G3922">
        <f>LOG(382/(39+1))</f>
        <v>0.9800033715837464</v>
      </c>
      <c r="H3922">
        <f>0.00704225352112676*2.25654115449263</f>
        <v>1.589113489079317E-2</v>
      </c>
      <c r="I3922">
        <v>1.5891134890793229E-2</v>
      </c>
    </row>
    <row r="3923" spans="1:9" x14ac:dyDescent="0.25">
      <c r="A3923">
        <v>296</v>
      </c>
      <c r="B3923" t="s">
        <v>1726</v>
      </c>
      <c r="C3923" t="s">
        <v>48</v>
      </c>
      <c r="D3923" t="s">
        <v>432</v>
      </c>
      <c r="E3923">
        <f t="shared" si="179"/>
        <v>7.0422535211267607E-3</v>
      </c>
      <c r="F3923">
        <v>67</v>
      </c>
      <c r="G3923">
        <f>LOG(382/(67+1))</f>
        <v>0.7495544502054724</v>
      </c>
      <c r="H3923">
        <f>0.00704225352112676*1.72591290343046</f>
        <v>1.2154316221341267E-2</v>
      </c>
      <c r="I3923">
        <v>1.2154316221341331E-2</v>
      </c>
    </row>
    <row r="3924" spans="1:9" x14ac:dyDescent="0.25">
      <c r="A3924">
        <v>296</v>
      </c>
      <c r="B3924" t="s">
        <v>1726</v>
      </c>
      <c r="C3924" t="s">
        <v>48</v>
      </c>
      <c r="D3924" t="s">
        <v>434</v>
      </c>
      <c r="E3924">
        <f t="shared" si="179"/>
        <v>7.0422535211267607E-3</v>
      </c>
      <c r="F3924">
        <v>97</v>
      </c>
      <c r="G3924">
        <f>LOG(382/(97+1))</f>
        <v>0.59083728721921391</v>
      </c>
      <c r="H3924">
        <f>0.00704225352112676*1.360453129936</f>
        <v>9.5806558446197183E-3</v>
      </c>
      <c r="I3924">
        <v>9.5806558446197409E-3</v>
      </c>
    </row>
    <row r="3925" spans="1:9" x14ac:dyDescent="0.25">
      <c r="A3925">
        <v>296</v>
      </c>
      <c r="B3925" t="s">
        <v>1726</v>
      </c>
      <c r="C3925" t="s">
        <v>48</v>
      </c>
      <c r="D3925" t="s">
        <v>310</v>
      </c>
      <c r="E3925">
        <f t="shared" si="179"/>
        <v>7.0422535211267607E-3</v>
      </c>
      <c r="F3925">
        <v>50</v>
      </c>
      <c r="G3925">
        <f>LOG(382/(50+1))</f>
        <v>0.87449318681377242</v>
      </c>
      <c r="H3925">
        <f>0.00704225352112676*2.01359497588224</f>
        <v>1.4180246309029856E-2</v>
      </c>
      <c r="I3925">
        <v>1.4180246309029931E-2</v>
      </c>
    </row>
    <row r="3926" spans="1:9" x14ac:dyDescent="0.25">
      <c r="A3926">
        <v>296</v>
      </c>
      <c r="B3926" t="s">
        <v>1726</v>
      </c>
      <c r="C3926" t="s">
        <v>48</v>
      </c>
      <c r="D3926" t="s">
        <v>437</v>
      </c>
      <c r="E3926">
        <f t="shared" si="179"/>
        <v>7.0422535211267607E-3</v>
      </c>
      <c r="F3926">
        <v>18</v>
      </c>
      <c r="G3926">
        <f>LOG(382/(18+1))</f>
        <v>1.3033097619588798</v>
      </c>
      <c r="H3926">
        <f>0.00704225352112676*3.00098162944013</f>
        <v>2.1133673446761477E-2</v>
      </c>
      <c r="I3926">
        <v>2.1133673446761508E-2</v>
      </c>
    </row>
    <row r="3927" spans="1:9" x14ac:dyDescent="0.25">
      <c r="A3927">
        <v>296</v>
      </c>
      <c r="B3927" t="s">
        <v>1726</v>
      </c>
      <c r="C3927" t="s">
        <v>48</v>
      </c>
      <c r="D3927" t="s">
        <v>851</v>
      </c>
      <c r="E3927">
        <f t="shared" si="179"/>
        <v>7.0422535211267607E-3</v>
      </c>
      <c r="F3927">
        <v>8</v>
      </c>
      <c r="G3927">
        <f>LOG(382/(8+1))</f>
        <v>1.6278208534723839</v>
      </c>
      <c r="H3927">
        <f>0.00704225352112676*3.74819603127035</f>
        <v>2.639574669908697E-2</v>
      </c>
      <c r="I3927">
        <v>2.6395746699087012E-2</v>
      </c>
    </row>
    <row r="3928" spans="1:9" x14ac:dyDescent="0.25">
      <c r="A3928">
        <v>296</v>
      </c>
      <c r="B3928" t="s">
        <v>1726</v>
      </c>
      <c r="C3928" t="s">
        <v>48</v>
      </c>
      <c r="D3928" t="s">
        <v>1748</v>
      </c>
      <c r="E3928">
        <f t="shared" si="179"/>
        <v>7.0422535211267607E-3</v>
      </c>
      <c r="F3928">
        <v>12</v>
      </c>
      <c r="G3928">
        <f>LOG(382/(12+1))</f>
        <v>1.468120010604872</v>
      </c>
      <c r="H3928">
        <f>0.00704225352112676*3.38047125114503</f>
        <v>2.380613557144387E-2</v>
      </c>
      <c r="I3928">
        <v>2.3806135571443929E-2</v>
      </c>
    </row>
    <row r="3929" spans="1:9" x14ac:dyDescent="0.25">
      <c r="A3929">
        <v>296</v>
      </c>
      <c r="B3929" t="s">
        <v>1726</v>
      </c>
      <c r="C3929" t="s">
        <v>48</v>
      </c>
      <c r="D3929" t="s">
        <v>214</v>
      </c>
      <c r="E3929">
        <f t="shared" si="179"/>
        <v>7.0422535211267607E-3</v>
      </c>
      <c r="F3929">
        <v>68</v>
      </c>
      <c r="G3929">
        <f>LOG(382/(68+1))</f>
        <v>0.74321427217445335</v>
      </c>
      <c r="H3929">
        <f>0.00704225352112676*1.71131410400931</f>
        <v>1.2051507774713449E-2</v>
      </c>
      <c r="I3929">
        <v>1.2051507774713491E-2</v>
      </c>
    </row>
    <row r="3930" spans="1:9" x14ac:dyDescent="0.25">
      <c r="A3930">
        <v>296</v>
      </c>
      <c r="B3930" t="s">
        <v>1726</v>
      </c>
      <c r="C3930" t="s">
        <v>48</v>
      </c>
      <c r="D3930" t="s">
        <v>209</v>
      </c>
      <c r="E3930">
        <f t="shared" si="179"/>
        <v>7.0422535211267607E-3</v>
      </c>
      <c r="F3930">
        <v>7</v>
      </c>
      <c r="G3930">
        <f>LOG(382/(7+1))</f>
        <v>1.6789733759197651</v>
      </c>
      <c r="H3930">
        <f>0.00704225352112676*3.86597906692673</f>
        <v>2.7225204696667112E-2</v>
      </c>
      <c r="I3930">
        <v>2.7225204696667182E-2</v>
      </c>
    </row>
    <row r="3931" spans="1:9" x14ac:dyDescent="0.25">
      <c r="A3931">
        <v>296</v>
      </c>
      <c r="B3931" t="s">
        <v>1726</v>
      </c>
      <c r="C3931" t="s">
        <v>48</v>
      </c>
      <c r="D3931" t="s">
        <v>1446</v>
      </c>
      <c r="E3931">
        <f t="shared" si="179"/>
        <v>7.0422535211267607E-3</v>
      </c>
      <c r="F3931">
        <v>8</v>
      </c>
      <c r="G3931">
        <f>LOG(382/(8+1))</f>
        <v>1.6278208534723839</v>
      </c>
      <c r="H3931">
        <f>0.00704225352112676*3.74819603127035</f>
        <v>2.639574669908697E-2</v>
      </c>
      <c r="I3931">
        <v>2.6395746699087012E-2</v>
      </c>
    </row>
    <row r="3932" spans="1:9" x14ac:dyDescent="0.25">
      <c r="A3932">
        <v>296</v>
      </c>
      <c r="B3932" t="s">
        <v>1726</v>
      </c>
      <c r="C3932" t="s">
        <v>48</v>
      </c>
      <c r="D3932" t="s">
        <v>1633</v>
      </c>
      <c r="E3932">
        <f t="shared" si="179"/>
        <v>7.0422535211267607E-3</v>
      </c>
      <c r="F3932">
        <v>18</v>
      </c>
      <c r="G3932">
        <f>LOG(382/(18+1))</f>
        <v>1.3033097619588798</v>
      </c>
      <c r="H3932">
        <f>0.00704225352112676*3.00098162944013</f>
        <v>2.1133673446761477E-2</v>
      </c>
      <c r="I3932">
        <v>2.1133673446761508E-2</v>
      </c>
    </row>
    <row r="3933" spans="1:9" x14ac:dyDescent="0.25">
      <c r="A3933">
        <v>296</v>
      </c>
      <c r="B3933" t="s">
        <v>1726</v>
      </c>
      <c r="C3933" t="s">
        <v>48</v>
      </c>
      <c r="D3933" t="s">
        <v>1652</v>
      </c>
      <c r="E3933">
        <f t="shared" si="179"/>
        <v>7.0422535211267607E-3</v>
      </c>
      <c r="F3933">
        <v>7</v>
      </c>
      <c r="G3933">
        <f>LOG(382/(7+1))</f>
        <v>1.6789733759197651</v>
      </c>
      <c r="H3933">
        <f>0.00704225352112676*3.86597906692673</f>
        <v>2.7225204696667112E-2</v>
      </c>
      <c r="I3933">
        <v>2.7225204696667182E-2</v>
      </c>
    </row>
    <row r="3934" spans="1:9" x14ac:dyDescent="0.25">
      <c r="A3934">
        <v>296</v>
      </c>
      <c r="B3934" t="s">
        <v>1726</v>
      </c>
      <c r="C3934" t="s">
        <v>48</v>
      </c>
      <c r="D3934" t="s">
        <v>236</v>
      </c>
      <c r="E3934">
        <f t="shared" si="179"/>
        <v>7.0422535211267607E-3</v>
      </c>
      <c r="F3934">
        <v>87</v>
      </c>
      <c r="G3934">
        <f>LOG(382/(87+1))</f>
        <v>0.63758069076154011</v>
      </c>
      <c r="H3934">
        <f>0.00704225352112676*1.46808379412836</f>
        <v>1.0338618268509576E-2</v>
      </c>
      <c r="I3934">
        <v>1.0338618268509641E-2</v>
      </c>
    </row>
    <row r="3935" spans="1:9" x14ac:dyDescent="0.25">
      <c r="A3935">
        <v>296</v>
      </c>
      <c r="B3935" t="s">
        <v>1726</v>
      </c>
      <c r="C3935" t="s">
        <v>48</v>
      </c>
      <c r="D3935" t="s">
        <v>133</v>
      </c>
      <c r="E3935">
        <f>2/142</f>
        <v>1.4084507042253521E-2</v>
      </c>
      <c r="F3935">
        <v>142</v>
      </c>
      <c r="G3935">
        <f>LOG(382/(142+1))</f>
        <v>0.42672732544664693</v>
      </c>
      <c r="H3935">
        <f>0.0140845070422535*0.982575978346667</f>
        <v>1.3839098286572754E-2</v>
      </c>
      <c r="I3935">
        <v>1.3839098286572789E-2</v>
      </c>
    </row>
    <row r="3936" spans="1:9" x14ac:dyDescent="0.25">
      <c r="A3936">
        <v>296</v>
      </c>
      <c r="B3936" t="s">
        <v>1726</v>
      </c>
      <c r="C3936" t="s">
        <v>48</v>
      </c>
      <c r="D3936" t="s">
        <v>1749</v>
      </c>
      <c r="E3936">
        <f>1/142</f>
        <v>7.0422535211267607E-3</v>
      </c>
      <c r="F3936">
        <v>3</v>
      </c>
      <c r="G3936">
        <f>LOG(382/(3+1))</f>
        <v>1.9800033715837464</v>
      </c>
      <c r="H3936">
        <f>0.00704225352112676*4.55912624748668</f>
        <v>3.2106522869624503E-2</v>
      </c>
      <c r="I3936">
        <v>3.2106522869624537E-2</v>
      </c>
    </row>
    <row r="3937" spans="1:9" x14ac:dyDescent="0.25">
      <c r="A3937">
        <v>296</v>
      </c>
      <c r="B3937" t="s">
        <v>1726</v>
      </c>
      <c r="C3937" t="s">
        <v>48</v>
      </c>
      <c r="D3937" t="s">
        <v>1143</v>
      </c>
      <c r="E3937">
        <f>1/142</f>
        <v>7.0422535211267607E-3</v>
      </c>
      <c r="F3937">
        <v>2</v>
      </c>
      <c r="G3937">
        <f>LOG(382/(2+1))</f>
        <v>2.1049421081920463</v>
      </c>
      <c r="H3937">
        <f>0.00704225352112676*4.84680831993846</f>
        <v>3.4132452957313097E-2</v>
      </c>
      <c r="I3937">
        <v>3.4132452957313139E-2</v>
      </c>
    </row>
    <row r="3938" spans="1:9" x14ac:dyDescent="0.25">
      <c r="A3938">
        <v>296</v>
      </c>
      <c r="B3938" t="s">
        <v>1726</v>
      </c>
      <c r="C3938" t="s">
        <v>48</v>
      </c>
      <c r="E3938">
        <f>1/142</f>
        <v>7.0422535211267607E-3</v>
      </c>
      <c r="F3938">
        <v>20</v>
      </c>
      <c r="G3938">
        <f>LOG(382/(20+1))</f>
        <v>1.2598440681777894</v>
      </c>
      <c r="H3938">
        <f>0.00704225352112676*2.90089817088315</f>
        <v>2.0428860358332041E-2</v>
      </c>
      <c r="I3938">
        <v>2.0428860358332059E-2</v>
      </c>
    </row>
    <row r="3939" spans="1:9" x14ac:dyDescent="0.25">
      <c r="A3939">
        <v>297</v>
      </c>
      <c r="B3939" t="s">
        <v>1750</v>
      </c>
      <c r="C3939" t="s">
        <v>48</v>
      </c>
      <c r="D3939" t="s">
        <v>179</v>
      </c>
      <c r="E3939">
        <f>5/101</f>
        <v>4.9504950495049507E-2</v>
      </c>
      <c r="F3939">
        <v>15</v>
      </c>
      <c r="G3939">
        <f>LOG(382/(15+1))</f>
        <v>1.3779433802557839</v>
      </c>
      <c r="H3939">
        <f>0.0495049504950495*3.17283188636679</f>
        <v>0.15707088546370246</v>
      </c>
      <c r="I3939">
        <v>0.15707088546370271</v>
      </c>
    </row>
    <row r="3940" spans="1:9" x14ac:dyDescent="0.25">
      <c r="A3940">
        <v>297</v>
      </c>
      <c r="B3940" t="s">
        <v>1750</v>
      </c>
      <c r="C3940" t="s">
        <v>48</v>
      </c>
      <c r="D3940" t="s">
        <v>189</v>
      </c>
      <c r="E3940">
        <f>4/101</f>
        <v>3.9603960396039604E-2</v>
      </c>
      <c r="F3940">
        <v>27</v>
      </c>
      <c r="G3940">
        <f>LOG(382/(27+1))</f>
        <v>1.1349053315694895</v>
      </c>
      <c r="H3940">
        <f>0.0396039603960396*2.61321609843137</f>
        <v>0.1034937068685691</v>
      </c>
      <c r="I3940">
        <v>0.10349370686856919</v>
      </c>
    </row>
    <row r="3941" spans="1:9" x14ac:dyDescent="0.25">
      <c r="A3941">
        <v>297</v>
      </c>
      <c r="B3941" t="s">
        <v>1750</v>
      </c>
      <c r="C3941" t="s">
        <v>48</v>
      </c>
      <c r="D3941" t="s">
        <v>1751</v>
      </c>
      <c r="E3941">
        <f>6/101</f>
        <v>5.9405940594059403E-2</v>
      </c>
      <c r="F3941">
        <v>1</v>
      </c>
      <c r="G3941">
        <f>LOG(382/(1+1))</f>
        <v>2.2810333672477277</v>
      </c>
      <c r="H3941">
        <f>0.0594059405940594*5.25227342804663</f>
        <v>0.31201624325029481</v>
      </c>
      <c r="I3941">
        <v>0.31201624325029481</v>
      </c>
    </row>
    <row r="3942" spans="1:9" x14ac:dyDescent="0.25">
      <c r="A3942">
        <v>297</v>
      </c>
      <c r="B3942" t="s">
        <v>1750</v>
      </c>
      <c r="C3942" t="s">
        <v>48</v>
      </c>
      <c r="D3942" t="s">
        <v>781</v>
      </c>
      <c r="E3942">
        <f>1/101</f>
        <v>9.9009900990099011E-3</v>
      </c>
      <c r="F3942">
        <v>8</v>
      </c>
      <c r="G3942">
        <f>LOG(382/(8+1))</f>
        <v>1.6278208534723839</v>
      </c>
      <c r="H3942">
        <f>0.0099009900990099*3.74819603127035</f>
        <v>3.7110851794755935E-2</v>
      </c>
      <c r="I3942">
        <v>3.7110851794755997E-2</v>
      </c>
    </row>
    <row r="3943" spans="1:9" x14ac:dyDescent="0.25">
      <c r="A3943">
        <v>297</v>
      </c>
      <c r="B3943" t="s">
        <v>1750</v>
      </c>
      <c r="C3943" t="s">
        <v>48</v>
      </c>
      <c r="D3943" t="s">
        <v>58</v>
      </c>
      <c r="E3943">
        <f>1/101</f>
        <v>9.9009900990099011E-3</v>
      </c>
      <c r="F3943">
        <v>18</v>
      </c>
      <c r="G3943">
        <f>LOG(382/(18+1))</f>
        <v>1.3033097619588798</v>
      </c>
      <c r="H3943">
        <f>0.0099009900990099*3.00098162944013</f>
        <v>2.9712689400397323E-2</v>
      </c>
      <c r="I3943">
        <v>2.9712689400397368E-2</v>
      </c>
    </row>
    <row r="3944" spans="1:9" x14ac:dyDescent="0.25">
      <c r="A3944">
        <v>297</v>
      </c>
      <c r="B3944" t="s">
        <v>1750</v>
      </c>
      <c r="C3944" t="s">
        <v>48</v>
      </c>
      <c r="D3944" t="s">
        <v>695</v>
      </c>
      <c r="E3944">
        <f>2/101</f>
        <v>1.9801980198019802E-2</v>
      </c>
      <c r="F3944">
        <v>13</v>
      </c>
      <c r="G3944">
        <f>LOG(382/(13+1))</f>
        <v>1.4359353272334707</v>
      </c>
      <c r="H3944">
        <f>0.0198019801980198*3.30636327899131</f>
        <v>6.5472540178045741E-2</v>
      </c>
      <c r="I3944">
        <v>6.5472540178045865E-2</v>
      </c>
    </row>
    <row r="3945" spans="1:9" x14ac:dyDescent="0.25">
      <c r="A3945">
        <v>297</v>
      </c>
      <c r="B3945" t="s">
        <v>1750</v>
      </c>
      <c r="C3945" t="s">
        <v>48</v>
      </c>
      <c r="D3945" t="s">
        <v>262</v>
      </c>
      <c r="E3945">
        <f>2/101</f>
        <v>1.9801980198019802E-2</v>
      </c>
      <c r="F3945">
        <v>13</v>
      </c>
      <c r="G3945">
        <f>LOG(382/(13+1))</f>
        <v>1.4359353272334707</v>
      </c>
      <c r="H3945">
        <f>0.0198019801980198*3.30636327899131</f>
        <v>6.5472540178045741E-2</v>
      </c>
      <c r="I3945">
        <v>6.5472540178045865E-2</v>
      </c>
    </row>
    <row r="3946" spans="1:9" x14ac:dyDescent="0.25">
      <c r="A3946">
        <v>297</v>
      </c>
      <c r="B3946" t="s">
        <v>1750</v>
      </c>
      <c r="C3946" t="s">
        <v>48</v>
      </c>
      <c r="D3946" t="s">
        <v>1023</v>
      </c>
      <c r="E3946">
        <f>1/101</f>
        <v>9.9009900990099011E-3</v>
      </c>
      <c r="F3946">
        <v>2</v>
      </c>
      <c r="G3946">
        <f>LOG(382/(2+1))</f>
        <v>2.1049421081920463</v>
      </c>
      <c r="H3946">
        <f>0.0099009900990099*4.84680831993846</f>
        <v>4.7988201187509495E-2</v>
      </c>
      <c r="I3946">
        <v>4.7988201187509558E-2</v>
      </c>
    </row>
    <row r="3947" spans="1:9" x14ac:dyDescent="0.25">
      <c r="A3947">
        <v>297</v>
      </c>
      <c r="B3947" t="s">
        <v>1750</v>
      </c>
      <c r="C3947" t="s">
        <v>48</v>
      </c>
      <c r="D3947" t="s">
        <v>187</v>
      </c>
      <c r="E3947">
        <f>3/101</f>
        <v>2.9702970297029702E-2</v>
      </c>
      <c r="F3947">
        <v>21</v>
      </c>
      <c r="G3947">
        <f>LOG(382/(21+1))</f>
        <v>1.2396406820895025</v>
      </c>
      <c r="H3947">
        <f>0.0297029702970297*2.85437815524825</f>
        <v>8.4783509561829201E-2</v>
      </c>
      <c r="I3947">
        <v>8.4783509561829479E-2</v>
      </c>
    </row>
    <row r="3948" spans="1:9" x14ac:dyDescent="0.25">
      <c r="A3948">
        <v>297</v>
      </c>
      <c r="B3948" t="s">
        <v>1750</v>
      </c>
      <c r="C3948" t="s">
        <v>48</v>
      </c>
      <c r="D3948" t="s">
        <v>144</v>
      </c>
      <c r="E3948">
        <f>4/101</f>
        <v>3.9603960396039604E-2</v>
      </c>
      <c r="F3948">
        <v>105</v>
      </c>
      <c r="G3948">
        <f>LOG(382/(105+1))</f>
        <v>0.55675749764693849</v>
      </c>
      <c r="H3948">
        <f>0.0396039603960396*1.2819815144945</f>
        <v>5.0771545128495035E-2</v>
      </c>
      <c r="I3948">
        <v>5.0771545128495361E-2</v>
      </c>
    </row>
    <row r="3949" spans="1:9" x14ac:dyDescent="0.25">
      <c r="A3949">
        <v>297</v>
      </c>
      <c r="B3949" t="s">
        <v>1750</v>
      </c>
      <c r="C3949" t="s">
        <v>48</v>
      </c>
      <c r="D3949" t="s">
        <v>17</v>
      </c>
      <c r="E3949">
        <f>1/101</f>
        <v>9.9009900990099011E-3</v>
      </c>
      <c r="F3949">
        <v>169</v>
      </c>
      <c r="G3949">
        <f>LOG(382/(169+1))</f>
        <v>0.3516144415334348</v>
      </c>
      <c r="H3949">
        <f>0.0099009900990099*0.809622171556313</f>
        <v>8.0160611045179495E-3</v>
      </c>
      <c r="I3949">
        <v>8.0160611045179547E-3</v>
      </c>
    </row>
    <row r="3950" spans="1:9" x14ac:dyDescent="0.25">
      <c r="A3950">
        <v>297</v>
      </c>
      <c r="B3950" t="s">
        <v>1750</v>
      </c>
      <c r="C3950" t="s">
        <v>48</v>
      </c>
      <c r="D3950" t="s">
        <v>158</v>
      </c>
      <c r="E3950">
        <f>1/101</f>
        <v>9.9009900990099011E-3</v>
      </c>
      <c r="F3950">
        <v>5</v>
      </c>
      <c r="G3950">
        <f>LOG(382/(5+1))</f>
        <v>1.803912112528065</v>
      </c>
      <c r="H3950">
        <f>0.0099009900990099*4.15366113937852</f>
        <v>4.1125357815628906E-2</v>
      </c>
      <c r="I3950">
        <v>4.1125357815628913E-2</v>
      </c>
    </row>
    <row r="3951" spans="1:9" x14ac:dyDescent="0.25">
      <c r="A3951">
        <v>297</v>
      </c>
      <c r="B3951" t="s">
        <v>1750</v>
      </c>
      <c r="C3951" t="s">
        <v>48</v>
      </c>
      <c r="D3951" t="s">
        <v>19</v>
      </c>
      <c r="E3951">
        <f>1/101</f>
        <v>9.9009900990099011E-3</v>
      </c>
      <c r="F3951">
        <v>220</v>
      </c>
      <c r="G3951">
        <f>LOG(382/(220+1))</f>
        <v>0.23767108922659805</v>
      </c>
      <c r="H3951">
        <f>0.0099009900990099*0.547257907088822</f>
        <v>5.4183951196913067E-3</v>
      </c>
      <c r="I3951">
        <v>5.418395119691311E-3</v>
      </c>
    </row>
    <row r="3952" spans="1:9" x14ac:dyDescent="0.25">
      <c r="A3952">
        <v>297</v>
      </c>
      <c r="B3952" t="s">
        <v>1750</v>
      </c>
      <c r="C3952" t="s">
        <v>48</v>
      </c>
      <c r="D3952" t="s">
        <v>1238</v>
      </c>
      <c r="E3952">
        <f>1/101</f>
        <v>9.9009900990099011E-3</v>
      </c>
      <c r="F3952">
        <v>10</v>
      </c>
      <c r="G3952">
        <f>LOG(382/(10+1))</f>
        <v>1.5406706777534838</v>
      </c>
      <c r="H3952">
        <f>0.0099009900990099*3.5475253358082</f>
        <v>3.5124013225823758E-2</v>
      </c>
      <c r="I3952">
        <v>3.5124013225823807E-2</v>
      </c>
    </row>
    <row r="3953" spans="1:9" x14ac:dyDescent="0.25">
      <c r="A3953">
        <v>297</v>
      </c>
      <c r="B3953" t="s">
        <v>1750</v>
      </c>
      <c r="C3953" t="s">
        <v>48</v>
      </c>
      <c r="D3953" t="s">
        <v>23</v>
      </c>
      <c r="E3953">
        <f>2/101</f>
        <v>1.9801980198019802E-2</v>
      </c>
      <c r="F3953">
        <v>275</v>
      </c>
      <c r="G3953">
        <f>LOG(382/(275+1))</f>
        <v>0.14115428084649101</v>
      </c>
      <c r="H3953">
        <f>0.0198019801980198*0.325019742889425</f>
        <v>6.4360345126618793E-3</v>
      </c>
      <c r="I3953">
        <v>6.4360345126618836E-3</v>
      </c>
    </row>
    <row r="3954" spans="1:9" x14ac:dyDescent="0.25">
      <c r="A3954">
        <v>297</v>
      </c>
      <c r="B3954" t="s">
        <v>1750</v>
      </c>
      <c r="C3954" t="s">
        <v>48</v>
      </c>
      <c r="D3954" t="s">
        <v>22</v>
      </c>
      <c r="E3954">
        <f>1/101</f>
        <v>9.9009900990099011E-3</v>
      </c>
      <c r="F3954">
        <v>259</v>
      </c>
      <c r="G3954">
        <f>LOG(382/(259+1))</f>
        <v>0.16709001494089079</v>
      </c>
      <c r="H3954">
        <f>0.0099009900990099*0.384738977591047</f>
        <v>3.8092968078321482E-3</v>
      </c>
      <c r="I3954">
        <v>3.8092968078321538E-3</v>
      </c>
    </row>
    <row r="3955" spans="1:9" x14ac:dyDescent="0.25">
      <c r="A3955">
        <v>297</v>
      </c>
      <c r="B3955" t="s">
        <v>1750</v>
      </c>
      <c r="C3955" t="s">
        <v>48</v>
      </c>
      <c r="D3955" t="s">
        <v>1211</v>
      </c>
      <c r="E3955">
        <f>1/101</f>
        <v>9.9009900990099011E-3</v>
      </c>
      <c r="F3955">
        <v>3</v>
      </c>
      <c r="G3955">
        <f>LOG(382/(3+1))</f>
        <v>1.9800033715837464</v>
      </c>
      <c r="H3955">
        <f>0.0099009900990099*4.55912624748668</f>
        <v>4.5139863836501773E-2</v>
      </c>
      <c r="I3955">
        <v>4.5139863836501828E-2</v>
      </c>
    </row>
    <row r="3956" spans="1:9" x14ac:dyDescent="0.25">
      <c r="A3956">
        <v>297</v>
      </c>
      <c r="B3956" t="s">
        <v>1750</v>
      </c>
      <c r="C3956" t="s">
        <v>48</v>
      </c>
      <c r="D3956" t="s">
        <v>1752</v>
      </c>
      <c r="E3956">
        <f>1/101</f>
        <v>9.9009900990099011E-3</v>
      </c>
      <c r="F3956">
        <v>2</v>
      </c>
      <c r="G3956">
        <f>LOG(382/(2+1))</f>
        <v>2.1049421081920463</v>
      </c>
      <c r="H3956">
        <f>0.0099009900990099*4.84680831993846</f>
        <v>4.7988201187509495E-2</v>
      </c>
      <c r="I3956">
        <v>4.7988201187509558E-2</v>
      </c>
    </row>
    <row r="3957" spans="1:9" x14ac:dyDescent="0.25">
      <c r="A3957">
        <v>297</v>
      </c>
      <c r="B3957" t="s">
        <v>1750</v>
      </c>
      <c r="C3957" t="s">
        <v>48</v>
      </c>
      <c r="D3957" t="s">
        <v>1753</v>
      </c>
      <c r="E3957">
        <f>1/101</f>
        <v>9.9009900990099011E-3</v>
      </c>
      <c r="F3957">
        <v>2</v>
      </c>
      <c r="G3957">
        <f>LOG(382/(2+1))</f>
        <v>2.1049421081920463</v>
      </c>
      <c r="H3957">
        <f>0.0099009900990099*4.84680831993846</f>
        <v>4.7988201187509495E-2</v>
      </c>
      <c r="I3957">
        <v>4.7988201187509558E-2</v>
      </c>
    </row>
    <row r="3958" spans="1:9" x14ac:dyDescent="0.25">
      <c r="A3958">
        <v>297</v>
      </c>
      <c r="B3958" t="s">
        <v>1750</v>
      </c>
      <c r="C3958" t="s">
        <v>48</v>
      </c>
      <c r="D3958" t="s">
        <v>52</v>
      </c>
      <c r="E3958">
        <f>3/101</f>
        <v>2.9702970297029702E-2</v>
      </c>
      <c r="F3958">
        <v>35</v>
      </c>
      <c r="G3958">
        <f>LOG(382/(35+1))</f>
        <v>1.0257608621444214</v>
      </c>
      <c r="H3958">
        <f>0.0297029702970297*2.36190167015046</f>
        <v>7.0155495152983957E-2</v>
      </c>
      <c r="I3958">
        <v>7.015549515298411E-2</v>
      </c>
    </row>
    <row r="3959" spans="1:9" x14ac:dyDescent="0.25">
      <c r="A3959">
        <v>297</v>
      </c>
      <c r="B3959" t="s">
        <v>1750</v>
      </c>
      <c r="C3959" t="s">
        <v>48</v>
      </c>
      <c r="D3959" t="s">
        <v>408</v>
      </c>
      <c r="E3959">
        <f>3/101</f>
        <v>2.9702970297029702E-2</v>
      </c>
      <c r="F3959">
        <v>27</v>
      </c>
      <c r="G3959">
        <f>LOG(382/(27+1))</f>
        <v>1.1349053315694895</v>
      </c>
      <c r="H3959">
        <f>0.0297029702970297*2.61321609843137</f>
        <v>7.7620280151426829E-2</v>
      </c>
      <c r="I3959">
        <v>7.7620280151426857E-2</v>
      </c>
    </row>
    <row r="3960" spans="1:9" x14ac:dyDescent="0.25">
      <c r="A3960">
        <v>297</v>
      </c>
      <c r="B3960" t="s">
        <v>1750</v>
      </c>
      <c r="C3960" t="s">
        <v>48</v>
      </c>
      <c r="D3960" t="s">
        <v>1131</v>
      </c>
      <c r="E3960">
        <f t="shared" ref="E3960:E3966" si="180">1/101</f>
        <v>9.9009900990099011E-3</v>
      </c>
      <c r="F3960">
        <v>6</v>
      </c>
      <c r="G3960">
        <f>LOG(382/(6+1))</f>
        <v>1.736965322897452</v>
      </c>
      <c r="H3960">
        <f>0.0099009900990099*3.99951045955126</f>
        <v>3.9599113460903557E-2</v>
      </c>
      <c r="I3960">
        <v>3.9599113460903577E-2</v>
      </c>
    </row>
    <row r="3961" spans="1:9" x14ac:dyDescent="0.25">
      <c r="A3961">
        <v>297</v>
      </c>
      <c r="B3961" t="s">
        <v>1750</v>
      </c>
      <c r="C3961" t="s">
        <v>48</v>
      </c>
      <c r="D3961" t="s">
        <v>60</v>
      </c>
      <c r="E3961">
        <f t="shared" si="180"/>
        <v>9.9009900990099011E-3</v>
      </c>
      <c r="F3961">
        <v>24</v>
      </c>
      <c r="G3961">
        <f>LOG(382/(24+1))</f>
        <v>1.1841233542396712</v>
      </c>
      <c r="H3961">
        <f>0.0099009900990099*2.72654478373837</f>
        <v>2.6995492908300688E-2</v>
      </c>
      <c r="I3961">
        <v>2.699549290830074E-2</v>
      </c>
    </row>
    <row r="3962" spans="1:9" x14ac:dyDescent="0.25">
      <c r="A3962">
        <v>297</v>
      </c>
      <c r="B3962" t="s">
        <v>1750</v>
      </c>
      <c r="C3962" t="s">
        <v>48</v>
      </c>
      <c r="D3962" t="s">
        <v>1754</v>
      </c>
      <c r="E3962">
        <f t="shared" si="180"/>
        <v>9.9009900990099011E-3</v>
      </c>
      <c r="F3962">
        <v>1</v>
      </c>
      <c r="G3962">
        <f>LOG(382/(1+1))</f>
        <v>2.2810333672477277</v>
      </c>
      <c r="H3962">
        <f>0.0099009900990099*5.25227342804663</f>
        <v>5.2002707208382466E-2</v>
      </c>
      <c r="I3962">
        <v>5.2002707208382473E-2</v>
      </c>
    </row>
    <row r="3963" spans="1:9" x14ac:dyDescent="0.25">
      <c r="A3963">
        <v>297</v>
      </c>
      <c r="B3963" t="s">
        <v>1750</v>
      </c>
      <c r="C3963" t="s">
        <v>48</v>
      </c>
      <c r="D3963" t="s">
        <v>307</v>
      </c>
      <c r="E3963">
        <f t="shared" si="180"/>
        <v>9.9009900990099011E-3</v>
      </c>
      <c r="F3963">
        <v>67</v>
      </c>
      <c r="G3963">
        <f>LOG(382/(67+1))</f>
        <v>0.7495544502054724</v>
      </c>
      <c r="H3963">
        <f>0.0099009900990099*1.72591290343046</f>
        <v>1.7088246568618414E-2</v>
      </c>
      <c r="I3963">
        <v>1.7088246568618501E-2</v>
      </c>
    </row>
    <row r="3964" spans="1:9" x14ac:dyDescent="0.25">
      <c r="A3964">
        <v>297</v>
      </c>
      <c r="B3964" t="s">
        <v>1750</v>
      </c>
      <c r="C3964" t="s">
        <v>48</v>
      </c>
      <c r="D3964" t="s">
        <v>24</v>
      </c>
      <c r="E3964">
        <f t="shared" si="180"/>
        <v>9.9009900990099011E-3</v>
      </c>
      <c r="F3964">
        <v>59</v>
      </c>
      <c r="G3964">
        <f>LOG(382/(59+1))</f>
        <v>0.80391211252806505</v>
      </c>
      <c r="H3964">
        <f>0.0099009900990099*1.85107604638447</f>
        <v>1.8327485607767025E-2</v>
      </c>
      <c r="I3964">
        <v>1.832748560776707E-2</v>
      </c>
    </row>
    <row r="3965" spans="1:9" x14ac:dyDescent="0.25">
      <c r="A3965">
        <v>297</v>
      </c>
      <c r="B3965" t="s">
        <v>1750</v>
      </c>
      <c r="C3965" t="s">
        <v>48</v>
      </c>
      <c r="D3965" t="s">
        <v>582</v>
      </c>
      <c r="E3965">
        <f t="shared" si="180"/>
        <v>9.9009900990099011E-3</v>
      </c>
      <c r="F3965">
        <v>14</v>
      </c>
      <c r="G3965">
        <f>LOG(382/(14+1))</f>
        <v>1.4059721038560276</v>
      </c>
      <c r="H3965">
        <f>0.0099009900990099*3.23737040750436</f>
        <v>3.2053172351528311E-2</v>
      </c>
      <c r="I3965">
        <v>3.2053172351528367E-2</v>
      </c>
    </row>
    <row r="3966" spans="1:9" x14ac:dyDescent="0.25">
      <c r="A3966">
        <v>297</v>
      </c>
      <c r="B3966" t="s">
        <v>1750</v>
      </c>
      <c r="C3966" t="s">
        <v>48</v>
      </c>
      <c r="D3966" t="s">
        <v>403</v>
      </c>
      <c r="E3966">
        <f t="shared" si="180"/>
        <v>9.9009900990099011E-3</v>
      </c>
      <c r="F3966">
        <v>11</v>
      </c>
      <c r="G3966">
        <f>LOG(382/(11+1))</f>
        <v>1.5028821168640838</v>
      </c>
      <c r="H3966">
        <f>0.0099009900990099*3.46051395881857</f>
        <v>3.4262514443748213E-2</v>
      </c>
      <c r="I3966">
        <v>3.4262514443748268E-2</v>
      </c>
    </row>
    <row r="3967" spans="1:9" x14ac:dyDescent="0.25">
      <c r="A3967">
        <v>297</v>
      </c>
      <c r="B3967" t="s">
        <v>1750</v>
      </c>
      <c r="C3967" t="s">
        <v>48</v>
      </c>
      <c r="D3967" t="s">
        <v>53</v>
      </c>
      <c r="E3967">
        <f>3/101</f>
        <v>2.9702970297029702E-2</v>
      </c>
      <c r="F3967">
        <v>57</v>
      </c>
      <c r="G3967">
        <f>LOG(382/(57+1))</f>
        <v>0.81863536934877146</v>
      </c>
      <c r="H3967">
        <f>0.0297029702970297*1.88497759806015</f>
        <v>5.5989433605747027E-2</v>
      </c>
      <c r="I3967">
        <v>5.5989433605747201E-2</v>
      </c>
    </row>
    <row r="3968" spans="1:9" x14ac:dyDescent="0.25">
      <c r="A3968">
        <v>297</v>
      </c>
      <c r="B3968" t="s">
        <v>1750</v>
      </c>
      <c r="C3968" t="s">
        <v>48</v>
      </c>
      <c r="D3968" t="s">
        <v>61</v>
      </c>
      <c r="E3968">
        <f t="shared" ref="E3968:E3975" si="181">1/101</f>
        <v>9.9009900990099011E-3</v>
      </c>
      <c r="F3968">
        <v>6</v>
      </c>
      <c r="G3968">
        <f>LOG(382/(6+1))</f>
        <v>1.736965322897452</v>
      </c>
      <c r="H3968">
        <f>0.0099009900990099*3.99951045955126</f>
        <v>3.9599113460903557E-2</v>
      </c>
      <c r="I3968">
        <v>3.9599113460903577E-2</v>
      </c>
    </row>
    <row r="3969" spans="1:9" x14ac:dyDescent="0.25">
      <c r="A3969">
        <v>297</v>
      </c>
      <c r="B3969" t="s">
        <v>1750</v>
      </c>
      <c r="C3969" t="s">
        <v>48</v>
      </c>
      <c r="D3969" t="s">
        <v>62</v>
      </c>
      <c r="E3969">
        <f t="shared" si="181"/>
        <v>9.9009900990099011E-3</v>
      </c>
      <c r="F3969">
        <v>6</v>
      </c>
      <c r="G3969">
        <f>LOG(382/(6+1))</f>
        <v>1.736965322897452</v>
      </c>
      <c r="H3969">
        <f>0.0099009900990099*3.99951045955126</f>
        <v>3.9599113460903557E-2</v>
      </c>
      <c r="I3969">
        <v>3.9599113460903577E-2</v>
      </c>
    </row>
    <row r="3970" spans="1:9" x14ac:dyDescent="0.25">
      <c r="A3970">
        <v>297</v>
      </c>
      <c r="B3970" t="s">
        <v>1750</v>
      </c>
      <c r="C3970" t="s">
        <v>48</v>
      </c>
      <c r="D3970" t="s">
        <v>1337</v>
      </c>
      <c r="E3970">
        <f t="shared" si="181"/>
        <v>9.9009900990099011E-3</v>
      </c>
      <c r="F3970">
        <v>2</v>
      </c>
      <c r="G3970">
        <f>LOG(382/(2+1))</f>
        <v>2.1049421081920463</v>
      </c>
      <c r="H3970">
        <f>0.0099009900990099*4.84680831993846</f>
        <v>4.7988201187509495E-2</v>
      </c>
      <c r="I3970">
        <v>4.7988201187509558E-2</v>
      </c>
    </row>
    <row r="3971" spans="1:9" x14ac:dyDescent="0.25">
      <c r="A3971">
        <v>297</v>
      </c>
      <c r="B3971" t="s">
        <v>1750</v>
      </c>
      <c r="C3971" t="s">
        <v>48</v>
      </c>
      <c r="D3971" t="s">
        <v>188</v>
      </c>
      <c r="E3971">
        <f t="shared" si="181"/>
        <v>9.9009900990099011E-3</v>
      </c>
      <c r="F3971">
        <v>19</v>
      </c>
      <c r="G3971">
        <f>LOG(382/(19+1))</f>
        <v>1.2810333672477277</v>
      </c>
      <c r="H3971">
        <f>0.0099009900990099*2.94968833505258</f>
        <v>2.9204835000520589E-2</v>
      </c>
      <c r="I3971">
        <v>2.9204835000520641E-2</v>
      </c>
    </row>
    <row r="3972" spans="1:9" x14ac:dyDescent="0.25">
      <c r="A3972">
        <v>297</v>
      </c>
      <c r="B3972" t="s">
        <v>1750</v>
      </c>
      <c r="C3972" t="s">
        <v>48</v>
      </c>
      <c r="D3972" t="s">
        <v>758</v>
      </c>
      <c r="E3972">
        <f t="shared" si="181"/>
        <v>9.9009900990099011E-3</v>
      </c>
      <c r="F3972">
        <v>26</v>
      </c>
      <c r="G3972">
        <f>LOG(382/(26+1))</f>
        <v>1.1506995987527215</v>
      </c>
      <c r="H3972">
        <f>0.0099009900990099*2.64958374260224</f>
        <v>2.6233502402002371E-2</v>
      </c>
      <c r="I3972">
        <v>2.6233502402002441E-2</v>
      </c>
    </row>
    <row r="3973" spans="1:9" x14ac:dyDescent="0.25">
      <c r="A3973">
        <v>297</v>
      </c>
      <c r="B3973" t="s">
        <v>1750</v>
      </c>
      <c r="C3973" t="s">
        <v>48</v>
      </c>
      <c r="D3973" t="s">
        <v>42</v>
      </c>
      <c r="E3973">
        <f t="shared" si="181"/>
        <v>9.9009900990099011E-3</v>
      </c>
      <c r="F3973">
        <v>251</v>
      </c>
      <c r="G3973">
        <f>LOG(382/(251+1))</f>
        <v>0.18066282213016463</v>
      </c>
      <c r="H3973">
        <f>0.0099009900990099*0.415991521095151</f>
        <v>4.1187279316351579E-3</v>
      </c>
      <c r="I3973">
        <v>4.1187279316351674E-3</v>
      </c>
    </row>
    <row r="3974" spans="1:9" x14ac:dyDescent="0.25">
      <c r="A3974">
        <v>297</v>
      </c>
      <c r="B3974" t="s">
        <v>1750</v>
      </c>
      <c r="C3974" t="s">
        <v>48</v>
      </c>
      <c r="D3974" t="s">
        <v>260</v>
      </c>
      <c r="E3974">
        <f t="shared" si="181"/>
        <v>9.9009900990099011E-3</v>
      </c>
      <c r="F3974">
        <v>31</v>
      </c>
      <c r="G3974">
        <f>LOG(382/(31+1))</f>
        <v>1.0769133845918029</v>
      </c>
      <c r="H3974">
        <f>0.0099009900990099*2.47968470580684</f>
        <v>2.4551333720859797E-2</v>
      </c>
      <c r="I3974">
        <v>2.4551333720859891E-2</v>
      </c>
    </row>
    <row r="3975" spans="1:9" x14ac:dyDescent="0.25">
      <c r="A3975">
        <v>297</v>
      </c>
      <c r="B3975" t="s">
        <v>1750</v>
      </c>
      <c r="C3975" t="s">
        <v>48</v>
      </c>
      <c r="D3975" t="s">
        <v>25</v>
      </c>
      <c r="E3975">
        <f t="shared" si="181"/>
        <v>9.9009900990099011E-3</v>
      </c>
      <c r="F3975">
        <v>106</v>
      </c>
      <c r="G3975">
        <f>LOG(382/(106+1))</f>
        <v>0.55267958522649907</v>
      </c>
      <c r="H3975">
        <f>0.0099009900990099*1.27259177414466</f>
        <v>1.2599918555887721E-2</v>
      </c>
      <c r="I3975">
        <v>1.259991855588781E-2</v>
      </c>
    </row>
    <row r="3976" spans="1:9" x14ac:dyDescent="0.25">
      <c r="A3976">
        <v>297</v>
      </c>
      <c r="B3976" t="s">
        <v>1750</v>
      </c>
      <c r="C3976" t="s">
        <v>48</v>
      </c>
      <c r="D3976" t="s">
        <v>76</v>
      </c>
      <c r="E3976">
        <f>2/101</f>
        <v>1.9801980198019802E-2</v>
      </c>
      <c r="F3976">
        <v>140</v>
      </c>
      <c r="G3976">
        <f>LOG(382/(140+1))</f>
        <v>0.43284425025632883</v>
      </c>
      <c r="H3976">
        <f>0.0198019801980198*0.996660718228407</f>
        <v>1.9735855806503104E-2</v>
      </c>
      <c r="I3976">
        <v>1.9735855806503111E-2</v>
      </c>
    </row>
    <row r="3977" spans="1:9" x14ac:dyDescent="0.25">
      <c r="A3977">
        <v>297</v>
      </c>
      <c r="B3977" t="s">
        <v>1750</v>
      </c>
      <c r="C3977" t="s">
        <v>48</v>
      </c>
      <c r="D3977" t="s">
        <v>77</v>
      </c>
      <c r="E3977">
        <f>2/101</f>
        <v>1.9801980198019802E-2</v>
      </c>
      <c r="F3977">
        <v>148</v>
      </c>
      <c r="G3977">
        <f>LOG(382/(148+1))</f>
        <v>0.40887709449943471</v>
      </c>
      <c r="H3977">
        <f>0.0198019801980198*0.941474302661116</f>
        <v>1.8643055498239917E-2</v>
      </c>
      <c r="I3977">
        <v>1.864305549823992E-2</v>
      </c>
    </row>
    <row r="3978" spans="1:9" x14ac:dyDescent="0.25">
      <c r="A3978">
        <v>297</v>
      </c>
      <c r="B3978" t="s">
        <v>1750</v>
      </c>
      <c r="C3978" t="s">
        <v>48</v>
      </c>
      <c r="D3978" t="s">
        <v>913</v>
      </c>
      <c r="E3978">
        <f>1/101</f>
        <v>9.9009900990099011E-3</v>
      </c>
      <c r="F3978">
        <v>14</v>
      </c>
      <c r="G3978">
        <f>LOG(382/(14+1))</f>
        <v>1.4059721038560276</v>
      </c>
      <c r="H3978">
        <f>0.0099009900990099*3.23737040750436</f>
        <v>3.2053172351528311E-2</v>
      </c>
      <c r="I3978">
        <v>3.2053172351528367E-2</v>
      </c>
    </row>
    <row r="3979" spans="1:9" x14ac:dyDescent="0.25">
      <c r="A3979">
        <v>297</v>
      </c>
      <c r="B3979" t="s">
        <v>1750</v>
      </c>
      <c r="C3979" t="s">
        <v>48</v>
      </c>
      <c r="D3979" t="s">
        <v>40</v>
      </c>
      <c r="E3979">
        <f>2/101</f>
        <v>1.9801980198019802E-2</v>
      </c>
      <c r="F3979">
        <v>159</v>
      </c>
      <c r="G3979">
        <f>LOG(382/(159+1))</f>
        <v>0.377943380255784</v>
      </c>
      <c r="H3979">
        <f>0.0198019801980198*0.870246793372748</f>
        <v>1.7232609769757382E-2</v>
      </c>
      <c r="I3979">
        <v>1.7232609769757389E-2</v>
      </c>
    </row>
    <row r="3980" spans="1:9" x14ac:dyDescent="0.25">
      <c r="A3980">
        <v>297</v>
      </c>
      <c r="B3980" t="s">
        <v>1750</v>
      </c>
      <c r="C3980" t="s">
        <v>48</v>
      </c>
      <c r="D3980" t="s">
        <v>41</v>
      </c>
      <c r="E3980">
        <f>2/101</f>
        <v>1.9801980198019802E-2</v>
      </c>
      <c r="F3980">
        <v>195</v>
      </c>
      <c r="G3980">
        <f>LOG(382/(195+1))</f>
        <v>0.28980729155523272</v>
      </c>
      <c r="H3980">
        <f>0.0198019801980198*0.667305949376058</f>
        <v>1.3213979195565504E-2</v>
      </c>
      <c r="I3980">
        <v>1.3213979195565511E-2</v>
      </c>
    </row>
    <row r="3981" spans="1:9" x14ac:dyDescent="0.25">
      <c r="A3981">
        <v>297</v>
      </c>
      <c r="B3981" t="s">
        <v>1750</v>
      </c>
      <c r="C3981" t="s">
        <v>48</v>
      </c>
      <c r="D3981" t="s">
        <v>215</v>
      </c>
      <c r="E3981">
        <f>1/101</f>
        <v>9.9009900990099011E-3</v>
      </c>
      <c r="F3981">
        <v>25</v>
      </c>
      <c r="G3981">
        <f>LOG(382/(25+1))</f>
        <v>1.1670900149408907</v>
      </c>
      <c r="H3981">
        <f>0.0099009900990099*2.68732407058509</f>
        <v>2.6607169015693957E-2</v>
      </c>
      <c r="I3981">
        <v>2.6607169015693991E-2</v>
      </c>
    </row>
    <row r="3982" spans="1:9" x14ac:dyDescent="0.25">
      <c r="A3982">
        <v>297</v>
      </c>
      <c r="B3982" t="s">
        <v>1750</v>
      </c>
      <c r="C3982" t="s">
        <v>48</v>
      </c>
      <c r="D3982" t="s">
        <v>216</v>
      </c>
      <c r="E3982">
        <f>1/101</f>
        <v>9.9009900990099011E-3</v>
      </c>
      <c r="F3982">
        <v>63</v>
      </c>
      <c r="G3982">
        <f>LOG(382/(63+1))</f>
        <v>0.7758833889278216</v>
      </c>
      <c r="H3982">
        <f>0.0099009900990099*1.7865375252469</f>
        <v>1.7688490348979204E-2</v>
      </c>
      <c r="I3982">
        <v>1.7688490348979239E-2</v>
      </c>
    </row>
    <row r="3983" spans="1:9" x14ac:dyDescent="0.25">
      <c r="A3983">
        <v>297</v>
      </c>
      <c r="B3983" t="s">
        <v>1750</v>
      </c>
      <c r="C3983" t="s">
        <v>48</v>
      </c>
      <c r="D3983" t="s">
        <v>219</v>
      </c>
      <c r="E3983">
        <f>1/101</f>
        <v>9.9009900990099011E-3</v>
      </c>
      <c r="F3983">
        <v>19</v>
      </c>
      <c r="G3983">
        <f>LOG(382/(19+1))</f>
        <v>1.2810333672477277</v>
      </c>
      <c r="H3983">
        <f>0.0099009900990099*2.94968833505258</f>
        <v>2.9204835000520589E-2</v>
      </c>
      <c r="I3983">
        <v>2.9204835000520641E-2</v>
      </c>
    </row>
    <row r="3984" spans="1:9" x14ac:dyDescent="0.25">
      <c r="A3984">
        <v>297</v>
      </c>
      <c r="B3984" t="s">
        <v>1750</v>
      </c>
      <c r="C3984" t="s">
        <v>48</v>
      </c>
      <c r="D3984" t="s">
        <v>1385</v>
      </c>
      <c r="E3984">
        <f>1/101</f>
        <v>9.9009900990099011E-3</v>
      </c>
      <c r="F3984">
        <v>2</v>
      </c>
      <c r="G3984">
        <f>LOG(382/(2+1))</f>
        <v>2.1049421081920463</v>
      </c>
      <c r="H3984">
        <f>0.0099009900990099*4.84680831993846</f>
        <v>4.7988201187509495E-2</v>
      </c>
      <c r="I3984">
        <v>4.7988201187509558E-2</v>
      </c>
    </row>
    <row r="3985" spans="1:9" x14ac:dyDescent="0.25">
      <c r="A3985">
        <v>297</v>
      </c>
      <c r="B3985" t="s">
        <v>1750</v>
      </c>
      <c r="C3985" t="s">
        <v>48</v>
      </c>
      <c r="D3985" t="s">
        <v>126</v>
      </c>
      <c r="E3985">
        <f>1/101</f>
        <v>9.9009900990099011E-3</v>
      </c>
      <c r="F3985">
        <v>79</v>
      </c>
      <c r="G3985">
        <f>LOG(382/(79+1))</f>
        <v>0.67897337591976514</v>
      </c>
      <c r="H3985">
        <f>0.0099009900990099*1.56339397393269</f>
        <v>1.5479148256759305E-2</v>
      </c>
      <c r="I3985">
        <v>1.5479148256759339E-2</v>
      </c>
    </row>
    <row r="3986" spans="1:9" x14ac:dyDescent="0.25">
      <c r="A3986">
        <v>297</v>
      </c>
      <c r="B3986" t="s">
        <v>1750</v>
      </c>
      <c r="C3986" t="s">
        <v>48</v>
      </c>
      <c r="D3986" t="s">
        <v>50</v>
      </c>
      <c r="E3986">
        <f>3/101</f>
        <v>2.9702970297029702E-2</v>
      </c>
      <c r="F3986">
        <v>109</v>
      </c>
      <c r="G3986">
        <f>LOG(382/(109+1))</f>
        <v>0.54067067775348365</v>
      </c>
      <c r="H3986">
        <f>0.0297029702970297*1.24494024281415</f>
        <v>3.6978423053885642E-2</v>
      </c>
      <c r="I3986">
        <v>3.6978423053885913E-2</v>
      </c>
    </row>
    <row r="3987" spans="1:9" x14ac:dyDescent="0.25">
      <c r="A3987">
        <v>297</v>
      </c>
      <c r="B3987" t="s">
        <v>1750</v>
      </c>
      <c r="C3987" t="s">
        <v>48</v>
      </c>
      <c r="D3987" t="s">
        <v>1755</v>
      </c>
      <c r="E3987">
        <f t="shared" ref="E3987:E3993" si="182">1/101</f>
        <v>9.9009900990099011E-3</v>
      </c>
      <c r="F3987">
        <v>2</v>
      </c>
      <c r="G3987">
        <f>LOG(382/(2+1))</f>
        <v>2.1049421081920463</v>
      </c>
      <c r="H3987">
        <f>0.0099009900990099*4.84680831993846</f>
        <v>4.7988201187509495E-2</v>
      </c>
      <c r="I3987">
        <v>4.7988201187509558E-2</v>
      </c>
    </row>
    <row r="3988" spans="1:9" x14ac:dyDescent="0.25">
      <c r="A3988">
        <v>297</v>
      </c>
      <c r="B3988" t="s">
        <v>1750</v>
      </c>
      <c r="C3988" t="s">
        <v>48</v>
      </c>
      <c r="D3988" t="s">
        <v>1756</v>
      </c>
      <c r="E3988">
        <f t="shared" si="182"/>
        <v>9.9009900990099011E-3</v>
      </c>
      <c r="F3988">
        <v>1</v>
      </c>
      <c r="G3988">
        <f>LOG(382/(1+1))</f>
        <v>2.2810333672477277</v>
      </c>
      <c r="H3988">
        <f>0.0099009900990099*5.25227342804663</f>
        <v>5.2002707208382466E-2</v>
      </c>
      <c r="I3988">
        <v>5.2002707208382473E-2</v>
      </c>
    </row>
    <row r="3989" spans="1:9" x14ac:dyDescent="0.25">
      <c r="A3989">
        <v>297</v>
      </c>
      <c r="B3989" t="s">
        <v>1750</v>
      </c>
      <c r="C3989" t="s">
        <v>48</v>
      </c>
      <c r="D3989" t="s">
        <v>416</v>
      </c>
      <c r="E3989">
        <f t="shared" si="182"/>
        <v>9.9009900990099011E-3</v>
      </c>
      <c r="F3989">
        <v>5</v>
      </c>
      <c r="G3989">
        <f>LOG(382/(5+1))</f>
        <v>1.803912112528065</v>
      </c>
      <c r="H3989">
        <f>0.0099009900990099*4.15366113937852</f>
        <v>4.1125357815628906E-2</v>
      </c>
      <c r="I3989">
        <v>4.1125357815628913E-2</v>
      </c>
    </row>
    <row r="3990" spans="1:9" x14ac:dyDescent="0.25">
      <c r="A3990">
        <v>297</v>
      </c>
      <c r="B3990" t="s">
        <v>1750</v>
      </c>
      <c r="C3990" t="s">
        <v>48</v>
      </c>
      <c r="D3990" t="s">
        <v>1644</v>
      </c>
      <c r="E3990">
        <f t="shared" si="182"/>
        <v>9.9009900990099011E-3</v>
      </c>
      <c r="F3990">
        <v>4</v>
      </c>
      <c r="G3990">
        <f>LOG(382/(4+1))</f>
        <v>1.8830933585756899</v>
      </c>
      <c r="H3990">
        <f>0.0099009900990099*4.33598269617247</f>
        <v>4.2930521744281878E-2</v>
      </c>
      <c r="I3990">
        <v>4.2930521744281927E-2</v>
      </c>
    </row>
    <row r="3991" spans="1:9" x14ac:dyDescent="0.25">
      <c r="A3991">
        <v>297</v>
      </c>
      <c r="B3991" t="s">
        <v>1750</v>
      </c>
      <c r="C3991" t="s">
        <v>48</v>
      </c>
      <c r="D3991" t="s">
        <v>1757</v>
      </c>
      <c r="E3991">
        <f t="shared" si="182"/>
        <v>9.9009900990099011E-3</v>
      </c>
      <c r="F3991">
        <v>2</v>
      </c>
      <c r="G3991">
        <f>LOG(382/(2+1))</f>
        <v>2.1049421081920463</v>
      </c>
      <c r="H3991">
        <f>0.0099009900990099*4.84680831993846</f>
        <v>4.7988201187509495E-2</v>
      </c>
      <c r="I3991">
        <v>4.7988201187509558E-2</v>
      </c>
    </row>
    <row r="3992" spans="1:9" x14ac:dyDescent="0.25">
      <c r="A3992">
        <v>297</v>
      </c>
      <c r="B3992" t="s">
        <v>1750</v>
      </c>
      <c r="C3992" t="s">
        <v>48</v>
      </c>
      <c r="D3992" t="s">
        <v>98</v>
      </c>
      <c r="E3992">
        <f t="shared" si="182"/>
        <v>9.9009900990099011E-3</v>
      </c>
      <c r="F3992">
        <v>56</v>
      </c>
      <c r="G3992">
        <f>LOG(382/(56+1))</f>
        <v>0.82618850723921733</v>
      </c>
      <c r="H3992">
        <f>0.0099009900990099*1.90236934077202</f>
        <v>1.883534000764376E-2</v>
      </c>
      <c r="I3992">
        <v>1.8835340007643812E-2</v>
      </c>
    </row>
    <row r="3993" spans="1:9" x14ac:dyDescent="0.25">
      <c r="A3993">
        <v>297</v>
      </c>
      <c r="B3993" t="s">
        <v>1750</v>
      </c>
      <c r="C3993" t="s">
        <v>48</v>
      </c>
      <c r="D3993" t="s">
        <v>803</v>
      </c>
      <c r="E3993">
        <f t="shared" si="182"/>
        <v>9.9009900990099011E-3</v>
      </c>
      <c r="F3993">
        <v>3</v>
      </c>
      <c r="G3993">
        <f>LOG(382/(3+1))</f>
        <v>1.9800033715837464</v>
      </c>
      <c r="H3993">
        <f>0.0099009900990099*4.55912624748668</f>
        <v>4.5139863836501773E-2</v>
      </c>
      <c r="I3993">
        <v>4.5139863836501828E-2</v>
      </c>
    </row>
    <row r="3994" spans="1:9" x14ac:dyDescent="0.25">
      <c r="A3994">
        <v>297</v>
      </c>
      <c r="B3994" t="s">
        <v>1750</v>
      </c>
      <c r="C3994" t="s">
        <v>48</v>
      </c>
      <c r="D3994" t="s">
        <v>224</v>
      </c>
      <c r="E3994">
        <f>2/101</f>
        <v>1.9801980198019802E-2</v>
      </c>
      <c r="F3994">
        <v>16</v>
      </c>
      <c r="G3994">
        <f>LOG(382/(16+1))</f>
        <v>1.3516144415334348</v>
      </c>
      <c r="H3994">
        <f>0.0198019801980198*3.11220726455035</f>
        <v>6.1627866624759393E-2</v>
      </c>
      <c r="I3994">
        <v>6.1627866624759588E-2</v>
      </c>
    </row>
    <row r="3995" spans="1:9" x14ac:dyDescent="0.25">
      <c r="A3995">
        <v>297</v>
      </c>
      <c r="B3995" t="s">
        <v>1750</v>
      </c>
      <c r="C3995" t="s">
        <v>48</v>
      </c>
      <c r="D3995" t="s">
        <v>54</v>
      </c>
      <c r="E3995">
        <f>2/101</f>
        <v>1.9801980198019802E-2</v>
      </c>
      <c r="F3995">
        <v>25</v>
      </c>
      <c r="G3995">
        <f>LOG(382/(25+1))</f>
        <v>1.1670900149408907</v>
      </c>
      <c r="H3995">
        <f>0.0198019801980198*2.68732407058509</f>
        <v>5.3214338031387913E-2</v>
      </c>
      <c r="I3995">
        <v>5.3214338031387982E-2</v>
      </c>
    </row>
    <row r="3996" spans="1:9" x14ac:dyDescent="0.25">
      <c r="A3996">
        <v>297</v>
      </c>
      <c r="B3996" t="s">
        <v>1750</v>
      </c>
      <c r="C3996" t="s">
        <v>48</v>
      </c>
      <c r="D3996" t="s">
        <v>739</v>
      </c>
      <c r="E3996">
        <f t="shared" ref="E3996:E4005" si="183">1/101</f>
        <v>9.9009900990099011E-3</v>
      </c>
      <c r="F3996">
        <v>24</v>
      </c>
      <c r="G3996">
        <f>LOG(382/(24+1))</f>
        <v>1.1841233542396712</v>
      </c>
      <c r="H3996">
        <f>0.0099009900990099*2.72654478373837</f>
        <v>2.6995492908300688E-2</v>
      </c>
      <c r="I3996">
        <v>2.699549290830074E-2</v>
      </c>
    </row>
    <row r="3997" spans="1:9" x14ac:dyDescent="0.25">
      <c r="A3997">
        <v>297</v>
      </c>
      <c r="B3997" t="s">
        <v>1750</v>
      </c>
      <c r="C3997" t="s">
        <v>48</v>
      </c>
      <c r="D3997" t="s">
        <v>765</v>
      </c>
      <c r="E3997">
        <f t="shared" si="183"/>
        <v>9.9009900990099011E-3</v>
      </c>
      <c r="F3997">
        <v>44</v>
      </c>
      <c r="G3997">
        <f>LOG(382/(44+1))</f>
        <v>0.92885084913636506</v>
      </c>
      <c r="H3997">
        <f>0.0099009900990099*2.13875811883625</f>
        <v>2.1175822958774747E-2</v>
      </c>
      <c r="I3997">
        <v>2.11758229587748E-2</v>
      </c>
    </row>
    <row r="3998" spans="1:9" x14ac:dyDescent="0.25">
      <c r="A3998">
        <v>297</v>
      </c>
      <c r="B3998" t="s">
        <v>1750</v>
      </c>
      <c r="C3998" t="s">
        <v>48</v>
      </c>
      <c r="D3998" t="s">
        <v>222</v>
      </c>
      <c r="E3998">
        <f t="shared" si="183"/>
        <v>9.9009900990099011E-3</v>
      </c>
      <c r="F3998">
        <v>22</v>
      </c>
      <c r="G3998">
        <f>LOG(382/(22+1))</f>
        <v>1.2203355268941158</v>
      </c>
      <c r="H3998">
        <f>0.0099009900990099*2.80992639267742</f>
        <v>2.7821053392845737E-2</v>
      </c>
      <c r="I3998">
        <v>2.7821053392845799E-2</v>
      </c>
    </row>
    <row r="3999" spans="1:9" x14ac:dyDescent="0.25">
      <c r="A3999">
        <v>297</v>
      </c>
      <c r="B3999" t="s">
        <v>1750</v>
      </c>
      <c r="C3999" t="s">
        <v>48</v>
      </c>
      <c r="D3999" t="s">
        <v>237</v>
      </c>
      <c r="E3999">
        <f t="shared" si="183"/>
        <v>9.9009900990099011E-3</v>
      </c>
      <c r="F3999">
        <v>138</v>
      </c>
      <c r="G3999">
        <f>LOG(382/(138+1))</f>
        <v>0.43904856265761361</v>
      </c>
      <c r="H3999">
        <f>0.0099009900990099*1.01094667547588</f>
        <v>1.0009373024513662E-2</v>
      </c>
      <c r="I3999">
        <v>1.00093730245137E-2</v>
      </c>
    </row>
    <row r="4000" spans="1:9" x14ac:dyDescent="0.25">
      <c r="A4000">
        <v>297</v>
      </c>
      <c r="B4000" t="s">
        <v>1750</v>
      </c>
      <c r="C4000" t="s">
        <v>48</v>
      </c>
      <c r="D4000" t="s">
        <v>133</v>
      </c>
      <c r="E4000">
        <f t="shared" si="183"/>
        <v>9.9009900990099011E-3</v>
      </c>
      <c r="F4000">
        <v>142</v>
      </c>
      <c r="G4000">
        <f>LOG(382/(142+1))</f>
        <v>0.42672732544664693</v>
      </c>
      <c r="H4000">
        <f>0.0099009900990099*0.982575978346667</f>
        <v>9.728475033135316E-3</v>
      </c>
      <c r="I4000">
        <v>9.7284750331353264E-3</v>
      </c>
    </row>
    <row r="4001" spans="1:9" x14ac:dyDescent="0.25">
      <c r="A4001">
        <v>297</v>
      </c>
      <c r="B4001" t="s">
        <v>1750</v>
      </c>
      <c r="C4001" t="s">
        <v>48</v>
      </c>
      <c r="D4001" t="s">
        <v>487</v>
      </c>
      <c r="E4001">
        <f t="shared" si="183"/>
        <v>9.9009900990099011E-3</v>
      </c>
      <c r="F4001">
        <v>32</v>
      </c>
      <c r="G4001">
        <f>LOG(382/(32+1))</f>
        <v>1.0635494230338212</v>
      </c>
      <c r="H4001">
        <f>0.0099009900990099*2.44891304714009</f>
        <v>2.4246663833070194E-2</v>
      </c>
      <c r="I4001">
        <v>2.424666383307025E-2</v>
      </c>
    </row>
    <row r="4002" spans="1:9" x14ac:dyDescent="0.25">
      <c r="A4002">
        <v>297</v>
      </c>
      <c r="B4002" t="s">
        <v>1750</v>
      </c>
      <c r="C4002" t="s">
        <v>48</v>
      </c>
      <c r="D4002" t="s">
        <v>939</v>
      </c>
      <c r="E4002">
        <f t="shared" si="183"/>
        <v>9.9009900990099011E-3</v>
      </c>
      <c r="F4002">
        <v>35</v>
      </c>
      <c r="G4002">
        <f>LOG(382/(35+1))</f>
        <v>1.0257608621444214</v>
      </c>
      <c r="H4002">
        <f>0.0099009900990099*2.36190167015046</f>
        <v>2.3385165050994649E-2</v>
      </c>
      <c r="I4002">
        <v>2.3385165050994701E-2</v>
      </c>
    </row>
    <row r="4003" spans="1:9" x14ac:dyDescent="0.25">
      <c r="A4003">
        <v>297</v>
      </c>
      <c r="B4003" t="s">
        <v>1750</v>
      </c>
      <c r="C4003" t="s">
        <v>48</v>
      </c>
      <c r="D4003" t="s">
        <v>38</v>
      </c>
      <c r="E4003">
        <f t="shared" si="183"/>
        <v>9.9009900990099011E-3</v>
      </c>
      <c r="F4003">
        <v>86</v>
      </c>
      <c r="G4003">
        <f>LOG(382/(86+1))</f>
        <v>0.64254411029309022</v>
      </c>
      <c r="H4003">
        <f>0.0099009900990099*1.47951248995199</f>
        <v>1.4648638514376136E-2</v>
      </c>
      <c r="I4003">
        <v>1.464863851437615E-2</v>
      </c>
    </row>
    <row r="4004" spans="1:9" x14ac:dyDescent="0.25">
      <c r="A4004">
        <v>297</v>
      </c>
      <c r="B4004" t="s">
        <v>1750</v>
      </c>
      <c r="C4004" t="s">
        <v>48</v>
      </c>
      <c r="D4004" t="s">
        <v>247</v>
      </c>
      <c r="E4004">
        <f t="shared" si="183"/>
        <v>9.9009900990099011E-3</v>
      </c>
      <c r="F4004">
        <v>121</v>
      </c>
      <c r="G4004">
        <f>LOG(382/(121+1))</f>
        <v>0.49570353223696051</v>
      </c>
      <c r="H4004">
        <f>0.0099009900990099*1.14139956387331</f>
        <v>1.130098578092386E-2</v>
      </c>
      <c r="I4004">
        <v>1.130098578092395E-2</v>
      </c>
    </row>
    <row r="4005" spans="1:9" x14ac:dyDescent="0.25">
      <c r="A4005">
        <v>297</v>
      </c>
      <c r="B4005" t="s">
        <v>1750</v>
      </c>
      <c r="C4005" t="s">
        <v>48</v>
      </c>
      <c r="D4005" t="s">
        <v>131</v>
      </c>
      <c r="E4005">
        <f t="shared" si="183"/>
        <v>9.9009900990099011E-3</v>
      </c>
      <c r="F4005">
        <v>38</v>
      </c>
      <c r="G4005">
        <f>LOG(382/(38+1))</f>
        <v>0.99099875588520958</v>
      </c>
      <c r="H4005">
        <f>0.0099009900990099*2.28185896247692</f>
        <v>2.2592662994820989E-2</v>
      </c>
      <c r="I4005">
        <v>2.2592662994821079E-2</v>
      </c>
    </row>
    <row r="4006" spans="1:9" x14ac:dyDescent="0.25">
      <c r="A4006">
        <v>298</v>
      </c>
      <c r="B4006" t="s">
        <v>1758</v>
      </c>
      <c r="C4006" t="s">
        <v>48</v>
      </c>
      <c r="D4006" t="s">
        <v>870</v>
      </c>
      <c r="E4006">
        <f t="shared" ref="E4006:E4025" si="184">1/20</f>
        <v>0.05</v>
      </c>
      <c r="F4006">
        <v>2</v>
      </c>
      <c r="G4006">
        <f>LOG(382/(2+1))</f>
        <v>2.1049421081920463</v>
      </c>
      <c r="H4006">
        <f>0.05*4.84680831993846</f>
        <v>0.24234041599692302</v>
      </c>
      <c r="I4006">
        <v>0.2423404159969233</v>
      </c>
    </row>
    <row r="4007" spans="1:9" x14ac:dyDescent="0.25">
      <c r="A4007">
        <v>298</v>
      </c>
      <c r="B4007" t="s">
        <v>1758</v>
      </c>
      <c r="C4007" t="s">
        <v>48</v>
      </c>
      <c r="D4007" t="s">
        <v>871</v>
      </c>
      <c r="E4007">
        <f t="shared" si="184"/>
        <v>0.05</v>
      </c>
      <c r="F4007">
        <v>9</v>
      </c>
      <c r="G4007">
        <f>LOG(382/(9+1))</f>
        <v>1.5820633629117087</v>
      </c>
      <c r="H4007">
        <f>0.05*3.64283551561252</f>
        <v>0.18214177578062601</v>
      </c>
      <c r="I4007">
        <v>0.18214177578062651</v>
      </c>
    </row>
    <row r="4008" spans="1:9" x14ac:dyDescent="0.25">
      <c r="A4008">
        <v>298</v>
      </c>
      <c r="B4008" t="s">
        <v>1758</v>
      </c>
      <c r="C4008" t="s">
        <v>48</v>
      </c>
      <c r="D4008" t="s">
        <v>872</v>
      </c>
      <c r="E4008">
        <f t="shared" si="184"/>
        <v>0.05</v>
      </c>
      <c r="F4008">
        <v>9</v>
      </c>
      <c r="G4008">
        <f>LOG(382/(9+1))</f>
        <v>1.5820633629117087</v>
      </c>
      <c r="H4008">
        <f>0.05*3.64283551561252</f>
        <v>0.18214177578062601</v>
      </c>
      <c r="I4008">
        <v>0.18214177578062651</v>
      </c>
    </row>
    <row r="4009" spans="1:9" x14ac:dyDescent="0.25">
      <c r="A4009">
        <v>298</v>
      </c>
      <c r="B4009" t="s">
        <v>1758</v>
      </c>
      <c r="C4009" t="s">
        <v>48</v>
      </c>
      <c r="D4009" t="s">
        <v>1759</v>
      </c>
      <c r="E4009">
        <f t="shared" si="184"/>
        <v>0.05</v>
      </c>
      <c r="F4009">
        <v>1</v>
      </c>
      <c r="G4009">
        <f>LOG(382/(1+1))</f>
        <v>2.2810333672477277</v>
      </c>
      <c r="H4009">
        <f>0.05*5.25227342804663</f>
        <v>0.26261367140233149</v>
      </c>
      <c r="I4009">
        <v>0.26261367140233149</v>
      </c>
    </row>
    <row r="4010" spans="1:9" x14ac:dyDescent="0.25">
      <c r="A4010">
        <v>298</v>
      </c>
      <c r="B4010" t="s">
        <v>1758</v>
      </c>
      <c r="C4010" t="s">
        <v>48</v>
      </c>
      <c r="D4010" t="s">
        <v>192</v>
      </c>
      <c r="E4010">
        <f t="shared" si="184"/>
        <v>0.05</v>
      </c>
      <c r="F4010">
        <v>5</v>
      </c>
      <c r="G4010">
        <f>LOG(382/(5+1))</f>
        <v>1.803912112528065</v>
      </c>
      <c r="H4010">
        <f>0.05*4.15366113937852</f>
        <v>0.207683056968926</v>
      </c>
      <c r="I4010">
        <v>0.207683056968926</v>
      </c>
    </row>
    <row r="4011" spans="1:9" x14ac:dyDescent="0.25">
      <c r="A4011">
        <v>298</v>
      </c>
      <c r="B4011" t="s">
        <v>1758</v>
      </c>
      <c r="C4011" t="s">
        <v>48</v>
      </c>
      <c r="D4011" t="s">
        <v>193</v>
      </c>
      <c r="E4011">
        <f t="shared" si="184"/>
        <v>0.05</v>
      </c>
      <c r="F4011">
        <v>10</v>
      </c>
      <c r="G4011">
        <f>LOG(382/(10+1))</f>
        <v>1.5406706777534838</v>
      </c>
      <c r="H4011">
        <f>0.05*3.5475253358082</f>
        <v>0.17737626679041002</v>
      </c>
      <c r="I4011">
        <v>0.17737626679041019</v>
      </c>
    </row>
    <row r="4012" spans="1:9" x14ac:dyDescent="0.25">
      <c r="A4012">
        <v>298</v>
      </c>
      <c r="B4012" t="s">
        <v>1758</v>
      </c>
      <c r="C4012" t="s">
        <v>48</v>
      </c>
      <c r="D4012" t="s">
        <v>144</v>
      </c>
      <c r="E4012">
        <f t="shared" si="184"/>
        <v>0.05</v>
      </c>
      <c r="F4012">
        <v>105</v>
      </c>
      <c r="G4012">
        <f>LOG(382/(105+1))</f>
        <v>0.55675749764693849</v>
      </c>
      <c r="H4012">
        <f>0.05*1.2819815144945</f>
        <v>6.4099075724724994E-2</v>
      </c>
      <c r="I4012">
        <v>6.4099075724725396E-2</v>
      </c>
    </row>
    <row r="4013" spans="1:9" x14ac:dyDescent="0.25">
      <c r="A4013">
        <v>298</v>
      </c>
      <c r="B4013" t="s">
        <v>1758</v>
      </c>
      <c r="C4013" t="s">
        <v>48</v>
      </c>
      <c r="D4013" t="s">
        <v>168</v>
      </c>
      <c r="E4013">
        <f t="shared" si="184"/>
        <v>0.05</v>
      </c>
      <c r="F4013">
        <v>34</v>
      </c>
      <c r="G4013">
        <f>LOG(382/(34+1))</f>
        <v>1.037995318561433</v>
      </c>
      <c r="H4013">
        <f>0.05*2.39007254711716</f>
        <v>0.11950362735585801</v>
      </c>
      <c r="I4013">
        <v>0.11950362735585809</v>
      </c>
    </row>
    <row r="4014" spans="1:9" x14ac:dyDescent="0.25">
      <c r="A4014">
        <v>298</v>
      </c>
      <c r="B4014" t="s">
        <v>1758</v>
      </c>
      <c r="C4014" t="s">
        <v>48</v>
      </c>
      <c r="D4014" t="s">
        <v>22</v>
      </c>
      <c r="E4014">
        <f t="shared" si="184"/>
        <v>0.05</v>
      </c>
      <c r="F4014">
        <v>259</v>
      </c>
      <c r="G4014">
        <f>LOG(382/(259+1))</f>
        <v>0.16709001494089079</v>
      </c>
      <c r="H4014">
        <f>0.05*0.384738977591047</f>
        <v>1.9236948879552351E-2</v>
      </c>
      <c r="I4014">
        <v>1.9236948879552379E-2</v>
      </c>
    </row>
    <row r="4015" spans="1:9" x14ac:dyDescent="0.25">
      <c r="A4015">
        <v>298</v>
      </c>
      <c r="B4015" t="s">
        <v>1758</v>
      </c>
      <c r="C4015" t="s">
        <v>48</v>
      </c>
      <c r="D4015" t="s">
        <v>23</v>
      </c>
      <c r="E4015">
        <f t="shared" si="184"/>
        <v>0.05</v>
      </c>
      <c r="F4015">
        <v>275</v>
      </c>
      <c r="G4015">
        <f>LOG(382/(275+1))</f>
        <v>0.14115428084649101</v>
      </c>
      <c r="H4015">
        <f>0.05*0.325019742889425</f>
        <v>1.6250987144471249E-2</v>
      </c>
      <c r="I4015">
        <v>1.6250987144471259E-2</v>
      </c>
    </row>
    <row r="4016" spans="1:9" x14ac:dyDescent="0.25">
      <c r="A4016">
        <v>298</v>
      </c>
      <c r="B4016" t="s">
        <v>1758</v>
      </c>
      <c r="C4016" t="s">
        <v>48</v>
      </c>
      <c r="D4016" t="s">
        <v>204</v>
      </c>
      <c r="E4016">
        <f t="shared" si="184"/>
        <v>0.05</v>
      </c>
      <c r="F4016">
        <v>166</v>
      </c>
      <c r="G4016">
        <f>LOG(382/(166+1))</f>
        <v>0.35934689176412549</v>
      </c>
      <c r="H4016">
        <f>0.05*0.82742679618982</f>
        <v>4.1371339809491002E-2</v>
      </c>
      <c r="I4016">
        <v>4.1371339809491009E-2</v>
      </c>
    </row>
    <row r="4017" spans="1:9" x14ac:dyDescent="0.25">
      <c r="A4017">
        <v>298</v>
      </c>
      <c r="B4017" t="s">
        <v>1758</v>
      </c>
      <c r="C4017" t="s">
        <v>48</v>
      </c>
      <c r="D4017" t="s">
        <v>767</v>
      </c>
      <c r="E4017">
        <f t="shared" si="184"/>
        <v>0.05</v>
      </c>
      <c r="F4017">
        <v>47</v>
      </c>
      <c r="G4017">
        <f>LOG(382/(47+1))</f>
        <v>0.90082212553612151</v>
      </c>
      <c r="H4017">
        <f>0.05*2.07421959769868</f>
        <v>0.10371097988493401</v>
      </c>
      <c r="I4017">
        <v>0.1037109798849342</v>
      </c>
    </row>
    <row r="4018" spans="1:9" x14ac:dyDescent="0.25">
      <c r="A4018">
        <v>298</v>
      </c>
      <c r="B4018" t="s">
        <v>1758</v>
      </c>
      <c r="C4018" t="s">
        <v>48</v>
      </c>
      <c r="D4018" t="s">
        <v>874</v>
      </c>
      <c r="E4018">
        <f t="shared" si="184"/>
        <v>0.05</v>
      </c>
      <c r="F4018">
        <v>4</v>
      </c>
      <c r="G4018">
        <f>LOG(382/(4+1))</f>
        <v>1.8830933585756899</v>
      </c>
      <c r="H4018">
        <f>0.05*4.33598269617247</f>
        <v>0.21679913480862353</v>
      </c>
      <c r="I4018">
        <v>0.21679913480862381</v>
      </c>
    </row>
    <row r="4019" spans="1:9" x14ac:dyDescent="0.25">
      <c r="A4019">
        <v>298</v>
      </c>
      <c r="B4019" t="s">
        <v>1758</v>
      </c>
      <c r="C4019" t="s">
        <v>48</v>
      </c>
      <c r="D4019" t="s">
        <v>875</v>
      </c>
      <c r="E4019">
        <f t="shared" si="184"/>
        <v>0.05</v>
      </c>
      <c r="F4019">
        <v>2</v>
      </c>
      <c r="G4019">
        <f>LOG(382/(2+1))</f>
        <v>2.1049421081920463</v>
      </c>
      <c r="H4019">
        <f>0.05*4.84680831993846</f>
        <v>0.24234041599692302</v>
      </c>
      <c r="I4019">
        <v>0.2423404159969233</v>
      </c>
    </row>
    <row r="4020" spans="1:9" x14ac:dyDescent="0.25">
      <c r="A4020">
        <v>298</v>
      </c>
      <c r="B4020" t="s">
        <v>1758</v>
      </c>
      <c r="C4020" t="s">
        <v>48</v>
      </c>
      <c r="D4020" t="s">
        <v>811</v>
      </c>
      <c r="E4020">
        <f t="shared" si="184"/>
        <v>0.05</v>
      </c>
      <c r="F4020">
        <v>27</v>
      </c>
      <c r="G4020">
        <f>LOG(382/(27+1))</f>
        <v>1.1349053315694895</v>
      </c>
      <c r="H4020">
        <f>0.05*2.61321609843137</f>
        <v>0.13066080492156851</v>
      </c>
      <c r="I4020">
        <v>0.13066080492156859</v>
      </c>
    </row>
    <row r="4021" spans="1:9" x14ac:dyDescent="0.25">
      <c r="A4021">
        <v>298</v>
      </c>
      <c r="B4021" t="s">
        <v>1758</v>
      </c>
      <c r="C4021" t="s">
        <v>48</v>
      </c>
      <c r="D4021" t="s">
        <v>876</v>
      </c>
      <c r="E4021">
        <f t="shared" si="184"/>
        <v>0.05</v>
      </c>
      <c r="F4021">
        <v>2</v>
      </c>
      <c r="G4021">
        <f>LOG(382/(2+1))</f>
        <v>2.1049421081920463</v>
      </c>
      <c r="H4021">
        <f>0.05*4.84680831993846</f>
        <v>0.24234041599692302</v>
      </c>
      <c r="I4021">
        <v>0.2423404159969233</v>
      </c>
    </row>
    <row r="4022" spans="1:9" x14ac:dyDescent="0.25">
      <c r="A4022">
        <v>298</v>
      </c>
      <c r="B4022" t="s">
        <v>1758</v>
      </c>
      <c r="C4022" t="s">
        <v>48</v>
      </c>
      <c r="D4022" t="s">
        <v>877</v>
      </c>
      <c r="E4022">
        <f t="shared" si="184"/>
        <v>0.05</v>
      </c>
      <c r="F4022">
        <v>2</v>
      </c>
      <c r="G4022">
        <f>LOG(382/(2+1))</f>
        <v>2.1049421081920463</v>
      </c>
      <c r="H4022">
        <f>0.05*4.84680831993846</f>
        <v>0.24234041599692302</v>
      </c>
      <c r="I4022">
        <v>0.2423404159969233</v>
      </c>
    </row>
    <row r="4023" spans="1:9" x14ac:dyDescent="0.25">
      <c r="A4023">
        <v>298</v>
      </c>
      <c r="B4023" t="s">
        <v>1758</v>
      </c>
      <c r="C4023" t="s">
        <v>48</v>
      </c>
      <c r="D4023" t="s">
        <v>878</v>
      </c>
      <c r="E4023">
        <f t="shared" si="184"/>
        <v>0.05</v>
      </c>
      <c r="F4023">
        <v>9</v>
      </c>
      <c r="G4023">
        <f>LOG(382/(9+1))</f>
        <v>1.5820633629117087</v>
      </c>
      <c r="H4023">
        <f>0.05*3.64283551561252</f>
        <v>0.18214177578062601</v>
      </c>
      <c r="I4023">
        <v>0.18214177578062651</v>
      </c>
    </row>
    <row r="4024" spans="1:9" x14ac:dyDescent="0.25">
      <c r="A4024">
        <v>298</v>
      </c>
      <c r="B4024" t="s">
        <v>1758</v>
      </c>
      <c r="C4024" t="s">
        <v>48</v>
      </c>
      <c r="D4024" t="s">
        <v>879</v>
      </c>
      <c r="E4024">
        <f t="shared" si="184"/>
        <v>0.05</v>
      </c>
      <c r="F4024">
        <v>2</v>
      </c>
      <c r="G4024">
        <f>LOG(382/(2+1))</f>
        <v>2.1049421081920463</v>
      </c>
      <c r="H4024">
        <f>0.05*4.84680831993846</f>
        <v>0.24234041599692302</v>
      </c>
      <c r="I4024">
        <v>0.2423404159969233</v>
      </c>
    </row>
    <row r="4025" spans="1:9" x14ac:dyDescent="0.25">
      <c r="A4025">
        <v>298</v>
      </c>
      <c r="B4025" t="s">
        <v>1758</v>
      </c>
      <c r="C4025" t="s">
        <v>48</v>
      </c>
      <c r="D4025" t="s">
        <v>112</v>
      </c>
      <c r="E4025">
        <f t="shared" si="184"/>
        <v>0.05</v>
      </c>
      <c r="F4025">
        <v>52</v>
      </c>
      <c r="G4025">
        <f>LOG(382/(52+1))</f>
        <v>0.85778749331091964</v>
      </c>
      <c r="H4025">
        <f>0.05*1.97512869505445</f>
        <v>9.8756434752722499E-2</v>
      </c>
      <c r="I4025">
        <v>9.8756434752722666E-2</v>
      </c>
    </row>
    <row r="4026" spans="1:9" x14ac:dyDescent="0.25">
      <c r="A4026">
        <v>299</v>
      </c>
      <c r="B4026" t="s">
        <v>1760</v>
      </c>
      <c r="C4026" t="s">
        <v>48</v>
      </c>
      <c r="D4026" t="s">
        <v>1761</v>
      </c>
      <c r="E4026">
        <f t="shared" ref="E4026:E4031" si="185">1/71</f>
        <v>1.4084507042253521E-2</v>
      </c>
      <c r="F4026">
        <v>2</v>
      </c>
      <c r="G4026">
        <f>LOG(382/(2+1))</f>
        <v>2.1049421081920463</v>
      </c>
      <c r="H4026">
        <f>0.0140845070422535*4.84680831993846</f>
        <v>6.8264905914626098E-2</v>
      </c>
      <c r="I4026">
        <v>6.8264905914626278E-2</v>
      </c>
    </row>
    <row r="4027" spans="1:9" x14ac:dyDescent="0.25">
      <c r="A4027">
        <v>299</v>
      </c>
      <c r="B4027" t="s">
        <v>1760</v>
      </c>
      <c r="C4027" t="s">
        <v>48</v>
      </c>
      <c r="D4027" t="s">
        <v>1537</v>
      </c>
      <c r="E4027">
        <f t="shared" si="185"/>
        <v>1.4084507042253521E-2</v>
      </c>
      <c r="F4027">
        <v>80</v>
      </c>
      <c r="G4027">
        <f>LOG(382/(80+1))</f>
        <v>0.67357834403305894</v>
      </c>
      <c r="H4027">
        <f>0.0140845070422535*1.55097145393413</f>
        <v>2.1844668365269403E-2</v>
      </c>
      <c r="I4027">
        <v>2.1844668365269531E-2</v>
      </c>
    </row>
    <row r="4028" spans="1:9" x14ac:dyDescent="0.25">
      <c r="A4028">
        <v>299</v>
      </c>
      <c r="B4028" t="s">
        <v>1760</v>
      </c>
      <c r="C4028" t="s">
        <v>48</v>
      </c>
      <c r="D4028" t="s">
        <v>42</v>
      </c>
      <c r="E4028">
        <f t="shared" si="185"/>
        <v>1.4084507042253521E-2</v>
      </c>
      <c r="F4028">
        <v>251</v>
      </c>
      <c r="G4028">
        <f>LOG(382/(251+1))</f>
        <v>0.18066282213016463</v>
      </c>
      <c r="H4028">
        <f>0.0140845070422535*0.415991521095151</f>
        <v>5.8590355083823998E-3</v>
      </c>
      <c r="I4028">
        <v>5.8590355083824206E-3</v>
      </c>
    </row>
    <row r="4029" spans="1:9" x14ac:dyDescent="0.25">
      <c r="A4029">
        <v>299</v>
      </c>
      <c r="B4029" t="s">
        <v>1760</v>
      </c>
      <c r="C4029" t="s">
        <v>48</v>
      </c>
      <c r="D4029" t="s">
        <v>636</v>
      </c>
      <c r="E4029">
        <f t="shared" si="185"/>
        <v>1.4084507042253521E-2</v>
      </c>
      <c r="F4029">
        <v>31</v>
      </c>
      <c r="G4029">
        <f>LOG(382/(31+1))</f>
        <v>1.0769133845918029</v>
      </c>
      <c r="H4029">
        <f>0.0140845070422535*2.47968470580684</f>
        <v>3.4925136701504739E-2</v>
      </c>
      <c r="I4029">
        <v>3.4925136701504912E-2</v>
      </c>
    </row>
    <row r="4030" spans="1:9" x14ac:dyDescent="0.25">
      <c r="A4030">
        <v>299</v>
      </c>
      <c r="B4030" t="s">
        <v>1760</v>
      </c>
      <c r="C4030" t="s">
        <v>48</v>
      </c>
      <c r="D4030" t="s">
        <v>637</v>
      </c>
      <c r="E4030">
        <f t="shared" si="185"/>
        <v>1.4084507042253521E-2</v>
      </c>
      <c r="F4030">
        <v>29</v>
      </c>
      <c r="G4030">
        <f>LOG(382/(29+1))</f>
        <v>1.1049421081920463</v>
      </c>
      <c r="H4030">
        <f>0.0140845070422535*2.54422322694442</f>
        <v>3.5834129956963605E-2</v>
      </c>
      <c r="I4030">
        <v>3.583412995696366E-2</v>
      </c>
    </row>
    <row r="4031" spans="1:9" x14ac:dyDescent="0.25">
      <c r="A4031">
        <v>299</v>
      </c>
      <c r="B4031" t="s">
        <v>1760</v>
      </c>
      <c r="C4031" t="s">
        <v>48</v>
      </c>
      <c r="D4031" t="s">
        <v>19</v>
      </c>
      <c r="E4031">
        <f t="shared" si="185"/>
        <v>1.4084507042253521E-2</v>
      </c>
      <c r="F4031">
        <v>220</v>
      </c>
      <c r="G4031">
        <f>LOG(382/(220+1))</f>
        <v>0.23767108922659805</v>
      </c>
      <c r="H4031">
        <f>0.0140845070422535*0.547257907088822</f>
        <v>7.7078578463214264E-3</v>
      </c>
      <c r="I4031">
        <v>7.707857846321442E-3</v>
      </c>
    </row>
    <row r="4032" spans="1:9" x14ac:dyDescent="0.25">
      <c r="A4032">
        <v>299</v>
      </c>
      <c r="B4032" t="s">
        <v>1760</v>
      </c>
      <c r="C4032" t="s">
        <v>48</v>
      </c>
      <c r="D4032" t="s">
        <v>44</v>
      </c>
      <c r="E4032">
        <f>2/71</f>
        <v>2.8169014084507043E-2</v>
      </c>
      <c r="F4032">
        <v>151</v>
      </c>
      <c r="G4032">
        <f>LOG(382/(151+1))</f>
        <v>0.40021977496693617</v>
      </c>
      <c r="H4032">
        <f>0.028169014084507*0.921540087760298</f>
        <v>2.5958875711557652E-2</v>
      </c>
      <c r="I4032">
        <v>2.5958875711557711E-2</v>
      </c>
    </row>
    <row r="4033" spans="1:9" x14ac:dyDescent="0.25">
      <c r="A4033">
        <v>299</v>
      </c>
      <c r="B4033" t="s">
        <v>1760</v>
      </c>
      <c r="C4033" t="s">
        <v>48</v>
      </c>
      <c r="D4033" t="s">
        <v>22</v>
      </c>
      <c r="E4033">
        <f>1/71</f>
        <v>1.4084507042253521E-2</v>
      </c>
      <c r="F4033">
        <v>259</v>
      </c>
      <c r="G4033">
        <f>LOG(382/(259+1))</f>
        <v>0.16709001494089079</v>
      </c>
      <c r="H4033">
        <f>0.0140845070422535*0.384738977591047</f>
        <v>5.4188588393105138E-3</v>
      </c>
      <c r="I4033">
        <v>5.4188588393105294E-3</v>
      </c>
    </row>
    <row r="4034" spans="1:9" x14ac:dyDescent="0.25">
      <c r="A4034">
        <v>299</v>
      </c>
      <c r="B4034" t="s">
        <v>1760</v>
      </c>
      <c r="C4034" t="s">
        <v>48</v>
      </c>
      <c r="D4034" t="s">
        <v>23</v>
      </c>
      <c r="E4034">
        <f>1/71</f>
        <v>1.4084507042253521E-2</v>
      </c>
      <c r="F4034">
        <v>275</v>
      </c>
      <c r="G4034">
        <f>LOG(382/(275+1))</f>
        <v>0.14115428084649101</v>
      </c>
      <c r="H4034">
        <f>0.0140845070422535*0.325019742889425</f>
        <v>4.5777428575975287E-3</v>
      </c>
      <c r="I4034">
        <v>4.5777428575975374E-3</v>
      </c>
    </row>
    <row r="4035" spans="1:9" x14ac:dyDescent="0.25">
      <c r="A4035">
        <v>299</v>
      </c>
      <c r="B4035" t="s">
        <v>1760</v>
      </c>
      <c r="C4035" t="s">
        <v>48</v>
      </c>
      <c r="D4035" t="s">
        <v>24</v>
      </c>
      <c r="E4035">
        <f>3/71</f>
        <v>4.2253521126760563E-2</v>
      </c>
      <c r="F4035">
        <v>59</v>
      </c>
      <c r="G4035">
        <f>LOG(382/(59+1))</f>
        <v>0.80391211252806505</v>
      </c>
      <c r="H4035">
        <f>0.0422535211267605*1.85107604638447</f>
        <v>7.8214480833146499E-2</v>
      </c>
      <c r="I4035">
        <v>7.8214480833146804E-2</v>
      </c>
    </row>
    <row r="4036" spans="1:9" x14ac:dyDescent="0.25">
      <c r="A4036">
        <v>299</v>
      </c>
      <c r="B4036" t="s">
        <v>1760</v>
      </c>
      <c r="C4036" t="s">
        <v>48</v>
      </c>
      <c r="D4036" t="s">
        <v>362</v>
      </c>
      <c r="E4036">
        <f>1/71</f>
        <v>1.4084507042253521E-2</v>
      </c>
      <c r="F4036">
        <v>81</v>
      </c>
      <c r="G4036">
        <f>LOG(382/(81+1))</f>
        <v>0.66824951052799197</v>
      </c>
      <c r="H4036">
        <f>0.0140845070422535*1.53870136134232</f>
        <v>2.1671850159750955E-2</v>
      </c>
      <c r="I4036">
        <v>2.167185015975101E-2</v>
      </c>
    </row>
    <row r="4037" spans="1:9" x14ac:dyDescent="0.25">
      <c r="A4037">
        <v>299</v>
      </c>
      <c r="B4037" t="s">
        <v>1760</v>
      </c>
      <c r="C4037" t="s">
        <v>48</v>
      </c>
      <c r="D4037" t="s">
        <v>1762</v>
      </c>
      <c r="E4037">
        <f>2/71</f>
        <v>2.8169014084507043E-2</v>
      </c>
      <c r="F4037">
        <v>60</v>
      </c>
      <c r="G4037">
        <f>LOG(382/(60+1))</f>
        <v>0.79673352790094176</v>
      </c>
      <c r="H4037">
        <f>0.028169014084507*1.83454674443326</f>
        <v>5.1677373082626966E-2</v>
      </c>
      <c r="I4037">
        <v>5.1677373082627147E-2</v>
      </c>
    </row>
    <row r="4038" spans="1:9" x14ac:dyDescent="0.25">
      <c r="A4038">
        <v>299</v>
      </c>
      <c r="B4038" t="s">
        <v>1760</v>
      </c>
      <c r="C4038" t="s">
        <v>48</v>
      </c>
      <c r="D4038" t="s">
        <v>1763</v>
      </c>
      <c r="E4038">
        <f>1/71</f>
        <v>1.4084507042253521E-2</v>
      </c>
      <c r="F4038">
        <v>9</v>
      </c>
      <c r="G4038">
        <f>LOG(382/(9+1))</f>
        <v>1.5820633629117087</v>
      </c>
      <c r="H4038">
        <f>0.0140845070422535*3.64283551561252</f>
        <v>5.13075424734157E-2</v>
      </c>
      <c r="I4038">
        <v>5.1307542473415908E-2</v>
      </c>
    </row>
    <row r="4039" spans="1:9" x14ac:dyDescent="0.25">
      <c r="A4039">
        <v>299</v>
      </c>
      <c r="B4039" t="s">
        <v>1760</v>
      </c>
      <c r="C4039" t="s">
        <v>48</v>
      </c>
      <c r="D4039" t="s">
        <v>1764</v>
      </c>
      <c r="E4039">
        <f>5/71</f>
        <v>7.0422535211267609E-2</v>
      </c>
      <c r="F4039">
        <v>2</v>
      </c>
      <c r="G4039">
        <f>LOG(382/(2+1))</f>
        <v>2.1049421081920463</v>
      </c>
      <c r="H4039">
        <f>0.0704225352112676*4.84680831993846</f>
        <v>0.34132452957313092</v>
      </c>
      <c r="I4039">
        <v>0.34132452957313142</v>
      </c>
    </row>
    <row r="4040" spans="1:9" x14ac:dyDescent="0.25">
      <c r="A4040">
        <v>299</v>
      </c>
      <c r="B4040" t="s">
        <v>1760</v>
      </c>
      <c r="C4040" t="s">
        <v>48</v>
      </c>
      <c r="D4040" t="s">
        <v>1765</v>
      </c>
      <c r="E4040">
        <f>5/71</f>
        <v>7.0422535211267609E-2</v>
      </c>
      <c r="F4040">
        <v>14</v>
      </c>
      <c r="G4040">
        <f>LOG(382/(14+1))</f>
        <v>1.4059721038560276</v>
      </c>
      <c r="H4040">
        <f>0.0704225352112676*3.23737040750436</f>
        <v>0.2279838315143915</v>
      </c>
      <c r="I4040">
        <v>0.22798383151439189</v>
      </c>
    </row>
    <row r="4041" spans="1:9" x14ac:dyDescent="0.25">
      <c r="A4041">
        <v>299</v>
      </c>
      <c r="B4041" t="s">
        <v>1760</v>
      </c>
      <c r="C4041" t="s">
        <v>48</v>
      </c>
      <c r="D4041" t="s">
        <v>1766</v>
      </c>
      <c r="E4041">
        <f t="shared" ref="E4041:E4064" si="186">1/71</f>
        <v>1.4084507042253521E-2</v>
      </c>
      <c r="F4041">
        <v>4</v>
      </c>
      <c r="G4041">
        <f>LOG(382/(4+1))</f>
        <v>1.8830933585756899</v>
      </c>
      <c r="H4041">
        <f>0.0140845070422535*4.33598269617247</f>
        <v>6.1070178819330481E-2</v>
      </c>
      <c r="I4041">
        <v>6.1070178819330627E-2</v>
      </c>
    </row>
    <row r="4042" spans="1:9" x14ac:dyDescent="0.25">
      <c r="A4042">
        <v>299</v>
      </c>
      <c r="B4042" t="s">
        <v>1760</v>
      </c>
      <c r="C4042" t="s">
        <v>48</v>
      </c>
      <c r="D4042" t="s">
        <v>425</v>
      </c>
      <c r="E4042">
        <f t="shared" si="186"/>
        <v>1.4084507042253521E-2</v>
      </c>
      <c r="F4042">
        <v>3</v>
      </c>
      <c r="G4042">
        <f>LOG(382/(3+1))</f>
        <v>1.9800033715837464</v>
      </c>
      <c r="H4042">
        <f>0.0140845070422535*4.55912624748668</f>
        <v>6.4213045739248922E-2</v>
      </c>
      <c r="I4042">
        <v>6.4213045739249075E-2</v>
      </c>
    </row>
    <row r="4043" spans="1:9" x14ac:dyDescent="0.25">
      <c r="A4043">
        <v>299</v>
      </c>
      <c r="B4043" t="s">
        <v>1760</v>
      </c>
      <c r="C4043" t="s">
        <v>48</v>
      </c>
      <c r="D4043" t="s">
        <v>1767</v>
      </c>
      <c r="E4043">
        <f t="shared" si="186"/>
        <v>1.4084507042253521E-2</v>
      </c>
      <c r="F4043">
        <v>2</v>
      </c>
      <c r="G4043">
        <f>LOG(382/(2+1))</f>
        <v>2.1049421081920463</v>
      </c>
      <c r="H4043">
        <f>0.0140845070422535*4.84680831993846</f>
        <v>6.8264905914626098E-2</v>
      </c>
      <c r="I4043">
        <v>6.8264905914626278E-2</v>
      </c>
    </row>
    <row r="4044" spans="1:9" x14ac:dyDescent="0.25">
      <c r="A4044">
        <v>299</v>
      </c>
      <c r="B4044" t="s">
        <v>1760</v>
      </c>
      <c r="C4044" t="s">
        <v>48</v>
      </c>
      <c r="D4044" t="s">
        <v>237</v>
      </c>
      <c r="E4044">
        <f t="shared" si="186"/>
        <v>1.4084507042253521E-2</v>
      </c>
      <c r="F4044">
        <v>138</v>
      </c>
      <c r="G4044">
        <f>LOG(382/(138+1))</f>
        <v>0.43904856265761361</v>
      </c>
      <c r="H4044">
        <f>0.0140845070422535*1.01094667547588</f>
        <v>1.4238685570082796E-2</v>
      </c>
      <c r="I4044">
        <v>1.423868557008286E-2</v>
      </c>
    </row>
    <row r="4045" spans="1:9" x14ac:dyDescent="0.25">
      <c r="A4045">
        <v>299</v>
      </c>
      <c r="B4045" t="s">
        <v>1760</v>
      </c>
      <c r="C4045" t="s">
        <v>48</v>
      </c>
      <c r="D4045" t="s">
        <v>1768</v>
      </c>
      <c r="E4045">
        <f t="shared" si="186"/>
        <v>1.4084507042253521E-2</v>
      </c>
      <c r="F4045">
        <v>2</v>
      </c>
      <c r="G4045">
        <f>LOG(382/(2+1))</f>
        <v>2.1049421081920463</v>
      </c>
      <c r="H4045">
        <f>0.0140845070422535*4.84680831993846</f>
        <v>6.8264905914626098E-2</v>
      </c>
      <c r="I4045">
        <v>6.8264905914626278E-2</v>
      </c>
    </row>
    <row r="4046" spans="1:9" x14ac:dyDescent="0.25">
      <c r="A4046">
        <v>299</v>
      </c>
      <c r="B4046" t="s">
        <v>1760</v>
      </c>
      <c r="C4046" t="s">
        <v>48</v>
      </c>
      <c r="D4046" t="s">
        <v>1731</v>
      </c>
      <c r="E4046">
        <f t="shared" si="186"/>
        <v>1.4084507042253521E-2</v>
      </c>
      <c r="F4046">
        <v>15</v>
      </c>
      <c r="G4046">
        <f>LOG(382/(15+1))</f>
        <v>1.3779433802557839</v>
      </c>
      <c r="H4046">
        <f>0.0140845070422535*3.17283188636679</f>
        <v>4.4687773047419513E-2</v>
      </c>
      <c r="I4046">
        <v>4.4687773047419638E-2</v>
      </c>
    </row>
    <row r="4047" spans="1:9" x14ac:dyDescent="0.25">
      <c r="A4047">
        <v>299</v>
      </c>
      <c r="B4047" t="s">
        <v>1760</v>
      </c>
      <c r="C4047" t="s">
        <v>48</v>
      </c>
      <c r="D4047" t="s">
        <v>1769</v>
      </c>
      <c r="E4047">
        <f t="shared" si="186"/>
        <v>1.4084507042253521E-2</v>
      </c>
      <c r="F4047">
        <v>84</v>
      </c>
      <c r="G4047">
        <f>LOG(382/(84+1))</f>
        <v>0.65264443719741605</v>
      </c>
      <c r="H4047">
        <f>0.0140845070422535*1.50276935211625</f>
        <v>2.1165765522764054E-2</v>
      </c>
      <c r="I4047">
        <v>2.116576552276421E-2</v>
      </c>
    </row>
    <row r="4048" spans="1:9" x14ac:dyDescent="0.25">
      <c r="A4048">
        <v>299</v>
      </c>
      <c r="B4048" t="s">
        <v>1760</v>
      </c>
      <c r="C4048" t="s">
        <v>48</v>
      </c>
      <c r="D4048" t="s">
        <v>98</v>
      </c>
      <c r="E4048">
        <f t="shared" si="186"/>
        <v>1.4084507042253521E-2</v>
      </c>
      <c r="F4048">
        <v>56</v>
      </c>
      <c r="G4048">
        <f>LOG(382/(56+1))</f>
        <v>0.82618850723921733</v>
      </c>
      <c r="H4048">
        <f>0.0140845070422535*1.90236934077202</f>
        <v>2.6793934377070665E-2</v>
      </c>
      <c r="I4048">
        <v>2.6793934377070779E-2</v>
      </c>
    </row>
    <row r="4049" spans="1:9" x14ac:dyDescent="0.25">
      <c r="A4049">
        <v>299</v>
      </c>
      <c r="B4049" t="s">
        <v>1760</v>
      </c>
      <c r="C4049" t="s">
        <v>48</v>
      </c>
      <c r="D4049" t="s">
        <v>1076</v>
      </c>
      <c r="E4049">
        <f t="shared" si="186"/>
        <v>1.4084507042253521E-2</v>
      </c>
      <c r="F4049">
        <v>13</v>
      </c>
      <c r="G4049">
        <f>LOG(382/(13+1))</f>
        <v>1.4359353272334707</v>
      </c>
      <c r="H4049">
        <f>0.0140845070422535*3.30636327899131</f>
        <v>4.6568496887201487E-2</v>
      </c>
      <c r="I4049">
        <v>4.6568496887201639E-2</v>
      </c>
    </row>
    <row r="4050" spans="1:9" x14ac:dyDescent="0.25">
      <c r="A4050">
        <v>299</v>
      </c>
      <c r="B4050" t="s">
        <v>1760</v>
      </c>
      <c r="C4050" t="s">
        <v>48</v>
      </c>
      <c r="D4050" t="s">
        <v>322</v>
      </c>
      <c r="E4050">
        <f t="shared" si="186"/>
        <v>1.4084507042253521E-2</v>
      </c>
      <c r="F4050">
        <v>128</v>
      </c>
      <c r="G4050">
        <f>LOG(382/(128+1))</f>
        <v>0.47147365261245977</v>
      </c>
      <c r="H4050">
        <f>0.0140845070422535*1.0856082042449</f>
        <v>1.529025639781547E-2</v>
      </c>
      <c r="I4050">
        <v>1.529025639781554E-2</v>
      </c>
    </row>
    <row r="4051" spans="1:9" x14ac:dyDescent="0.25">
      <c r="A4051">
        <v>299</v>
      </c>
      <c r="B4051" t="s">
        <v>1760</v>
      </c>
      <c r="C4051" t="s">
        <v>48</v>
      </c>
      <c r="D4051" t="s">
        <v>78</v>
      </c>
      <c r="E4051">
        <f t="shared" si="186"/>
        <v>1.4084507042253521E-2</v>
      </c>
      <c r="F4051">
        <v>122</v>
      </c>
      <c r="G4051">
        <f>LOG(382/(122+1))</f>
        <v>0.49215825147231079</v>
      </c>
      <c r="H4051">
        <f>0.0140845070422535*1.13323625323415</f>
        <v>1.5961073989213356E-2</v>
      </c>
      <c r="I4051">
        <v>1.5961073989213492E-2</v>
      </c>
    </row>
    <row r="4052" spans="1:9" x14ac:dyDescent="0.25">
      <c r="A4052">
        <v>299</v>
      </c>
      <c r="B4052" t="s">
        <v>1760</v>
      </c>
      <c r="C4052" t="s">
        <v>48</v>
      </c>
      <c r="D4052" t="s">
        <v>1770</v>
      </c>
      <c r="E4052">
        <f t="shared" si="186"/>
        <v>1.4084507042253521E-2</v>
      </c>
      <c r="F4052">
        <v>4</v>
      </c>
      <c r="G4052">
        <f>LOG(382/(4+1))</f>
        <v>1.8830933585756899</v>
      </c>
      <c r="H4052">
        <f>0.0140845070422535*4.33598269617247</f>
        <v>6.1070178819330481E-2</v>
      </c>
      <c r="I4052">
        <v>6.1070178819330627E-2</v>
      </c>
    </row>
    <row r="4053" spans="1:9" x14ac:dyDescent="0.25">
      <c r="A4053">
        <v>299</v>
      </c>
      <c r="B4053" t="s">
        <v>1760</v>
      </c>
      <c r="C4053" t="s">
        <v>48</v>
      </c>
      <c r="D4053" t="s">
        <v>25</v>
      </c>
      <c r="E4053">
        <f t="shared" si="186"/>
        <v>1.4084507042253521E-2</v>
      </c>
      <c r="F4053">
        <v>106</v>
      </c>
      <c r="G4053">
        <f>LOG(382/(106+1))</f>
        <v>0.55267958522649907</v>
      </c>
      <c r="H4053">
        <f>0.0140845070422535*1.27259177414466</f>
        <v>1.7923827804854339E-2</v>
      </c>
      <c r="I4053">
        <v>1.7923827804854499E-2</v>
      </c>
    </row>
    <row r="4054" spans="1:9" x14ac:dyDescent="0.25">
      <c r="A4054">
        <v>299</v>
      </c>
      <c r="B4054" t="s">
        <v>1760</v>
      </c>
      <c r="C4054" t="s">
        <v>48</v>
      </c>
      <c r="D4054" t="s">
        <v>1771</v>
      </c>
      <c r="E4054">
        <f t="shared" si="186"/>
        <v>1.4084507042253521E-2</v>
      </c>
      <c r="F4054">
        <v>2</v>
      </c>
      <c r="G4054">
        <f>LOG(382/(2+1))</f>
        <v>2.1049421081920463</v>
      </c>
      <c r="H4054">
        <f>0.0140845070422535*4.84680831993846</f>
        <v>6.8264905914626098E-2</v>
      </c>
      <c r="I4054">
        <v>6.8264905914626278E-2</v>
      </c>
    </row>
    <row r="4055" spans="1:9" x14ac:dyDescent="0.25">
      <c r="A4055">
        <v>299</v>
      </c>
      <c r="B4055" t="s">
        <v>1760</v>
      </c>
      <c r="C4055" t="s">
        <v>48</v>
      </c>
      <c r="D4055" t="s">
        <v>1772</v>
      </c>
      <c r="E4055">
        <f t="shared" si="186"/>
        <v>1.4084507042253521E-2</v>
      </c>
      <c r="F4055">
        <v>2</v>
      </c>
      <c r="G4055">
        <f>LOG(382/(2+1))</f>
        <v>2.1049421081920463</v>
      </c>
      <c r="H4055">
        <f>0.0140845070422535*4.84680831993846</f>
        <v>6.8264905914626098E-2</v>
      </c>
      <c r="I4055">
        <v>6.8264905914626278E-2</v>
      </c>
    </row>
    <row r="4056" spans="1:9" x14ac:dyDescent="0.25">
      <c r="A4056">
        <v>299</v>
      </c>
      <c r="B4056" t="s">
        <v>1760</v>
      </c>
      <c r="C4056" t="s">
        <v>48</v>
      </c>
      <c r="D4056" t="s">
        <v>256</v>
      </c>
      <c r="E4056">
        <f t="shared" si="186"/>
        <v>1.4084507042253521E-2</v>
      </c>
      <c r="F4056">
        <v>28</v>
      </c>
      <c r="G4056">
        <f>LOG(382/(28+1))</f>
        <v>1.1196653650127526</v>
      </c>
      <c r="H4056">
        <f>0.0140845070422535*2.5781247786201</f>
        <v>3.6311616600283043E-2</v>
      </c>
      <c r="I4056">
        <v>3.6311616600283113E-2</v>
      </c>
    </row>
    <row r="4057" spans="1:9" x14ac:dyDescent="0.25">
      <c r="A4057">
        <v>299</v>
      </c>
      <c r="B4057" t="s">
        <v>1760</v>
      </c>
      <c r="C4057" t="s">
        <v>48</v>
      </c>
      <c r="D4057" t="s">
        <v>76</v>
      </c>
      <c r="E4057">
        <f t="shared" si="186"/>
        <v>1.4084507042253521E-2</v>
      </c>
      <c r="F4057">
        <v>140</v>
      </c>
      <c r="G4057">
        <f>LOG(382/(140+1))</f>
        <v>0.43284425025632883</v>
      </c>
      <c r="H4057">
        <f>0.0140845070422535*0.996660718228407</f>
        <v>1.403747490462543E-2</v>
      </c>
      <c r="I4057">
        <v>1.403747490462545E-2</v>
      </c>
    </row>
    <row r="4058" spans="1:9" x14ac:dyDescent="0.25">
      <c r="A4058">
        <v>299</v>
      </c>
      <c r="B4058" t="s">
        <v>1760</v>
      </c>
      <c r="C4058" t="s">
        <v>48</v>
      </c>
      <c r="D4058" t="s">
        <v>77</v>
      </c>
      <c r="E4058">
        <f t="shared" si="186"/>
        <v>1.4084507042253521E-2</v>
      </c>
      <c r="F4058">
        <v>148</v>
      </c>
      <c r="G4058">
        <f>LOG(382/(148+1))</f>
        <v>0.40887709449943471</v>
      </c>
      <c r="H4058">
        <f>0.0140845070422535*0.941474302661116</f>
        <v>1.3260201445931192E-2</v>
      </c>
      <c r="I4058">
        <v>1.326020144593121E-2</v>
      </c>
    </row>
    <row r="4059" spans="1:9" x14ac:dyDescent="0.25">
      <c r="A4059">
        <v>299</v>
      </c>
      <c r="B4059" t="s">
        <v>1760</v>
      </c>
      <c r="C4059" t="s">
        <v>48</v>
      </c>
      <c r="D4059" t="s">
        <v>40</v>
      </c>
      <c r="E4059">
        <f t="shared" si="186"/>
        <v>1.4084507042253521E-2</v>
      </c>
      <c r="F4059">
        <v>159</v>
      </c>
      <c r="G4059">
        <f>LOG(382/(159+1))</f>
        <v>0.377943380255784</v>
      </c>
      <c r="H4059">
        <f>0.0140845070422535*0.870246793372748</f>
        <v>1.2256997089756997E-2</v>
      </c>
      <c r="I4059">
        <v>1.225699708975702E-2</v>
      </c>
    </row>
    <row r="4060" spans="1:9" x14ac:dyDescent="0.25">
      <c r="A4060">
        <v>299</v>
      </c>
      <c r="B4060" t="s">
        <v>1760</v>
      </c>
      <c r="C4060" t="s">
        <v>48</v>
      </c>
      <c r="D4060" t="s">
        <v>41</v>
      </c>
      <c r="E4060">
        <f t="shared" si="186"/>
        <v>1.4084507042253521E-2</v>
      </c>
      <c r="F4060">
        <v>195</v>
      </c>
      <c r="G4060">
        <f>LOG(382/(195+1))</f>
        <v>0.28980729155523272</v>
      </c>
      <c r="H4060">
        <f>0.0140845070422535*0.667305949376058</f>
        <v>9.3986753433247475E-3</v>
      </c>
      <c r="I4060">
        <v>9.3986753433247614E-3</v>
      </c>
    </row>
    <row r="4061" spans="1:9" x14ac:dyDescent="0.25">
      <c r="A4061">
        <v>299</v>
      </c>
      <c r="B4061" t="s">
        <v>1760</v>
      </c>
      <c r="C4061" t="s">
        <v>48</v>
      </c>
      <c r="D4061" t="s">
        <v>81</v>
      </c>
      <c r="E4061">
        <f t="shared" si="186"/>
        <v>1.4084507042253521E-2</v>
      </c>
      <c r="F4061">
        <v>114</v>
      </c>
      <c r="G4061">
        <f>LOG(382/(114+1))</f>
        <v>0.52136552255809698</v>
      </c>
      <c r="H4061">
        <f>0.0140845070422535*1.20048848024332</f>
        <v>1.6908288454131244E-2</v>
      </c>
      <c r="I4061">
        <v>1.6908288454131341E-2</v>
      </c>
    </row>
    <row r="4062" spans="1:9" x14ac:dyDescent="0.25">
      <c r="A4062">
        <v>299</v>
      </c>
      <c r="B4062" t="s">
        <v>1760</v>
      </c>
      <c r="C4062" t="s">
        <v>48</v>
      </c>
      <c r="D4062" t="s">
        <v>1773</v>
      </c>
      <c r="E4062">
        <f t="shared" si="186"/>
        <v>1.4084507042253521E-2</v>
      </c>
      <c r="F4062">
        <v>24</v>
      </c>
      <c r="G4062">
        <f>LOG(382/(24+1))</f>
        <v>1.1841233542396712</v>
      </c>
      <c r="H4062">
        <f>0.0140845070422535*2.72654478373837</f>
        <v>3.8402039207582617E-2</v>
      </c>
      <c r="I4062">
        <v>3.8402039207582728E-2</v>
      </c>
    </row>
    <row r="4063" spans="1:9" x14ac:dyDescent="0.25">
      <c r="A4063">
        <v>299</v>
      </c>
      <c r="B4063" t="s">
        <v>1760</v>
      </c>
      <c r="C4063" t="s">
        <v>48</v>
      </c>
      <c r="D4063" t="s">
        <v>447</v>
      </c>
      <c r="E4063">
        <f t="shared" si="186"/>
        <v>1.4084507042253521E-2</v>
      </c>
      <c r="F4063">
        <v>37</v>
      </c>
      <c r="G4063">
        <f>LOG(382/(37+1))</f>
        <v>1.0022797662948986</v>
      </c>
      <c r="H4063">
        <f>0.0140845070422535*2.30783444888018</f>
        <v>3.2504710547608118E-2</v>
      </c>
      <c r="I4063">
        <v>3.2504710547608298E-2</v>
      </c>
    </row>
    <row r="4064" spans="1:9" x14ac:dyDescent="0.25">
      <c r="A4064">
        <v>299</v>
      </c>
      <c r="B4064" t="s">
        <v>1760</v>
      </c>
      <c r="C4064" t="s">
        <v>48</v>
      </c>
      <c r="D4064" t="s">
        <v>1774</v>
      </c>
      <c r="E4064">
        <f t="shared" si="186"/>
        <v>1.4084507042253521E-2</v>
      </c>
      <c r="F4064">
        <v>2</v>
      </c>
      <c r="G4064">
        <f>LOG(382/(2+1))</f>
        <v>2.1049421081920463</v>
      </c>
      <c r="H4064">
        <f>0.0140845070422535*4.84680831993846</f>
        <v>6.8264905914626098E-2</v>
      </c>
      <c r="I4064">
        <v>6.8264905914626278E-2</v>
      </c>
    </row>
    <row r="4065" spans="1:9" x14ac:dyDescent="0.25">
      <c r="A4065">
        <v>299</v>
      </c>
      <c r="B4065" t="s">
        <v>1760</v>
      </c>
      <c r="C4065" t="s">
        <v>48</v>
      </c>
      <c r="D4065" t="s">
        <v>1775</v>
      </c>
      <c r="E4065">
        <f>2/71</f>
        <v>2.8169014084507043E-2</v>
      </c>
      <c r="F4065">
        <v>10</v>
      </c>
      <c r="G4065">
        <f>LOG(382/(10+1))</f>
        <v>1.5406706777534838</v>
      </c>
      <c r="H4065">
        <f>0.028169014084507*3.5475253358082</f>
        <v>9.9930291149526618E-2</v>
      </c>
      <c r="I4065">
        <v>9.9930291149526895E-2</v>
      </c>
    </row>
    <row r="4066" spans="1:9" x14ac:dyDescent="0.25">
      <c r="A4066">
        <v>299</v>
      </c>
      <c r="B4066" t="s">
        <v>1760</v>
      </c>
      <c r="C4066" t="s">
        <v>48</v>
      </c>
      <c r="D4066" t="s">
        <v>361</v>
      </c>
      <c r="E4066">
        <f t="shared" ref="E4066:E4079" si="187">1/71</f>
        <v>1.4084507042253521E-2</v>
      </c>
      <c r="F4066">
        <v>118</v>
      </c>
      <c r="G4066">
        <f>LOG(382/(118+1))</f>
        <v>0.50651640151917798</v>
      </c>
      <c r="H4066">
        <f>0.0140845070422535*1.16629711549504</f>
        <v>1.6426719936549834E-2</v>
      </c>
      <c r="I4066">
        <v>1.6426719936549941E-2</v>
      </c>
    </row>
    <row r="4067" spans="1:9" x14ac:dyDescent="0.25">
      <c r="A4067">
        <v>299</v>
      </c>
      <c r="B4067" t="s">
        <v>1760</v>
      </c>
      <c r="C4067" t="s">
        <v>48</v>
      </c>
      <c r="D4067" t="s">
        <v>434</v>
      </c>
      <c r="E4067">
        <f t="shared" si="187"/>
        <v>1.4084507042253521E-2</v>
      </c>
      <c r="F4067">
        <v>97</v>
      </c>
      <c r="G4067">
        <f>LOG(382/(97+1))</f>
        <v>0.59083728721921391</v>
      </c>
      <c r="H4067">
        <f>0.0140845070422535*1.360453129936</f>
        <v>1.9161311689239409E-2</v>
      </c>
      <c r="I4067">
        <v>1.9161311689239478E-2</v>
      </c>
    </row>
    <row r="4068" spans="1:9" x14ac:dyDescent="0.25">
      <c r="A4068">
        <v>299</v>
      </c>
      <c r="B4068" t="s">
        <v>1760</v>
      </c>
      <c r="C4068" t="s">
        <v>48</v>
      </c>
      <c r="D4068" t="s">
        <v>310</v>
      </c>
      <c r="E4068">
        <f t="shared" si="187"/>
        <v>1.4084507042253521E-2</v>
      </c>
      <c r="F4068">
        <v>50</v>
      </c>
      <c r="G4068">
        <f>LOG(382/(50+1))</f>
        <v>0.87449318681377242</v>
      </c>
      <c r="H4068">
        <f>0.0140845070422535*2.01359497588224</f>
        <v>2.8360492618059674E-2</v>
      </c>
      <c r="I4068">
        <v>2.8360492618059851E-2</v>
      </c>
    </row>
    <row r="4069" spans="1:9" x14ac:dyDescent="0.25">
      <c r="A4069">
        <v>299</v>
      </c>
      <c r="B4069" t="s">
        <v>1760</v>
      </c>
      <c r="C4069" t="s">
        <v>48</v>
      </c>
      <c r="D4069" t="s">
        <v>1776</v>
      </c>
      <c r="E4069">
        <f t="shared" si="187"/>
        <v>1.4084507042253521E-2</v>
      </c>
      <c r="F4069">
        <v>3</v>
      </c>
      <c r="G4069">
        <f>LOG(382/(3+1))</f>
        <v>1.9800033715837464</v>
      </c>
      <c r="H4069">
        <f>0.0140845070422535*4.55912624748668</f>
        <v>6.4213045739248922E-2</v>
      </c>
      <c r="I4069">
        <v>6.4213045739249075E-2</v>
      </c>
    </row>
    <row r="4070" spans="1:9" x14ac:dyDescent="0.25">
      <c r="A4070">
        <v>299</v>
      </c>
      <c r="B4070" t="s">
        <v>1760</v>
      </c>
      <c r="C4070" t="s">
        <v>48</v>
      </c>
      <c r="D4070" t="s">
        <v>1777</v>
      </c>
      <c r="E4070">
        <f t="shared" si="187"/>
        <v>1.4084507042253521E-2</v>
      </c>
      <c r="F4070">
        <v>4</v>
      </c>
      <c r="G4070">
        <f>LOG(382/(4+1))</f>
        <v>1.8830933585756899</v>
      </c>
      <c r="H4070">
        <f>0.0140845070422535*4.33598269617247</f>
        <v>6.1070178819330481E-2</v>
      </c>
      <c r="I4070">
        <v>6.1070178819330627E-2</v>
      </c>
    </row>
    <row r="4071" spans="1:9" x14ac:dyDescent="0.25">
      <c r="A4071">
        <v>299</v>
      </c>
      <c r="B4071" t="s">
        <v>1760</v>
      </c>
      <c r="C4071" t="s">
        <v>48</v>
      </c>
      <c r="D4071" t="s">
        <v>1778</v>
      </c>
      <c r="E4071">
        <f t="shared" si="187"/>
        <v>1.4084507042253521E-2</v>
      </c>
      <c r="F4071">
        <v>3</v>
      </c>
      <c r="G4071">
        <f>LOG(382/(3+1))</f>
        <v>1.9800033715837464</v>
      </c>
      <c r="H4071">
        <f>0.0140845070422535*4.55912624748668</f>
        <v>6.4213045739248922E-2</v>
      </c>
      <c r="I4071">
        <v>6.4213045739249075E-2</v>
      </c>
    </row>
    <row r="4072" spans="1:9" x14ac:dyDescent="0.25">
      <c r="A4072">
        <v>299</v>
      </c>
      <c r="B4072" t="s">
        <v>1760</v>
      </c>
      <c r="C4072" t="s">
        <v>48</v>
      </c>
      <c r="D4072" t="s">
        <v>453</v>
      </c>
      <c r="E4072">
        <f t="shared" si="187"/>
        <v>1.4084507042253521E-2</v>
      </c>
      <c r="F4072">
        <v>68</v>
      </c>
      <c r="G4072">
        <f>LOG(382/(68+1))</f>
        <v>0.74321427217445335</v>
      </c>
      <c r="H4072">
        <f>0.0140845070422535*1.71131410400931</f>
        <v>2.4103015549426867E-2</v>
      </c>
      <c r="I4072">
        <v>2.4103015549426988E-2</v>
      </c>
    </row>
    <row r="4073" spans="1:9" x14ac:dyDescent="0.25">
      <c r="A4073">
        <v>299</v>
      </c>
      <c r="B4073" t="s">
        <v>1760</v>
      </c>
      <c r="C4073" t="s">
        <v>48</v>
      </c>
      <c r="D4073" t="s">
        <v>770</v>
      </c>
      <c r="E4073">
        <f t="shared" si="187"/>
        <v>1.4084507042253521E-2</v>
      </c>
      <c r="F4073">
        <v>47</v>
      </c>
      <c r="G4073">
        <f>LOG(382/(47+1))</f>
        <v>0.90082212553612151</v>
      </c>
      <c r="H4073">
        <f>0.0140845070422535*2.07421959769868</f>
        <v>2.9214360530967282E-2</v>
      </c>
      <c r="I4073">
        <v>2.9214360530967379E-2</v>
      </c>
    </row>
    <row r="4074" spans="1:9" x14ac:dyDescent="0.25">
      <c r="A4074">
        <v>299</v>
      </c>
      <c r="B4074" t="s">
        <v>1760</v>
      </c>
      <c r="C4074" t="s">
        <v>48</v>
      </c>
      <c r="D4074" t="s">
        <v>243</v>
      </c>
      <c r="E4074">
        <f t="shared" si="187"/>
        <v>1.4084507042253521E-2</v>
      </c>
      <c r="F4074">
        <v>131</v>
      </c>
      <c r="G4074">
        <f>LOG(382/(131+1))</f>
        <v>0.46148943170585888</v>
      </c>
      <c r="H4074">
        <f>0.0140845070422535*1.0626186860202</f>
        <v>1.4966460366481669E-2</v>
      </c>
      <c r="I4074">
        <v>1.496646036648175E-2</v>
      </c>
    </row>
    <row r="4075" spans="1:9" x14ac:dyDescent="0.25">
      <c r="A4075">
        <v>299</v>
      </c>
      <c r="B4075" t="s">
        <v>1760</v>
      </c>
      <c r="C4075" t="s">
        <v>48</v>
      </c>
      <c r="D4075" t="s">
        <v>307</v>
      </c>
      <c r="E4075">
        <f t="shared" si="187"/>
        <v>1.4084507042253521E-2</v>
      </c>
      <c r="F4075">
        <v>67</v>
      </c>
      <c r="G4075">
        <f>LOG(382/(67+1))</f>
        <v>0.7495544502054724</v>
      </c>
      <c r="H4075">
        <f>0.0140845070422535*1.72591290343046</f>
        <v>2.4308632442682502E-2</v>
      </c>
      <c r="I4075">
        <v>2.4308632442682651E-2</v>
      </c>
    </row>
    <row r="4076" spans="1:9" x14ac:dyDescent="0.25">
      <c r="A4076">
        <v>299</v>
      </c>
      <c r="B4076" t="s">
        <v>1760</v>
      </c>
      <c r="C4076" t="s">
        <v>48</v>
      </c>
      <c r="D4076" t="s">
        <v>455</v>
      </c>
      <c r="E4076">
        <f t="shared" si="187"/>
        <v>1.4084507042253521E-2</v>
      </c>
      <c r="F4076">
        <v>78</v>
      </c>
      <c r="G4076">
        <f>LOG(382/(78+1))</f>
        <v>0.6844362716212673</v>
      </c>
      <c r="H4076">
        <f>0.0140845070422535*1.57597275613955</f>
        <v>2.219679938224715E-2</v>
      </c>
      <c r="I4076">
        <v>2.2196799382247241E-2</v>
      </c>
    </row>
    <row r="4077" spans="1:9" x14ac:dyDescent="0.25">
      <c r="A4077">
        <v>299</v>
      </c>
      <c r="B4077" t="s">
        <v>1760</v>
      </c>
      <c r="C4077" t="s">
        <v>48</v>
      </c>
      <c r="D4077" t="s">
        <v>1779</v>
      </c>
      <c r="E4077">
        <f t="shared" si="187"/>
        <v>1.4084507042253521E-2</v>
      </c>
      <c r="F4077">
        <v>41</v>
      </c>
      <c r="G4077">
        <f>LOG(382/(41+1))</f>
        <v>0.95881407251380824</v>
      </c>
      <c r="H4077">
        <f>0.0140845070422535*2.2077509903232</f>
        <v>3.1095084370749253E-2</v>
      </c>
      <c r="I4077">
        <v>3.1095084370749392E-2</v>
      </c>
    </row>
    <row r="4078" spans="1:9" x14ac:dyDescent="0.25">
      <c r="A4078">
        <v>299</v>
      </c>
      <c r="B4078" t="s">
        <v>1760</v>
      </c>
      <c r="C4078" t="s">
        <v>48</v>
      </c>
      <c r="D4078" t="s">
        <v>1780</v>
      </c>
      <c r="E4078">
        <f t="shared" si="187"/>
        <v>1.4084507042253521E-2</v>
      </c>
      <c r="F4078">
        <v>2</v>
      </c>
      <c r="G4078">
        <f>LOG(382/(2+1))</f>
        <v>2.1049421081920463</v>
      </c>
      <c r="H4078">
        <f>0.0140845070422535*4.84680831993846</f>
        <v>6.8264905914626098E-2</v>
      </c>
      <c r="I4078">
        <v>6.8264905914626278E-2</v>
      </c>
    </row>
    <row r="4079" spans="1:9" x14ac:dyDescent="0.25">
      <c r="A4079">
        <v>299</v>
      </c>
      <c r="B4079" t="s">
        <v>1760</v>
      </c>
      <c r="C4079" t="s">
        <v>48</v>
      </c>
      <c r="D4079" t="s">
        <v>1781</v>
      </c>
      <c r="E4079">
        <f t="shared" si="187"/>
        <v>1.4084507042253521E-2</v>
      </c>
      <c r="F4079">
        <v>2</v>
      </c>
      <c r="G4079">
        <f>LOG(382/(2+1))</f>
        <v>2.1049421081920463</v>
      </c>
      <c r="H4079">
        <f>0.0140845070422535*4.84680831993846</f>
        <v>6.8264905914626098E-2</v>
      </c>
      <c r="I4079">
        <v>6.8264905914626278E-2</v>
      </c>
    </row>
    <row r="4080" spans="1:9" x14ac:dyDescent="0.25">
      <c r="A4080">
        <v>299</v>
      </c>
      <c r="B4080" t="s">
        <v>1760</v>
      </c>
      <c r="C4080" t="s">
        <v>48</v>
      </c>
      <c r="D4080" t="s">
        <v>236</v>
      </c>
      <c r="E4080">
        <f>2/71</f>
        <v>2.8169014084507043E-2</v>
      </c>
      <c r="F4080">
        <v>87</v>
      </c>
      <c r="G4080">
        <f>LOG(382/(87+1))</f>
        <v>0.63758069076154011</v>
      </c>
      <c r="H4080">
        <f>0.028169014084507*1.46808379412836</f>
        <v>4.135447307403825E-2</v>
      </c>
      <c r="I4080">
        <v>4.1354473074038563E-2</v>
      </c>
    </row>
    <row r="4081" spans="1:9" x14ac:dyDescent="0.25">
      <c r="A4081">
        <v>299</v>
      </c>
      <c r="B4081" t="s">
        <v>1760</v>
      </c>
      <c r="C4081" t="s">
        <v>48</v>
      </c>
      <c r="D4081" t="s">
        <v>216</v>
      </c>
      <c r="E4081">
        <f>1/71</f>
        <v>1.4084507042253521E-2</v>
      </c>
      <c r="F4081">
        <v>63</v>
      </c>
      <c r="G4081">
        <f>LOG(382/(63+1))</f>
        <v>0.7758833889278216</v>
      </c>
      <c r="H4081">
        <f>0.0140845070422535*1.7865375252469</f>
        <v>2.5162500355590103E-2</v>
      </c>
      <c r="I4081">
        <v>2.516250035559019E-2</v>
      </c>
    </row>
    <row r="4082" spans="1:9" x14ac:dyDescent="0.25">
      <c r="A4082">
        <v>299</v>
      </c>
      <c r="B4082" t="s">
        <v>1760</v>
      </c>
      <c r="C4082" t="s">
        <v>48</v>
      </c>
      <c r="D4082" t="s">
        <v>426</v>
      </c>
      <c r="E4082">
        <f>1/71</f>
        <v>1.4084507042253521E-2</v>
      </c>
      <c r="F4082">
        <v>10</v>
      </c>
      <c r="G4082">
        <f>LOG(382/(10+1))</f>
        <v>1.5406706777534838</v>
      </c>
      <c r="H4082">
        <f>0.0140845070422535*3.5475253358082</f>
        <v>4.9965145574763309E-2</v>
      </c>
      <c r="I4082">
        <v>4.9965145574763448E-2</v>
      </c>
    </row>
    <row r="4083" spans="1:9" x14ac:dyDescent="0.25">
      <c r="A4083">
        <v>300</v>
      </c>
      <c r="B4083" t="s">
        <v>1782</v>
      </c>
      <c r="C4083" t="s">
        <v>48</v>
      </c>
      <c r="D4083" t="s">
        <v>878</v>
      </c>
      <c r="E4083">
        <f>2/73</f>
        <v>2.7397260273972601E-2</v>
      </c>
      <c r="F4083">
        <v>9</v>
      </c>
      <c r="G4083">
        <f>LOG(382/(9+1))</f>
        <v>1.5820633629117087</v>
      </c>
      <c r="H4083">
        <f>0.0273972602739726*3.64283551561252</f>
        <v>9.9803712756507387E-2</v>
      </c>
      <c r="I4083">
        <v>9.9803712756507651E-2</v>
      </c>
    </row>
    <row r="4084" spans="1:9" x14ac:dyDescent="0.25">
      <c r="A4084">
        <v>300</v>
      </c>
      <c r="B4084" t="s">
        <v>1782</v>
      </c>
      <c r="C4084" t="s">
        <v>48</v>
      </c>
      <c r="D4084" t="s">
        <v>1783</v>
      </c>
      <c r="E4084">
        <f>2/73</f>
        <v>2.7397260273972601E-2</v>
      </c>
      <c r="F4084">
        <v>3</v>
      </c>
      <c r="G4084">
        <f>LOG(382/(3+1))</f>
        <v>1.9800033715837464</v>
      </c>
      <c r="H4084">
        <f>0.0273972602739726*4.55912624748668</f>
        <v>0.1249075684242926</v>
      </c>
      <c r="I4084">
        <v>0.12490756842429269</v>
      </c>
    </row>
    <row r="4085" spans="1:9" x14ac:dyDescent="0.25">
      <c r="A4085">
        <v>300</v>
      </c>
      <c r="B4085" t="s">
        <v>1782</v>
      </c>
      <c r="C4085" t="s">
        <v>48</v>
      </c>
      <c r="D4085" t="s">
        <v>173</v>
      </c>
      <c r="E4085">
        <f>3/73</f>
        <v>4.1095890410958902E-2</v>
      </c>
      <c r="F4085">
        <v>4</v>
      </c>
      <c r="G4085">
        <f>LOG(382/(4+1))</f>
        <v>1.8830933585756899</v>
      </c>
      <c r="H4085">
        <f>0.0410958904109589*4.33598269617247</f>
        <v>0.17819106970571794</v>
      </c>
      <c r="I4085">
        <v>0.1781910697057181</v>
      </c>
    </row>
    <row r="4086" spans="1:9" x14ac:dyDescent="0.25">
      <c r="A4086">
        <v>300</v>
      </c>
      <c r="B4086" t="s">
        <v>1782</v>
      </c>
      <c r="C4086" t="s">
        <v>48</v>
      </c>
      <c r="D4086" t="s">
        <v>1784</v>
      </c>
      <c r="E4086">
        <f>2/73</f>
        <v>2.7397260273972601E-2</v>
      </c>
      <c r="F4086">
        <v>6</v>
      </c>
      <c r="G4086">
        <f>LOG(382/(6+1))</f>
        <v>1.736965322897452</v>
      </c>
      <c r="H4086">
        <f>0.0273972602739726*3.99951045955126</f>
        <v>0.10957562902880164</v>
      </c>
      <c r="I4086">
        <v>0.1095756290288017</v>
      </c>
    </row>
    <row r="4087" spans="1:9" x14ac:dyDescent="0.25">
      <c r="A4087">
        <v>300</v>
      </c>
      <c r="B4087" t="s">
        <v>1782</v>
      </c>
      <c r="C4087" t="s">
        <v>48</v>
      </c>
      <c r="D4087" t="s">
        <v>128</v>
      </c>
      <c r="E4087">
        <f>3/73</f>
        <v>4.1095890410958902E-2</v>
      </c>
      <c r="F4087">
        <v>2</v>
      </c>
      <c r="G4087">
        <f>LOG(382/(2+1))</f>
        <v>2.1049421081920463</v>
      </c>
      <c r="H4087">
        <f>0.0410958904109589*4.84680831993846</f>
        <v>0.19918390355911478</v>
      </c>
      <c r="I4087">
        <v>0.199183903559115</v>
      </c>
    </row>
    <row r="4088" spans="1:9" x14ac:dyDescent="0.25">
      <c r="A4088">
        <v>300</v>
      </c>
      <c r="B4088" t="s">
        <v>1782</v>
      </c>
      <c r="C4088" t="s">
        <v>48</v>
      </c>
      <c r="D4088" t="s">
        <v>42</v>
      </c>
      <c r="E4088">
        <f>1/73</f>
        <v>1.3698630136986301E-2</v>
      </c>
      <c r="F4088">
        <v>251</v>
      </c>
      <c r="G4088">
        <f>LOG(382/(251+1))</f>
        <v>0.18066282213016463</v>
      </c>
      <c r="H4088">
        <f>0.0136986301369863*0.415991521095151</f>
        <v>5.6985139876048075E-3</v>
      </c>
      <c r="I4088">
        <v>5.6985139876048196E-3</v>
      </c>
    </row>
    <row r="4089" spans="1:9" x14ac:dyDescent="0.25">
      <c r="A4089">
        <v>300</v>
      </c>
      <c r="B4089" t="s">
        <v>1782</v>
      </c>
      <c r="C4089" t="s">
        <v>48</v>
      </c>
      <c r="D4089" t="s">
        <v>101</v>
      </c>
      <c r="E4089">
        <f>1/73</f>
        <v>1.3698630136986301E-2</v>
      </c>
      <c r="F4089">
        <v>7</v>
      </c>
      <c r="G4089">
        <f>LOG(382/(7+1))</f>
        <v>1.6789733759197651</v>
      </c>
      <c r="H4089">
        <f>0.0136986301369863*3.86597906692673</f>
        <v>5.2958617355160685E-2</v>
      </c>
      <c r="I4089">
        <v>5.295861735516081E-2</v>
      </c>
    </row>
    <row r="4090" spans="1:9" x14ac:dyDescent="0.25">
      <c r="A4090">
        <v>300</v>
      </c>
      <c r="B4090" t="s">
        <v>1782</v>
      </c>
      <c r="C4090" t="s">
        <v>48</v>
      </c>
      <c r="D4090" t="s">
        <v>70</v>
      </c>
      <c r="E4090">
        <f>1/73</f>
        <v>1.3698630136986301E-2</v>
      </c>
      <c r="F4090">
        <v>44</v>
      </c>
      <c r="G4090">
        <f>LOG(382/(44+1))</f>
        <v>0.92885084913636506</v>
      </c>
      <c r="H4090">
        <f>0.0136986301369863*2.13875811883625</f>
        <v>2.9298056422414381E-2</v>
      </c>
      <c r="I4090">
        <v>2.929805642241445E-2</v>
      </c>
    </row>
    <row r="4091" spans="1:9" x14ac:dyDescent="0.25">
      <c r="A4091">
        <v>300</v>
      </c>
      <c r="B4091" t="s">
        <v>1782</v>
      </c>
      <c r="C4091" t="s">
        <v>48</v>
      </c>
      <c r="D4091" t="s">
        <v>19</v>
      </c>
      <c r="E4091">
        <f>1/73</f>
        <v>1.3698630136986301E-2</v>
      </c>
      <c r="F4091">
        <v>220</v>
      </c>
      <c r="G4091">
        <f>LOG(382/(220+1))</f>
        <v>0.23767108922659805</v>
      </c>
      <c r="H4091">
        <f>0.0136986301369863*0.547257907088822</f>
        <v>7.4966836587509866E-3</v>
      </c>
      <c r="I4091">
        <v>7.4966836587509909E-3</v>
      </c>
    </row>
    <row r="4092" spans="1:9" x14ac:dyDescent="0.25">
      <c r="A4092">
        <v>300</v>
      </c>
      <c r="B4092" t="s">
        <v>1782</v>
      </c>
      <c r="C4092" t="s">
        <v>48</v>
      </c>
      <c r="D4092" t="s">
        <v>44</v>
      </c>
      <c r="E4092">
        <f>3/73</f>
        <v>4.1095890410958902E-2</v>
      </c>
      <c r="F4092">
        <v>151</v>
      </c>
      <c r="G4092">
        <f>LOG(382/(151+1))</f>
        <v>0.40021977496693617</v>
      </c>
      <c r="H4092">
        <f>0.0410958904109589*0.921540087760298</f>
        <v>3.787151045590266E-2</v>
      </c>
      <c r="I4092">
        <v>3.7871510455902688E-2</v>
      </c>
    </row>
    <row r="4093" spans="1:9" x14ac:dyDescent="0.25">
      <c r="A4093">
        <v>300</v>
      </c>
      <c r="B4093" t="s">
        <v>1782</v>
      </c>
      <c r="C4093" t="s">
        <v>48</v>
      </c>
      <c r="D4093" t="s">
        <v>22</v>
      </c>
      <c r="E4093">
        <f>1/73</f>
        <v>1.3698630136986301E-2</v>
      </c>
      <c r="F4093">
        <v>259</v>
      </c>
      <c r="G4093">
        <f>LOG(382/(259+1))</f>
        <v>0.16709001494089079</v>
      </c>
      <c r="H4093">
        <f>0.0136986301369863*0.384738977591047</f>
        <v>5.2703969533020138E-3</v>
      </c>
      <c r="I4093">
        <v>5.2703969533020208E-3</v>
      </c>
    </row>
    <row r="4094" spans="1:9" x14ac:dyDescent="0.25">
      <c r="A4094">
        <v>300</v>
      </c>
      <c r="B4094" t="s">
        <v>1782</v>
      </c>
      <c r="C4094" t="s">
        <v>48</v>
      </c>
      <c r="D4094" t="s">
        <v>23</v>
      </c>
      <c r="E4094">
        <f>1/73</f>
        <v>1.3698630136986301E-2</v>
      </c>
      <c r="F4094">
        <v>275</v>
      </c>
      <c r="G4094">
        <f>LOG(382/(275+1))</f>
        <v>0.14115428084649101</v>
      </c>
      <c r="H4094">
        <f>0.0136986301369863*0.325019742889425</f>
        <v>4.4523252450606159E-3</v>
      </c>
      <c r="I4094">
        <v>4.4523252450606194E-3</v>
      </c>
    </row>
    <row r="4095" spans="1:9" x14ac:dyDescent="0.25">
      <c r="A4095">
        <v>300</v>
      </c>
      <c r="B4095" t="s">
        <v>1782</v>
      </c>
      <c r="C4095" t="s">
        <v>48</v>
      </c>
      <c r="D4095" t="s">
        <v>1785</v>
      </c>
      <c r="E4095">
        <f>1/73</f>
        <v>1.3698630136986301E-2</v>
      </c>
      <c r="F4095">
        <v>21</v>
      </c>
      <c r="G4095">
        <f>LOG(382/(21+1))</f>
        <v>1.2396406820895025</v>
      </c>
      <c r="H4095">
        <f>0.0136986301369863*2.85437815524825</f>
        <v>3.9101070619839036E-2</v>
      </c>
      <c r="I4095">
        <v>3.9101070619839168E-2</v>
      </c>
    </row>
    <row r="4096" spans="1:9" x14ac:dyDescent="0.25">
      <c r="A4096">
        <v>300</v>
      </c>
      <c r="B4096" t="s">
        <v>1782</v>
      </c>
      <c r="C4096" t="s">
        <v>48</v>
      </c>
      <c r="D4096" t="s">
        <v>204</v>
      </c>
      <c r="E4096">
        <f>1/73</f>
        <v>1.3698630136986301E-2</v>
      </c>
      <c r="F4096">
        <v>166</v>
      </c>
      <c r="G4096">
        <f>LOG(382/(166+1))</f>
        <v>0.35934689176412549</v>
      </c>
      <c r="H4096">
        <f>0.0136986301369863*0.82742679618982</f>
        <v>1.133461364643589E-2</v>
      </c>
      <c r="I4096">
        <v>1.133461364643589E-2</v>
      </c>
    </row>
    <row r="4097" spans="1:9" x14ac:dyDescent="0.25">
      <c r="A4097">
        <v>300</v>
      </c>
      <c r="B4097" t="s">
        <v>1782</v>
      </c>
      <c r="C4097" t="s">
        <v>48</v>
      </c>
      <c r="D4097" t="s">
        <v>126</v>
      </c>
      <c r="E4097">
        <f>2/73</f>
        <v>2.7397260273972601E-2</v>
      </c>
      <c r="F4097">
        <v>79</v>
      </c>
      <c r="G4097">
        <f>LOG(382/(79+1))</f>
        <v>0.67897337591976514</v>
      </c>
      <c r="H4097">
        <f>0.0273972602739726*1.56339397393269</f>
        <v>4.2832711614594246E-2</v>
      </c>
      <c r="I4097">
        <v>4.2832711614594343E-2</v>
      </c>
    </row>
    <row r="4098" spans="1:9" x14ac:dyDescent="0.25">
      <c r="A4098">
        <v>300</v>
      </c>
      <c r="B4098" t="s">
        <v>1782</v>
      </c>
      <c r="C4098" t="s">
        <v>48</v>
      </c>
      <c r="D4098" t="s">
        <v>50</v>
      </c>
      <c r="E4098">
        <f>3/73</f>
        <v>4.1095890410958902E-2</v>
      </c>
      <c r="F4098">
        <v>109</v>
      </c>
      <c r="G4098">
        <f>LOG(382/(109+1))</f>
        <v>0.54067067775348365</v>
      </c>
      <c r="H4098">
        <f>0.0410958904109589*1.24494024281415</f>
        <v>5.1161927786882874E-2</v>
      </c>
      <c r="I4098">
        <v>5.1161927786883242E-2</v>
      </c>
    </row>
    <row r="4099" spans="1:9" x14ac:dyDescent="0.25">
      <c r="A4099">
        <v>300</v>
      </c>
      <c r="B4099" t="s">
        <v>1782</v>
      </c>
      <c r="C4099" t="s">
        <v>48</v>
      </c>
      <c r="D4099" t="s">
        <v>283</v>
      </c>
      <c r="E4099">
        <f>1/73</f>
        <v>1.3698630136986301E-2</v>
      </c>
      <c r="F4099">
        <v>16</v>
      </c>
      <c r="G4099">
        <f>LOG(382/(16+1))</f>
        <v>1.3516144415334348</v>
      </c>
      <c r="H4099">
        <f>0.0136986301369863*3.11220726455035</f>
        <v>4.263297622671712E-2</v>
      </c>
      <c r="I4099">
        <v>4.2632976226717252E-2</v>
      </c>
    </row>
    <row r="4100" spans="1:9" x14ac:dyDescent="0.25">
      <c r="A4100">
        <v>300</v>
      </c>
      <c r="B4100" t="s">
        <v>1782</v>
      </c>
      <c r="C4100" t="s">
        <v>48</v>
      </c>
      <c r="D4100" t="s">
        <v>1624</v>
      </c>
      <c r="E4100">
        <f>1/73</f>
        <v>1.3698630136986301E-2</v>
      </c>
      <c r="F4100">
        <v>4</v>
      </c>
      <c r="G4100">
        <f>LOG(382/(4+1))</f>
        <v>1.8830933585756899</v>
      </c>
      <c r="H4100">
        <f>0.0136986301369863*4.33598269617247</f>
        <v>5.9397023235239314E-2</v>
      </c>
      <c r="I4100">
        <v>5.9397023235239377E-2</v>
      </c>
    </row>
    <row r="4101" spans="1:9" x14ac:dyDescent="0.25">
      <c r="A4101">
        <v>300</v>
      </c>
      <c r="B4101" t="s">
        <v>1782</v>
      </c>
      <c r="C4101" t="s">
        <v>48</v>
      </c>
      <c r="D4101" t="s">
        <v>98</v>
      </c>
      <c r="E4101">
        <f>2/73</f>
        <v>2.7397260273972601E-2</v>
      </c>
      <c r="F4101">
        <v>56</v>
      </c>
      <c r="G4101">
        <f>LOG(382/(56+1))</f>
        <v>0.82618850723921733</v>
      </c>
      <c r="H4101">
        <f>0.0273972602739726*1.90236934077202</f>
        <v>5.2119707966356704E-2</v>
      </c>
      <c r="I4101">
        <v>5.211970796635685E-2</v>
      </c>
    </row>
    <row r="4102" spans="1:9" x14ac:dyDescent="0.25">
      <c r="A4102">
        <v>300</v>
      </c>
      <c r="B4102" t="s">
        <v>1782</v>
      </c>
      <c r="C4102" t="s">
        <v>48</v>
      </c>
      <c r="D4102" t="s">
        <v>100</v>
      </c>
      <c r="E4102">
        <f>1/73</f>
        <v>1.3698630136986301E-2</v>
      </c>
      <c r="F4102">
        <v>9</v>
      </c>
      <c r="G4102">
        <f>LOG(382/(9+1))</f>
        <v>1.5820633629117087</v>
      </c>
      <c r="H4102">
        <f>0.0136986301369863*3.64283551561252</f>
        <v>4.9901856378253694E-2</v>
      </c>
      <c r="I4102">
        <v>4.9901856378253832E-2</v>
      </c>
    </row>
    <row r="4103" spans="1:9" x14ac:dyDescent="0.25">
      <c r="A4103">
        <v>300</v>
      </c>
      <c r="B4103" t="s">
        <v>1782</v>
      </c>
      <c r="C4103" t="s">
        <v>48</v>
      </c>
      <c r="D4103" t="s">
        <v>1644</v>
      </c>
      <c r="E4103">
        <f>1/73</f>
        <v>1.3698630136986301E-2</v>
      </c>
      <c r="F4103">
        <v>4</v>
      </c>
      <c r="G4103">
        <f>LOG(382/(4+1))</f>
        <v>1.8830933585756899</v>
      </c>
      <c r="H4103">
        <f>0.0136986301369863*4.33598269617247</f>
        <v>5.9397023235239314E-2</v>
      </c>
      <c r="I4103">
        <v>5.9397023235239377E-2</v>
      </c>
    </row>
    <row r="4104" spans="1:9" x14ac:dyDescent="0.25">
      <c r="A4104">
        <v>300</v>
      </c>
      <c r="B4104" t="s">
        <v>1782</v>
      </c>
      <c r="C4104" t="s">
        <v>48</v>
      </c>
      <c r="D4104" t="s">
        <v>1786</v>
      </c>
      <c r="E4104">
        <f>1/73</f>
        <v>1.3698630136986301E-2</v>
      </c>
      <c r="F4104">
        <v>1</v>
      </c>
      <c r="G4104">
        <f>LOG(382/(1+1))</f>
        <v>2.2810333672477277</v>
      </c>
      <c r="H4104">
        <f>0.0136986301369863*5.25227342804663</f>
        <v>7.1948951069131906E-2</v>
      </c>
      <c r="I4104">
        <v>7.1948951069131906E-2</v>
      </c>
    </row>
    <row r="4105" spans="1:9" x14ac:dyDescent="0.25">
      <c r="A4105">
        <v>300</v>
      </c>
      <c r="B4105" t="s">
        <v>1782</v>
      </c>
      <c r="C4105" t="s">
        <v>48</v>
      </c>
      <c r="D4105" t="s">
        <v>206</v>
      </c>
      <c r="E4105">
        <f>1/73</f>
        <v>1.3698630136986301E-2</v>
      </c>
      <c r="F4105">
        <v>3</v>
      </c>
      <c r="G4105">
        <f>LOG(382/(3+1))</f>
        <v>1.9800033715837464</v>
      </c>
      <c r="H4105">
        <f>0.0136986301369863*4.55912624748668</f>
        <v>6.2453784212146299E-2</v>
      </c>
      <c r="I4105">
        <v>6.2453784212146361E-2</v>
      </c>
    </row>
    <row r="4106" spans="1:9" x14ac:dyDescent="0.25">
      <c r="A4106">
        <v>300</v>
      </c>
      <c r="B4106" t="s">
        <v>1782</v>
      </c>
      <c r="C4106" t="s">
        <v>48</v>
      </c>
      <c r="D4106" t="s">
        <v>53</v>
      </c>
      <c r="E4106">
        <f>2/73</f>
        <v>2.7397260273972601E-2</v>
      </c>
      <c r="F4106">
        <v>57</v>
      </c>
      <c r="G4106">
        <f>LOG(382/(57+1))</f>
        <v>0.81863536934877146</v>
      </c>
      <c r="H4106">
        <f>0.0273972602739726*1.88497759806015</f>
        <v>5.1643221864661637E-2</v>
      </c>
      <c r="I4106">
        <v>5.1643221864661797E-2</v>
      </c>
    </row>
    <row r="4107" spans="1:9" x14ac:dyDescent="0.25">
      <c r="A4107">
        <v>300</v>
      </c>
      <c r="B4107" t="s">
        <v>1782</v>
      </c>
      <c r="C4107" t="s">
        <v>48</v>
      </c>
      <c r="D4107" t="s">
        <v>237</v>
      </c>
      <c r="E4107">
        <f>2/73</f>
        <v>2.7397260273972601E-2</v>
      </c>
      <c r="F4107">
        <v>138</v>
      </c>
      <c r="G4107">
        <f>LOG(382/(138+1))</f>
        <v>0.43904856265761361</v>
      </c>
      <c r="H4107">
        <f>0.0273972602739726*1.01094667547588</f>
        <v>2.7697169191119999E-2</v>
      </c>
      <c r="I4107">
        <v>2.7697169191120089E-2</v>
      </c>
    </row>
    <row r="4108" spans="1:9" x14ac:dyDescent="0.25">
      <c r="A4108">
        <v>300</v>
      </c>
      <c r="B4108" t="s">
        <v>1782</v>
      </c>
      <c r="C4108" t="s">
        <v>48</v>
      </c>
      <c r="D4108" t="s">
        <v>739</v>
      </c>
      <c r="E4108">
        <f t="shared" ref="E4108:E4140" si="188">1/73</f>
        <v>1.3698630136986301E-2</v>
      </c>
      <c r="F4108">
        <v>24</v>
      </c>
      <c r="G4108">
        <f>LOG(382/(24+1))</f>
        <v>1.1841233542396712</v>
      </c>
      <c r="H4108">
        <f>0.0136986301369863*2.72654478373837</f>
        <v>3.7349928544361227E-2</v>
      </c>
      <c r="I4108">
        <v>3.734992854436129E-2</v>
      </c>
    </row>
    <row r="4109" spans="1:9" x14ac:dyDescent="0.25">
      <c r="A4109">
        <v>300</v>
      </c>
      <c r="B4109" t="s">
        <v>1782</v>
      </c>
      <c r="C4109" t="s">
        <v>48</v>
      </c>
      <c r="D4109" t="s">
        <v>1125</v>
      </c>
      <c r="E4109">
        <f t="shared" si="188"/>
        <v>1.3698630136986301E-2</v>
      </c>
      <c r="F4109">
        <v>19</v>
      </c>
      <c r="G4109">
        <f>LOG(382/(19+1))</f>
        <v>1.2810333672477277</v>
      </c>
      <c r="H4109">
        <f>0.0136986301369863*2.94968833505258</f>
        <v>4.0406689521268219E-2</v>
      </c>
      <c r="I4109">
        <v>4.0406689521268267E-2</v>
      </c>
    </row>
    <row r="4110" spans="1:9" x14ac:dyDescent="0.25">
      <c r="A4110">
        <v>300</v>
      </c>
      <c r="B4110" t="s">
        <v>1782</v>
      </c>
      <c r="C4110" t="s">
        <v>48</v>
      </c>
      <c r="D4110" t="s">
        <v>1627</v>
      </c>
      <c r="E4110">
        <f t="shared" si="188"/>
        <v>1.3698630136986301E-2</v>
      </c>
      <c r="F4110">
        <v>3</v>
      </c>
      <c r="G4110">
        <f>LOG(382/(3+1))</f>
        <v>1.9800033715837464</v>
      </c>
      <c r="H4110">
        <f>0.0136986301369863*4.55912624748668</f>
        <v>6.2453784212146299E-2</v>
      </c>
      <c r="I4110">
        <v>6.2453784212146361E-2</v>
      </c>
    </row>
    <row r="4111" spans="1:9" x14ac:dyDescent="0.25">
      <c r="A4111">
        <v>300</v>
      </c>
      <c r="B4111" t="s">
        <v>1782</v>
      </c>
      <c r="C4111" t="s">
        <v>48</v>
      </c>
      <c r="D4111" t="s">
        <v>363</v>
      </c>
      <c r="E4111">
        <f t="shared" si="188"/>
        <v>1.3698630136986301E-2</v>
      </c>
      <c r="F4111">
        <v>36</v>
      </c>
      <c r="G4111">
        <f>LOG(382/(36+1))</f>
        <v>1.0138616388447137</v>
      </c>
      <c r="H4111">
        <f>0.0136986301369863*2.33450269596235</f>
        <v>3.1979488985785613E-2</v>
      </c>
      <c r="I4111">
        <v>3.1979488985785627E-2</v>
      </c>
    </row>
    <row r="4112" spans="1:9" x14ac:dyDescent="0.25">
      <c r="A4112">
        <v>300</v>
      </c>
      <c r="B4112" t="s">
        <v>1782</v>
      </c>
      <c r="C4112" t="s">
        <v>48</v>
      </c>
      <c r="D4112" t="s">
        <v>764</v>
      </c>
      <c r="E4112">
        <f t="shared" si="188"/>
        <v>1.3698630136986301E-2</v>
      </c>
      <c r="F4112">
        <v>57</v>
      </c>
      <c r="G4112">
        <f>LOG(382/(57+1))</f>
        <v>0.81863536934877146</v>
      </c>
      <c r="H4112">
        <f>0.0136986301369863*1.88497759806015</f>
        <v>2.5821610932330818E-2</v>
      </c>
      <c r="I4112">
        <v>2.5821610932330898E-2</v>
      </c>
    </row>
    <row r="4113" spans="1:9" x14ac:dyDescent="0.25">
      <c r="A4113">
        <v>300</v>
      </c>
      <c r="B4113" t="s">
        <v>1782</v>
      </c>
      <c r="C4113" t="s">
        <v>48</v>
      </c>
      <c r="D4113" t="s">
        <v>994</v>
      </c>
      <c r="E4113">
        <f t="shared" si="188"/>
        <v>1.3698630136986301E-2</v>
      </c>
      <c r="F4113">
        <v>37</v>
      </c>
      <c r="G4113">
        <f>LOG(382/(37+1))</f>
        <v>1.0022797662948986</v>
      </c>
      <c r="H4113">
        <f>0.0136986301369863*2.30783444888018</f>
        <v>3.16141705326052E-2</v>
      </c>
      <c r="I4113">
        <v>3.1614170532605332E-2</v>
      </c>
    </row>
    <row r="4114" spans="1:9" x14ac:dyDescent="0.25">
      <c r="A4114">
        <v>300</v>
      </c>
      <c r="B4114" t="s">
        <v>1782</v>
      </c>
      <c r="C4114" t="s">
        <v>48</v>
      </c>
      <c r="D4114" t="s">
        <v>1191</v>
      </c>
      <c r="E4114">
        <f t="shared" si="188"/>
        <v>1.3698630136986301E-2</v>
      </c>
      <c r="F4114">
        <v>4</v>
      </c>
      <c r="G4114">
        <f>LOG(382/(4+1))</f>
        <v>1.8830933585756899</v>
      </c>
      <c r="H4114">
        <f>0.0136986301369863*4.33598269617247</f>
        <v>5.9397023235239314E-2</v>
      </c>
      <c r="I4114">
        <v>5.9397023235239377E-2</v>
      </c>
    </row>
    <row r="4115" spans="1:9" x14ac:dyDescent="0.25">
      <c r="A4115">
        <v>300</v>
      </c>
      <c r="B4115" t="s">
        <v>1782</v>
      </c>
      <c r="C4115" t="s">
        <v>48</v>
      </c>
      <c r="D4115" t="s">
        <v>784</v>
      </c>
      <c r="E4115">
        <f t="shared" si="188"/>
        <v>1.3698630136986301E-2</v>
      </c>
      <c r="F4115">
        <v>6</v>
      </c>
      <c r="G4115">
        <f>LOG(382/(6+1))</f>
        <v>1.736965322897452</v>
      </c>
      <c r="H4115">
        <f>0.0136986301369863*3.99951045955126</f>
        <v>5.4787814514400818E-2</v>
      </c>
      <c r="I4115">
        <v>5.4787814514400852E-2</v>
      </c>
    </row>
    <row r="4116" spans="1:9" x14ac:dyDescent="0.25">
      <c r="A4116">
        <v>300</v>
      </c>
      <c r="B4116" t="s">
        <v>1782</v>
      </c>
      <c r="C4116" t="s">
        <v>48</v>
      </c>
      <c r="D4116" t="s">
        <v>236</v>
      </c>
      <c r="E4116">
        <f t="shared" si="188"/>
        <v>1.3698630136986301E-2</v>
      </c>
      <c r="F4116">
        <v>87</v>
      </c>
      <c r="G4116">
        <f>LOG(382/(87+1))</f>
        <v>0.63758069076154011</v>
      </c>
      <c r="H4116">
        <f>0.0136986301369863*1.46808379412836</f>
        <v>2.0110736905867944E-2</v>
      </c>
      <c r="I4116">
        <v>2.0110736905868062E-2</v>
      </c>
    </row>
    <row r="4117" spans="1:9" x14ac:dyDescent="0.25">
      <c r="A4117">
        <v>300</v>
      </c>
      <c r="B4117" t="s">
        <v>1782</v>
      </c>
      <c r="C4117" t="s">
        <v>48</v>
      </c>
      <c r="D4117" t="s">
        <v>538</v>
      </c>
      <c r="E4117">
        <f t="shared" si="188"/>
        <v>1.3698630136986301E-2</v>
      </c>
      <c r="F4117">
        <v>3</v>
      </c>
      <c r="G4117">
        <f>LOG(382/(3+1))</f>
        <v>1.9800033715837464</v>
      </c>
      <c r="H4117">
        <f>0.0136986301369863*4.55912624748668</f>
        <v>6.2453784212146299E-2</v>
      </c>
      <c r="I4117">
        <v>6.2453784212146361E-2</v>
      </c>
    </row>
    <row r="4118" spans="1:9" x14ac:dyDescent="0.25">
      <c r="A4118">
        <v>300</v>
      </c>
      <c r="B4118" t="s">
        <v>1782</v>
      </c>
      <c r="C4118" t="s">
        <v>48</v>
      </c>
      <c r="D4118" t="s">
        <v>133</v>
      </c>
      <c r="E4118">
        <f t="shared" si="188"/>
        <v>1.3698630136986301E-2</v>
      </c>
      <c r="F4118">
        <v>142</v>
      </c>
      <c r="G4118">
        <f>LOG(382/(142+1))</f>
        <v>0.42672732544664693</v>
      </c>
      <c r="H4118">
        <f>0.0136986301369863*0.982575978346667</f>
        <v>1.3459944908858452E-2</v>
      </c>
      <c r="I4118">
        <v>1.345994490885846E-2</v>
      </c>
    </row>
    <row r="4119" spans="1:9" x14ac:dyDescent="0.25">
      <c r="A4119">
        <v>300</v>
      </c>
      <c r="B4119" t="s">
        <v>1782</v>
      </c>
      <c r="C4119" t="s">
        <v>48</v>
      </c>
      <c r="D4119" t="s">
        <v>513</v>
      </c>
      <c r="E4119">
        <f t="shared" si="188"/>
        <v>1.3698630136986301E-2</v>
      </c>
      <c r="F4119">
        <v>3</v>
      </c>
      <c r="G4119">
        <f>LOG(382/(3+1))</f>
        <v>1.9800033715837464</v>
      </c>
      <c r="H4119">
        <f>0.0136986301369863*4.55912624748668</f>
        <v>6.2453784212146299E-2</v>
      </c>
      <c r="I4119">
        <v>6.2453784212146361E-2</v>
      </c>
    </row>
    <row r="4120" spans="1:9" x14ac:dyDescent="0.25">
      <c r="A4120">
        <v>300</v>
      </c>
      <c r="B4120" t="s">
        <v>1782</v>
      </c>
      <c r="C4120" t="s">
        <v>48</v>
      </c>
      <c r="D4120" t="s">
        <v>324</v>
      </c>
      <c r="E4120">
        <f t="shared" si="188"/>
        <v>1.3698630136986301E-2</v>
      </c>
      <c r="F4120">
        <v>82</v>
      </c>
      <c r="G4120">
        <f>LOG(382/(82+1))</f>
        <v>0.66298527053563483</v>
      </c>
      <c r="H4120">
        <f>0.0136986301369863*1.52658000080997</f>
        <v>2.0912054805616025E-2</v>
      </c>
      <c r="I4120">
        <v>2.0912054805616129E-2</v>
      </c>
    </row>
    <row r="4121" spans="1:9" x14ac:dyDescent="0.25">
      <c r="A4121">
        <v>300</v>
      </c>
      <c r="B4121" t="s">
        <v>1782</v>
      </c>
      <c r="C4121" t="s">
        <v>48</v>
      </c>
      <c r="D4121" t="s">
        <v>90</v>
      </c>
      <c r="E4121">
        <f t="shared" si="188"/>
        <v>1.3698630136986301E-2</v>
      </c>
      <c r="F4121">
        <v>13</v>
      </c>
      <c r="G4121">
        <f>LOG(382/(13+1))</f>
        <v>1.4359353272334707</v>
      </c>
      <c r="H4121">
        <f>0.0136986301369863*3.30636327899131</f>
        <v>4.5292647657415204E-2</v>
      </c>
      <c r="I4121">
        <v>4.5292647657415287E-2</v>
      </c>
    </row>
    <row r="4122" spans="1:9" x14ac:dyDescent="0.25">
      <c r="A4122">
        <v>300</v>
      </c>
      <c r="B4122" t="s">
        <v>1782</v>
      </c>
      <c r="C4122" t="s">
        <v>48</v>
      </c>
      <c r="D4122" t="s">
        <v>105</v>
      </c>
      <c r="E4122">
        <f t="shared" si="188"/>
        <v>1.3698630136986301E-2</v>
      </c>
      <c r="F4122">
        <v>122</v>
      </c>
      <c r="G4122">
        <f>LOG(382/(122+1))</f>
        <v>0.49215825147231079</v>
      </c>
      <c r="H4122">
        <f>0.0136986301369863*1.13323625323415</f>
        <v>1.5523784290878766E-2</v>
      </c>
      <c r="I4122">
        <v>1.552378429087887E-2</v>
      </c>
    </row>
    <row r="4123" spans="1:9" x14ac:dyDescent="0.25">
      <c r="A4123">
        <v>300</v>
      </c>
      <c r="B4123" t="s">
        <v>1782</v>
      </c>
      <c r="C4123" t="s">
        <v>48</v>
      </c>
      <c r="D4123" t="s">
        <v>103</v>
      </c>
      <c r="E4123">
        <f t="shared" si="188"/>
        <v>1.3698630136986301E-2</v>
      </c>
      <c r="F4123">
        <v>38</v>
      </c>
      <c r="G4123">
        <f>LOG(382/(38+1))</f>
        <v>0.99099875588520958</v>
      </c>
      <c r="H4123">
        <f>0.0136986301369863*2.28185896247692</f>
        <v>3.1258341951738627E-2</v>
      </c>
      <c r="I4123">
        <v>3.1258341951738752E-2</v>
      </c>
    </row>
    <row r="4124" spans="1:9" x14ac:dyDescent="0.25">
      <c r="A4124">
        <v>300</v>
      </c>
      <c r="B4124" t="s">
        <v>1782</v>
      </c>
      <c r="C4124" t="s">
        <v>48</v>
      </c>
      <c r="D4124" t="s">
        <v>1787</v>
      </c>
      <c r="E4124">
        <f t="shared" si="188"/>
        <v>1.3698630136986301E-2</v>
      </c>
      <c r="F4124">
        <v>3</v>
      </c>
      <c r="G4124">
        <f>LOG(382/(3+1))</f>
        <v>1.9800033715837464</v>
      </c>
      <c r="H4124">
        <f>0.0136986301369863*4.55912624748668</f>
        <v>6.2453784212146299E-2</v>
      </c>
      <c r="I4124">
        <v>6.2453784212146361E-2</v>
      </c>
    </row>
    <row r="4125" spans="1:9" x14ac:dyDescent="0.25">
      <c r="A4125">
        <v>300</v>
      </c>
      <c r="B4125" t="s">
        <v>1782</v>
      </c>
      <c r="C4125" t="s">
        <v>48</v>
      </c>
      <c r="D4125" t="s">
        <v>112</v>
      </c>
      <c r="E4125">
        <f t="shared" si="188"/>
        <v>1.3698630136986301E-2</v>
      </c>
      <c r="F4125">
        <v>52</v>
      </c>
      <c r="G4125">
        <f>LOG(382/(52+1))</f>
        <v>0.85778749331091964</v>
      </c>
      <c r="H4125">
        <f>0.0136986301369863*1.97512869505445</f>
        <v>2.7056557466499313E-2</v>
      </c>
      <c r="I4125">
        <v>2.7056557466499358E-2</v>
      </c>
    </row>
    <row r="4126" spans="1:9" x14ac:dyDescent="0.25">
      <c r="A4126">
        <v>300</v>
      </c>
      <c r="B4126" t="s">
        <v>1782</v>
      </c>
      <c r="C4126" t="s">
        <v>48</v>
      </c>
      <c r="D4126" t="s">
        <v>54</v>
      </c>
      <c r="E4126">
        <f t="shared" si="188"/>
        <v>1.3698630136986301E-2</v>
      </c>
      <c r="F4126">
        <v>25</v>
      </c>
      <c r="G4126">
        <f>LOG(382/(25+1))</f>
        <v>1.1670900149408907</v>
      </c>
      <c r="H4126">
        <f>0.0136986301369863*2.68732407058509</f>
        <v>3.6812658501165614E-2</v>
      </c>
      <c r="I4126">
        <v>3.6812658501165663E-2</v>
      </c>
    </row>
    <row r="4127" spans="1:9" x14ac:dyDescent="0.25">
      <c r="A4127">
        <v>300</v>
      </c>
      <c r="B4127" t="s">
        <v>1782</v>
      </c>
      <c r="C4127" t="s">
        <v>48</v>
      </c>
      <c r="D4127" t="s">
        <v>121</v>
      </c>
      <c r="E4127">
        <f t="shared" si="188"/>
        <v>1.3698630136986301E-2</v>
      </c>
      <c r="F4127">
        <v>22</v>
      </c>
      <c r="G4127">
        <f>LOG(382/(22+1))</f>
        <v>1.2203355268941158</v>
      </c>
      <c r="H4127">
        <f>0.0136986301369863*2.80992639267742</f>
        <v>3.8492142365444106E-2</v>
      </c>
      <c r="I4127">
        <v>3.8492142365444182E-2</v>
      </c>
    </row>
    <row r="4128" spans="1:9" x14ac:dyDescent="0.25">
      <c r="A4128">
        <v>300</v>
      </c>
      <c r="B4128" t="s">
        <v>1782</v>
      </c>
      <c r="C4128" t="s">
        <v>48</v>
      </c>
      <c r="D4128" t="s">
        <v>87</v>
      </c>
      <c r="E4128">
        <f t="shared" si="188"/>
        <v>1.3698630136986301E-2</v>
      </c>
      <c r="F4128">
        <v>12</v>
      </c>
      <c r="G4128">
        <f>LOG(382/(12+1))</f>
        <v>1.468120010604872</v>
      </c>
      <c r="H4128">
        <f>0.0136986301369863*3.38047125114503</f>
        <v>4.6307825358151096E-2</v>
      </c>
      <c r="I4128">
        <v>4.6307825358151207E-2</v>
      </c>
    </row>
    <row r="4129" spans="1:9" x14ac:dyDescent="0.25">
      <c r="A4129">
        <v>300</v>
      </c>
      <c r="B4129" t="s">
        <v>1782</v>
      </c>
      <c r="C4129" t="s">
        <v>48</v>
      </c>
      <c r="D4129" t="s">
        <v>78</v>
      </c>
      <c r="E4129">
        <f t="shared" si="188"/>
        <v>1.3698630136986301E-2</v>
      </c>
      <c r="F4129">
        <v>122</v>
      </c>
      <c r="G4129">
        <f>LOG(382/(122+1))</f>
        <v>0.49215825147231079</v>
      </c>
      <c r="H4129">
        <f>0.0136986301369863*1.13323625323415</f>
        <v>1.5523784290878766E-2</v>
      </c>
      <c r="I4129">
        <v>1.552378429087887E-2</v>
      </c>
    </row>
    <row r="4130" spans="1:9" x14ac:dyDescent="0.25">
      <c r="A4130">
        <v>300</v>
      </c>
      <c r="B4130" t="s">
        <v>1782</v>
      </c>
      <c r="C4130" t="s">
        <v>48</v>
      </c>
      <c r="D4130" t="s">
        <v>754</v>
      </c>
      <c r="E4130">
        <f t="shared" si="188"/>
        <v>1.3698630136986301E-2</v>
      </c>
      <c r="F4130">
        <v>111</v>
      </c>
      <c r="G4130">
        <f>LOG(382/(111+1))</f>
        <v>0.53284534024152708</v>
      </c>
      <c r="H4130">
        <f>0.0136986301369863*1.22692173731148</f>
        <v>1.680714708645863E-2</v>
      </c>
      <c r="I4130">
        <v>1.680714708645864E-2</v>
      </c>
    </row>
    <row r="4131" spans="1:9" x14ac:dyDescent="0.25">
      <c r="A4131">
        <v>300</v>
      </c>
      <c r="B4131" t="s">
        <v>1782</v>
      </c>
      <c r="C4131" t="s">
        <v>48</v>
      </c>
      <c r="D4131" t="s">
        <v>1788</v>
      </c>
      <c r="E4131">
        <f t="shared" si="188"/>
        <v>1.3698630136986301E-2</v>
      </c>
      <c r="F4131">
        <v>1</v>
      </c>
      <c r="G4131">
        <f>LOG(382/(1+1))</f>
        <v>2.2810333672477277</v>
      </c>
      <c r="H4131">
        <f>0.0136986301369863*5.25227342804663</f>
        <v>7.1948951069131906E-2</v>
      </c>
      <c r="I4131">
        <v>7.1948951069131906E-2</v>
      </c>
    </row>
    <row r="4132" spans="1:9" x14ac:dyDescent="0.25">
      <c r="A4132">
        <v>300</v>
      </c>
      <c r="B4132" t="s">
        <v>1782</v>
      </c>
      <c r="C4132" t="s">
        <v>48</v>
      </c>
      <c r="D4132" t="s">
        <v>256</v>
      </c>
      <c r="E4132">
        <f t="shared" si="188"/>
        <v>1.3698630136986301E-2</v>
      </c>
      <c r="F4132">
        <v>28</v>
      </c>
      <c r="G4132">
        <f>LOG(382/(28+1))</f>
        <v>1.1196653650127526</v>
      </c>
      <c r="H4132">
        <f>0.0136986301369863*2.5781247786201</f>
        <v>3.5316777789316432E-2</v>
      </c>
      <c r="I4132">
        <v>3.5316777789316453E-2</v>
      </c>
    </row>
    <row r="4133" spans="1:9" x14ac:dyDescent="0.25">
      <c r="A4133">
        <v>300</v>
      </c>
      <c r="B4133" t="s">
        <v>1782</v>
      </c>
      <c r="C4133" t="s">
        <v>48</v>
      </c>
      <c r="D4133" t="s">
        <v>38</v>
      </c>
      <c r="E4133">
        <f t="shared" si="188"/>
        <v>1.3698630136986301E-2</v>
      </c>
      <c r="F4133">
        <v>86</v>
      </c>
      <c r="G4133">
        <f>LOG(382/(86+1))</f>
        <v>0.64254411029309022</v>
      </c>
      <c r="H4133">
        <f>0.0136986301369863*1.47951248995199</f>
        <v>2.0267294382903971E-2</v>
      </c>
      <c r="I4133">
        <v>2.0267294382903991E-2</v>
      </c>
    </row>
    <row r="4134" spans="1:9" x14ac:dyDescent="0.25">
      <c r="A4134">
        <v>300</v>
      </c>
      <c r="B4134" t="s">
        <v>1782</v>
      </c>
      <c r="C4134" t="s">
        <v>48</v>
      </c>
      <c r="D4134" t="s">
        <v>247</v>
      </c>
      <c r="E4134">
        <f t="shared" si="188"/>
        <v>1.3698630136986301E-2</v>
      </c>
      <c r="F4134">
        <v>121</v>
      </c>
      <c r="G4134">
        <f>LOG(382/(121+1))</f>
        <v>0.49570353223696051</v>
      </c>
      <c r="H4134">
        <f>0.0136986301369863*1.14139956387331</f>
        <v>1.5635610464017947E-2</v>
      </c>
      <c r="I4134">
        <v>1.5635610464018061E-2</v>
      </c>
    </row>
    <row r="4135" spans="1:9" x14ac:dyDescent="0.25">
      <c r="A4135">
        <v>300</v>
      </c>
      <c r="B4135" t="s">
        <v>1782</v>
      </c>
      <c r="C4135" t="s">
        <v>48</v>
      </c>
      <c r="D4135" t="s">
        <v>474</v>
      </c>
      <c r="E4135">
        <f t="shared" si="188"/>
        <v>1.3698630136986301E-2</v>
      </c>
      <c r="F4135">
        <v>25</v>
      </c>
      <c r="G4135">
        <f>LOG(382/(25+1))</f>
        <v>1.1670900149408907</v>
      </c>
      <c r="H4135">
        <f>0.0136986301369863*2.68732407058509</f>
        <v>3.6812658501165614E-2</v>
      </c>
      <c r="I4135">
        <v>3.6812658501165663E-2</v>
      </c>
    </row>
    <row r="4136" spans="1:9" x14ac:dyDescent="0.25">
      <c r="A4136">
        <v>300</v>
      </c>
      <c r="B4136" t="s">
        <v>1782</v>
      </c>
      <c r="C4136" t="s">
        <v>48</v>
      </c>
      <c r="D4136" t="s">
        <v>119</v>
      </c>
      <c r="E4136">
        <f t="shared" si="188"/>
        <v>1.3698630136986301E-2</v>
      </c>
      <c r="F4136">
        <v>79</v>
      </c>
      <c r="G4136">
        <f>LOG(382/(79+1))</f>
        <v>0.67897337591976514</v>
      </c>
      <c r="H4136">
        <f>0.0136986301369863*1.56339397393269</f>
        <v>2.1416355807297123E-2</v>
      </c>
      <c r="I4136">
        <v>2.1416355807297172E-2</v>
      </c>
    </row>
    <row r="4137" spans="1:9" x14ac:dyDescent="0.25">
      <c r="A4137">
        <v>300</v>
      </c>
      <c r="B4137" t="s">
        <v>1782</v>
      </c>
      <c r="C4137" t="s">
        <v>48</v>
      </c>
      <c r="D4137" t="s">
        <v>388</v>
      </c>
      <c r="E4137">
        <f t="shared" si="188"/>
        <v>1.3698630136986301E-2</v>
      </c>
      <c r="F4137">
        <v>44</v>
      </c>
      <c r="G4137">
        <f>LOG(382/(44+1))</f>
        <v>0.92885084913636506</v>
      </c>
      <c r="H4137">
        <f>0.0136986301369863*2.13875811883625</f>
        <v>2.9298056422414381E-2</v>
      </c>
      <c r="I4137">
        <v>2.929805642241445E-2</v>
      </c>
    </row>
    <row r="4138" spans="1:9" x14ac:dyDescent="0.25">
      <c r="A4138">
        <v>300</v>
      </c>
      <c r="B4138" t="s">
        <v>1782</v>
      </c>
      <c r="C4138" t="s">
        <v>48</v>
      </c>
      <c r="D4138" t="s">
        <v>1634</v>
      </c>
      <c r="E4138">
        <f t="shared" si="188"/>
        <v>1.3698630136986301E-2</v>
      </c>
      <c r="F4138">
        <v>7</v>
      </c>
      <c r="G4138">
        <f>LOG(382/(7+1))</f>
        <v>1.6789733759197651</v>
      </c>
      <c r="H4138">
        <f>0.0136986301369863*3.86597906692673</f>
        <v>5.2958617355160685E-2</v>
      </c>
      <c r="I4138">
        <v>5.295861735516081E-2</v>
      </c>
    </row>
    <row r="4139" spans="1:9" x14ac:dyDescent="0.25">
      <c r="A4139">
        <v>300</v>
      </c>
      <c r="B4139" t="s">
        <v>1782</v>
      </c>
      <c r="C4139" t="s">
        <v>48</v>
      </c>
      <c r="D4139" t="s">
        <v>1789</v>
      </c>
      <c r="E4139">
        <f t="shared" si="188"/>
        <v>1.3698630136986301E-2</v>
      </c>
      <c r="F4139">
        <v>2</v>
      </c>
      <c r="G4139">
        <f>LOG(382/(2+1))</f>
        <v>2.1049421081920463</v>
      </c>
      <c r="H4139">
        <f>0.0136986301369863*4.84680831993846</f>
        <v>6.6394634519704926E-2</v>
      </c>
      <c r="I4139">
        <v>6.6394634519704995E-2</v>
      </c>
    </row>
    <row r="4140" spans="1:9" x14ac:dyDescent="0.25">
      <c r="A4140">
        <v>300</v>
      </c>
      <c r="B4140" t="s">
        <v>1782</v>
      </c>
      <c r="C4140" t="s">
        <v>48</v>
      </c>
      <c r="D4140" t="s">
        <v>911</v>
      </c>
      <c r="E4140">
        <f t="shared" si="188"/>
        <v>1.3698630136986301E-2</v>
      </c>
      <c r="F4140">
        <v>22</v>
      </c>
      <c r="G4140">
        <f>LOG(382/(22+1))</f>
        <v>1.2203355268941158</v>
      </c>
      <c r="H4140">
        <f>0.0136986301369863*2.80992639267742</f>
        <v>3.8492142365444106E-2</v>
      </c>
      <c r="I4140">
        <v>3.8492142365444182E-2</v>
      </c>
    </row>
    <row r="4141" spans="1:9" x14ac:dyDescent="0.25">
      <c r="A4141">
        <v>301</v>
      </c>
      <c r="B4141" t="s">
        <v>1790</v>
      </c>
      <c r="C4141" t="s">
        <v>48</v>
      </c>
      <c r="D4141" t="s">
        <v>1791</v>
      </c>
      <c r="E4141">
        <f>1/45</f>
        <v>2.2222222222222223E-2</v>
      </c>
      <c r="F4141">
        <v>1</v>
      </c>
      <c r="G4141">
        <f>LOG(382/(1+1))</f>
        <v>2.2810333672477277</v>
      </c>
      <c r="H4141">
        <f>0.0222222222222222*5.25227342804663</f>
        <v>0.11671718728992499</v>
      </c>
      <c r="I4141">
        <v>0.1167171872899251</v>
      </c>
    </row>
    <row r="4142" spans="1:9" x14ac:dyDescent="0.25">
      <c r="A4142">
        <v>301</v>
      </c>
      <c r="B4142" t="s">
        <v>1790</v>
      </c>
      <c r="C4142" t="s">
        <v>48</v>
      </c>
      <c r="D4142" t="s">
        <v>243</v>
      </c>
      <c r="E4142">
        <f>3/45</f>
        <v>6.6666666666666666E-2</v>
      </c>
      <c r="F4142">
        <v>131</v>
      </c>
      <c r="G4142">
        <f>LOG(382/(131+1))</f>
        <v>0.46148943170585888</v>
      </c>
      <c r="H4142">
        <f>0.0666666666666666*1.0626186860202</f>
        <v>7.0841245734679925E-2</v>
      </c>
      <c r="I4142">
        <v>7.0841245734680286E-2</v>
      </c>
    </row>
    <row r="4143" spans="1:9" x14ac:dyDescent="0.25">
      <c r="A4143">
        <v>301</v>
      </c>
      <c r="B4143" t="s">
        <v>1790</v>
      </c>
      <c r="C4143" t="s">
        <v>48</v>
      </c>
      <c r="D4143" t="s">
        <v>81</v>
      </c>
      <c r="E4143">
        <f>2/45</f>
        <v>4.4444444444444446E-2</v>
      </c>
      <c r="F4143">
        <v>114</v>
      </c>
      <c r="G4143">
        <f>LOG(382/(114+1))</f>
        <v>0.52136552255809698</v>
      </c>
      <c r="H4143">
        <f>0.0444444444444444*1.20048848024332</f>
        <v>5.335504356636972E-2</v>
      </c>
      <c r="I4143">
        <v>5.3355043566369997E-2</v>
      </c>
    </row>
    <row r="4144" spans="1:9" x14ac:dyDescent="0.25">
      <c r="A4144">
        <v>301</v>
      </c>
      <c r="B4144" t="s">
        <v>1790</v>
      </c>
      <c r="C4144" t="s">
        <v>48</v>
      </c>
      <c r="D4144" t="s">
        <v>1792</v>
      </c>
      <c r="E4144">
        <f>2/45</f>
        <v>4.4444444444444446E-2</v>
      </c>
      <c r="F4144">
        <v>3</v>
      </c>
      <c r="G4144">
        <f>LOG(382/(3+1))</f>
        <v>1.9800033715837464</v>
      </c>
      <c r="H4144">
        <f>0.0444444444444444*4.55912624748668</f>
        <v>0.20262783322163</v>
      </c>
      <c r="I4144">
        <v>0.20262783322163039</v>
      </c>
    </row>
    <row r="4145" spans="1:9" x14ac:dyDescent="0.25">
      <c r="A4145">
        <v>301</v>
      </c>
      <c r="B4145" t="s">
        <v>1790</v>
      </c>
      <c r="C4145" t="s">
        <v>48</v>
      </c>
      <c r="D4145" t="s">
        <v>1793</v>
      </c>
      <c r="E4145">
        <f>2/45</f>
        <v>4.4444444444444446E-2</v>
      </c>
      <c r="F4145">
        <v>1</v>
      </c>
      <c r="G4145">
        <f>LOG(382/(1+1))</f>
        <v>2.2810333672477277</v>
      </c>
      <c r="H4145">
        <f>0.0444444444444444*5.25227342804663</f>
        <v>0.23343437457984997</v>
      </c>
      <c r="I4145">
        <v>0.2334343745798502</v>
      </c>
    </row>
    <row r="4146" spans="1:9" x14ac:dyDescent="0.25">
      <c r="A4146">
        <v>301</v>
      </c>
      <c r="B4146" t="s">
        <v>1790</v>
      </c>
      <c r="C4146" t="s">
        <v>48</v>
      </c>
      <c r="D4146" t="s">
        <v>666</v>
      </c>
      <c r="E4146">
        <f>1/45</f>
        <v>2.2222222222222223E-2</v>
      </c>
      <c r="F4146">
        <v>9</v>
      </c>
      <c r="G4146">
        <f>LOG(382/(9+1))</f>
        <v>1.5820633629117087</v>
      </c>
      <c r="H4146">
        <f>0.0222222222222222*3.64283551561252</f>
        <v>8.09519003469448E-2</v>
      </c>
      <c r="I4146">
        <v>8.0951900346945105E-2</v>
      </c>
    </row>
    <row r="4147" spans="1:9" x14ac:dyDescent="0.25">
      <c r="A4147">
        <v>301</v>
      </c>
      <c r="B4147" t="s">
        <v>1790</v>
      </c>
      <c r="C4147" t="s">
        <v>48</v>
      </c>
      <c r="D4147" t="s">
        <v>193</v>
      </c>
      <c r="E4147">
        <f>2/45</f>
        <v>4.4444444444444446E-2</v>
      </c>
      <c r="F4147">
        <v>10</v>
      </c>
      <c r="G4147">
        <f>LOG(382/(10+1))</f>
        <v>1.5406706777534838</v>
      </c>
      <c r="H4147">
        <f>0.0444444444444444*3.5475253358082</f>
        <v>0.15766779270258652</v>
      </c>
      <c r="I4147">
        <v>0.15766779270258691</v>
      </c>
    </row>
    <row r="4148" spans="1:9" x14ac:dyDescent="0.25">
      <c r="A4148">
        <v>301</v>
      </c>
      <c r="B4148" t="s">
        <v>1790</v>
      </c>
      <c r="C4148" t="s">
        <v>48</v>
      </c>
      <c r="D4148" t="s">
        <v>279</v>
      </c>
      <c r="E4148">
        <f t="shared" ref="E4148:E4162" si="189">1/45</f>
        <v>2.2222222222222223E-2</v>
      </c>
      <c r="F4148">
        <v>22</v>
      </c>
      <c r="G4148">
        <f>LOG(382/(22+1))</f>
        <v>1.2203355268941158</v>
      </c>
      <c r="H4148">
        <f>0.0222222222222222*2.80992639267742</f>
        <v>6.2442808726164818E-2</v>
      </c>
      <c r="I4148">
        <v>6.2442808726165012E-2</v>
      </c>
    </row>
    <row r="4149" spans="1:9" x14ac:dyDescent="0.25">
      <c r="A4149">
        <v>301</v>
      </c>
      <c r="B4149" t="s">
        <v>1790</v>
      </c>
      <c r="C4149" t="s">
        <v>48</v>
      </c>
      <c r="D4149" t="s">
        <v>1135</v>
      </c>
      <c r="E4149">
        <f t="shared" si="189"/>
        <v>2.2222222222222223E-2</v>
      </c>
      <c r="F4149">
        <v>7</v>
      </c>
      <c r="G4149">
        <f>LOG(382/(7+1))</f>
        <v>1.6789733759197651</v>
      </c>
      <c r="H4149">
        <f>0.0222222222222222*3.86597906692673</f>
        <v>8.5910645931705026E-2</v>
      </c>
      <c r="I4149">
        <v>8.5910645931705318E-2</v>
      </c>
    </row>
    <row r="4150" spans="1:9" x14ac:dyDescent="0.25">
      <c r="A4150">
        <v>301</v>
      </c>
      <c r="B4150" t="s">
        <v>1790</v>
      </c>
      <c r="C4150" t="s">
        <v>48</v>
      </c>
      <c r="D4150" t="s">
        <v>830</v>
      </c>
      <c r="E4150">
        <f t="shared" si="189"/>
        <v>2.2222222222222223E-2</v>
      </c>
      <c r="F4150">
        <v>19</v>
      </c>
      <c r="G4150">
        <f>LOG(382/(19+1))</f>
        <v>1.2810333672477277</v>
      </c>
      <c r="H4150">
        <f>0.0222222222222222*2.94968833505258</f>
        <v>6.5548629667835048E-2</v>
      </c>
      <c r="I4150">
        <v>6.5548629667835215E-2</v>
      </c>
    </row>
    <row r="4151" spans="1:9" x14ac:dyDescent="0.25">
      <c r="A4151">
        <v>301</v>
      </c>
      <c r="B4151" t="s">
        <v>1790</v>
      </c>
      <c r="C4151" t="s">
        <v>48</v>
      </c>
      <c r="D4151" t="s">
        <v>1794</v>
      </c>
      <c r="E4151">
        <f t="shared" si="189"/>
        <v>2.2222222222222223E-2</v>
      </c>
      <c r="F4151">
        <v>2</v>
      </c>
      <c r="G4151">
        <f>LOG(382/(2+1))</f>
        <v>2.1049421081920463</v>
      </c>
      <c r="H4151">
        <f>0.0222222222222222*4.84680831993846</f>
        <v>0.10770685155418788</v>
      </c>
      <c r="I4151">
        <v>0.1077068515541881</v>
      </c>
    </row>
    <row r="4152" spans="1:9" x14ac:dyDescent="0.25">
      <c r="A4152">
        <v>301</v>
      </c>
      <c r="B4152" t="s">
        <v>1790</v>
      </c>
      <c r="C4152" t="s">
        <v>48</v>
      </c>
      <c r="D4152" t="s">
        <v>25</v>
      </c>
      <c r="E4152">
        <f t="shared" si="189"/>
        <v>2.2222222222222223E-2</v>
      </c>
      <c r="F4152">
        <v>106</v>
      </c>
      <c r="G4152">
        <f>LOG(382/(106+1))</f>
        <v>0.55267958522649907</v>
      </c>
      <c r="H4152">
        <f>0.0222222222222222*1.27259177414466</f>
        <v>2.8279817203214635E-2</v>
      </c>
      <c r="I4152">
        <v>2.8279817203214871E-2</v>
      </c>
    </row>
    <row r="4153" spans="1:9" x14ac:dyDescent="0.25">
      <c r="A4153">
        <v>301</v>
      </c>
      <c r="B4153" t="s">
        <v>1790</v>
      </c>
      <c r="C4153" t="s">
        <v>48</v>
      </c>
      <c r="D4153" t="s">
        <v>1795</v>
      </c>
      <c r="E4153">
        <f t="shared" si="189"/>
        <v>2.2222222222222223E-2</v>
      </c>
      <c r="F4153">
        <v>2</v>
      </c>
      <c r="G4153">
        <f>LOG(382/(2+1))</f>
        <v>2.1049421081920463</v>
      </c>
      <c r="H4153">
        <f>0.0222222222222222*4.84680831993846</f>
        <v>0.10770685155418788</v>
      </c>
      <c r="I4153">
        <v>0.1077068515541881</v>
      </c>
    </row>
    <row r="4154" spans="1:9" x14ac:dyDescent="0.25">
      <c r="A4154">
        <v>301</v>
      </c>
      <c r="B4154" t="s">
        <v>1790</v>
      </c>
      <c r="C4154" t="s">
        <v>48</v>
      </c>
      <c r="D4154" t="s">
        <v>1796</v>
      </c>
      <c r="E4154">
        <f t="shared" si="189"/>
        <v>2.2222222222222223E-2</v>
      </c>
      <c r="F4154">
        <v>2</v>
      </c>
      <c r="G4154">
        <f>LOG(382/(2+1))</f>
        <v>2.1049421081920463</v>
      </c>
      <c r="H4154">
        <f>0.0222222222222222*4.84680831993846</f>
        <v>0.10770685155418788</v>
      </c>
      <c r="I4154">
        <v>0.1077068515541881</v>
      </c>
    </row>
    <row r="4155" spans="1:9" x14ac:dyDescent="0.25">
      <c r="A4155">
        <v>301</v>
      </c>
      <c r="B4155" t="s">
        <v>1790</v>
      </c>
      <c r="C4155" t="s">
        <v>48</v>
      </c>
      <c r="D4155" t="s">
        <v>1797</v>
      </c>
      <c r="E4155">
        <f t="shared" si="189"/>
        <v>2.2222222222222223E-2</v>
      </c>
      <c r="F4155">
        <v>1</v>
      </c>
      <c r="G4155">
        <f>LOG(382/(1+1))</f>
        <v>2.2810333672477277</v>
      </c>
      <c r="H4155">
        <f>0.0222222222222222*5.25227342804663</f>
        <v>0.11671718728992499</v>
      </c>
      <c r="I4155">
        <v>0.1167171872899251</v>
      </c>
    </row>
    <row r="4156" spans="1:9" x14ac:dyDescent="0.25">
      <c r="A4156">
        <v>301</v>
      </c>
      <c r="B4156" t="s">
        <v>1790</v>
      </c>
      <c r="C4156" t="s">
        <v>48</v>
      </c>
      <c r="D4156" t="s">
        <v>190</v>
      </c>
      <c r="E4156">
        <f t="shared" si="189"/>
        <v>2.2222222222222223E-2</v>
      </c>
      <c r="F4156">
        <v>23</v>
      </c>
      <c r="G4156">
        <f>LOG(382/(23+1))</f>
        <v>1.2018521212001028</v>
      </c>
      <c r="H4156">
        <f>0.0222222222222222*2.76736677825862</f>
        <v>6.1497039516858164E-2</v>
      </c>
      <c r="I4156">
        <v>6.1497039516858427E-2</v>
      </c>
    </row>
    <row r="4157" spans="1:9" x14ac:dyDescent="0.25">
      <c r="A4157">
        <v>301</v>
      </c>
      <c r="B4157" t="s">
        <v>1790</v>
      </c>
      <c r="C4157" t="s">
        <v>48</v>
      </c>
      <c r="D4157" t="s">
        <v>68</v>
      </c>
      <c r="E4157">
        <f t="shared" si="189"/>
        <v>2.2222222222222223E-2</v>
      </c>
      <c r="F4157">
        <v>43</v>
      </c>
      <c r="G4157">
        <f>LOG(382/(43+1))</f>
        <v>0.93861068642552126</v>
      </c>
      <c r="H4157">
        <f>0.0222222222222222*2.16123097468831</f>
        <v>4.80273549930735E-2</v>
      </c>
      <c r="I4157">
        <v>4.8027354993073652E-2</v>
      </c>
    </row>
    <row r="4158" spans="1:9" x14ac:dyDescent="0.25">
      <c r="A4158">
        <v>301</v>
      </c>
      <c r="B4158" t="s">
        <v>1790</v>
      </c>
      <c r="C4158" t="s">
        <v>48</v>
      </c>
      <c r="D4158" t="s">
        <v>44</v>
      </c>
      <c r="E4158">
        <f t="shared" si="189"/>
        <v>2.2222222222222223E-2</v>
      </c>
      <c r="F4158">
        <v>151</v>
      </c>
      <c r="G4158">
        <f>LOG(382/(151+1))</f>
        <v>0.40021977496693617</v>
      </c>
      <c r="H4158">
        <f>0.0222222222222222*0.921540087760298</f>
        <v>2.0478668616895492E-2</v>
      </c>
      <c r="I4158">
        <v>2.047866861689553E-2</v>
      </c>
    </row>
    <row r="4159" spans="1:9" x14ac:dyDescent="0.25">
      <c r="A4159">
        <v>301</v>
      </c>
      <c r="B4159" t="s">
        <v>1790</v>
      </c>
      <c r="C4159" t="s">
        <v>48</v>
      </c>
      <c r="D4159" t="s">
        <v>22</v>
      </c>
      <c r="E4159">
        <f t="shared" si="189"/>
        <v>2.2222222222222223E-2</v>
      </c>
      <c r="F4159">
        <v>259</v>
      </c>
      <c r="G4159">
        <f>LOG(382/(259+1))</f>
        <v>0.16709001494089079</v>
      </c>
      <c r="H4159">
        <f>0.0222222222222222*0.384738977591047</f>
        <v>8.5497550575788141E-3</v>
      </c>
      <c r="I4159">
        <v>8.549755057578835E-3</v>
      </c>
    </row>
    <row r="4160" spans="1:9" x14ac:dyDescent="0.25">
      <c r="A4160">
        <v>301</v>
      </c>
      <c r="B4160" t="s">
        <v>1790</v>
      </c>
      <c r="C4160" t="s">
        <v>48</v>
      </c>
      <c r="D4160" t="s">
        <v>23</v>
      </c>
      <c r="E4160">
        <f t="shared" si="189"/>
        <v>2.2222222222222223E-2</v>
      </c>
      <c r="F4160">
        <v>275</v>
      </c>
      <c r="G4160">
        <f>LOG(382/(275+1))</f>
        <v>0.14115428084649101</v>
      </c>
      <c r="H4160">
        <f>0.0222222222222222*0.325019742889425</f>
        <v>7.2226609530983256E-3</v>
      </c>
      <c r="I4160">
        <v>7.2226609530983369E-3</v>
      </c>
    </row>
    <row r="4161" spans="1:9" x14ac:dyDescent="0.25">
      <c r="A4161">
        <v>301</v>
      </c>
      <c r="B4161" t="s">
        <v>1790</v>
      </c>
      <c r="C4161" t="s">
        <v>48</v>
      </c>
      <c r="D4161" t="s">
        <v>1798</v>
      </c>
      <c r="E4161">
        <f t="shared" si="189"/>
        <v>2.2222222222222223E-2</v>
      </c>
      <c r="F4161">
        <v>1</v>
      </c>
      <c r="G4161">
        <f>LOG(382/(1+1))</f>
        <v>2.2810333672477277</v>
      </c>
      <c r="H4161">
        <f>0.0222222222222222*5.25227342804663</f>
        <v>0.11671718728992499</v>
      </c>
      <c r="I4161">
        <v>0.1167171872899251</v>
      </c>
    </row>
    <row r="4162" spans="1:9" x14ac:dyDescent="0.25">
      <c r="A4162">
        <v>301</v>
      </c>
      <c r="B4162" t="s">
        <v>1790</v>
      </c>
      <c r="C4162" t="s">
        <v>48</v>
      </c>
      <c r="D4162" t="s">
        <v>544</v>
      </c>
      <c r="E4162">
        <f t="shared" si="189"/>
        <v>2.2222222222222223E-2</v>
      </c>
      <c r="F4162">
        <v>3</v>
      </c>
      <c r="G4162">
        <f>LOG(382/(3+1))</f>
        <v>1.9800033715837464</v>
      </c>
      <c r="H4162">
        <f>0.0222222222222222*4.55912624748668</f>
        <v>0.101313916610815</v>
      </c>
      <c r="I4162">
        <v>0.10131391661081519</v>
      </c>
    </row>
    <row r="4163" spans="1:9" x14ac:dyDescent="0.25">
      <c r="A4163">
        <v>301</v>
      </c>
      <c r="B4163" t="s">
        <v>1790</v>
      </c>
      <c r="C4163" t="s">
        <v>48</v>
      </c>
      <c r="D4163" t="s">
        <v>1799</v>
      </c>
      <c r="E4163">
        <f>2/45</f>
        <v>4.4444444444444446E-2</v>
      </c>
      <c r="F4163">
        <v>1</v>
      </c>
      <c r="G4163">
        <f>LOG(382/(1+1))</f>
        <v>2.2810333672477277</v>
      </c>
      <c r="H4163">
        <f>0.0444444444444444*5.25227342804663</f>
        <v>0.23343437457984997</v>
      </c>
      <c r="I4163">
        <v>0.2334343745798502</v>
      </c>
    </row>
    <row r="4164" spans="1:9" x14ac:dyDescent="0.25">
      <c r="A4164">
        <v>301</v>
      </c>
      <c r="B4164" t="s">
        <v>1790</v>
      </c>
      <c r="C4164" t="s">
        <v>48</v>
      </c>
      <c r="D4164" t="s">
        <v>88</v>
      </c>
      <c r="E4164">
        <f>2/45</f>
        <v>4.4444444444444446E-2</v>
      </c>
      <c r="F4164">
        <v>13</v>
      </c>
      <c r="G4164">
        <f>LOG(382/(13+1))</f>
        <v>1.4359353272334707</v>
      </c>
      <c r="H4164">
        <f>0.0444444444444444*3.30636327899131</f>
        <v>0.14694947906628031</v>
      </c>
      <c r="I4164">
        <v>0.1469494790662807</v>
      </c>
    </row>
    <row r="4165" spans="1:9" x14ac:dyDescent="0.25">
      <c r="A4165">
        <v>301</v>
      </c>
      <c r="B4165" t="s">
        <v>1790</v>
      </c>
      <c r="C4165" t="s">
        <v>48</v>
      </c>
      <c r="D4165" t="s">
        <v>1800</v>
      </c>
      <c r="E4165">
        <f t="shared" ref="E4165:E4177" si="190">1/45</f>
        <v>2.2222222222222223E-2</v>
      </c>
      <c r="F4165">
        <v>1</v>
      </c>
      <c r="G4165">
        <f>LOG(382/(1+1))</f>
        <v>2.2810333672477277</v>
      </c>
      <c r="H4165">
        <f>0.0222222222222222*5.25227342804663</f>
        <v>0.11671718728992499</v>
      </c>
      <c r="I4165">
        <v>0.1167171872899251</v>
      </c>
    </row>
    <row r="4166" spans="1:9" x14ac:dyDescent="0.25">
      <c r="A4166">
        <v>301</v>
      </c>
      <c r="B4166" t="s">
        <v>1790</v>
      </c>
      <c r="C4166" t="s">
        <v>48</v>
      </c>
      <c r="D4166" t="s">
        <v>204</v>
      </c>
      <c r="E4166">
        <f t="shared" si="190"/>
        <v>2.2222222222222223E-2</v>
      </c>
      <c r="F4166">
        <v>166</v>
      </c>
      <c r="G4166">
        <f>LOG(382/(166+1))</f>
        <v>0.35934689176412549</v>
      </c>
      <c r="H4166">
        <f>0.0222222222222222*0.82742679618982</f>
        <v>1.8387262137551534E-2</v>
      </c>
      <c r="I4166">
        <v>1.8387262137551558E-2</v>
      </c>
    </row>
    <row r="4167" spans="1:9" x14ac:dyDescent="0.25">
      <c r="A4167">
        <v>301</v>
      </c>
      <c r="B4167" t="s">
        <v>1790</v>
      </c>
      <c r="C4167" t="s">
        <v>48</v>
      </c>
      <c r="D4167" t="s">
        <v>739</v>
      </c>
      <c r="E4167">
        <f t="shared" si="190"/>
        <v>2.2222222222222223E-2</v>
      </c>
      <c r="F4167">
        <v>24</v>
      </c>
      <c r="G4167">
        <f>LOG(382/(24+1))</f>
        <v>1.1841233542396712</v>
      </c>
      <c r="H4167">
        <f>0.0222222222222222*2.72654478373837</f>
        <v>6.0589884083074821E-2</v>
      </c>
      <c r="I4167">
        <v>6.0589884083074988E-2</v>
      </c>
    </row>
    <row r="4168" spans="1:9" x14ac:dyDescent="0.25">
      <c r="A4168">
        <v>301</v>
      </c>
      <c r="B4168" t="s">
        <v>1790</v>
      </c>
      <c r="C4168" t="s">
        <v>48</v>
      </c>
      <c r="D4168" t="s">
        <v>398</v>
      </c>
      <c r="E4168">
        <f t="shared" si="190"/>
        <v>2.2222222222222223E-2</v>
      </c>
      <c r="F4168">
        <v>14</v>
      </c>
      <c r="G4168">
        <f>LOG(382/(14+1))</f>
        <v>1.4059721038560276</v>
      </c>
      <c r="H4168">
        <f>0.0222222222222222*3.23737040750436</f>
        <v>7.1941564611207917E-2</v>
      </c>
      <c r="I4168">
        <v>7.1941564611208125E-2</v>
      </c>
    </row>
    <row r="4169" spans="1:9" x14ac:dyDescent="0.25">
      <c r="A4169">
        <v>301</v>
      </c>
      <c r="B4169" t="s">
        <v>1790</v>
      </c>
      <c r="C4169" t="s">
        <v>48</v>
      </c>
      <c r="D4169" t="s">
        <v>1178</v>
      </c>
      <c r="E4169">
        <f t="shared" si="190"/>
        <v>2.2222222222222223E-2</v>
      </c>
      <c r="F4169">
        <v>4</v>
      </c>
      <c r="G4169">
        <f>LOG(382/(4+1))</f>
        <v>1.8830933585756899</v>
      </c>
      <c r="H4169">
        <f>0.0222222222222222*4.33598269617247</f>
        <v>9.6355171026054801E-2</v>
      </c>
      <c r="I4169">
        <v>9.6355171026054995E-2</v>
      </c>
    </row>
    <row r="4170" spans="1:9" x14ac:dyDescent="0.25">
      <c r="A4170">
        <v>301</v>
      </c>
      <c r="B4170" t="s">
        <v>1790</v>
      </c>
      <c r="C4170" t="s">
        <v>48</v>
      </c>
      <c r="D4170" t="s">
        <v>121</v>
      </c>
      <c r="E4170">
        <f t="shared" si="190"/>
        <v>2.2222222222222223E-2</v>
      </c>
      <c r="F4170">
        <v>22</v>
      </c>
      <c r="G4170">
        <f>LOG(382/(22+1))</f>
        <v>1.2203355268941158</v>
      </c>
      <c r="H4170">
        <f>0.0222222222222222*2.80992639267742</f>
        <v>6.2442808726164818E-2</v>
      </c>
      <c r="I4170">
        <v>6.2442808726165012E-2</v>
      </c>
    </row>
    <row r="4171" spans="1:9" x14ac:dyDescent="0.25">
      <c r="A4171">
        <v>301</v>
      </c>
      <c r="B4171" t="s">
        <v>1790</v>
      </c>
      <c r="C4171" t="s">
        <v>48</v>
      </c>
      <c r="D4171" t="s">
        <v>1801</v>
      </c>
      <c r="E4171">
        <f t="shared" si="190"/>
        <v>2.2222222222222223E-2</v>
      </c>
      <c r="F4171">
        <v>3</v>
      </c>
      <c r="G4171">
        <f>LOG(382/(3+1))</f>
        <v>1.9800033715837464</v>
      </c>
      <c r="H4171">
        <f>0.0222222222222222*4.55912624748668</f>
        <v>0.101313916610815</v>
      </c>
      <c r="I4171">
        <v>0.10131391661081519</v>
      </c>
    </row>
    <row r="4172" spans="1:9" x14ac:dyDescent="0.25">
      <c r="A4172">
        <v>301</v>
      </c>
      <c r="B4172" t="s">
        <v>1790</v>
      </c>
      <c r="C4172" t="s">
        <v>48</v>
      </c>
      <c r="D4172" t="s">
        <v>438</v>
      </c>
      <c r="E4172">
        <f t="shared" si="190"/>
        <v>2.2222222222222223E-2</v>
      </c>
      <c r="F4172">
        <v>37</v>
      </c>
      <c r="G4172">
        <f>LOG(382/(37+1))</f>
        <v>1.0022797662948986</v>
      </c>
      <c r="H4172">
        <f>0.0222222222222222*2.30783444888018</f>
        <v>5.1285209975115056E-2</v>
      </c>
      <c r="I4172">
        <v>5.128520997511532E-2</v>
      </c>
    </row>
    <row r="4173" spans="1:9" x14ac:dyDescent="0.25">
      <c r="A4173">
        <v>301</v>
      </c>
      <c r="B4173" t="s">
        <v>1790</v>
      </c>
      <c r="C4173" t="s">
        <v>48</v>
      </c>
      <c r="D4173" t="s">
        <v>307</v>
      </c>
      <c r="E4173">
        <f t="shared" si="190"/>
        <v>2.2222222222222223E-2</v>
      </c>
      <c r="F4173">
        <v>67</v>
      </c>
      <c r="G4173">
        <f>LOG(382/(67+1))</f>
        <v>0.7495544502054724</v>
      </c>
      <c r="H4173">
        <f>0.0222222222222222*1.72591290343046</f>
        <v>3.8353620076232407E-2</v>
      </c>
      <c r="I4173">
        <v>3.8353620076232629E-2</v>
      </c>
    </row>
    <row r="4174" spans="1:9" x14ac:dyDescent="0.25">
      <c r="A4174">
        <v>301</v>
      </c>
      <c r="B4174" t="s">
        <v>1790</v>
      </c>
      <c r="C4174" t="s">
        <v>48</v>
      </c>
      <c r="D4174" t="s">
        <v>218</v>
      </c>
      <c r="E4174">
        <f t="shared" si="190"/>
        <v>2.2222222222222223E-2</v>
      </c>
      <c r="F4174">
        <v>35</v>
      </c>
      <c r="G4174">
        <f>LOG(382/(35+1))</f>
        <v>1.0257608621444214</v>
      </c>
      <c r="H4174">
        <f>0.0222222222222222*2.36190167015046</f>
        <v>5.2486703781121281E-2</v>
      </c>
      <c r="I4174">
        <v>5.2486703781121448E-2</v>
      </c>
    </row>
    <row r="4175" spans="1:9" x14ac:dyDescent="0.25">
      <c r="A4175">
        <v>301</v>
      </c>
      <c r="B4175" t="s">
        <v>1790</v>
      </c>
      <c r="C4175" t="s">
        <v>48</v>
      </c>
      <c r="D4175" t="s">
        <v>887</v>
      </c>
      <c r="E4175">
        <f t="shared" si="190"/>
        <v>2.2222222222222223E-2</v>
      </c>
      <c r="F4175">
        <v>12</v>
      </c>
      <c r="G4175">
        <f>LOG(382/(12+1))</f>
        <v>1.468120010604872</v>
      </c>
      <c r="H4175">
        <f>0.0222222222222222*3.38047125114503</f>
        <v>7.5121583358778374E-2</v>
      </c>
      <c r="I4175">
        <v>7.5121583358778637E-2</v>
      </c>
    </row>
    <row r="4176" spans="1:9" x14ac:dyDescent="0.25">
      <c r="A4176">
        <v>301</v>
      </c>
      <c r="B4176" t="s">
        <v>1790</v>
      </c>
      <c r="C4176" t="s">
        <v>48</v>
      </c>
      <c r="D4176" t="s">
        <v>1802</v>
      </c>
      <c r="E4176">
        <f t="shared" si="190"/>
        <v>2.2222222222222223E-2</v>
      </c>
      <c r="F4176">
        <v>2</v>
      </c>
      <c r="G4176">
        <f>LOG(382/(2+1))</f>
        <v>2.1049421081920463</v>
      </c>
      <c r="H4176">
        <f>0.0222222222222222*4.84680831993846</f>
        <v>0.10770685155418788</v>
      </c>
      <c r="I4176">
        <v>0.1077068515541881</v>
      </c>
    </row>
    <row r="4177" spans="1:9" x14ac:dyDescent="0.25">
      <c r="A4177">
        <v>301</v>
      </c>
      <c r="B4177" t="s">
        <v>1790</v>
      </c>
      <c r="C4177" t="s">
        <v>48</v>
      </c>
      <c r="D4177" t="s">
        <v>1803</v>
      </c>
      <c r="E4177">
        <f t="shared" si="190"/>
        <v>2.2222222222222223E-2</v>
      </c>
      <c r="F4177">
        <v>1</v>
      </c>
      <c r="G4177">
        <f>LOG(382/(1+1))</f>
        <v>2.2810333672477277</v>
      </c>
      <c r="H4177">
        <f>0.0222222222222222*5.25227342804663</f>
        <v>0.11671718728992499</v>
      </c>
      <c r="I4177">
        <v>0.1167171872899251</v>
      </c>
    </row>
    <row r="4178" spans="1:9" x14ac:dyDescent="0.25">
      <c r="A4178">
        <v>303</v>
      </c>
      <c r="B4178" t="s">
        <v>1804</v>
      </c>
      <c r="C4178" t="s">
        <v>138</v>
      </c>
      <c r="D4178" t="s">
        <v>1208</v>
      </c>
      <c r="E4178">
        <f>4/67</f>
        <v>5.9701492537313432E-2</v>
      </c>
      <c r="F4178">
        <v>10</v>
      </c>
      <c r="G4178">
        <f>LOG(382/(10+1))</f>
        <v>1.5406706777534838</v>
      </c>
      <c r="H4178">
        <f>0.0597014925373134*3.5475253358082</f>
        <v>0.21179255736168345</v>
      </c>
      <c r="I4178">
        <v>0.21179255736168379</v>
      </c>
    </row>
    <row r="4179" spans="1:9" x14ac:dyDescent="0.25">
      <c r="A4179">
        <v>303</v>
      </c>
      <c r="B4179" t="s">
        <v>1804</v>
      </c>
      <c r="C4179" t="s">
        <v>138</v>
      </c>
      <c r="D4179" t="s">
        <v>1805</v>
      </c>
      <c r="E4179">
        <f>4/67</f>
        <v>5.9701492537313432E-2</v>
      </c>
      <c r="F4179">
        <v>1</v>
      </c>
      <c r="G4179">
        <f>LOG(382/(1+1))</f>
        <v>2.2810333672477277</v>
      </c>
      <c r="H4179">
        <f>0.0597014925373134*5.25227342804663</f>
        <v>0.3135685628684553</v>
      </c>
      <c r="I4179">
        <v>0.31356856286845552</v>
      </c>
    </row>
    <row r="4180" spans="1:9" x14ac:dyDescent="0.25">
      <c r="A4180">
        <v>303</v>
      </c>
      <c r="B4180" t="s">
        <v>1804</v>
      </c>
      <c r="C4180" t="s">
        <v>138</v>
      </c>
      <c r="D4180" t="s">
        <v>747</v>
      </c>
      <c r="E4180">
        <f t="shared" ref="E4180:E4190" si="191">1/67</f>
        <v>1.4925373134328358E-2</v>
      </c>
      <c r="F4180">
        <v>14</v>
      </c>
      <c r="G4180">
        <f>LOG(382/(14+1))</f>
        <v>1.4059721038560276</v>
      </c>
      <c r="H4180">
        <f>0.0149253731343283*3.23737040750436</f>
        <v>4.8318961306035038E-2</v>
      </c>
      <c r="I4180">
        <v>4.8318961306035302E-2</v>
      </c>
    </row>
    <row r="4181" spans="1:9" x14ac:dyDescent="0.25">
      <c r="A4181">
        <v>303</v>
      </c>
      <c r="B4181" t="s">
        <v>1804</v>
      </c>
      <c r="C4181" t="s">
        <v>138</v>
      </c>
      <c r="D4181" t="s">
        <v>42</v>
      </c>
      <c r="E4181">
        <f t="shared" si="191"/>
        <v>1.4925373134328358E-2</v>
      </c>
      <c r="F4181">
        <v>251</v>
      </c>
      <c r="G4181">
        <f>LOG(382/(251+1))</f>
        <v>0.18066282213016463</v>
      </c>
      <c r="H4181">
        <f>0.0149253731343283*0.415991521095151</f>
        <v>6.2088286730619313E-3</v>
      </c>
      <c r="I4181">
        <v>6.2088286730619677E-3</v>
      </c>
    </row>
    <row r="4182" spans="1:9" x14ac:dyDescent="0.25">
      <c r="A4182">
        <v>303</v>
      </c>
      <c r="B4182" t="s">
        <v>1804</v>
      </c>
      <c r="C4182" t="s">
        <v>138</v>
      </c>
      <c r="D4182" t="s">
        <v>15</v>
      </c>
      <c r="E4182">
        <f t="shared" si="191"/>
        <v>1.4925373134328358E-2</v>
      </c>
      <c r="F4182">
        <v>112</v>
      </c>
      <c r="G4182">
        <f>LOG(382/(112+1))</f>
        <v>0.52898491942828896</v>
      </c>
      <c r="H4182">
        <f>0.0149253731343283*1.21803278989423</f>
        <v>1.817959387901829E-2</v>
      </c>
      <c r="I4182">
        <v>1.8179593879018428E-2</v>
      </c>
    </row>
    <row r="4183" spans="1:9" x14ac:dyDescent="0.25">
      <c r="A4183">
        <v>303</v>
      </c>
      <c r="B4183" t="s">
        <v>1804</v>
      </c>
      <c r="C4183" t="s">
        <v>138</v>
      </c>
      <c r="D4183" t="s">
        <v>17</v>
      </c>
      <c r="E4183">
        <f t="shared" si="191"/>
        <v>1.4925373134328358E-2</v>
      </c>
      <c r="F4183">
        <v>169</v>
      </c>
      <c r="G4183">
        <f>LOG(382/(169+1))</f>
        <v>0.3516144415334348</v>
      </c>
      <c r="H4183">
        <f>0.0149253731343283*0.809622171556313</f>
        <v>1.2083913008303132E-2</v>
      </c>
      <c r="I4183">
        <v>1.208391300830319E-2</v>
      </c>
    </row>
    <row r="4184" spans="1:9" x14ac:dyDescent="0.25">
      <c r="A4184">
        <v>303</v>
      </c>
      <c r="B4184" t="s">
        <v>1804</v>
      </c>
      <c r="C4184" t="s">
        <v>138</v>
      </c>
      <c r="D4184" t="s">
        <v>70</v>
      </c>
      <c r="E4184">
        <f t="shared" si="191"/>
        <v>1.4925373134328358E-2</v>
      </c>
      <c r="F4184">
        <v>44</v>
      </c>
      <c r="G4184">
        <f>LOG(382/(44+1))</f>
        <v>0.92885084913636506</v>
      </c>
      <c r="H4184">
        <f>0.0149253731343283*2.13875811883625</f>
        <v>3.1921762967705096E-2</v>
      </c>
      <c r="I4184">
        <v>3.1921762967705297E-2</v>
      </c>
    </row>
    <row r="4185" spans="1:9" x14ac:dyDescent="0.25">
      <c r="A4185">
        <v>303</v>
      </c>
      <c r="B4185" t="s">
        <v>1804</v>
      </c>
      <c r="C4185" t="s">
        <v>138</v>
      </c>
      <c r="D4185" t="s">
        <v>575</v>
      </c>
      <c r="E4185">
        <f t="shared" si="191"/>
        <v>1.4925373134328358E-2</v>
      </c>
      <c r="F4185">
        <v>3</v>
      </c>
      <c r="G4185">
        <f>LOG(382/(3+1))</f>
        <v>1.9800033715837464</v>
      </c>
      <c r="H4185">
        <f>0.0149253731343283*4.55912624748668</f>
        <v>6.8046660410248691E-2</v>
      </c>
      <c r="I4185">
        <v>6.8046660410249024E-2</v>
      </c>
    </row>
    <row r="4186" spans="1:9" x14ac:dyDescent="0.25">
      <c r="A4186">
        <v>303</v>
      </c>
      <c r="B4186" t="s">
        <v>1804</v>
      </c>
      <c r="C4186" t="s">
        <v>138</v>
      </c>
      <c r="D4186" t="s">
        <v>44</v>
      </c>
      <c r="E4186">
        <f t="shared" si="191"/>
        <v>1.4925373134328358E-2</v>
      </c>
      <c r="F4186">
        <v>151</v>
      </c>
      <c r="G4186">
        <f>LOG(382/(151+1))</f>
        <v>0.40021977496693617</v>
      </c>
      <c r="H4186">
        <f>0.0149253731343283*0.921540087760298</f>
        <v>1.3754329668064096E-2</v>
      </c>
      <c r="I4186">
        <v>1.375432966806416E-2</v>
      </c>
    </row>
    <row r="4187" spans="1:9" x14ac:dyDescent="0.25">
      <c r="A4187">
        <v>303</v>
      </c>
      <c r="B4187" t="s">
        <v>1804</v>
      </c>
      <c r="C4187" t="s">
        <v>138</v>
      </c>
      <c r="D4187" t="s">
        <v>22</v>
      </c>
      <c r="E4187">
        <f t="shared" si="191"/>
        <v>1.4925373134328358E-2</v>
      </c>
      <c r="F4187">
        <v>259</v>
      </c>
      <c r="G4187">
        <f>LOG(382/(259+1))</f>
        <v>0.16709001494089079</v>
      </c>
      <c r="H4187">
        <f>0.0149253731343283*0.384738977591047</f>
        <v>5.742372799866351E-3</v>
      </c>
      <c r="I4187">
        <v>5.7423727998663814E-3</v>
      </c>
    </row>
    <row r="4188" spans="1:9" x14ac:dyDescent="0.25">
      <c r="A4188">
        <v>303</v>
      </c>
      <c r="B4188" t="s">
        <v>1804</v>
      </c>
      <c r="C4188" t="s">
        <v>138</v>
      </c>
      <c r="D4188" t="s">
        <v>23</v>
      </c>
      <c r="E4188">
        <f t="shared" si="191"/>
        <v>1.4925373134328358E-2</v>
      </c>
      <c r="F4188">
        <v>275</v>
      </c>
      <c r="G4188">
        <f>LOG(382/(275+1))</f>
        <v>0.14115428084649101</v>
      </c>
      <c r="H4188">
        <f>0.0149253731343283*0.325019742889425</f>
        <v>4.851040938648115E-3</v>
      </c>
      <c r="I4188">
        <v>4.8510409386481367E-3</v>
      </c>
    </row>
    <row r="4189" spans="1:9" x14ac:dyDescent="0.25">
      <c r="A4189">
        <v>303</v>
      </c>
      <c r="B4189" t="s">
        <v>1804</v>
      </c>
      <c r="C4189" t="s">
        <v>138</v>
      </c>
      <c r="D4189" t="s">
        <v>204</v>
      </c>
      <c r="E4189">
        <f t="shared" si="191"/>
        <v>1.4925373134328358E-2</v>
      </c>
      <c r="F4189">
        <v>166</v>
      </c>
      <c r="G4189">
        <f>LOG(382/(166+1))</f>
        <v>0.35934689176412549</v>
      </c>
      <c r="H4189">
        <f>0.0149253731343283*0.82742679618982</f>
        <v>1.2349653674474877E-2</v>
      </c>
      <c r="I4189">
        <v>1.2349653674474929E-2</v>
      </c>
    </row>
    <row r="4190" spans="1:9" x14ac:dyDescent="0.25">
      <c r="A4190">
        <v>303</v>
      </c>
      <c r="B4190" t="s">
        <v>1804</v>
      </c>
      <c r="C4190" t="s">
        <v>138</v>
      </c>
      <c r="D4190" t="s">
        <v>331</v>
      </c>
      <c r="E4190">
        <f t="shared" si="191"/>
        <v>1.4925373134328358E-2</v>
      </c>
      <c r="F4190">
        <v>130</v>
      </c>
      <c r="G4190">
        <f>LOG(382/(130+1))</f>
        <v>0.46479206725594452</v>
      </c>
      <c r="H4190">
        <f>0.0149253731343283*1.07022328540542</f>
        <v>1.5973481871722626E-2</v>
      </c>
      <c r="I4190">
        <v>1.597348187172274E-2</v>
      </c>
    </row>
    <row r="4191" spans="1:9" x14ac:dyDescent="0.25">
      <c r="A4191">
        <v>303</v>
      </c>
      <c r="B4191" t="s">
        <v>1804</v>
      </c>
      <c r="C4191" t="s">
        <v>138</v>
      </c>
      <c r="D4191" t="s">
        <v>755</v>
      </c>
      <c r="E4191">
        <f>2/67</f>
        <v>2.9850746268656716E-2</v>
      </c>
      <c r="F4191">
        <v>19</v>
      </c>
      <c r="G4191">
        <f>LOG(382/(19+1))</f>
        <v>1.2810333672477277</v>
      </c>
      <c r="H4191">
        <f>0.0298507462686567*2.94968833505258</f>
        <v>8.805039806127099E-2</v>
      </c>
      <c r="I4191">
        <v>8.8050398061271171E-2</v>
      </c>
    </row>
    <row r="4192" spans="1:9" x14ac:dyDescent="0.25">
      <c r="A4192">
        <v>303</v>
      </c>
      <c r="B4192" t="s">
        <v>1804</v>
      </c>
      <c r="C4192" t="s">
        <v>138</v>
      </c>
      <c r="D4192" t="s">
        <v>754</v>
      </c>
      <c r="E4192">
        <f>2/67</f>
        <v>2.9850746268656716E-2</v>
      </c>
      <c r="F4192">
        <v>111</v>
      </c>
      <c r="G4192">
        <f>LOG(382/(111+1))</f>
        <v>0.53284534024152708</v>
      </c>
      <c r="H4192">
        <f>0.0298507462686567*1.22692173731148</f>
        <v>3.6624529471984454E-2</v>
      </c>
      <c r="I4192">
        <v>3.6624529471984503E-2</v>
      </c>
    </row>
    <row r="4193" spans="1:9" x14ac:dyDescent="0.25">
      <c r="A4193">
        <v>303</v>
      </c>
      <c r="B4193" t="s">
        <v>1804</v>
      </c>
      <c r="C4193" t="s">
        <v>138</v>
      </c>
      <c r="D4193" t="s">
        <v>1806</v>
      </c>
      <c r="E4193">
        <f>1/67</f>
        <v>1.4925373134328358E-2</v>
      </c>
      <c r="F4193">
        <v>3</v>
      </c>
      <c r="G4193">
        <f>LOG(382/(3+1))</f>
        <v>1.9800033715837464</v>
      </c>
      <c r="H4193">
        <f>0.0149253731343283*4.55912624748668</f>
        <v>6.8046660410248691E-2</v>
      </c>
      <c r="I4193">
        <v>6.8046660410249024E-2</v>
      </c>
    </row>
    <row r="4194" spans="1:9" x14ac:dyDescent="0.25">
      <c r="A4194">
        <v>303</v>
      </c>
      <c r="B4194" t="s">
        <v>1804</v>
      </c>
      <c r="C4194" t="s">
        <v>138</v>
      </c>
      <c r="D4194" t="s">
        <v>98</v>
      </c>
      <c r="E4194">
        <f>1/67</f>
        <v>1.4925373134328358E-2</v>
      </c>
      <c r="F4194">
        <v>56</v>
      </c>
      <c r="G4194">
        <f>LOG(382/(56+1))</f>
        <v>0.82618850723921733</v>
      </c>
      <c r="H4194">
        <f>0.0149253731343283*1.90236934077202</f>
        <v>2.8393572250328545E-2</v>
      </c>
      <c r="I4194">
        <v>2.8393572250328729E-2</v>
      </c>
    </row>
    <row r="4195" spans="1:9" x14ac:dyDescent="0.25">
      <c r="A4195">
        <v>303</v>
      </c>
      <c r="B4195" t="s">
        <v>1804</v>
      </c>
      <c r="C4195" t="s">
        <v>138</v>
      </c>
      <c r="D4195" t="s">
        <v>50</v>
      </c>
      <c r="E4195">
        <f>1/67</f>
        <v>1.4925373134328358E-2</v>
      </c>
      <c r="F4195">
        <v>109</v>
      </c>
      <c r="G4195">
        <f>LOG(382/(109+1))</f>
        <v>0.54067067775348365</v>
      </c>
      <c r="H4195">
        <f>0.0149253731343283*1.24494024281415</f>
        <v>1.8581197653942467E-2</v>
      </c>
      <c r="I4195">
        <v>1.8581197653942672E-2</v>
      </c>
    </row>
    <row r="4196" spans="1:9" x14ac:dyDescent="0.25">
      <c r="A4196">
        <v>303</v>
      </c>
      <c r="B4196" t="s">
        <v>1804</v>
      </c>
      <c r="C4196" t="s">
        <v>138</v>
      </c>
      <c r="D4196" t="s">
        <v>649</v>
      </c>
      <c r="E4196">
        <f>3/67</f>
        <v>4.4776119402985072E-2</v>
      </c>
      <c r="F4196">
        <v>25</v>
      </c>
      <c r="G4196">
        <f>LOG(382/(25+1))</f>
        <v>1.1670900149408907</v>
      </c>
      <c r="H4196">
        <f>0.044776119402985*2.68732407058509</f>
        <v>0.12032794345903369</v>
      </c>
      <c r="I4196">
        <v>0.120327943459034</v>
      </c>
    </row>
    <row r="4197" spans="1:9" x14ac:dyDescent="0.25">
      <c r="A4197">
        <v>303</v>
      </c>
      <c r="B4197" t="s">
        <v>1804</v>
      </c>
      <c r="C4197" t="s">
        <v>138</v>
      </c>
      <c r="D4197" t="s">
        <v>217</v>
      </c>
      <c r="E4197">
        <f>1/67</f>
        <v>1.4925373134328358E-2</v>
      </c>
      <c r="F4197">
        <v>12</v>
      </c>
      <c r="G4197">
        <f>LOG(382/(12+1))</f>
        <v>1.468120010604872</v>
      </c>
      <c r="H4197">
        <f>0.0149253731343283*3.38047125114503</f>
        <v>5.0454794793209211E-2</v>
      </c>
      <c r="I4197">
        <v>5.045479479320953E-2</v>
      </c>
    </row>
    <row r="4198" spans="1:9" x14ac:dyDescent="0.25">
      <c r="A4198">
        <v>303</v>
      </c>
      <c r="B4198" t="s">
        <v>1804</v>
      </c>
      <c r="C4198" t="s">
        <v>138</v>
      </c>
      <c r="D4198" t="s">
        <v>1807</v>
      </c>
      <c r="E4198">
        <f>1/67</f>
        <v>1.4925373134328358E-2</v>
      </c>
      <c r="F4198">
        <v>1</v>
      </c>
      <c r="G4198">
        <f>LOG(382/(1+1))</f>
        <v>2.2810333672477277</v>
      </c>
      <c r="H4198">
        <f>0.0149253731343283*5.25227342804663</f>
        <v>7.8392140717113576E-2</v>
      </c>
      <c r="I4198">
        <v>7.8392140717113881E-2</v>
      </c>
    </row>
    <row r="4199" spans="1:9" x14ac:dyDescent="0.25">
      <c r="A4199">
        <v>303</v>
      </c>
      <c r="B4199" t="s">
        <v>1804</v>
      </c>
      <c r="C4199" t="s">
        <v>138</v>
      </c>
      <c r="D4199" t="s">
        <v>53</v>
      </c>
      <c r="E4199">
        <f>1/67</f>
        <v>1.4925373134328358E-2</v>
      </c>
      <c r="F4199">
        <v>57</v>
      </c>
      <c r="G4199">
        <f>LOG(382/(57+1))</f>
        <v>0.81863536934877146</v>
      </c>
      <c r="H4199">
        <f>0.0149253731343283*1.88497759806015</f>
        <v>2.8133994000897652E-2</v>
      </c>
      <c r="I4199">
        <v>2.813399400089785E-2</v>
      </c>
    </row>
    <row r="4200" spans="1:9" x14ac:dyDescent="0.25">
      <c r="A4200">
        <v>303</v>
      </c>
      <c r="B4200" t="s">
        <v>1804</v>
      </c>
      <c r="C4200" t="s">
        <v>138</v>
      </c>
      <c r="D4200" t="s">
        <v>322</v>
      </c>
      <c r="E4200">
        <f>2/67</f>
        <v>2.9850746268656716E-2</v>
      </c>
      <c r="F4200">
        <v>128</v>
      </c>
      <c r="G4200">
        <f>LOG(382/(128+1))</f>
        <v>0.47147365261245977</v>
      </c>
      <c r="H4200">
        <f>0.0298507462686567*1.0856082042449</f>
        <v>3.2406215052086546E-2</v>
      </c>
      <c r="I4200">
        <v>3.2406215052086657E-2</v>
      </c>
    </row>
    <row r="4201" spans="1:9" x14ac:dyDescent="0.25">
      <c r="A4201">
        <v>303</v>
      </c>
      <c r="B4201" t="s">
        <v>1804</v>
      </c>
      <c r="C4201" t="s">
        <v>138</v>
      </c>
      <c r="D4201" t="s">
        <v>81</v>
      </c>
      <c r="E4201">
        <f>2/67</f>
        <v>2.9850746268656716E-2</v>
      </c>
      <c r="F4201">
        <v>114</v>
      </c>
      <c r="G4201">
        <f>LOG(382/(114+1))</f>
        <v>0.52136552255809698</v>
      </c>
      <c r="H4201">
        <f>0.0298507462686567*1.20048848024332</f>
        <v>3.5835477022188637E-2</v>
      </c>
      <c r="I4201">
        <v>3.5835477022188811E-2</v>
      </c>
    </row>
    <row r="4202" spans="1:9" x14ac:dyDescent="0.25">
      <c r="A4202">
        <v>303</v>
      </c>
      <c r="B4202" t="s">
        <v>1804</v>
      </c>
      <c r="C4202" t="s">
        <v>138</v>
      </c>
      <c r="D4202" t="s">
        <v>1808</v>
      </c>
      <c r="E4202">
        <f>1/67</f>
        <v>1.4925373134328358E-2</v>
      </c>
      <c r="F4202">
        <v>10</v>
      </c>
      <c r="G4202">
        <f>LOG(382/(10+1))</f>
        <v>1.5406706777534838</v>
      </c>
      <c r="H4202">
        <f>0.0149253731343283*3.5475253358082</f>
        <v>5.2948139340420697E-2</v>
      </c>
      <c r="I4202">
        <v>5.294813934042096E-2</v>
      </c>
    </row>
    <row r="4203" spans="1:9" x14ac:dyDescent="0.25">
      <c r="A4203">
        <v>303</v>
      </c>
      <c r="B4203" t="s">
        <v>1804</v>
      </c>
      <c r="C4203" t="s">
        <v>138</v>
      </c>
      <c r="D4203" t="s">
        <v>762</v>
      </c>
      <c r="E4203">
        <f>2/67</f>
        <v>2.9850746268656716E-2</v>
      </c>
      <c r="F4203">
        <v>29</v>
      </c>
      <c r="G4203">
        <f>LOG(382/(29+1))</f>
        <v>1.1049421081920463</v>
      </c>
      <c r="H4203">
        <f>0.0298507462686567*2.54422322694442</f>
        <v>7.5946961998340848E-2</v>
      </c>
      <c r="I4203">
        <v>7.5946961998340889E-2</v>
      </c>
    </row>
    <row r="4204" spans="1:9" x14ac:dyDescent="0.25">
      <c r="A4204">
        <v>303</v>
      </c>
      <c r="B4204" t="s">
        <v>1804</v>
      </c>
      <c r="C4204" t="s">
        <v>138</v>
      </c>
      <c r="D4204" t="s">
        <v>1809</v>
      </c>
      <c r="E4204">
        <f t="shared" ref="E4204:E4231" si="192">1/67</f>
        <v>1.4925373134328358E-2</v>
      </c>
      <c r="F4204">
        <v>3</v>
      </c>
      <c r="G4204">
        <f>LOG(382/(3+1))</f>
        <v>1.9800033715837464</v>
      </c>
      <c r="H4204">
        <f>0.0149253731343283*4.55912624748668</f>
        <v>6.8046660410248691E-2</v>
      </c>
      <c r="I4204">
        <v>6.8046660410249024E-2</v>
      </c>
    </row>
    <row r="4205" spans="1:9" x14ac:dyDescent="0.25">
      <c r="A4205">
        <v>303</v>
      </c>
      <c r="B4205" t="s">
        <v>1804</v>
      </c>
      <c r="C4205" t="s">
        <v>138</v>
      </c>
      <c r="D4205" t="s">
        <v>763</v>
      </c>
      <c r="E4205">
        <f t="shared" si="192"/>
        <v>1.4925373134328358E-2</v>
      </c>
      <c r="F4205">
        <v>47</v>
      </c>
      <c r="G4205">
        <f>LOG(382/(47+1))</f>
        <v>0.90082212553612151</v>
      </c>
      <c r="H4205">
        <f>0.0149253731343283*2.07421959769868</f>
        <v>3.0958501458189135E-2</v>
      </c>
      <c r="I4205">
        <v>3.0958501458189319E-2</v>
      </c>
    </row>
    <row r="4206" spans="1:9" x14ac:dyDescent="0.25">
      <c r="A4206">
        <v>303</v>
      </c>
      <c r="B4206" t="s">
        <v>1804</v>
      </c>
      <c r="C4206" t="s">
        <v>138</v>
      </c>
      <c r="D4206" t="s">
        <v>324</v>
      </c>
      <c r="E4206">
        <f t="shared" si="192"/>
        <v>1.4925373134328358E-2</v>
      </c>
      <c r="F4206">
        <v>82</v>
      </c>
      <c r="G4206">
        <f>LOG(382/(82+1))</f>
        <v>0.66298527053563483</v>
      </c>
      <c r="H4206">
        <f>0.0149253731343283*1.52658000080997</f>
        <v>2.2784776131492001E-2</v>
      </c>
      <c r="I4206">
        <v>2.2784776131492199E-2</v>
      </c>
    </row>
    <row r="4207" spans="1:9" x14ac:dyDescent="0.25">
      <c r="A4207">
        <v>303</v>
      </c>
      <c r="B4207" t="s">
        <v>1804</v>
      </c>
      <c r="C4207" t="s">
        <v>138</v>
      </c>
      <c r="D4207" t="s">
        <v>1083</v>
      </c>
      <c r="E4207">
        <f t="shared" si="192"/>
        <v>1.4925373134328358E-2</v>
      </c>
      <c r="F4207">
        <v>51</v>
      </c>
      <c r="G4207">
        <f>LOG(382/(51+1))</f>
        <v>0.86606001927690957</v>
      </c>
      <c r="H4207">
        <f>0.0149253731343283*1.99417689002514</f>
        <v>2.9763834179479587E-2</v>
      </c>
      <c r="I4207">
        <v>2.9763834179479819E-2</v>
      </c>
    </row>
    <row r="4208" spans="1:9" x14ac:dyDescent="0.25">
      <c r="A4208">
        <v>303</v>
      </c>
      <c r="B4208" t="s">
        <v>1804</v>
      </c>
      <c r="C4208" t="s">
        <v>138</v>
      </c>
      <c r="D4208" t="s">
        <v>339</v>
      </c>
      <c r="E4208">
        <f t="shared" si="192"/>
        <v>1.4925373134328358E-2</v>
      </c>
      <c r="F4208">
        <v>66</v>
      </c>
      <c r="G4208">
        <f>LOG(382/(66+1))</f>
        <v>0.75598856021088234</v>
      </c>
      <c r="H4208">
        <f>0.0149253731343283*1.7407279892156</f>
        <v>2.598101476441184E-2</v>
      </c>
      <c r="I4208">
        <v>2.5981014764412079E-2</v>
      </c>
    </row>
    <row r="4209" spans="1:9" x14ac:dyDescent="0.25">
      <c r="A4209">
        <v>303</v>
      </c>
      <c r="B4209" t="s">
        <v>1804</v>
      </c>
      <c r="C4209" t="s">
        <v>138</v>
      </c>
      <c r="D4209" t="s">
        <v>340</v>
      </c>
      <c r="E4209">
        <f t="shared" si="192"/>
        <v>1.4925373134328358E-2</v>
      </c>
      <c r="F4209">
        <v>28</v>
      </c>
      <c r="G4209">
        <f>LOG(382/(28+1))</f>
        <v>1.1196653650127526</v>
      </c>
      <c r="H4209">
        <f>0.0149253731343283*2.5781247786201</f>
        <v>3.8479474307762537E-2</v>
      </c>
      <c r="I4209">
        <v>3.8479474307762697E-2</v>
      </c>
    </row>
    <row r="4210" spans="1:9" x14ac:dyDescent="0.25">
      <c r="A4210">
        <v>303</v>
      </c>
      <c r="B4210" t="s">
        <v>1804</v>
      </c>
      <c r="C4210" t="s">
        <v>138</v>
      </c>
      <c r="D4210" t="s">
        <v>247</v>
      </c>
      <c r="E4210">
        <f t="shared" si="192"/>
        <v>1.4925373134328358E-2</v>
      </c>
      <c r="F4210">
        <v>121</v>
      </c>
      <c r="G4210">
        <f>LOG(382/(121+1))</f>
        <v>0.49570353223696051</v>
      </c>
      <c r="H4210">
        <f>0.0149253731343283*1.14139956387331</f>
        <v>1.7035814386168743E-2</v>
      </c>
      <c r="I4210">
        <v>1.703581438616894E-2</v>
      </c>
    </row>
    <row r="4211" spans="1:9" x14ac:dyDescent="0.25">
      <c r="A4211">
        <v>303</v>
      </c>
      <c r="B4211" t="s">
        <v>1804</v>
      </c>
      <c r="C4211" t="s">
        <v>138</v>
      </c>
      <c r="D4211" t="s">
        <v>1810</v>
      </c>
      <c r="E4211">
        <f t="shared" si="192"/>
        <v>1.4925373134328358E-2</v>
      </c>
      <c r="F4211">
        <v>2</v>
      </c>
      <c r="G4211">
        <f>LOG(382/(2+1))</f>
        <v>2.1049421081920463</v>
      </c>
      <c r="H4211">
        <f>0.0149253731343283*4.84680831993846</f>
        <v>7.2340422685648373E-2</v>
      </c>
      <c r="I4211">
        <v>7.2340422685648734E-2</v>
      </c>
    </row>
    <row r="4212" spans="1:9" x14ac:dyDescent="0.25">
      <c r="A4212">
        <v>303</v>
      </c>
      <c r="B4212" t="s">
        <v>1804</v>
      </c>
      <c r="C4212" t="s">
        <v>138</v>
      </c>
      <c r="D4212" t="s">
        <v>40</v>
      </c>
      <c r="E4212">
        <f t="shared" si="192"/>
        <v>1.4925373134328358E-2</v>
      </c>
      <c r="F4212">
        <v>159</v>
      </c>
      <c r="G4212">
        <f>LOG(382/(159+1))</f>
        <v>0.377943380255784</v>
      </c>
      <c r="H4212">
        <f>0.0149253731343283*0.870246793372748</f>
        <v>1.2988758110040965E-2</v>
      </c>
      <c r="I4212">
        <v>1.2988758110041019E-2</v>
      </c>
    </row>
    <row r="4213" spans="1:9" x14ac:dyDescent="0.25">
      <c r="A4213">
        <v>303</v>
      </c>
      <c r="B4213" t="s">
        <v>1804</v>
      </c>
      <c r="C4213" t="s">
        <v>138</v>
      </c>
      <c r="D4213" t="s">
        <v>41</v>
      </c>
      <c r="E4213">
        <f t="shared" si="192"/>
        <v>1.4925373134328358E-2</v>
      </c>
      <c r="F4213">
        <v>195</v>
      </c>
      <c r="G4213">
        <f>LOG(382/(195+1))</f>
        <v>0.28980729155523272</v>
      </c>
      <c r="H4213">
        <f>0.0149253731343283*0.667305949376058</f>
        <v>9.9597902891948569E-3</v>
      </c>
      <c r="I4213">
        <v>9.9597902891948951E-3</v>
      </c>
    </row>
    <row r="4214" spans="1:9" x14ac:dyDescent="0.25">
      <c r="A4214">
        <v>303</v>
      </c>
      <c r="B4214" t="s">
        <v>1804</v>
      </c>
      <c r="C4214" t="s">
        <v>138</v>
      </c>
      <c r="D4214" t="s">
        <v>133</v>
      </c>
      <c r="E4214">
        <f t="shared" si="192"/>
        <v>1.4925373134328358E-2</v>
      </c>
      <c r="F4214">
        <v>142</v>
      </c>
      <c r="G4214">
        <f>LOG(382/(142+1))</f>
        <v>0.42672732544664693</v>
      </c>
      <c r="H4214">
        <f>0.0149253731343283*0.982575978346667</f>
        <v>1.466531310965169E-2</v>
      </c>
      <c r="I4214">
        <v>1.4665313109651759E-2</v>
      </c>
    </row>
    <row r="4215" spans="1:9" x14ac:dyDescent="0.25">
      <c r="A4215">
        <v>303</v>
      </c>
      <c r="B4215" t="s">
        <v>1804</v>
      </c>
      <c r="C4215" t="s">
        <v>138</v>
      </c>
      <c r="D4215" t="s">
        <v>76</v>
      </c>
      <c r="E4215">
        <f t="shared" si="192"/>
        <v>1.4925373134328358E-2</v>
      </c>
      <c r="F4215">
        <v>140</v>
      </c>
      <c r="G4215">
        <f>LOG(382/(140+1))</f>
        <v>0.43284425025632883</v>
      </c>
      <c r="H4215">
        <f>0.0149253731343283*0.996660718228407</f>
        <v>1.4875533107886614E-2</v>
      </c>
      <c r="I4215">
        <v>1.487553310788667E-2</v>
      </c>
    </row>
    <row r="4216" spans="1:9" x14ac:dyDescent="0.25">
      <c r="A4216">
        <v>303</v>
      </c>
      <c r="B4216" t="s">
        <v>1804</v>
      </c>
      <c r="C4216" t="s">
        <v>138</v>
      </c>
      <c r="D4216" t="s">
        <v>77</v>
      </c>
      <c r="E4216">
        <f t="shared" si="192"/>
        <v>1.4925373134328358E-2</v>
      </c>
      <c r="F4216">
        <v>148</v>
      </c>
      <c r="G4216">
        <f>LOG(382/(148+1))</f>
        <v>0.40887709449943471</v>
      </c>
      <c r="H4216">
        <f>0.0149253731343283*0.941474302661116</f>
        <v>1.4051855263598692E-2</v>
      </c>
      <c r="I4216">
        <v>1.4051855263598751E-2</v>
      </c>
    </row>
    <row r="4217" spans="1:9" x14ac:dyDescent="0.25">
      <c r="A4217">
        <v>303</v>
      </c>
      <c r="B4217" t="s">
        <v>1804</v>
      </c>
      <c r="C4217" t="s">
        <v>138</v>
      </c>
      <c r="D4217" t="s">
        <v>78</v>
      </c>
      <c r="E4217">
        <f t="shared" si="192"/>
        <v>1.4925373134328358E-2</v>
      </c>
      <c r="F4217">
        <v>122</v>
      </c>
      <c r="G4217">
        <f>LOG(382/(122+1))</f>
        <v>0.49215825147231079</v>
      </c>
      <c r="H4217">
        <f>0.0149253731343283*1.13323625323415</f>
        <v>1.6913973928867846E-2</v>
      </c>
      <c r="I4217">
        <v>1.691397392886802E-2</v>
      </c>
    </row>
    <row r="4218" spans="1:9" x14ac:dyDescent="0.25">
      <c r="A4218">
        <v>303</v>
      </c>
      <c r="B4218" t="s">
        <v>1804</v>
      </c>
      <c r="C4218" t="s">
        <v>138</v>
      </c>
      <c r="D4218" t="s">
        <v>483</v>
      </c>
      <c r="E4218">
        <f t="shared" si="192"/>
        <v>1.4925373134328358E-2</v>
      </c>
      <c r="F4218">
        <v>61</v>
      </c>
      <c r="G4218">
        <f>LOG(382/(61+1))</f>
        <v>0.7896716734134549</v>
      </c>
      <c r="H4218">
        <f>0.0149253731343283*1.81828622356148</f>
        <v>2.7138600351663777E-2</v>
      </c>
      <c r="I4218">
        <v>2.7138600351663929E-2</v>
      </c>
    </row>
    <row r="4219" spans="1:9" x14ac:dyDescent="0.25">
      <c r="A4219">
        <v>303</v>
      </c>
      <c r="B4219" t="s">
        <v>1804</v>
      </c>
      <c r="C4219" t="s">
        <v>138</v>
      </c>
      <c r="D4219" t="s">
        <v>532</v>
      </c>
      <c r="E4219">
        <f t="shared" si="192"/>
        <v>1.4925373134328358E-2</v>
      </c>
      <c r="F4219">
        <v>8</v>
      </c>
      <c r="G4219">
        <f>LOG(382/(8+1))</f>
        <v>1.6278208534723839</v>
      </c>
      <c r="H4219">
        <f>0.0149253731343283*3.74819603127035</f>
        <v>5.5943224347318438E-2</v>
      </c>
      <c r="I4219">
        <v>5.5943224347318743E-2</v>
      </c>
    </row>
    <row r="4220" spans="1:9" x14ac:dyDescent="0.25">
      <c r="A4220">
        <v>303</v>
      </c>
      <c r="B4220" t="s">
        <v>1804</v>
      </c>
      <c r="C4220" t="s">
        <v>138</v>
      </c>
      <c r="D4220" t="s">
        <v>1811</v>
      </c>
      <c r="E4220">
        <f t="shared" si="192"/>
        <v>1.4925373134328358E-2</v>
      </c>
      <c r="F4220">
        <v>1</v>
      </c>
      <c r="G4220">
        <f>LOG(382/(1+1))</f>
        <v>2.2810333672477277</v>
      </c>
      <c r="H4220">
        <f>0.0149253731343283*5.25227342804663</f>
        <v>7.8392140717113576E-2</v>
      </c>
      <c r="I4220">
        <v>7.8392140717113881E-2</v>
      </c>
    </row>
    <row r="4221" spans="1:9" x14ac:dyDescent="0.25">
      <c r="A4221">
        <v>303</v>
      </c>
      <c r="B4221" t="s">
        <v>1804</v>
      </c>
      <c r="C4221" t="s">
        <v>138</v>
      </c>
      <c r="D4221" t="s">
        <v>243</v>
      </c>
      <c r="E4221">
        <f t="shared" si="192"/>
        <v>1.4925373134328358E-2</v>
      </c>
      <c r="F4221">
        <v>131</v>
      </c>
      <c r="G4221">
        <f>LOG(382/(131+1))</f>
        <v>0.46148943170585888</v>
      </c>
      <c r="H4221">
        <f>0.0149253731343283*1.0626186860202</f>
        <v>1.5859980388361134E-2</v>
      </c>
      <c r="I4221">
        <v>1.5859980388361259E-2</v>
      </c>
    </row>
    <row r="4222" spans="1:9" x14ac:dyDescent="0.25">
      <c r="A4222">
        <v>303</v>
      </c>
      <c r="B4222" t="s">
        <v>1804</v>
      </c>
      <c r="C4222" t="s">
        <v>138</v>
      </c>
      <c r="D4222" t="s">
        <v>852</v>
      </c>
      <c r="E4222">
        <f t="shared" si="192"/>
        <v>1.4925373134328358E-2</v>
      </c>
      <c r="F4222">
        <v>10</v>
      </c>
      <c r="G4222">
        <f>LOG(382/(10+1))</f>
        <v>1.5406706777534838</v>
      </c>
      <c r="H4222">
        <f>0.0149253731343283*3.5475253358082</f>
        <v>5.2948139340420697E-2</v>
      </c>
      <c r="I4222">
        <v>5.294813934042096E-2</v>
      </c>
    </row>
    <row r="4223" spans="1:9" x14ac:dyDescent="0.25">
      <c r="A4223">
        <v>303</v>
      </c>
      <c r="B4223" t="s">
        <v>1804</v>
      </c>
      <c r="C4223" t="s">
        <v>138</v>
      </c>
      <c r="D4223" t="s">
        <v>438</v>
      </c>
      <c r="E4223">
        <f t="shared" si="192"/>
        <v>1.4925373134328358E-2</v>
      </c>
      <c r="F4223">
        <v>37</v>
      </c>
      <c r="G4223">
        <f>LOG(382/(37+1))</f>
        <v>1.0022797662948986</v>
      </c>
      <c r="H4223">
        <f>0.0149253731343283*2.30783444888018</f>
        <v>3.4445290281793599E-2</v>
      </c>
      <c r="I4223">
        <v>3.4445290281793869E-2</v>
      </c>
    </row>
    <row r="4224" spans="1:9" x14ac:dyDescent="0.25">
      <c r="A4224">
        <v>303</v>
      </c>
      <c r="B4224" t="s">
        <v>1804</v>
      </c>
      <c r="C4224" t="s">
        <v>138</v>
      </c>
      <c r="D4224" t="s">
        <v>307</v>
      </c>
      <c r="E4224">
        <f t="shared" si="192"/>
        <v>1.4925373134328358E-2</v>
      </c>
      <c r="F4224">
        <v>67</v>
      </c>
      <c r="G4224">
        <f>LOG(382/(67+1))</f>
        <v>0.7495544502054724</v>
      </c>
      <c r="H4224">
        <f>0.0149253731343283*1.72591290343046</f>
        <v>2.5759894081051546E-2</v>
      </c>
      <c r="I4224">
        <v>2.5759894081051761E-2</v>
      </c>
    </row>
    <row r="4225" spans="1:9" x14ac:dyDescent="0.25">
      <c r="A4225">
        <v>303</v>
      </c>
      <c r="B4225" t="s">
        <v>1804</v>
      </c>
      <c r="C4225" t="s">
        <v>138</v>
      </c>
      <c r="D4225" t="s">
        <v>218</v>
      </c>
      <c r="E4225">
        <f t="shared" si="192"/>
        <v>1.4925373134328358E-2</v>
      </c>
      <c r="F4225">
        <v>35</v>
      </c>
      <c r="G4225">
        <f>LOG(382/(35+1))</f>
        <v>1.0257608621444214</v>
      </c>
      <c r="H4225">
        <f>0.0149253731343283*2.36190167015046</f>
        <v>3.5252263733588821E-2</v>
      </c>
      <c r="I4225">
        <v>3.5252263733589029E-2</v>
      </c>
    </row>
    <row r="4226" spans="1:9" x14ac:dyDescent="0.25">
      <c r="A4226">
        <v>303</v>
      </c>
      <c r="B4226" t="s">
        <v>1804</v>
      </c>
      <c r="C4226" t="s">
        <v>138</v>
      </c>
      <c r="D4226" t="s">
        <v>1812</v>
      </c>
      <c r="E4226">
        <f t="shared" si="192"/>
        <v>1.4925373134328358E-2</v>
      </c>
      <c r="F4226">
        <v>10</v>
      </c>
      <c r="G4226">
        <f>LOG(382/(10+1))</f>
        <v>1.5406706777534838</v>
      </c>
      <c r="H4226">
        <f>0.0149253731343283*3.5475253358082</f>
        <v>5.2948139340420697E-2</v>
      </c>
      <c r="I4226">
        <v>5.294813934042096E-2</v>
      </c>
    </row>
    <row r="4227" spans="1:9" x14ac:dyDescent="0.25">
      <c r="A4227">
        <v>303</v>
      </c>
      <c r="B4227" t="s">
        <v>1804</v>
      </c>
      <c r="C4227" t="s">
        <v>138</v>
      </c>
      <c r="D4227" t="s">
        <v>520</v>
      </c>
      <c r="E4227">
        <f t="shared" si="192"/>
        <v>1.4925373134328358E-2</v>
      </c>
      <c r="F4227">
        <v>25</v>
      </c>
      <c r="G4227">
        <f>LOG(382/(25+1))</f>
        <v>1.1670900149408907</v>
      </c>
      <c r="H4227">
        <f>0.0149253731343283*2.68732407058509</f>
        <v>4.0109314486344472E-2</v>
      </c>
      <c r="I4227">
        <v>4.0109314486344673E-2</v>
      </c>
    </row>
    <row r="4228" spans="1:9" x14ac:dyDescent="0.25">
      <c r="A4228">
        <v>303</v>
      </c>
      <c r="B4228" t="s">
        <v>1804</v>
      </c>
      <c r="C4228" t="s">
        <v>138</v>
      </c>
      <c r="D4228" t="s">
        <v>772</v>
      </c>
      <c r="E4228">
        <f t="shared" si="192"/>
        <v>1.4925373134328358E-2</v>
      </c>
      <c r="F4228">
        <v>31</v>
      </c>
      <c r="G4228">
        <f>LOG(382/(31+1))</f>
        <v>1.0769133845918029</v>
      </c>
      <c r="H4228">
        <f>0.0149253731343283*2.47968470580684</f>
        <v>3.7010219489654182E-2</v>
      </c>
      <c r="I4228">
        <v>3.701021948965446E-2</v>
      </c>
    </row>
    <row r="4229" spans="1:9" x14ac:dyDescent="0.25">
      <c r="A4229">
        <v>303</v>
      </c>
      <c r="B4229" t="s">
        <v>1804</v>
      </c>
      <c r="C4229" t="s">
        <v>138</v>
      </c>
      <c r="D4229" t="s">
        <v>1813</v>
      </c>
      <c r="E4229">
        <f t="shared" si="192"/>
        <v>1.4925373134328358E-2</v>
      </c>
      <c r="F4229">
        <v>1</v>
      </c>
      <c r="G4229">
        <f>LOG(382/(1+1))</f>
        <v>2.2810333672477277</v>
      </c>
      <c r="H4229">
        <f>0.0149253731343283*5.25227342804663</f>
        <v>7.8392140717113576E-2</v>
      </c>
      <c r="I4229">
        <v>7.8392140717113881E-2</v>
      </c>
    </row>
    <row r="4230" spans="1:9" x14ac:dyDescent="0.25">
      <c r="A4230">
        <v>303</v>
      </c>
      <c r="B4230" t="s">
        <v>1804</v>
      </c>
      <c r="C4230" t="s">
        <v>138</v>
      </c>
      <c r="D4230" t="s">
        <v>770</v>
      </c>
      <c r="E4230">
        <f t="shared" si="192"/>
        <v>1.4925373134328358E-2</v>
      </c>
      <c r="F4230">
        <v>47</v>
      </c>
      <c r="G4230">
        <f>LOG(382/(47+1))</f>
        <v>0.90082212553612151</v>
      </c>
      <c r="H4230">
        <f>0.0149253731343283*2.07421959769868</f>
        <v>3.0958501458189135E-2</v>
      </c>
      <c r="I4230">
        <v>3.0958501458189319E-2</v>
      </c>
    </row>
    <row r="4231" spans="1:9" x14ac:dyDescent="0.25">
      <c r="A4231">
        <v>303</v>
      </c>
      <c r="B4231" t="s">
        <v>1804</v>
      </c>
      <c r="C4231" t="s">
        <v>138</v>
      </c>
      <c r="D4231" t="s">
        <v>1814</v>
      </c>
      <c r="E4231">
        <f t="shared" si="192"/>
        <v>1.4925373134328358E-2</v>
      </c>
      <c r="F4231">
        <v>3</v>
      </c>
      <c r="G4231">
        <f>LOG(382/(3+1))</f>
        <v>1.9800033715837464</v>
      </c>
      <c r="H4231">
        <f>0.0149253731343283*4.55912624748668</f>
        <v>6.8046660410248691E-2</v>
      </c>
      <c r="I4231">
        <v>6.8046660410249024E-2</v>
      </c>
    </row>
    <row r="4232" spans="1:9" x14ac:dyDescent="0.25">
      <c r="A4232">
        <v>304</v>
      </c>
      <c r="B4232" t="s">
        <v>1815</v>
      </c>
      <c r="C4232" t="s">
        <v>48</v>
      </c>
      <c r="D4232" t="s">
        <v>1816</v>
      </c>
      <c r="E4232">
        <f>7/48</f>
        <v>0.14583333333333334</v>
      </c>
      <c r="F4232">
        <v>1</v>
      </c>
      <c r="G4232">
        <f>LOG(382/(1+1))</f>
        <v>2.2810333672477277</v>
      </c>
      <c r="H4232">
        <f>0.145833333333333*5.25227342804663</f>
        <v>0.76595654159013182</v>
      </c>
      <c r="I4232">
        <v>0.7659565415901336</v>
      </c>
    </row>
    <row r="4233" spans="1:9" x14ac:dyDescent="0.25">
      <c r="A4233">
        <v>304</v>
      </c>
      <c r="B4233" t="s">
        <v>1815</v>
      </c>
      <c r="C4233" t="s">
        <v>48</v>
      </c>
      <c r="D4233" t="s">
        <v>259</v>
      </c>
      <c r="E4233">
        <f>1/48</f>
        <v>2.0833333333333332E-2</v>
      </c>
      <c r="F4233">
        <v>11</v>
      </c>
      <c r="G4233">
        <f>LOG(382/(11+1))</f>
        <v>1.5028821168640838</v>
      </c>
      <c r="H4233">
        <f>0.0208333333333333*3.46051395881857</f>
        <v>7.2094040808720103E-2</v>
      </c>
      <c r="I4233">
        <v>7.2094040808720311E-2</v>
      </c>
    </row>
    <row r="4234" spans="1:9" x14ac:dyDescent="0.25">
      <c r="A4234">
        <v>304</v>
      </c>
      <c r="B4234" t="s">
        <v>1815</v>
      </c>
      <c r="C4234" t="s">
        <v>48</v>
      </c>
      <c r="D4234" t="s">
        <v>50</v>
      </c>
      <c r="E4234">
        <f>2/48</f>
        <v>4.1666666666666664E-2</v>
      </c>
      <c r="F4234">
        <v>109</v>
      </c>
      <c r="G4234">
        <f>LOG(382/(109+1))</f>
        <v>0.54067067775348365</v>
      </c>
      <c r="H4234">
        <f>0.0416666666666666*1.24494024281415</f>
        <v>5.1872510117256174E-2</v>
      </c>
      <c r="I4234">
        <v>5.1872510117256618E-2</v>
      </c>
    </row>
    <row r="4235" spans="1:9" x14ac:dyDescent="0.25">
      <c r="A4235">
        <v>304</v>
      </c>
      <c r="B4235" t="s">
        <v>1815</v>
      </c>
      <c r="C4235" t="s">
        <v>48</v>
      </c>
      <c r="E4235">
        <f>1/48</f>
        <v>2.0833333333333332E-2</v>
      </c>
      <c r="F4235">
        <v>20</v>
      </c>
      <c r="G4235">
        <f>LOG(382/(20+1))</f>
        <v>1.2598440681777894</v>
      </c>
      <c r="H4235">
        <f>0.0208333333333333*2.90089817088315</f>
        <v>6.0435378560065534E-2</v>
      </c>
      <c r="I4235">
        <v>6.0435378560065672E-2</v>
      </c>
    </row>
    <row r="4236" spans="1:9" x14ac:dyDescent="0.25">
      <c r="A4236">
        <v>304</v>
      </c>
      <c r="B4236" t="s">
        <v>1815</v>
      </c>
      <c r="C4236" t="s">
        <v>48</v>
      </c>
      <c r="D4236" t="s">
        <v>38</v>
      </c>
      <c r="E4236">
        <f>1/48</f>
        <v>2.0833333333333332E-2</v>
      </c>
      <c r="F4236">
        <v>86</v>
      </c>
      <c r="G4236">
        <f>LOG(382/(86+1))</f>
        <v>0.64254411029309022</v>
      </c>
      <c r="H4236">
        <f>0.0208333333333333*1.47951248995199</f>
        <v>3.0823176873999745E-2</v>
      </c>
      <c r="I4236">
        <v>3.0823176873999821E-2</v>
      </c>
    </row>
    <row r="4237" spans="1:9" x14ac:dyDescent="0.25">
      <c r="A4237">
        <v>304</v>
      </c>
      <c r="B4237" t="s">
        <v>1815</v>
      </c>
      <c r="C4237" t="s">
        <v>48</v>
      </c>
      <c r="D4237" t="s">
        <v>189</v>
      </c>
      <c r="E4237">
        <f>5/48</f>
        <v>0.10416666666666667</v>
      </c>
      <c r="F4237">
        <v>27</v>
      </c>
      <c r="G4237">
        <f>LOG(382/(27+1))</f>
        <v>1.1349053315694895</v>
      </c>
      <c r="H4237">
        <f>0.104166666666666*2.61321609843137</f>
        <v>0.27221001025326602</v>
      </c>
      <c r="I4237">
        <v>0.27221001025326791</v>
      </c>
    </row>
    <row r="4238" spans="1:9" x14ac:dyDescent="0.25">
      <c r="A4238">
        <v>304</v>
      </c>
      <c r="B4238" t="s">
        <v>1815</v>
      </c>
      <c r="C4238" t="s">
        <v>48</v>
      </c>
      <c r="D4238" t="s">
        <v>41</v>
      </c>
      <c r="E4238">
        <f>2/48</f>
        <v>4.1666666666666664E-2</v>
      </c>
      <c r="F4238">
        <v>195</v>
      </c>
      <c r="G4238">
        <f>LOG(382/(195+1))</f>
        <v>0.28980729155523272</v>
      </c>
      <c r="H4238">
        <f>0.0416666666666666*0.667305949376058</f>
        <v>2.7804414557335708E-2</v>
      </c>
      <c r="I4238">
        <v>2.780441455733575E-2</v>
      </c>
    </row>
    <row r="4239" spans="1:9" x14ac:dyDescent="0.25">
      <c r="A4239">
        <v>304</v>
      </c>
      <c r="B4239" t="s">
        <v>1815</v>
      </c>
      <c r="C4239" t="s">
        <v>48</v>
      </c>
      <c r="D4239" t="s">
        <v>283</v>
      </c>
      <c r="E4239">
        <f>2/48</f>
        <v>4.1666666666666664E-2</v>
      </c>
      <c r="F4239">
        <v>16</v>
      </c>
      <c r="G4239">
        <f>LOG(382/(16+1))</f>
        <v>1.3516144415334348</v>
      </c>
      <c r="H4239">
        <f>0.0416666666666666*3.11220726455035</f>
        <v>0.1296753026895977</v>
      </c>
      <c r="I4239">
        <v>0.12967530268959829</v>
      </c>
    </row>
    <row r="4240" spans="1:9" x14ac:dyDescent="0.25">
      <c r="A4240">
        <v>304</v>
      </c>
      <c r="B4240" t="s">
        <v>1815</v>
      </c>
      <c r="C4240" t="s">
        <v>48</v>
      </c>
      <c r="D4240" t="s">
        <v>187</v>
      </c>
      <c r="E4240">
        <f>3/48</f>
        <v>6.25E-2</v>
      </c>
      <c r="F4240">
        <v>21</v>
      </c>
      <c r="G4240">
        <f>LOG(382/(21+1))</f>
        <v>1.2396406820895025</v>
      </c>
      <c r="H4240">
        <f>0.0625*2.85437815524825</f>
        <v>0.17839863470301562</v>
      </c>
      <c r="I4240">
        <v>0.1783986347030162</v>
      </c>
    </row>
    <row r="4241" spans="1:9" x14ac:dyDescent="0.25">
      <c r="A4241">
        <v>304</v>
      </c>
      <c r="B4241" t="s">
        <v>1815</v>
      </c>
      <c r="C4241" t="s">
        <v>48</v>
      </c>
      <c r="D4241" t="s">
        <v>104</v>
      </c>
      <c r="E4241">
        <f>2/48</f>
        <v>4.1666666666666664E-2</v>
      </c>
      <c r="F4241">
        <v>49</v>
      </c>
      <c r="G4241">
        <f>LOG(382/(49+1))</f>
        <v>0.88309335857568994</v>
      </c>
      <c r="H4241">
        <f>0.0416666666666666*2.03339760317842</f>
        <v>8.4724900132434042E-2</v>
      </c>
      <c r="I4241">
        <v>8.4724900132434527E-2</v>
      </c>
    </row>
    <row r="4242" spans="1:9" x14ac:dyDescent="0.25">
      <c r="A4242">
        <v>304</v>
      </c>
      <c r="B4242" t="s">
        <v>1815</v>
      </c>
      <c r="C4242" t="s">
        <v>48</v>
      </c>
      <c r="D4242" t="s">
        <v>1817</v>
      </c>
      <c r="E4242">
        <f>2/48</f>
        <v>4.1666666666666664E-2</v>
      </c>
      <c r="F4242">
        <v>1</v>
      </c>
      <c r="G4242">
        <f>LOG(382/(1+1))</f>
        <v>2.2810333672477277</v>
      </c>
      <c r="H4242">
        <f>0.0416666666666666*5.25227342804663</f>
        <v>0.21884472616860923</v>
      </c>
      <c r="I4242">
        <v>0.21884472616860959</v>
      </c>
    </row>
    <row r="4243" spans="1:9" x14ac:dyDescent="0.25">
      <c r="A4243">
        <v>304</v>
      </c>
      <c r="B4243" t="s">
        <v>1815</v>
      </c>
      <c r="C4243" t="s">
        <v>48</v>
      </c>
      <c r="D4243" t="s">
        <v>113</v>
      </c>
      <c r="E4243">
        <f>2/48</f>
        <v>4.1666666666666664E-2</v>
      </c>
      <c r="F4243">
        <v>8</v>
      </c>
      <c r="G4243">
        <f>LOG(382/(8+1))</f>
        <v>1.6278208534723839</v>
      </c>
      <c r="H4243">
        <f>0.0416666666666666*3.74819603127035</f>
        <v>0.15617483463626433</v>
      </c>
      <c r="I4243">
        <v>0.1561748346362648</v>
      </c>
    </row>
    <row r="4244" spans="1:9" x14ac:dyDescent="0.25">
      <c r="A4244">
        <v>304</v>
      </c>
      <c r="B4244" t="s">
        <v>1815</v>
      </c>
      <c r="C4244" t="s">
        <v>48</v>
      </c>
      <c r="D4244" t="s">
        <v>1818</v>
      </c>
      <c r="E4244">
        <f>2/48</f>
        <v>4.1666666666666664E-2</v>
      </c>
      <c r="F4244">
        <v>1</v>
      </c>
      <c r="G4244">
        <f>LOG(382/(1+1))</f>
        <v>2.2810333672477277</v>
      </c>
      <c r="H4244">
        <f>0.0416666666666666*5.25227342804663</f>
        <v>0.21884472616860923</v>
      </c>
      <c r="I4244">
        <v>0.21884472616860959</v>
      </c>
    </row>
    <row r="4245" spans="1:9" x14ac:dyDescent="0.25">
      <c r="A4245">
        <v>304</v>
      </c>
      <c r="B4245" t="s">
        <v>1815</v>
      </c>
      <c r="C4245" t="s">
        <v>48</v>
      </c>
      <c r="D4245" t="s">
        <v>1702</v>
      </c>
      <c r="E4245">
        <f>2/48</f>
        <v>4.1666666666666664E-2</v>
      </c>
      <c r="F4245">
        <v>3</v>
      </c>
      <c r="G4245">
        <f>LOG(382/(3+1))</f>
        <v>1.9800033715837464</v>
      </c>
      <c r="H4245">
        <f>0.0416666666666666*4.55912624748668</f>
        <v>0.18996359364527804</v>
      </c>
      <c r="I4245">
        <v>0.18996359364527851</v>
      </c>
    </row>
    <row r="4246" spans="1:9" x14ac:dyDescent="0.25">
      <c r="A4246">
        <v>304</v>
      </c>
      <c r="B4246" t="s">
        <v>1815</v>
      </c>
      <c r="C4246" t="s">
        <v>48</v>
      </c>
      <c r="D4246" t="s">
        <v>69</v>
      </c>
      <c r="E4246">
        <f>1/48</f>
        <v>2.0833333333333332E-2</v>
      </c>
      <c r="F4246">
        <v>13</v>
      </c>
      <c r="G4246">
        <f>LOG(382/(13+1))</f>
        <v>1.4359353272334707</v>
      </c>
      <c r="H4246">
        <f>0.0208333333333333*3.30636327899131</f>
        <v>6.8882568312318856E-2</v>
      </c>
      <c r="I4246">
        <v>6.8882568312319092E-2</v>
      </c>
    </row>
    <row r="4247" spans="1:9" x14ac:dyDescent="0.25">
      <c r="A4247">
        <v>304</v>
      </c>
      <c r="B4247" t="s">
        <v>1815</v>
      </c>
      <c r="C4247" t="s">
        <v>48</v>
      </c>
      <c r="D4247" t="s">
        <v>190</v>
      </c>
      <c r="E4247">
        <f>2/48</f>
        <v>4.1666666666666664E-2</v>
      </c>
      <c r="F4247">
        <v>23</v>
      </c>
      <c r="G4247">
        <f>LOG(382/(23+1))</f>
        <v>1.2018521212001028</v>
      </c>
      <c r="H4247">
        <f>0.0416666666666666*2.76736677825862</f>
        <v>0.11530694909410899</v>
      </c>
      <c r="I4247">
        <v>0.1153069490941096</v>
      </c>
    </row>
    <row r="4248" spans="1:9" x14ac:dyDescent="0.25">
      <c r="A4248">
        <v>304</v>
      </c>
      <c r="B4248" t="s">
        <v>1815</v>
      </c>
      <c r="C4248" t="s">
        <v>48</v>
      </c>
      <c r="D4248" t="s">
        <v>32</v>
      </c>
      <c r="E4248">
        <f>1/48</f>
        <v>2.0833333333333332E-2</v>
      </c>
      <c r="F4248">
        <v>4</v>
      </c>
      <c r="G4248">
        <f>LOG(382/(4+1))</f>
        <v>1.8830933585756899</v>
      </c>
      <c r="H4248">
        <f>0.0208333333333333*4.33598269617247</f>
        <v>9.0332972836926331E-2</v>
      </c>
      <c r="I4248">
        <v>9.0332972836926553E-2</v>
      </c>
    </row>
    <row r="4249" spans="1:9" x14ac:dyDescent="0.25">
      <c r="A4249">
        <v>304</v>
      </c>
      <c r="B4249" t="s">
        <v>1815</v>
      </c>
      <c r="C4249" t="s">
        <v>48</v>
      </c>
      <c r="D4249" t="s">
        <v>1269</v>
      </c>
      <c r="E4249">
        <f>1/48</f>
        <v>2.0833333333333332E-2</v>
      </c>
      <c r="F4249">
        <v>2</v>
      </c>
      <c r="G4249">
        <f>LOG(382/(2+1))</f>
        <v>2.1049421081920463</v>
      </c>
      <c r="H4249">
        <f>0.0208333333333333*4.84680831993846</f>
        <v>0.1009751733320511</v>
      </c>
      <c r="I4249">
        <v>0.1009751733320514</v>
      </c>
    </row>
    <row r="4250" spans="1:9" x14ac:dyDescent="0.25">
      <c r="A4250">
        <v>304</v>
      </c>
      <c r="B4250" t="s">
        <v>1815</v>
      </c>
      <c r="C4250" t="s">
        <v>48</v>
      </c>
      <c r="D4250" t="s">
        <v>1819</v>
      </c>
      <c r="E4250">
        <f>1/48</f>
        <v>2.0833333333333332E-2</v>
      </c>
      <c r="F4250">
        <v>1</v>
      </c>
      <c r="G4250">
        <f>LOG(382/(1+1))</f>
        <v>2.2810333672477277</v>
      </c>
      <c r="H4250">
        <f>0.0208333333333333*5.25227342804663</f>
        <v>0.10942236308430461</v>
      </c>
      <c r="I4250">
        <v>0.10942236308430479</v>
      </c>
    </row>
    <row r="4251" spans="1:9" x14ac:dyDescent="0.25">
      <c r="A4251">
        <v>304</v>
      </c>
      <c r="B4251" t="s">
        <v>1815</v>
      </c>
      <c r="C4251" t="s">
        <v>48</v>
      </c>
      <c r="D4251" t="s">
        <v>408</v>
      </c>
      <c r="E4251">
        <f>1/48</f>
        <v>2.0833333333333332E-2</v>
      </c>
      <c r="F4251">
        <v>27</v>
      </c>
      <c r="G4251">
        <f>LOG(382/(27+1))</f>
        <v>1.1349053315694895</v>
      </c>
      <c r="H4251">
        <f>0.0208333333333333*2.61321609843137</f>
        <v>5.4442002050653457E-2</v>
      </c>
      <c r="I4251">
        <v>5.4442002050653561E-2</v>
      </c>
    </row>
    <row r="4252" spans="1:9" x14ac:dyDescent="0.25">
      <c r="A4252">
        <v>304</v>
      </c>
      <c r="B4252" t="s">
        <v>1815</v>
      </c>
      <c r="C4252" t="s">
        <v>48</v>
      </c>
      <c r="D4252" t="s">
        <v>1820</v>
      </c>
      <c r="E4252">
        <f>2/48</f>
        <v>4.1666666666666664E-2</v>
      </c>
      <c r="F4252">
        <v>1</v>
      </c>
      <c r="G4252">
        <f>LOG(382/(1+1))</f>
        <v>2.2810333672477277</v>
      </c>
      <c r="H4252">
        <f>0.0416666666666666*5.25227342804663</f>
        <v>0.21884472616860923</v>
      </c>
      <c r="I4252">
        <v>0.21884472616860959</v>
      </c>
    </row>
    <row r="4253" spans="1:9" x14ac:dyDescent="0.25">
      <c r="A4253">
        <v>304</v>
      </c>
      <c r="B4253" t="s">
        <v>1815</v>
      </c>
      <c r="C4253" t="s">
        <v>48</v>
      </c>
      <c r="D4253" t="s">
        <v>1821</v>
      </c>
      <c r="E4253">
        <f>2/48</f>
        <v>4.1666666666666664E-2</v>
      </c>
      <c r="F4253">
        <v>1</v>
      </c>
      <c r="G4253">
        <f>LOG(382/(1+1))</f>
        <v>2.2810333672477277</v>
      </c>
      <c r="H4253">
        <f>0.0416666666666666*5.25227342804663</f>
        <v>0.21884472616860923</v>
      </c>
      <c r="I4253">
        <v>0.21884472616860959</v>
      </c>
    </row>
    <row r="4254" spans="1:9" x14ac:dyDescent="0.25">
      <c r="A4254">
        <v>304</v>
      </c>
      <c r="B4254" t="s">
        <v>1815</v>
      </c>
      <c r="C4254" t="s">
        <v>48</v>
      </c>
      <c r="D4254" t="s">
        <v>900</v>
      </c>
      <c r="E4254">
        <f>1/48</f>
        <v>2.0833333333333332E-2</v>
      </c>
      <c r="F4254">
        <v>5</v>
      </c>
      <c r="G4254">
        <f>LOG(382/(5+1))</f>
        <v>1.803912112528065</v>
      </c>
      <c r="H4254">
        <f>0.0208333333333333*4.15366113937852</f>
        <v>8.6534607070385697E-2</v>
      </c>
      <c r="I4254">
        <v>8.6534607070385822E-2</v>
      </c>
    </row>
    <row r="4255" spans="1:9" x14ac:dyDescent="0.25">
      <c r="A4255">
        <v>304</v>
      </c>
      <c r="B4255" t="s">
        <v>1815</v>
      </c>
      <c r="C4255" t="s">
        <v>48</v>
      </c>
      <c r="D4255" t="s">
        <v>1822</v>
      </c>
      <c r="E4255">
        <f>1/48</f>
        <v>2.0833333333333332E-2</v>
      </c>
      <c r="F4255">
        <v>1</v>
      </c>
      <c r="G4255">
        <f>LOG(382/(1+1))</f>
        <v>2.2810333672477277</v>
      </c>
      <c r="H4255">
        <f>0.0208333333333333*5.25227342804663</f>
        <v>0.10942236308430461</v>
      </c>
      <c r="I4255">
        <v>0.10942236308430479</v>
      </c>
    </row>
    <row r="4256" spans="1:9" x14ac:dyDescent="0.25">
      <c r="A4256">
        <v>304</v>
      </c>
      <c r="B4256" t="s">
        <v>1815</v>
      </c>
      <c r="C4256" t="s">
        <v>48</v>
      </c>
      <c r="D4256" t="s">
        <v>260</v>
      </c>
      <c r="E4256">
        <f>1/48</f>
        <v>2.0833333333333332E-2</v>
      </c>
      <c r="F4256">
        <v>31</v>
      </c>
      <c r="G4256">
        <f>LOG(382/(31+1))</f>
        <v>1.0769133845918029</v>
      </c>
      <c r="H4256">
        <f>0.0208333333333333*2.47968470580684</f>
        <v>5.1660098037642418E-2</v>
      </c>
      <c r="I4256">
        <v>5.1660098037642682E-2</v>
      </c>
    </row>
    <row r="4257" spans="1:9" x14ac:dyDescent="0.25">
      <c r="A4257">
        <v>306</v>
      </c>
      <c r="B4257" t="s">
        <v>1823</v>
      </c>
      <c r="C4257" t="s">
        <v>10</v>
      </c>
      <c r="D4257" t="s">
        <v>11</v>
      </c>
      <c r="E4257">
        <f>4/28</f>
        <v>0.14285714285714285</v>
      </c>
      <c r="F4257">
        <v>83</v>
      </c>
      <c r="G4257">
        <f>LOG(382/(83+1))</f>
        <v>0.65778407684982709</v>
      </c>
      <c r="H4257">
        <f>0.142857142857142*1.51460380976326</f>
        <v>0.21637197282332152</v>
      </c>
      <c r="I4257">
        <v>0.21637197282332299</v>
      </c>
    </row>
    <row r="4258" spans="1:9" x14ac:dyDescent="0.25">
      <c r="A4258">
        <v>306</v>
      </c>
      <c r="B4258" t="s">
        <v>1823</v>
      </c>
      <c r="C4258" t="s">
        <v>10</v>
      </c>
      <c r="D4258" t="s">
        <v>12</v>
      </c>
      <c r="E4258">
        <f>4/28</f>
        <v>0.14285714285714285</v>
      </c>
      <c r="F4258">
        <v>28</v>
      </c>
      <c r="G4258">
        <f>LOG(382/(28+1))</f>
        <v>1.1196653650127526</v>
      </c>
      <c r="H4258">
        <f>0.142857142857142*2.5781247786201</f>
        <v>0.36830353980286917</v>
      </c>
      <c r="I4258">
        <v>0.36830353980287162</v>
      </c>
    </row>
    <row r="4259" spans="1:9" x14ac:dyDescent="0.25">
      <c r="A4259">
        <v>306</v>
      </c>
      <c r="B4259" t="s">
        <v>1823</v>
      </c>
      <c r="C4259" t="s">
        <v>10</v>
      </c>
      <c r="D4259" t="s">
        <v>1824</v>
      </c>
      <c r="E4259">
        <f>3/28</f>
        <v>0.10714285714285714</v>
      </c>
      <c r="F4259">
        <v>1</v>
      </c>
      <c r="G4259">
        <f>LOG(382/(1+1))</f>
        <v>2.2810333672477277</v>
      </c>
      <c r="H4259">
        <f>0.107142857142857*5.25227342804663</f>
        <v>0.5627435815764239</v>
      </c>
      <c r="I4259">
        <v>0.56274358157642457</v>
      </c>
    </row>
    <row r="4260" spans="1:9" x14ac:dyDescent="0.25">
      <c r="A4260">
        <v>306</v>
      </c>
      <c r="B4260" t="s">
        <v>1823</v>
      </c>
      <c r="C4260" t="s">
        <v>10</v>
      </c>
      <c r="D4260" t="s">
        <v>183</v>
      </c>
      <c r="E4260">
        <f>1/28</f>
        <v>3.5714285714285712E-2</v>
      </c>
      <c r="F4260">
        <v>46</v>
      </c>
      <c r="G4260">
        <f>LOG(382/(46+1))</f>
        <v>0.90996550497599127</v>
      </c>
      <c r="H4260">
        <f>0.0357142857142857*2.09527300689651</f>
        <v>7.4831178817732477E-2</v>
      </c>
      <c r="I4260">
        <v>7.4831178817732727E-2</v>
      </c>
    </row>
    <row r="4261" spans="1:9" x14ac:dyDescent="0.25">
      <c r="A4261">
        <v>306</v>
      </c>
      <c r="B4261" t="s">
        <v>1823</v>
      </c>
      <c r="C4261" t="s">
        <v>10</v>
      </c>
      <c r="D4261" t="s">
        <v>218</v>
      </c>
      <c r="E4261">
        <f>1/28</f>
        <v>3.5714285714285712E-2</v>
      </c>
      <c r="F4261">
        <v>35</v>
      </c>
      <c r="G4261">
        <f>LOG(382/(35+1))</f>
        <v>1.0257608621444214</v>
      </c>
      <c r="H4261">
        <f>0.0357142857142857*2.36190167015046</f>
        <v>8.4353631076802105E-2</v>
      </c>
      <c r="I4261">
        <v>8.4353631076802313E-2</v>
      </c>
    </row>
    <row r="4262" spans="1:9" x14ac:dyDescent="0.25">
      <c r="A4262">
        <v>306</v>
      </c>
      <c r="B4262" t="s">
        <v>1823</v>
      </c>
      <c r="C4262" t="s">
        <v>10</v>
      </c>
      <c r="D4262" t="s">
        <v>730</v>
      </c>
      <c r="E4262">
        <f>1/28</f>
        <v>3.5714285714285712E-2</v>
      </c>
      <c r="F4262">
        <v>11</v>
      </c>
      <c r="G4262">
        <f>LOG(382/(11+1))</f>
        <v>1.5028821168640838</v>
      </c>
      <c r="H4262">
        <f>0.0357142857142857*3.46051395881857</f>
        <v>0.12358978424352031</v>
      </c>
      <c r="I4262">
        <v>0.1235897842435205</v>
      </c>
    </row>
    <row r="4263" spans="1:9" x14ac:dyDescent="0.25">
      <c r="A4263">
        <v>306</v>
      </c>
      <c r="B4263" t="s">
        <v>1823</v>
      </c>
      <c r="C4263" t="s">
        <v>10</v>
      </c>
      <c r="D4263" t="s">
        <v>40</v>
      </c>
      <c r="E4263">
        <f>1/28</f>
        <v>3.5714285714285712E-2</v>
      </c>
      <c r="F4263">
        <v>159</v>
      </c>
      <c r="G4263">
        <f>LOG(382/(159+1))</f>
        <v>0.377943380255784</v>
      </c>
      <c r="H4263">
        <f>0.0357142857142857*0.870246793372748</f>
        <v>3.1080242620455271E-2</v>
      </c>
      <c r="I4263">
        <v>3.1080242620455299E-2</v>
      </c>
    </row>
    <row r="4264" spans="1:9" x14ac:dyDescent="0.25">
      <c r="A4264">
        <v>306</v>
      </c>
      <c r="B4264" t="s">
        <v>1823</v>
      </c>
      <c r="C4264" t="s">
        <v>10</v>
      </c>
      <c r="D4264" t="s">
        <v>41</v>
      </c>
      <c r="E4264">
        <f>2/28</f>
        <v>7.1428571428571425E-2</v>
      </c>
      <c r="F4264">
        <v>195</v>
      </c>
      <c r="G4264">
        <f>LOG(382/(195+1))</f>
        <v>0.28980729155523272</v>
      </c>
      <c r="H4264">
        <f>0.0714285714285714*0.667305949376058</f>
        <v>4.7664710669718412E-2</v>
      </c>
      <c r="I4264">
        <v>4.7664710669718433E-2</v>
      </c>
    </row>
    <row r="4265" spans="1:9" x14ac:dyDescent="0.25">
      <c r="A4265">
        <v>306</v>
      </c>
      <c r="B4265" t="s">
        <v>1823</v>
      </c>
      <c r="C4265" t="s">
        <v>10</v>
      </c>
      <c r="D4265" t="s">
        <v>42</v>
      </c>
      <c r="E4265">
        <f t="shared" ref="E4265:E4275" si="193">1/28</f>
        <v>3.5714285714285712E-2</v>
      </c>
      <c r="F4265">
        <v>251</v>
      </c>
      <c r="G4265">
        <f>LOG(382/(251+1))</f>
        <v>0.18066282213016463</v>
      </c>
      <c r="H4265">
        <f>0.0357142857142857*0.415991521095151</f>
        <v>1.4856840039112529E-2</v>
      </c>
      <c r="I4265">
        <v>1.485684003911257E-2</v>
      </c>
    </row>
    <row r="4266" spans="1:9" x14ac:dyDescent="0.25">
      <c r="A4266">
        <v>306</v>
      </c>
      <c r="B4266" t="s">
        <v>1823</v>
      </c>
      <c r="C4266" t="s">
        <v>10</v>
      </c>
      <c r="D4266" t="s">
        <v>15</v>
      </c>
      <c r="E4266">
        <f t="shared" si="193"/>
        <v>3.5714285714285712E-2</v>
      </c>
      <c r="F4266">
        <v>112</v>
      </c>
      <c r="G4266">
        <f>LOG(382/(112+1))</f>
        <v>0.52898491942828896</v>
      </c>
      <c r="H4266">
        <f>0.0357142857142857*1.21803278989423</f>
        <v>4.3501171067651057E-2</v>
      </c>
      <c r="I4266">
        <v>4.3501171067651237E-2</v>
      </c>
    </row>
    <row r="4267" spans="1:9" x14ac:dyDescent="0.25">
      <c r="A4267">
        <v>306</v>
      </c>
      <c r="B4267" t="s">
        <v>1823</v>
      </c>
      <c r="C4267" t="s">
        <v>10</v>
      </c>
      <c r="D4267" t="s">
        <v>17</v>
      </c>
      <c r="E4267">
        <f t="shared" si="193"/>
        <v>3.5714285714285712E-2</v>
      </c>
      <c r="F4267">
        <v>169</v>
      </c>
      <c r="G4267">
        <f>LOG(382/(169+1))</f>
        <v>0.3516144415334348</v>
      </c>
      <c r="H4267">
        <f>0.0357142857142857*0.809622171556313</f>
        <v>2.8915077555582595E-2</v>
      </c>
      <c r="I4267">
        <v>2.8915077555582619E-2</v>
      </c>
    </row>
    <row r="4268" spans="1:9" x14ac:dyDescent="0.25">
      <c r="A4268">
        <v>306</v>
      </c>
      <c r="B4268" t="s">
        <v>1823</v>
      </c>
      <c r="C4268" t="s">
        <v>10</v>
      </c>
      <c r="D4268" t="s">
        <v>115</v>
      </c>
      <c r="E4268">
        <f t="shared" si="193"/>
        <v>3.5714285714285712E-2</v>
      </c>
      <c r="F4268">
        <v>17</v>
      </c>
      <c r="G4268">
        <f>LOG(382/(17+1))</f>
        <v>1.3267908578084027</v>
      </c>
      <c r="H4268">
        <f>0.0357142857142857*3.05504885071041</f>
        <v>0.10910888752537173</v>
      </c>
      <c r="I4268">
        <v>0.1091088875253718</v>
      </c>
    </row>
    <row r="4269" spans="1:9" x14ac:dyDescent="0.25">
      <c r="A4269">
        <v>306</v>
      </c>
      <c r="B4269" t="s">
        <v>1823</v>
      </c>
      <c r="C4269" t="s">
        <v>10</v>
      </c>
      <c r="D4269" t="s">
        <v>1491</v>
      </c>
      <c r="E4269">
        <f t="shared" si="193"/>
        <v>3.5714285714285712E-2</v>
      </c>
      <c r="F4269">
        <v>4</v>
      </c>
      <c r="G4269">
        <f>LOG(382/(4+1))</f>
        <v>1.8830933585756899</v>
      </c>
      <c r="H4269">
        <f>0.0357142857142857*4.33598269617247</f>
        <v>0.15485652486330245</v>
      </c>
      <c r="I4269">
        <v>0.1548565248633027</v>
      </c>
    </row>
    <row r="4270" spans="1:9" x14ac:dyDescent="0.25">
      <c r="A4270">
        <v>306</v>
      </c>
      <c r="B4270" t="s">
        <v>1823</v>
      </c>
      <c r="C4270" t="s">
        <v>10</v>
      </c>
      <c r="D4270" t="s">
        <v>19</v>
      </c>
      <c r="E4270">
        <f t="shared" si="193"/>
        <v>3.5714285714285712E-2</v>
      </c>
      <c r="F4270">
        <v>220</v>
      </c>
      <c r="G4270">
        <f>LOG(382/(220+1))</f>
        <v>0.23767108922659805</v>
      </c>
      <c r="H4270">
        <f>0.0357142857142857*0.547257907088822</f>
        <v>1.9544925253172207E-2</v>
      </c>
      <c r="I4270">
        <v>1.9544925253172231E-2</v>
      </c>
    </row>
    <row r="4271" spans="1:9" x14ac:dyDescent="0.25">
      <c r="A4271">
        <v>306</v>
      </c>
      <c r="B4271" t="s">
        <v>1823</v>
      </c>
      <c r="C4271" t="s">
        <v>10</v>
      </c>
      <c r="D4271" t="s">
        <v>22</v>
      </c>
      <c r="E4271">
        <f t="shared" si="193"/>
        <v>3.5714285714285712E-2</v>
      </c>
      <c r="F4271">
        <v>259</v>
      </c>
      <c r="G4271">
        <f>LOG(382/(259+1))</f>
        <v>0.16709001494089079</v>
      </c>
      <c r="H4271">
        <f>0.0357142857142857*0.384738977591047</f>
        <v>1.3740677771108815E-2</v>
      </c>
      <c r="I4271">
        <v>1.374067777110884E-2</v>
      </c>
    </row>
    <row r="4272" spans="1:9" x14ac:dyDescent="0.25">
      <c r="A4272">
        <v>306</v>
      </c>
      <c r="B4272" t="s">
        <v>1823</v>
      </c>
      <c r="C4272" t="s">
        <v>10</v>
      </c>
      <c r="D4272" t="s">
        <v>23</v>
      </c>
      <c r="E4272">
        <f t="shared" si="193"/>
        <v>3.5714285714285712E-2</v>
      </c>
      <c r="F4272">
        <v>275</v>
      </c>
      <c r="G4272">
        <f>LOG(382/(275+1))</f>
        <v>0.14115428084649101</v>
      </c>
      <c r="H4272">
        <f>0.0357142857142857*0.325019742889425</f>
        <v>1.1607847960336601E-2</v>
      </c>
      <c r="I4272">
        <v>1.160784796033661E-2</v>
      </c>
    </row>
    <row r="4273" spans="1:9" x14ac:dyDescent="0.25">
      <c r="A4273">
        <v>306</v>
      </c>
      <c r="B4273" t="s">
        <v>1823</v>
      </c>
      <c r="C4273" t="s">
        <v>10</v>
      </c>
      <c r="D4273" t="s">
        <v>1825</v>
      </c>
      <c r="E4273">
        <f t="shared" si="193"/>
        <v>3.5714285714285712E-2</v>
      </c>
      <c r="F4273">
        <v>1</v>
      </c>
      <c r="G4273">
        <f>LOG(382/(1+1))</f>
        <v>2.2810333672477277</v>
      </c>
      <c r="H4273">
        <f>0.0357142857142857*5.25227342804663</f>
        <v>0.18758119385880812</v>
      </c>
      <c r="I4273">
        <v>0.1875811938588082</v>
      </c>
    </row>
    <row r="4274" spans="1:9" x14ac:dyDescent="0.25">
      <c r="A4274">
        <v>306</v>
      </c>
      <c r="B4274" t="s">
        <v>1823</v>
      </c>
      <c r="C4274" t="s">
        <v>10</v>
      </c>
      <c r="D4274" t="s">
        <v>1374</v>
      </c>
      <c r="E4274">
        <f t="shared" si="193"/>
        <v>3.5714285714285712E-2</v>
      </c>
      <c r="F4274">
        <v>9</v>
      </c>
      <c r="G4274">
        <f>LOG(382/(9+1))</f>
        <v>1.5820633629117087</v>
      </c>
      <c r="H4274">
        <f>0.0357142857142857*3.64283551561252</f>
        <v>0.1301012684147328</v>
      </c>
      <c r="I4274">
        <v>0.13010126841473321</v>
      </c>
    </row>
    <row r="4275" spans="1:9" x14ac:dyDescent="0.25">
      <c r="A4275">
        <v>306</v>
      </c>
      <c r="B4275" t="s">
        <v>1823</v>
      </c>
      <c r="C4275" t="s">
        <v>10</v>
      </c>
      <c r="D4275" t="s">
        <v>79</v>
      </c>
      <c r="E4275">
        <f t="shared" si="193"/>
        <v>3.5714285714285712E-2</v>
      </c>
      <c r="F4275">
        <v>26</v>
      </c>
      <c r="G4275">
        <f>LOG(382/(26+1))</f>
        <v>1.1506995987527215</v>
      </c>
      <c r="H4275">
        <f>0.0357142857142857*2.64958374260224</f>
        <v>9.4627990807222812E-2</v>
      </c>
      <c r="I4275">
        <v>9.4627990807223075E-2</v>
      </c>
    </row>
    <row r="4276" spans="1:9" x14ac:dyDescent="0.25">
      <c r="A4276">
        <v>307</v>
      </c>
      <c r="B4276" t="s">
        <v>1826</v>
      </c>
      <c r="C4276" t="s">
        <v>10</v>
      </c>
      <c r="D4276" t="s">
        <v>40</v>
      </c>
      <c r="E4276">
        <f>13/87</f>
        <v>0.14942528735632185</v>
      </c>
      <c r="F4276">
        <v>159</v>
      </c>
      <c r="G4276">
        <f>LOG(382/(159+1))</f>
        <v>0.377943380255784</v>
      </c>
      <c r="H4276">
        <f>0.149425287356321*0.870246793372748</f>
        <v>0.13003687717063978</v>
      </c>
      <c r="I4276">
        <v>0.13003687717064061</v>
      </c>
    </row>
    <row r="4277" spans="1:9" x14ac:dyDescent="0.25">
      <c r="A4277">
        <v>307</v>
      </c>
      <c r="B4277" t="s">
        <v>1826</v>
      </c>
      <c r="C4277" t="s">
        <v>10</v>
      </c>
      <c r="D4277" t="s">
        <v>41</v>
      </c>
      <c r="E4277">
        <f>10/87</f>
        <v>0.11494252873563218</v>
      </c>
      <c r="F4277">
        <v>195</v>
      </c>
      <c r="G4277">
        <f>LOG(382/(195+1))</f>
        <v>0.28980729155523272</v>
      </c>
      <c r="H4277">
        <f>0.114942528735632*0.667305949376058</f>
        <v>7.670183326161574E-2</v>
      </c>
      <c r="I4277">
        <v>7.6701833261615865E-2</v>
      </c>
    </row>
    <row r="4278" spans="1:9" x14ac:dyDescent="0.25">
      <c r="A4278">
        <v>307</v>
      </c>
      <c r="B4278" t="s">
        <v>1826</v>
      </c>
      <c r="C4278" t="s">
        <v>10</v>
      </c>
      <c r="D4278" t="s">
        <v>147</v>
      </c>
      <c r="E4278">
        <f>1/87</f>
        <v>1.1494252873563218E-2</v>
      </c>
      <c r="F4278">
        <v>48</v>
      </c>
      <c r="G4278">
        <f>LOG(382/(48+1))</f>
        <v>0.89186728288319506</v>
      </c>
      <c r="H4278">
        <f>0.0114942528735632*2.05360031049594</f>
        <v>2.3604601270068234E-2</v>
      </c>
      <c r="I4278">
        <v>2.360460127006838E-2</v>
      </c>
    </row>
    <row r="4279" spans="1:9" x14ac:dyDescent="0.25">
      <c r="A4279">
        <v>307</v>
      </c>
      <c r="B4279" t="s">
        <v>1826</v>
      </c>
      <c r="C4279" t="s">
        <v>10</v>
      </c>
      <c r="D4279" t="s">
        <v>22</v>
      </c>
      <c r="E4279">
        <f>1/87</f>
        <v>1.1494252873563218E-2</v>
      </c>
      <c r="F4279">
        <v>259</v>
      </c>
      <c r="G4279">
        <f>LOG(382/(259+1))</f>
        <v>0.16709001494089079</v>
      </c>
      <c r="H4279">
        <f>0.0114942528735632*0.384738977591047</f>
        <v>4.4222870987476598E-3</v>
      </c>
      <c r="I4279">
        <v>4.4222870987476728E-3</v>
      </c>
    </row>
    <row r="4280" spans="1:9" x14ac:dyDescent="0.25">
      <c r="A4280">
        <v>307</v>
      </c>
      <c r="B4280" t="s">
        <v>1826</v>
      </c>
      <c r="C4280" t="s">
        <v>10</v>
      </c>
      <c r="D4280" t="s">
        <v>23</v>
      </c>
      <c r="E4280">
        <f>1/87</f>
        <v>1.1494252873563218E-2</v>
      </c>
      <c r="F4280">
        <v>275</v>
      </c>
      <c r="G4280">
        <f>LOG(382/(275+1))</f>
        <v>0.14115428084649101</v>
      </c>
      <c r="H4280">
        <f>0.0114942528735632*0.325019742889425</f>
        <v>3.7358591136715451E-3</v>
      </c>
      <c r="I4280">
        <v>3.7358591136715529E-3</v>
      </c>
    </row>
    <row r="4281" spans="1:9" x14ac:dyDescent="0.25">
      <c r="A4281">
        <v>307</v>
      </c>
      <c r="B4281" t="s">
        <v>1826</v>
      </c>
      <c r="C4281" t="s">
        <v>10</v>
      </c>
      <c r="D4281" t="s">
        <v>706</v>
      </c>
      <c r="E4281">
        <f>2/87</f>
        <v>2.2988505747126436E-2</v>
      </c>
      <c r="F4281">
        <v>6</v>
      </c>
      <c r="G4281">
        <f>LOG(382/(6+1))</f>
        <v>1.736965322897452</v>
      </c>
      <c r="H4281">
        <f>0.0229885057471264*3.99951045955126</f>
        <v>9.1942769185086287E-2</v>
      </c>
      <c r="I4281">
        <v>9.1942769185086481E-2</v>
      </c>
    </row>
    <row r="4282" spans="1:9" x14ac:dyDescent="0.25">
      <c r="A4282">
        <v>307</v>
      </c>
      <c r="B4282" t="s">
        <v>1826</v>
      </c>
      <c r="C4282" t="s">
        <v>10</v>
      </c>
      <c r="D4282" t="s">
        <v>1185</v>
      </c>
      <c r="E4282">
        <f>1/87</f>
        <v>1.1494252873563218E-2</v>
      </c>
      <c r="F4282">
        <v>9</v>
      </c>
      <c r="G4282">
        <f>LOG(382/(9+1))</f>
        <v>1.5820633629117087</v>
      </c>
      <c r="H4282">
        <f>0.0114942528735632*3.64283551561252</f>
        <v>4.187167259324729E-2</v>
      </c>
      <c r="I4282">
        <v>4.1871672593247457E-2</v>
      </c>
    </row>
    <row r="4283" spans="1:9" x14ac:dyDescent="0.25">
      <c r="A4283">
        <v>307</v>
      </c>
      <c r="B4283" t="s">
        <v>1826</v>
      </c>
      <c r="C4283" t="s">
        <v>10</v>
      </c>
      <c r="D4283" t="s">
        <v>24</v>
      </c>
      <c r="E4283">
        <f>2/87</f>
        <v>2.2988505747126436E-2</v>
      </c>
      <c r="F4283">
        <v>59</v>
      </c>
      <c r="G4283">
        <f>LOG(382/(59+1))</f>
        <v>0.80391211252806505</v>
      </c>
      <c r="H4283">
        <f>0.0229885057471264*1.85107604638447</f>
        <v>4.2553472330677397E-2</v>
      </c>
      <c r="I4283">
        <v>4.2553472330677571E-2</v>
      </c>
    </row>
    <row r="4284" spans="1:9" x14ac:dyDescent="0.25">
      <c r="A4284">
        <v>307</v>
      </c>
      <c r="B4284" t="s">
        <v>1826</v>
      </c>
      <c r="C4284" t="s">
        <v>10</v>
      </c>
      <c r="D4284" t="s">
        <v>1827</v>
      </c>
      <c r="E4284">
        <f>1/87</f>
        <v>1.1494252873563218E-2</v>
      </c>
      <c r="F4284">
        <v>9</v>
      </c>
      <c r="G4284">
        <f>LOG(382/(9+1))</f>
        <v>1.5820633629117087</v>
      </c>
      <c r="H4284">
        <f>0.0114942528735632*3.64283551561252</f>
        <v>4.187167259324729E-2</v>
      </c>
      <c r="I4284">
        <v>4.1871672593247457E-2</v>
      </c>
    </row>
    <row r="4285" spans="1:9" x14ac:dyDescent="0.25">
      <c r="A4285">
        <v>307</v>
      </c>
      <c r="B4285" t="s">
        <v>1826</v>
      </c>
      <c r="C4285" t="s">
        <v>10</v>
      </c>
      <c r="D4285" t="s">
        <v>1596</v>
      </c>
      <c r="E4285">
        <f>1/87</f>
        <v>1.1494252873563218E-2</v>
      </c>
      <c r="F4285">
        <v>3</v>
      </c>
      <c r="G4285">
        <f>LOG(382/(3+1))</f>
        <v>1.9800033715837464</v>
      </c>
      <c r="H4285">
        <f>0.0114942528735632*4.55912624748668</f>
        <v>5.2403749971111177E-2</v>
      </c>
      <c r="I4285">
        <v>5.2403749971111323E-2</v>
      </c>
    </row>
    <row r="4286" spans="1:9" x14ac:dyDescent="0.25">
      <c r="A4286">
        <v>307</v>
      </c>
      <c r="B4286" t="s">
        <v>1826</v>
      </c>
      <c r="C4286" t="s">
        <v>10</v>
      </c>
      <c r="D4286" t="s">
        <v>25</v>
      </c>
      <c r="E4286">
        <f>3/87</f>
        <v>3.4482758620689655E-2</v>
      </c>
      <c r="F4286">
        <v>106</v>
      </c>
      <c r="G4286">
        <f>LOG(382/(106+1))</f>
        <v>0.55267958522649907</v>
      </c>
      <c r="H4286">
        <f>0.0344827586206896*1.27259177414466</f>
        <v>4.3882474970505445E-2</v>
      </c>
      <c r="I4286">
        <v>4.3882474970505833E-2</v>
      </c>
    </row>
    <row r="4287" spans="1:9" x14ac:dyDescent="0.25">
      <c r="A4287">
        <v>307</v>
      </c>
      <c r="B4287" t="s">
        <v>1826</v>
      </c>
      <c r="C4287" t="s">
        <v>10</v>
      </c>
      <c r="D4287" t="s">
        <v>485</v>
      </c>
      <c r="E4287">
        <f t="shared" ref="E4287:E4298" si="194">1/87</f>
        <v>1.1494252873563218E-2</v>
      </c>
      <c r="F4287">
        <v>74</v>
      </c>
      <c r="G4287">
        <f>LOG(382/(74+1))</f>
        <v>0.7070020995200087</v>
      </c>
      <c r="H4287">
        <f>0.0114942528735632*1.62793249507026</f>
        <v>1.8711867759428246E-2</v>
      </c>
      <c r="I4287">
        <v>1.8711867759428329E-2</v>
      </c>
    </row>
    <row r="4288" spans="1:9" x14ac:dyDescent="0.25">
      <c r="A4288">
        <v>307</v>
      </c>
      <c r="B4288" t="s">
        <v>1826</v>
      </c>
      <c r="C4288" t="s">
        <v>10</v>
      </c>
      <c r="D4288" t="s">
        <v>1828</v>
      </c>
      <c r="E4288">
        <f t="shared" si="194"/>
        <v>1.1494252873563218E-2</v>
      </c>
      <c r="F4288">
        <v>1</v>
      </c>
      <c r="G4288">
        <f>LOG(382/(1+1))</f>
        <v>2.2810333672477277</v>
      </c>
      <c r="H4288">
        <f>0.0114942528735632*5.25227342804663</f>
        <v>6.0370958943064608E-2</v>
      </c>
      <c r="I4288">
        <v>6.0370958943064712E-2</v>
      </c>
    </row>
    <row r="4289" spans="1:9" x14ac:dyDescent="0.25">
      <c r="A4289">
        <v>307</v>
      </c>
      <c r="B4289" t="s">
        <v>1826</v>
      </c>
      <c r="C4289" t="s">
        <v>10</v>
      </c>
      <c r="D4289" t="s">
        <v>475</v>
      </c>
      <c r="E4289">
        <f t="shared" si="194"/>
        <v>1.1494252873563218E-2</v>
      </c>
      <c r="F4289">
        <v>16</v>
      </c>
      <c r="G4289">
        <f>LOG(382/(16+1))</f>
        <v>1.3516144415334348</v>
      </c>
      <c r="H4289">
        <f>0.0114942528735632*3.11220726455035</f>
        <v>3.5772497293682121E-2</v>
      </c>
      <c r="I4289">
        <v>3.5772497293682287E-2</v>
      </c>
    </row>
    <row r="4290" spans="1:9" x14ac:dyDescent="0.25">
      <c r="A4290">
        <v>307</v>
      </c>
      <c r="B4290" t="s">
        <v>1826</v>
      </c>
      <c r="C4290" t="s">
        <v>10</v>
      </c>
      <c r="D4290" t="s">
        <v>321</v>
      </c>
      <c r="E4290">
        <f t="shared" si="194"/>
        <v>1.1494252873563218E-2</v>
      </c>
      <c r="F4290">
        <v>5</v>
      </c>
      <c r="G4290">
        <f>LOG(382/(5+1))</f>
        <v>1.803912112528065</v>
      </c>
      <c r="H4290">
        <f>0.0114942528735632*4.15366113937852</f>
        <v>4.7743231487109343E-2</v>
      </c>
      <c r="I4290">
        <v>4.7743231487109433E-2</v>
      </c>
    </row>
    <row r="4291" spans="1:9" x14ac:dyDescent="0.25">
      <c r="A4291">
        <v>307</v>
      </c>
      <c r="B4291" t="s">
        <v>1826</v>
      </c>
      <c r="C4291" t="s">
        <v>10</v>
      </c>
      <c r="D4291" t="s">
        <v>241</v>
      </c>
      <c r="E4291">
        <f t="shared" si="194"/>
        <v>1.1494252873563218E-2</v>
      </c>
      <c r="F4291">
        <v>19</v>
      </c>
      <c r="G4291">
        <f>LOG(382/(19+1))</f>
        <v>1.2810333672477277</v>
      </c>
      <c r="H4291">
        <f>0.0114942528735632*2.94968833505258</f>
        <v>3.3904463621293963E-2</v>
      </c>
      <c r="I4291">
        <v>3.3904463621294068E-2</v>
      </c>
    </row>
    <row r="4292" spans="1:9" x14ac:dyDescent="0.25">
      <c r="A4292">
        <v>307</v>
      </c>
      <c r="B4292" t="s">
        <v>1826</v>
      </c>
      <c r="C4292" t="s">
        <v>10</v>
      </c>
      <c r="D4292" t="s">
        <v>1829</v>
      </c>
      <c r="E4292">
        <f t="shared" si="194"/>
        <v>1.1494252873563218E-2</v>
      </c>
      <c r="F4292">
        <v>1</v>
      </c>
      <c r="G4292">
        <f>LOG(382/(1+1))</f>
        <v>2.2810333672477277</v>
      </c>
      <c r="H4292">
        <f>0.0114942528735632*5.25227342804663</f>
        <v>6.0370958943064608E-2</v>
      </c>
      <c r="I4292">
        <v>6.0370958943064712E-2</v>
      </c>
    </row>
    <row r="4293" spans="1:9" x14ac:dyDescent="0.25">
      <c r="A4293">
        <v>307</v>
      </c>
      <c r="B4293" t="s">
        <v>1826</v>
      </c>
      <c r="C4293" t="s">
        <v>10</v>
      </c>
      <c r="D4293" t="s">
        <v>28</v>
      </c>
      <c r="E4293">
        <f t="shared" si="194"/>
        <v>1.1494252873563218E-2</v>
      </c>
      <c r="F4293">
        <v>35</v>
      </c>
      <c r="G4293">
        <f>LOG(382/(35+1))</f>
        <v>1.0257608621444214</v>
      </c>
      <c r="H4293">
        <f>0.0114942528735632*2.36190167015046</f>
        <v>2.7148295059200644E-2</v>
      </c>
      <c r="I4293">
        <v>2.7148295059200741E-2</v>
      </c>
    </row>
    <row r="4294" spans="1:9" x14ac:dyDescent="0.25">
      <c r="A4294">
        <v>307</v>
      </c>
      <c r="B4294" t="s">
        <v>1826</v>
      </c>
      <c r="C4294" t="s">
        <v>10</v>
      </c>
      <c r="D4294" t="s">
        <v>924</v>
      </c>
      <c r="E4294">
        <f t="shared" si="194"/>
        <v>1.1494252873563218E-2</v>
      </c>
      <c r="F4294">
        <v>13</v>
      </c>
      <c r="G4294">
        <f>LOG(382/(13+1))</f>
        <v>1.4359353272334707</v>
      </c>
      <c r="H4294">
        <f>0.0114942528735632*3.30636327899131</f>
        <v>3.8004175620589706E-2</v>
      </c>
      <c r="I4294">
        <v>3.8004175620589838E-2</v>
      </c>
    </row>
    <row r="4295" spans="1:9" x14ac:dyDescent="0.25">
      <c r="A4295">
        <v>307</v>
      </c>
      <c r="B4295" t="s">
        <v>1826</v>
      </c>
      <c r="C4295" t="s">
        <v>10</v>
      </c>
      <c r="D4295" t="s">
        <v>31</v>
      </c>
      <c r="E4295">
        <f t="shared" si="194"/>
        <v>1.1494252873563218E-2</v>
      </c>
      <c r="F4295">
        <v>31</v>
      </c>
      <c r="G4295">
        <f>LOG(382/(31+1))</f>
        <v>1.0769133845918029</v>
      </c>
      <c r="H4295">
        <f>0.0114942528735632*2.47968470580684</f>
        <v>2.8502123055250985E-2</v>
      </c>
      <c r="I4295">
        <v>2.8502123055251131E-2</v>
      </c>
    </row>
    <row r="4296" spans="1:9" x14ac:dyDescent="0.25">
      <c r="A4296">
        <v>307</v>
      </c>
      <c r="B4296" t="s">
        <v>1826</v>
      </c>
      <c r="C4296" t="s">
        <v>10</v>
      </c>
      <c r="D4296" t="s">
        <v>1578</v>
      </c>
      <c r="E4296">
        <f t="shared" si="194"/>
        <v>1.1494252873563218E-2</v>
      </c>
      <c r="F4296">
        <v>8</v>
      </c>
      <c r="G4296">
        <f>LOG(382/(8+1))</f>
        <v>1.6278208534723839</v>
      </c>
      <c r="H4296">
        <f>0.0114942528735632*3.74819603127035</f>
        <v>4.3082713003107398E-2</v>
      </c>
      <c r="I4296">
        <v>4.3082713003107537E-2</v>
      </c>
    </row>
    <row r="4297" spans="1:9" x14ac:dyDescent="0.25">
      <c r="A4297">
        <v>307</v>
      </c>
      <c r="B4297" t="s">
        <v>1826</v>
      </c>
      <c r="C4297" t="s">
        <v>10</v>
      </c>
      <c r="D4297" t="s">
        <v>726</v>
      </c>
      <c r="E4297">
        <f t="shared" si="194"/>
        <v>1.1494252873563218E-2</v>
      </c>
      <c r="F4297">
        <v>37</v>
      </c>
      <c r="G4297">
        <f>LOG(382/(37+1))</f>
        <v>1.0022797662948986</v>
      </c>
      <c r="H4297">
        <f>0.0114942528735632*2.30783444888018</f>
        <v>2.652683274574915E-2</v>
      </c>
      <c r="I4297">
        <v>2.6526832745749299E-2</v>
      </c>
    </row>
    <row r="4298" spans="1:9" x14ac:dyDescent="0.25">
      <c r="A4298">
        <v>307</v>
      </c>
      <c r="B4298" t="s">
        <v>1826</v>
      </c>
      <c r="C4298" t="s">
        <v>10</v>
      </c>
      <c r="D4298" t="s">
        <v>1579</v>
      </c>
      <c r="E4298">
        <f t="shared" si="194"/>
        <v>1.1494252873563218E-2</v>
      </c>
      <c r="F4298">
        <v>6</v>
      </c>
      <c r="G4298">
        <f>LOG(382/(6+1))</f>
        <v>1.736965322897452</v>
      </c>
      <c r="H4298">
        <f>0.0114942528735632*3.99951045955126</f>
        <v>4.5971384592543144E-2</v>
      </c>
      <c r="I4298">
        <v>4.5971384592543241E-2</v>
      </c>
    </row>
    <row r="4299" spans="1:9" x14ac:dyDescent="0.25">
      <c r="A4299">
        <v>307</v>
      </c>
      <c r="B4299" t="s">
        <v>1826</v>
      </c>
      <c r="C4299" t="s">
        <v>10</v>
      </c>
      <c r="D4299" t="s">
        <v>68</v>
      </c>
      <c r="E4299">
        <f>2/87</f>
        <v>2.2988505747126436E-2</v>
      </c>
      <c r="F4299">
        <v>43</v>
      </c>
      <c r="G4299">
        <f>LOG(382/(43+1))</f>
        <v>0.93861068642552126</v>
      </c>
      <c r="H4299">
        <f>0.0229885057471264*2.16123097468831</f>
        <v>4.9683470682489801E-2</v>
      </c>
      <c r="I4299">
        <v>4.9683470682489968E-2</v>
      </c>
    </row>
    <row r="4300" spans="1:9" x14ac:dyDescent="0.25">
      <c r="A4300">
        <v>307</v>
      </c>
      <c r="B4300" t="s">
        <v>1826</v>
      </c>
      <c r="C4300" t="s">
        <v>10</v>
      </c>
      <c r="D4300" t="s">
        <v>272</v>
      </c>
      <c r="E4300">
        <f>1/87</f>
        <v>1.1494252873563218E-2</v>
      </c>
      <c r="F4300">
        <v>17</v>
      </c>
      <c r="G4300">
        <f>LOG(382/(17+1))</f>
        <v>1.3267908578084027</v>
      </c>
      <c r="H4300">
        <f>0.0114942528735632*3.05504885071041</f>
        <v>3.5115504031154078E-2</v>
      </c>
      <c r="I4300">
        <v>3.5115504031154141E-2</v>
      </c>
    </row>
    <row r="4301" spans="1:9" x14ac:dyDescent="0.25">
      <c r="A4301">
        <v>307</v>
      </c>
      <c r="B4301" t="s">
        <v>1826</v>
      </c>
      <c r="C4301" t="s">
        <v>10</v>
      </c>
      <c r="D4301" t="s">
        <v>44</v>
      </c>
      <c r="E4301">
        <f>1/87</f>
        <v>1.1494252873563218E-2</v>
      </c>
      <c r="F4301">
        <v>151</v>
      </c>
      <c r="G4301">
        <f>LOG(382/(151+1))</f>
        <v>0.40021977496693617</v>
      </c>
      <c r="H4301">
        <f>0.0114942528735632*0.921540087760298</f>
        <v>1.0592414801842488E-2</v>
      </c>
      <c r="I4301">
        <v>1.059241480184251E-2</v>
      </c>
    </row>
    <row r="4302" spans="1:9" x14ac:dyDescent="0.25">
      <c r="A4302">
        <v>307</v>
      </c>
      <c r="B4302" t="s">
        <v>1826</v>
      </c>
      <c r="C4302" t="s">
        <v>10</v>
      </c>
      <c r="D4302" t="s">
        <v>38</v>
      </c>
      <c r="E4302">
        <f>2/87</f>
        <v>2.2988505747126436E-2</v>
      </c>
      <c r="F4302">
        <v>86</v>
      </c>
      <c r="G4302">
        <f>LOG(382/(86+1))</f>
        <v>0.64254411029309022</v>
      </c>
      <c r="H4302">
        <f>0.0229885057471264*1.47951248995199</f>
        <v>3.401178137820661E-2</v>
      </c>
      <c r="I4302">
        <v>3.40117813782067E-2</v>
      </c>
    </row>
    <row r="4303" spans="1:9" x14ac:dyDescent="0.25">
      <c r="A4303">
        <v>307</v>
      </c>
      <c r="B4303" t="s">
        <v>1826</v>
      </c>
      <c r="C4303" t="s">
        <v>10</v>
      </c>
      <c r="D4303" t="s">
        <v>247</v>
      </c>
      <c r="E4303">
        <f t="shared" ref="E4303:E4318" si="195">1/87</f>
        <v>1.1494252873563218E-2</v>
      </c>
      <c r="F4303">
        <v>121</v>
      </c>
      <c r="G4303">
        <f>LOG(382/(121+1))</f>
        <v>0.49570353223696051</v>
      </c>
      <c r="H4303">
        <f>0.0114942528735632*1.14139956387331</f>
        <v>1.3119535216934576E-2</v>
      </c>
      <c r="I4303">
        <v>1.3119535216934699E-2</v>
      </c>
    </row>
    <row r="4304" spans="1:9" x14ac:dyDescent="0.25">
      <c r="A4304">
        <v>307</v>
      </c>
      <c r="B4304" t="s">
        <v>1826</v>
      </c>
      <c r="C4304" t="s">
        <v>10</v>
      </c>
      <c r="D4304" t="s">
        <v>1577</v>
      </c>
      <c r="E4304">
        <f t="shared" si="195"/>
        <v>1.1494252873563218E-2</v>
      </c>
      <c r="F4304">
        <v>3</v>
      </c>
      <c r="G4304">
        <f>LOG(382/(3+1))</f>
        <v>1.9800033715837464</v>
      </c>
      <c r="H4304">
        <f>0.0114942528735632*4.55912624748668</f>
        <v>5.2403749971111177E-2</v>
      </c>
      <c r="I4304">
        <v>5.2403749971111323E-2</v>
      </c>
    </row>
    <row r="4305" spans="1:9" x14ac:dyDescent="0.25">
      <c r="A4305">
        <v>307</v>
      </c>
      <c r="B4305" t="s">
        <v>1826</v>
      </c>
      <c r="C4305" t="s">
        <v>10</v>
      </c>
      <c r="D4305" t="s">
        <v>1830</v>
      </c>
      <c r="E4305">
        <f t="shared" si="195"/>
        <v>1.1494252873563218E-2</v>
      </c>
      <c r="F4305">
        <v>1</v>
      </c>
      <c r="G4305">
        <f>LOG(382/(1+1))</f>
        <v>2.2810333672477277</v>
      </c>
      <c r="H4305">
        <f>0.0114942528735632*5.25227342804663</f>
        <v>6.0370958943064608E-2</v>
      </c>
      <c r="I4305">
        <v>6.0370958943064712E-2</v>
      </c>
    </row>
    <row r="4306" spans="1:9" x14ac:dyDescent="0.25">
      <c r="A4306">
        <v>307</v>
      </c>
      <c r="B4306" t="s">
        <v>1826</v>
      </c>
      <c r="C4306" t="s">
        <v>10</v>
      </c>
      <c r="D4306" t="s">
        <v>244</v>
      </c>
      <c r="E4306">
        <f t="shared" si="195"/>
        <v>1.1494252873563218E-2</v>
      </c>
      <c r="F4306">
        <v>8</v>
      </c>
      <c r="G4306">
        <f>LOG(382/(8+1))</f>
        <v>1.6278208534723839</v>
      </c>
      <c r="H4306">
        <f>0.0114942528735632*3.74819603127035</f>
        <v>4.3082713003107398E-2</v>
      </c>
      <c r="I4306">
        <v>4.3082713003107537E-2</v>
      </c>
    </row>
    <row r="4307" spans="1:9" x14ac:dyDescent="0.25">
      <c r="A4307">
        <v>307</v>
      </c>
      <c r="B4307" t="s">
        <v>1826</v>
      </c>
      <c r="C4307" t="s">
        <v>10</v>
      </c>
      <c r="D4307" t="s">
        <v>582</v>
      </c>
      <c r="E4307">
        <f t="shared" si="195"/>
        <v>1.1494252873563218E-2</v>
      </c>
      <c r="F4307">
        <v>14</v>
      </c>
      <c r="G4307">
        <f>LOG(382/(14+1))</f>
        <v>1.4059721038560276</v>
      </c>
      <c r="H4307">
        <f>0.0114942528735632*3.23737040750436</f>
        <v>3.7211154109245456E-2</v>
      </c>
      <c r="I4307">
        <v>3.7211154109245567E-2</v>
      </c>
    </row>
    <row r="4308" spans="1:9" x14ac:dyDescent="0.25">
      <c r="A4308">
        <v>307</v>
      </c>
      <c r="B4308" t="s">
        <v>1826</v>
      </c>
      <c r="C4308" t="s">
        <v>10</v>
      </c>
      <c r="D4308" t="s">
        <v>709</v>
      </c>
      <c r="E4308">
        <f t="shared" si="195"/>
        <v>1.1494252873563218E-2</v>
      </c>
      <c r="F4308">
        <v>5</v>
      </c>
      <c r="G4308">
        <f>LOG(382/(5+1))</f>
        <v>1.803912112528065</v>
      </c>
      <c r="H4308">
        <f>0.0114942528735632*4.15366113937852</f>
        <v>4.7743231487109343E-2</v>
      </c>
      <c r="I4308">
        <v>4.7743231487109433E-2</v>
      </c>
    </row>
    <row r="4309" spans="1:9" x14ac:dyDescent="0.25">
      <c r="A4309">
        <v>307</v>
      </c>
      <c r="B4309" t="s">
        <v>1826</v>
      </c>
      <c r="C4309" t="s">
        <v>10</v>
      </c>
      <c r="D4309" t="s">
        <v>1090</v>
      </c>
      <c r="E4309">
        <f t="shared" si="195"/>
        <v>1.1494252873563218E-2</v>
      </c>
      <c r="F4309">
        <v>4</v>
      </c>
      <c r="G4309">
        <f>LOG(382/(4+1))</f>
        <v>1.8830933585756899</v>
      </c>
      <c r="H4309">
        <f>0.0114942528735632*4.33598269617247</f>
        <v>4.9838881565200728E-2</v>
      </c>
      <c r="I4309">
        <v>4.983888156520086E-2</v>
      </c>
    </row>
    <row r="4310" spans="1:9" x14ac:dyDescent="0.25">
      <c r="A4310">
        <v>307</v>
      </c>
      <c r="B4310" t="s">
        <v>1826</v>
      </c>
      <c r="C4310" t="s">
        <v>10</v>
      </c>
      <c r="D4310" t="s">
        <v>677</v>
      </c>
      <c r="E4310">
        <f t="shared" si="195"/>
        <v>1.1494252873563218E-2</v>
      </c>
      <c r="F4310">
        <v>4</v>
      </c>
      <c r="G4310">
        <f>LOG(382/(4+1))</f>
        <v>1.8830933585756899</v>
      </c>
      <c r="H4310">
        <f>0.0114942528735632*4.33598269617247</f>
        <v>4.9838881565200728E-2</v>
      </c>
      <c r="I4310">
        <v>4.983888156520086E-2</v>
      </c>
    </row>
    <row r="4311" spans="1:9" x14ac:dyDescent="0.25">
      <c r="A4311">
        <v>307</v>
      </c>
      <c r="B4311" t="s">
        <v>1826</v>
      </c>
      <c r="C4311" t="s">
        <v>10</v>
      </c>
      <c r="D4311" t="s">
        <v>711</v>
      </c>
      <c r="E4311">
        <f t="shared" si="195"/>
        <v>1.1494252873563218E-2</v>
      </c>
      <c r="F4311">
        <v>4</v>
      </c>
      <c r="G4311">
        <f>LOG(382/(4+1))</f>
        <v>1.8830933585756899</v>
      </c>
      <c r="H4311">
        <f>0.0114942528735632*4.33598269617247</f>
        <v>4.9838881565200728E-2</v>
      </c>
      <c r="I4311">
        <v>4.983888156520086E-2</v>
      </c>
    </row>
    <row r="4312" spans="1:9" x14ac:dyDescent="0.25">
      <c r="A4312">
        <v>307</v>
      </c>
      <c r="B4312" t="s">
        <v>1826</v>
      </c>
      <c r="C4312" t="s">
        <v>10</v>
      </c>
      <c r="D4312" t="s">
        <v>92</v>
      </c>
      <c r="E4312">
        <f t="shared" si="195"/>
        <v>1.1494252873563218E-2</v>
      </c>
      <c r="F4312">
        <v>12</v>
      </c>
      <c r="G4312">
        <f>LOG(382/(12+1))</f>
        <v>1.468120010604872</v>
      </c>
      <c r="H4312">
        <f>0.0114942528735632*3.38047125114503</f>
        <v>3.8855991392471548E-2</v>
      </c>
      <c r="I4312">
        <v>3.8855991392471707E-2</v>
      </c>
    </row>
    <row r="4313" spans="1:9" x14ac:dyDescent="0.25">
      <c r="A4313">
        <v>307</v>
      </c>
      <c r="B4313" t="s">
        <v>1826</v>
      </c>
      <c r="C4313" t="s">
        <v>10</v>
      </c>
      <c r="D4313" t="s">
        <v>207</v>
      </c>
      <c r="E4313">
        <f t="shared" si="195"/>
        <v>1.1494252873563218E-2</v>
      </c>
      <c r="F4313">
        <v>21</v>
      </c>
      <c r="G4313">
        <f>LOG(382/(21+1))</f>
        <v>1.2396406820895025</v>
      </c>
      <c r="H4313">
        <f>0.0114942528735632*2.85437815524825</f>
        <v>3.2808944313198217E-2</v>
      </c>
      <c r="I4313">
        <v>3.2808944313198377E-2</v>
      </c>
    </row>
    <row r="4314" spans="1:9" x14ac:dyDescent="0.25">
      <c r="A4314">
        <v>307</v>
      </c>
      <c r="B4314" t="s">
        <v>1826</v>
      </c>
      <c r="C4314" t="s">
        <v>10</v>
      </c>
      <c r="D4314" t="s">
        <v>53</v>
      </c>
      <c r="E4314">
        <f t="shared" si="195"/>
        <v>1.1494252873563218E-2</v>
      </c>
      <c r="F4314">
        <v>57</v>
      </c>
      <c r="G4314">
        <f>LOG(382/(57+1))</f>
        <v>0.81863536934877146</v>
      </c>
      <c r="H4314">
        <f>0.0114942528735632*1.88497759806015</f>
        <v>2.1666409173105135E-2</v>
      </c>
      <c r="I4314">
        <v>2.166640917310524E-2</v>
      </c>
    </row>
    <row r="4315" spans="1:9" x14ac:dyDescent="0.25">
      <c r="A4315">
        <v>307</v>
      </c>
      <c r="B4315" t="s">
        <v>1826</v>
      </c>
      <c r="C4315" t="s">
        <v>10</v>
      </c>
      <c r="D4315" t="s">
        <v>50</v>
      </c>
      <c r="E4315">
        <f t="shared" si="195"/>
        <v>1.1494252873563218E-2</v>
      </c>
      <c r="F4315">
        <v>109</v>
      </c>
      <c r="G4315">
        <f>LOG(382/(109+1))</f>
        <v>0.54067067775348365</v>
      </c>
      <c r="H4315">
        <f>0.0114942528735632*1.24494024281415</f>
        <v>1.430965796338101E-2</v>
      </c>
      <c r="I4315">
        <v>1.430965796338114E-2</v>
      </c>
    </row>
    <row r="4316" spans="1:9" x14ac:dyDescent="0.25">
      <c r="A4316">
        <v>307</v>
      </c>
      <c r="B4316" t="s">
        <v>1826</v>
      </c>
      <c r="C4316" t="s">
        <v>10</v>
      </c>
      <c r="D4316" t="s">
        <v>1831</v>
      </c>
      <c r="E4316">
        <f t="shared" si="195"/>
        <v>1.1494252873563218E-2</v>
      </c>
      <c r="F4316">
        <v>28</v>
      </c>
      <c r="G4316">
        <f>LOG(382/(28+1))</f>
        <v>1.1196653650127526</v>
      </c>
      <c r="H4316">
        <f>0.0114942528735632*2.5781247786201</f>
        <v>2.963361814505857E-2</v>
      </c>
      <c r="I4316">
        <v>2.9633618145058629E-2</v>
      </c>
    </row>
    <row r="4317" spans="1:9" x14ac:dyDescent="0.25">
      <c r="A4317">
        <v>307</v>
      </c>
      <c r="B4317" t="s">
        <v>1826</v>
      </c>
      <c r="C4317" t="s">
        <v>10</v>
      </c>
      <c r="D4317" t="s">
        <v>39</v>
      </c>
      <c r="E4317">
        <f t="shared" si="195"/>
        <v>1.1494252873563218E-2</v>
      </c>
      <c r="F4317">
        <v>145</v>
      </c>
      <c r="G4317">
        <f>LOG(382/(145+1))</f>
        <v>0.41771050712727159</v>
      </c>
      <c r="H4317">
        <f>0.0114942528735632*0.961813986898238</f>
        <v>1.1055333182738349E-2</v>
      </c>
      <c r="I4317">
        <v>1.1055333182738381E-2</v>
      </c>
    </row>
    <row r="4318" spans="1:9" x14ac:dyDescent="0.25">
      <c r="A4318">
        <v>307</v>
      </c>
      <c r="B4318" t="s">
        <v>1826</v>
      </c>
      <c r="C4318" t="s">
        <v>10</v>
      </c>
      <c r="D4318" t="s">
        <v>216</v>
      </c>
      <c r="E4318">
        <f t="shared" si="195"/>
        <v>1.1494252873563218E-2</v>
      </c>
      <c r="F4318">
        <v>63</v>
      </c>
      <c r="G4318">
        <f>LOG(382/(63+1))</f>
        <v>0.7758833889278216</v>
      </c>
      <c r="H4318">
        <f>0.0114942528735632*1.7865375252469</f>
        <v>2.0534914083297665E-2</v>
      </c>
      <c r="I4318">
        <v>2.0534914083297742E-2</v>
      </c>
    </row>
    <row r="4319" spans="1:9" x14ac:dyDescent="0.25">
      <c r="A4319">
        <v>307</v>
      </c>
      <c r="B4319" t="s">
        <v>1826</v>
      </c>
      <c r="C4319" t="s">
        <v>10</v>
      </c>
      <c r="D4319" t="s">
        <v>11</v>
      </c>
      <c r="E4319">
        <f>2/87</f>
        <v>2.2988505747126436E-2</v>
      </c>
      <c r="F4319">
        <v>83</v>
      </c>
      <c r="G4319">
        <f>LOG(382/(83+1))</f>
        <v>0.65778407684982709</v>
      </c>
      <c r="H4319">
        <f>0.0229885057471264*1.51460380976326</f>
        <v>3.4818478385362242E-2</v>
      </c>
      <c r="I4319">
        <v>3.4818478385362332E-2</v>
      </c>
    </row>
    <row r="4320" spans="1:9" x14ac:dyDescent="0.25">
      <c r="A4320">
        <v>307</v>
      </c>
      <c r="B4320" t="s">
        <v>1826</v>
      </c>
      <c r="C4320" t="s">
        <v>10</v>
      </c>
      <c r="D4320" t="s">
        <v>12</v>
      </c>
      <c r="E4320">
        <f t="shared" ref="E4320:E4334" si="196">1/87</f>
        <v>1.1494252873563218E-2</v>
      </c>
      <c r="F4320">
        <v>28</v>
      </c>
      <c r="G4320">
        <f>LOG(382/(28+1))</f>
        <v>1.1196653650127526</v>
      </c>
      <c r="H4320">
        <f>0.0114942528735632*2.5781247786201</f>
        <v>2.963361814505857E-2</v>
      </c>
      <c r="I4320">
        <v>2.9633618145058629E-2</v>
      </c>
    </row>
    <row r="4321" spans="1:9" x14ac:dyDescent="0.25">
      <c r="A4321">
        <v>307</v>
      </c>
      <c r="B4321" t="s">
        <v>1826</v>
      </c>
      <c r="C4321" t="s">
        <v>10</v>
      </c>
      <c r="D4321" t="s">
        <v>36</v>
      </c>
      <c r="E4321">
        <f t="shared" si="196"/>
        <v>1.1494252873563218E-2</v>
      </c>
      <c r="F4321">
        <v>58</v>
      </c>
      <c r="G4321">
        <f>LOG(382/(58+1))</f>
        <v>0.81121135126956456</v>
      </c>
      <c r="H4321">
        <f>0.0114942528735632*1.86788316470085</f>
        <v>2.1469921433343069E-2</v>
      </c>
      <c r="I4321">
        <v>2.146992143334317E-2</v>
      </c>
    </row>
    <row r="4322" spans="1:9" x14ac:dyDescent="0.25">
      <c r="A4322">
        <v>307</v>
      </c>
      <c r="B4322" t="s">
        <v>1826</v>
      </c>
      <c r="C4322" t="s">
        <v>10</v>
      </c>
      <c r="D4322" t="s">
        <v>161</v>
      </c>
      <c r="E4322">
        <f t="shared" si="196"/>
        <v>1.1494252873563218E-2</v>
      </c>
      <c r="F4322">
        <v>33</v>
      </c>
      <c r="G4322">
        <f>LOG(382/(33+1))</f>
        <v>1.0505844458694535</v>
      </c>
      <c r="H4322">
        <f>0.0114942528735632*2.41906008399041</f>
        <v>2.7805288321728808E-2</v>
      </c>
      <c r="I4322">
        <v>2.7805288321728891E-2</v>
      </c>
    </row>
    <row r="4323" spans="1:9" x14ac:dyDescent="0.25">
      <c r="A4323">
        <v>307</v>
      </c>
      <c r="B4323" t="s">
        <v>1826</v>
      </c>
      <c r="C4323" t="s">
        <v>10</v>
      </c>
      <c r="D4323" t="s">
        <v>931</v>
      </c>
      <c r="E4323">
        <f t="shared" si="196"/>
        <v>1.1494252873563218E-2</v>
      </c>
      <c r="F4323">
        <v>22</v>
      </c>
      <c r="G4323">
        <f>LOG(382/(22+1))</f>
        <v>1.2203355268941158</v>
      </c>
      <c r="H4323">
        <f>0.0114942528735632*2.80992639267742</f>
        <v>3.2298004513533506E-2</v>
      </c>
      <c r="I4323">
        <v>3.229800451353363E-2</v>
      </c>
    </row>
    <row r="4324" spans="1:9" x14ac:dyDescent="0.25">
      <c r="A4324">
        <v>307</v>
      </c>
      <c r="B4324" t="s">
        <v>1826</v>
      </c>
      <c r="C4324" t="s">
        <v>10</v>
      </c>
      <c r="D4324" t="s">
        <v>1832</v>
      </c>
      <c r="E4324">
        <f t="shared" si="196"/>
        <v>1.1494252873563218E-2</v>
      </c>
      <c r="F4324">
        <v>9</v>
      </c>
      <c r="G4324">
        <f>LOG(382/(9+1))</f>
        <v>1.5820633629117087</v>
      </c>
      <c r="H4324">
        <f>0.0114942528735632*3.64283551561252</f>
        <v>4.187167259324729E-2</v>
      </c>
      <c r="I4324">
        <v>4.1871672593247457E-2</v>
      </c>
    </row>
    <row r="4325" spans="1:9" x14ac:dyDescent="0.25">
      <c r="A4325">
        <v>307</v>
      </c>
      <c r="B4325" t="s">
        <v>1826</v>
      </c>
      <c r="C4325" t="s">
        <v>10</v>
      </c>
      <c r="D4325" t="s">
        <v>680</v>
      </c>
      <c r="E4325">
        <f t="shared" si="196"/>
        <v>1.1494252873563218E-2</v>
      </c>
      <c r="F4325">
        <v>25</v>
      </c>
      <c r="G4325">
        <f>LOG(382/(25+1))</f>
        <v>1.1670900149408907</v>
      </c>
      <c r="H4325">
        <f>0.0114942528735632*2.68732407058509</f>
        <v>3.0888782420518224E-2</v>
      </c>
      <c r="I4325">
        <v>3.0888782420518311E-2</v>
      </c>
    </row>
    <row r="4326" spans="1:9" x14ac:dyDescent="0.25">
      <c r="A4326">
        <v>307</v>
      </c>
      <c r="B4326" t="s">
        <v>1826</v>
      </c>
      <c r="C4326" t="s">
        <v>10</v>
      </c>
      <c r="D4326" t="s">
        <v>123</v>
      </c>
      <c r="E4326">
        <f t="shared" si="196"/>
        <v>1.1494252873563218E-2</v>
      </c>
      <c r="F4326">
        <v>74</v>
      </c>
      <c r="G4326">
        <f>LOG(382/(74+1))</f>
        <v>0.7070020995200087</v>
      </c>
      <c r="H4326">
        <f>0.0114942528735632*1.62793249507026</f>
        <v>1.8711867759428246E-2</v>
      </c>
      <c r="I4326">
        <v>1.8711867759428329E-2</v>
      </c>
    </row>
    <row r="4327" spans="1:9" x14ac:dyDescent="0.25">
      <c r="A4327">
        <v>307</v>
      </c>
      <c r="B4327" t="s">
        <v>1826</v>
      </c>
      <c r="C4327" t="s">
        <v>10</v>
      </c>
      <c r="D4327" t="s">
        <v>1083</v>
      </c>
      <c r="E4327">
        <f t="shared" si="196"/>
        <v>1.1494252873563218E-2</v>
      </c>
      <c r="F4327">
        <v>51</v>
      </c>
      <c r="G4327">
        <f>LOG(382/(51+1))</f>
        <v>0.86606001927690957</v>
      </c>
      <c r="H4327">
        <f>0.0114942528735632*1.99417689002514</f>
        <v>2.292157344856479E-2</v>
      </c>
      <c r="I4327">
        <v>2.2921573448564918E-2</v>
      </c>
    </row>
    <row r="4328" spans="1:9" x14ac:dyDescent="0.25">
      <c r="A4328">
        <v>307</v>
      </c>
      <c r="B4328" t="s">
        <v>1826</v>
      </c>
      <c r="C4328" t="s">
        <v>10</v>
      </c>
      <c r="D4328" t="s">
        <v>65</v>
      </c>
      <c r="E4328">
        <f t="shared" si="196"/>
        <v>1.1494252873563218E-2</v>
      </c>
      <c r="F4328">
        <v>32</v>
      </c>
      <c r="G4328">
        <f>LOG(382/(32+1))</f>
        <v>1.0635494230338212</v>
      </c>
      <c r="H4328">
        <f>0.0114942528735632*2.44891304714009</f>
        <v>2.8148425829196393E-2</v>
      </c>
      <c r="I4328">
        <v>2.814842582919649E-2</v>
      </c>
    </row>
    <row r="4329" spans="1:9" x14ac:dyDescent="0.25">
      <c r="A4329">
        <v>307</v>
      </c>
      <c r="B4329" t="s">
        <v>1826</v>
      </c>
      <c r="C4329" t="s">
        <v>10</v>
      </c>
      <c r="D4329" t="s">
        <v>1833</v>
      </c>
      <c r="E4329">
        <f t="shared" si="196"/>
        <v>1.1494252873563218E-2</v>
      </c>
      <c r="F4329">
        <v>1</v>
      </c>
      <c r="G4329">
        <f>LOG(382/(1+1))</f>
        <v>2.2810333672477277</v>
      </c>
      <c r="H4329">
        <f>0.0114942528735632*5.25227342804663</f>
        <v>6.0370958943064608E-2</v>
      </c>
      <c r="I4329">
        <v>6.0370958943064712E-2</v>
      </c>
    </row>
    <row r="4330" spans="1:9" x14ac:dyDescent="0.25">
      <c r="A4330">
        <v>307</v>
      </c>
      <c r="B4330" t="s">
        <v>1826</v>
      </c>
      <c r="C4330" t="s">
        <v>10</v>
      </c>
      <c r="D4330" t="s">
        <v>1834</v>
      </c>
      <c r="E4330">
        <f t="shared" si="196"/>
        <v>1.1494252873563218E-2</v>
      </c>
      <c r="F4330">
        <v>12</v>
      </c>
      <c r="G4330">
        <f>LOG(382/(12+1))</f>
        <v>1.468120010604872</v>
      </c>
      <c r="H4330">
        <f>0.0114942528735632*3.38047125114503</f>
        <v>3.8855991392471548E-2</v>
      </c>
      <c r="I4330">
        <v>3.8855991392471707E-2</v>
      </c>
    </row>
    <row r="4331" spans="1:9" x14ac:dyDescent="0.25">
      <c r="A4331">
        <v>307</v>
      </c>
      <c r="B4331" t="s">
        <v>1826</v>
      </c>
      <c r="C4331" t="s">
        <v>10</v>
      </c>
      <c r="D4331" t="s">
        <v>98</v>
      </c>
      <c r="E4331">
        <f t="shared" si="196"/>
        <v>1.1494252873563218E-2</v>
      </c>
      <c r="F4331">
        <v>56</v>
      </c>
      <c r="G4331">
        <f>LOG(382/(56+1))</f>
        <v>0.82618850723921733</v>
      </c>
      <c r="H4331">
        <f>0.0114942528735632*1.90236934077202</f>
        <v>2.186631426174732E-2</v>
      </c>
      <c r="I4331">
        <v>2.186631426174741E-2</v>
      </c>
    </row>
    <row r="4332" spans="1:9" x14ac:dyDescent="0.25">
      <c r="A4332">
        <v>307</v>
      </c>
      <c r="B4332" t="s">
        <v>1826</v>
      </c>
      <c r="C4332" t="s">
        <v>10</v>
      </c>
      <c r="D4332" t="s">
        <v>1711</v>
      </c>
      <c r="E4332">
        <f t="shared" si="196"/>
        <v>1.1494252873563218E-2</v>
      </c>
      <c r="F4332">
        <v>4</v>
      </c>
      <c r="G4332">
        <f>LOG(382/(4+1))</f>
        <v>1.8830933585756899</v>
      </c>
      <c r="H4332">
        <f>0.0114942528735632*4.33598269617247</f>
        <v>4.9838881565200728E-2</v>
      </c>
      <c r="I4332">
        <v>4.983888156520086E-2</v>
      </c>
    </row>
    <row r="4333" spans="1:9" x14ac:dyDescent="0.25">
      <c r="A4333">
        <v>307</v>
      </c>
      <c r="B4333" t="s">
        <v>1826</v>
      </c>
      <c r="C4333" t="s">
        <v>10</v>
      </c>
      <c r="D4333" t="s">
        <v>458</v>
      </c>
      <c r="E4333">
        <f t="shared" si="196"/>
        <v>1.1494252873563218E-2</v>
      </c>
      <c r="F4333">
        <v>34</v>
      </c>
      <c r="G4333">
        <f>LOG(382/(34+1))</f>
        <v>1.037995318561433</v>
      </c>
      <c r="H4333">
        <f>0.0114942528735632*2.39007254711716</f>
        <v>2.747209824272593E-2</v>
      </c>
      <c r="I4333">
        <v>2.7472098242725989E-2</v>
      </c>
    </row>
    <row r="4334" spans="1:9" x14ac:dyDescent="0.25">
      <c r="A4334">
        <v>307</v>
      </c>
      <c r="B4334" t="s">
        <v>1826</v>
      </c>
      <c r="C4334" t="s">
        <v>10</v>
      </c>
      <c r="D4334" t="s">
        <v>52</v>
      </c>
      <c r="E4334">
        <f t="shared" si="196"/>
        <v>1.1494252873563218E-2</v>
      </c>
      <c r="F4334">
        <v>35</v>
      </c>
      <c r="G4334">
        <f>LOG(382/(35+1))</f>
        <v>1.0257608621444214</v>
      </c>
      <c r="H4334">
        <f>0.0114942528735632*2.36190167015046</f>
        <v>2.7148295059200644E-2</v>
      </c>
      <c r="I4334">
        <v>2.7148295059200741E-2</v>
      </c>
    </row>
    <row r="4335" spans="1:9" x14ac:dyDescent="0.25">
      <c r="A4335">
        <v>308</v>
      </c>
      <c r="B4335" t="s">
        <v>1835</v>
      </c>
      <c r="C4335" t="s">
        <v>10</v>
      </c>
      <c r="D4335" t="s">
        <v>315</v>
      </c>
      <c r="E4335">
        <f>13/130</f>
        <v>0.1</v>
      </c>
      <c r="F4335">
        <v>55</v>
      </c>
      <c r="G4335">
        <f>LOG(382/(55+1))</f>
        <v>0.83387533590550833</v>
      </c>
      <c r="H4335">
        <f>0.1*1.92006891787142</f>
        <v>0.19200689178714203</v>
      </c>
      <c r="I4335">
        <v>0.19200689178714259</v>
      </c>
    </row>
    <row r="4336" spans="1:9" x14ac:dyDescent="0.25">
      <c r="A4336">
        <v>308</v>
      </c>
      <c r="B4336" t="s">
        <v>1835</v>
      </c>
      <c r="C4336" t="s">
        <v>10</v>
      </c>
      <c r="D4336" t="s">
        <v>1836</v>
      </c>
      <c r="E4336">
        <f>4/130</f>
        <v>3.0769230769230771E-2</v>
      </c>
      <c r="F4336">
        <v>1</v>
      </c>
      <c r="G4336">
        <f>LOG(382/(1+1))</f>
        <v>2.2810333672477277</v>
      </c>
      <c r="H4336">
        <f>0.0307692307692307*5.25227342804663</f>
        <v>0.16160841317066518</v>
      </c>
      <c r="I4336">
        <v>0.16160841317066549</v>
      </c>
    </row>
    <row r="4337" spans="1:9" x14ac:dyDescent="0.25">
      <c r="A4337">
        <v>308</v>
      </c>
      <c r="B4337" t="s">
        <v>1835</v>
      </c>
      <c r="C4337" t="s">
        <v>10</v>
      </c>
      <c r="D4337" t="s">
        <v>247</v>
      </c>
      <c r="E4337">
        <f>2/130</f>
        <v>1.5384615384615385E-2</v>
      </c>
      <c r="F4337">
        <v>121</v>
      </c>
      <c r="G4337">
        <f>LOG(382/(121+1))</f>
        <v>0.49570353223696051</v>
      </c>
      <c r="H4337">
        <f>0.0153846153846153*1.14139956387331</f>
        <v>1.7559993290358521E-2</v>
      </c>
      <c r="I4337">
        <v>1.755999329035875E-2</v>
      </c>
    </row>
    <row r="4338" spans="1:9" x14ac:dyDescent="0.25">
      <c r="A4338">
        <v>308</v>
      </c>
      <c r="B4338" t="s">
        <v>1835</v>
      </c>
      <c r="C4338" t="s">
        <v>10</v>
      </c>
      <c r="D4338" t="s">
        <v>39</v>
      </c>
      <c r="E4338">
        <f>2/130</f>
        <v>1.5384615384615385E-2</v>
      </c>
      <c r="F4338">
        <v>145</v>
      </c>
      <c r="G4338">
        <f>LOG(382/(145+1))</f>
        <v>0.41771050712727159</v>
      </c>
      <c r="H4338">
        <f>0.0153846153846153*0.961813986898238</f>
        <v>1.4797138259972812E-2</v>
      </c>
      <c r="I4338">
        <v>1.47971382599729E-2</v>
      </c>
    </row>
    <row r="4339" spans="1:9" x14ac:dyDescent="0.25">
      <c r="A4339">
        <v>308</v>
      </c>
      <c r="B4339" t="s">
        <v>1835</v>
      </c>
      <c r="C4339" t="s">
        <v>10</v>
      </c>
      <c r="D4339" t="s">
        <v>42</v>
      </c>
      <c r="E4339">
        <f>1/130</f>
        <v>7.6923076923076927E-3</v>
      </c>
      <c r="F4339">
        <v>251</v>
      </c>
      <c r="G4339">
        <f>LOG(382/(251+1))</f>
        <v>0.18066282213016463</v>
      </c>
      <c r="H4339">
        <f>0.00769230769230769*0.415991521095151</f>
        <v>3.1999347776550066E-3</v>
      </c>
      <c r="I4339">
        <v>3.1999347776550139E-3</v>
      </c>
    </row>
    <row r="4340" spans="1:9" x14ac:dyDescent="0.25">
      <c r="A4340">
        <v>308</v>
      </c>
      <c r="B4340" t="s">
        <v>1835</v>
      </c>
      <c r="C4340" t="s">
        <v>10</v>
      </c>
      <c r="D4340" t="s">
        <v>65</v>
      </c>
      <c r="E4340">
        <f>2/130</f>
        <v>1.5384615384615385E-2</v>
      </c>
      <c r="F4340">
        <v>32</v>
      </c>
      <c r="G4340">
        <f>LOG(382/(32+1))</f>
        <v>1.0635494230338212</v>
      </c>
      <c r="H4340">
        <f>0.0153846153846153*2.44891304714009</f>
        <v>3.7675585340616567E-2</v>
      </c>
      <c r="I4340">
        <v>3.7675585340616852E-2</v>
      </c>
    </row>
    <row r="4341" spans="1:9" x14ac:dyDescent="0.25">
      <c r="A4341">
        <v>308</v>
      </c>
      <c r="B4341" t="s">
        <v>1835</v>
      </c>
      <c r="C4341" t="s">
        <v>10</v>
      </c>
      <c r="D4341" t="s">
        <v>1837</v>
      </c>
      <c r="E4341">
        <f>1/130</f>
        <v>7.6923076923076927E-3</v>
      </c>
      <c r="F4341">
        <v>1</v>
      </c>
      <c r="G4341">
        <f>LOG(382/(1+1))</f>
        <v>2.2810333672477277</v>
      </c>
      <c r="H4341">
        <f>0.00769230769230769*5.25227342804663</f>
        <v>4.0402103292666372E-2</v>
      </c>
      <c r="I4341">
        <v>4.0402103292666393E-2</v>
      </c>
    </row>
    <row r="4342" spans="1:9" x14ac:dyDescent="0.25">
      <c r="A4342">
        <v>308</v>
      </c>
      <c r="B4342" t="s">
        <v>1835</v>
      </c>
      <c r="C4342" t="s">
        <v>10</v>
      </c>
      <c r="D4342" t="s">
        <v>69</v>
      </c>
      <c r="E4342">
        <f>1/130</f>
        <v>7.6923076923076927E-3</v>
      </c>
      <c r="F4342">
        <v>13</v>
      </c>
      <c r="G4342">
        <f>LOG(382/(13+1))</f>
        <v>1.4359353272334707</v>
      </c>
      <c r="H4342">
        <f>0.00769230769230769*3.30636327899131</f>
        <v>2.5433563684548532E-2</v>
      </c>
      <c r="I4342">
        <v>2.5433563684548591E-2</v>
      </c>
    </row>
    <row r="4343" spans="1:9" x14ac:dyDescent="0.25">
      <c r="A4343">
        <v>308</v>
      </c>
      <c r="B4343" t="s">
        <v>1835</v>
      </c>
      <c r="C4343" t="s">
        <v>10</v>
      </c>
      <c r="D4343" t="s">
        <v>17</v>
      </c>
      <c r="E4343">
        <f>2/130</f>
        <v>1.5384615384615385E-2</v>
      </c>
      <c r="F4343">
        <v>169</v>
      </c>
      <c r="G4343">
        <f>LOG(382/(169+1))</f>
        <v>0.3516144415334348</v>
      </c>
      <c r="H4343">
        <f>0.0153846153846153*0.809622171556313</f>
        <v>1.2455725716250901E-2</v>
      </c>
      <c r="I4343">
        <v>1.2455725716250979E-2</v>
      </c>
    </row>
    <row r="4344" spans="1:9" x14ac:dyDescent="0.25">
      <c r="A4344">
        <v>308</v>
      </c>
      <c r="B4344" t="s">
        <v>1835</v>
      </c>
      <c r="C4344" t="s">
        <v>10</v>
      </c>
      <c r="D4344" t="s">
        <v>1838</v>
      </c>
      <c r="E4344">
        <f>2/130</f>
        <v>1.5384615384615385E-2</v>
      </c>
      <c r="F4344">
        <v>5</v>
      </c>
      <c r="G4344">
        <f>LOG(382/(5+1))</f>
        <v>1.803912112528065</v>
      </c>
      <c r="H4344">
        <f>0.0153846153846153*4.15366113937852</f>
        <v>6.390247906736149E-2</v>
      </c>
      <c r="I4344">
        <v>6.390247906736185E-2</v>
      </c>
    </row>
    <row r="4345" spans="1:9" x14ac:dyDescent="0.25">
      <c r="A4345">
        <v>308</v>
      </c>
      <c r="B4345" t="s">
        <v>1835</v>
      </c>
      <c r="C4345" t="s">
        <v>10</v>
      </c>
      <c r="D4345" t="s">
        <v>19</v>
      </c>
      <c r="E4345">
        <f>1/130</f>
        <v>7.6923076923076927E-3</v>
      </c>
      <c r="F4345">
        <v>220</v>
      </c>
      <c r="G4345">
        <f>LOG(382/(220+1))</f>
        <v>0.23767108922659805</v>
      </c>
      <c r="H4345">
        <f>0.00769230769230769*0.547257907088822</f>
        <v>4.2096762083755528E-3</v>
      </c>
      <c r="I4345">
        <v>4.2096762083755571E-3</v>
      </c>
    </row>
    <row r="4346" spans="1:9" x14ac:dyDescent="0.25">
      <c r="A4346">
        <v>308</v>
      </c>
      <c r="B4346" t="s">
        <v>1835</v>
      </c>
      <c r="C4346" t="s">
        <v>10</v>
      </c>
      <c r="D4346" t="s">
        <v>41</v>
      </c>
      <c r="E4346">
        <f>3/130</f>
        <v>2.3076923076923078E-2</v>
      </c>
      <c r="F4346">
        <v>195</v>
      </c>
      <c r="G4346">
        <f>LOG(382/(195+1))</f>
        <v>0.28980729155523272</v>
      </c>
      <c r="H4346">
        <f>0.023076923076923*0.667305949376058</f>
        <v>1.5399368062524364E-2</v>
      </c>
      <c r="I4346">
        <v>1.539936806252442E-2</v>
      </c>
    </row>
    <row r="4347" spans="1:9" x14ac:dyDescent="0.25">
      <c r="A4347">
        <v>308</v>
      </c>
      <c r="B4347" t="s">
        <v>1835</v>
      </c>
      <c r="C4347" t="s">
        <v>10</v>
      </c>
      <c r="D4347" t="s">
        <v>44</v>
      </c>
      <c r="E4347">
        <f>1/130</f>
        <v>7.6923076923076927E-3</v>
      </c>
      <c r="F4347">
        <v>151</v>
      </c>
      <c r="G4347">
        <f>LOG(382/(151+1))</f>
        <v>0.40021977496693617</v>
      </c>
      <c r="H4347">
        <f>0.00769230769230769*0.921540087760298</f>
        <v>7.0887699058484448E-3</v>
      </c>
      <c r="I4347">
        <v>7.0887699058484518E-3</v>
      </c>
    </row>
    <row r="4348" spans="1:9" x14ac:dyDescent="0.25">
      <c r="A4348">
        <v>308</v>
      </c>
      <c r="B4348" t="s">
        <v>1835</v>
      </c>
      <c r="C4348" t="s">
        <v>10</v>
      </c>
      <c r="D4348" t="s">
        <v>22</v>
      </c>
      <c r="E4348">
        <f>1/130</f>
        <v>7.6923076923076927E-3</v>
      </c>
      <c r="F4348">
        <v>259</v>
      </c>
      <c r="G4348">
        <f>LOG(382/(259+1))</f>
        <v>0.16709001494089079</v>
      </c>
      <c r="H4348">
        <f>0.00769230769230769*0.384738977591047</f>
        <v>2.9595305968542073E-3</v>
      </c>
      <c r="I4348">
        <v>2.959530596854212E-3</v>
      </c>
    </row>
    <row r="4349" spans="1:9" x14ac:dyDescent="0.25">
      <c r="A4349">
        <v>308</v>
      </c>
      <c r="B4349" t="s">
        <v>1835</v>
      </c>
      <c r="C4349" t="s">
        <v>10</v>
      </c>
      <c r="D4349" t="s">
        <v>23</v>
      </c>
      <c r="E4349">
        <f>1/130</f>
        <v>7.6923076923076927E-3</v>
      </c>
      <c r="F4349">
        <v>275</v>
      </c>
      <c r="G4349">
        <f>LOG(382/(275+1))</f>
        <v>0.14115428084649101</v>
      </c>
      <c r="H4349">
        <f>0.00769230769230769*0.325019742889425</f>
        <v>2.5001518683801915E-3</v>
      </c>
      <c r="I4349">
        <v>2.5001518683801941E-3</v>
      </c>
    </row>
    <row r="4350" spans="1:9" x14ac:dyDescent="0.25">
      <c r="A4350">
        <v>308</v>
      </c>
      <c r="B4350" t="s">
        <v>1835</v>
      </c>
      <c r="C4350" t="s">
        <v>10</v>
      </c>
      <c r="D4350" t="s">
        <v>204</v>
      </c>
      <c r="E4350">
        <f>3/130</f>
        <v>2.3076923076923078E-2</v>
      </c>
      <c r="F4350">
        <v>166</v>
      </c>
      <c r="G4350">
        <f>LOG(382/(166+1))</f>
        <v>0.35934689176412549</v>
      </c>
      <c r="H4350">
        <f>0.023076923076923*0.82742679618982</f>
        <v>1.9094464527457319E-2</v>
      </c>
      <c r="I4350">
        <v>1.9094464527457389E-2</v>
      </c>
    </row>
    <row r="4351" spans="1:9" x14ac:dyDescent="0.25">
      <c r="A4351">
        <v>308</v>
      </c>
      <c r="B4351" t="s">
        <v>1835</v>
      </c>
      <c r="C4351" t="s">
        <v>10</v>
      </c>
      <c r="D4351" t="s">
        <v>76</v>
      </c>
      <c r="E4351">
        <f>1/130</f>
        <v>7.6923076923076927E-3</v>
      </c>
      <c r="F4351">
        <v>140</v>
      </c>
      <c r="G4351">
        <f>LOG(382/(140+1))</f>
        <v>0.43284425025632883</v>
      </c>
      <c r="H4351">
        <f>0.00769230769230769*0.996660718228407</f>
        <v>7.6666209094492822E-3</v>
      </c>
      <c r="I4351">
        <v>7.6666209094492848E-3</v>
      </c>
    </row>
    <row r="4352" spans="1:9" x14ac:dyDescent="0.25">
      <c r="A4352">
        <v>308</v>
      </c>
      <c r="B4352" t="s">
        <v>1835</v>
      </c>
      <c r="C4352" t="s">
        <v>10</v>
      </c>
      <c r="D4352" t="s">
        <v>1839</v>
      </c>
      <c r="E4352">
        <f>1/130</f>
        <v>7.6923076923076927E-3</v>
      </c>
      <c r="F4352">
        <v>1</v>
      </c>
      <c r="G4352">
        <f>LOG(382/(1+1))</f>
        <v>2.2810333672477277</v>
      </c>
      <c r="H4352">
        <f>0.00769230769230769*5.25227342804663</f>
        <v>4.0402103292666372E-2</v>
      </c>
      <c r="I4352">
        <v>4.0402103292666393E-2</v>
      </c>
    </row>
    <row r="4353" spans="1:9" x14ac:dyDescent="0.25">
      <c r="A4353">
        <v>308</v>
      </c>
      <c r="B4353" t="s">
        <v>1835</v>
      </c>
      <c r="C4353" t="s">
        <v>10</v>
      </c>
      <c r="D4353" t="s">
        <v>32</v>
      </c>
      <c r="E4353">
        <f>2/130</f>
        <v>1.5384615384615385E-2</v>
      </c>
      <c r="F4353">
        <v>4</v>
      </c>
      <c r="G4353">
        <f>LOG(382/(4+1))</f>
        <v>1.8830933585756899</v>
      </c>
      <c r="H4353">
        <f>0.0153846153846153*4.33598269617247</f>
        <v>6.670742609496072E-2</v>
      </c>
      <c r="I4353">
        <v>6.670742609496115E-2</v>
      </c>
    </row>
    <row r="4354" spans="1:9" x14ac:dyDescent="0.25">
      <c r="A4354">
        <v>308</v>
      </c>
      <c r="B4354" t="s">
        <v>1835</v>
      </c>
      <c r="C4354" t="s">
        <v>10</v>
      </c>
      <c r="D4354" t="s">
        <v>675</v>
      </c>
      <c r="E4354">
        <f>2/130</f>
        <v>1.5384615384615385E-2</v>
      </c>
      <c r="F4354">
        <v>10</v>
      </c>
      <c r="G4354">
        <f>LOG(382/(10+1))</f>
        <v>1.5406706777534838</v>
      </c>
      <c r="H4354">
        <f>0.0153846153846153*3.5475253358082</f>
        <v>5.4577312858587398E-2</v>
      </c>
      <c r="I4354">
        <v>5.4577312858587773E-2</v>
      </c>
    </row>
    <row r="4355" spans="1:9" x14ac:dyDescent="0.25">
      <c r="A4355">
        <v>308</v>
      </c>
      <c r="B4355" t="s">
        <v>1835</v>
      </c>
      <c r="C4355" t="s">
        <v>10</v>
      </c>
      <c r="D4355" t="s">
        <v>1840</v>
      </c>
      <c r="E4355">
        <f>3/130</f>
        <v>2.3076923076923078E-2</v>
      </c>
      <c r="F4355">
        <v>1</v>
      </c>
      <c r="G4355">
        <f>LOG(382/(1+1))</f>
        <v>2.2810333672477277</v>
      </c>
      <c r="H4355">
        <f>0.023076923076923*5.25227342804663</f>
        <v>0.12120630987799874</v>
      </c>
      <c r="I4355">
        <v>0.1212063098779992</v>
      </c>
    </row>
    <row r="4356" spans="1:9" x14ac:dyDescent="0.25">
      <c r="A4356">
        <v>308</v>
      </c>
      <c r="B4356" t="s">
        <v>1835</v>
      </c>
      <c r="C4356" t="s">
        <v>10</v>
      </c>
      <c r="D4356" t="s">
        <v>1745</v>
      </c>
      <c r="E4356">
        <f>1/130</f>
        <v>7.6923076923076927E-3</v>
      </c>
      <c r="F4356">
        <v>12</v>
      </c>
      <c r="G4356">
        <f>LOG(382/(12+1))</f>
        <v>1.468120010604872</v>
      </c>
      <c r="H4356">
        <f>0.00769230769230769*3.38047125114503</f>
        <v>2.6003625008807915E-2</v>
      </c>
      <c r="I4356">
        <v>2.6003625008807991E-2</v>
      </c>
    </row>
    <row r="4357" spans="1:9" x14ac:dyDescent="0.25">
      <c r="A4357">
        <v>308</v>
      </c>
      <c r="B4357" t="s">
        <v>1835</v>
      </c>
      <c r="C4357" t="s">
        <v>10</v>
      </c>
      <c r="D4357" t="s">
        <v>487</v>
      </c>
      <c r="E4357">
        <f>1/130</f>
        <v>7.6923076923076927E-3</v>
      </c>
      <c r="F4357">
        <v>32</v>
      </c>
      <c r="G4357">
        <f>LOG(382/(32+1))</f>
        <v>1.0635494230338212</v>
      </c>
      <c r="H4357">
        <f>0.00769230769230769*2.44891304714009</f>
        <v>1.8837792670308381E-2</v>
      </c>
      <c r="I4357">
        <v>1.8837792670308429E-2</v>
      </c>
    </row>
    <row r="4358" spans="1:9" x14ac:dyDescent="0.25">
      <c r="A4358">
        <v>308</v>
      </c>
      <c r="B4358" t="s">
        <v>1835</v>
      </c>
      <c r="C4358" t="s">
        <v>10</v>
      </c>
      <c r="D4358" t="s">
        <v>468</v>
      </c>
      <c r="E4358">
        <f>2/130</f>
        <v>1.5384615384615385E-2</v>
      </c>
      <c r="F4358">
        <v>4</v>
      </c>
      <c r="G4358">
        <f>LOG(382/(4+1))</f>
        <v>1.8830933585756899</v>
      </c>
      <c r="H4358">
        <f>0.0153846153846153*4.33598269617247</f>
        <v>6.670742609496072E-2</v>
      </c>
      <c r="I4358">
        <v>6.670742609496115E-2</v>
      </c>
    </row>
    <row r="4359" spans="1:9" x14ac:dyDescent="0.25">
      <c r="A4359">
        <v>308</v>
      </c>
      <c r="B4359" t="s">
        <v>1835</v>
      </c>
      <c r="C4359" t="s">
        <v>10</v>
      </c>
      <c r="D4359" t="s">
        <v>126</v>
      </c>
      <c r="E4359">
        <f t="shared" ref="E4359:E4369" si="197">1/130</f>
        <v>7.6923076923076927E-3</v>
      </c>
      <c r="F4359">
        <v>79</v>
      </c>
      <c r="G4359">
        <f>LOG(382/(79+1))</f>
        <v>0.67897337591976514</v>
      </c>
      <c r="H4359">
        <f>0.00769230769230769*1.56339397393269</f>
        <v>1.2026107491789921E-2</v>
      </c>
      <c r="I4359">
        <v>1.202610749178995E-2</v>
      </c>
    </row>
    <row r="4360" spans="1:9" x14ac:dyDescent="0.25">
      <c r="A4360">
        <v>308</v>
      </c>
      <c r="B4360" t="s">
        <v>1835</v>
      </c>
      <c r="C4360" t="s">
        <v>10</v>
      </c>
      <c r="D4360" t="s">
        <v>1841</v>
      </c>
      <c r="E4360">
        <f t="shared" si="197"/>
        <v>7.6923076923076927E-3</v>
      </c>
      <c r="F4360">
        <v>1</v>
      </c>
      <c r="G4360">
        <f>LOG(382/(1+1))</f>
        <v>2.2810333672477277</v>
      </c>
      <c r="H4360">
        <f>0.00769230769230769*5.25227342804663</f>
        <v>4.0402103292666372E-2</v>
      </c>
      <c r="I4360">
        <v>4.0402103292666393E-2</v>
      </c>
    </row>
    <row r="4361" spans="1:9" x14ac:dyDescent="0.25">
      <c r="A4361">
        <v>308</v>
      </c>
      <c r="B4361" t="s">
        <v>1835</v>
      </c>
      <c r="C4361" t="s">
        <v>10</v>
      </c>
      <c r="D4361" t="s">
        <v>1842</v>
      </c>
      <c r="E4361">
        <f t="shared" si="197"/>
        <v>7.6923076923076927E-3</v>
      </c>
      <c r="F4361">
        <v>1</v>
      </c>
      <c r="G4361">
        <f>LOG(382/(1+1))</f>
        <v>2.2810333672477277</v>
      </c>
      <c r="H4361">
        <f>0.00769230769230769*5.25227342804663</f>
        <v>4.0402103292666372E-2</v>
      </c>
      <c r="I4361">
        <v>4.0402103292666393E-2</v>
      </c>
    </row>
    <row r="4362" spans="1:9" x14ac:dyDescent="0.25">
      <c r="A4362">
        <v>308</v>
      </c>
      <c r="B4362" t="s">
        <v>1835</v>
      </c>
      <c r="C4362" t="s">
        <v>10</v>
      </c>
      <c r="D4362" t="s">
        <v>31</v>
      </c>
      <c r="E4362">
        <f t="shared" si="197"/>
        <v>7.6923076923076927E-3</v>
      </c>
      <c r="F4362">
        <v>31</v>
      </c>
      <c r="G4362">
        <f>LOG(382/(31+1))</f>
        <v>1.0769133845918029</v>
      </c>
      <c r="H4362">
        <f>0.00769230769230769*2.47968470580684</f>
        <v>1.9074497736975685E-2</v>
      </c>
      <c r="I4362">
        <v>1.9074497736975761E-2</v>
      </c>
    </row>
    <row r="4363" spans="1:9" x14ac:dyDescent="0.25">
      <c r="A4363">
        <v>308</v>
      </c>
      <c r="B4363" t="s">
        <v>1835</v>
      </c>
      <c r="C4363" t="s">
        <v>10</v>
      </c>
      <c r="D4363" t="s">
        <v>1843</v>
      </c>
      <c r="E4363">
        <f t="shared" si="197"/>
        <v>7.6923076923076927E-3</v>
      </c>
      <c r="F4363">
        <v>4</v>
      </c>
      <c r="G4363">
        <f>LOG(382/(4+1))</f>
        <v>1.8830933585756899</v>
      </c>
      <c r="H4363">
        <f>0.00769230769230769*4.33598269617247</f>
        <v>3.3353713047480534E-2</v>
      </c>
      <c r="I4363">
        <v>3.3353713047480582E-2</v>
      </c>
    </row>
    <row r="4364" spans="1:9" x14ac:dyDescent="0.25">
      <c r="A4364">
        <v>308</v>
      </c>
      <c r="B4364" t="s">
        <v>1835</v>
      </c>
      <c r="C4364" t="s">
        <v>10</v>
      </c>
      <c r="D4364" t="s">
        <v>1844</v>
      </c>
      <c r="E4364">
        <f t="shared" si="197"/>
        <v>7.6923076923076927E-3</v>
      </c>
      <c r="F4364">
        <v>1</v>
      </c>
      <c r="G4364">
        <f>LOG(382/(1+1))</f>
        <v>2.2810333672477277</v>
      </c>
      <c r="H4364">
        <f>0.00769230769230769*5.25227342804663</f>
        <v>4.0402103292666372E-2</v>
      </c>
      <c r="I4364">
        <v>4.0402103292666393E-2</v>
      </c>
    </row>
    <row r="4365" spans="1:9" x14ac:dyDescent="0.25">
      <c r="A4365">
        <v>308</v>
      </c>
      <c r="B4365" t="s">
        <v>1835</v>
      </c>
      <c r="C4365" t="s">
        <v>10</v>
      </c>
      <c r="D4365" t="s">
        <v>215</v>
      </c>
      <c r="E4365">
        <f t="shared" si="197"/>
        <v>7.6923076923076927E-3</v>
      </c>
      <c r="F4365">
        <v>25</v>
      </c>
      <c r="G4365">
        <f>LOG(382/(25+1))</f>
        <v>1.1670900149408907</v>
      </c>
      <c r="H4365">
        <f>0.00769230769230769*2.68732407058509</f>
        <v>2.0671723619885302E-2</v>
      </c>
      <c r="I4365">
        <v>2.067172361988533E-2</v>
      </c>
    </row>
    <row r="4366" spans="1:9" x14ac:dyDescent="0.25">
      <c r="A4366">
        <v>308</v>
      </c>
      <c r="B4366" t="s">
        <v>1835</v>
      </c>
      <c r="C4366" t="s">
        <v>10</v>
      </c>
      <c r="D4366" t="s">
        <v>216</v>
      </c>
      <c r="E4366">
        <f t="shared" si="197"/>
        <v>7.6923076923076927E-3</v>
      </c>
      <c r="F4366">
        <v>63</v>
      </c>
      <c r="G4366">
        <f>LOG(382/(63+1))</f>
        <v>0.7758833889278216</v>
      </c>
      <c r="H4366">
        <f>0.00769230769230769*1.7865375252469</f>
        <v>1.3742596348053073E-2</v>
      </c>
      <c r="I4366">
        <v>1.37425963480531E-2</v>
      </c>
    </row>
    <row r="4367" spans="1:9" x14ac:dyDescent="0.25">
      <c r="A4367">
        <v>308</v>
      </c>
      <c r="B4367" t="s">
        <v>1835</v>
      </c>
      <c r="C4367" t="s">
        <v>10</v>
      </c>
      <c r="D4367" t="s">
        <v>823</v>
      </c>
      <c r="E4367">
        <f t="shared" si="197"/>
        <v>7.6923076923076927E-3</v>
      </c>
      <c r="F4367">
        <v>45</v>
      </c>
      <c r="G4367">
        <f>LOG(382/(45+1))</f>
        <v>0.9193055312301347</v>
      </c>
      <c r="H4367">
        <f>0.00769230769230769*2.11677921211748</f>
        <v>1.6282917016288305E-2</v>
      </c>
      <c r="I4367">
        <v>1.6282917016288308E-2</v>
      </c>
    </row>
    <row r="4368" spans="1:9" x14ac:dyDescent="0.25">
      <c r="A4368">
        <v>308</v>
      </c>
      <c r="B4368" t="s">
        <v>1835</v>
      </c>
      <c r="C4368" t="s">
        <v>10</v>
      </c>
      <c r="D4368" t="s">
        <v>1845</v>
      </c>
      <c r="E4368">
        <f t="shared" si="197"/>
        <v>7.6923076923076927E-3</v>
      </c>
      <c r="F4368">
        <v>1</v>
      </c>
      <c r="G4368">
        <f>LOG(382/(1+1))</f>
        <v>2.2810333672477277</v>
      </c>
      <c r="H4368">
        <f>0.00769230769230769*5.25227342804663</f>
        <v>4.0402103292666372E-2</v>
      </c>
      <c r="I4368">
        <v>4.0402103292666393E-2</v>
      </c>
    </row>
    <row r="4369" spans="1:9" x14ac:dyDescent="0.25">
      <c r="A4369">
        <v>308</v>
      </c>
      <c r="B4369" t="s">
        <v>1835</v>
      </c>
      <c r="C4369" t="s">
        <v>10</v>
      </c>
      <c r="D4369" t="s">
        <v>1846</v>
      </c>
      <c r="E4369">
        <f t="shared" si="197"/>
        <v>7.6923076923076927E-3</v>
      </c>
      <c r="F4369">
        <v>1</v>
      </c>
      <c r="G4369">
        <f>LOG(382/(1+1))</f>
        <v>2.2810333672477277</v>
      </c>
      <c r="H4369">
        <f>0.00769230769230769*5.25227342804663</f>
        <v>4.0402103292666372E-2</v>
      </c>
      <c r="I4369">
        <v>4.0402103292666393E-2</v>
      </c>
    </row>
    <row r="4370" spans="1:9" x14ac:dyDescent="0.25">
      <c r="A4370">
        <v>308</v>
      </c>
      <c r="B4370" t="s">
        <v>1835</v>
      </c>
      <c r="C4370" t="s">
        <v>10</v>
      </c>
      <c r="D4370" t="s">
        <v>11</v>
      </c>
      <c r="E4370">
        <f>3/130</f>
        <v>2.3076923076923078E-2</v>
      </c>
      <c r="F4370">
        <v>83</v>
      </c>
      <c r="G4370">
        <f>LOG(382/(83+1))</f>
        <v>0.65778407684982709</v>
      </c>
      <c r="H4370">
        <f>0.023076923076923*1.51460380976326</f>
        <v>3.4952395609921263E-2</v>
      </c>
      <c r="I4370">
        <v>3.4952395609921423E-2</v>
      </c>
    </row>
    <row r="4371" spans="1:9" x14ac:dyDescent="0.25">
      <c r="A4371">
        <v>308</v>
      </c>
      <c r="B4371" t="s">
        <v>1835</v>
      </c>
      <c r="C4371" t="s">
        <v>10</v>
      </c>
      <c r="D4371" t="s">
        <v>1534</v>
      </c>
      <c r="E4371">
        <f>2/130</f>
        <v>1.5384615384615385E-2</v>
      </c>
      <c r="F4371">
        <v>25</v>
      </c>
      <c r="G4371">
        <f>LOG(382/(25+1))</f>
        <v>1.1670900149408907</v>
      </c>
      <c r="H4371">
        <f>0.0153846153846153*2.68732407058509</f>
        <v>4.1343447239770389E-2</v>
      </c>
      <c r="I4371">
        <v>4.1343447239770667E-2</v>
      </c>
    </row>
    <row r="4372" spans="1:9" x14ac:dyDescent="0.25">
      <c r="A4372">
        <v>308</v>
      </c>
      <c r="B4372" t="s">
        <v>1835</v>
      </c>
      <c r="C4372" t="s">
        <v>10</v>
      </c>
      <c r="D4372" t="s">
        <v>1847</v>
      </c>
      <c r="E4372">
        <f>1/130</f>
        <v>7.6923076923076927E-3</v>
      </c>
      <c r="F4372">
        <v>1</v>
      </c>
      <c r="G4372">
        <f>LOG(382/(1+1))</f>
        <v>2.2810333672477277</v>
      </c>
      <c r="H4372">
        <f>0.00769230769230769*5.25227342804663</f>
        <v>4.0402103292666372E-2</v>
      </c>
      <c r="I4372">
        <v>4.0402103292666393E-2</v>
      </c>
    </row>
    <row r="4373" spans="1:9" x14ac:dyDescent="0.25">
      <c r="A4373">
        <v>308</v>
      </c>
      <c r="B4373" t="s">
        <v>1835</v>
      </c>
      <c r="C4373" t="s">
        <v>10</v>
      </c>
      <c r="D4373" t="s">
        <v>237</v>
      </c>
      <c r="E4373">
        <f>3/130</f>
        <v>2.3076923076923078E-2</v>
      </c>
      <c r="F4373">
        <v>138</v>
      </c>
      <c r="G4373">
        <f>LOG(382/(138+1))</f>
        <v>0.43904856265761361</v>
      </c>
      <c r="H4373">
        <f>0.023076923076923*1.01094667547588</f>
        <v>2.3329538664827922E-2</v>
      </c>
      <c r="I4373">
        <v>2.3329538664828078E-2</v>
      </c>
    </row>
    <row r="4374" spans="1:9" x14ac:dyDescent="0.25">
      <c r="A4374">
        <v>308</v>
      </c>
      <c r="B4374" t="s">
        <v>1835</v>
      </c>
      <c r="C4374" t="s">
        <v>10</v>
      </c>
      <c r="D4374" t="s">
        <v>399</v>
      </c>
      <c r="E4374">
        <f>1/130</f>
        <v>7.6923076923076927E-3</v>
      </c>
      <c r="F4374">
        <v>27</v>
      </c>
      <c r="G4374">
        <f>LOG(382/(27+1))</f>
        <v>1.1349053315694895</v>
      </c>
      <c r="H4374">
        <f>0.00769230769230769*2.61321609843137</f>
        <v>2.0101662295625919E-2</v>
      </c>
      <c r="I4374">
        <v>2.0101662295625929E-2</v>
      </c>
    </row>
    <row r="4375" spans="1:9" x14ac:dyDescent="0.25">
      <c r="A4375">
        <v>308</v>
      </c>
      <c r="B4375" t="s">
        <v>1835</v>
      </c>
      <c r="C4375" t="s">
        <v>10</v>
      </c>
      <c r="D4375" t="s">
        <v>40</v>
      </c>
      <c r="E4375">
        <f>3/130</f>
        <v>2.3076923076923078E-2</v>
      </c>
      <c r="F4375">
        <v>159</v>
      </c>
      <c r="G4375">
        <f>LOG(382/(159+1))</f>
        <v>0.377943380255784</v>
      </c>
      <c r="H4375">
        <f>0.023076923076923*0.870246793372748</f>
        <v>2.0082618308601807E-2</v>
      </c>
      <c r="I4375">
        <v>2.0082618308601891E-2</v>
      </c>
    </row>
    <row r="4376" spans="1:9" x14ac:dyDescent="0.25">
      <c r="A4376">
        <v>308</v>
      </c>
      <c r="B4376" t="s">
        <v>1835</v>
      </c>
      <c r="C4376" t="s">
        <v>10</v>
      </c>
      <c r="D4376" t="s">
        <v>1848</v>
      </c>
      <c r="E4376">
        <f>1/130</f>
        <v>7.6923076923076927E-3</v>
      </c>
      <c r="F4376">
        <v>4</v>
      </c>
      <c r="G4376">
        <f>LOG(382/(4+1))</f>
        <v>1.8830933585756899</v>
      </c>
      <c r="H4376">
        <f>0.00769230769230769*4.33598269617247</f>
        <v>3.3353713047480534E-2</v>
      </c>
      <c r="I4376">
        <v>3.3353713047480582E-2</v>
      </c>
    </row>
    <row r="4377" spans="1:9" x14ac:dyDescent="0.25">
      <c r="A4377">
        <v>308</v>
      </c>
      <c r="B4377" t="s">
        <v>1835</v>
      </c>
      <c r="C4377" t="s">
        <v>10</v>
      </c>
      <c r="D4377" t="s">
        <v>743</v>
      </c>
      <c r="E4377">
        <f>1/130</f>
        <v>7.6923076923076927E-3</v>
      </c>
      <c r="F4377">
        <v>3</v>
      </c>
      <c r="G4377">
        <f>LOG(382/(3+1))</f>
        <v>1.9800033715837464</v>
      </c>
      <c r="H4377">
        <f>0.00769230769230769*4.55912624748668</f>
        <v>3.5070201903743679E-2</v>
      </c>
      <c r="I4377">
        <v>3.5070201903743728E-2</v>
      </c>
    </row>
    <row r="4378" spans="1:9" x14ac:dyDescent="0.25">
      <c r="A4378">
        <v>308</v>
      </c>
      <c r="B4378" t="s">
        <v>1835</v>
      </c>
      <c r="C4378" t="s">
        <v>10</v>
      </c>
      <c r="D4378" t="s">
        <v>483</v>
      </c>
      <c r="E4378">
        <f>3/130</f>
        <v>2.3076923076923078E-2</v>
      </c>
      <c r="F4378">
        <v>61</v>
      </c>
      <c r="G4378">
        <f>LOG(382/(61+1))</f>
        <v>0.7896716734134549</v>
      </c>
      <c r="H4378">
        <f>0.023076923076923*1.81828622356148</f>
        <v>4.1960451312957087E-2</v>
      </c>
      <c r="I4378">
        <v>4.1960451312957323E-2</v>
      </c>
    </row>
    <row r="4379" spans="1:9" x14ac:dyDescent="0.25">
      <c r="A4379">
        <v>308</v>
      </c>
      <c r="B4379" t="s">
        <v>1835</v>
      </c>
      <c r="C4379" t="s">
        <v>10</v>
      </c>
      <c r="D4379" t="s">
        <v>144</v>
      </c>
      <c r="E4379">
        <f>1/130</f>
        <v>7.6923076923076927E-3</v>
      </c>
      <c r="F4379">
        <v>105</v>
      </c>
      <c r="G4379">
        <f>LOG(382/(105+1))</f>
        <v>0.55675749764693849</v>
      </c>
      <c r="H4379">
        <f>0.00769230769230769*1.2819815144945</f>
        <v>9.8613962653423051E-3</v>
      </c>
      <c r="I4379">
        <v>9.8613962653423693E-3</v>
      </c>
    </row>
    <row r="4380" spans="1:9" x14ac:dyDescent="0.25">
      <c r="A4380">
        <v>308</v>
      </c>
      <c r="B4380" t="s">
        <v>1835</v>
      </c>
      <c r="C4380" t="s">
        <v>10</v>
      </c>
      <c r="D4380" t="s">
        <v>1123</v>
      </c>
      <c r="E4380">
        <f>1/130</f>
        <v>7.6923076923076927E-3</v>
      </c>
      <c r="F4380">
        <v>4</v>
      </c>
      <c r="G4380">
        <f>LOG(382/(4+1))</f>
        <v>1.8830933585756899</v>
      </c>
      <c r="H4380">
        <f>0.00769230769230769*4.33598269617247</f>
        <v>3.3353713047480534E-2</v>
      </c>
      <c r="I4380">
        <v>3.3353713047480582E-2</v>
      </c>
    </row>
    <row r="4381" spans="1:9" x14ac:dyDescent="0.25">
      <c r="A4381">
        <v>308</v>
      </c>
      <c r="B4381" t="s">
        <v>1835</v>
      </c>
      <c r="C4381" t="s">
        <v>10</v>
      </c>
      <c r="D4381" t="s">
        <v>1849</v>
      </c>
      <c r="E4381">
        <f>1/130</f>
        <v>7.6923076923076927E-3</v>
      </c>
      <c r="F4381">
        <v>4</v>
      </c>
      <c r="G4381">
        <f>LOG(382/(4+1))</f>
        <v>1.8830933585756899</v>
      </c>
      <c r="H4381">
        <f>0.00769230769230769*4.33598269617247</f>
        <v>3.3353713047480534E-2</v>
      </c>
      <c r="I4381">
        <v>3.3353713047480582E-2</v>
      </c>
    </row>
    <row r="4382" spans="1:9" x14ac:dyDescent="0.25">
      <c r="A4382">
        <v>308</v>
      </c>
      <c r="B4382" t="s">
        <v>1835</v>
      </c>
      <c r="C4382" t="s">
        <v>10</v>
      </c>
      <c r="D4382" t="s">
        <v>1850</v>
      </c>
      <c r="E4382">
        <f>1/130</f>
        <v>7.6923076923076927E-3</v>
      </c>
      <c r="F4382">
        <v>1</v>
      </c>
      <c r="G4382">
        <f>LOG(382/(1+1))</f>
        <v>2.2810333672477277</v>
      </c>
      <c r="H4382">
        <f>0.00769230769230769*5.25227342804663</f>
        <v>4.0402103292666372E-2</v>
      </c>
      <c r="I4382">
        <v>4.0402103292666393E-2</v>
      </c>
    </row>
    <row r="4383" spans="1:9" x14ac:dyDescent="0.25">
      <c r="A4383">
        <v>308</v>
      </c>
      <c r="B4383" t="s">
        <v>1835</v>
      </c>
      <c r="C4383" t="s">
        <v>10</v>
      </c>
      <c r="D4383" t="s">
        <v>78</v>
      </c>
      <c r="E4383">
        <f>2/130</f>
        <v>1.5384615384615385E-2</v>
      </c>
      <c r="F4383">
        <v>122</v>
      </c>
      <c r="G4383">
        <f>LOG(382/(122+1))</f>
        <v>0.49215825147231079</v>
      </c>
      <c r="H4383">
        <f>0.0153846153846153*1.13323625323415</f>
        <v>1.7434403895909906E-2</v>
      </c>
      <c r="I4383">
        <v>1.7434403895910121E-2</v>
      </c>
    </row>
    <row r="4384" spans="1:9" x14ac:dyDescent="0.25">
      <c r="A4384">
        <v>308</v>
      </c>
      <c r="B4384" t="s">
        <v>1835</v>
      </c>
      <c r="C4384" t="s">
        <v>10</v>
      </c>
      <c r="D4384" t="s">
        <v>1084</v>
      </c>
      <c r="E4384">
        <f>1/130</f>
        <v>7.6923076923076927E-3</v>
      </c>
      <c r="F4384">
        <v>6</v>
      </c>
      <c r="G4384">
        <f>LOG(382/(6+1))</f>
        <v>1.736965322897452</v>
      </c>
      <c r="H4384">
        <f>0.00769230769230769*3.99951045955126</f>
        <v>3.0765465073471221E-2</v>
      </c>
      <c r="I4384">
        <v>3.0765465073471249E-2</v>
      </c>
    </row>
    <row r="4385" spans="1:9" x14ac:dyDescent="0.25">
      <c r="A4385">
        <v>308</v>
      </c>
      <c r="B4385" t="s">
        <v>1835</v>
      </c>
      <c r="C4385" t="s">
        <v>10</v>
      </c>
      <c r="D4385" t="s">
        <v>764</v>
      </c>
      <c r="E4385">
        <f>1/130</f>
        <v>7.6923076923076927E-3</v>
      </c>
      <c r="F4385">
        <v>57</v>
      </c>
      <c r="G4385">
        <f>LOG(382/(57+1))</f>
        <v>0.81863536934877146</v>
      </c>
      <c r="H4385">
        <f>0.00769230769230769*1.88497759806015</f>
        <v>1.4499827677385765E-2</v>
      </c>
      <c r="I4385">
        <v>1.449982767738581E-2</v>
      </c>
    </row>
    <row r="4386" spans="1:9" x14ac:dyDescent="0.25">
      <c r="A4386">
        <v>308</v>
      </c>
      <c r="B4386" t="s">
        <v>1835</v>
      </c>
      <c r="C4386" t="s">
        <v>10</v>
      </c>
      <c r="D4386" t="s">
        <v>1085</v>
      </c>
      <c r="E4386">
        <f>1/130</f>
        <v>7.6923076923076927E-3</v>
      </c>
      <c r="F4386">
        <v>16</v>
      </c>
      <c r="G4386">
        <f>LOG(382/(16+1))</f>
        <v>1.3516144415334348</v>
      </c>
      <c r="H4386">
        <f>0.00769230769230769*3.11220726455035</f>
        <v>2.3940055881156531E-2</v>
      </c>
      <c r="I4386">
        <v>2.3940055881156611E-2</v>
      </c>
    </row>
    <row r="4387" spans="1:9" x14ac:dyDescent="0.25">
      <c r="A4387">
        <v>308</v>
      </c>
      <c r="B4387" t="s">
        <v>1835</v>
      </c>
      <c r="C4387" t="s">
        <v>10</v>
      </c>
      <c r="D4387" t="s">
        <v>123</v>
      </c>
      <c r="E4387">
        <f>1/130</f>
        <v>7.6923076923076927E-3</v>
      </c>
      <c r="F4387">
        <v>74</v>
      </c>
      <c r="G4387">
        <f>LOG(382/(74+1))</f>
        <v>0.7070020995200087</v>
      </c>
      <c r="H4387">
        <f>0.00769230769230769*1.62793249507026</f>
        <v>1.2522557654386613E-2</v>
      </c>
      <c r="I4387">
        <v>1.2522557654386649E-2</v>
      </c>
    </row>
    <row r="4388" spans="1:9" x14ac:dyDescent="0.25">
      <c r="A4388">
        <v>308</v>
      </c>
      <c r="B4388" t="s">
        <v>1835</v>
      </c>
      <c r="C4388" t="s">
        <v>10</v>
      </c>
      <c r="D4388" t="s">
        <v>1533</v>
      </c>
      <c r="E4388">
        <f>2/130</f>
        <v>1.5384615384615385E-2</v>
      </c>
      <c r="F4388">
        <v>33</v>
      </c>
      <c r="G4388">
        <f>LOG(382/(33+1))</f>
        <v>1.0505844458694535</v>
      </c>
      <c r="H4388">
        <f>0.0153846153846153*2.41906008399041</f>
        <v>3.7216308984467643E-2</v>
      </c>
      <c r="I4388">
        <v>3.7216308984467913E-2</v>
      </c>
    </row>
    <row r="4389" spans="1:9" x14ac:dyDescent="0.25">
      <c r="A4389">
        <v>308</v>
      </c>
      <c r="B4389" t="s">
        <v>1835</v>
      </c>
      <c r="C4389" t="s">
        <v>10</v>
      </c>
      <c r="D4389" t="s">
        <v>1851</v>
      </c>
      <c r="E4389">
        <f>1/130</f>
        <v>7.6923076923076927E-3</v>
      </c>
      <c r="F4389">
        <v>1</v>
      </c>
      <c r="G4389">
        <f>LOG(382/(1+1))</f>
        <v>2.2810333672477277</v>
      </c>
      <c r="H4389">
        <f>0.00769230769230769*5.25227342804663</f>
        <v>4.0402103292666372E-2</v>
      </c>
      <c r="I4389">
        <v>4.0402103292666393E-2</v>
      </c>
    </row>
    <row r="4390" spans="1:9" x14ac:dyDescent="0.25">
      <c r="A4390">
        <v>308</v>
      </c>
      <c r="B4390" t="s">
        <v>1835</v>
      </c>
      <c r="C4390" t="s">
        <v>10</v>
      </c>
      <c r="D4390" t="s">
        <v>1852</v>
      </c>
      <c r="E4390">
        <f>1/130</f>
        <v>7.6923076923076927E-3</v>
      </c>
      <c r="F4390">
        <v>2</v>
      </c>
      <c r="G4390">
        <f>LOG(382/(2+1))</f>
        <v>2.1049421081920463</v>
      </c>
      <c r="H4390">
        <f>0.00769230769230769*4.84680831993846</f>
        <v>3.7283140922603528E-2</v>
      </c>
      <c r="I4390">
        <v>3.7283140922603583E-2</v>
      </c>
    </row>
    <row r="4391" spans="1:9" x14ac:dyDescent="0.25">
      <c r="A4391">
        <v>308</v>
      </c>
      <c r="B4391" t="s">
        <v>1835</v>
      </c>
      <c r="C4391" t="s">
        <v>10</v>
      </c>
      <c r="D4391" t="s">
        <v>1853</v>
      </c>
      <c r="E4391">
        <f>1/130</f>
        <v>7.6923076923076927E-3</v>
      </c>
      <c r="F4391">
        <v>15</v>
      </c>
      <c r="G4391">
        <f>LOG(382/(15+1))</f>
        <v>1.3779433802557839</v>
      </c>
      <c r="H4391">
        <f>0.00769230769230769*3.17283188636679</f>
        <v>2.4406399125898377E-2</v>
      </c>
      <c r="I4391">
        <v>2.4406399125898419E-2</v>
      </c>
    </row>
    <row r="4392" spans="1:9" x14ac:dyDescent="0.25">
      <c r="A4392">
        <v>308</v>
      </c>
      <c r="B4392" t="s">
        <v>1835</v>
      </c>
      <c r="C4392" t="s">
        <v>10</v>
      </c>
      <c r="D4392" t="s">
        <v>77</v>
      </c>
      <c r="E4392">
        <f>1/130</f>
        <v>7.6923076923076927E-3</v>
      </c>
      <c r="F4392">
        <v>148</v>
      </c>
      <c r="G4392">
        <f>LOG(382/(148+1))</f>
        <v>0.40887709449943471</v>
      </c>
      <c r="H4392">
        <f>0.00769230769230769*0.941474302661116</f>
        <v>7.2421100204701208E-3</v>
      </c>
      <c r="I4392">
        <v>7.2421100204701242E-3</v>
      </c>
    </row>
    <row r="4393" spans="1:9" x14ac:dyDescent="0.25">
      <c r="A4393">
        <v>308</v>
      </c>
      <c r="B4393" t="s">
        <v>1835</v>
      </c>
      <c r="C4393" t="s">
        <v>10</v>
      </c>
      <c r="D4393" t="s">
        <v>331</v>
      </c>
      <c r="E4393">
        <f>3/130</f>
        <v>2.3076923076923078E-2</v>
      </c>
      <c r="F4393">
        <v>130</v>
      </c>
      <c r="G4393">
        <f>LOG(382/(130+1))</f>
        <v>0.46479206725594452</v>
      </c>
      <c r="H4393">
        <f>0.023076923076923*1.07022328540542</f>
        <v>2.4697460432432688E-2</v>
      </c>
      <c r="I4393">
        <v>2.4697460432432851E-2</v>
      </c>
    </row>
    <row r="4394" spans="1:9" x14ac:dyDescent="0.25">
      <c r="A4394">
        <v>308</v>
      </c>
      <c r="B4394" t="s">
        <v>1835</v>
      </c>
      <c r="C4394" t="s">
        <v>10</v>
      </c>
      <c r="D4394" t="s">
        <v>593</v>
      </c>
      <c r="E4394">
        <f t="shared" ref="E4394:E4402" si="198">1/130</f>
        <v>7.6923076923076927E-3</v>
      </c>
      <c r="F4394">
        <v>30</v>
      </c>
      <c r="G4394">
        <f>LOG(382/(30+1))</f>
        <v>1.090701669077436</v>
      </c>
      <c r="H4394">
        <f>0.00769230769230769*2.51143340412142</f>
        <v>1.9318718493241689E-2</v>
      </c>
      <c r="I4394">
        <v>1.9318718493241759E-2</v>
      </c>
    </row>
    <row r="4395" spans="1:9" x14ac:dyDescent="0.25">
      <c r="A4395">
        <v>308</v>
      </c>
      <c r="B4395" t="s">
        <v>1835</v>
      </c>
      <c r="C4395" t="s">
        <v>10</v>
      </c>
      <c r="D4395" t="s">
        <v>594</v>
      </c>
      <c r="E4395">
        <f t="shared" si="198"/>
        <v>7.6923076923076927E-3</v>
      </c>
      <c r="F4395">
        <v>36</v>
      </c>
      <c r="G4395">
        <f>LOG(382/(36+1))</f>
        <v>1.0138616388447137</v>
      </c>
      <c r="H4395">
        <f>0.00769230769230769*2.33450269596235</f>
        <v>1.7957713045864226E-2</v>
      </c>
      <c r="I4395">
        <v>1.795771304586424E-2</v>
      </c>
    </row>
    <row r="4396" spans="1:9" x14ac:dyDescent="0.25">
      <c r="A4396">
        <v>308</v>
      </c>
      <c r="B4396" t="s">
        <v>1835</v>
      </c>
      <c r="C4396" t="s">
        <v>10</v>
      </c>
      <c r="D4396" t="s">
        <v>1854</v>
      </c>
      <c r="E4396">
        <f t="shared" si="198"/>
        <v>7.6923076923076927E-3</v>
      </c>
      <c r="F4396">
        <v>9</v>
      </c>
      <c r="G4396">
        <f>LOG(382/(9+1))</f>
        <v>1.5820633629117087</v>
      </c>
      <c r="H4396">
        <f>0.00769230769230769*3.64283551561252</f>
        <v>2.8021811658557837E-2</v>
      </c>
      <c r="I4396">
        <v>2.8021811658557921E-2</v>
      </c>
    </row>
    <row r="4397" spans="1:9" x14ac:dyDescent="0.25">
      <c r="A4397">
        <v>308</v>
      </c>
      <c r="B4397" t="s">
        <v>1835</v>
      </c>
      <c r="C4397" t="s">
        <v>10</v>
      </c>
      <c r="D4397" t="s">
        <v>1855</v>
      </c>
      <c r="E4397">
        <f t="shared" si="198"/>
        <v>7.6923076923076927E-3</v>
      </c>
      <c r="F4397">
        <v>17</v>
      </c>
      <c r="G4397">
        <f>LOG(382/(17+1))</f>
        <v>1.3267908578084027</v>
      </c>
      <c r="H4397">
        <f>0.00769230769230769*3.05504885071041</f>
        <v>2.3500375774695454E-2</v>
      </c>
      <c r="I4397">
        <v>2.3500375774695461E-2</v>
      </c>
    </row>
    <row r="4398" spans="1:9" x14ac:dyDescent="0.25">
      <c r="A4398">
        <v>308</v>
      </c>
      <c r="B4398" t="s">
        <v>1835</v>
      </c>
      <c r="C4398" t="s">
        <v>10</v>
      </c>
      <c r="D4398" t="s">
        <v>1856</v>
      </c>
      <c r="E4398">
        <f t="shared" si="198"/>
        <v>7.6923076923076927E-3</v>
      </c>
      <c r="F4398">
        <v>1</v>
      </c>
      <c r="G4398">
        <f>LOG(382/(1+1))</f>
        <v>2.2810333672477277</v>
      </c>
      <c r="H4398">
        <f>0.00769230769230769*5.25227342804663</f>
        <v>4.0402103292666372E-2</v>
      </c>
      <c r="I4398">
        <v>4.0402103292666393E-2</v>
      </c>
    </row>
    <row r="4399" spans="1:9" x14ac:dyDescent="0.25">
      <c r="A4399">
        <v>308</v>
      </c>
      <c r="B4399" t="s">
        <v>1835</v>
      </c>
      <c r="C4399" t="s">
        <v>10</v>
      </c>
      <c r="D4399" t="s">
        <v>1857</v>
      </c>
      <c r="E4399">
        <f t="shared" si="198"/>
        <v>7.6923076923076927E-3</v>
      </c>
      <c r="F4399">
        <v>17</v>
      </c>
      <c r="G4399">
        <f>LOG(382/(17+1))</f>
        <v>1.3267908578084027</v>
      </c>
      <c r="H4399">
        <f>0.00769230769230769*3.05504885071041</f>
        <v>2.3500375774695454E-2</v>
      </c>
      <c r="I4399">
        <v>2.3500375774695461E-2</v>
      </c>
    </row>
    <row r="4400" spans="1:9" x14ac:dyDescent="0.25">
      <c r="A4400">
        <v>308</v>
      </c>
      <c r="B4400" t="s">
        <v>1835</v>
      </c>
      <c r="C4400" t="s">
        <v>10</v>
      </c>
      <c r="D4400" t="s">
        <v>133</v>
      </c>
      <c r="E4400">
        <f t="shared" si="198"/>
        <v>7.6923076923076927E-3</v>
      </c>
      <c r="F4400">
        <v>142</v>
      </c>
      <c r="G4400">
        <f>LOG(382/(142+1))</f>
        <v>0.42672732544664693</v>
      </c>
      <c r="H4400">
        <f>0.00769230769230769*0.982575978346667</f>
        <v>7.5582767565128212E-3</v>
      </c>
      <c r="I4400">
        <v>7.5582767565128299E-3</v>
      </c>
    </row>
    <row r="4401" spans="1:9" x14ac:dyDescent="0.25">
      <c r="A4401">
        <v>308</v>
      </c>
      <c r="B4401" t="s">
        <v>1835</v>
      </c>
      <c r="C4401" t="s">
        <v>10</v>
      </c>
      <c r="D4401" t="s">
        <v>1727</v>
      </c>
      <c r="E4401">
        <f t="shared" si="198"/>
        <v>7.6923076923076927E-3</v>
      </c>
      <c r="F4401">
        <v>27</v>
      </c>
      <c r="G4401">
        <f>LOG(382/(27+1))</f>
        <v>1.1349053315694895</v>
      </c>
      <c r="H4401">
        <f>0.00769230769230769*2.61321609843137</f>
        <v>2.0101662295625919E-2</v>
      </c>
      <c r="I4401">
        <v>2.0101662295625929E-2</v>
      </c>
    </row>
    <row r="4402" spans="1:9" x14ac:dyDescent="0.25">
      <c r="A4402">
        <v>308</v>
      </c>
      <c r="B4402" t="s">
        <v>1835</v>
      </c>
      <c r="C4402" t="s">
        <v>10</v>
      </c>
      <c r="D4402" t="s">
        <v>339</v>
      </c>
      <c r="E4402">
        <f t="shared" si="198"/>
        <v>7.6923076923076927E-3</v>
      </c>
      <c r="F4402">
        <v>66</v>
      </c>
      <c r="G4402">
        <f>LOG(382/(66+1))</f>
        <v>0.75598856021088234</v>
      </c>
      <c r="H4402">
        <f>0.00769230769230769*1.7407279892156</f>
        <v>1.3390215301658457E-2</v>
      </c>
      <c r="I4402">
        <v>1.339021530165853E-2</v>
      </c>
    </row>
    <row r="4403" spans="1:9" x14ac:dyDescent="0.25">
      <c r="A4403">
        <v>308</v>
      </c>
      <c r="B4403" t="s">
        <v>1835</v>
      </c>
      <c r="C4403" t="s">
        <v>10</v>
      </c>
      <c r="D4403" t="s">
        <v>322</v>
      </c>
      <c r="E4403">
        <f>2/130</f>
        <v>1.5384615384615385E-2</v>
      </c>
      <c r="F4403">
        <v>128</v>
      </c>
      <c r="G4403">
        <f>LOG(382/(128+1))</f>
        <v>0.47147365261245977</v>
      </c>
      <c r="H4403">
        <f>0.0153846153846153*1.0856082042449</f>
        <v>1.6701664680690679E-2</v>
      </c>
      <c r="I4403">
        <v>1.6701664680690821E-2</v>
      </c>
    </row>
    <row r="4404" spans="1:9" x14ac:dyDescent="0.25">
      <c r="A4404">
        <v>308</v>
      </c>
      <c r="B4404" t="s">
        <v>1835</v>
      </c>
      <c r="C4404" t="s">
        <v>10</v>
      </c>
      <c r="D4404" t="s">
        <v>1858</v>
      </c>
      <c r="E4404">
        <f t="shared" ref="E4404:E4421" si="199">1/130</f>
        <v>7.6923076923076927E-3</v>
      </c>
      <c r="F4404">
        <v>6</v>
      </c>
      <c r="G4404">
        <f>LOG(382/(6+1))</f>
        <v>1.736965322897452</v>
      </c>
      <c r="H4404">
        <f>0.00769230769230769*3.99951045955126</f>
        <v>3.0765465073471221E-2</v>
      </c>
      <c r="I4404">
        <v>3.0765465073471249E-2</v>
      </c>
    </row>
    <row r="4405" spans="1:9" x14ac:dyDescent="0.25">
      <c r="A4405">
        <v>308</v>
      </c>
      <c r="B4405" t="s">
        <v>1835</v>
      </c>
      <c r="C4405" t="s">
        <v>10</v>
      </c>
      <c r="D4405" t="s">
        <v>542</v>
      </c>
      <c r="E4405">
        <f t="shared" si="199"/>
        <v>7.6923076923076927E-3</v>
      </c>
      <c r="F4405">
        <v>42</v>
      </c>
      <c r="G4405">
        <f>LOG(382/(42+1))</f>
        <v>0.94859490733212215</v>
      </c>
      <c r="H4405">
        <f>0.00769230769230769*2.18422049291301</f>
        <v>1.680169609933084E-2</v>
      </c>
      <c r="I4405">
        <v>1.6801696099330871E-2</v>
      </c>
    </row>
    <row r="4406" spans="1:9" x14ac:dyDescent="0.25">
      <c r="A4406">
        <v>308</v>
      </c>
      <c r="B4406" t="s">
        <v>1835</v>
      </c>
      <c r="C4406" t="s">
        <v>10</v>
      </c>
      <c r="D4406" t="s">
        <v>600</v>
      </c>
      <c r="E4406">
        <f t="shared" si="199"/>
        <v>7.6923076923076927E-3</v>
      </c>
      <c r="F4406">
        <v>102</v>
      </c>
      <c r="G4406">
        <f>LOG(382/(102+1))</f>
        <v>0.56922613820653656</v>
      </c>
      <c r="H4406">
        <f>0.00769230769230769*1.31069162037693</f>
        <v>1.008224323366869E-2</v>
      </c>
      <c r="I4406">
        <v>1.008224323366877E-2</v>
      </c>
    </row>
    <row r="4407" spans="1:9" x14ac:dyDescent="0.25">
      <c r="A4407">
        <v>308</v>
      </c>
      <c r="B4407" t="s">
        <v>1835</v>
      </c>
      <c r="C4407" t="s">
        <v>10</v>
      </c>
      <c r="D4407" t="s">
        <v>1433</v>
      </c>
      <c r="E4407">
        <f t="shared" si="199"/>
        <v>7.6923076923076927E-3</v>
      </c>
      <c r="F4407">
        <v>21</v>
      </c>
      <c r="G4407">
        <f>LOG(382/(21+1))</f>
        <v>1.2396406820895025</v>
      </c>
      <c r="H4407">
        <f>0.00769230769230769*2.85437815524825</f>
        <v>2.1956755040371145E-2</v>
      </c>
      <c r="I4407">
        <v>2.1956755040371229E-2</v>
      </c>
    </row>
    <row r="4408" spans="1:9" x14ac:dyDescent="0.25">
      <c r="A4408">
        <v>308</v>
      </c>
      <c r="B4408" t="s">
        <v>1835</v>
      </c>
      <c r="C4408" t="s">
        <v>10</v>
      </c>
      <c r="D4408" t="s">
        <v>432</v>
      </c>
      <c r="E4408">
        <f t="shared" si="199"/>
        <v>7.6923076923076927E-3</v>
      </c>
      <c r="F4408">
        <v>67</v>
      </c>
      <c r="G4408">
        <f>LOG(382/(67+1))</f>
        <v>0.7495544502054724</v>
      </c>
      <c r="H4408">
        <f>0.00769230769230769*1.72591290343046</f>
        <v>1.3276253103311228E-2</v>
      </c>
      <c r="I4408">
        <v>1.32762531033113E-2</v>
      </c>
    </row>
    <row r="4409" spans="1:9" x14ac:dyDescent="0.25">
      <c r="A4409">
        <v>308</v>
      </c>
      <c r="B4409" t="s">
        <v>1835</v>
      </c>
      <c r="C4409" t="s">
        <v>10</v>
      </c>
      <c r="D4409" t="s">
        <v>168</v>
      </c>
      <c r="E4409">
        <f t="shared" si="199"/>
        <v>7.6923076923076927E-3</v>
      </c>
      <c r="F4409">
        <v>34</v>
      </c>
      <c r="G4409">
        <f>LOG(382/(34+1))</f>
        <v>1.037995318561433</v>
      </c>
      <c r="H4409">
        <f>0.00769230769230769*2.39007254711716</f>
        <v>1.8385173439362763E-2</v>
      </c>
      <c r="I4409">
        <v>1.838517343936278E-2</v>
      </c>
    </row>
    <row r="4410" spans="1:9" x14ac:dyDescent="0.25">
      <c r="A4410">
        <v>308</v>
      </c>
      <c r="B4410" t="s">
        <v>1835</v>
      </c>
      <c r="C4410" t="s">
        <v>10</v>
      </c>
      <c r="D4410" t="s">
        <v>1859</v>
      </c>
      <c r="E4410">
        <f t="shared" si="199"/>
        <v>7.6923076923076927E-3</v>
      </c>
      <c r="F4410">
        <v>7</v>
      </c>
      <c r="G4410">
        <f>LOG(382/(7+1))</f>
        <v>1.6789733759197651</v>
      </c>
      <c r="H4410">
        <f>0.00769230769230769*3.86597906692673</f>
        <v>2.9738300514820994E-2</v>
      </c>
      <c r="I4410">
        <v>2.973830051482107E-2</v>
      </c>
    </row>
    <row r="4411" spans="1:9" x14ac:dyDescent="0.25">
      <c r="A4411">
        <v>308</v>
      </c>
      <c r="B4411" t="s">
        <v>1835</v>
      </c>
      <c r="C4411" t="s">
        <v>10</v>
      </c>
      <c r="D4411" t="s">
        <v>1860</v>
      </c>
      <c r="E4411">
        <f t="shared" si="199"/>
        <v>7.6923076923076927E-3</v>
      </c>
      <c r="F4411">
        <v>2</v>
      </c>
      <c r="G4411">
        <f>LOG(382/(2+1))</f>
        <v>2.1049421081920463</v>
      </c>
      <c r="H4411">
        <f>0.00769230769230769*4.84680831993846</f>
        <v>3.7283140922603528E-2</v>
      </c>
      <c r="I4411">
        <v>3.7283140922603583E-2</v>
      </c>
    </row>
    <row r="4412" spans="1:9" x14ac:dyDescent="0.25">
      <c r="A4412">
        <v>308</v>
      </c>
      <c r="B4412" t="s">
        <v>1835</v>
      </c>
      <c r="C4412" t="s">
        <v>10</v>
      </c>
      <c r="D4412" t="s">
        <v>1861</v>
      </c>
      <c r="E4412">
        <f t="shared" si="199"/>
        <v>7.6923076923076927E-3</v>
      </c>
      <c r="F4412">
        <v>1</v>
      </c>
      <c r="G4412">
        <f>LOG(382/(1+1))</f>
        <v>2.2810333672477277</v>
      </c>
      <c r="H4412">
        <f>0.00769230769230769*5.25227342804663</f>
        <v>4.0402103292666372E-2</v>
      </c>
      <c r="I4412">
        <v>4.0402103292666393E-2</v>
      </c>
    </row>
    <row r="4413" spans="1:9" x14ac:dyDescent="0.25">
      <c r="A4413">
        <v>308</v>
      </c>
      <c r="B4413" t="s">
        <v>1835</v>
      </c>
      <c r="C4413" t="s">
        <v>10</v>
      </c>
      <c r="D4413" t="s">
        <v>528</v>
      </c>
      <c r="E4413">
        <f t="shared" si="199"/>
        <v>7.6923076923076927E-3</v>
      </c>
      <c r="F4413">
        <v>9</v>
      </c>
      <c r="G4413">
        <f>LOG(382/(9+1))</f>
        <v>1.5820633629117087</v>
      </c>
      <c r="H4413">
        <f>0.00769230769230769*3.64283551561252</f>
        <v>2.8021811658557837E-2</v>
      </c>
      <c r="I4413">
        <v>2.8021811658557921E-2</v>
      </c>
    </row>
    <row r="4414" spans="1:9" x14ac:dyDescent="0.25">
      <c r="A4414">
        <v>308</v>
      </c>
      <c r="B4414" t="s">
        <v>1835</v>
      </c>
      <c r="C4414" t="s">
        <v>10</v>
      </c>
      <c r="D4414" t="s">
        <v>1356</v>
      </c>
      <c r="E4414">
        <f t="shared" si="199"/>
        <v>7.6923076923076927E-3</v>
      </c>
      <c r="F4414">
        <v>2</v>
      </c>
      <c r="G4414">
        <f>LOG(382/(2+1))</f>
        <v>2.1049421081920463</v>
      </c>
      <c r="H4414">
        <f>0.00769230769230769*4.84680831993846</f>
        <v>3.7283140922603528E-2</v>
      </c>
      <c r="I4414">
        <v>3.7283140922603583E-2</v>
      </c>
    </row>
    <row r="4415" spans="1:9" x14ac:dyDescent="0.25">
      <c r="A4415">
        <v>308</v>
      </c>
      <c r="B4415" t="s">
        <v>1835</v>
      </c>
      <c r="C4415" t="s">
        <v>10</v>
      </c>
      <c r="D4415" t="s">
        <v>1862</v>
      </c>
      <c r="E4415">
        <f t="shared" si="199"/>
        <v>7.6923076923076927E-3</v>
      </c>
      <c r="F4415">
        <v>1</v>
      </c>
      <c r="G4415">
        <f>LOG(382/(1+1))</f>
        <v>2.2810333672477277</v>
      </c>
      <c r="H4415">
        <f>0.00769230769230769*5.25227342804663</f>
        <v>4.0402103292666372E-2</v>
      </c>
      <c r="I4415">
        <v>4.0402103292666393E-2</v>
      </c>
    </row>
    <row r="4416" spans="1:9" x14ac:dyDescent="0.25">
      <c r="A4416">
        <v>308</v>
      </c>
      <c r="B4416" t="s">
        <v>1835</v>
      </c>
      <c r="C4416" t="s">
        <v>10</v>
      </c>
      <c r="D4416" t="s">
        <v>520</v>
      </c>
      <c r="E4416">
        <f t="shared" si="199"/>
        <v>7.6923076923076927E-3</v>
      </c>
      <c r="F4416">
        <v>25</v>
      </c>
      <c r="G4416">
        <f>LOG(382/(25+1))</f>
        <v>1.1670900149408907</v>
      </c>
      <c r="H4416">
        <f>0.00769230769230769*2.68732407058509</f>
        <v>2.0671723619885302E-2</v>
      </c>
      <c r="I4416">
        <v>2.067172361988533E-2</v>
      </c>
    </row>
    <row r="4417" spans="1:9" x14ac:dyDescent="0.25">
      <c r="A4417">
        <v>308</v>
      </c>
      <c r="B4417" t="s">
        <v>1835</v>
      </c>
      <c r="C4417" t="s">
        <v>10</v>
      </c>
      <c r="D4417" t="s">
        <v>1709</v>
      </c>
      <c r="E4417">
        <f t="shared" si="199"/>
        <v>7.6923076923076927E-3</v>
      </c>
      <c r="F4417">
        <v>21</v>
      </c>
      <c r="G4417">
        <f>LOG(382/(21+1))</f>
        <v>1.2396406820895025</v>
      </c>
      <c r="H4417">
        <f>0.00769230769230769*2.85437815524825</f>
        <v>2.1956755040371145E-2</v>
      </c>
      <c r="I4417">
        <v>2.1956755040371229E-2</v>
      </c>
    </row>
    <row r="4418" spans="1:9" x14ac:dyDescent="0.25">
      <c r="A4418">
        <v>308</v>
      </c>
      <c r="B4418" t="s">
        <v>1835</v>
      </c>
      <c r="C4418" t="s">
        <v>10</v>
      </c>
      <c r="D4418" t="s">
        <v>1863</v>
      </c>
      <c r="E4418">
        <f t="shared" si="199"/>
        <v>7.6923076923076927E-3</v>
      </c>
      <c r="F4418">
        <v>2</v>
      </c>
      <c r="G4418">
        <f>LOG(382/(2+1))</f>
        <v>2.1049421081920463</v>
      </c>
      <c r="H4418">
        <f>0.00769230769230769*4.84680831993846</f>
        <v>3.7283140922603528E-2</v>
      </c>
      <c r="I4418">
        <v>3.7283140922603583E-2</v>
      </c>
    </row>
    <row r="4419" spans="1:9" x14ac:dyDescent="0.25">
      <c r="A4419">
        <v>308</v>
      </c>
      <c r="B4419" t="s">
        <v>1835</v>
      </c>
      <c r="C4419" t="s">
        <v>10</v>
      </c>
      <c r="D4419" t="s">
        <v>746</v>
      </c>
      <c r="E4419">
        <f t="shared" si="199"/>
        <v>7.6923076923076927E-3</v>
      </c>
      <c r="F4419">
        <v>58</v>
      </c>
      <c r="G4419">
        <f>LOG(382/(58+1))</f>
        <v>0.81121135126956456</v>
      </c>
      <c r="H4419">
        <f>0.00769230769230769*1.86788316470085</f>
        <v>1.4368332036160381E-2</v>
      </c>
      <c r="I4419">
        <v>1.436833203616043E-2</v>
      </c>
    </row>
    <row r="4420" spans="1:9" x14ac:dyDescent="0.25">
      <c r="A4420">
        <v>308</v>
      </c>
      <c r="B4420" t="s">
        <v>1835</v>
      </c>
      <c r="C4420" t="s">
        <v>10</v>
      </c>
      <c r="D4420" t="s">
        <v>236</v>
      </c>
      <c r="E4420">
        <f t="shared" si="199"/>
        <v>7.6923076923076927E-3</v>
      </c>
      <c r="F4420">
        <v>87</v>
      </c>
      <c r="G4420">
        <f>LOG(382/(87+1))</f>
        <v>0.63758069076154011</v>
      </c>
      <c r="H4420">
        <f>0.00769230769230769*1.46808379412836</f>
        <v>1.1292952262525843E-2</v>
      </c>
      <c r="I4420">
        <v>1.1292952262525909E-2</v>
      </c>
    </row>
    <row r="4421" spans="1:9" x14ac:dyDescent="0.25">
      <c r="A4421">
        <v>308</v>
      </c>
      <c r="B4421" t="s">
        <v>1835</v>
      </c>
      <c r="C4421" t="s">
        <v>10</v>
      </c>
      <c r="D4421" t="s">
        <v>465</v>
      </c>
      <c r="E4421">
        <f t="shared" si="199"/>
        <v>7.6923076923076927E-3</v>
      </c>
      <c r="F4421">
        <v>36</v>
      </c>
      <c r="G4421">
        <f>LOG(382/(36+1))</f>
        <v>1.0138616388447137</v>
      </c>
      <c r="H4421">
        <f>0.00769230769230769*2.33450269596235</f>
        <v>1.7957713045864226E-2</v>
      </c>
      <c r="I4421">
        <v>1.795771304586424E-2</v>
      </c>
    </row>
    <row r="4422" spans="1:9" x14ac:dyDescent="0.25">
      <c r="A4422">
        <v>309</v>
      </c>
      <c r="B4422" t="s">
        <v>1864</v>
      </c>
      <c r="C4422" t="s">
        <v>10</v>
      </c>
      <c r="D4422" t="s">
        <v>315</v>
      </c>
      <c r="E4422">
        <f>9/107</f>
        <v>8.4112149532710276E-2</v>
      </c>
      <c r="F4422">
        <v>55</v>
      </c>
      <c r="G4422">
        <f>LOG(382/(55+1))</f>
        <v>0.83387533590550833</v>
      </c>
      <c r="H4422">
        <f>0.0841121495327102*1.92006891787142</f>
        <v>0.16150112393310995</v>
      </c>
      <c r="I4422">
        <v>0.16150112393311061</v>
      </c>
    </row>
    <row r="4423" spans="1:9" x14ac:dyDescent="0.25">
      <c r="A4423">
        <v>309</v>
      </c>
      <c r="B4423" t="s">
        <v>1864</v>
      </c>
      <c r="C4423" t="s">
        <v>10</v>
      </c>
      <c r="D4423" t="s">
        <v>103</v>
      </c>
      <c r="E4423">
        <f>5/107</f>
        <v>4.6728971962616821E-2</v>
      </c>
      <c r="F4423">
        <v>38</v>
      </c>
      <c r="G4423">
        <f>LOG(382/(38+1))</f>
        <v>0.99099875588520958</v>
      </c>
      <c r="H4423">
        <f>0.0467289719626168*2.28185896247692</f>
        <v>0.10662892348022986</v>
      </c>
      <c r="I4423">
        <v>0.1066289234802303</v>
      </c>
    </row>
    <row r="4424" spans="1:9" x14ac:dyDescent="0.25">
      <c r="A4424">
        <v>309</v>
      </c>
      <c r="B4424" t="s">
        <v>1864</v>
      </c>
      <c r="C4424" t="s">
        <v>10</v>
      </c>
      <c r="D4424" t="s">
        <v>1865</v>
      </c>
      <c r="E4424">
        <f>4/107</f>
        <v>3.7383177570093455E-2</v>
      </c>
      <c r="F4424">
        <v>3</v>
      </c>
      <c r="G4424">
        <f>LOG(382/(3+1))</f>
        <v>1.9800033715837464</v>
      </c>
      <c r="H4424">
        <f>0.0373831775700934*4.55912624748668</f>
        <v>0.17043462607426815</v>
      </c>
      <c r="I4424">
        <v>0.1704346260742686</v>
      </c>
    </row>
    <row r="4425" spans="1:9" x14ac:dyDescent="0.25">
      <c r="A4425">
        <v>309</v>
      </c>
      <c r="B4425" t="s">
        <v>1864</v>
      </c>
      <c r="C4425" t="s">
        <v>10</v>
      </c>
      <c r="D4425" t="s">
        <v>42</v>
      </c>
      <c r="E4425">
        <f t="shared" ref="E4425:E4431" si="200">1/107</f>
        <v>9.3457943925233638E-3</v>
      </c>
      <c r="F4425">
        <v>251</v>
      </c>
      <c r="G4425">
        <f>LOG(382/(251+1))</f>
        <v>0.18066282213016463</v>
      </c>
      <c r="H4425">
        <f>0.00934579439252336*0.415991521095151</f>
        <v>3.887771225188325E-3</v>
      </c>
      <c r="I4425">
        <v>3.8877712251883349E-3</v>
      </c>
    </row>
    <row r="4426" spans="1:9" x14ac:dyDescent="0.25">
      <c r="A4426">
        <v>309</v>
      </c>
      <c r="B4426" t="s">
        <v>1864</v>
      </c>
      <c r="C4426" t="s">
        <v>10</v>
      </c>
      <c r="D4426" t="s">
        <v>15</v>
      </c>
      <c r="E4426">
        <f t="shared" si="200"/>
        <v>9.3457943925233638E-3</v>
      </c>
      <c r="F4426">
        <v>112</v>
      </c>
      <c r="G4426">
        <f>LOG(382/(112+1))</f>
        <v>0.52898491942828896</v>
      </c>
      <c r="H4426">
        <f>0.00934579439252336*1.21803278989423</f>
        <v>1.138348401770308E-2</v>
      </c>
      <c r="I4426">
        <v>1.138348401770313E-2</v>
      </c>
    </row>
    <row r="4427" spans="1:9" x14ac:dyDescent="0.25">
      <c r="A4427">
        <v>309</v>
      </c>
      <c r="B4427" t="s">
        <v>1864</v>
      </c>
      <c r="C4427" t="s">
        <v>10</v>
      </c>
      <c r="D4427" t="s">
        <v>1866</v>
      </c>
      <c r="E4427">
        <f t="shared" si="200"/>
        <v>9.3457943925233638E-3</v>
      </c>
      <c r="F4427">
        <v>18</v>
      </c>
      <c r="G4427">
        <f>LOG(382/(18+1))</f>
        <v>1.3033097619588798</v>
      </c>
      <c r="H4427">
        <f>0.00934579439252336*3.00098162944013</f>
        <v>2.8046557284487184E-2</v>
      </c>
      <c r="I4427">
        <v>2.8046557284487239E-2</v>
      </c>
    </row>
    <row r="4428" spans="1:9" x14ac:dyDescent="0.25">
      <c r="A4428">
        <v>309</v>
      </c>
      <c r="B4428" t="s">
        <v>1864</v>
      </c>
      <c r="C4428" t="s">
        <v>10</v>
      </c>
      <c r="D4428" t="s">
        <v>1867</v>
      </c>
      <c r="E4428">
        <f t="shared" si="200"/>
        <v>9.3457943925233638E-3</v>
      </c>
      <c r="F4428">
        <v>3</v>
      </c>
      <c r="G4428">
        <f>LOG(382/(3+1))</f>
        <v>1.9800033715837464</v>
      </c>
      <c r="H4428">
        <f>0.00934579439252336*4.55912624748668</f>
        <v>4.2608656518567087E-2</v>
      </c>
      <c r="I4428">
        <v>4.2608656518567142E-2</v>
      </c>
    </row>
    <row r="4429" spans="1:9" x14ac:dyDescent="0.25">
      <c r="A4429">
        <v>309</v>
      </c>
      <c r="B4429" t="s">
        <v>1864</v>
      </c>
      <c r="C4429" t="s">
        <v>10</v>
      </c>
      <c r="D4429" t="s">
        <v>17</v>
      </c>
      <c r="E4429">
        <f t="shared" si="200"/>
        <v>9.3457943925233638E-3</v>
      </c>
      <c r="F4429">
        <v>169</v>
      </c>
      <c r="G4429">
        <f>LOG(382/(169+1))</f>
        <v>0.3516144415334348</v>
      </c>
      <c r="H4429">
        <f>0.00934579439252336*0.809622171556313</f>
        <v>7.566562350993576E-3</v>
      </c>
      <c r="I4429">
        <v>7.5665623509935829E-3</v>
      </c>
    </row>
    <row r="4430" spans="1:9" x14ac:dyDescent="0.25">
      <c r="A4430">
        <v>309</v>
      </c>
      <c r="B4430" t="s">
        <v>1864</v>
      </c>
      <c r="C4430" t="s">
        <v>10</v>
      </c>
      <c r="D4430" t="s">
        <v>70</v>
      </c>
      <c r="E4430">
        <f t="shared" si="200"/>
        <v>9.3457943925233638E-3</v>
      </c>
      <c r="F4430">
        <v>44</v>
      </c>
      <c r="G4430">
        <f>LOG(382/(44+1))</f>
        <v>0.92885084913636506</v>
      </c>
      <c r="H4430">
        <f>0.00934579439252336*2.13875811883625</f>
        <v>1.9988393633983637E-2</v>
      </c>
      <c r="I4430">
        <v>1.9988393633983689E-2</v>
      </c>
    </row>
    <row r="4431" spans="1:9" x14ac:dyDescent="0.25">
      <c r="A4431">
        <v>309</v>
      </c>
      <c r="B4431" t="s">
        <v>1864</v>
      </c>
      <c r="C4431" t="s">
        <v>10</v>
      </c>
      <c r="D4431" t="s">
        <v>19</v>
      </c>
      <c r="E4431">
        <f t="shared" si="200"/>
        <v>9.3457943925233638E-3</v>
      </c>
      <c r="F4431">
        <v>220</v>
      </c>
      <c r="G4431">
        <f>LOG(382/(220+1))</f>
        <v>0.23767108922659805</v>
      </c>
      <c r="H4431">
        <f>0.00934579439252336*0.547257907088822</f>
        <v>5.1145598793347832E-3</v>
      </c>
      <c r="I4431">
        <v>5.1145598793347876E-3</v>
      </c>
    </row>
    <row r="4432" spans="1:9" x14ac:dyDescent="0.25">
      <c r="A4432">
        <v>309</v>
      </c>
      <c r="B4432" t="s">
        <v>1864</v>
      </c>
      <c r="C4432" t="s">
        <v>10</v>
      </c>
      <c r="D4432" t="s">
        <v>44</v>
      </c>
      <c r="E4432">
        <f>2/107</f>
        <v>1.8691588785046728E-2</v>
      </c>
      <c r="F4432">
        <v>151</v>
      </c>
      <c r="G4432">
        <f>LOG(382/(151+1))</f>
        <v>0.40021977496693617</v>
      </c>
      <c r="H4432">
        <f>0.0186915887850467*0.921540087760298</f>
        <v>1.7225048369351337E-2</v>
      </c>
      <c r="I4432">
        <v>1.7225048369351379E-2</v>
      </c>
    </row>
    <row r="4433" spans="1:9" x14ac:dyDescent="0.25">
      <c r="A4433">
        <v>309</v>
      </c>
      <c r="B4433" t="s">
        <v>1864</v>
      </c>
      <c r="C4433" t="s">
        <v>10</v>
      </c>
      <c r="D4433" t="s">
        <v>22</v>
      </c>
      <c r="E4433">
        <f t="shared" ref="E4433:E4445" si="201">1/107</f>
        <v>9.3457943925233638E-3</v>
      </c>
      <c r="F4433">
        <v>259</v>
      </c>
      <c r="G4433">
        <f>LOG(382/(259+1))</f>
        <v>0.16709001494089079</v>
      </c>
      <c r="H4433">
        <f>0.00934579439252336*0.384738977591047</f>
        <v>3.595691379355578E-3</v>
      </c>
      <c r="I4433">
        <v>3.5956913793555841E-3</v>
      </c>
    </row>
    <row r="4434" spans="1:9" x14ac:dyDescent="0.25">
      <c r="A4434">
        <v>309</v>
      </c>
      <c r="B4434" t="s">
        <v>1864</v>
      </c>
      <c r="C4434" t="s">
        <v>10</v>
      </c>
      <c r="D4434" t="s">
        <v>23</v>
      </c>
      <c r="E4434">
        <f t="shared" si="201"/>
        <v>9.3457943925233638E-3</v>
      </c>
      <c r="F4434">
        <v>275</v>
      </c>
      <c r="G4434">
        <f>LOG(382/(275+1))</f>
        <v>0.14115428084649101</v>
      </c>
      <c r="H4434">
        <f>0.00934579439252336*0.325019742889425</f>
        <v>3.0375676905553721E-3</v>
      </c>
      <c r="I4434">
        <v>3.0375676905553752E-3</v>
      </c>
    </row>
    <row r="4435" spans="1:9" x14ac:dyDescent="0.25">
      <c r="A4435">
        <v>309</v>
      </c>
      <c r="B4435" t="s">
        <v>1864</v>
      </c>
      <c r="C4435" t="s">
        <v>10</v>
      </c>
      <c r="D4435" t="s">
        <v>204</v>
      </c>
      <c r="E4435">
        <f t="shared" si="201"/>
        <v>9.3457943925233638E-3</v>
      </c>
      <c r="F4435">
        <v>166</v>
      </c>
      <c r="G4435">
        <f>LOG(382/(166+1))</f>
        <v>0.35934689176412549</v>
      </c>
      <c r="H4435">
        <f>0.00934579439252336*0.82742679618982</f>
        <v>7.7329607120543891E-3</v>
      </c>
      <c r="I4435">
        <v>7.7329607120543934E-3</v>
      </c>
    </row>
    <row r="4436" spans="1:9" x14ac:dyDescent="0.25">
      <c r="A4436">
        <v>309</v>
      </c>
      <c r="B4436" t="s">
        <v>1864</v>
      </c>
      <c r="C4436" t="s">
        <v>10</v>
      </c>
      <c r="D4436" t="s">
        <v>77</v>
      </c>
      <c r="E4436">
        <f t="shared" si="201"/>
        <v>9.3457943925233638E-3</v>
      </c>
      <c r="F4436">
        <v>148</v>
      </c>
      <c r="G4436">
        <f>LOG(382/(148+1))</f>
        <v>0.40887709449943471</v>
      </c>
      <c r="H4436">
        <f>0.00934579439252336*0.941474302661116</f>
        <v>8.7988252585150979E-3</v>
      </c>
      <c r="I4436">
        <v>8.7988252585151031E-3</v>
      </c>
    </row>
    <row r="4437" spans="1:9" x14ac:dyDescent="0.25">
      <c r="A4437">
        <v>309</v>
      </c>
      <c r="B4437" t="s">
        <v>1864</v>
      </c>
      <c r="C4437" t="s">
        <v>10</v>
      </c>
      <c r="D4437" t="s">
        <v>331</v>
      </c>
      <c r="E4437">
        <f t="shared" si="201"/>
        <v>9.3457943925233638E-3</v>
      </c>
      <c r="F4437">
        <v>130</v>
      </c>
      <c r="G4437">
        <f>LOG(382/(130+1))</f>
        <v>0.46479206725594452</v>
      </c>
      <c r="H4437">
        <f>0.00934579439252336*1.07022328540542</f>
        <v>1.0002086779489903E-2</v>
      </c>
      <c r="I4437">
        <v>1.000208677948994E-2</v>
      </c>
    </row>
    <row r="4438" spans="1:9" x14ac:dyDescent="0.25">
      <c r="A4438">
        <v>309</v>
      </c>
      <c r="B4438" t="s">
        <v>1864</v>
      </c>
      <c r="C4438" t="s">
        <v>10</v>
      </c>
      <c r="D4438" t="s">
        <v>752</v>
      </c>
      <c r="E4438">
        <f t="shared" si="201"/>
        <v>9.3457943925233638E-3</v>
      </c>
      <c r="F4438">
        <v>34</v>
      </c>
      <c r="G4438">
        <f>LOG(382/(34+1))</f>
        <v>1.037995318561433</v>
      </c>
      <c r="H4438">
        <f>0.00934579439252336*2.39007254711716</f>
        <v>2.2337126608571577E-2</v>
      </c>
      <c r="I4438">
        <v>2.2337126608571602E-2</v>
      </c>
    </row>
    <row r="4439" spans="1:9" x14ac:dyDescent="0.25">
      <c r="A4439">
        <v>309</v>
      </c>
      <c r="B4439" t="s">
        <v>1864</v>
      </c>
      <c r="C4439" t="s">
        <v>10</v>
      </c>
      <c r="D4439" t="s">
        <v>1081</v>
      </c>
      <c r="E4439">
        <f t="shared" si="201"/>
        <v>9.3457943925233638E-3</v>
      </c>
      <c r="F4439">
        <v>27</v>
      </c>
      <c r="G4439">
        <f>LOG(382/(27+1))</f>
        <v>1.1349053315694895</v>
      </c>
      <c r="H4439">
        <f>0.00934579439252336*2.61321609843137</f>
        <v>2.4422580359171674E-2</v>
      </c>
      <c r="I4439">
        <v>2.4422580359171692E-2</v>
      </c>
    </row>
    <row r="4440" spans="1:9" x14ac:dyDescent="0.25">
      <c r="A4440">
        <v>309</v>
      </c>
      <c r="B4440" t="s">
        <v>1864</v>
      </c>
      <c r="C4440" t="s">
        <v>10</v>
      </c>
      <c r="D4440" t="s">
        <v>152</v>
      </c>
      <c r="E4440">
        <f t="shared" si="201"/>
        <v>9.3457943925233638E-3</v>
      </c>
      <c r="F4440">
        <v>31</v>
      </c>
      <c r="G4440">
        <f>LOG(382/(31+1))</f>
        <v>1.0769133845918029</v>
      </c>
      <c r="H4440">
        <f>0.00934579439252336*2.47968470580684</f>
        <v>2.3174623418755501E-2</v>
      </c>
      <c r="I4440">
        <v>2.3174623418755591E-2</v>
      </c>
    </row>
    <row r="4441" spans="1:9" x14ac:dyDescent="0.25">
      <c r="A4441">
        <v>309</v>
      </c>
      <c r="B4441" t="s">
        <v>1864</v>
      </c>
      <c r="C4441" t="s">
        <v>10</v>
      </c>
      <c r="D4441" t="s">
        <v>1868</v>
      </c>
      <c r="E4441">
        <f t="shared" si="201"/>
        <v>9.3457943925233638E-3</v>
      </c>
      <c r="F4441">
        <v>8</v>
      </c>
      <c r="G4441">
        <f>LOG(382/(8+1))</f>
        <v>1.6278208534723839</v>
      </c>
      <c r="H4441">
        <f>0.00934579439252336*3.74819603127035</f>
        <v>3.5029869451124747E-2</v>
      </c>
      <c r="I4441">
        <v>3.5029869451124823E-2</v>
      </c>
    </row>
    <row r="4442" spans="1:9" x14ac:dyDescent="0.25">
      <c r="A4442">
        <v>309</v>
      </c>
      <c r="B4442" t="s">
        <v>1864</v>
      </c>
      <c r="C4442" t="s">
        <v>10</v>
      </c>
      <c r="D4442" t="s">
        <v>11</v>
      </c>
      <c r="E4442">
        <f t="shared" si="201"/>
        <v>9.3457943925233638E-3</v>
      </c>
      <c r="F4442">
        <v>83</v>
      </c>
      <c r="G4442">
        <f>LOG(382/(83+1))</f>
        <v>0.65778407684982709</v>
      </c>
      <c r="H4442">
        <f>0.00934579439252336*1.51460380976326</f>
        <v>1.4155175792179992E-2</v>
      </c>
      <c r="I4442">
        <v>1.415517579218001E-2</v>
      </c>
    </row>
    <row r="4443" spans="1:9" x14ac:dyDescent="0.25">
      <c r="A4443">
        <v>309</v>
      </c>
      <c r="B4443" t="s">
        <v>1864</v>
      </c>
      <c r="C4443" t="s">
        <v>10</v>
      </c>
      <c r="D4443" t="s">
        <v>40</v>
      </c>
      <c r="E4443">
        <f t="shared" si="201"/>
        <v>9.3457943925233638E-3</v>
      </c>
      <c r="F4443">
        <v>159</v>
      </c>
      <c r="G4443">
        <f>LOG(382/(159+1))</f>
        <v>0.377943380255784</v>
      </c>
      <c r="H4443">
        <f>0.00934579439252336*0.870246793372748</f>
        <v>8.1331476016144634E-3</v>
      </c>
      <c r="I4443">
        <v>8.1331476016144703E-3</v>
      </c>
    </row>
    <row r="4444" spans="1:9" x14ac:dyDescent="0.25">
      <c r="A4444">
        <v>309</v>
      </c>
      <c r="B4444" t="s">
        <v>1864</v>
      </c>
      <c r="C4444" t="s">
        <v>10</v>
      </c>
      <c r="D4444" t="s">
        <v>41</v>
      </c>
      <c r="E4444">
        <f t="shared" si="201"/>
        <v>9.3457943925233638E-3</v>
      </c>
      <c r="F4444">
        <v>195</v>
      </c>
      <c r="G4444">
        <f>LOG(382/(195+1))</f>
        <v>0.28980729155523272</v>
      </c>
      <c r="H4444">
        <f>0.00934579439252336*0.667305949376058</f>
        <v>6.2365041997762402E-3</v>
      </c>
      <c r="I4444">
        <v>6.2365041997762428E-3</v>
      </c>
    </row>
    <row r="4445" spans="1:9" x14ac:dyDescent="0.25">
      <c r="A4445">
        <v>309</v>
      </c>
      <c r="B4445" t="s">
        <v>1864</v>
      </c>
      <c r="C4445" t="s">
        <v>10</v>
      </c>
      <c r="D4445" t="s">
        <v>1534</v>
      </c>
      <c r="E4445">
        <f t="shared" si="201"/>
        <v>9.3457943925233638E-3</v>
      </c>
      <c r="F4445">
        <v>25</v>
      </c>
      <c r="G4445">
        <f>LOG(382/(25+1))</f>
        <v>1.1670900149408907</v>
      </c>
      <c r="H4445">
        <f>0.00934579439252336*2.68732407058509</f>
        <v>2.5115178229767186E-2</v>
      </c>
      <c r="I4445">
        <v>2.5115178229767221E-2</v>
      </c>
    </row>
    <row r="4446" spans="1:9" x14ac:dyDescent="0.25">
      <c r="A4446">
        <v>309</v>
      </c>
      <c r="B4446" t="s">
        <v>1864</v>
      </c>
      <c r="C4446" t="s">
        <v>10</v>
      </c>
      <c r="D4446" t="s">
        <v>237</v>
      </c>
      <c r="E4446">
        <f>3/107</f>
        <v>2.8037383177570093E-2</v>
      </c>
      <c r="F4446">
        <v>138</v>
      </c>
      <c r="G4446">
        <f>LOG(382/(138+1))</f>
        <v>0.43904856265761361</v>
      </c>
      <c r="H4446">
        <f>0.02803738317757*1.01094667547588</f>
        <v>2.8344299312407756E-2</v>
      </c>
      <c r="I4446">
        <v>2.834429931240794E-2</v>
      </c>
    </row>
    <row r="4447" spans="1:9" x14ac:dyDescent="0.25">
      <c r="A4447">
        <v>309</v>
      </c>
      <c r="B4447" t="s">
        <v>1864</v>
      </c>
      <c r="C4447" t="s">
        <v>10</v>
      </c>
      <c r="D4447" t="s">
        <v>1869</v>
      </c>
      <c r="E4447">
        <f t="shared" ref="E4447:E4454" si="202">1/107</f>
        <v>9.3457943925233638E-3</v>
      </c>
      <c r="F4447">
        <v>1</v>
      </c>
      <c r="G4447">
        <f>LOG(382/(1+1))</f>
        <v>2.2810333672477277</v>
      </c>
      <c r="H4447">
        <f>0.00934579439252336*5.25227342804663</f>
        <v>4.9086667551837639E-2</v>
      </c>
      <c r="I4447">
        <v>4.9086667551837659E-2</v>
      </c>
    </row>
    <row r="4448" spans="1:9" x14ac:dyDescent="0.25">
      <c r="A4448">
        <v>309</v>
      </c>
      <c r="B4448" t="s">
        <v>1864</v>
      </c>
      <c r="C4448" t="s">
        <v>10</v>
      </c>
      <c r="D4448" t="s">
        <v>1870</v>
      </c>
      <c r="E4448">
        <f t="shared" si="202"/>
        <v>9.3457943925233638E-3</v>
      </c>
      <c r="F4448">
        <v>1</v>
      </c>
      <c r="G4448">
        <f>LOG(382/(1+1))</f>
        <v>2.2810333672477277</v>
      </c>
      <c r="H4448">
        <f>0.00934579439252336*5.25227342804663</f>
        <v>4.9086667551837639E-2</v>
      </c>
      <c r="I4448">
        <v>4.9086667551837659E-2</v>
      </c>
    </row>
    <row r="4449" spans="1:9" x14ac:dyDescent="0.25">
      <c r="A4449">
        <v>309</v>
      </c>
      <c r="B4449" t="s">
        <v>1864</v>
      </c>
      <c r="C4449" t="s">
        <v>10</v>
      </c>
      <c r="D4449" t="s">
        <v>161</v>
      </c>
      <c r="E4449">
        <f t="shared" si="202"/>
        <v>9.3457943925233638E-3</v>
      </c>
      <c r="F4449">
        <v>33</v>
      </c>
      <c r="G4449">
        <f>LOG(382/(33+1))</f>
        <v>1.0505844458694535</v>
      </c>
      <c r="H4449">
        <f>0.00934579439252336*2.41906008399041</f>
        <v>2.2608038168134663E-2</v>
      </c>
      <c r="I4449">
        <v>2.2608038168134701E-2</v>
      </c>
    </row>
    <row r="4450" spans="1:9" x14ac:dyDescent="0.25">
      <c r="A4450">
        <v>309</v>
      </c>
      <c r="B4450" t="s">
        <v>1864</v>
      </c>
      <c r="C4450" t="s">
        <v>10</v>
      </c>
      <c r="D4450" t="s">
        <v>932</v>
      </c>
      <c r="E4450">
        <f t="shared" si="202"/>
        <v>9.3457943925233638E-3</v>
      </c>
      <c r="F4450">
        <v>35</v>
      </c>
      <c r="G4450">
        <f>LOG(382/(35+1))</f>
        <v>1.0257608621444214</v>
      </c>
      <c r="H4450">
        <f>0.00934579439252336*2.36190167015046</f>
        <v>2.207384738458373E-2</v>
      </c>
      <c r="I4450">
        <v>2.2073847384583779E-2</v>
      </c>
    </row>
    <row r="4451" spans="1:9" x14ac:dyDescent="0.25">
      <c r="A4451">
        <v>309</v>
      </c>
      <c r="B4451" t="s">
        <v>1864</v>
      </c>
      <c r="C4451" t="s">
        <v>10</v>
      </c>
      <c r="D4451" t="s">
        <v>1745</v>
      </c>
      <c r="E4451">
        <f t="shared" si="202"/>
        <v>9.3457943925233638E-3</v>
      </c>
      <c r="F4451">
        <v>12</v>
      </c>
      <c r="G4451">
        <f>LOG(382/(12+1))</f>
        <v>1.468120010604872</v>
      </c>
      <c r="H4451">
        <f>0.00934579439252336*3.38047125114503</f>
        <v>3.1593189263037648E-2</v>
      </c>
      <c r="I4451">
        <v>3.1593189263037738E-2</v>
      </c>
    </row>
    <row r="4452" spans="1:9" x14ac:dyDescent="0.25">
      <c r="A4452">
        <v>309</v>
      </c>
      <c r="B4452" t="s">
        <v>1864</v>
      </c>
      <c r="C4452" t="s">
        <v>10</v>
      </c>
      <c r="D4452" t="s">
        <v>78</v>
      </c>
      <c r="E4452">
        <f t="shared" si="202"/>
        <v>9.3457943925233638E-3</v>
      </c>
      <c r="F4452">
        <v>122</v>
      </c>
      <c r="G4452">
        <f>LOG(382/(122+1))</f>
        <v>0.49215825147231079</v>
      </c>
      <c r="H4452">
        <f>0.00934579439252336*1.13323625323415</f>
        <v>1.0590993020879902E-2</v>
      </c>
      <c r="I4452">
        <v>1.059099302087998E-2</v>
      </c>
    </row>
    <row r="4453" spans="1:9" x14ac:dyDescent="0.25">
      <c r="A4453">
        <v>309</v>
      </c>
      <c r="B4453" t="s">
        <v>1864</v>
      </c>
      <c r="C4453" t="s">
        <v>10</v>
      </c>
      <c r="D4453" t="s">
        <v>483</v>
      </c>
      <c r="E4453">
        <f t="shared" si="202"/>
        <v>9.3457943925233638E-3</v>
      </c>
      <c r="F4453">
        <v>61</v>
      </c>
      <c r="G4453">
        <f>LOG(382/(61+1))</f>
        <v>0.7896716734134549</v>
      </c>
      <c r="H4453">
        <f>0.00934579439252336*1.81828622356148</f>
        <v>1.6993329192163356E-2</v>
      </c>
      <c r="I4453">
        <v>1.6993329192163401E-2</v>
      </c>
    </row>
    <row r="4454" spans="1:9" x14ac:dyDescent="0.25">
      <c r="A4454">
        <v>309</v>
      </c>
      <c r="B4454" t="s">
        <v>1864</v>
      </c>
      <c r="C4454" t="s">
        <v>10</v>
      </c>
      <c r="D4454" t="s">
        <v>1084</v>
      </c>
      <c r="E4454">
        <f t="shared" si="202"/>
        <v>9.3457943925233638E-3</v>
      </c>
      <c r="F4454">
        <v>6</v>
      </c>
      <c r="G4454">
        <f>LOG(382/(6+1))</f>
        <v>1.736965322897452</v>
      </c>
      <c r="H4454">
        <f>0.00934579439252336*3.99951045955126</f>
        <v>3.7378602425712691E-2</v>
      </c>
      <c r="I4454">
        <v>3.7378602425712733E-2</v>
      </c>
    </row>
    <row r="4455" spans="1:9" x14ac:dyDescent="0.25">
      <c r="A4455">
        <v>309</v>
      </c>
      <c r="B4455" t="s">
        <v>1864</v>
      </c>
      <c r="C4455" t="s">
        <v>10</v>
      </c>
      <c r="D4455" t="s">
        <v>960</v>
      </c>
      <c r="E4455">
        <f>2/107</f>
        <v>1.8691588785046728E-2</v>
      </c>
      <c r="F4455">
        <v>3</v>
      </c>
      <c r="G4455">
        <f>LOG(382/(3+1))</f>
        <v>1.9800033715837464</v>
      </c>
      <c r="H4455">
        <f>0.0186915887850467*4.55912624748668</f>
        <v>8.5217313037134076E-2</v>
      </c>
      <c r="I4455">
        <v>8.5217313037134285E-2</v>
      </c>
    </row>
    <row r="4456" spans="1:9" x14ac:dyDescent="0.25">
      <c r="A4456">
        <v>309</v>
      </c>
      <c r="B4456" t="s">
        <v>1864</v>
      </c>
      <c r="C4456" t="s">
        <v>10</v>
      </c>
      <c r="D4456" t="s">
        <v>105</v>
      </c>
      <c r="E4456">
        <f>1/107</f>
        <v>9.3457943925233638E-3</v>
      </c>
      <c r="F4456">
        <v>122</v>
      </c>
      <c r="G4456">
        <f>LOG(382/(122+1))</f>
        <v>0.49215825147231079</v>
      </c>
      <c r="H4456">
        <f>0.00934579439252336*1.13323625323415</f>
        <v>1.0590993020879902E-2</v>
      </c>
      <c r="I4456">
        <v>1.059099302087998E-2</v>
      </c>
    </row>
    <row r="4457" spans="1:9" x14ac:dyDescent="0.25">
      <c r="A4457">
        <v>309</v>
      </c>
      <c r="B4457" t="s">
        <v>1864</v>
      </c>
      <c r="C4457" t="s">
        <v>10</v>
      </c>
      <c r="D4457" t="s">
        <v>1355</v>
      </c>
      <c r="E4457">
        <f>1/107</f>
        <v>9.3457943925233638E-3</v>
      </c>
      <c r="F4457">
        <v>7</v>
      </c>
      <c r="G4457">
        <f>LOG(382/(7+1))</f>
        <v>1.6789733759197651</v>
      </c>
      <c r="H4457">
        <f>0.00934579439252336*3.86597906692673</f>
        <v>3.6130645485296528E-2</v>
      </c>
      <c r="I4457">
        <v>3.6130645485296632E-2</v>
      </c>
    </row>
    <row r="4458" spans="1:9" x14ac:dyDescent="0.25">
      <c r="A4458">
        <v>309</v>
      </c>
      <c r="B4458" t="s">
        <v>1864</v>
      </c>
      <c r="C4458" t="s">
        <v>10</v>
      </c>
      <c r="D4458" t="s">
        <v>201</v>
      </c>
      <c r="E4458">
        <f>2/107</f>
        <v>1.8691588785046728E-2</v>
      </c>
      <c r="F4458">
        <v>72</v>
      </c>
      <c r="G4458">
        <f>LOG(382/(72+1))</f>
        <v>0.71874050279125279</v>
      </c>
      <c r="H4458">
        <f>0.0186915887850467*1.65496116745818</f>
        <v>3.0933853597349108E-2</v>
      </c>
      <c r="I4458">
        <v>3.093385359734923E-2</v>
      </c>
    </row>
    <row r="4459" spans="1:9" x14ac:dyDescent="0.25">
      <c r="A4459">
        <v>309</v>
      </c>
      <c r="B4459" t="s">
        <v>1864</v>
      </c>
      <c r="C4459" t="s">
        <v>10</v>
      </c>
      <c r="D4459" t="s">
        <v>1871</v>
      </c>
      <c r="E4459">
        <f t="shared" ref="E4459:E4488" si="203">1/107</f>
        <v>9.3457943925233638E-3</v>
      </c>
      <c r="F4459">
        <v>4</v>
      </c>
      <c r="G4459">
        <f>LOG(382/(4+1))</f>
        <v>1.8830933585756899</v>
      </c>
      <c r="H4459">
        <f>0.00934579439252336*4.33598269617247</f>
        <v>4.0523202767966997E-2</v>
      </c>
      <c r="I4459">
        <v>4.0523202767967052E-2</v>
      </c>
    </row>
    <row r="4460" spans="1:9" x14ac:dyDescent="0.25">
      <c r="A4460">
        <v>309</v>
      </c>
      <c r="B4460" t="s">
        <v>1864</v>
      </c>
      <c r="C4460" t="s">
        <v>10</v>
      </c>
      <c r="D4460" t="s">
        <v>1872</v>
      </c>
      <c r="E4460">
        <f t="shared" si="203"/>
        <v>9.3457943925233638E-3</v>
      </c>
      <c r="F4460">
        <v>2</v>
      </c>
      <c r="G4460">
        <f>LOG(382/(2+1))</f>
        <v>2.1049421081920463</v>
      </c>
      <c r="H4460">
        <f>0.00934579439252336*4.84680831993846</f>
        <v>4.529727401811643E-2</v>
      </c>
      <c r="I4460">
        <v>4.5297274018116493E-2</v>
      </c>
    </row>
    <row r="4461" spans="1:9" x14ac:dyDescent="0.25">
      <c r="A4461">
        <v>309</v>
      </c>
      <c r="B4461" t="s">
        <v>1864</v>
      </c>
      <c r="C4461" t="s">
        <v>10</v>
      </c>
      <c r="D4461" t="s">
        <v>1873</v>
      </c>
      <c r="E4461">
        <f t="shared" si="203"/>
        <v>9.3457943925233638E-3</v>
      </c>
      <c r="F4461">
        <v>1</v>
      </c>
      <c r="G4461">
        <f>LOG(382/(1+1))</f>
        <v>2.2810333672477277</v>
      </c>
      <c r="H4461">
        <f>0.00934579439252336*5.25227342804663</f>
        <v>4.9086667551837639E-2</v>
      </c>
      <c r="I4461">
        <v>4.9086667551837659E-2</v>
      </c>
    </row>
    <row r="4462" spans="1:9" x14ac:dyDescent="0.25">
      <c r="A4462">
        <v>309</v>
      </c>
      <c r="B4462" t="s">
        <v>1864</v>
      </c>
      <c r="C4462" t="s">
        <v>10</v>
      </c>
      <c r="D4462" t="s">
        <v>1874</v>
      </c>
      <c r="E4462">
        <f t="shared" si="203"/>
        <v>9.3457943925233638E-3</v>
      </c>
      <c r="F4462">
        <v>2</v>
      </c>
      <c r="G4462">
        <f>LOG(382/(2+1))</f>
        <v>2.1049421081920463</v>
      </c>
      <c r="H4462">
        <f>0.00934579439252336*4.84680831993846</f>
        <v>4.529727401811643E-2</v>
      </c>
      <c r="I4462">
        <v>4.5297274018116493E-2</v>
      </c>
    </row>
    <row r="4463" spans="1:9" x14ac:dyDescent="0.25">
      <c r="A4463">
        <v>309</v>
      </c>
      <c r="B4463" t="s">
        <v>1864</v>
      </c>
      <c r="C4463" t="s">
        <v>10</v>
      </c>
      <c r="D4463" t="s">
        <v>401</v>
      </c>
      <c r="E4463">
        <f t="shared" si="203"/>
        <v>9.3457943925233638E-3</v>
      </c>
      <c r="F4463">
        <v>5</v>
      </c>
      <c r="G4463">
        <f>LOG(382/(5+1))</f>
        <v>1.803912112528065</v>
      </c>
      <c r="H4463">
        <f>0.00934579439252336*4.15366113937852</f>
        <v>3.8819262984845962E-2</v>
      </c>
      <c r="I4463">
        <v>3.8819262984845983E-2</v>
      </c>
    </row>
    <row r="4464" spans="1:9" x14ac:dyDescent="0.25">
      <c r="A4464">
        <v>309</v>
      </c>
      <c r="B4464" t="s">
        <v>1864</v>
      </c>
      <c r="C4464" t="s">
        <v>10</v>
      </c>
      <c r="D4464" t="s">
        <v>1875</v>
      </c>
      <c r="E4464">
        <f t="shared" si="203"/>
        <v>9.3457943925233638E-3</v>
      </c>
      <c r="F4464">
        <v>1</v>
      </c>
      <c r="G4464">
        <f>LOG(382/(1+1))</f>
        <v>2.2810333672477277</v>
      </c>
      <c r="H4464">
        <f>0.00934579439252336*5.25227342804663</f>
        <v>4.9086667551837639E-2</v>
      </c>
      <c r="I4464">
        <v>4.9086667551837659E-2</v>
      </c>
    </row>
    <row r="4465" spans="1:9" x14ac:dyDescent="0.25">
      <c r="A4465">
        <v>309</v>
      </c>
      <c r="B4465" t="s">
        <v>1864</v>
      </c>
      <c r="C4465" t="s">
        <v>10</v>
      </c>
      <c r="D4465" t="s">
        <v>449</v>
      </c>
      <c r="E4465">
        <f t="shared" si="203"/>
        <v>9.3457943925233638E-3</v>
      </c>
      <c r="F4465">
        <v>9</v>
      </c>
      <c r="G4465">
        <f>LOG(382/(9+1))</f>
        <v>1.5820633629117087</v>
      </c>
      <c r="H4465">
        <f>0.00934579439252336*3.64283551561252</f>
        <v>3.4045191734696431E-2</v>
      </c>
      <c r="I4465">
        <v>3.4045191734696542E-2</v>
      </c>
    </row>
    <row r="4466" spans="1:9" x14ac:dyDescent="0.25">
      <c r="A4466">
        <v>309</v>
      </c>
      <c r="B4466" t="s">
        <v>1864</v>
      </c>
      <c r="C4466" t="s">
        <v>10</v>
      </c>
      <c r="D4466" t="s">
        <v>344</v>
      </c>
      <c r="E4466">
        <f t="shared" si="203"/>
        <v>9.3457943925233638E-3</v>
      </c>
      <c r="F4466">
        <v>6</v>
      </c>
      <c r="G4466">
        <f>LOG(382/(6+1))</f>
        <v>1.736965322897452</v>
      </c>
      <c r="H4466">
        <f>0.00934579439252336*3.99951045955126</f>
        <v>3.7378602425712691E-2</v>
      </c>
      <c r="I4466">
        <v>3.7378602425712733E-2</v>
      </c>
    </row>
    <row r="4467" spans="1:9" x14ac:dyDescent="0.25">
      <c r="A4467">
        <v>309</v>
      </c>
      <c r="B4467" t="s">
        <v>1864</v>
      </c>
      <c r="C4467" t="s">
        <v>10</v>
      </c>
      <c r="D4467" t="s">
        <v>322</v>
      </c>
      <c r="E4467">
        <f t="shared" si="203"/>
        <v>9.3457943925233638E-3</v>
      </c>
      <c r="F4467">
        <v>128</v>
      </c>
      <c r="G4467">
        <f>LOG(382/(128+1))</f>
        <v>0.47147365261245977</v>
      </c>
      <c r="H4467">
        <f>0.00934579439252336*1.0856082042449</f>
        <v>1.0145871067709341E-2</v>
      </c>
      <c r="I4467">
        <v>1.014587106770937E-2</v>
      </c>
    </row>
    <row r="4468" spans="1:9" x14ac:dyDescent="0.25">
      <c r="A4468">
        <v>309</v>
      </c>
      <c r="B4468" t="s">
        <v>1864</v>
      </c>
      <c r="C4468" t="s">
        <v>10</v>
      </c>
      <c r="D4468" t="s">
        <v>81</v>
      </c>
      <c r="E4468">
        <f t="shared" si="203"/>
        <v>9.3457943925233638E-3</v>
      </c>
      <c r="F4468">
        <v>114</v>
      </c>
      <c r="G4468">
        <f>LOG(382/(114+1))</f>
        <v>0.52136552255809698</v>
      </c>
      <c r="H4468">
        <f>0.00934579439252336*1.20048848024332</f>
        <v>1.1219518506946911E-2</v>
      </c>
      <c r="I4468">
        <v>1.121951850694696E-2</v>
      </c>
    </row>
    <row r="4469" spans="1:9" x14ac:dyDescent="0.25">
      <c r="A4469">
        <v>309</v>
      </c>
      <c r="B4469" t="s">
        <v>1864</v>
      </c>
      <c r="C4469" t="s">
        <v>10</v>
      </c>
      <c r="D4469" t="s">
        <v>1808</v>
      </c>
      <c r="E4469">
        <f t="shared" si="203"/>
        <v>9.3457943925233638E-3</v>
      </c>
      <c r="F4469">
        <v>10</v>
      </c>
      <c r="G4469">
        <f>LOG(382/(10+1))</f>
        <v>1.5406706777534838</v>
      </c>
      <c r="H4469">
        <f>0.00934579439252336*3.5475253358082</f>
        <v>3.3154442390730829E-2</v>
      </c>
      <c r="I4469">
        <v>3.3154442390730877E-2</v>
      </c>
    </row>
    <row r="4470" spans="1:9" x14ac:dyDescent="0.25">
      <c r="A4470">
        <v>309</v>
      </c>
      <c r="B4470" t="s">
        <v>1864</v>
      </c>
      <c r="C4470" t="s">
        <v>10</v>
      </c>
      <c r="D4470" t="s">
        <v>324</v>
      </c>
      <c r="E4470">
        <f t="shared" si="203"/>
        <v>9.3457943925233638E-3</v>
      </c>
      <c r="F4470">
        <v>82</v>
      </c>
      <c r="G4470">
        <f>LOG(382/(82+1))</f>
        <v>0.66298527053563483</v>
      </c>
      <c r="H4470">
        <f>0.00934579439252336*1.52658000080997</f>
        <v>1.4267102811308123E-2</v>
      </c>
      <c r="I4470">
        <v>1.42671028113082E-2</v>
      </c>
    </row>
    <row r="4471" spans="1:9" x14ac:dyDescent="0.25">
      <c r="A4471">
        <v>309</v>
      </c>
      <c r="B4471" t="s">
        <v>1864</v>
      </c>
      <c r="C4471" t="s">
        <v>10</v>
      </c>
      <c r="D4471" t="s">
        <v>1222</v>
      </c>
      <c r="E4471">
        <f t="shared" si="203"/>
        <v>9.3457943925233638E-3</v>
      </c>
      <c r="F4471">
        <v>56</v>
      </c>
      <c r="G4471">
        <f>LOG(382/(56+1))</f>
        <v>0.82618850723921733</v>
      </c>
      <c r="H4471">
        <f>0.00934579439252336*1.90236934077202</f>
        <v>1.7779152717495507E-2</v>
      </c>
      <c r="I4471">
        <v>1.7779152717495559E-2</v>
      </c>
    </row>
    <row r="4472" spans="1:9" x14ac:dyDescent="0.25">
      <c r="A4472">
        <v>309</v>
      </c>
      <c r="B4472" t="s">
        <v>1864</v>
      </c>
      <c r="C4472" t="s">
        <v>10</v>
      </c>
      <c r="D4472" t="s">
        <v>485</v>
      </c>
      <c r="E4472">
        <f t="shared" si="203"/>
        <v>9.3457943925233638E-3</v>
      </c>
      <c r="F4472">
        <v>74</v>
      </c>
      <c r="G4472">
        <f>LOG(382/(74+1))</f>
        <v>0.7070020995200087</v>
      </c>
      <c r="H4472">
        <f>0.00934579439252336*1.62793249507026</f>
        <v>1.5214322383834199E-2</v>
      </c>
      <c r="I4472">
        <v>1.521432238383425E-2</v>
      </c>
    </row>
    <row r="4473" spans="1:9" x14ac:dyDescent="0.25">
      <c r="A4473">
        <v>309</v>
      </c>
      <c r="B4473" t="s">
        <v>1864</v>
      </c>
      <c r="C4473" t="s">
        <v>10</v>
      </c>
      <c r="D4473" t="s">
        <v>1876</v>
      </c>
      <c r="E4473">
        <f t="shared" si="203"/>
        <v>9.3457943925233638E-3</v>
      </c>
      <c r="F4473">
        <v>4</v>
      </c>
      <c r="G4473">
        <f>LOG(382/(4+1))</f>
        <v>1.8830933585756899</v>
      </c>
      <c r="H4473">
        <f>0.00934579439252336*4.33598269617247</f>
        <v>4.0523202767966997E-2</v>
      </c>
      <c r="I4473">
        <v>4.0523202767967052E-2</v>
      </c>
    </row>
    <row r="4474" spans="1:9" x14ac:dyDescent="0.25">
      <c r="A4474">
        <v>309</v>
      </c>
      <c r="B4474" t="s">
        <v>1864</v>
      </c>
      <c r="C4474" t="s">
        <v>10</v>
      </c>
      <c r="D4474" t="s">
        <v>1877</v>
      </c>
      <c r="E4474">
        <f t="shared" si="203"/>
        <v>9.3457943925233638E-3</v>
      </c>
      <c r="F4474">
        <v>1</v>
      </c>
      <c r="G4474">
        <f>LOG(382/(1+1))</f>
        <v>2.2810333672477277</v>
      </c>
      <c r="H4474">
        <f>0.00934579439252336*5.25227342804663</f>
        <v>4.9086667551837639E-2</v>
      </c>
      <c r="I4474">
        <v>4.9086667551837659E-2</v>
      </c>
    </row>
    <row r="4475" spans="1:9" x14ac:dyDescent="0.25">
      <c r="A4475">
        <v>309</v>
      </c>
      <c r="B4475" t="s">
        <v>1864</v>
      </c>
      <c r="C4475" t="s">
        <v>10</v>
      </c>
      <c r="D4475" t="s">
        <v>593</v>
      </c>
      <c r="E4475">
        <f t="shared" si="203"/>
        <v>9.3457943925233638E-3</v>
      </c>
      <c r="F4475">
        <v>30</v>
      </c>
      <c r="G4475">
        <f>LOG(382/(30+1))</f>
        <v>1.090701669077436</v>
      </c>
      <c r="H4475">
        <f>0.00934579439252336*2.51143340412142</f>
        <v>2.3471340225433821E-2</v>
      </c>
      <c r="I4475">
        <v>2.3471340225433911E-2</v>
      </c>
    </row>
    <row r="4476" spans="1:9" x14ac:dyDescent="0.25">
      <c r="A4476">
        <v>309</v>
      </c>
      <c r="B4476" t="s">
        <v>1864</v>
      </c>
      <c r="C4476" t="s">
        <v>10</v>
      </c>
      <c r="D4476" t="s">
        <v>1878</v>
      </c>
      <c r="E4476">
        <f t="shared" si="203"/>
        <v>9.3457943925233638E-3</v>
      </c>
      <c r="F4476">
        <v>1</v>
      </c>
      <c r="G4476">
        <f>LOG(382/(1+1))</f>
        <v>2.2810333672477277</v>
      </c>
      <c r="H4476">
        <f>0.00934579439252336*5.25227342804663</f>
        <v>4.9086667551837639E-2</v>
      </c>
      <c r="I4476">
        <v>4.9086667551837659E-2</v>
      </c>
    </row>
    <row r="4477" spans="1:9" x14ac:dyDescent="0.25">
      <c r="A4477">
        <v>309</v>
      </c>
      <c r="B4477" t="s">
        <v>1864</v>
      </c>
      <c r="C4477" t="s">
        <v>10</v>
      </c>
      <c r="D4477" t="s">
        <v>216</v>
      </c>
      <c r="E4477">
        <f t="shared" si="203"/>
        <v>9.3457943925233638E-3</v>
      </c>
      <c r="F4477">
        <v>63</v>
      </c>
      <c r="G4477">
        <f>LOG(382/(63+1))</f>
        <v>0.7758833889278216</v>
      </c>
      <c r="H4477">
        <f>0.00934579439252336*1.7865375252469</f>
        <v>1.6696612385485039E-2</v>
      </c>
      <c r="I4477">
        <v>1.6696612385485081E-2</v>
      </c>
    </row>
    <row r="4478" spans="1:9" x14ac:dyDescent="0.25">
      <c r="A4478">
        <v>309</v>
      </c>
      <c r="B4478" t="s">
        <v>1864</v>
      </c>
      <c r="C4478" t="s">
        <v>10</v>
      </c>
      <c r="D4478" t="s">
        <v>1879</v>
      </c>
      <c r="E4478">
        <f t="shared" si="203"/>
        <v>9.3457943925233638E-3</v>
      </c>
      <c r="F4478">
        <v>2</v>
      </c>
      <c r="G4478">
        <f>LOG(382/(2+1))</f>
        <v>2.1049421081920463</v>
      </c>
      <c r="H4478">
        <f>0.00934579439252336*4.84680831993846</f>
        <v>4.529727401811643E-2</v>
      </c>
      <c r="I4478">
        <v>4.5297274018116493E-2</v>
      </c>
    </row>
    <row r="4479" spans="1:9" x14ac:dyDescent="0.25">
      <c r="A4479">
        <v>309</v>
      </c>
      <c r="B4479" t="s">
        <v>1864</v>
      </c>
      <c r="C4479" t="s">
        <v>10</v>
      </c>
      <c r="D4479" t="s">
        <v>1540</v>
      </c>
      <c r="E4479">
        <f t="shared" si="203"/>
        <v>9.3457943925233638E-3</v>
      </c>
      <c r="F4479">
        <v>12</v>
      </c>
      <c r="G4479">
        <f>LOG(382/(12+1))</f>
        <v>1.468120010604872</v>
      </c>
      <c r="H4479">
        <f>0.00934579439252336*3.38047125114503</f>
        <v>3.1593189263037648E-2</v>
      </c>
      <c r="I4479">
        <v>3.1593189263037738E-2</v>
      </c>
    </row>
    <row r="4480" spans="1:9" x14ac:dyDescent="0.25">
      <c r="A4480">
        <v>309</v>
      </c>
      <c r="B4480" t="s">
        <v>1864</v>
      </c>
      <c r="C4480" t="s">
        <v>10</v>
      </c>
      <c r="D4480" t="s">
        <v>102</v>
      </c>
      <c r="E4480">
        <f t="shared" si="203"/>
        <v>9.3457943925233638E-3</v>
      </c>
      <c r="F4480">
        <v>4</v>
      </c>
      <c r="G4480">
        <f>LOG(382/(4+1))</f>
        <v>1.8830933585756899</v>
      </c>
      <c r="H4480">
        <f>0.00934579439252336*4.33598269617247</f>
        <v>4.0523202767966997E-2</v>
      </c>
      <c r="I4480">
        <v>4.0523202767967052E-2</v>
      </c>
    </row>
    <row r="4481" spans="1:9" x14ac:dyDescent="0.25">
      <c r="A4481">
        <v>309</v>
      </c>
      <c r="B4481" t="s">
        <v>1864</v>
      </c>
      <c r="C4481" t="s">
        <v>10</v>
      </c>
      <c r="D4481" t="s">
        <v>133</v>
      </c>
      <c r="E4481">
        <f t="shared" si="203"/>
        <v>9.3457943925233638E-3</v>
      </c>
      <c r="F4481">
        <v>142</v>
      </c>
      <c r="G4481">
        <f>LOG(382/(142+1))</f>
        <v>0.42672732544664693</v>
      </c>
      <c r="H4481">
        <f>0.00934579439252336*0.982575978346667</f>
        <v>9.1829530686604356E-3</v>
      </c>
      <c r="I4481">
        <v>9.182953068660446E-3</v>
      </c>
    </row>
    <row r="4482" spans="1:9" x14ac:dyDescent="0.25">
      <c r="A4482">
        <v>309</v>
      </c>
      <c r="B4482" t="s">
        <v>1864</v>
      </c>
      <c r="C4482" t="s">
        <v>10</v>
      </c>
      <c r="D4482" t="s">
        <v>123</v>
      </c>
      <c r="E4482">
        <f t="shared" si="203"/>
        <v>9.3457943925233638E-3</v>
      </c>
      <c r="F4482">
        <v>74</v>
      </c>
      <c r="G4482">
        <f>LOG(382/(74+1))</f>
        <v>0.7070020995200087</v>
      </c>
      <c r="H4482">
        <f>0.00934579439252336*1.62793249507026</f>
        <v>1.5214322383834199E-2</v>
      </c>
      <c r="I4482">
        <v>1.521432238383425E-2</v>
      </c>
    </row>
    <row r="4483" spans="1:9" x14ac:dyDescent="0.25">
      <c r="A4483">
        <v>309</v>
      </c>
      <c r="B4483" t="s">
        <v>1864</v>
      </c>
      <c r="C4483" t="s">
        <v>10</v>
      </c>
      <c r="D4483" t="s">
        <v>1880</v>
      </c>
      <c r="E4483">
        <f t="shared" si="203"/>
        <v>9.3457943925233638E-3</v>
      </c>
      <c r="F4483">
        <v>4</v>
      </c>
      <c r="G4483">
        <f>LOG(382/(4+1))</f>
        <v>1.8830933585756899</v>
      </c>
      <c r="H4483">
        <f>0.00934579439252336*4.33598269617247</f>
        <v>4.0523202767966997E-2</v>
      </c>
      <c r="I4483">
        <v>4.0523202767967052E-2</v>
      </c>
    </row>
    <row r="4484" spans="1:9" x14ac:dyDescent="0.25">
      <c r="A4484">
        <v>309</v>
      </c>
      <c r="B4484" t="s">
        <v>1864</v>
      </c>
      <c r="C4484" t="s">
        <v>10</v>
      </c>
      <c r="D4484" t="s">
        <v>1533</v>
      </c>
      <c r="E4484">
        <f t="shared" si="203"/>
        <v>9.3457943925233638E-3</v>
      </c>
      <c r="F4484">
        <v>33</v>
      </c>
      <c r="G4484">
        <f>LOG(382/(33+1))</f>
        <v>1.0505844458694535</v>
      </c>
      <c r="H4484">
        <f>0.00934579439252336*2.41906008399041</f>
        <v>2.2608038168134663E-2</v>
      </c>
      <c r="I4484">
        <v>2.2608038168134701E-2</v>
      </c>
    </row>
    <row r="4485" spans="1:9" x14ac:dyDescent="0.25">
      <c r="A4485">
        <v>309</v>
      </c>
      <c r="B4485" t="s">
        <v>1864</v>
      </c>
      <c r="C4485" t="s">
        <v>10</v>
      </c>
      <c r="D4485" t="s">
        <v>1857</v>
      </c>
      <c r="E4485">
        <f t="shared" si="203"/>
        <v>9.3457943925233638E-3</v>
      </c>
      <c r="F4485">
        <v>17</v>
      </c>
      <c r="G4485">
        <f>LOG(382/(17+1))</f>
        <v>1.3267908578084027</v>
      </c>
      <c r="H4485">
        <f>0.00934579439252336*3.05504885071041</f>
        <v>2.8551858417854285E-2</v>
      </c>
      <c r="I4485">
        <v>2.8551858417854299E-2</v>
      </c>
    </row>
    <row r="4486" spans="1:9" x14ac:dyDescent="0.25">
      <c r="A4486">
        <v>309</v>
      </c>
      <c r="B4486" t="s">
        <v>1864</v>
      </c>
      <c r="C4486" t="s">
        <v>10</v>
      </c>
      <c r="D4486" t="s">
        <v>1083</v>
      </c>
      <c r="E4486">
        <f t="shared" si="203"/>
        <v>9.3457943925233638E-3</v>
      </c>
      <c r="F4486">
        <v>51</v>
      </c>
      <c r="G4486">
        <f>LOG(382/(51+1))</f>
        <v>0.86606001927690957</v>
      </c>
      <c r="H4486">
        <f>0.00934579439252336*1.99417689002514</f>
        <v>1.8637167196496628E-2</v>
      </c>
      <c r="I4486">
        <v>1.8637167196496711E-2</v>
      </c>
    </row>
    <row r="4487" spans="1:9" x14ac:dyDescent="0.25">
      <c r="A4487">
        <v>309</v>
      </c>
      <c r="B4487" t="s">
        <v>1864</v>
      </c>
      <c r="C4487" t="s">
        <v>10</v>
      </c>
      <c r="D4487" t="s">
        <v>1881</v>
      </c>
      <c r="E4487">
        <f t="shared" si="203"/>
        <v>9.3457943925233638E-3</v>
      </c>
      <c r="F4487">
        <v>1</v>
      </c>
      <c r="G4487">
        <f>LOG(382/(1+1))</f>
        <v>2.2810333672477277</v>
      </c>
      <c r="H4487">
        <f>0.00934579439252336*5.25227342804663</f>
        <v>4.9086667551837639E-2</v>
      </c>
      <c r="I4487">
        <v>4.9086667551837659E-2</v>
      </c>
    </row>
    <row r="4488" spans="1:9" x14ac:dyDescent="0.25">
      <c r="A4488">
        <v>309</v>
      </c>
      <c r="B4488" t="s">
        <v>1864</v>
      </c>
      <c r="C4488" t="s">
        <v>10</v>
      </c>
      <c r="D4488" t="s">
        <v>76</v>
      </c>
      <c r="E4488">
        <f t="shared" si="203"/>
        <v>9.3457943925233638E-3</v>
      </c>
      <c r="F4488">
        <v>140</v>
      </c>
      <c r="G4488">
        <f>LOG(382/(140+1))</f>
        <v>0.43284425025632883</v>
      </c>
      <c r="H4488">
        <f>0.00934579439252336*0.996660718228407</f>
        <v>9.3145861516673503E-3</v>
      </c>
      <c r="I4488">
        <v>9.3145861516673537E-3</v>
      </c>
    </row>
    <row r="4489" spans="1:9" x14ac:dyDescent="0.25">
      <c r="A4489">
        <v>309</v>
      </c>
      <c r="B4489" t="s">
        <v>1864</v>
      </c>
      <c r="C4489" t="s">
        <v>10</v>
      </c>
      <c r="D4489" t="s">
        <v>1882</v>
      </c>
      <c r="E4489">
        <f>2/107</f>
        <v>1.8691588785046728E-2</v>
      </c>
      <c r="F4489">
        <v>1</v>
      </c>
      <c r="G4489">
        <f>LOG(382/(1+1))</f>
        <v>2.2810333672477277</v>
      </c>
      <c r="H4489">
        <f>0.0186915887850467*5.25227342804663</f>
        <v>9.8173335103675166E-2</v>
      </c>
      <c r="I4489">
        <v>9.8173335103675319E-2</v>
      </c>
    </row>
    <row r="4490" spans="1:9" x14ac:dyDescent="0.25">
      <c r="A4490">
        <v>309</v>
      </c>
      <c r="B4490" t="s">
        <v>1864</v>
      </c>
      <c r="C4490" t="s">
        <v>10</v>
      </c>
      <c r="D4490" t="s">
        <v>333</v>
      </c>
      <c r="E4490">
        <f t="shared" ref="E4490:E4507" si="204">1/107</f>
        <v>9.3457943925233638E-3</v>
      </c>
      <c r="F4490">
        <v>9</v>
      </c>
      <c r="G4490">
        <f>LOG(382/(9+1))</f>
        <v>1.5820633629117087</v>
      </c>
      <c r="H4490">
        <f>0.00934579439252336*3.64283551561252</f>
        <v>3.4045191734696431E-2</v>
      </c>
      <c r="I4490">
        <v>3.4045191734696542E-2</v>
      </c>
    </row>
    <row r="4491" spans="1:9" x14ac:dyDescent="0.25">
      <c r="A4491">
        <v>309</v>
      </c>
      <c r="B4491" t="s">
        <v>1864</v>
      </c>
      <c r="C4491" t="s">
        <v>10</v>
      </c>
      <c r="D4491" t="s">
        <v>1883</v>
      </c>
      <c r="E4491">
        <f t="shared" si="204"/>
        <v>9.3457943925233638E-3</v>
      </c>
      <c r="F4491">
        <v>1</v>
      </c>
      <c r="G4491">
        <f>LOG(382/(1+1))</f>
        <v>2.2810333672477277</v>
      </c>
      <c r="H4491">
        <f>0.00934579439252336*5.25227342804663</f>
        <v>4.9086667551837639E-2</v>
      </c>
      <c r="I4491">
        <v>4.9086667551837659E-2</v>
      </c>
    </row>
    <row r="4492" spans="1:9" x14ac:dyDescent="0.25">
      <c r="A4492">
        <v>309</v>
      </c>
      <c r="B4492" t="s">
        <v>1864</v>
      </c>
      <c r="C4492" t="s">
        <v>10</v>
      </c>
      <c r="D4492" t="s">
        <v>475</v>
      </c>
      <c r="E4492">
        <f t="shared" si="204"/>
        <v>9.3457943925233638E-3</v>
      </c>
      <c r="F4492">
        <v>16</v>
      </c>
      <c r="G4492">
        <f>LOG(382/(16+1))</f>
        <v>1.3516144415334348</v>
      </c>
      <c r="H4492">
        <f>0.00934579439252336*3.11220726455035</f>
        <v>2.9086049201405124E-2</v>
      </c>
      <c r="I4492">
        <v>2.9086049201405222E-2</v>
      </c>
    </row>
    <row r="4493" spans="1:9" x14ac:dyDescent="0.25">
      <c r="A4493">
        <v>309</v>
      </c>
      <c r="B4493" t="s">
        <v>1864</v>
      </c>
      <c r="C4493" t="s">
        <v>10</v>
      </c>
      <c r="D4493" t="s">
        <v>68</v>
      </c>
      <c r="E4493">
        <f t="shared" si="204"/>
        <v>9.3457943925233638E-3</v>
      </c>
      <c r="F4493">
        <v>43</v>
      </c>
      <c r="G4493">
        <f>LOG(382/(43+1))</f>
        <v>0.93861068642552126</v>
      </c>
      <c r="H4493">
        <f>0.00934579439252336*2.16123097468831</f>
        <v>2.0198420324189802E-2</v>
      </c>
      <c r="I4493">
        <v>2.019842032418985E-2</v>
      </c>
    </row>
    <row r="4494" spans="1:9" x14ac:dyDescent="0.25">
      <c r="A4494">
        <v>309</v>
      </c>
      <c r="B4494" t="s">
        <v>1864</v>
      </c>
      <c r="C4494" t="s">
        <v>10</v>
      </c>
      <c r="D4494" t="s">
        <v>247</v>
      </c>
      <c r="E4494">
        <f t="shared" si="204"/>
        <v>9.3457943925233638E-3</v>
      </c>
      <c r="F4494">
        <v>121</v>
      </c>
      <c r="G4494">
        <f>LOG(382/(121+1))</f>
        <v>0.49570353223696051</v>
      </c>
      <c r="H4494">
        <f>0.00934579439252336*1.14139956387331</f>
        <v>1.066728564367579E-2</v>
      </c>
      <c r="I4494">
        <v>1.066728564367588E-2</v>
      </c>
    </row>
    <row r="4495" spans="1:9" x14ac:dyDescent="0.25">
      <c r="A4495">
        <v>309</v>
      </c>
      <c r="B4495" t="s">
        <v>1864</v>
      </c>
      <c r="C4495" t="s">
        <v>10</v>
      </c>
      <c r="D4495" t="s">
        <v>39</v>
      </c>
      <c r="E4495">
        <f t="shared" si="204"/>
        <v>9.3457943925233638E-3</v>
      </c>
      <c r="F4495">
        <v>145</v>
      </c>
      <c r="G4495">
        <f>LOG(382/(145+1))</f>
        <v>0.41771050712727159</v>
      </c>
      <c r="H4495">
        <f>0.00934579439252336*0.961813986898238</f>
        <v>8.9889157654040892E-3</v>
      </c>
      <c r="I4495">
        <v>8.9889157654040996E-3</v>
      </c>
    </row>
    <row r="4496" spans="1:9" x14ac:dyDescent="0.25">
      <c r="A4496">
        <v>309</v>
      </c>
      <c r="B4496" t="s">
        <v>1864</v>
      </c>
      <c r="C4496" t="s">
        <v>10</v>
      </c>
      <c r="D4496" t="s">
        <v>1079</v>
      </c>
      <c r="E4496">
        <f t="shared" si="204"/>
        <v>9.3457943925233638E-3</v>
      </c>
      <c r="F4496">
        <v>34</v>
      </c>
      <c r="G4496">
        <f>LOG(382/(34+1))</f>
        <v>1.037995318561433</v>
      </c>
      <c r="H4496">
        <f>0.00934579439252336*2.39007254711716</f>
        <v>2.2337126608571577E-2</v>
      </c>
      <c r="I4496">
        <v>2.2337126608571602E-2</v>
      </c>
    </row>
    <row r="4497" spans="1:9" x14ac:dyDescent="0.25">
      <c r="A4497">
        <v>309</v>
      </c>
      <c r="B4497" t="s">
        <v>1864</v>
      </c>
      <c r="C4497" t="s">
        <v>10</v>
      </c>
      <c r="D4497" t="s">
        <v>1884</v>
      </c>
      <c r="E4497">
        <f t="shared" si="204"/>
        <v>9.3457943925233638E-3</v>
      </c>
      <c r="F4497">
        <v>9</v>
      </c>
      <c r="G4497">
        <f>LOG(382/(9+1))</f>
        <v>1.5820633629117087</v>
      </c>
      <c r="H4497">
        <f>0.00934579439252336*3.64283551561252</f>
        <v>3.4045191734696431E-2</v>
      </c>
      <c r="I4497">
        <v>3.4045191734696542E-2</v>
      </c>
    </row>
    <row r="4498" spans="1:9" x14ac:dyDescent="0.25">
      <c r="A4498">
        <v>309</v>
      </c>
      <c r="B4498" t="s">
        <v>1864</v>
      </c>
      <c r="C4498" t="s">
        <v>10</v>
      </c>
      <c r="D4498" t="s">
        <v>119</v>
      </c>
      <c r="E4498">
        <f t="shared" si="204"/>
        <v>9.3457943925233638E-3</v>
      </c>
      <c r="F4498">
        <v>79</v>
      </c>
      <c r="G4498">
        <f>LOG(382/(79+1))</f>
        <v>0.67897337591976514</v>
      </c>
      <c r="H4498">
        <f>0.00934579439252336*1.56339397393269</f>
        <v>1.4611158634884948E-2</v>
      </c>
      <c r="I4498">
        <v>1.4611158634884989E-2</v>
      </c>
    </row>
    <row r="4499" spans="1:9" x14ac:dyDescent="0.25">
      <c r="A4499">
        <v>309</v>
      </c>
      <c r="B4499" t="s">
        <v>1864</v>
      </c>
      <c r="C4499" t="s">
        <v>10</v>
      </c>
      <c r="D4499" t="s">
        <v>1164</v>
      </c>
      <c r="E4499">
        <f t="shared" si="204"/>
        <v>9.3457943925233638E-3</v>
      </c>
      <c r="F4499">
        <v>4</v>
      </c>
      <c r="G4499">
        <f>LOG(382/(4+1))</f>
        <v>1.8830933585756899</v>
      </c>
      <c r="H4499">
        <f>0.00934579439252336*4.33598269617247</f>
        <v>4.0523202767966997E-2</v>
      </c>
      <c r="I4499">
        <v>4.0523202767967052E-2</v>
      </c>
    </row>
    <row r="4500" spans="1:9" x14ac:dyDescent="0.25">
      <c r="A4500">
        <v>309</v>
      </c>
      <c r="B4500" t="s">
        <v>1864</v>
      </c>
      <c r="C4500" t="s">
        <v>10</v>
      </c>
      <c r="D4500" t="s">
        <v>884</v>
      </c>
      <c r="E4500">
        <f t="shared" si="204"/>
        <v>9.3457943925233638E-3</v>
      </c>
      <c r="F4500">
        <v>6</v>
      </c>
      <c r="G4500">
        <f>LOG(382/(6+1))</f>
        <v>1.736965322897452</v>
      </c>
      <c r="H4500">
        <f>0.00934579439252336*3.99951045955126</f>
        <v>3.7378602425712691E-2</v>
      </c>
      <c r="I4500">
        <v>3.7378602425712733E-2</v>
      </c>
    </row>
    <row r="4501" spans="1:9" x14ac:dyDescent="0.25">
      <c r="A4501">
        <v>309</v>
      </c>
      <c r="B4501" t="s">
        <v>1864</v>
      </c>
      <c r="C4501" t="s">
        <v>10</v>
      </c>
      <c r="D4501" t="s">
        <v>243</v>
      </c>
      <c r="E4501">
        <f t="shared" si="204"/>
        <v>9.3457943925233638E-3</v>
      </c>
      <c r="F4501">
        <v>131</v>
      </c>
      <c r="G4501">
        <f>LOG(382/(131+1))</f>
        <v>0.46148943170585888</v>
      </c>
      <c r="H4501">
        <f>0.00934579439252336*1.0626186860202</f>
        <v>9.9310157571981268E-3</v>
      </c>
      <c r="I4501">
        <v>9.9310157571981701E-3</v>
      </c>
    </row>
    <row r="4502" spans="1:9" x14ac:dyDescent="0.25">
      <c r="A4502">
        <v>309</v>
      </c>
      <c r="B4502" t="s">
        <v>1864</v>
      </c>
      <c r="C4502" t="s">
        <v>10</v>
      </c>
      <c r="D4502" t="s">
        <v>458</v>
      </c>
      <c r="E4502">
        <f t="shared" si="204"/>
        <v>9.3457943925233638E-3</v>
      </c>
      <c r="F4502">
        <v>34</v>
      </c>
      <c r="G4502">
        <f>LOG(382/(34+1))</f>
        <v>1.037995318561433</v>
      </c>
      <c r="H4502">
        <f>0.00934579439252336*2.39007254711716</f>
        <v>2.2337126608571577E-2</v>
      </c>
      <c r="I4502">
        <v>2.2337126608571602E-2</v>
      </c>
    </row>
    <row r="4503" spans="1:9" x14ac:dyDescent="0.25">
      <c r="A4503">
        <v>309</v>
      </c>
      <c r="B4503" t="s">
        <v>1864</v>
      </c>
      <c r="C4503" t="s">
        <v>10</v>
      </c>
      <c r="D4503" t="s">
        <v>459</v>
      </c>
      <c r="E4503">
        <f t="shared" si="204"/>
        <v>9.3457943925233638E-3</v>
      </c>
      <c r="F4503">
        <v>14</v>
      </c>
      <c r="G4503">
        <f>LOG(382/(14+1))</f>
        <v>1.4059721038560276</v>
      </c>
      <c r="H4503">
        <f>0.00934579439252336*3.23737040750436</f>
        <v>3.0255798200975313E-2</v>
      </c>
      <c r="I4503">
        <v>3.0255798200975369E-2</v>
      </c>
    </row>
    <row r="4504" spans="1:9" x14ac:dyDescent="0.25">
      <c r="A4504">
        <v>309</v>
      </c>
      <c r="B4504" t="s">
        <v>1864</v>
      </c>
      <c r="C4504" t="s">
        <v>10</v>
      </c>
      <c r="D4504" t="s">
        <v>263</v>
      </c>
      <c r="E4504">
        <f t="shared" si="204"/>
        <v>9.3457943925233638E-3</v>
      </c>
      <c r="F4504">
        <v>41</v>
      </c>
      <c r="G4504">
        <f>LOG(382/(41+1))</f>
        <v>0.95881407251380824</v>
      </c>
      <c r="H4504">
        <f>0.00934579439252336*2.2077509903232</f>
        <v>2.0633186825450459E-2</v>
      </c>
      <c r="I4504">
        <v>2.0633186825450529E-2</v>
      </c>
    </row>
    <row r="4505" spans="1:9" x14ac:dyDescent="0.25">
      <c r="A4505">
        <v>309</v>
      </c>
      <c r="B4505" t="s">
        <v>1864</v>
      </c>
      <c r="C4505" t="s">
        <v>10</v>
      </c>
      <c r="D4505" t="s">
        <v>887</v>
      </c>
      <c r="E4505">
        <f t="shared" si="204"/>
        <v>9.3457943925233638E-3</v>
      </c>
      <c r="F4505">
        <v>12</v>
      </c>
      <c r="G4505">
        <f>LOG(382/(12+1))</f>
        <v>1.468120010604872</v>
      </c>
      <c r="H4505">
        <f>0.00934579439252336*3.38047125114503</f>
        <v>3.1593189263037648E-2</v>
      </c>
      <c r="I4505">
        <v>3.1593189263037738E-2</v>
      </c>
    </row>
    <row r="4506" spans="1:9" x14ac:dyDescent="0.25">
      <c r="A4506">
        <v>309</v>
      </c>
      <c r="B4506" t="s">
        <v>1864</v>
      </c>
      <c r="C4506" t="s">
        <v>10</v>
      </c>
      <c r="D4506" t="s">
        <v>888</v>
      </c>
      <c r="E4506">
        <f t="shared" si="204"/>
        <v>9.3457943925233638E-3</v>
      </c>
      <c r="F4506">
        <v>21</v>
      </c>
      <c r="G4506">
        <f>LOG(382/(21+1))</f>
        <v>1.2396406820895025</v>
      </c>
      <c r="H4506">
        <f>0.00934579439252336*2.85437815524825</f>
        <v>2.6676431357460267E-2</v>
      </c>
      <c r="I4506">
        <v>2.667643135746036E-2</v>
      </c>
    </row>
    <row r="4507" spans="1:9" x14ac:dyDescent="0.25">
      <c r="A4507">
        <v>309</v>
      </c>
      <c r="B4507" t="s">
        <v>1864</v>
      </c>
      <c r="C4507" t="s">
        <v>10</v>
      </c>
      <c r="D4507" t="s">
        <v>676</v>
      </c>
      <c r="E4507">
        <f t="shared" si="204"/>
        <v>9.3457943925233638E-3</v>
      </c>
      <c r="F4507">
        <v>20</v>
      </c>
      <c r="G4507">
        <f>LOG(382/(20+1))</f>
        <v>1.2598440681777894</v>
      </c>
      <c r="H4507">
        <f>0.00934579439252336*2.90089817088315</f>
        <v>2.7111197858721018E-2</v>
      </c>
      <c r="I4507">
        <v>2.7111197858721049E-2</v>
      </c>
    </row>
    <row r="4508" spans="1:9" x14ac:dyDescent="0.25">
      <c r="A4508">
        <v>310</v>
      </c>
      <c r="B4508" t="s">
        <v>1885</v>
      </c>
      <c r="C4508" t="s">
        <v>10</v>
      </c>
      <c r="D4508" t="s">
        <v>315</v>
      </c>
      <c r="E4508">
        <f>11/220</f>
        <v>0.05</v>
      </c>
      <c r="F4508">
        <v>55</v>
      </c>
      <c r="G4508">
        <f>LOG(382/(55+1))</f>
        <v>0.83387533590550833</v>
      </c>
      <c r="H4508">
        <f>0.05*1.92006891787142</f>
        <v>9.6003445893571016E-2</v>
      </c>
      <c r="I4508">
        <v>9.6003445893571293E-2</v>
      </c>
    </row>
    <row r="4509" spans="1:9" x14ac:dyDescent="0.25">
      <c r="A4509">
        <v>310</v>
      </c>
      <c r="B4509" t="s">
        <v>1885</v>
      </c>
      <c r="C4509" t="s">
        <v>10</v>
      </c>
      <c r="D4509" t="s">
        <v>316</v>
      </c>
      <c r="E4509">
        <f>5/220</f>
        <v>2.2727272727272728E-2</v>
      </c>
      <c r="F4509">
        <v>6</v>
      </c>
      <c r="G4509">
        <f>LOG(382/(6+1))</f>
        <v>1.736965322897452</v>
      </c>
      <c r="H4509">
        <f>0.0227272727272727*3.99951045955126</f>
        <v>9.0897964989801253E-2</v>
      </c>
      <c r="I4509">
        <v>9.0897964989801405E-2</v>
      </c>
    </row>
    <row r="4510" spans="1:9" x14ac:dyDescent="0.25">
      <c r="A4510">
        <v>310</v>
      </c>
      <c r="B4510" t="s">
        <v>1885</v>
      </c>
      <c r="C4510" t="s">
        <v>10</v>
      </c>
      <c r="D4510" t="s">
        <v>147</v>
      </c>
      <c r="E4510">
        <f>7/220</f>
        <v>3.1818181818181815E-2</v>
      </c>
      <c r="F4510">
        <v>48</v>
      </c>
      <c r="G4510">
        <f>LOG(382/(48+1))</f>
        <v>0.89186728288319506</v>
      </c>
      <c r="H4510">
        <f>0.0318181818181818*2.05360031049594</f>
        <v>6.5341828061234411E-2</v>
      </c>
      <c r="I4510">
        <v>6.534182806123473E-2</v>
      </c>
    </row>
    <row r="4511" spans="1:9" x14ac:dyDescent="0.25">
      <c r="A4511">
        <v>310</v>
      </c>
      <c r="B4511" t="s">
        <v>1885</v>
      </c>
      <c r="C4511" t="s">
        <v>10</v>
      </c>
      <c r="D4511" t="s">
        <v>1886</v>
      </c>
      <c r="E4511">
        <f>1/220</f>
        <v>4.5454545454545452E-3</v>
      </c>
      <c r="F4511">
        <v>1</v>
      </c>
      <c r="G4511">
        <f>LOG(382/(1+1))</f>
        <v>2.2810333672477277</v>
      </c>
      <c r="H4511">
        <f>0.00454545454545454*5.25227342804663</f>
        <v>2.3873970127484653E-2</v>
      </c>
      <c r="I4511">
        <v>2.387397012748468E-2</v>
      </c>
    </row>
    <row r="4512" spans="1:9" x14ac:dyDescent="0.25">
      <c r="A4512">
        <v>310</v>
      </c>
      <c r="B4512" t="s">
        <v>1885</v>
      </c>
      <c r="C4512" t="s">
        <v>10</v>
      </c>
      <c r="D4512" t="s">
        <v>39</v>
      </c>
      <c r="E4512">
        <f>1/220</f>
        <v>4.5454545454545452E-3</v>
      </c>
      <c r="F4512">
        <v>145</v>
      </c>
      <c r="G4512">
        <f>LOG(382/(145+1))</f>
        <v>0.41771050712727159</v>
      </c>
      <c r="H4512">
        <f>0.00454545454545454*0.961813986898238</f>
        <v>4.3718817586283496E-3</v>
      </c>
      <c r="I4512">
        <v>4.3718817586283574E-3</v>
      </c>
    </row>
    <row r="4513" spans="1:9" x14ac:dyDescent="0.25">
      <c r="A4513">
        <v>310</v>
      </c>
      <c r="B4513" t="s">
        <v>1885</v>
      </c>
      <c r="C4513" t="s">
        <v>10</v>
      </c>
      <c r="D4513" t="s">
        <v>42</v>
      </c>
      <c r="E4513">
        <f>1/220</f>
        <v>4.5454545454545452E-3</v>
      </c>
      <c r="F4513">
        <v>251</v>
      </c>
      <c r="G4513">
        <f>LOG(382/(251+1))</f>
        <v>0.18066282213016463</v>
      </c>
      <c r="H4513">
        <f>0.00454545454545454*0.415991521095151</f>
        <v>1.8908705504325021E-3</v>
      </c>
      <c r="I4513">
        <v>1.890870550432508E-3</v>
      </c>
    </row>
    <row r="4514" spans="1:9" x14ac:dyDescent="0.25">
      <c r="A4514">
        <v>310</v>
      </c>
      <c r="B4514" t="s">
        <v>1885</v>
      </c>
      <c r="C4514" t="s">
        <v>10</v>
      </c>
      <c r="D4514" t="s">
        <v>65</v>
      </c>
      <c r="E4514">
        <f>4/220</f>
        <v>1.8181818181818181E-2</v>
      </c>
      <c r="F4514">
        <v>32</v>
      </c>
      <c r="G4514">
        <f>LOG(382/(32+1))</f>
        <v>1.0635494230338212</v>
      </c>
      <c r="H4514">
        <f>0.0181818181818181*2.44891304714009</f>
        <v>4.4525691766183262E-2</v>
      </c>
      <c r="I4514">
        <v>4.4525691766183553E-2</v>
      </c>
    </row>
    <row r="4515" spans="1:9" x14ac:dyDescent="0.25">
      <c r="A4515">
        <v>310</v>
      </c>
      <c r="B4515" t="s">
        <v>1885</v>
      </c>
      <c r="C4515" t="s">
        <v>10</v>
      </c>
      <c r="D4515" t="s">
        <v>40</v>
      </c>
      <c r="E4515">
        <f>7/220</f>
        <v>3.1818181818181815E-2</v>
      </c>
      <c r="F4515">
        <v>159</v>
      </c>
      <c r="G4515">
        <f>LOG(382/(159+1))</f>
        <v>0.377943380255784</v>
      </c>
      <c r="H4515">
        <f>0.0318181818181818*0.870246793372748</f>
        <v>2.7689670698223784E-2</v>
      </c>
      <c r="I4515">
        <v>2.7689670698223812E-2</v>
      </c>
    </row>
    <row r="4516" spans="1:9" x14ac:dyDescent="0.25">
      <c r="A4516">
        <v>310</v>
      </c>
      <c r="B4516" t="s">
        <v>1885</v>
      </c>
      <c r="C4516" t="s">
        <v>10</v>
      </c>
      <c r="D4516" t="s">
        <v>41</v>
      </c>
      <c r="E4516">
        <f>6/220</f>
        <v>2.7272727272727271E-2</v>
      </c>
      <c r="F4516">
        <v>195</v>
      </c>
      <c r="G4516">
        <f>LOG(382/(195+1))</f>
        <v>0.28980729155523272</v>
      </c>
      <c r="H4516">
        <f>0.0272727272727272*0.667305949376058</f>
        <v>1.8199253164801532E-2</v>
      </c>
      <c r="I4516">
        <v>1.8199253164801581E-2</v>
      </c>
    </row>
    <row r="4517" spans="1:9" x14ac:dyDescent="0.25">
      <c r="A4517">
        <v>310</v>
      </c>
      <c r="B4517" t="s">
        <v>1885</v>
      </c>
      <c r="C4517" t="s">
        <v>10</v>
      </c>
      <c r="D4517" t="s">
        <v>69</v>
      </c>
      <c r="E4517">
        <f>1/220</f>
        <v>4.5454545454545452E-3</v>
      </c>
      <c r="F4517">
        <v>13</v>
      </c>
      <c r="G4517">
        <f>LOG(382/(13+1))</f>
        <v>1.4359353272334707</v>
      </c>
      <c r="H4517">
        <f>0.00454545454545454*3.30636327899131</f>
        <v>1.5028923995415028E-2</v>
      </c>
      <c r="I4517">
        <v>1.5028923995415069E-2</v>
      </c>
    </row>
    <row r="4518" spans="1:9" x14ac:dyDescent="0.25">
      <c r="A4518">
        <v>310</v>
      </c>
      <c r="B4518" t="s">
        <v>1885</v>
      </c>
      <c r="C4518" t="s">
        <v>10</v>
      </c>
      <c r="D4518" t="s">
        <v>432</v>
      </c>
      <c r="E4518">
        <f>2/220</f>
        <v>9.0909090909090905E-3</v>
      </c>
      <c r="F4518">
        <v>67</v>
      </c>
      <c r="G4518">
        <f>LOG(382/(67+1))</f>
        <v>0.7495544502054724</v>
      </c>
      <c r="H4518">
        <f>0.00909090909090909*1.72591290343046</f>
        <v>1.5690117303913273E-2</v>
      </c>
      <c r="I4518">
        <v>1.5690117303913349E-2</v>
      </c>
    </row>
    <row r="4519" spans="1:9" x14ac:dyDescent="0.25">
      <c r="A4519">
        <v>310</v>
      </c>
      <c r="B4519" t="s">
        <v>1885</v>
      </c>
      <c r="C4519" t="s">
        <v>10</v>
      </c>
      <c r="D4519" t="s">
        <v>19</v>
      </c>
      <c r="E4519">
        <f>2/220</f>
        <v>9.0909090909090905E-3</v>
      </c>
      <c r="F4519">
        <v>220</v>
      </c>
      <c r="G4519">
        <f>LOG(382/(220+1))</f>
        <v>0.23767108922659805</v>
      </c>
      <c r="H4519">
        <f>0.00909090909090909*0.547257907088822</f>
        <v>4.975071882625655E-3</v>
      </c>
      <c r="I4519">
        <v>4.9750718826256576E-3</v>
      </c>
    </row>
    <row r="4520" spans="1:9" x14ac:dyDescent="0.25">
      <c r="A4520">
        <v>310</v>
      </c>
      <c r="B4520" t="s">
        <v>1885</v>
      </c>
      <c r="C4520" t="s">
        <v>10</v>
      </c>
      <c r="D4520" t="s">
        <v>195</v>
      </c>
      <c r="E4520">
        <f>2/220</f>
        <v>9.0909090909090905E-3</v>
      </c>
      <c r="F4520">
        <v>55</v>
      </c>
      <c r="G4520">
        <f>LOG(382/(55+1))</f>
        <v>0.83387533590550833</v>
      </c>
      <c r="H4520">
        <f>0.00909090909090909*1.92006891787142</f>
        <v>1.7455171980649272E-2</v>
      </c>
      <c r="I4520">
        <v>1.7455171980649321E-2</v>
      </c>
    </row>
    <row r="4521" spans="1:9" x14ac:dyDescent="0.25">
      <c r="A4521">
        <v>310</v>
      </c>
      <c r="B4521" t="s">
        <v>1885</v>
      </c>
      <c r="C4521" t="s">
        <v>10</v>
      </c>
      <c r="D4521" t="s">
        <v>22</v>
      </c>
      <c r="E4521">
        <f>2/220</f>
        <v>9.0909090909090905E-3</v>
      </c>
      <c r="F4521">
        <v>259</v>
      </c>
      <c r="G4521">
        <f>LOG(382/(259+1))</f>
        <v>0.16709001494089079</v>
      </c>
      <c r="H4521">
        <f>0.00909090909090909*0.384738977591047</f>
        <v>3.4976270690095183E-3</v>
      </c>
      <c r="I4521">
        <v>3.497627069009523E-3</v>
      </c>
    </row>
    <row r="4522" spans="1:9" x14ac:dyDescent="0.25">
      <c r="A4522">
        <v>310</v>
      </c>
      <c r="B4522" t="s">
        <v>1885</v>
      </c>
      <c r="C4522" t="s">
        <v>10</v>
      </c>
      <c r="D4522" t="s">
        <v>23</v>
      </c>
      <c r="E4522">
        <f>2/220</f>
        <v>9.0909090909090905E-3</v>
      </c>
      <c r="F4522">
        <v>275</v>
      </c>
      <c r="G4522">
        <f>LOG(382/(275+1))</f>
        <v>0.14115428084649101</v>
      </c>
      <c r="H4522">
        <f>0.00909090909090909*0.325019742889425</f>
        <v>2.9547249353584089E-3</v>
      </c>
      <c r="I4522">
        <v>2.9547249353584098E-3</v>
      </c>
    </row>
    <row r="4523" spans="1:9" x14ac:dyDescent="0.25">
      <c r="A4523">
        <v>310</v>
      </c>
      <c r="B4523" t="s">
        <v>1885</v>
      </c>
      <c r="C4523" t="s">
        <v>10</v>
      </c>
      <c r="D4523" t="s">
        <v>204</v>
      </c>
      <c r="E4523">
        <f>1/220</f>
        <v>4.5454545454545452E-3</v>
      </c>
      <c r="F4523">
        <v>166</v>
      </c>
      <c r="G4523">
        <f>LOG(382/(166+1))</f>
        <v>0.35934689176412549</v>
      </c>
      <c r="H4523">
        <f>0.00454545454545454*0.82742679618982</f>
        <v>3.7610308917719044E-3</v>
      </c>
      <c r="I4523">
        <v>3.7610308917719092E-3</v>
      </c>
    </row>
    <row r="4524" spans="1:9" x14ac:dyDescent="0.25">
      <c r="A4524">
        <v>310</v>
      </c>
      <c r="B4524" t="s">
        <v>1885</v>
      </c>
      <c r="C4524" t="s">
        <v>10</v>
      </c>
      <c r="D4524" t="s">
        <v>1887</v>
      </c>
      <c r="E4524">
        <f>1/220</f>
        <v>4.5454545454545452E-3</v>
      </c>
      <c r="F4524">
        <v>1</v>
      </c>
      <c r="G4524">
        <f>LOG(382/(1+1))</f>
        <v>2.2810333672477277</v>
      </c>
      <c r="H4524">
        <f>0.00454545454545454*5.25227342804663</f>
        <v>2.3873970127484653E-2</v>
      </c>
      <c r="I4524">
        <v>2.387397012748468E-2</v>
      </c>
    </row>
    <row r="4525" spans="1:9" x14ac:dyDescent="0.25">
      <c r="A4525">
        <v>310</v>
      </c>
      <c r="B4525" t="s">
        <v>1885</v>
      </c>
      <c r="C4525" t="s">
        <v>10</v>
      </c>
      <c r="D4525" t="s">
        <v>77</v>
      </c>
      <c r="E4525">
        <f>2/220</f>
        <v>9.0909090909090905E-3</v>
      </c>
      <c r="F4525">
        <v>148</v>
      </c>
      <c r="G4525">
        <f>LOG(382/(148+1))</f>
        <v>0.40887709449943471</v>
      </c>
      <c r="H4525">
        <f>0.00909090909090909*0.941474302661116</f>
        <v>8.5588572969192353E-3</v>
      </c>
      <c r="I4525">
        <v>8.558857296919237E-3</v>
      </c>
    </row>
    <row r="4526" spans="1:9" x14ac:dyDescent="0.25">
      <c r="A4526">
        <v>310</v>
      </c>
      <c r="B4526" t="s">
        <v>1885</v>
      </c>
      <c r="C4526" t="s">
        <v>10</v>
      </c>
      <c r="D4526" t="s">
        <v>1888</v>
      </c>
      <c r="E4526">
        <f>1/220</f>
        <v>4.5454545454545452E-3</v>
      </c>
      <c r="F4526">
        <v>1</v>
      </c>
      <c r="G4526">
        <f>LOG(382/(1+1))</f>
        <v>2.2810333672477277</v>
      </c>
      <c r="H4526">
        <f>0.00454545454545454*5.25227342804663</f>
        <v>2.3873970127484653E-2</v>
      </c>
      <c r="I4526">
        <v>2.387397012748468E-2</v>
      </c>
    </row>
    <row r="4527" spans="1:9" x14ac:dyDescent="0.25">
      <c r="A4527">
        <v>310</v>
      </c>
      <c r="B4527" t="s">
        <v>1885</v>
      </c>
      <c r="C4527" t="s">
        <v>10</v>
      </c>
      <c r="D4527" t="s">
        <v>1081</v>
      </c>
      <c r="E4527">
        <f>2/220</f>
        <v>9.0909090909090905E-3</v>
      </c>
      <c r="F4527">
        <v>27</v>
      </c>
      <c r="G4527">
        <f>LOG(382/(27+1))</f>
        <v>1.1349053315694895</v>
      </c>
      <c r="H4527">
        <f>0.00909090909090909*2.61321609843137</f>
        <v>2.3756509985739728E-2</v>
      </c>
      <c r="I4527">
        <v>2.3756509985739731E-2</v>
      </c>
    </row>
    <row r="4528" spans="1:9" x14ac:dyDescent="0.25">
      <c r="A4528">
        <v>310</v>
      </c>
      <c r="B4528" t="s">
        <v>1885</v>
      </c>
      <c r="C4528" t="s">
        <v>10</v>
      </c>
      <c r="D4528" t="s">
        <v>152</v>
      </c>
      <c r="E4528">
        <f>3/220</f>
        <v>1.3636363636363636E-2</v>
      </c>
      <c r="F4528">
        <v>31</v>
      </c>
      <c r="G4528">
        <f>LOG(382/(31+1))</f>
        <v>1.0769133845918029</v>
      </c>
      <c r="H4528">
        <f>0.0136363636363636*2.47968470580684</f>
        <v>3.3813882351911358E-2</v>
      </c>
      <c r="I4528">
        <v>3.3813882351911573E-2</v>
      </c>
    </row>
    <row r="4529" spans="1:9" x14ac:dyDescent="0.25">
      <c r="A4529">
        <v>310</v>
      </c>
      <c r="B4529" t="s">
        <v>1885</v>
      </c>
      <c r="C4529" t="s">
        <v>10</v>
      </c>
      <c r="D4529" t="s">
        <v>1889</v>
      </c>
      <c r="E4529">
        <f>2/220</f>
        <v>9.0909090909090905E-3</v>
      </c>
      <c r="F4529">
        <v>2</v>
      </c>
      <c r="G4529">
        <f>LOG(382/(2+1))</f>
        <v>2.1049421081920463</v>
      </c>
      <c r="H4529">
        <f>0.00909090909090909*4.84680831993846</f>
        <v>4.4061893817622363E-2</v>
      </c>
      <c r="I4529">
        <v>4.4061893817622412E-2</v>
      </c>
    </row>
    <row r="4530" spans="1:9" x14ac:dyDescent="0.25">
      <c r="A4530">
        <v>310</v>
      </c>
      <c r="B4530" t="s">
        <v>1885</v>
      </c>
      <c r="C4530" t="s">
        <v>10</v>
      </c>
      <c r="D4530" t="s">
        <v>1745</v>
      </c>
      <c r="E4530">
        <f>1/220</f>
        <v>4.5454545454545452E-3</v>
      </c>
      <c r="F4530">
        <v>12</v>
      </c>
      <c r="G4530">
        <f>LOG(382/(12+1))</f>
        <v>1.468120010604872</v>
      </c>
      <c r="H4530">
        <f>0.00454545454545454*3.38047125114503</f>
        <v>1.5365778414295574E-2</v>
      </c>
      <c r="I4530">
        <v>1.5365778414295631E-2</v>
      </c>
    </row>
    <row r="4531" spans="1:9" x14ac:dyDescent="0.25">
      <c r="A4531">
        <v>310</v>
      </c>
      <c r="B4531" t="s">
        <v>1885</v>
      </c>
      <c r="C4531" t="s">
        <v>10</v>
      </c>
      <c r="D4531" t="s">
        <v>78</v>
      </c>
      <c r="E4531">
        <f>4/220</f>
        <v>1.8181818181818181E-2</v>
      </c>
      <c r="F4531">
        <v>122</v>
      </c>
      <c r="G4531">
        <f>LOG(382/(122+1))</f>
        <v>0.49215825147231079</v>
      </c>
      <c r="H4531">
        <f>0.0181818181818181*1.13323625323415</f>
        <v>2.0604295513348091E-2</v>
      </c>
      <c r="I4531">
        <v>2.060429551334832E-2</v>
      </c>
    </row>
    <row r="4532" spans="1:9" x14ac:dyDescent="0.25">
      <c r="A4532">
        <v>310</v>
      </c>
      <c r="B4532" t="s">
        <v>1885</v>
      </c>
      <c r="C4532" t="s">
        <v>10</v>
      </c>
      <c r="D4532" t="s">
        <v>1890</v>
      </c>
      <c r="E4532">
        <f>1/220</f>
        <v>4.5454545454545452E-3</v>
      </c>
      <c r="F4532">
        <v>1</v>
      </c>
      <c r="G4532">
        <f>LOG(382/(1+1))</f>
        <v>2.2810333672477277</v>
      </c>
      <c r="H4532">
        <f>0.00454545454545454*5.25227342804663</f>
        <v>2.3873970127484653E-2</v>
      </c>
      <c r="I4532">
        <v>2.387397012748468E-2</v>
      </c>
    </row>
    <row r="4533" spans="1:9" x14ac:dyDescent="0.25">
      <c r="A4533">
        <v>310</v>
      </c>
      <c r="B4533" t="s">
        <v>1885</v>
      </c>
      <c r="C4533" t="s">
        <v>10</v>
      </c>
      <c r="D4533" t="s">
        <v>929</v>
      </c>
      <c r="E4533">
        <f>2/220</f>
        <v>9.0909090909090905E-3</v>
      </c>
      <c r="F4533">
        <v>32</v>
      </c>
      <c r="G4533">
        <f>LOG(382/(32+1))</f>
        <v>1.0635494230338212</v>
      </c>
      <c r="H4533">
        <f>0.00909090909090909*2.44891304714009</f>
        <v>2.2262845883091728E-2</v>
      </c>
      <c r="I4533">
        <v>2.226284588309177E-2</v>
      </c>
    </row>
    <row r="4534" spans="1:9" x14ac:dyDescent="0.25">
      <c r="A4534">
        <v>310</v>
      </c>
      <c r="B4534" t="s">
        <v>1885</v>
      </c>
      <c r="C4534" t="s">
        <v>10</v>
      </c>
      <c r="D4534" t="s">
        <v>1775</v>
      </c>
      <c r="E4534">
        <f>2/220</f>
        <v>9.0909090909090905E-3</v>
      </c>
      <c r="F4534">
        <v>10</v>
      </c>
      <c r="G4534">
        <f>LOG(382/(10+1))</f>
        <v>1.5406706777534838</v>
      </c>
      <c r="H4534">
        <f>0.00909090909090909*3.5475253358082</f>
        <v>3.2250230325529088E-2</v>
      </c>
      <c r="I4534">
        <v>3.2250230325529129E-2</v>
      </c>
    </row>
    <row r="4535" spans="1:9" x14ac:dyDescent="0.25">
      <c r="A4535">
        <v>310</v>
      </c>
      <c r="B4535" t="s">
        <v>1885</v>
      </c>
      <c r="C4535" t="s">
        <v>10</v>
      </c>
      <c r="D4535" t="s">
        <v>215</v>
      </c>
      <c r="E4535">
        <f>1/220</f>
        <v>4.5454545454545452E-3</v>
      </c>
      <c r="F4535">
        <v>25</v>
      </c>
      <c r="G4535">
        <f>LOG(382/(25+1))</f>
        <v>1.1670900149408907</v>
      </c>
      <c r="H4535">
        <f>0.00454545454545454*2.68732407058509</f>
        <v>1.2215109411750394E-2</v>
      </c>
      <c r="I4535">
        <v>1.221510941175042E-2</v>
      </c>
    </row>
    <row r="4536" spans="1:9" x14ac:dyDescent="0.25">
      <c r="A4536">
        <v>310</v>
      </c>
      <c r="B4536" t="s">
        <v>1885</v>
      </c>
      <c r="C4536" t="s">
        <v>10</v>
      </c>
      <c r="D4536" t="s">
        <v>1891</v>
      </c>
      <c r="E4536">
        <f>1/220</f>
        <v>4.5454545454545452E-3</v>
      </c>
      <c r="F4536">
        <v>1</v>
      </c>
      <c r="G4536">
        <f>LOG(382/(1+1))</f>
        <v>2.2810333672477277</v>
      </c>
      <c r="H4536">
        <f>0.00454545454545454*5.25227342804663</f>
        <v>2.3873970127484653E-2</v>
      </c>
      <c r="I4536">
        <v>2.387397012748468E-2</v>
      </c>
    </row>
    <row r="4537" spans="1:9" x14ac:dyDescent="0.25">
      <c r="A4537">
        <v>310</v>
      </c>
      <c r="B4537" t="s">
        <v>1885</v>
      </c>
      <c r="C4537" t="s">
        <v>10</v>
      </c>
      <c r="D4537" t="s">
        <v>76</v>
      </c>
      <c r="E4537">
        <f>1/220</f>
        <v>4.5454545454545452E-3</v>
      </c>
      <c r="F4537">
        <v>140</v>
      </c>
      <c r="G4537">
        <f>LOG(382/(140+1))</f>
        <v>0.43284425025632883</v>
      </c>
      <c r="H4537">
        <f>0.00454545454545454*0.996660718228407</f>
        <v>4.5302759919472989E-3</v>
      </c>
      <c r="I4537">
        <v>4.5302759919473041E-3</v>
      </c>
    </row>
    <row r="4538" spans="1:9" x14ac:dyDescent="0.25">
      <c r="A4538">
        <v>310</v>
      </c>
      <c r="B4538" t="s">
        <v>1885</v>
      </c>
      <c r="C4538" t="s">
        <v>10</v>
      </c>
      <c r="D4538" t="s">
        <v>1892</v>
      </c>
      <c r="E4538">
        <f>1/220</f>
        <v>4.5454545454545452E-3</v>
      </c>
      <c r="F4538">
        <v>2</v>
      </c>
      <c r="G4538">
        <f>LOG(382/(2+1))</f>
        <v>2.1049421081920463</v>
      </c>
      <c r="H4538">
        <f>0.00454545454545454*4.84680831993846</f>
        <v>2.2030946908811154E-2</v>
      </c>
      <c r="I4538">
        <v>2.2030946908811209E-2</v>
      </c>
    </row>
    <row r="4539" spans="1:9" x14ac:dyDescent="0.25">
      <c r="A4539">
        <v>310</v>
      </c>
      <c r="B4539" t="s">
        <v>1885</v>
      </c>
      <c r="C4539" t="s">
        <v>10</v>
      </c>
      <c r="D4539" t="s">
        <v>237</v>
      </c>
      <c r="E4539">
        <f>4/220</f>
        <v>1.8181818181818181E-2</v>
      </c>
      <c r="F4539">
        <v>138</v>
      </c>
      <c r="G4539">
        <f>LOG(382/(138+1))</f>
        <v>0.43904856265761361</v>
      </c>
      <c r="H4539">
        <f>0.0181818181818181*1.01094667547588</f>
        <v>1.8380848645015917E-2</v>
      </c>
      <c r="I4539">
        <v>1.838084864501606E-2</v>
      </c>
    </row>
    <row r="4540" spans="1:9" x14ac:dyDescent="0.25">
      <c r="A4540">
        <v>310</v>
      </c>
      <c r="B4540" t="s">
        <v>1885</v>
      </c>
      <c r="C4540" t="s">
        <v>10</v>
      </c>
      <c r="D4540" t="s">
        <v>133</v>
      </c>
      <c r="E4540">
        <f>4/220</f>
        <v>1.8181818181818181E-2</v>
      </c>
      <c r="F4540">
        <v>142</v>
      </c>
      <c r="G4540">
        <f>LOG(382/(142+1))</f>
        <v>0.42672732544664693</v>
      </c>
      <c r="H4540">
        <f>0.0181818181818181*0.982575978346667</f>
        <v>1.7865017788121138E-2</v>
      </c>
      <c r="I4540">
        <v>1.7865017788121228E-2</v>
      </c>
    </row>
    <row r="4541" spans="1:9" x14ac:dyDescent="0.25">
      <c r="A4541">
        <v>310</v>
      </c>
      <c r="B4541" t="s">
        <v>1885</v>
      </c>
      <c r="C4541" t="s">
        <v>10</v>
      </c>
      <c r="D4541" t="s">
        <v>487</v>
      </c>
      <c r="E4541">
        <f>1/220</f>
        <v>4.5454545454545452E-3</v>
      </c>
      <c r="F4541">
        <v>32</v>
      </c>
      <c r="G4541">
        <f>LOG(382/(32+1))</f>
        <v>1.0635494230338212</v>
      </c>
      <c r="H4541">
        <f>0.00454545454545454*2.44891304714009</f>
        <v>1.1131422941545852E-2</v>
      </c>
      <c r="I4541">
        <v>1.113142294154589E-2</v>
      </c>
    </row>
    <row r="4542" spans="1:9" x14ac:dyDescent="0.25">
      <c r="A4542">
        <v>310</v>
      </c>
      <c r="B4542" t="s">
        <v>1885</v>
      </c>
      <c r="C4542" t="s">
        <v>10</v>
      </c>
      <c r="D4542" t="s">
        <v>485</v>
      </c>
      <c r="E4542">
        <f>2/220</f>
        <v>9.0909090909090905E-3</v>
      </c>
      <c r="F4542">
        <v>74</v>
      </c>
      <c r="G4542">
        <f>LOG(382/(74+1))</f>
        <v>0.7070020995200087</v>
      </c>
      <c r="H4542">
        <f>0.00909090909090909*1.62793249507026</f>
        <v>1.4799386318820546E-2</v>
      </c>
      <c r="I4542">
        <v>1.4799386318820589E-2</v>
      </c>
    </row>
    <row r="4543" spans="1:9" x14ac:dyDescent="0.25">
      <c r="A4543">
        <v>310</v>
      </c>
      <c r="B4543" t="s">
        <v>1885</v>
      </c>
      <c r="C4543" t="s">
        <v>10</v>
      </c>
      <c r="D4543" t="s">
        <v>752</v>
      </c>
      <c r="E4543">
        <f t="shared" ref="E4543:E4555" si="205">1/220</f>
        <v>4.5454545454545452E-3</v>
      </c>
      <c r="F4543">
        <v>34</v>
      </c>
      <c r="G4543">
        <f>LOG(382/(34+1))</f>
        <v>1.037995318561433</v>
      </c>
      <c r="H4543">
        <f>0.00454545454545454*2.39007254711716</f>
        <v>1.0863966123259804E-2</v>
      </c>
      <c r="I4543">
        <v>1.086396612325982E-2</v>
      </c>
    </row>
    <row r="4544" spans="1:9" x14ac:dyDescent="0.25">
      <c r="A4544">
        <v>310</v>
      </c>
      <c r="B4544" t="s">
        <v>1885</v>
      </c>
      <c r="C4544" t="s">
        <v>10</v>
      </c>
      <c r="D4544" t="s">
        <v>134</v>
      </c>
      <c r="E4544">
        <f t="shared" si="205"/>
        <v>4.5454545454545452E-3</v>
      </c>
      <c r="F4544">
        <v>21</v>
      </c>
      <c r="G4544">
        <f>LOG(382/(21+1))</f>
        <v>1.2396406820895025</v>
      </c>
      <c r="H4544">
        <f>0.00454545454545454*2.85437815524825</f>
        <v>1.2974446160219302E-2</v>
      </c>
      <c r="I4544">
        <v>1.2974446160219359E-2</v>
      </c>
    </row>
    <row r="4545" spans="1:9" x14ac:dyDescent="0.25">
      <c r="A4545">
        <v>310</v>
      </c>
      <c r="B4545" t="s">
        <v>1885</v>
      </c>
      <c r="C4545" t="s">
        <v>10</v>
      </c>
      <c r="D4545" t="s">
        <v>1893</v>
      </c>
      <c r="E4545">
        <f t="shared" si="205"/>
        <v>4.5454545454545452E-3</v>
      </c>
      <c r="F4545">
        <v>1</v>
      </c>
      <c r="G4545">
        <f>LOG(382/(1+1))</f>
        <v>2.2810333672477277</v>
      </c>
      <c r="H4545">
        <f>0.00454545454545454*5.25227342804663</f>
        <v>2.3873970127484653E-2</v>
      </c>
      <c r="I4545">
        <v>2.387397012748468E-2</v>
      </c>
    </row>
    <row r="4546" spans="1:9" x14ac:dyDescent="0.25">
      <c r="A4546">
        <v>310</v>
      </c>
      <c r="B4546" t="s">
        <v>1885</v>
      </c>
      <c r="C4546" t="s">
        <v>10</v>
      </c>
      <c r="D4546" t="s">
        <v>136</v>
      </c>
      <c r="E4546">
        <f t="shared" si="205"/>
        <v>4.5454545454545452E-3</v>
      </c>
      <c r="F4546">
        <v>17</v>
      </c>
      <c r="G4546">
        <f>LOG(382/(17+1))</f>
        <v>1.3267908578084027</v>
      </c>
      <c r="H4546">
        <f>0.00454545454545454*3.05504885071041</f>
        <v>1.3886585685047302E-2</v>
      </c>
      <c r="I4546">
        <v>1.3886585685047321E-2</v>
      </c>
    </row>
    <row r="4547" spans="1:9" x14ac:dyDescent="0.25">
      <c r="A4547">
        <v>310</v>
      </c>
      <c r="B4547" t="s">
        <v>1885</v>
      </c>
      <c r="C4547" t="s">
        <v>10</v>
      </c>
      <c r="D4547" t="s">
        <v>1894</v>
      </c>
      <c r="E4547">
        <f t="shared" si="205"/>
        <v>4.5454545454545452E-3</v>
      </c>
      <c r="F4547">
        <v>1</v>
      </c>
      <c r="G4547">
        <f>LOG(382/(1+1))</f>
        <v>2.2810333672477277</v>
      </c>
      <c r="H4547">
        <f>0.00454545454545454*5.25227342804663</f>
        <v>2.3873970127484653E-2</v>
      </c>
      <c r="I4547">
        <v>2.387397012748468E-2</v>
      </c>
    </row>
    <row r="4548" spans="1:9" x14ac:dyDescent="0.25">
      <c r="A4548">
        <v>310</v>
      </c>
      <c r="B4548" t="s">
        <v>1885</v>
      </c>
      <c r="C4548" t="s">
        <v>10</v>
      </c>
      <c r="D4548" t="s">
        <v>1895</v>
      </c>
      <c r="E4548">
        <f t="shared" si="205"/>
        <v>4.5454545454545452E-3</v>
      </c>
      <c r="F4548">
        <v>1</v>
      </c>
      <c r="G4548">
        <f>LOG(382/(1+1))</f>
        <v>2.2810333672477277</v>
      </c>
      <c r="H4548">
        <f>0.00454545454545454*5.25227342804663</f>
        <v>2.3873970127484653E-2</v>
      </c>
      <c r="I4548">
        <v>2.387397012748468E-2</v>
      </c>
    </row>
    <row r="4549" spans="1:9" x14ac:dyDescent="0.25">
      <c r="A4549">
        <v>310</v>
      </c>
      <c r="B4549" t="s">
        <v>1885</v>
      </c>
      <c r="C4549" t="s">
        <v>10</v>
      </c>
      <c r="D4549" t="s">
        <v>25</v>
      </c>
      <c r="E4549">
        <f t="shared" si="205"/>
        <v>4.5454545454545452E-3</v>
      </c>
      <c r="F4549">
        <v>106</v>
      </c>
      <c r="G4549">
        <f>LOG(382/(106+1))</f>
        <v>0.55267958522649907</v>
      </c>
      <c r="H4549">
        <f>0.00454545454545454*1.27259177414466</f>
        <v>5.7845080642939016E-3</v>
      </c>
      <c r="I4549">
        <v>5.7845080642939502E-3</v>
      </c>
    </row>
    <row r="4550" spans="1:9" x14ac:dyDescent="0.25">
      <c r="A4550">
        <v>310</v>
      </c>
      <c r="B4550" t="s">
        <v>1885</v>
      </c>
      <c r="C4550" t="s">
        <v>10</v>
      </c>
      <c r="D4550" t="s">
        <v>1896</v>
      </c>
      <c r="E4550">
        <f t="shared" si="205"/>
        <v>4.5454545454545452E-3</v>
      </c>
      <c r="F4550">
        <v>2</v>
      </c>
      <c r="G4550">
        <f>LOG(382/(2+1))</f>
        <v>2.1049421081920463</v>
      </c>
      <c r="H4550">
        <f>0.00454545454545454*4.84680831993846</f>
        <v>2.2030946908811154E-2</v>
      </c>
      <c r="I4550">
        <v>2.2030946908811209E-2</v>
      </c>
    </row>
    <row r="4551" spans="1:9" x14ac:dyDescent="0.25">
      <c r="A4551">
        <v>310</v>
      </c>
      <c r="B4551" t="s">
        <v>1885</v>
      </c>
      <c r="C4551" t="s">
        <v>10</v>
      </c>
      <c r="D4551" t="s">
        <v>680</v>
      </c>
      <c r="E4551">
        <f t="shared" si="205"/>
        <v>4.5454545454545452E-3</v>
      </c>
      <c r="F4551">
        <v>25</v>
      </c>
      <c r="G4551">
        <f>LOG(382/(25+1))</f>
        <v>1.1670900149408907</v>
      </c>
      <c r="H4551">
        <f>0.00454545454545454*2.68732407058509</f>
        <v>1.2215109411750394E-2</v>
      </c>
      <c r="I4551">
        <v>1.221510941175042E-2</v>
      </c>
    </row>
    <row r="4552" spans="1:9" x14ac:dyDescent="0.25">
      <c r="A4552">
        <v>310</v>
      </c>
      <c r="B4552" t="s">
        <v>1885</v>
      </c>
      <c r="C4552" t="s">
        <v>10</v>
      </c>
      <c r="D4552" t="s">
        <v>737</v>
      </c>
      <c r="E4552">
        <f t="shared" si="205"/>
        <v>4.5454545454545452E-3</v>
      </c>
      <c r="F4552">
        <v>11</v>
      </c>
      <c r="G4552">
        <f>LOG(382/(11+1))</f>
        <v>1.5028821168640838</v>
      </c>
      <c r="H4552">
        <f>0.00454545454545454*3.46051395881857</f>
        <v>1.5729608903720754E-2</v>
      </c>
      <c r="I4552">
        <v>1.5729608903720799E-2</v>
      </c>
    </row>
    <row r="4553" spans="1:9" x14ac:dyDescent="0.25">
      <c r="A4553">
        <v>310</v>
      </c>
      <c r="B4553" t="s">
        <v>1885</v>
      </c>
      <c r="C4553" t="s">
        <v>10</v>
      </c>
      <c r="D4553" t="s">
        <v>379</v>
      </c>
      <c r="E4553">
        <f t="shared" si="205"/>
        <v>4.5454545454545452E-3</v>
      </c>
      <c r="F4553">
        <v>17</v>
      </c>
      <c r="G4553">
        <f>LOG(382/(17+1))</f>
        <v>1.3267908578084027</v>
      </c>
      <c r="H4553">
        <f>0.00454545454545454*3.05504885071041</f>
        <v>1.3886585685047302E-2</v>
      </c>
      <c r="I4553">
        <v>1.3886585685047321E-2</v>
      </c>
    </row>
    <row r="4554" spans="1:9" x14ac:dyDescent="0.25">
      <c r="A4554">
        <v>310</v>
      </c>
      <c r="B4554" t="s">
        <v>1885</v>
      </c>
      <c r="C4554" t="s">
        <v>10</v>
      </c>
      <c r="D4554" t="s">
        <v>1629</v>
      </c>
      <c r="E4554">
        <f t="shared" si="205"/>
        <v>4.5454545454545452E-3</v>
      </c>
      <c r="F4554">
        <v>2</v>
      </c>
      <c r="G4554">
        <f>LOG(382/(2+1))</f>
        <v>2.1049421081920463</v>
      </c>
      <c r="H4554">
        <f>0.00454545454545454*4.84680831993846</f>
        <v>2.2030946908811154E-2</v>
      </c>
      <c r="I4554">
        <v>2.2030946908811209E-2</v>
      </c>
    </row>
    <row r="4555" spans="1:9" x14ac:dyDescent="0.25">
      <c r="A4555">
        <v>310</v>
      </c>
      <c r="B4555" t="s">
        <v>1885</v>
      </c>
      <c r="C4555" t="s">
        <v>10</v>
      </c>
      <c r="D4555" t="s">
        <v>1897</v>
      </c>
      <c r="E4555">
        <f t="shared" si="205"/>
        <v>4.5454545454545452E-3</v>
      </c>
      <c r="F4555">
        <v>1</v>
      </c>
      <c r="G4555">
        <f>LOG(382/(1+1))</f>
        <v>2.2810333672477277</v>
      </c>
      <c r="H4555">
        <f>0.00454545454545454*5.25227342804663</f>
        <v>2.3873970127484653E-2</v>
      </c>
      <c r="I4555">
        <v>2.387397012748468E-2</v>
      </c>
    </row>
    <row r="4556" spans="1:9" x14ac:dyDescent="0.25">
      <c r="A4556">
        <v>310</v>
      </c>
      <c r="B4556" t="s">
        <v>1885</v>
      </c>
      <c r="C4556" t="s">
        <v>10</v>
      </c>
      <c r="D4556" t="s">
        <v>322</v>
      </c>
      <c r="E4556">
        <f>5/220</f>
        <v>2.2727272727272728E-2</v>
      </c>
      <c r="F4556">
        <v>128</v>
      </c>
      <c r="G4556">
        <f>LOG(382/(128+1))</f>
        <v>0.47147365261245977</v>
      </c>
      <c r="H4556">
        <f>0.0227272727272727*1.0856082042449</f>
        <v>2.4672913732838607E-2</v>
      </c>
      <c r="I4556">
        <v>2.4672913732838711E-2</v>
      </c>
    </row>
    <row r="4557" spans="1:9" x14ac:dyDescent="0.25">
      <c r="A4557">
        <v>310</v>
      </c>
      <c r="B4557" t="s">
        <v>1885</v>
      </c>
      <c r="C4557" t="s">
        <v>10</v>
      </c>
      <c r="D4557" t="s">
        <v>338</v>
      </c>
      <c r="E4557">
        <f>3/220</f>
        <v>1.3636363636363636E-2</v>
      </c>
      <c r="F4557">
        <v>54</v>
      </c>
      <c r="G4557">
        <f>LOG(382/(54+1))</f>
        <v>0.84170067341746491</v>
      </c>
      <c r="H4557">
        <f>0.0136363636363636*1.9380874233741</f>
        <v>2.6428464864192199E-2</v>
      </c>
      <c r="I4557">
        <v>2.6428464864192331E-2</v>
      </c>
    </row>
    <row r="4558" spans="1:9" x14ac:dyDescent="0.25">
      <c r="A4558">
        <v>310</v>
      </c>
      <c r="B4558" t="s">
        <v>1885</v>
      </c>
      <c r="C4558" t="s">
        <v>10</v>
      </c>
      <c r="D4558" t="s">
        <v>1898</v>
      </c>
      <c r="E4558">
        <f>1/220</f>
        <v>4.5454545454545452E-3</v>
      </c>
      <c r="F4558">
        <v>1</v>
      </c>
      <c r="G4558">
        <f>LOG(382/(1+1))</f>
        <v>2.2810333672477277</v>
      </c>
      <c r="H4558">
        <f>0.00454545454545454*5.25227342804663</f>
        <v>2.3873970127484653E-2</v>
      </c>
      <c r="I4558">
        <v>2.387397012748468E-2</v>
      </c>
    </row>
    <row r="4559" spans="1:9" x14ac:dyDescent="0.25">
      <c r="A4559">
        <v>310</v>
      </c>
      <c r="B4559" t="s">
        <v>1885</v>
      </c>
      <c r="C4559" t="s">
        <v>10</v>
      </c>
      <c r="D4559" t="s">
        <v>1299</v>
      </c>
      <c r="E4559">
        <f>1/220</f>
        <v>4.5454545454545452E-3</v>
      </c>
      <c r="F4559">
        <v>3</v>
      </c>
      <c r="G4559">
        <f>LOG(382/(3+1))</f>
        <v>1.9800033715837464</v>
      </c>
      <c r="H4559">
        <f>0.00454545454545454*4.55912624748668</f>
        <v>2.072330112493943E-2</v>
      </c>
      <c r="I4559">
        <v>2.0723301124939471E-2</v>
      </c>
    </row>
    <row r="4560" spans="1:9" x14ac:dyDescent="0.25">
      <c r="A4560">
        <v>310</v>
      </c>
      <c r="B4560" t="s">
        <v>1885</v>
      </c>
      <c r="C4560" t="s">
        <v>10</v>
      </c>
      <c r="D4560" t="s">
        <v>1899</v>
      </c>
      <c r="E4560">
        <f>1/220</f>
        <v>4.5454545454545452E-3</v>
      </c>
      <c r="F4560">
        <v>2</v>
      </c>
      <c r="G4560">
        <f>LOG(382/(2+1))</f>
        <v>2.1049421081920463</v>
      </c>
      <c r="H4560">
        <f>0.00454545454545454*4.84680831993846</f>
        <v>2.2030946908811154E-2</v>
      </c>
      <c r="I4560">
        <v>2.2030946908811209E-2</v>
      </c>
    </row>
    <row r="4561" spans="1:9" x14ac:dyDescent="0.25">
      <c r="A4561">
        <v>310</v>
      </c>
      <c r="B4561" t="s">
        <v>1885</v>
      </c>
      <c r="C4561" t="s">
        <v>10</v>
      </c>
      <c r="D4561" t="s">
        <v>1083</v>
      </c>
      <c r="E4561">
        <f>2/220</f>
        <v>9.0909090909090905E-3</v>
      </c>
      <c r="F4561">
        <v>51</v>
      </c>
      <c r="G4561">
        <f>LOG(382/(51+1))</f>
        <v>0.86606001927690957</v>
      </c>
      <c r="H4561">
        <f>0.00909090909090909*1.99417689002514</f>
        <v>1.8128880818410364E-2</v>
      </c>
      <c r="I4561">
        <v>1.812888081841043E-2</v>
      </c>
    </row>
    <row r="4562" spans="1:9" x14ac:dyDescent="0.25">
      <c r="A4562">
        <v>310</v>
      </c>
      <c r="B4562" t="s">
        <v>1885</v>
      </c>
      <c r="C4562" t="s">
        <v>10</v>
      </c>
      <c r="D4562" t="s">
        <v>570</v>
      </c>
      <c r="E4562">
        <f>1/220</f>
        <v>4.5454545454545452E-3</v>
      </c>
      <c r="F4562">
        <v>27</v>
      </c>
      <c r="G4562">
        <f>LOG(382/(27+1))</f>
        <v>1.1349053315694895</v>
      </c>
      <c r="H4562">
        <f>0.00454545454545454*2.61321609843137</f>
        <v>1.187825499286985E-2</v>
      </c>
      <c r="I4562">
        <v>1.1878254992869869E-2</v>
      </c>
    </row>
    <row r="4563" spans="1:9" x14ac:dyDescent="0.25">
      <c r="A4563">
        <v>310</v>
      </c>
      <c r="B4563" t="s">
        <v>1885</v>
      </c>
      <c r="C4563" t="s">
        <v>10</v>
      </c>
      <c r="D4563" t="s">
        <v>1709</v>
      </c>
      <c r="E4563">
        <f>1/220</f>
        <v>4.5454545454545452E-3</v>
      </c>
      <c r="F4563">
        <v>21</v>
      </c>
      <c r="G4563">
        <f>LOG(382/(21+1))</f>
        <v>1.2396406820895025</v>
      </c>
      <c r="H4563">
        <f>0.00454545454545454*2.85437815524825</f>
        <v>1.2974446160219302E-2</v>
      </c>
      <c r="I4563">
        <v>1.2974446160219359E-2</v>
      </c>
    </row>
    <row r="4564" spans="1:9" x14ac:dyDescent="0.25">
      <c r="A4564">
        <v>310</v>
      </c>
      <c r="B4564" t="s">
        <v>1885</v>
      </c>
      <c r="C4564" t="s">
        <v>10</v>
      </c>
      <c r="D4564" t="s">
        <v>324</v>
      </c>
      <c r="E4564">
        <f>3/220</f>
        <v>1.3636363636363636E-2</v>
      </c>
      <c r="F4564">
        <v>82</v>
      </c>
      <c r="G4564">
        <f>LOG(382/(82+1))</f>
        <v>0.66298527053563483</v>
      </c>
      <c r="H4564">
        <f>0.0136363636363636*1.52658000080997</f>
        <v>2.0817000011044987E-2</v>
      </c>
      <c r="I4564">
        <v>2.0817000011045139E-2</v>
      </c>
    </row>
    <row r="4565" spans="1:9" x14ac:dyDescent="0.25">
      <c r="A4565">
        <v>310</v>
      </c>
      <c r="B4565" t="s">
        <v>1885</v>
      </c>
      <c r="C4565" t="s">
        <v>10</v>
      </c>
      <c r="D4565" t="s">
        <v>1222</v>
      </c>
      <c r="E4565">
        <f>2/220</f>
        <v>9.0909090909090905E-3</v>
      </c>
      <c r="F4565">
        <v>56</v>
      </c>
      <c r="G4565">
        <f>LOG(382/(56+1))</f>
        <v>0.82618850723921733</v>
      </c>
      <c r="H4565">
        <f>0.00909090909090909*1.90236934077202</f>
        <v>1.7294266734291089E-2</v>
      </c>
      <c r="I4565">
        <v>1.7294266734291141E-2</v>
      </c>
    </row>
    <row r="4566" spans="1:9" x14ac:dyDescent="0.25">
      <c r="A4566">
        <v>310</v>
      </c>
      <c r="B4566" t="s">
        <v>1885</v>
      </c>
      <c r="C4566" t="s">
        <v>10</v>
      </c>
      <c r="D4566" t="s">
        <v>112</v>
      </c>
      <c r="E4566">
        <f>1/220</f>
        <v>4.5454545454545452E-3</v>
      </c>
      <c r="F4566">
        <v>52</v>
      </c>
      <c r="G4566">
        <f>LOG(382/(52+1))</f>
        <v>0.85778749331091964</v>
      </c>
      <c r="H4566">
        <f>0.00454545454545454*1.97512869505445</f>
        <v>8.9778577047929433E-3</v>
      </c>
      <c r="I4566">
        <v>8.9778577047929693E-3</v>
      </c>
    </row>
    <row r="4567" spans="1:9" x14ac:dyDescent="0.25">
      <c r="A4567">
        <v>310</v>
      </c>
      <c r="B4567" t="s">
        <v>1885</v>
      </c>
      <c r="C4567" t="s">
        <v>10</v>
      </c>
      <c r="D4567" t="s">
        <v>82</v>
      </c>
      <c r="E4567">
        <f>2/220</f>
        <v>9.0909090909090905E-3</v>
      </c>
      <c r="F4567">
        <v>92</v>
      </c>
      <c r="G4567">
        <f>LOG(382/(92+1))</f>
        <v>0.61358041435777355</v>
      </c>
      <c r="H4567">
        <f>0.00909090909090909*1.41282111545331</f>
        <v>1.2843828322302816E-2</v>
      </c>
      <c r="I4567">
        <v>1.2843828322302899E-2</v>
      </c>
    </row>
    <row r="4568" spans="1:9" x14ac:dyDescent="0.25">
      <c r="A4568">
        <v>310</v>
      </c>
      <c r="B4568" t="s">
        <v>1885</v>
      </c>
      <c r="C4568" t="s">
        <v>10</v>
      </c>
      <c r="D4568" t="s">
        <v>1900</v>
      </c>
      <c r="E4568">
        <f t="shared" ref="E4568:E4573" si="206">1/220</f>
        <v>4.5454545454545452E-3</v>
      </c>
      <c r="F4568">
        <v>1</v>
      </c>
      <c r="G4568">
        <f>LOG(382/(1+1))</f>
        <v>2.2810333672477277</v>
      </c>
      <c r="H4568">
        <f>0.00454545454545454*5.25227342804663</f>
        <v>2.3873970127484653E-2</v>
      </c>
      <c r="I4568">
        <v>2.387397012748468E-2</v>
      </c>
    </row>
    <row r="4569" spans="1:9" x14ac:dyDescent="0.25">
      <c r="A4569">
        <v>310</v>
      </c>
      <c r="B4569" t="s">
        <v>1885</v>
      </c>
      <c r="C4569" t="s">
        <v>10</v>
      </c>
      <c r="D4569" t="s">
        <v>836</v>
      </c>
      <c r="E4569">
        <f t="shared" si="206"/>
        <v>4.5454545454545452E-3</v>
      </c>
      <c r="F4569">
        <v>21</v>
      </c>
      <c r="G4569">
        <f>LOG(382/(21+1))</f>
        <v>1.2396406820895025</v>
      </c>
      <c r="H4569">
        <f>0.00454545454545454*2.85437815524825</f>
        <v>1.2974446160219302E-2</v>
      </c>
      <c r="I4569">
        <v>1.2974446160219359E-2</v>
      </c>
    </row>
    <row r="4570" spans="1:9" x14ac:dyDescent="0.25">
      <c r="A4570">
        <v>310</v>
      </c>
      <c r="B4570" t="s">
        <v>1885</v>
      </c>
      <c r="C4570" t="s">
        <v>10</v>
      </c>
      <c r="D4570" t="s">
        <v>1901</v>
      </c>
      <c r="E4570">
        <f t="shared" si="206"/>
        <v>4.5454545454545452E-3</v>
      </c>
      <c r="F4570">
        <v>1</v>
      </c>
      <c r="G4570">
        <f>LOG(382/(1+1))</f>
        <v>2.2810333672477277</v>
      </c>
      <c r="H4570">
        <f>0.00454545454545454*5.25227342804663</f>
        <v>2.3873970127484653E-2</v>
      </c>
      <c r="I4570">
        <v>2.387397012748468E-2</v>
      </c>
    </row>
    <row r="4571" spans="1:9" x14ac:dyDescent="0.25">
      <c r="A4571">
        <v>310</v>
      </c>
      <c r="B4571" t="s">
        <v>1885</v>
      </c>
      <c r="C4571" t="s">
        <v>10</v>
      </c>
      <c r="D4571" t="s">
        <v>838</v>
      </c>
      <c r="E4571">
        <f t="shared" si="206"/>
        <v>4.5454545454545452E-3</v>
      </c>
      <c r="F4571">
        <v>10</v>
      </c>
      <c r="G4571">
        <f>LOG(382/(10+1))</f>
        <v>1.5406706777534838</v>
      </c>
      <c r="H4571">
        <f>0.00454545454545454*3.5475253358082</f>
        <v>1.6125115162764526E-2</v>
      </c>
      <c r="I4571">
        <v>1.6125115162764561E-2</v>
      </c>
    </row>
    <row r="4572" spans="1:9" x14ac:dyDescent="0.25">
      <c r="A4572">
        <v>310</v>
      </c>
      <c r="B4572" t="s">
        <v>1885</v>
      </c>
      <c r="C4572" t="s">
        <v>10</v>
      </c>
      <c r="D4572" t="s">
        <v>123</v>
      </c>
      <c r="E4572">
        <f t="shared" si="206"/>
        <v>4.5454545454545452E-3</v>
      </c>
      <c r="F4572">
        <v>74</v>
      </c>
      <c r="G4572">
        <f>LOG(382/(74+1))</f>
        <v>0.7070020995200087</v>
      </c>
      <c r="H4572">
        <f>0.00454545454545454*1.62793249507026</f>
        <v>7.3996931594102642E-3</v>
      </c>
      <c r="I4572">
        <v>7.3996931594102937E-3</v>
      </c>
    </row>
    <row r="4573" spans="1:9" x14ac:dyDescent="0.25">
      <c r="A4573">
        <v>310</v>
      </c>
      <c r="B4573" t="s">
        <v>1885</v>
      </c>
      <c r="C4573" t="s">
        <v>10</v>
      </c>
      <c r="D4573" t="s">
        <v>594</v>
      </c>
      <c r="E4573">
        <f t="shared" si="206"/>
        <v>4.5454545454545452E-3</v>
      </c>
      <c r="F4573">
        <v>36</v>
      </c>
      <c r="G4573">
        <f>LOG(382/(36+1))</f>
        <v>1.0138616388447137</v>
      </c>
      <c r="H4573">
        <f>0.00454545454545454*2.33450269596235</f>
        <v>1.0611375890737943E-2</v>
      </c>
      <c r="I4573">
        <v>1.061137589073796E-2</v>
      </c>
    </row>
    <row r="4574" spans="1:9" x14ac:dyDescent="0.25">
      <c r="A4574">
        <v>310</v>
      </c>
      <c r="B4574" t="s">
        <v>1885</v>
      </c>
      <c r="C4574" t="s">
        <v>10</v>
      </c>
      <c r="D4574" t="s">
        <v>483</v>
      </c>
      <c r="E4574">
        <f>2/220</f>
        <v>9.0909090909090905E-3</v>
      </c>
      <c r="F4574">
        <v>61</v>
      </c>
      <c r="G4574">
        <f>LOG(382/(61+1))</f>
        <v>0.7896716734134549</v>
      </c>
      <c r="H4574">
        <f>0.00909090909090909*1.81828622356148</f>
        <v>1.6529874759649819E-2</v>
      </c>
      <c r="I4574">
        <v>1.652987475964985E-2</v>
      </c>
    </row>
    <row r="4575" spans="1:9" x14ac:dyDescent="0.25">
      <c r="A4575">
        <v>310</v>
      </c>
      <c r="B4575" t="s">
        <v>1885</v>
      </c>
      <c r="C4575" t="s">
        <v>10</v>
      </c>
      <c r="D4575" t="s">
        <v>1902</v>
      </c>
      <c r="E4575">
        <f>1/220</f>
        <v>4.5454545454545452E-3</v>
      </c>
      <c r="F4575">
        <v>1</v>
      </c>
      <c r="G4575">
        <f>LOG(382/(1+1))</f>
        <v>2.2810333672477277</v>
      </c>
      <c r="H4575">
        <f>0.00454545454545454*5.25227342804663</f>
        <v>2.3873970127484653E-2</v>
      </c>
      <c r="I4575">
        <v>2.387397012748468E-2</v>
      </c>
    </row>
    <row r="4576" spans="1:9" x14ac:dyDescent="0.25">
      <c r="A4576">
        <v>310</v>
      </c>
      <c r="B4576" t="s">
        <v>1885</v>
      </c>
      <c r="C4576" t="s">
        <v>10</v>
      </c>
      <c r="D4576" t="s">
        <v>469</v>
      </c>
      <c r="E4576">
        <f>1/220</f>
        <v>4.5454545454545452E-3</v>
      </c>
      <c r="F4576">
        <v>13</v>
      </c>
      <c r="G4576">
        <f>LOG(382/(13+1))</f>
        <v>1.4359353272334707</v>
      </c>
      <c r="H4576">
        <f>0.00454545454545454*3.30636327899131</f>
        <v>1.5028923995415028E-2</v>
      </c>
      <c r="I4576">
        <v>1.5028923995415069E-2</v>
      </c>
    </row>
    <row r="4577" spans="1:9" x14ac:dyDescent="0.25">
      <c r="A4577">
        <v>310</v>
      </c>
      <c r="B4577" t="s">
        <v>1885</v>
      </c>
      <c r="C4577" t="s">
        <v>10</v>
      </c>
      <c r="D4577" t="s">
        <v>97</v>
      </c>
      <c r="E4577">
        <f>2/220</f>
        <v>9.0909090909090905E-3</v>
      </c>
      <c r="F4577">
        <v>19</v>
      </c>
      <c r="G4577">
        <f>LOG(382/(19+1))</f>
        <v>1.2810333672477277</v>
      </c>
      <c r="H4577">
        <f>0.00909090909090909*2.94968833505258</f>
        <v>2.6815348500477999E-2</v>
      </c>
      <c r="I4577">
        <v>2.681534850047804E-2</v>
      </c>
    </row>
    <row r="4578" spans="1:9" x14ac:dyDescent="0.25">
      <c r="A4578">
        <v>310</v>
      </c>
      <c r="B4578" t="s">
        <v>1885</v>
      </c>
      <c r="C4578" t="s">
        <v>10</v>
      </c>
      <c r="D4578" t="s">
        <v>11</v>
      </c>
      <c r="E4578">
        <f>2/220</f>
        <v>9.0909090909090905E-3</v>
      </c>
      <c r="F4578">
        <v>83</v>
      </c>
      <c r="G4578">
        <f>LOG(382/(83+1))</f>
        <v>0.65778407684982709</v>
      </c>
      <c r="H4578">
        <f>0.00909090909090909*1.51460380976326</f>
        <v>1.3769125543302362E-2</v>
      </c>
      <c r="I4578">
        <v>1.3769125543302381E-2</v>
      </c>
    </row>
    <row r="4579" spans="1:9" x14ac:dyDescent="0.25">
      <c r="A4579">
        <v>310</v>
      </c>
      <c r="B4579" t="s">
        <v>1885</v>
      </c>
      <c r="C4579" t="s">
        <v>10</v>
      </c>
      <c r="D4579" t="s">
        <v>328</v>
      </c>
      <c r="E4579">
        <f t="shared" ref="E4579:E4587" si="207">1/220</f>
        <v>4.5454545454545452E-3</v>
      </c>
      <c r="F4579">
        <v>2</v>
      </c>
      <c r="G4579">
        <f>LOG(382/(2+1))</f>
        <v>2.1049421081920463</v>
      </c>
      <c r="H4579">
        <f>0.00454545454545454*4.84680831993846</f>
        <v>2.2030946908811154E-2</v>
      </c>
      <c r="I4579">
        <v>2.2030946908811209E-2</v>
      </c>
    </row>
    <row r="4580" spans="1:9" x14ac:dyDescent="0.25">
      <c r="A4580">
        <v>310</v>
      </c>
      <c r="B4580" t="s">
        <v>1885</v>
      </c>
      <c r="C4580" t="s">
        <v>10</v>
      </c>
      <c r="D4580" t="s">
        <v>1903</v>
      </c>
      <c r="E4580">
        <f t="shared" si="207"/>
        <v>4.5454545454545452E-3</v>
      </c>
      <c r="F4580">
        <v>1</v>
      </c>
      <c r="G4580">
        <f>LOG(382/(1+1))</f>
        <v>2.2810333672477277</v>
      </c>
      <c r="H4580">
        <f>0.00454545454545454*5.25227342804663</f>
        <v>2.3873970127484653E-2</v>
      </c>
      <c r="I4580">
        <v>2.387397012748468E-2</v>
      </c>
    </row>
    <row r="4581" spans="1:9" x14ac:dyDescent="0.25">
      <c r="A4581">
        <v>310</v>
      </c>
      <c r="B4581" t="s">
        <v>1885</v>
      </c>
      <c r="C4581" t="s">
        <v>10</v>
      </c>
      <c r="D4581" t="s">
        <v>89</v>
      </c>
      <c r="E4581">
        <f t="shared" si="207"/>
        <v>4.5454545454545452E-3</v>
      </c>
      <c r="F4581">
        <v>40</v>
      </c>
      <c r="G4581">
        <f>LOG(382/(40+1))</f>
        <v>0.96927950619197323</v>
      </c>
      <c r="H4581">
        <f>0.00454545454545454*2.23184854190226</f>
        <v>1.0144766099555714E-2</v>
      </c>
      <c r="I4581">
        <v>1.0144766099555761E-2</v>
      </c>
    </row>
    <row r="4582" spans="1:9" x14ac:dyDescent="0.25">
      <c r="A4582">
        <v>310</v>
      </c>
      <c r="B4582" t="s">
        <v>1885</v>
      </c>
      <c r="C4582" t="s">
        <v>10</v>
      </c>
      <c r="D4582" t="s">
        <v>201</v>
      </c>
      <c r="E4582">
        <f t="shared" si="207"/>
        <v>4.5454545454545452E-3</v>
      </c>
      <c r="F4582">
        <v>72</v>
      </c>
      <c r="G4582">
        <f>LOG(382/(72+1))</f>
        <v>0.71874050279125279</v>
      </c>
      <c r="H4582">
        <f>0.00454545454545454*1.65496116745818</f>
        <v>7.5225507611735359E-3</v>
      </c>
      <c r="I4582">
        <v>7.5225507611735628E-3</v>
      </c>
    </row>
    <row r="4583" spans="1:9" x14ac:dyDescent="0.25">
      <c r="A4583">
        <v>310</v>
      </c>
      <c r="B4583" t="s">
        <v>1885</v>
      </c>
      <c r="C4583" t="s">
        <v>10</v>
      </c>
      <c r="D4583" t="s">
        <v>125</v>
      </c>
      <c r="E4583">
        <f t="shared" si="207"/>
        <v>4.5454545454545452E-3</v>
      </c>
      <c r="F4583">
        <v>9</v>
      </c>
      <c r="G4583">
        <f>LOG(382/(9+1))</f>
        <v>1.5820633629117087</v>
      </c>
      <c r="H4583">
        <f>0.00454545454545454*3.64283551561252</f>
        <v>1.6558343252784161E-2</v>
      </c>
      <c r="I4583">
        <v>1.655834325278422E-2</v>
      </c>
    </row>
    <row r="4584" spans="1:9" x14ac:dyDescent="0.25">
      <c r="A4584">
        <v>310</v>
      </c>
      <c r="B4584" t="s">
        <v>1885</v>
      </c>
      <c r="C4584" t="s">
        <v>10</v>
      </c>
      <c r="D4584" t="s">
        <v>1904</v>
      </c>
      <c r="E4584">
        <f t="shared" si="207"/>
        <v>4.5454545454545452E-3</v>
      </c>
      <c r="F4584">
        <v>1</v>
      </c>
      <c r="G4584">
        <f>LOG(382/(1+1))</f>
        <v>2.2810333672477277</v>
      </c>
      <c r="H4584">
        <f>0.00454545454545454*5.25227342804663</f>
        <v>2.3873970127484653E-2</v>
      </c>
      <c r="I4584">
        <v>2.387397012748468E-2</v>
      </c>
    </row>
    <row r="4585" spans="1:9" x14ac:dyDescent="0.25">
      <c r="A4585">
        <v>310</v>
      </c>
      <c r="B4585" t="s">
        <v>1885</v>
      </c>
      <c r="C4585" t="s">
        <v>10</v>
      </c>
      <c r="D4585" t="s">
        <v>1769</v>
      </c>
      <c r="E4585">
        <f t="shared" si="207"/>
        <v>4.5454545454545452E-3</v>
      </c>
      <c r="F4585">
        <v>84</v>
      </c>
      <c r="G4585">
        <f>LOG(382/(84+1))</f>
        <v>0.65264443719741605</v>
      </c>
      <c r="H4585">
        <f>0.00454545454545454*1.50276935211625</f>
        <v>6.8307697823465829E-3</v>
      </c>
      <c r="I4585">
        <v>6.8307697823466306E-3</v>
      </c>
    </row>
    <row r="4586" spans="1:9" x14ac:dyDescent="0.25">
      <c r="A4586">
        <v>310</v>
      </c>
      <c r="B4586" t="s">
        <v>1885</v>
      </c>
      <c r="C4586" t="s">
        <v>10</v>
      </c>
      <c r="D4586" t="s">
        <v>126</v>
      </c>
      <c r="E4586">
        <f t="shared" si="207"/>
        <v>4.5454545454545452E-3</v>
      </c>
      <c r="F4586">
        <v>79</v>
      </c>
      <c r="G4586">
        <f>LOG(382/(79+1))</f>
        <v>0.67897337591976514</v>
      </c>
      <c r="H4586">
        <f>0.00454545454545454*1.56339397393269</f>
        <v>7.1063362451485824E-3</v>
      </c>
      <c r="I4586">
        <v>7.1063362451486067E-3</v>
      </c>
    </row>
    <row r="4587" spans="1:9" x14ac:dyDescent="0.25">
      <c r="A4587">
        <v>310</v>
      </c>
      <c r="B4587" t="s">
        <v>1885</v>
      </c>
      <c r="C4587" t="s">
        <v>10</v>
      </c>
      <c r="D4587" t="s">
        <v>260</v>
      </c>
      <c r="E4587">
        <f t="shared" si="207"/>
        <v>4.5454545454545452E-3</v>
      </c>
      <c r="F4587">
        <v>31</v>
      </c>
      <c r="G4587">
        <f>LOG(382/(31+1))</f>
        <v>1.0769133845918029</v>
      </c>
      <c r="H4587">
        <f>0.00454545454545454*2.47968470580684</f>
        <v>1.1271294117303803E-2</v>
      </c>
      <c r="I4587">
        <v>1.127129411730386E-2</v>
      </c>
    </row>
    <row r="4588" spans="1:9" x14ac:dyDescent="0.25">
      <c r="A4588">
        <v>310</v>
      </c>
      <c r="B4588" t="s">
        <v>1885</v>
      </c>
      <c r="C4588" t="s">
        <v>10</v>
      </c>
      <c r="D4588" t="s">
        <v>81</v>
      </c>
      <c r="E4588">
        <f>3/220</f>
        <v>1.3636363636363636E-2</v>
      </c>
      <c r="F4588">
        <v>114</v>
      </c>
      <c r="G4588">
        <f>LOG(382/(114+1))</f>
        <v>0.52136552255809698</v>
      </c>
      <c r="H4588">
        <f>0.0136363636363636*1.20048848024332</f>
        <v>1.6370297457863409E-2</v>
      </c>
      <c r="I4588">
        <v>1.637029745786352E-2</v>
      </c>
    </row>
    <row r="4589" spans="1:9" x14ac:dyDescent="0.25">
      <c r="A4589">
        <v>310</v>
      </c>
      <c r="B4589" t="s">
        <v>1885</v>
      </c>
      <c r="C4589" t="s">
        <v>10</v>
      </c>
      <c r="D4589" t="s">
        <v>1544</v>
      </c>
      <c r="E4589">
        <f>1/220</f>
        <v>4.5454545454545452E-3</v>
      </c>
      <c r="F4589">
        <v>19</v>
      </c>
      <c r="G4589">
        <f>LOG(382/(19+1))</f>
        <v>1.2810333672477277</v>
      </c>
      <c r="H4589">
        <f>0.00454545454545454*2.94968833505258</f>
        <v>1.3407674250238984E-2</v>
      </c>
      <c r="I4589">
        <v>1.340767425023902E-2</v>
      </c>
    </row>
    <row r="4590" spans="1:9" x14ac:dyDescent="0.25">
      <c r="A4590">
        <v>310</v>
      </c>
      <c r="B4590" t="s">
        <v>1885</v>
      </c>
      <c r="C4590" t="s">
        <v>10</v>
      </c>
      <c r="D4590" t="s">
        <v>339</v>
      </c>
      <c r="E4590">
        <f>1/220</f>
        <v>4.5454545454545452E-3</v>
      </c>
      <c r="F4590">
        <v>66</v>
      </c>
      <c r="G4590">
        <f>LOG(382/(66+1))</f>
        <v>0.75598856021088234</v>
      </c>
      <c r="H4590">
        <f>0.00454545454545454*1.7407279892156</f>
        <v>7.9123999509799915E-3</v>
      </c>
      <c r="I4590">
        <v>7.9123999509800418E-3</v>
      </c>
    </row>
    <row r="4591" spans="1:9" x14ac:dyDescent="0.25">
      <c r="A4591">
        <v>310</v>
      </c>
      <c r="B4591" t="s">
        <v>1885</v>
      </c>
      <c r="C4591" t="s">
        <v>10</v>
      </c>
      <c r="D4591" t="s">
        <v>144</v>
      </c>
      <c r="E4591">
        <f>1/220</f>
        <v>4.5454545454545452E-3</v>
      </c>
      <c r="F4591">
        <v>105</v>
      </c>
      <c r="G4591">
        <f>LOG(382/(105+1))</f>
        <v>0.55675749764693849</v>
      </c>
      <c r="H4591">
        <f>0.00454545454545454*1.2819815144945</f>
        <v>5.8271887022477197E-3</v>
      </c>
      <c r="I4591">
        <v>5.8271887022477631E-3</v>
      </c>
    </row>
    <row r="4592" spans="1:9" x14ac:dyDescent="0.25">
      <c r="A4592">
        <v>310</v>
      </c>
      <c r="B4592" t="s">
        <v>1885</v>
      </c>
      <c r="C4592" t="s">
        <v>10</v>
      </c>
      <c r="D4592" t="s">
        <v>1905</v>
      </c>
      <c r="E4592">
        <f>1/220</f>
        <v>4.5454545454545452E-3</v>
      </c>
      <c r="F4592">
        <v>24</v>
      </c>
      <c r="G4592">
        <f>LOG(382/(24+1))</f>
        <v>1.1841233542396712</v>
      </c>
      <c r="H4592">
        <f>0.00454545454545454*2.72654478373837</f>
        <v>1.239338538062894E-2</v>
      </c>
      <c r="I4592">
        <v>1.2393385380628969E-2</v>
      </c>
    </row>
    <row r="4593" spans="1:9" x14ac:dyDescent="0.25">
      <c r="A4593">
        <v>310</v>
      </c>
      <c r="B4593" t="s">
        <v>1885</v>
      </c>
      <c r="C4593" t="s">
        <v>10</v>
      </c>
      <c r="D4593" t="s">
        <v>600</v>
      </c>
      <c r="E4593">
        <f>2/220</f>
        <v>9.0909090909090905E-3</v>
      </c>
      <c r="F4593">
        <v>102</v>
      </c>
      <c r="G4593">
        <f>LOG(382/(102+1))</f>
        <v>0.56922613820653656</v>
      </c>
      <c r="H4593">
        <f>0.00909090909090909*1.31069162037693</f>
        <v>1.1915378367063001E-2</v>
      </c>
      <c r="I4593">
        <v>1.1915378367063091E-2</v>
      </c>
    </row>
    <row r="4594" spans="1:9" x14ac:dyDescent="0.25">
      <c r="A4594">
        <v>310</v>
      </c>
      <c r="B4594" t="s">
        <v>1885</v>
      </c>
      <c r="C4594" t="s">
        <v>10</v>
      </c>
      <c r="D4594" t="s">
        <v>1906</v>
      </c>
      <c r="E4594">
        <f t="shared" ref="E4594:E4605" si="208">1/220</f>
        <v>4.5454545454545452E-3</v>
      </c>
      <c r="F4594">
        <v>1</v>
      </c>
      <c r="G4594">
        <f>LOG(382/(1+1))</f>
        <v>2.2810333672477277</v>
      </c>
      <c r="H4594">
        <f>0.00454545454545454*5.25227342804663</f>
        <v>2.3873970127484653E-2</v>
      </c>
      <c r="I4594">
        <v>2.387397012748468E-2</v>
      </c>
    </row>
    <row r="4595" spans="1:9" x14ac:dyDescent="0.25">
      <c r="A4595">
        <v>310</v>
      </c>
      <c r="B4595" t="s">
        <v>1885</v>
      </c>
      <c r="C4595" t="s">
        <v>10</v>
      </c>
      <c r="D4595" t="s">
        <v>1015</v>
      </c>
      <c r="E4595">
        <f t="shared" si="208"/>
        <v>4.5454545454545452E-3</v>
      </c>
      <c r="F4595">
        <v>8</v>
      </c>
      <c r="G4595">
        <f>LOG(382/(8+1))</f>
        <v>1.6278208534723839</v>
      </c>
      <c r="H4595">
        <f>0.00454545454545454*3.74819603127035</f>
        <v>1.7037254687592481E-2</v>
      </c>
      <c r="I4595">
        <v>1.703725468759253E-2</v>
      </c>
    </row>
    <row r="4596" spans="1:9" x14ac:dyDescent="0.25">
      <c r="A4596">
        <v>310</v>
      </c>
      <c r="B4596" t="s">
        <v>1885</v>
      </c>
      <c r="C4596" t="s">
        <v>10</v>
      </c>
      <c r="D4596" t="s">
        <v>17</v>
      </c>
      <c r="E4596">
        <f t="shared" si="208"/>
        <v>4.5454545454545452E-3</v>
      </c>
      <c r="F4596">
        <v>169</v>
      </c>
      <c r="G4596">
        <f>LOG(382/(169+1))</f>
        <v>0.3516144415334348</v>
      </c>
      <c r="H4596">
        <f>0.00454545454545454*0.809622171556313</f>
        <v>3.6801007798014183E-3</v>
      </c>
      <c r="I4596">
        <v>3.6801007798014239E-3</v>
      </c>
    </row>
    <row r="4597" spans="1:9" x14ac:dyDescent="0.25">
      <c r="A4597">
        <v>310</v>
      </c>
      <c r="B4597" t="s">
        <v>1885</v>
      </c>
      <c r="C4597" t="s">
        <v>10</v>
      </c>
      <c r="D4597" t="s">
        <v>1907</v>
      </c>
      <c r="E4597">
        <f t="shared" si="208"/>
        <v>4.5454545454545452E-3</v>
      </c>
      <c r="F4597">
        <v>20</v>
      </c>
      <c r="G4597">
        <f>LOG(382/(20+1))</f>
        <v>1.2598440681777894</v>
      </c>
      <c r="H4597">
        <f>0.00454545454545454*2.90089817088315</f>
        <v>1.3185900776741576E-2</v>
      </c>
      <c r="I4597">
        <v>1.31859007767416E-2</v>
      </c>
    </row>
    <row r="4598" spans="1:9" x14ac:dyDescent="0.25">
      <c r="A4598">
        <v>310</v>
      </c>
      <c r="B4598" t="s">
        <v>1885</v>
      </c>
      <c r="C4598" t="s">
        <v>10</v>
      </c>
      <c r="D4598" t="s">
        <v>1908</v>
      </c>
      <c r="E4598">
        <f t="shared" si="208"/>
        <v>4.5454545454545452E-3</v>
      </c>
      <c r="F4598">
        <v>20</v>
      </c>
      <c r="G4598">
        <f>LOG(382/(20+1))</f>
        <v>1.2598440681777894</v>
      </c>
      <c r="H4598">
        <f>0.00454545454545454*2.90089817088315</f>
        <v>1.3185900776741576E-2</v>
      </c>
      <c r="I4598">
        <v>1.31859007767416E-2</v>
      </c>
    </row>
    <row r="4599" spans="1:9" x14ac:dyDescent="0.25">
      <c r="A4599">
        <v>310</v>
      </c>
      <c r="B4599" t="s">
        <v>1885</v>
      </c>
      <c r="C4599" t="s">
        <v>10</v>
      </c>
      <c r="D4599" t="s">
        <v>91</v>
      </c>
      <c r="E4599">
        <f t="shared" si="208"/>
        <v>4.5454545454545452E-3</v>
      </c>
      <c r="F4599">
        <v>33</v>
      </c>
      <c r="G4599">
        <f>LOG(382/(33+1))</f>
        <v>1.0505844458694535</v>
      </c>
      <c r="H4599">
        <f>0.00454545454545454*2.41906008399041</f>
        <v>1.0995727654501851E-2</v>
      </c>
      <c r="I4599">
        <v>1.099572765450188E-2</v>
      </c>
    </row>
    <row r="4600" spans="1:9" x14ac:dyDescent="0.25">
      <c r="A4600">
        <v>310</v>
      </c>
      <c r="B4600" t="s">
        <v>1885</v>
      </c>
      <c r="C4600" t="s">
        <v>10</v>
      </c>
      <c r="D4600" t="s">
        <v>1909</v>
      </c>
      <c r="E4600">
        <f t="shared" si="208"/>
        <v>4.5454545454545452E-3</v>
      </c>
      <c r="F4600">
        <v>1</v>
      </c>
      <c r="G4600">
        <f>LOG(382/(1+1))</f>
        <v>2.2810333672477277</v>
      </c>
      <c r="H4600">
        <f>0.00454545454545454*5.25227342804663</f>
        <v>2.3873970127484653E-2</v>
      </c>
      <c r="I4600">
        <v>2.387397012748468E-2</v>
      </c>
    </row>
    <row r="4601" spans="1:9" x14ac:dyDescent="0.25">
      <c r="A4601">
        <v>310</v>
      </c>
      <c r="B4601" t="s">
        <v>1885</v>
      </c>
      <c r="C4601" t="s">
        <v>10</v>
      </c>
      <c r="D4601" t="s">
        <v>1910</v>
      </c>
      <c r="E4601">
        <f t="shared" si="208"/>
        <v>4.5454545454545452E-3</v>
      </c>
      <c r="F4601">
        <v>1</v>
      </c>
      <c r="G4601">
        <f>LOG(382/(1+1))</f>
        <v>2.2810333672477277</v>
      </c>
      <c r="H4601">
        <f>0.00454545454545454*5.25227342804663</f>
        <v>2.3873970127484653E-2</v>
      </c>
      <c r="I4601">
        <v>2.387397012748468E-2</v>
      </c>
    </row>
    <row r="4602" spans="1:9" x14ac:dyDescent="0.25">
      <c r="A4602">
        <v>310</v>
      </c>
      <c r="B4602" t="s">
        <v>1885</v>
      </c>
      <c r="C4602" t="s">
        <v>10</v>
      </c>
      <c r="D4602" t="s">
        <v>1433</v>
      </c>
      <c r="E4602">
        <f t="shared" si="208"/>
        <v>4.5454545454545452E-3</v>
      </c>
      <c r="F4602">
        <v>21</v>
      </c>
      <c r="G4602">
        <f>LOG(382/(21+1))</f>
        <v>1.2396406820895025</v>
      </c>
      <c r="H4602">
        <f>0.00454545454545454*2.85437815524825</f>
        <v>1.2974446160219302E-2</v>
      </c>
      <c r="I4602">
        <v>1.2974446160219359E-2</v>
      </c>
    </row>
    <row r="4603" spans="1:9" x14ac:dyDescent="0.25">
      <c r="A4603">
        <v>310</v>
      </c>
      <c r="B4603" t="s">
        <v>1885</v>
      </c>
      <c r="C4603" t="s">
        <v>10</v>
      </c>
      <c r="D4603" t="s">
        <v>360</v>
      </c>
      <c r="E4603">
        <f t="shared" si="208"/>
        <v>4.5454545454545452E-3</v>
      </c>
      <c r="F4603">
        <v>15</v>
      </c>
      <c r="G4603">
        <f>LOG(382/(15+1))</f>
        <v>1.3779433802557839</v>
      </c>
      <c r="H4603">
        <f>0.00454545454545454*3.17283188636679</f>
        <v>1.4421963119849029E-2</v>
      </c>
      <c r="I4603">
        <v>1.4421963119849061E-2</v>
      </c>
    </row>
    <row r="4604" spans="1:9" x14ac:dyDescent="0.25">
      <c r="A4604">
        <v>310</v>
      </c>
      <c r="B4604" t="s">
        <v>1885</v>
      </c>
      <c r="C4604" t="s">
        <v>10</v>
      </c>
      <c r="D4604" t="s">
        <v>475</v>
      </c>
      <c r="E4604">
        <f t="shared" si="208"/>
        <v>4.5454545454545452E-3</v>
      </c>
      <c r="F4604">
        <v>16</v>
      </c>
      <c r="G4604">
        <f>LOG(382/(16+1))</f>
        <v>1.3516144415334348</v>
      </c>
      <c r="H4604">
        <f>0.00454545454545454*3.11220726455035</f>
        <v>1.4146396657047028E-2</v>
      </c>
      <c r="I4604">
        <v>1.4146396657047091E-2</v>
      </c>
    </row>
    <row r="4605" spans="1:9" x14ac:dyDescent="0.25">
      <c r="A4605">
        <v>310</v>
      </c>
      <c r="B4605" t="s">
        <v>1885</v>
      </c>
      <c r="C4605" t="s">
        <v>10</v>
      </c>
      <c r="D4605" t="s">
        <v>865</v>
      </c>
      <c r="E4605">
        <f t="shared" si="208"/>
        <v>4.5454545454545452E-3</v>
      </c>
      <c r="F4605">
        <v>13</v>
      </c>
      <c r="G4605">
        <f>LOG(382/(13+1))</f>
        <v>1.4359353272334707</v>
      </c>
      <c r="H4605">
        <f>0.00454545454545454*3.30636327899131</f>
        <v>1.5028923995415028E-2</v>
      </c>
      <c r="I4605">
        <v>1.5028923995415069E-2</v>
      </c>
    </row>
    <row r="4606" spans="1:9" x14ac:dyDescent="0.25">
      <c r="A4606">
        <v>310</v>
      </c>
      <c r="B4606" t="s">
        <v>1885</v>
      </c>
      <c r="C4606" t="s">
        <v>10</v>
      </c>
      <c r="D4606" t="s">
        <v>361</v>
      </c>
      <c r="E4606">
        <f>3/220</f>
        <v>1.3636363636363636E-2</v>
      </c>
      <c r="F4606">
        <v>118</v>
      </c>
      <c r="G4606">
        <f>LOG(382/(118+1))</f>
        <v>0.50651640151917798</v>
      </c>
      <c r="H4606">
        <f>0.0136363636363636*1.16629711549504</f>
        <v>1.5904051574932319E-2</v>
      </c>
      <c r="I4606">
        <v>1.5904051574932441E-2</v>
      </c>
    </row>
    <row r="4607" spans="1:9" x14ac:dyDescent="0.25">
      <c r="A4607">
        <v>310</v>
      </c>
      <c r="B4607" t="s">
        <v>1885</v>
      </c>
      <c r="C4607" t="s">
        <v>10</v>
      </c>
      <c r="D4607" t="s">
        <v>1911</v>
      </c>
      <c r="E4607">
        <f>1/220</f>
        <v>4.5454545454545452E-3</v>
      </c>
      <c r="F4607">
        <v>1</v>
      </c>
      <c r="G4607">
        <f>LOG(382/(1+1))</f>
        <v>2.2810333672477277</v>
      </c>
      <c r="H4607">
        <f>0.00454545454545454*5.25227342804663</f>
        <v>2.3873970127484653E-2</v>
      </c>
      <c r="I4607">
        <v>2.387397012748468E-2</v>
      </c>
    </row>
    <row r="4608" spans="1:9" x14ac:dyDescent="0.25">
      <c r="A4608">
        <v>310</v>
      </c>
      <c r="B4608" t="s">
        <v>1885</v>
      </c>
      <c r="C4608" t="s">
        <v>10</v>
      </c>
      <c r="D4608" t="s">
        <v>1407</v>
      </c>
      <c r="E4608">
        <f>1/220</f>
        <v>4.5454545454545452E-3</v>
      </c>
      <c r="F4608">
        <v>16</v>
      </c>
      <c r="G4608">
        <f>LOG(382/(16+1))</f>
        <v>1.3516144415334348</v>
      </c>
      <c r="H4608">
        <f>0.00454545454545454*3.11220726455035</f>
        <v>1.4146396657047028E-2</v>
      </c>
      <c r="I4608">
        <v>1.4146396657047091E-2</v>
      </c>
    </row>
    <row r="4609" spans="1:9" x14ac:dyDescent="0.25">
      <c r="A4609">
        <v>310</v>
      </c>
      <c r="B4609" t="s">
        <v>1885</v>
      </c>
      <c r="C4609" t="s">
        <v>10</v>
      </c>
      <c r="D4609" t="s">
        <v>1912</v>
      </c>
      <c r="E4609">
        <f>1/220</f>
        <v>4.5454545454545452E-3</v>
      </c>
      <c r="F4609">
        <v>1</v>
      </c>
      <c r="G4609">
        <f>LOG(382/(1+1))</f>
        <v>2.2810333672477277</v>
      </c>
      <c r="H4609">
        <f>0.00454545454545454*5.25227342804663</f>
        <v>2.3873970127484653E-2</v>
      </c>
      <c r="I4609">
        <v>2.387397012748468E-2</v>
      </c>
    </row>
    <row r="4610" spans="1:9" x14ac:dyDescent="0.25">
      <c r="A4610">
        <v>310</v>
      </c>
      <c r="B4610" t="s">
        <v>1885</v>
      </c>
      <c r="C4610" t="s">
        <v>10</v>
      </c>
      <c r="D4610" t="s">
        <v>434</v>
      </c>
      <c r="E4610">
        <f>2/220</f>
        <v>9.0909090909090905E-3</v>
      </c>
      <c r="F4610">
        <v>97</v>
      </c>
      <c r="G4610">
        <f>LOG(382/(97+1))</f>
        <v>0.59083728721921391</v>
      </c>
      <c r="H4610">
        <f>0.00909090909090909*1.360453129936</f>
        <v>1.236775572669091E-2</v>
      </c>
      <c r="I4610">
        <v>1.2367755726690939E-2</v>
      </c>
    </row>
    <row r="4611" spans="1:9" x14ac:dyDescent="0.25">
      <c r="A4611">
        <v>310</v>
      </c>
      <c r="B4611" t="s">
        <v>1885</v>
      </c>
      <c r="C4611" t="s">
        <v>10</v>
      </c>
      <c r="D4611" t="s">
        <v>444</v>
      </c>
      <c r="E4611">
        <f>2/220</f>
        <v>9.0909090909090905E-3</v>
      </c>
      <c r="F4611">
        <v>28</v>
      </c>
      <c r="G4611">
        <f>LOG(382/(28+1))</f>
        <v>1.1196653650127526</v>
      </c>
      <c r="H4611">
        <f>0.00909090909090909*2.5781247786201</f>
        <v>2.3437497987455452E-2</v>
      </c>
      <c r="I4611">
        <v>2.3437497987455459E-2</v>
      </c>
    </row>
    <row r="4612" spans="1:9" x14ac:dyDescent="0.25">
      <c r="A4612">
        <v>310</v>
      </c>
      <c r="B4612" t="s">
        <v>1885</v>
      </c>
      <c r="C4612" t="s">
        <v>10</v>
      </c>
      <c r="D4612" t="s">
        <v>445</v>
      </c>
      <c r="E4612">
        <f>2/220</f>
        <v>9.0909090909090905E-3</v>
      </c>
      <c r="F4612">
        <v>35</v>
      </c>
      <c r="G4612">
        <f>LOG(382/(35+1))</f>
        <v>1.0257608621444214</v>
      </c>
      <c r="H4612">
        <f>0.00909090909090909*2.36190167015046</f>
        <v>2.1471833365004182E-2</v>
      </c>
      <c r="I4612">
        <v>2.147183336500422E-2</v>
      </c>
    </row>
    <row r="4613" spans="1:9" x14ac:dyDescent="0.25">
      <c r="A4613">
        <v>310</v>
      </c>
      <c r="B4613" t="s">
        <v>1885</v>
      </c>
      <c r="C4613" t="s">
        <v>10</v>
      </c>
      <c r="D4613" t="s">
        <v>1913</v>
      </c>
      <c r="E4613">
        <f t="shared" ref="E4613:E4621" si="209">1/220</f>
        <v>4.5454545454545452E-3</v>
      </c>
      <c r="F4613">
        <v>1</v>
      </c>
      <c r="G4613">
        <f>LOG(382/(1+1))</f>
        <v>2.2810333672477277</v>
      </c>
      <c r="H4613">
        <f>0.00454545454545454*5.25227342804663</f>
        <v>2.3873970127484653E-2</v>
      </c>
      <c r="I4613">
        <v>2.387397012748468E-2</v>
      </c>
    </row>
    <row r="4614" spans="1:9" x14ac:dyDescent="0.25">
      <c r="A4614">
        <v>310</v>
      </c>
      <c r="B4614" t="s">
        <v>1885</v>
      </c>
      <c r="C4614" t="s">
        <v>10</v>
      </c>
      <c r="D4614" t="s">
        <v>1914</v>
      </c>
      <c r="E4614">
        <f t="shared" si="209"/>
        <v>4.5454545454545452E-3</v>
      </c>
      <c r="F4614">
        <v>1</v>
      </c>
      <c r="G4614">
        <f>LOG(382/(1+1))</f>
        <v>2.2810333672477277</v>
      </c>
      <c r="H4614">
        <f>0.00454545454545454*5.25227342804663</f>
        <v>2.3873970127484653E-2</v>
      </c>
      <c r="I4614">
        <v>2.387397012748468E-2</v>
      </c>
    </row>
    <row r="4615" spans="1:9" x14ac:dyDescent="0.25">
      <c r="A4615">
        <v>310</v>
      </c>
      <c r="B4615" t="s">
        <v>1885</v>
      </c>
      <c r="C4615" t="s">
        <v>10</v>
      </c>
      <c r="D4615" t="s">
        <v>447</v>
      </c>
      <c r="E4615">
        <f t="shared" si="209"/>
        <v>4.5454545454545452E-3</v>
      </c>
      <c r="F4615">
        <v>37</v>
      </c>
      <c r="G4615">
        <f>LOG(382/(37+1))</f>
        <v>1.0022797662948986</v>
      </c>
      <c r="H4615">
        <f>0.00454545454545454*2.30783444888018</f>
        <v>1.0490156585818988E-2</v>
      </c>
      <c r="I4615">
        <v>1.049015658581904E-2</v>
      </c>
    </row>
    <row r="4616" spans="1:9" x14ac:dyDescent="0.25">
      <c r="A4616">
        <v>310</v>
      </c>
      <c r="B4616" t="s">
        <v>1885</v>
      </c>
      <c r="C4616" t="s">
        <v>10</v>
      </c>
      <c r="D4616" t="s">
        <v>1915</v>
      </c>
      <c r="E4616">
        <f t="shared" si="209"/>
        <v>4.5454545454545452E-3</v>
      </c>
      <c r="F4616">
        <v>1</v>
      </c>
      <c r="G4616">
        <f>LOG(382/(1+1))</f>
        <v>2.2810333672477277</v>
      </c>
      <c r="H4616">
        <f>0.00454545454545454*5.25227342804663</f>
        <v>2.3873970127484653E-2</v>
      </c>
      <c r="I4616">
        <v>2.387397012748468E-2</v>
      </c>
    </row>
    <row r="4617" spans="1:9" x14ac:dyDescent="0.25">
      <c r="A4617">
        <v>310</v>
      </c>
      <c r="B4617" t="s">
        <v>1885</v>
      </c>
      <c r="C4617" t="s">
        <v>10</v>
      </c>
      <c r="D4617" t="s">
        <v>1916</v>
      </c>
      <c r="E4617">
        <f t="shared" si="209"/>
        <v>4.5454545454545452E-3</v>
      </c>
      <c r="F4617">
        <v>5</v>
      </c>
      <c r="G4617">
        <f>LOG(382/(5+1))</f>
        <v>1.803912112528065</v>
      </c>
      <c r="H4617">
        <f>0.00454545454545454*4.15366113937852</f>
        <v>1.8880277906265976E-2</v>
      </c>
      <c r="I4617">
        <v>1.8880277906266001E-2</v>
      </c>
    </row>
    <row r="4618" spans="1:9" x14ac:dyDescent="0.25">
      <c r="A4618">
        <v>310</v>
      </c>
      <c r="B4618" t="s">
        <v>1885</v>
      </c>
      <c r="C4618" t="s">
        <v>10</v>
      </c>
      <c r="D4618" t="s">
        <v>1073</v>
      </c>
      <c r="E4618">
        <f t="shared" si="209"/>
        <v>4.5454545454545452E-3</v>
      </c>
      <c r="F4618">
        <v>25</v>
      </c>
      <c r="G4618">
        <f>LOG(382/(25+1))</f>
        <v>1.1670900149408907</v>
      </c>
      <c r="H4618">
        <f>0.00454545454545454*2.68732407058509</f>
        <v>1.2215109411750394E-2</v>
      </c>
      <c r="I4618">
        <v>1.221510941175042E-2</v>
      </c>
    </row>
    <row r="4619" spans="1:9" x14ac:dyDescent="0.25">
      <c r="A4619">
        <v>310</v>
      </c>
      <c r="B4619" t="s">
        <v>1885</v>
      </c>
      <c r="C4619" t="s">
        <v>10</v>
      </c>
      <c r="D4619" t="s">
        <v>596</v>
      </c>
      <c r="E4619">
        <f t="shared" si="209"/>
        <v>4.5454545454545452E-3</v>
      </c>
      <c r="F4619">
        <v>60</v>
      </c>
      <c r="G4619">
        <f>LOG(382/(60+1))</f>
        <v>0.79673352790094176</v>
      </c>
      <c r="H4619">
        <f>0.00454545454545454*1.83454674443326</f>
        <v>8.3388488383329892E-3</v>
      </c>
      <c r="I4619">
        <v>8.338848838333017E-3</v>
      </c>
    </row>
    <row r="4620" spans="1:9" x14ac:dyDescent="0.25">
      <c r="A4620">
        <v>310</v>
      </c>
      <c r="B4620" t="s">
        <v>1885</v>
      </c>
      <c r="C4620" t="s">
        <v>10</v>
      </c>
      <c r="D4620" t="s">
        <v>1917</v>
      </c>
      <c r="E4620">
        <f t="shared" si="209"/>
        <v>4.5454545454545452E-3</v>
      </c>
      <c r="F4620">
        <v>1</v>
      </c>
      <c r="G4620">
        <f>LOG(382/(1+1))</f>
        <v>2.2810333672477277</v>
      </c>
      <c r="H4620">
        <f>0.00454545454545454*5.25227342804663</f>
        <v>2.3873970127484653E-2</v>
      </c>
      <c r="I4620">
        <v>2.387397012748468E-2</v>
      </c>
    </row>
    <row r="4621" spans="1:9" x14ac:dyDescent="0.25">
      <c r="A4621">
        <v>310</v>
      </c>
      <c r="B4621" t="s">
        <v>1885</v>
      </c>
      <c r="C4621" t="s">
        <v>10</v>
      </c>
      <c r="D4621" t="s">
        <v>1626</v>
      </c>
      <c r="E4621">
        <f t="shared" si="209"/>
        <v>4.5454545454545452E-3</v>
      </c>
      <c r="F4621">
        <v>32</v>
      </c>
      <c r="G4621">
        <f>LOG(382/(32+1))</f>
        <v>1.0635494230338212</v>
      </c>
      <c r="H4621">
        <f>0.00454545454545454*2.44891304714009</f>
        <v>1.1131422941545852E-2</v>
      </c>
      <c r="I4621">
        <v>1.113142294154589E-2</v>
      </c>
    </row>
    <row r="4622" spans="1:9" x14ac:dyDescent="0.25">
      <c r="A4622">
        <v>310</v>
      </c>
      <c r="B4622" t="s">
        <v>1885</v>
      </c>
      <c r="C4622" t="s">
        <v>10</v>
      </c>
      <c r="D4622" t="s">
        <v>236</v>
      </c>
      <c r="E4622">
        <f>2/220</f>
        <v>9.0909090909090905E-3</v>
      </c>
      <c r="F4622">
        <v>87</v>
      </c>
      <c r="G4622">
        <f>LOG(382/(87+1))</f>
        <v>0.63758069076154011</v>
      </c>
      <c r="H4622">
        <f>0.00909090909090909*1.46808379412836</f>
        <v>1.3346216310257817E-2</v>
      </c>
      <c r="I4622">
        <v>1.33462163102579E-2</v>
      </c>
    </row>
    <row r="4623" spans="1:9" x14ac:dyDescent="0.25">
      <c r="A4623">
        <v>310</v>
      </c>
      <c r="B4623" t="s">
        <v>1885</v>
      </c>
      <c r="C4623" t="s">
        <v>10</v>
      </c>
      <c r="D4623" t="s">
        <v>763</v>
      </c>
      <c r="E4623">
        <f>2/220</f>
        <v>9.0909090909090905E-3</v>
      </c>
      <c r="F4623">
        <v>47</v>
      </c>
      <c r="G4623">
        <f>LOG(382/(47+1))</f>
        <v>0.90082212553612151</v>
      </c>
      <c r="H4623">
        <f>0.00909090909090909*2.07421959769868</f>
        <v>1.8856541797260727E-2</v>
      </c>
      <c r="I4623">
        <v>1.8856541797260769E-2</v>
      </c>
    </row>
    <row r="4624" spans="1:9" x14ac:dyDescent="0.25">
      <c r="A4624">
        <v>310</v>
      </c>
      <c r="B4624" t="s">
        <v>1885</v>
      </c>
      <c r="C4624" t="s">
        <v>10</v>
      </c>
      <c r="D4624" t="s">
        <v>679</v>
      </c>
      <c r="E4624">
        <f>1/220</f>
        <v>4.5454545454545452E-3</v>
      </c>
      <c r="F4624">
        <v>4</v>
      </c>
      <c r="G4624">
        <f>LOG(382/(4+1))</f>
        <v>1.8830933585756899</v>
      </c>
      <c r="H4624">
        <f>0.00454545454545454*4.33598269617247</f>
        <v>1.9709012255329388E-2</v>
      </c>
      <c r="I4624">
        <v>1.9709012255329429E-2</v>
      </c>
    </row>
    <row r="4625" spans="1:9" x14ac:dyDescent="0.25">
      <c r="A4625">
        <v>310</v>
      </c>
      <c r="B4625" t="s">
        <v>1885</v>
      </c>
      <c r="C4625" t="s">
        <v>10</v>
      </c>
      <c r="D4625" t="s">
        <v>1918</v>
      </c>
      <c r="E4625">
        <f>2/220</f>
        <v>9.0909090909090905E-3</v>
      </c>
      <c r="F4625">
        <v>25</v>
      </c>
      <c r="G4625">
        <f>LOG(382/(25+1))</f>
        <v>1.1670900149408907</v>
      </c>
      <c r="H4625">
        <f>0.00909090909090909*2.68732407058509</f>
        <v>2.4430218823500816E-2</v>
      </c>
      <c r="I4625">
        <v>2.4430218823500841E-2</v>
      </c>
    </row>
    <row r="4626" spans="1:9" x14ac:dyDescent="0.25">
      <c r="A4626">
        <v>310</v>
      </c>
      <c r="B4626" t="s">
        <v>1885</v>
      </c>
      <c r="C4626" t="s">
        <v>10</v>
      </c>
      <c r="D4626" t="s">
        <v>438</v>
      </c>
      <c r="E4626">
        <f>2/220</f>
        <v>9.0909090909090905E-3</v>
      </c>
      <c r="F4626">
        <v>37</v>
      </c>
      <c r="G4626">
        <f>LOG(382/(37+1))</f>
        <v>1.0022797662948986</v>
      </c>
      <c r="H4626">
        <f>0.00909090909090909*2.30783444888018</f>
        <v>2.0980313171637999E-2</v>
      </c>
      <c r="I4626">
        <v>2.0980313171638079E-2</v>
      </c>
    </row>
    <row r="4627" spans="1:9" x14ac:dyDescent="0.25">
      <c r="A4627">
        <v>310</v>
      </c>
      <c r="B4627" t="s">
        <v>1885</v>
      </c>
      <c r="C4627" t="s">
        <v>10</v>
      </c>
      <c r="D4627" t="s">
        <v>1831</v>
      </c>
      <c r="E4627">
        <f>1/220</f>
        <v>4.5454545454545452E-3</v>
      </c>
      <c r="F4627">
        <v>28</v>
      </c>
      <c r="G4627">
        <f>LOG(382/(28+1))</f>
        <v>1.1196653650127526</v>
      </c>
      <c r="H4627">
        <f>0.00454545454545454*2.5781247786201</f>
        <v>1.1718748993727712E-2</v>
      </c>
      <c r="I4627">
        <v>1.171874899372773E-2</v>
      </c>
    </row>
    <row r="4628" spans="1:9" x14ac:dyDescent="0.25">
      <c r="A4628">
        <v>310</v>
      </c>
      <c r="B4628" t="s">
        <v>1885</v>
      </c>
      <c r="C4628" t="s">
        <v>10</v>
      </c>
      <c r="D4628" t="s">
        <v>1919</v>
      </c>
      <c r="E4628">
        <f>1/220</f>
        <v>4.5454545454545452E-3</v>
      </c>
      <c r="F4628">
        <v>18</v>
      </c>
      <c r="G4628">
        <f>LOG(382/(18+1))</f>
        <v>1.3033097619588798</v>
      </c>
      <c r="H4628">
        <f>0.00454545454545454*3.00098162944013</f>
        <v>1.3640825588364212E-2</v>
      </c>
      <c r="I4628">
        <v>1.364082558836425E-2</v>
      </c>
    </row>
    <row r="4629" spans="1:9" x14ac:dyDescent="0.25">
      <c r="A4629">
        <v>310</v>
      </c>
      <c r="B4629" t="s">
        <v>1885</v>
      </c>
      <c r="C4629" t="s">
        <v>10</v>
      </c>
      <c r="D4629" t="s">
        <v>1920</v>
      </c>
      <c r="E4629">
        <f>1/220</f>
        <v>4.5454545454545452E-3</v>
      </c>
      <c r="F4629">
        <v>18</v>
      </c>
      <c r="G4629">
        <f>LOG(382/(18+1))</f>
        <v>1.3033097619588798</v>
      </c>
      <c r="H4629">
        <f>0.00454545454545454*3.00098162944013</f>
        <v>1.3640825588364212E-2</v>
      </c>
      <c r="I4629">
        <v>1.364082558836425E-2</v>
      </c>
    </row>
    <row r="4630" spans="1:9" x14ac:dyDescent="0.25">
      <c r="A4630">
        <v>310</v>
      </c>
      <c r="B4630" t="s">
        <v>1885</v>
      </c>
      <c r="C4630" t="s">
        <v>10</v>
      </c>
      <c r="D4630" t="s">
        <v>332</v>
      </c>
      <c r="E4630">
        <f>1/220</f>
        <v>4.5454545454545452E-3</v>
      </c>
      <c r="F4630">
        <v>3</v>
      </c>
      <c r="G4630">
        <f>LOG(382/(3+1))</f>
        <v>1.9800033715837464</v>
      </c>
      <c r="H4630">
        <f>0.00454545454545454*4.55912624748668</f>
        <v>2.072330112493943E-2</v>
      </c>
      <c r="I4630">
        <v>2.0723301124939471E-2</v>
      </c>
    </row>
    <row r="4631" spans="1:9" x14ac:dyDescent="0.25">
      <c r="A4631">
        <v>310</v>
      </c>
      <c r="B4631" t="s">
        <v>1885</v>
      </c>
      <c r="C4631" t="s">
        <v>10</v>
      </c>
      <c r="D4631" t="s">
        <v>1469</v>
      </c>
      <c r="E4631">
        <f>2/220</f>
        <v>9.0909090909090905E-3</v>
      </c>
      <c r="F4631">
        <v>24</v>
      </c>
      <c r="G4631">
        <f>LOG(382/(24+1))</f>
        <v>1.1841233542396712</v>
      </c>
      <c r="H4631">
        <f>0.00909090909090909*2.72654478373837</f>
        <v>2.4786770761257907E-2</v>
      </c>
      <c r="I4631">
        <v>2.4786770761257949E-2</v>
      </c>
    </row>
    <row r="4632" spans="1:9" x14ac:dyDescent="0.25">
      <c r="A4632">
        <v>310</v>
      </c>
      <c r="B4632" t="s">
        <v>1885</v>
      </c>
      <c r="C4632" t="s">
        <v>10</v>
      </c>
      <c r="D4632" t="s">
        <v>439</v>
      </c>
      <c r="E4632">
        <f t="shared" ref="E4632:E4644" si="210">1/220</f>
        <v>4.5454545454545452E-3</v>
      </c>
      <c r="F4632">
        <v>28</v>
      </c>
      <c r="G4632">
        <f>LOG(382/(28+1))</f>
        <v>1.1196653650127526</v>
      </c>
      <c r="H4632">
        <f>0.00454545454545454*2.5781247786201</f>
        <v>1.1718748993727712E-2</v>
      </c>
      <c r="I4632">
        <v>1.171874899372773E-2</v>
      </c>
    </row>
    <row r="4633" spans="1:9" x14ac:dyDescent="0.25">
      <c r="A4633">
        <v>310</v>
      </c>
      <c r="B4633" t="s">
        <v>1885</v>
      </c>
      <c r="C4633" t="s">
        <v>10</v>
      </c>
      <c r="D4633" t="s">
        <v>688</v>
      </c>
      <c r="E4633">
        <f t="shared" si="210"/>
        <v>4.5454545454545452E-3</v>
      </c>
      <c r="F4633">
        <v>23</v>
      </c>
      <c r="G4633">
        <f>LOG(382/(23+1))</f>
        <v>1.2018521212001028</v>
      </c>
      <c r="H4633">
        <f>0.00454545454545454*2.76736677825862</f>
        <v>1.2578939901175531E-2</v>
      </c>
      <c r="I4633">
        <v>1.257893990117559E-2</v>
      </c>
    </row>
    <row r="4634" spans="1:9" x14ac:dyDescent="0.25">
      <c r="A4634">
        <v>310</v>
      </c>
      <c r="B4634" t="s">
        <v>1885</v>
      </c>
      <c r="C4634" t="s">
        <v>10</v>
      </c>
      <c r="D4634" t="s">
        <v>754</v>
      </c>
      <c r="E4634">
        <f t="shared" si="210"/>
        <v>4.5454545454545452E-3</v>
      </c>
      <c r="F4634">
        <v>111</v>
      </c>
      <c r="G4634">
        <f>LOG(382/(111+1))</f>
        <v>0.53284534024152708</v>
      </c>
      <c r="H4634">
        <f>0.00454545454545454*1.22692173731148</f>
        <v>5.576916987779448E-3</v>
      </c>
      <c r="I4634">
        <v>5.5769169877794584E-3</v>
      </c>
    </row>
    <row r="4635" spans="1:9" x14ac:dyDescent="0.25">
      <c r="A4635">
        <v>310</v>
      </c>
      <c r="B4635" t="s">
        <v>1885</v>
      </c>
      <c r="C4635" t="s">
        <v>10</v>
      </c>
      <c r="D4635" t="s">
        <v>1397</v>
      </c>
      <c r="E4635">
        <f t="shared" si="210"/>
        <v>4.5454545454545452E-3</v>
      </c>
      <c r="F4635">
        <v>29</v>
      </c>
      <c r="G4635">
        <f>LOG(382/(29+1))</f>
        <v>1.1049421081920463</v>
      </c>
      <c r="H4635">
        <f>0.00454545454545454*2.54422322694442</f>
        <v>1.156465103156553E-2</v>
      </c>
      <c r="I4635">
        <v>1.1564651031565541E-2</v>
      </c>
    </row>
    <row r="4636" spans="1:9" x14ac:dyDescent="0.25">
      <c r="A4636">
        <v>310</v>
      </c>
      <c r="B4636" t="s">
        <v>1885</v>
      </c>
      <c r="C4636" t="s">
        <v>10</v>
      </c>
      <c r="D4636" t="s">
        <v>399</v>
      </c>
      <c r="E4636">
        <f t="shared" si="210"/>
        <v>4.5454545454545452E-3</v>
      </c>
      <c r="F4636">
        <v>27</v>
      </c>
      <c r="G4636">
        <f>LOG(382/(27+1))</f>
        <v>1.1349053315694895</v>
      </c>
      <c r="H4636">
        <f>0.00454545454545454*2.61321609843137</f>
        <v>1.187825499286985E-2</v>
      </c>
      <c r="I4636">
        <v>1.1878254992869869E-2</v>
      </c>
    </row>
    <row r="4637" spans="1:9" x14ac:dyDescent="0.25">
      <c r="A4637">
        <v>310</v>
      </c>
      <c r="B4637" t="s">
        <v>1885</v>
      </c>
      <c r="C4637" t="s">
        <v>10</v>
      </c>
      <c r="D4637" t="s">
        <v>388</v>
      </c>
      <c r="E4637">
        <f t="shared" si="210"/>
        <v>4.5454545454545452E-3</v>
      </c>
      <c r="F4637">
        <v>44</v>
      </c>
      <c r="G4637">
        <f>LOG(382/(44+1))</f>
        <v>0.92885084913636506</v>
      </c>
      <c r="H4637">
        <f>0.00454545454545454*2.13875811883625</f>
        <v>9.7216278128920332E-3</v>
      </c>
      <c r="I4637">
        <v>9.7216278128920679E-3</v>
      </c>
    </row>
    <row r="4638" spans="1:9" x14ac:dyDescent="0.25">
      <c r="A4638">
        <v>310</v>
      </c>
      <c r="B4638" t="s">
        <v>1885</v>
      </c>
      <c r="C4638" t="s">
        <v>10</v>
      </c>
      <c r="D4638" t="s">
        <v>597</v>
      </c>
      <c r="E4638">
        <f t="shared" si="210"/>
        <v>4.5454545454545452E-3</v>
      </c>
      <c r="F4638">
        <v>51</v>
      </c>
      <c r="G4638">
        <f>LOG(382/(51+1))</f>
        <v>0.86606001927690957</v>
      </c>
      <c r="H4638">
        <f>0.00454545454545454*1.99417689002514</f>
        <v>9.0644404092051715E-3</v>
      </c>
      <c r="I4638">
        <v>9.0644404092052166E-3</v>
      </c>
    </row>
    <row r="4639" spans="1:9" x14ac:dyDescent="0.25">
      <c r="A4639">
        <v>310</v>
      </c>
      <c r="B4639" t="s">
        <v>1885</v>
      </c>
      <c r="C4639" t="s">
        <v>10</v>
      </c>
      <c r="D4639" t="s">
        <v>1921</v>
      </c>
      <c r="E4639">
        <f t="shared" si="210"/>
        <v>4.5454545454545452E-3</v>
      </c>
      <c r="F4639">
        <v>37</v>
      </c>
      <c r="G4639">
        <f>LOG(382/(37+1))</f>
        <v>1.0022797662948986</v>
      </c>
      <c r="H4639">
        <f>0.00454545454545454*2.30783444888018</f>
        <v>1.0490156585818988E-2</v>
      </c>
      <c r="I4639">
        <v>1.049015658581904E-2</v>
      </c>
    </row>
    <row r="4640" spans="1:9" x14ac:dyDescent="0.25">
      <c r="A4640">
        <v>310</v>
      </c>
      <c r="B4640" t="s">
        <v>1885</v>
      </c>
      <c r="C4640" t="s">
        <v>10</v>
      </c>
      <c r="D4640" t="s">
        <v>1922</v>
      </c>
      <c r="E4640">
        <f t="shared" si="210"/>
        <v>4.5454545454545452E-3</v>
      </c>
      <c r="F4640">
        <v>15</v>
      </c>
      <c r="G4640">
        <f>LOG(382/(15+1))</f>
        <v>1.3779433802557839</v>
      </c>
      <c r="H4640">
        <f>0.00454545454545454*3.17283188636679</f>
        <v>1.4421963119849029E-2</v>
      </c>
      <c r="I4640">
        <v>1.4421963119849061E-2</v>
      </c>
    </row>
    <row r="4641" spans="1:9" x14ac:dyDescent="0.25">
      <c r="A4641">
        <v>310</v>
      </c>
      <c r="B4641" t="s">
        <v>1885</v>
      </c>
      <c r="C4641" t="s">
        <v>10</v>
      </c>
      <c r="D4641" t="s">
        <v>247</v>
      </c>
      <c r="E4641">
        <f t="shared" si="210"/>
        <v>4.5454545454545452E-3</v>
      </c>
      <c r="F4641">
        <v>121</v>
      </c>
      <c r="G4641">
        <f>LOG(382/(121+1))</f>
        <v>0.49570353223696051</v>
      </c>
      <c r="H4641">
        <f>0.00454545454545454*1.14139956387331</f>
        <v>5.1881798357877673E-3</v>
      </c>
      <c r="I4641">
        <v>5.1881798357878116E-3</v>
      </c>
    </row>
    <row r="4642" spans="1:9" x14ac:dyDescent="0.25">
      <c r="A4642">
        <v>310</v>
      </c>
      <c r="B4642" t="s">
        <v>1885</v>
      </c>
      <c r="C4642" t="s">
        <v>10</v>
      </c>
      <c r="D4642" t="s">
        <v>327</v>
      </c>
      <c r="E4642">
        <f t="shared" si="210"/>
        <v>4.5454545454545452E-3</v>
      </c>
      <c r="F4642">
        <v>46</v>
      </c>
      <c r="G4642">
        <f>LOG(382/(46+1))</f>
        <v>0.90996550497599127</v>
      </c>
      <c r="H4642">
        <f>0.00454545454545454*2.09527300689651</f>
        <v>9.5239682131659439E-3</v>
      </c>
      <c r="I4642">
        <v>9.5239682131659838E-3</v>
      </c>
    </row>
    <row r="4643" spans="1:9" x14ac:dyDescent="0.25">
      <c r="A4643">
        <v>310</v>
      </c>
      <c r="B4643" t="s">
        <v>1885</v>
      </c>
      <c r="C4643" t="s">
        <v>10</v>
      </c>
      <c r="D4643" t="s">
        <v>119</v>
      </c>
      <c r="E4643">
        <f t="shared" si="210"/>
        <v>4.5454545454545452E-3</v>
      </c>
      <c r="F4643">
        <v>79</v>
      </c>
      <c r="G4643">
        <f>LOG(382/(79+1))</f>
        <v>0.67897337591976514</v>
      </c>
      <c r="H4643">
        <f>0.00454545454545454*1.56339397393269</f>
        <v>7.1063362451485824E-3</v>
      </c>
      <c r="I4643">
        <v>7.1063362451486067E-3</v>
      </c>
    </row>
    <row r="4644" spans="1:9" x14ac:dyDescent="0.25">
      <c r="A4644">
        <v>310</v>
      </c>
      <c r="B4644" t="s">
        <v>1885</v>
      </c>
      <c r="C4644" t="s">
        <v>10</v>
      </c>
      <c r="D4644" t="s">
        <v>753</v>
      </c>
      <c r="E4644">
        <f t="shared" si="210"/>
        <v>4.5454545454545452E-3</v>
      </c>
      <c r="F4644">
        <v>19</v>
      </c>
      <c r="G4644">
        <f>LOG(382/(19+1))</f>
        <v>1.2810333672477277</v>
      </c>
      <c r="H4644">
        <f>0.00454545454545454*2.94968833505258</f>
        <v>1.3407674250238984E-2</v>
      </c>
      <c r="I4644">
        <v>1.340767425023902E-2</v>
      </c>
    </row>
    <row r="4645" spans="1:9" x14ac:dyDescent="0.25">
      <c r="A4645">
        <v>311</v>
      </c>
      <c r="B4645" t="s">
        <v>1923</v>
      </c>
      <c r="C4645" t="s">
        <v>10</v>
      </c>
      <c r="D4645" t="s">
        <v>315</v>
      </c>
      <c r="E4645">
        <f>7/183</f>
        <v>3.825136612021858E-2</v>
      </c>
      <c r="F4645">
        <v>55</v>
      </c>
      <c r="G4645">
        <f>LOG(382/(55+1))</f>
        <v>0.83387533590550833</v>
      </c>
      <c r="H4645">
        <f>0.0382513661202185*1.92006891787142</f>
        <v>7.3445259153551434E-2</v>
      </c>
      <c r="I4645">
        <v>7.3445259153551809E-2</v>
      </c>
    </row>
    <row r="4646" spans="1:9" x14ac:dyDescent="0.25">
      <c r="A4646">
        <v>311</v>
      </c>
      <c r="B4646" t="s">
        <v>1923</v>
      </c>
      <c r="C4646" t="s">
        <v>10</v>
      </c>
      <c r="D4646" t="s">
        <v>1730</v>
      </c>
      <c r="E4646">
        <f>6/183</f>
        <v>3.2786885245901641E-2</v>
      </c>
      <c r="F4646">
        <v>35</v>
      </c>
      <c r="G4646">
        <f>LOG(382/(35+1))</f>
        <v>1.0257608621444214</v>
      </c>
      <c r="H4646">
        <f>0.0327868852459016*2.36190167015046</f>
        <v>7.743939902132646E-2</v>
      </c>
      <c r="I4646">
        <v>7.7439399021326724E-2</v>
      </c>
    </row>
    <row r="4647" spans="1:9" x14ac:dyDescent="0.25">
      <c r="A4647">
        <v>311</v>
      </c>
      <c r="B4647" t="s">
        <v>1923</v>
      </c>
      <c r="C4647" t="s">
        <v>10</v>
      </c>
      <c r="D4647" t="s">
        <v>1665</v>
      </c>
      <c r="E4647">
        <f>6/183</f>
        <v>3.2786885245901641E-2</v>
      </c>
      <c r="F4647">
        <v>17</v>
      </c>
      <c r="G4647">
        <f>LOG(382/(17+1))</f>
        <v>1.3267908578084027</v>
      </c>
      <c r="H4647">
        <f>0.0327868852459016*3.05504885071041</f>
        <v>0.10016553608886578</v>
      </c>
      <c r="I4647">
        <v>0.1001655360888659</v>
      </c>
    </row>
    <row r="4648" spans="1:9" x14ac:dyDescent="0.25">
      <c r="A4648">
        <v>311</v>
      </c>
      <c r="B4648" t="s">
        <v>1923</v>
      </c>
      <c r="C4648" t="s">
        <v>10</v>
      </c>
      <c r="D4648" t="s">
        <v>1924</v>
      </c>
      <c r="E4648">
        <f>5/183</f>
        <v>2.7322404371584699E-2</v>
      </c>
      <c r="F4648">
        <v>1</v>
      </c>
      <c r="G4648">
        <f>LOG(382/(1+1))</f>
        <v>2.2810333672477277</v>
      </c>
      <c r="H4648">
        <f>0.0273224043715847*5.25227342804663</f>
        <v>0.14350473847121939</v>
      </c>
      <c r="I4648">
        <v>0.14350473847121939</v>
      </c>
    </row>
    <row r="4649" spans="1:9" x14ac:dyDescent="0.25">
      <c r="A4649">
        <v>311</v>
      </c>
      <c r="B4649" t="s">
        <v>1923</v>
      </c>
      <c r="C4649" t="s">
        <v>10</v>
      </c>
      <c r="D4649" t="s">
        <v>42</v>
      </c>
      <c r="E4649">
        <f>1/183</f>
        <v>5.4644808743169399E-3</v>
      </c>
      <c r="F4649">
        <v>251</v>
      </c>
      <c r="G4649">
        <f>LOG(382/(251+1))</f>
        <v>0.18066282213016463</v>
      </c>
      <c r="H4649">
        <f>0.00546448087431694*0.415991521095151</f>
        <v>2.2731777109024644E-3</v>
      </c>
      <c r="I4649">
        <v>2.2731777109024692E-3</v>
      </c>
    </row>
    <row r="4650" spans="1:9" x14ac:dyDescent="0.25">
      <c r="A4650">
        <v>311</v>
      </c>
      <c r="B4650" t="s">
        <v>1923</v>
      </c>
      <c r="C4650" t="s">
        <v>10</v>
      </c>
      <c r="D4650" t="s">
        <v>15</v>
      </c>
      <c r="E4650">
        <f>1/183</f>
        <v>5.4644808743169399E-3</v>
      </c>
      <c r="F4650">
        <v>112</v>
      </c>
      <c r="G4650">
        <f>LOG(382/(112+1))</f>
        <v>0.52898491942828896</v>
      </c>
      <c r="H4650">
        <f>0.00546448087431694*1.21803278989423</f>
        <v>6.6559168846679236E-3</v>
      </c>
      <c r="I4650">
        <v>6.6559168846679487E-3</v>
      </c>
    </row>
    <row r="4651" spans="1:9" x14ac:dyDescent="0.25">
      <c r="A4651">
        <v>311</v>
      </c>
      <c r="B4651" t="s">
        <v>1923</v>
      </c>
      <c r="C4651" t="s">
        <v>10</v>
      </c>
      <c r="D4651" t="s">
        <v>1925</v>
      </c>
      <c r="E4651">
        <f>1/183</f>
        <v>5.4644808743169399E-3</v>
      </c>
      <c r="F4651">
        <v>1</v>
      </c>
      <c r="G4651">
        <f>LOG(382/(1+1))</f>
        <v>2.2810333672477277</v>
      </c>
      <c r="H4651">
        <f>0.00546448087431694*5.25227342804663</f>
        <v>2.8700947694243879E-2</v>
      </c>
      <c r="I4651">
        <v>2.8700947694243879E-2</v>
      </c>
    </row>
    <row r="4652" spans="1:9" x14ac:dyDescent="0.25">
      <c r="A4652">
        <v>311</v>
      </c>
      <c r="B4652" t="s">
        <v>1923</v>
      </c>
      <c r="C4652" t="s">
        <v>10</v>
      </c>
      <c r="D4652" t="s">
        <v>17</v>
      </c>
      <c r="E4652">
        <f>1/183</f>
        <v>5.4644808743169399E-3</v>
      </c>
      <c r="F4652">
        <v>169</v>
      </c>
      <c r="G4652">
        <f>LOG(382/(169+1))</f>
        <v>0.3516144415334348</v>
      </c>
      <c r="H4652">
        <f>0.00546448087431694*0.809622171556313</f>
        <v>4.4241648718924206E-3</v>
      </c>
      <c r="I4652">
        <v>4.4241648718924232E-3</v>
      </c>
    </row>
    <row r="4653" spans="1:9" x14ac:dyDescent="0.25">
      <c r="A4653">
        <v>311</v>
      </c>
      <c r="B4653" t="s">
        <v>1923</v>
      </c>
      <c r="C4653" t="s">
        <v>10</v>
      </c>
      <c r="D4653" t="s">
        <v>70</v>
      </c>
      <c r="E4653">
        <f>1/183</f>
        <v>5.4644808743169399E-3</v>
      </c>
      <c r="F4653">
        <v>44</v>
      </c>
      <c r="G4653">
        <f>LOG(382/(44+1))</f>
        <v>0.92885084913636506</v>
      </c>
      <c r="H4653">
        <f>0.00546448087431694*2.13875811883625</f>
        <v>1.1687202835170765E-2</v>
      </c>
      <c r="I4653">
        <v>1.1687202835170791E-2</v>
      </c>
    </row>
    <row r="4654" spans="1:9" x14ac:dyDescent="0.25">
      <c r="A4654">
        <v>311</v>
      </c>
      <c r="B4654" t="s">
        <v>1923</v>
      </c>
      <c r="C4654" t="s">
        <v>10</v>
      </c>
      <c r="D4654" t="s">
        <v>19</v>
      </c>
      <c r="E4654">
        <f>2/183</f>
        <v>1.092896174863388E-2</v>
      </c>
      <c r="F4654">
        <v>220</v>
      </c>
      <c r="G4654">
        <f>LOG(382/(220+1))</f>
        <v>0.23767108922659805</v>
      </c>
      <c r="H4654">
        <f>0.0109289617486338*0.547257907088822</f>
        <v>5.9809607332111259E-3</v>
      </c>
      <c r="I4654">
        <v>5.9809607332111736E-3</v>
      </c>
    </row>
    <row r="4655" spans="1:9" x14ac:dyDescent="0.25">
      <c r="A4655">
        <v>311</v>
      </c>
      <c r="B4655" t="s">
        <v>1923</v>
      </c>
      <c r="C4655" t="s">
        <v>10</v>
      </c>
      <c r="D4655" t="s">
        <v>44</v>
      </c>
      <c r="E4655">
        <f>4/183</f>
        <v>2.185792349726776E-2</v>
      </c>
      <c r="F4655">
        <v>151</v>
      </c>
      <c r="G4655">
        <f>LOG(382/(151+1))</f>
        <v>0.40021977496693617</v>
      </c>
      <c r="H4655">
        <f>0.0218579234972677*0.921540087760298</f>
        <v>2.0142952737929959E-2</v>
      </c>
      <c r="I4655">
        <v>2.0142952737930028E-2</v>
      </c>
    </row>
    <row r="4656" spans="1:9" x14ac:dyDescent="0.25">
      <c r="A4656">
        <v>311</v>
      </c>
      <c r="B4656" t="s">
        <v>1923</v>
      </c>
      <c r="C4656" t="s">
        <v>10</v>
      </c>
      <c r="D4656" t="s">
        <v>22</v>
      </c>
      <c r="E4656">
        <f>1/183</f>
        <v>5.4644808743169399E-3</v>
      </c>
      <c r="F4656">
        <v>259</v>
      </c>
      <c r="G4656">
        <f>LOG(382/(259+1))</f>
        <v>0.16709001494089079</v>
      </c>
      <c r="H4656">
        <f>0.00546448087431694*0.384738977591047</f>
        <v>2.10239878465053E-3</v>
      </c>
      <c r="I4656">
        <v>2.102398784650533E-3</v>
      </c>
    </row>
    <row r="4657" spans="1:9" x14ac:dyDescent="0.25">
      <c r="A4657">
        <v>311</v>
      </c>
      <c r="B4657" t="s">
        <v>1923</v>
      </c>
      <c r="C4657" t="s">
        <v>10</v>
      </c>
      <c r="D4657" t="s">
        <v>23</v>
      </c>
      <c r="E4657">
        <f>1/183</f>
        <v>5.4644808743169399E-3</v>
      </c>
      <c r="F4657">
        <v>275</v>
      </c>
      <c r="G4657">
        <f>LOG(382/(275+1))</f>
        <v>0.14115428084649101</v>
      </c>
      <c r="H4657">
        <f>0.00546448087431694*0.325019742889425</f>
        <v>1.776064168794672E-3</v>
      </c>
      <c r="I4657">
        <v>1.7760641687946731E-3</v>
      </c>
    </row>
    <row r="4658" spans="1:9" x14ac:dyDescent="0.25">
      <c r="A4658">
        <v>311</v>
      </c>
      <c r="B4658" t="s">
        <v>1923</v>
      </c>
      <c r="C4658" t="s">
        <v>10</v>
      </c>
      <c r="D4658" t="s">
        <v>1926</v>
      </c>
      <c r="E4658">
        <f>1/183</f>
        <v>5.4644808743169399E-3</v>
      </c>
      <c r="F4658">
        <v>4</v>
      </c>
      <c r="G4658">
        <f>LOG(382/(4+1))</f>
        <v>1.8830933585756899</v>
      </c>
      <c r="H4658">
        <f>0.00546448087431694*4.33598269617247</f>
        <v>2.3693894514603662E-2</v>
      </c>
      <c r="I4658">
        <v>2.369389451460369E-2</v>
      </c>
    </row>
    <row r="4659" spans="1:9" x14ac:dyDescent="0.25">
      <c r="A4659">
        <v>311</v>
      </c>
      <c r="B4659" t="s">
        <v>1923</v>
      </c>
      <c r="C4659" t="s">
        <v>10</v>
      </c>
      <c r="D4659" t="s">
        <v>1081</v>
      </c>
      <c r="E4659">
        <f>4/183</f>
        <v>2.185792349726776E-2</v>
      </c>
      <c r="F4659">
        <v>27</v>
      </c>
      <c r="G4659">
        <f>LOG(382/(27+1))</f>
        <v>1.1349053315694895</v>
      </c>
      <c r="H4659">
        <f>0.0218579234972677*2.61321609843137</f>
        <v>5.7119477561341267E-2</v>
      </c>
      <c r="I4659">
        <v>5.711947756134144E-2</v>
      </c>
    </row>
    <row r="4660" spans="1:9" x14ac:dyDescent="0.25">
      <c r="A4660">
        <v>311</v>
      </c>
      <c r="B4660" t="s">
        <v>1923</v>
      </c>
      <c r="C4660" t="s">
        <v>10</v>
      </c>
      <c r="D4660" t="s">
        <v>152</v>
      </c>
      <c r="E4660">
        <f>2/183</f>
        <v>1.092896174863388E-2</v>
      </c>
      <c r="F4660">
        <v>31</v>
      </c>
      <c r="G4660">
        <f>LOG(382/(31+1))</f>
        <v>1.0769133845918029</v>
      </c>
      <c r="H4660">
        <f>0.0109289617486338*2.47968470580684</f>
        <v>2.7100379298435211E-2</v>
      </c>
      <c r="I4660">
        <v>2.710037929843551E-2</v>
      </c>
    </row>
    <row r="4661" spans="1:9" x14ac:dyDescent="0.25">
      <c r="A4661">
        <v>311</v>
      </c>
      <c r="B4661" t="s">
        <v>1923</v>
      </c>
      <c r="C4661" t="s">
        <v>10</v>
      </c>
      <c r="D4661" t="s">
        <v>1927</v>
      </c>
      <c r="E4661">
        <f>1/183</f>
        <v>5.4644808743169399E-3</v>
      </c>
      <c r="F4661">
        <v>3</v>
      </c>
      <c r="G4661">
        <f>LOG(382/(3+1))</f>
        <v>1.9800033715837464</v>
      </c>
      <c r="H4661">
        <f>0.00546448087431694*4.55912624748668</f>
        <v>2.4913258182987324E-2</v>
      </c>
      <c r="I4661">
        <v>2.4913258182987352E-2</v>
      </c>
    </row>
    <row r="4662" spans="1:9" x14ac:dyDescent="0.25">
      <c r="A4662">
        <v>311</v>
      </c>
      <c r="B4662" t="s">
        <v>1923</v>
      </c>
      <c r="C4662" t="s">
        <v>10</v>
      </c>
      <c r="D4662" t="s">
        <v>1868</v>
      </c>
      <c r="E4662">
        <f>1/183</f>
        <v>5.4644808743169399E-3</v>
      </c>
      <c r="F4662">
        <v>8</v>
      </c>
      <c r="G4662">
        <f>LOG(382/(8+1))</f>
        <v>1.6278208534723839</v>
      </c>
      <c r="H4662">
        <f>0.00546448087431694*3.74819603127035</f>
        <v>2.0481945526067486E-2</v>
      </c>
      <c r="I4662">
        <v>2.0481945526067521E-2</v>
      </c>
    </row>
    <row r="4663" spans="1:9" x14ac:dyDescent="0.25">
      <c r="A4663">
        <v>311</v>
      </c>
      <c r="B4663" t="s">
        <v>1923</v>
      </c>
      <c r="C4663" t="s">
        <v>10</v>
      </c>
      <c r="D4663" t="s">
        <v>11</v>
      </c>
      <c r="E4663">
        <f>3/183</f>
        <v>1.6393442622950821E-2</v>
      </c>
      <c r="F4663">
        <v>83</v>
      </c>
      <c r="G4663">
        <f>LOG(382/(83+1))</f>
        <v>0.65778407684982709</v>
      </c>
      <c r="H4663">
        <f>0.0163934426229508*1.51460380976326</f>
        <v>2.4829570651856689E-2</v>
      </c>
      <c r="I4663">
        <v>2.4829570651856751E-2</v>
      </c>
    </row>
    <row r="4664" spans="1:9" x14ac:dyDescent="0.25">
      <c r="A4664">
        <v>311</v>
      </c>
      <c r="B4664" t="s">
        <v>1923</v>
      </c>
      <c r="C4664" t="s">
        <v>10</v>
      </c>
      <c r="D4664" t="s">
        <v>1534</v>
      </c>
      <c r="E4664">
        <f>2/183</f>
        <v>1.092896174863388E-2</v>
      </c>
      <c r="F4664">
        <v>25</v>
      </c>
      <c r="G4664">
        <f>LOG(382/(25+1))</f>
        <v>1.1670900149408907</v>
      </c>
      <c r="H4664">
        <f>0.0109289617486338*2.68732407058509</f>
        <v>2.9369661973607328E-2</v>
      </c>
      <c r="I4664">
        <v>2.9369661973607571E-2</v>
      </c>
    </row>
    <row r="4665" spans="1:9" x14ac:dyDescent="0.25">
      <c r="A4665">
        <v>311</v>
      </c>
      <c r="B4665" t="s">
        <v>1923</v>
      </c>
      <c r="C4665" t="s">
        <v>10</v>
      </c>
      <c r="D4665" t="s">
        <v>743</v>
      </c>
      <c r="E4665">
        <f>1/183</f>
        <v>5.4644808743169399E-3</v>
      </c>
      <c r="F4665">
        <v>3</v>
      </c>
      <c r="G4665">
        <f>LOG(382/(3+1))</f>
        <v>1.9800033715837464</v>
      </c>
      <c r="H4665">
        <f>0.00546448087431694*4.55912624748668</f>
        <v>2.4913258182987324E-2</v>
      </c>
      <c r="I4665">
        <v>2.4913258182987352E-2</v>
      </c>
    </row>
    <row r="4666" spans="1:9" x14ac:dyDescent="0.25">
      <c r="A4666">
        <v>311</v>
      </c>
      <c r="B4666" t="s">
        <v>1923</v>
      </c>
      <c r="C4666" t="s">
        <v>10</v>
      </c>
      <c r="D4666" t="s">
        <v>483</v>
      </c>
      <c r="E4666">
        <f>3/183</f>
        <v>1.6393442622950821E-2</v>
      </c>
      <c r="F4666">
        <v>61</v>
      </c>
      <c r="G4666">
        <f>LOG(382/(61+1))</f>
        <v>0.7896716734134549</v>
      </c>
      <c r="H4666">
        <f>0.0163934426229508*1.81828622356148</f>
        <v>2.9807970878057016E-2</v>
      </c>
      <c r="I4666">
        <v>2.9807970878057109E-2</v>
      </c>
    </row>
    <row r="4667" spans="1:9" x14ac:dyDescent="0.25">
      <c r="A4667">
        <v>311</v>
      </c>
      <c r="B4667" t="s">
        <v>1923</v>
      </c>
      <c r="C4667" t="s">
        <v>10</v>
      </c>
      <c r="D4667" t="s">
        <v>1928</v>
      </c>
      <c r="E4667">
        <f>1/183</f>
        <v>5.4644808743169399E-3</v>
      </c>
      <c r="F4667">
        <v>1</v>
      </c>
      <c r="G4667">
        <f>LOG(382/(1+1))</f>
        <v>2.2810333672477277</v>
      </c>
      <c r="H4667">
        <f>0.00546448087431694*5.25227342804663</f>
        <v>2.8700947694243879E-2</v>
      </c>
      <c r="I4667">
        <v>2.8700947694243879E-2</v>
      </c>
    </row>
    <row r="4668" spans="1:9" x14ac:dyDescent="0.25">
      <c r="A4668">
        <v>311</v>
      </c>
      <c r="B4668" t="s">
        <v>1923</v>
      </c>
      <c r="C4668" t="s">
        <v>10</v>
      </c>
      <c r="D4668" t="s">
        <v>1929</v>
      </c>
      <c r="E4668">
        <f>1/183</f>
        <v>5.4644808743169399E-3</v>
      </c>
      <c r="F4668">
        <v>1</v>
      </c>
      <c r="G4668">
        <f>LOG(382/(1+1))</f>
        <v>2.2810333672477277</v>
      </c>
      <c r="H4668">
        <f>0.00546448087431694*5.25227342804663</f>
        <v>2.8700947694243879E-2</v>
      </c>
      <c r="I4668">
        <v>2.8700947694243879E-2</v>
      </c>
    </row>
    <row r="4669" spans="1:9" x14ac:dyDescent="0.25">
      <c r="A4669">
        <v>311</v>
      </c>
      <c r="B4669" t="s">
        <v>1923</v>
      </c>
      <c r="C4669" t="s">
        <v>10</v>
      </c>
      <c r="D4669" t="s">
        <v>327</v>
      </c>
      <c r="E4669">
        <f>2/183</f>
        <v>1.092896174863388E-2</v>
      </c>
      <c r="F4669">
        <v>46</v>
      </c>
      <c r="G4669">
        <f>LOG(382/(46+1))</f>
        <v>0.90996550497599127</v>
      </c>
      <c r="H4669">
        <f>0.0109289617486338*2.09527300689651</f>
        <v>2.2899158545316885E-2</v>
      </c>
      <c r="I4669">
        <v>2.2899158545317121E-2</v>
      </c>
    </row>
    <row r="4670" spans="1:9" x14ac:dyDescent="0.25">
      <c r="A4670">
        <v>311</v>
      </c>
      <c r="B4670" t="s">
        <v>1923</v>
      </c>
      <c r="C4670" t="s">
        <v>10</v>
      </c>
      <c r="D4670" t="s">
        <v>1930</v>
      </c>
      <c r="E4670">
        <f>1/183</f>
        <v>5.4644808743169399E-3</v>
      </c>
      <c r="F4670">
        <v>1</v>
      </c>
      <c r="G4670">
        <f>LOG(382/(1+1))</f>
        <v>2.2810333672477277</v>
      </c>
      <c r="H4670">
        <f>0.00546448087431694*5.25227342804663</f>
        <v>2.8700947694243879E-2</v>
      </c>
      <c r="I4670">
        <v>2.8700947694243879E-2</v>
      </c>
    </row>
    <row r="4671" spans="1:9" x14ac:dyDescent="0.25">
      <c r="A4671">
        <v>311</v>
      </c>
      <c r="B4671" t="s">
        <v>1923</v>
      </c>
      <c r="C4671" t="s">
        <v>10</v>
      </c>
      <c r="D4671" t="s">
        <v>133</v>
      </c>
      <c r="E4671">
        <f>3/183</f>
        <v>1.6393442622950821E-2</v>
      </c>
      <c r="F4671">
        <v>142</v>
      </c>
      <c r="G4671">
        <f>LOG(382/(142+1))</f>
        <v>0.42672732544664693</v>
      </c>
      <c r="H4671">
        <f>0.0163934426229508*0.982575978346667</f>
        <v>1.6107802923715834E-2</v>
      </c>
      <c r="I4671">
        <v>1.6107802923715869E-2</v>
      </c>
    </row>
    <row r="4672" spans="1:9" x14ac:dyDescent="0.25">
      <c r="A4672">
        <v>311</v>
      </c>
      <c r="B4672" t="s">
        <v>1923</v>
      </c>
      <c r="C4672" t="s">
        <v>10</v>
      </c>
      <c r="D4672" t="s">
        <v>77</v>
      </c>
      <c r="E4672">
        <f>2/183</f>
        <v>1.092896174863388E-2</v>
      </c>
      <c r="F4672">
        <v>148</v>
      </c>
      <c r="G4672">
        <f>LOG(382/(148+1))</f>
        <v>0.40887709449943471</v>
      </c>
      <c r="H4672">
        <f>0.0109289617486338*0.941474302661116</f>
        <v>1.0289336641105018E-2</v>
      </c>
      <c r="I4672">
        <v>1.0289336641105091E-2</v>
      </c>
    </row>
    <row r="4673" spans="1:9" x14ac:dyDescent="0.25">
      <c r="A4673">
        <v>311</v>
      </c>
      <c r="B4673" t="s">
        <v>1923</v>
      </c>
      <c r="C4673" t="s">
        <v>10</v>
      </c>
      <c r="D4673" t="s">
        <v>1931</v>
      </c>
      <c r="E4673">
        <f>1/183</f>
        <v>5.4644808743169399E-3</v>
      </c>
      <c r="F4673">
        <v>5</v>
      </c>
      <c r="G4673">
        <f>LOG(382/(5+1))</f>
        <v>1.803912112528065</v>
      </c>
      <c r="H4673">
        <f>0.00546448087431694*4.15366113937852</f>
        <v>2.2697601854527433E-2</v>
      </c>
      <c r="I4673">
        <v>2.2697601854527429E-2</v>
      </c>
    </row>
    <row r="4674" spans="1:9" x14ac:dyDescent="0.25">
      <c r="A4674">
        <v>311</v>
      </c>
      <c r="B4674" t="s">
        <v>1923</v>
      </c>
      <c r="C4674" t="s">
        <v>10</v>
      </c>
      <c r="D4674" t="s">
        <v>1775</v>
      </c>
      <c r="E4674">
        <f>2/183</f>
        <v>1.092896174863388E-2</v>
      </c>
      <c r="F4674">
        <v>10</v>
      </c>
      <c r="G4674">
        <f>LOG(382/(10+1))</f>
        <v>1.5406706777534838</v>
      </c>
      <c r="H4674">
        <f>0.0109289617486338*3.5475253358082</f>
        <v>3.8770768697357093E-2</v>
      </c>
      <c r="I4674">
        <v>3.8770768697357433E-2</v>
      </c>
    </row>
    <row r="4675" spans="1:9" x14ac:dyDescent="0.25">
      <c r="A4675">
        <v>311</v>
      </c>
      <c r="B4675" t="s">
        <v>1923</v>
      </c>
      <c r="C4675" t="s">
        <v>10</v>
      </c>
      <c r="D4675" t="s">
        <v>322</v>
      </c>
      <c r="E4675">
        <f>2/183</f>
        <v>1.092896174863388E-2</v>
      </c>
      <c r="F4675">
        <v>128</v>
      </c>
      <c r="G4675">
        <f>LOG(382/(128+1))</f>
        <v>0.47147365261245977</v>
      </c>
      <c r="H4675">
        <f>0.0109289617486338*1.0856082042449</f>
        <v>1.1864570538195542E-2</v>
      </c>
      <c r="I4675">
        <v>1.186457053819566E-2</v>
      </c>
    </row>
    <row r="4676" spans="1:9" x14ac:dyDescent="0.25">
      <c r="A4676">
        <v>311</v>
      </c>
      <c r="B4676" t="s">
        <v>1923</v>
      </c>
      <c r="C4676" t="s">
        <v>10</v>
      </c>
      <c r="D4676" t="s">
        <v>81</v>
      </c>
      <c r="E4676">
        <f>1/183</f>
        <v>5.4644808743169399E-3</v>
      </c>
      <c r="F4676">
        <v>114</v>
      </c>
      <c r="G4676">
        <f>LOG(382/(114+1))</f>
        <v>0.52136552255809698</v>
      </c>
      <c r="H4676">
        <f>0.00546448087431694*1.20048848024332</f>
        <v>6.5600463401274314E-3</v>
      </c>
      <c r="I4676">
        <v>6.56004634012746E-3</v>
      </c>
    </row>
    <row r="4677" spans="1:9" x14ac:dyDescent="0.25">
      <c r="A4677">
        <v>311</v>
      </c>
      <c r="B4677" t="s">
        <v>1923</v>
      </c>
      <c r="C4677" t="s">
        <v>10</v>
      </c>
      <c r="D4677" t="s">
        <v>1540</v>
      </c>
      <c r="E4677">
        <f>1/183</f>
        <v>5.4644808743169399E-3</v>
      </c>
      <c r="F4677">
        <v>12</v>
      </c>
      <c r="G4677">
        <f>LOG(382/(12+1))</f>
        <v>1.468120010604872</v>
      </c>
      <c r="H4677">
        <f>0.00546448087431694*3.38047125114503</f>
        <v>1.8472520498060273E-2</v>
      </c>
      <c r="I4677">
        <v>1.8472520498060321E-2</v>
      </c>
    </row>
    <row r="4678" spans="1:9" x14ac:dyDescent="0.25">
      <c r="A4678">
        <v>311</v>
      </c>
      <c r="B4678" t="s">
        <v>1923</v>
      </c>
      <c r="C4678" t="s">
        <v>10</v>
      </c>
      <c r="D4678" t="s">
        <v>324</v>
      </c>
      <c r="E4678">
        <f>1/183</f>
        <v>5.4644808743169399E-3</v>
      </c>
      <c r="F4678">
        <v>82</v>
      </c>
      <c r="G4678">
        <f>LOG(382/(82+1))</f>
        <v>0.66298527053563483</v>
      </c>
      <c r="H4678">
        <f>0.00546448087431694*1.52658000080997</f>
        <v>8.3419672175408192E-3</v>
      </c>
      <c r="I4678">
        <v>8.3419672175408591E-3</v>
      </c>
    </row>
    <row r="4679" spans="1:9" x14ac:dyDescent="0.25">
      <c r="A4679">
        <v>311</v>
      </c>
      <c r="B4679" t="s">
        <v>1923</v>
      </c>
      <c r="C4679" t="s">
        <v>10</v>
      </c>
      <c r="D4679" t="s">
        <v>1222</v>
      </c>
      <c r="E4679">
        <f>3/183</f>
        <v>1.6393442622950821E-2</v>
      </c>
      <c r="F4679">
        <v>56</v>
      </c>
      <c r="G4679">
        <f>LOG(382/(56+1))</f>
        <v>0.82618850723921733</v>
      </c>
      <c r="H4679">
        <f>0.0163934426229508*1.90236934077202</f>
        <v>3.1186382635606847E-2</v>
      </c>
      <c r="I4679">
        <v>3.1186382635606968E-2</v>
      </c>
    </row>
    <row r="4680" spans="1:9" x14ac:dyDescent="0.25">
      <c r="A4680">
        <v>311</v>
      </c>
      <c r="B4680" t="s">
        <v>1923</v>
      </c>
      <c r="C4680" t="s">
        <v>10</v>
      </c>
      <c r="D4680" t="s">
        <v>1208</v>
      </c>
      <c r="E4680">
        <f>1/183</f>
        <v>5.4644808743169399E-3</v>
      </c>
      <c r="F4680">
        <v>10</v>
      </c>
      <c r="G4680">
        <f>LOG(382/(10+1))</f>
        <v>1.5406706777534838</v>
      </c>
      <c r="H4680">
        <f>0.00546448087431694*3.5475253358082</f>
        <v>1.9385384348678689E-2</v>
      </c>
      <c r="I4680">
        <v>1.9385384348678709E-2</v>
      </c>
    </row>
    <row r="4681" spans="1:9" x14ac:dyDescent="0.25">
      <c r="A4681">
        <v>311</v>
      </c>
      <c r="B4681" t="s">
        <v>1923</v>
      </c>
      <c r="C4681" t="s">
        <v>10</v>
      </c>
      <c r="D4681" t="s">
        <v>1537</v>
      </c>
      <c r="E4681">
        <f>1/183</f>
        <v>5.4644808743169399E-3</v>
      </c>
      <c r="F4681">
        <v>80</v>
      </c>
      <c r="G4681">
        <f>LOG(382/(80+1))</f>
        <v>0.67357834403305894</v>
      </c>
      <c r="H4681">
        <f>0.00546448087431694*1.55097145393413</f>
        <v>8.4752538466345891E-3</v>
      </c>
      <c r="I4681">
        <v>8.4752538466346256E-3</v>
      </c>
    </row>
    <row r="4682" spans="1:9" x14ac:dyDescent="0.25">
      <c r="A4682">
        <v>311</v>
      </c>
      <c r="B4682" t="s">
        <v>1923</v>
      </c>
      <c r="C4682" t="s">
        <v>10</v>
      </c>
      <c r="D4682" t="s">
        <v>1932</v>
      </c>
      <c r="E4682">
        <f>1/183</f>
        <v>5.4644808743169399E-3</v>
      </c>
      <c r="F4682">
        <v>1</v>
      </c>
      <c r="G4682">
        <f>LOG(382/(1+1))</f>
        <v>2.2810333672477277</v>
      </c>
      <c r="H4682">
        <f>0.00546448087431694*5.25227342804663</f>
        <v>2.8700947694243879E-2</v>
      </c>
      <c r="I4682">
        <v>2.8700947694243879E-2</v>
      </c>
    </row>
    <row r="4683" spans="1:9" x14ac:dyDescent="0.25">
      <c r="A4683">
        <v>311</v>
      </c>
      <c r="B4683" t="s">
        <v>1923</v>
      </c>
      <c r="C4683" t="s">
        <v>10</v>
      </c>
      <c r="D4683" t="s">
        <v>123</v>
      </c>
      <c r="E4683">
        <f>2/183</f>
        <v>1.092896174863388E-2</v>
      </c>
      <c r="F4683">
        <v>74</v>
      </c>
      <c r="G4683">
        <f>LOG(382/(74+1))</f>
        <v>0.7070020995200087</v>
      </c>
      <c r="H4683">
        <f>0.0109289617486338*1.62793249507026</f>
        <v>1.7791611967980854E-2</v>
      </c>
      <c r="I4683">
        <v>1.7791611967981031E-2</v>
      </c>
    </row>
    <row r="4684" spans="1:9" x14ac:dyDescent="0.25">
      <c r="A4684">
        <v>311</v>
      </c>
      <c r="B4684" t="s">
        <v>1923</v>
      </c>
      <c r="C4684" t="s">
        <v>10</v>
      </c>
      <c r="D4684" t="s">
        <v>1933</v>
      </c>
      <c r="E4684">
        <f t="shared" ref="E4684:E4703" si="211">1/183</f>
        <v>5.4644808743169399E-3</v>
      </c>
      <c r="F4684">
        <v>1</v>
      </c>
      <c r="G4684">
        <f>LOG(382/(1+1))</f>
        <v>2.2810333672477277</v>
      </c>
      <c r="H4684">
        <f>0.00546448087431694*5.25227342804663</f>
        <v>2.8700947694243879E-2</v>
      </c>
      <c r="I4684">
        <v>2.8700947694243879E-2</v>
      </c>
    </row>
    <row r="4685" spans="1:9" x14ac:dyDescent="0.25">
      <c r="A4685">
        <v>311</v>
      </c>
      <c r="B4685" t="s">
        <v>1923</v>
      </c>
      <c r="C4685" t="s">
        <v>10</v>
      </c>
      <c r="D4685" t="s">
        <v>593</v>
      </c>
      <c r="E4685">
        <f t="shared" si="211"/>
        <v>5.4644808743169399E-3</v>
      </c>
      <c r="F4685">
        <v>30</v>
      </c>
      <c r="G4685">
        <f>LOG(382/(30+1))</f>
        <v>1.090701669077436</v>
      </c>
      <c r="H4685">
        <f>0.00546448087431694*2.51143340412142</f>
        <v>1.3723679803942186E-2</v>
      </c>
      <c r="I4685">
        <v>1.372367980394223E-2</v>
      </c>
    </row>
    <row r="4686" spans="1:9" x14ac:dyDescent="0.25">
      <c r="A4686">
        <v>311</v>
      </c>
      <c r="B4686" t="s">
        <v>1923</v>
      </c>
      <c r="C4686" t="s">
        <v>10</v>
      </c>
      <c r="D4686" t="s">
        <v>1934</v>
      </c>
      <c r="E4686">
        <f t="shared" si="211"/>
        <v>5.4644808743169399E-3</v>
      </c>
      <c r="F4686">
        <v>3</v>
      </c>
      <c r="G4686">
        <f>LOG(382/(3+1))</f>
        <v>1.9800033715837464</v>
      </c>
      <c r="H4686">
        <f>0.00546448087431694*4.55912624748668</f>
        <v>2.4913258182987324E-2</v>
      </c>
      <c r="I4686">
        <v>2.4913258182987352E-2</v>
      </c>
    </row>
    <row r="4687" spans="1:9" x14ac:dyDescent="0.25">
      <c r="A4687">
        <v>311</v>
      </c>
      <c r="B4687" t="s">
        <v>1923</v>
      </c>
      <c r="C4687" t="s">
        <v>10</v>
      </c>
      <c r="D4687" t="s">
        <v>1935</v>
      </c>
      <c r="E4687">
        <f t="shared" si="211"/>
        <v>5.4644808743169399E-3</v>
      </c>
      <c r="F4687">
        <v>2</v>
      </c>
      <c r="G4687">
        <f>LOG(382/(2+1))</f>
        <v>2.1049421081920463</v>
      </c>
      <c r="H4687">
        <f>0.00546448087431694*4.84680831993846</f>
        <v>2.6485291365783935E-2</v>
      </c>
      <c r="I4687">
        <v>2.648529136578396E-2</v>
      </c>
    </row>
    <row r="4688" spans="1:9" x14ac:dyDescent="0.25">
      <c r="A4688">
        <v>311</v>
      </c>
      <c r="B4688" t="s">
        <v>1923</v>
      </c>
      <c r="C4688" t="s">
        <v>10</v>
      </c>
      <c r="D4688" t="s">
        <v>361</v>
      </c>
      <c r="E4688">
        <f t="shared" si="211"/>
        <v>5.4644808743169399E-3</v>
      </c>
      <c r="F4688">
        <v>118</v>
      </c>
      <c r="G4688">
        <f>LOG(382/(118+1))</f>
        <v>0.50651640151917798</v>
      </c>
      <c r="H4688">
        <f>0.00546448087431694*1.16629711549504</f>
        <v>6.373208281393661E-3</v>
      </c>
      <c r="I4688">
        <v>6.3732082813936931E-3</v>
      </c>
    </row>
    <row r="4689" spans="1:9" x14ac:dyDescent="0.25">
      <c r="A4689">
        <v>311</v>
      </c>
      <c r="B4689" t="s">
        <v>1923</v>
      </c>
      <c r="C4689" t="s">
        <v>10</v>
      </c>
      <c r="D4689" t="s">
        <v>434</v>
      </c>
      <c r="E4689">
        <f t="shared" si="211"/>
        <v>5.4644808743169399E-3</v>
      </c>
      <c r="F4689">
        <v>97</v>
      </c>
      <c r="G4689">
        <f>LOG(382/(97+1))</f>
        <v>0.59083728721921391</v>
      </c>
      <c r="H4689">
        <f>0.00546448087431694*1.360453129936</f>
        <v>7.4341701089398913E-3</v>
      </c>
      <c r="I4689">
        <v>7.4341701089399078E-3</v>
      </c>
    </row>
    <row r="4690" spans="1:9" x14ac:dyDescent="0.25">
      <c r="A4690">
        <v>311</v>
      </c>
      <c r="B4690" t="s">
        <v>1923</v>
      </c>
      <c r="C4690" t="s">
        <v>10</v>
      </c>
      <c r="D4690" t="s">
        <v>1936</v>
      </c>
      <c r="E4690">
        <f t="shared" si="211"/>
        <v>5.4644808743169399E-3</v>
      </c>
      <c r="F4690">
        <v>1</v>
      </c>
      <c r="G4690">
        <f>LOG(382/(1+1))</f>
        <v>2.2810333672477277</v>
      </c>
      <c r="H4690">
        <f>0.00546448087431694*5.25227342804663</f>
        <v>2.8700947694243879E-2</v>
      </c>
      <c r="I4690">
        <v>2.8700947694243879E-2</v>
      </c>
    </row>
    <row r="4691" spans="1:9" x14ac:dyDescent="0.25">
      <c r="A4691">
        <v>311</v>
      </c>
      <c r="B4691" t="s">
        <v>1923</v>
      </c>
      <c r="C4691" t="s">
        <v>10</v>
      </c>
      <c r="D4691" t="s">
        <v>310</v>
      </c>
      <c r="E4691">
        <f t="shared" si="211"/>
        <v>5.4644808743169399E-3</v>
      </c>
      <c r="F4691">
        <v>50</v>
      </c>
      <c r="G4691">
        <f>LOG(382/(50+1))</f>
        <v>0.87449318681377242</v>
      </c>
      <c r="H4691">
        <f>0.00546448087431694*2.01359497588224</f>
        <v>1.100325123432918E-2</v>
      </c>
      <c r="I4691">
        <v>1.100325123432923E-2</v>
      </c>
    </row>
    <row r="4692" spans="1:9" x14ac:dyDescent="0.25">
      <c r="A4692">
        <v>311</v>
      </c>
      <c r="B4692" t="s">
        <v>1923</v>
      </c>
      <c r="C4692" t="s">
        <v>10</v>
      </c>
      <c r="D4692" t="s">
        <v>1937</v>
      </c>
      <c r="E4692">
        <f t="shared" si="211"/>
        <v>5.4644808743169399E-3</v>
      </c>
      <c r="F4692">
        <v>1</v>
      </c>
      <c r="G4692">
        <f>LOG(382/(1+1))</f>
        <v>2.2810333672477277</v>
      </c>
      <c r="H4692">
        <f>0.00546448087431694*5.25227342804663</f>
        <v>2.8700947694243879E-2</v>
      </c>
      <c r="I4692">
        <v>2.8700947694243879E-2</v>
      </c>
    </row>
    <row r="4693" spans="1:9" x14ac:dyDescent="0.25">
      <c r="A4693">
        <v>311</v>
      </c>
      <c r="B4693" t="s">
        <v>1923</v>
      </c>
      <c r="C4693" t="s">
        <v>10</v>
      </c>
      <c r="D4693" t="s">
        <v>850</v>
      </c>
      <c r="E4693">
        <f t="shared" si="211"/>
        <v>5.4644808743169399E-3</v>
      </c>
      <c r="F4693">
        <v>14</v>
      </c>
      <c r="G4693">
        <f>LOG(382/(14+1))</f>
        <v>1.4059721038560276</v>
      </c>
      <c r="H4693">
        <f>0.00546448087431694*3.23737040750436</f>
        <v>1.7690548674887212E-2</v>
      </c>
      <c r="I4693">
        <v>1.769054867488724E-2</v>
      </c>
    </row>
    <row r="4694" spans="1:9" x14ac:dyDescent="0.25">
      <c r="A4694">
        <v>311</v>
      </c>
      <c r="B4694" t="s">
        <v>1923</v>
      </c>
      <c r="C4694" t="s">
        <v>10</v>
      </c>
      <c r="D4694" t="s">
        <v>1938</v>
      </c>
      <c r="E4694">
        <f t="shared" si="211"/>
        <v>5.4644808743169399E-3</v>
      </c>
      <c r="F4694">
        <v>7</v>
      </c>
      <c r="G4694">
        <f>LOG(382/(7+1))</f>
        <v>1.6789733759197651</v>
      </c>
      <c r="H4694">
        <f>0.00546448087431694*3.86597906692673</f>
        <v>2.1125568671730766E-2</v>
      </c>
      <c r="I4694">
        <v>2.1125568671730811E-2</v>
      </c>
    </row>
    <row r="4695" spans="1:9" x14ac:dyDescent="0.25">
      <c r="A4695">
        <v>311</v>
      </c>
      <c r="B4695" t="s">
        <v>1923</v>
      </c>
      <c r="C4695" t="s">
        <v>10</v>
      </c>
      <c r="D4695" t="s">
        <v>214</v>
      </c>
      <c r="E4695">
        <f t="shared" si="211"/>
        <v>5.4644808743169399E-3</v>
      </c>
      <c r="F4695">
        <v>68</v>
      </c>
      <c r="G4695">
        <f>LOG(382/(68+1))</f>
        <v>0.74321427217445335</v>
      </c>
      <c r="H4695">
        <f>0.00546448087431694*1.71131410400931</f>
        <v>9.351443191307705E-3</v>
      </c>
      <c r="I4695">
        <v>9.3514431913077362E-3</v>
      </c>
    </row>
    <row r="4696" spans="1:9" x14ac:dyDescent="0.25">
      <c r="A4696">
        <v>311</v>
      </c>
      <c r="B4696" t="s">
        <v>1923</v>
      </c>
      <c r="C4696" t="s">
        <v>10</v>
      </c>
      <c r="D4696" t="s">
        <v>1939</v>
      </c>
      <c r="E4696">
        <f t="shared" si="211"/>
        <v>5.4644808743169399E-3</v>
      </c>
      <c r="F4696">
        <v>1</v>
      </c>
      <c r="G4696">
        <f>LOG(382/(1+1))</f>
        <v>2.2810333672477277</v>
      </c>
      <c r="H4696">
        <f>0.00546448087431694*5.25227342804663</f>
        <v>2.8700947694243879E-2</v>
      </c>
      <c r="I4696">
        <v>2.8700947694243879E-2</v>
      </c>
    </row>
    <row r="4697" spans="1:9" x14ac:dyDescent="0.25">
      <c r="A4697">
        <v>311</v>
      </c>
      <c r="B4697" t="s">
        <v>1923</v>
      </c>
      <c r="C4697" t="s">
        <v>10</v>
      </c>
      <c r="D4697" t="s">
        <v>836</v>
      </c>
      <c r="E4697">
        <f t="shared" si="211"/>
        <v>5.4644808743169399E-3</v>
      </c>
      <c r="F4697">
        <v>21</v>
      </c>
      <c r="G4697">
        <f>LOG(382/(21+1))</f>
        <v>1.2396406820895025</v>
      </c>
      <c r="H4697">
        <f>0.00546448087431694*2.85437815524825</f>
        <v>1.559769483742213E-2</v>
      </c>
      <c r="I4697">
        <v>1.5597694837422181E-2</v>
      </c>
    </row>
    <row r="4698" spans="1:9" x14ac:dyDescent="0.25">
      <c r="A4698">
        <v>311</v>
      </c>
      <c r="B4698" t="s">
        <v>1923</v>
      </c>
      <c r="C4698" t="s">
        <v>10</v>
      </c>
      <c r="D4698" t="s">
        <v>1940</v>
      </c>
      <c r="E4698">
        <f t="shared" si="211"/>
        <v>5.4644808743169399E-3</v>
      </c>
      <c r="F4698">
        <v>1</v>
      </c>
      <c r="G4698">
        <f>LOG(382/(1+1))</f>
        <v>2.2810333672477277</v>
      </c>
      <c r="H4698">
        <f>0.00546448087431694*5.25227342804663</f>
        <v>2.8700947694243879E-2</v>
      </c>
      <c r="I4698">
        <v>2.8700947694243879E-2</v>
      </c>
    </row>
    <row r="4699" spans="1:9" x14ac:dyDescent="0.25">
      <c r="A4699">
        <v>311</v>
      </c>
      <c r="B4699" t="s">
        <v>1923</v>
      </c>
      <c r="C4699" t="s">
        <v>10</v>
      </c>
      <c r="D4699" t="s">
        <v>1941</v>
      </c>
      <c r="E4699">
        <f t="shared" si="211"/>
        <v>5.4644808743169399E-3</v>
      </c>
      <c r="F4699">
        <v>1</v>
      </c>
      <c r="G4699">
        <f>LOG(382/(1+1))</f>
        <v>2.2810333672477277</v>
      </c>
      <c r="H4699">
        <f>0.00546448087431694*5.25227342804663</f>
        <v>2.8700947694243879E-2</v>
      </c>
      <c r="I4699">
        <v>2.8700947694243879E-2</v>
      </c>
    </row>
    <row r="4700" spans="1:9" x14ac:dyDescent="0.25">
      <c r="A4700">
        <v>311</v>
      </c>
      <c r="B4700" t="s">
        <v>1923</v>
      </c>
      <c r="C4700" t="s">
        <v>10</v>
      </c>
      <c r="D4700" t="s">
        <v>239</v>
      </c>
      <c r="E4700">
        <f t="shared" si="211"/>
        <v>5.4644808743169399E-3</v>
      </c>
      <c r="F4700">
        <v>40</v>
      </c>
      <c r="G4700">
        <f>LOG(382/(40+1))</f>
        <v>0.96927950619197323</v>
      </c>
      <c r="H4700">
        <f>0.00546448087431694*2.23184854190226</f>
        <v>1.2195893671597048E-2</v>
      </c>
      <c r="I4700">
        <v>1.219589367159709E-2</v>
      </c>
    </row>
    <row r="4701" spans="1:9" x14ac:dyDescent="0.25">
      <c r="A4701">
        <v>311</v>
      </c>
      <c r="B4701" t="s">
        <v>1923</v>
      </c>
      <c r="C4701" t="s">
        <v>10</v>
      </c>
      <c r="D4701" t="s">
        <v>444</v>
      </c>
      <c r="E4701">
        <f t="shared" si="211"/>
        <v>5.4644808743169399E-3</v>
      </c>
      <c r="F4701">
        <v>28</v>
      </c>
      <c r="G4701">
        <f>LOG(382/(28+1))</f>
        <v>1.1196653650127526</v>
      </c>
      <c r="H4701">
        <f>0.00546448087431694*2.5781247786201</f>
        <v>1.408811354437213E-2</v>
      </c>
      <c r="I4701">
        <v>1.408811354437214E-2</v>
      </c>
    </row>
    <row r="4702" spans="1:9" x14ac:dyDescent="0.25">
      <c r="A4702">
        <v>311</v>
      </c>
      <c r="B4702" t="s">
        <v>1923</v>
      </c>
      <c r="C4702" t="s">
        <v>10</v>
      </c>
      <c r="D4702" t="s">
        <v>445</v>
      </c>
      <c r="E4702">
        <f t="shared" si="211"/>
        <v>5.4644808743169399E-3</v>
      </c>
      <c r="F4702">
        <v>35</v>
      </c>
      <c r="G4702">
        <f>LOG(382/(35+1))</f>
        <v>1.0257608621444214</v>
      </c>
      <c r="H4702">
        <f>0.00546448087431694*2.36190167015046</f>
        <v>1.2906566503554427E-2</v>
      </c>
      <c r="I4702">
        <v>1.2906566503554449E-2</v>
      </c>
    </row>
    <row r="4703" spans="1:9" x14ac:dyDescent="0.25">
      <c r="A4703">
        <v>311</v>
      </c>
      <c r="B4703" t="s">
        <v>1923</v>
      </c>
      <c r="C4703" t="s">
        <v>10</v>
      </c>
      <c r="D4703" t="s">
        <v>279</v>
      </c>
      <c r="E4703">
        <f t="shared" si="211"/>
        <v>5.4644808743169399E-3</v>
      </c>
      <c r="F4703">
        <v>22</v>
      </c>
      <c r="G4703">
        <f>LOG(382/(22+1))</f>
        <v>1.2203355268941158</v>
      </c>
      <c r="H4703">
        <f>0.00546448087431694*2.80992639267742</f>
        <v>1.5354789031024153E-2</v>
      </c>
      <c r="I4703">
        <v>1.535478903102418E-2</v>
      </c>
    </row>
    <row r="4704" spans="1:9" x14ac:dyDescent="0.25">
      <c r="A4704">
        <v>311</v>
      </c>
      <c r="B4704" t="s">
        <v>1923</v>
      </c>
      <c r="C4704" t="s">
        <v>10</v>
      </c>
      <c r="D4704" t="s">
        <v>1942</v>
      </c>
      <c r="E4704">
        <f>2/183</f>
        <v>1.092896174863388E-2</v>
      </c>
      <c r="F4704">
        <v>3</v>
      </c>
      <c r="G4704">
        <f>LOG(382/(3+1))</f>
        <v>1.9800033715837464</v>
      </c>
      <c r="H4704">
        <f>0.0109289617486338*4.55912624748668</f>
        <v>4.982651636597428E-2</v>
      </c>
      <c r="I4704">
        <v>4.9826516365974703E-2</v>
      </c>
    </row>
    <row r="4705" spans="1:9" x14ac:dyDescent="0.25">
      <c r="A4705">
        <v>311</v>
      </c>
      <c r="B4705" t="s">
        <v>1923</v>
      </c>
      <c r="C4705" t="s">
        <v>10</v>
      </c>
      <c r="D4705" t="s">
        <v>447</v>
      </c>
      <c r="E4705">
        <f>1/183</f>
        <v>5.4644808743169399E-3</v>
      </c>
      <c r="F4705">
        <v>37</v>
      </c>
      <c r="G4705">
        <f>LOG(382/(37+1))</f>
        <v>1.0022797662948986</v>
      </c>
      <c r="H4705">
        <f>0.00546448087431694*2.30783444888018</f>
        <v>1.2611117206995518E-2</v>
      </c>
      <c r="I4705">
        <v>1.261111720699557E-2</v>
      </c>
    </row>
    <row r="4706" spans="1:9" x14ac:dyDescent="0.25">
      <c r="A4706">
        <v>311</v>
      </c>
      <c r="B4706" t="s">
        <v>1923</v>
      </c>
      <c r="C4706" t="s">
        <v>10</v>
      </c>
      <c r="D4706" t="s">
        <v>301</v>
      </c>
      <c r="E4706">
        <f>1/183</f>
        <v>5.4644808743169399E-3</v>
      </c>
      <c r="F4706">
        <v>5</v>
      </c>
      <c r="G4706">
        <f>LOG(382/(5+1))</f>
        <v>1.803912112528065</v>
      </c>
      <c r="H4706">
        <f>0.00546448087431694*4.15366113937852</f>
        <v>2.2697601854527433E-2</v>
      </c>
      <c r="I4706">
        <v>2.2697601854527429E-2</v>
      </c>
    </row>
    <row r="4707" spans="1:9" x14ac:dyDescent="0.25">
      <c r="A4707">
        <v>311</v>
      </c>
      <c r="B4707" t="s">
        <v>1923</v>
      </c>
      <c r="C4707" t="s">
        <v>10</v>
      </c>
      <c r="D4707" t="s">
        <v>1462</v>
      </c>
      <c r="E4707">
        <f>4/183</f>
        <v>2.185792349726776E-2</v>
      </c>
      <c r="F4707">
        <v>7</v>
      </c>
      <c r="G4707">
        <f>LOG(382/(7+1))</f>
        <v>1.6789733759197651</v>
      </c>
      <c r="H4707">
        <f>0.0218579234972677*3.86597906692673</f>
        <v>8.450227468692284E-2</v>
      </c>
      <c r="I4707">
        <v>8.4502274686923257E-2</v>
      </c>
    </row>
    <row r="4708" spans="1:9" x14ac:dyDescent="0.25">
      <c r="A4708">
        <v>311</v>
      </c>
      <c r="B4708" t="s">
        <v>1923</v>
      </c>
      <c r="C4708" t="s">
        <v>10</v>
      </c>
      <c r="D4708" t="s">
        <v>1464</v>
      </c>
      <c r="E4708">
        <f>2/183</f>
        <v>1.092896174863388E-2</v>
      </c>
      <c r="F4708">
        <v>4</v>
      </c>
      <c r="G4708">
        <f>LOG(382/(4+1))</f>
        <v>1.8830933585756899</v>
      </c>
      <c r="H4708">
        <f>0.0109289617486338*4.33598269617247</f>
        <v>4.7387789029206977E-2</v>
      </c>
      <c r="I4708">
        <v>4.7387789029207372E-2</v>
      </c>
    </row>
    <row r="4709" spans="1:9" x14ac:dyDescent="0.25">
      <c r="A4709">
        <v>311</v>
      </c>
      <c r="B4709" t="s">
        <v>1923</v>
      </c>
      <c r="C4709" t="s">
        <v>10</v>
      </c>
      <c r="D4709" t="s">
        <v>786</v>
      </c>
      <c r="E4709">
        <f>1/183</f>
        <v>5.4644808743169399E-3</v>
      </c>
      <c r="F4709">
        <v>11</v>
      </c>
      <c r="G4709">
        <f>LOG(382/(11+1))</f>
        <v>1.5028821168640838</v>
      </c>
      <c r="H4709">
        <f>0.00546448087431694*3.46051395881857</f>
        <v>1.8909912343270874E-2</v>
      </c>
      <c r="I4709">
        <v>1.8909912343270899E-2</v>
      </c>
    </row>
    <row r="4710" spans="1:9" x14ac:dyDescent="0.25">
      <c r="A4710">
        <v>311</v>
      </c>
      <c r="B4710" t="s">
        <v>1923</v>
      </c>
      <c r="C4710" t="s">
        <v>10</v>
      </c>
      <c r="D4710" t="s">
        <v>1943</v>
      </c>
      <c r="E4710">
        <f>1/183</f>
        <v>5.4644808743169399E-3</v>
      </c>
      <c r="F4710">
        <v>1</v>
      </c>
      <c r="G4710">
        <f>LOG(382/(1+1))</f>
        <v>2.2810333672477277</v>
      </c>
      <c r="H4710">
        <f>0.00546448087431694*5.25227342804663</f>
        <v>2.8700947694243879E-2</v>
      </c>
      <c r="I4710">
        <v>2.8700947694243879E-2</v>
      </c>
    </row>
    <row r="4711" spans="1:9" x14ac:dyDescent="0.25">
      <c r="A4711">
        <v>311</v>
      </c>
      <c r="B4711" t="s">
        <v>1923</v>
      </c>
      <c r="C4711" t="s">
        <v>10</v>
      </c>
      <c r="D4711" t="s">
        <v>1463</v>
      </c>
      <c r="E4711">
        <f>1/183</f>
        <v>5.4644808743169399E-3</v>
      </c>
      <c r="F4711">
        <v>2</v>
      </c>
      <c r="G4711">
        <f>LOG(382/(2+1))</f>
        <v>2.1049421081920463</v>
      </c>
      <c r="H4711">
        <f>0.00546448087431694*4.84680831993846</f>
        <v>2.6485291365783935E-2</v>
      </c>
      <c r="I4711">
        <v>2.648529136578396E-2</v>
      </c>
    </row>
    <row r="4712" spans="1:9" x14ac:dyDescent="0.25">
      <c r="A4712">
        <v>311</v>
      </c>
      <c r="B4712" t="s">
        <v>1923</v>
      </c>
      <c r="C4712" t="s">
        <v>10</v>
      </c>
      <c r="D4712" t="s">
        <v>1474</v>
      </c>
      <c r="E4712">
        <f>1/183</f>
        <v>5.4644808743169399E-3</v>
      </c>
      <c r="F4712">
        <v>6</v>
      </c>
      <c r="G4712">
        <f>LOG(382/(6+1))</f>
        <v>1.736965322897452</v>
      </c>
      <c r="H4712">
        <f>0.00546448087431694*3.99951045955126</f>
        <v>2.1855248412848416E-2</v>
      </c>
      <c r="I4712">
        <v>2.185524841284843E-2</v>
      </c>
    </row>
    <row r="4713" spans="1:9" x14ac:dyDescent="0.25">
      <c r="A4713">
        <v>311</v>
      </c>
      <c r="B4713" t="s">
        <v>1923</v>
      </c>
      <c r="C4713" t="s">
        <v>10</v>
      </c>
      <c r="D4713" t="s">
        <v>1944</v>
      </c>
      <c r="E4713">
        <f>1/183</f>
        <v>5.4644808743169399E-3</v>
      </c>
      <c r="F4713">
        <v>1</v>
      </c>
      <c r="G4713">
        <f>LOG(382/(1+1))</f>
        <v>2.2810333672477277</v>
      </c>
      <c r="H4713">
        <f>0.00546448087431694*5.25227342804663</f>
        <v>2.8700947694243879E-2</v>
      </c>
      <c r="I4713">
        <v>2.8700947694243879E-2</v>
      </c>
    </row>
    <row r="4714" spans="1:9" x14ac:dyDescent="0.25">
      <c r="A4714">
        <v>311</v>
      </c>
      <c r="B4714" t="s">
        <v>1923</v>
      </c>
      <c r="C4714" t="s">
        <v>10</v>
      </c>
      <c r="D4714" t="s">
        <v>1533</v>
      </c>
      <c r="E4714">
        <f>2/183</f>
        <v>1.092896174863388E-2</v>
      </c>
      <c r="F4714">
        <v>33</v>
      </c>
      <c r="G4714">
        <f>LOG(382/(33+1))</f>
        <v>1.0505844458694535</v>
      </c>
      <c r="H4714">
        <f>0.0109289617486338*2.41906008399041</f>
        <v>2.6437815125578062E-2</v>
      </c>
      <c r="I4714">
        <v>2.6437815125578291E-2</v>
      </c>
    </row>
    <row r="4715" spans="1:9" x14ac:dyDescent="0.25">
      <c r="A4715">
        <v>311</v>
      </c>
      <c r="B4715" t="s">
        <v>1923</v>
      </c>
      <c r="C4715" t="s">
        <v>10</v>
      </c>
      <c r="D4715" t="s">
        <v>97</v>
      </c>
      <c r="E4715">
        <f>2/183</f>
        <v>1.092896174863388E-2</v>
      </c>
      <c r="F4715">
        <v>19</v>
      </c>
      <c r="G4715">
        <f>LOG(382/(19+1))</f>
        <v>1.2810333672477277</v>
      </c>
      <c r="H4715">
        <f>0.0109289617486338*2.94968833505258</f>
        <v>3.2237030984180966E-2</v>
      </c>
      <c r="I4715">
        <v>3.223703098418125E-2</v>
      </c>
    </row>
    <row r="4716" spans="1:9" x14ac:dyDescent="0.25">
      <c r="A4716">
        <v>311</v>
      </c>
      <c r="B4716" t="s">
        <v>1923</v>
      </c>
      <c r="C4716" t="s">
        <v>10</v>
      </c>
      <c r="D4716" t="s">
        <v>1945</v>
      </c>
      <c r="E4716">
        <f t="shared" ref="E4716:E4728" si="212">1/183</f>
        <v>5.4644808743169399E-3</v>
      </c>
      <c r="F4716">
        <v>1</v>
      </c>
      <c r="G4716">
        <f>LOG(382/(1+1))</f>
        <v>2.2810333672477277</v>
      </c>
      <c r="H4716">
        <f>0.00546448087431694*5.25227342804663</f>
        <v>2.8700947694243879E-2</v>
      </c>
      <c r="I4716">
        <v>2.8700947694243879E-2</v>
      </c>
    </row>
    <row r="4717" spans="1:9" x14ac:dyDescent="0.25">
      <c r="A4717">
        <v>311</v>
      </c>
      <c r="B4717" t="s">
        <v>1923</v>
      </c>
      <c r="C4717" t="s">
        <v>10</v>
      </c>
      <c r="D4717" t="s">
        <v>1946</v>
      </c>
      <c r="E4717">
        <f t="shared" si="212"/>
        <v>5.4644808743169399E-3</v>
      </c>
      <c r="F4717">
        <v>1</v>
      </c>
      <c r="G4717">
        <f>LOG(382/(1+1))</f>
        <v>2.2810333672477277</v>
      </c>
      <c r="H4717">
        <f>0.00546448087431694*5.25227342804663</f>
        <v>2.8700947694243879E-2</v>
      </c>
      <c r="I4717">
        <v>2.8700947694243879E-2</v>
      </c>
    </row>
    <row r="4718" spans="1:9" x14ac:dyDescent="0.25">
      <c r="A4718">
        <v>311</v>
      </c>
      <c r="B4718" t="s">
        <v>1923</v>
      </c>
      <c r="C4718" t="s">
        <v>10</v>
      </c>
      <c r="D4718" t="s">
        <v>60</v>
      </c>
      <c r="E4718">
        <f t="shared" si="212"/>
        <v>5.4644808743169399E-3</v>
      </c>
      <c r="F4718">
        <v>24</v>
      </c>
      <c r="G4718">
        <f>LOG(382/(24+1))</f>
        <v>1.1841233542396712</v>
      </c>
      <c r="H4718">
        <f>0.00546448087431694*2.72654478373837</f>
        <v>1.4899151823706939E-2</v>
      </c>
      <c r="I4718">
        <v>1.489915182370696E-2</v>
      </c>
    </row>
    <row r="4719" spans="1:9" x14ac:dyDescent="0.25">
      <c r="A4719">
        <v>311</v>
      </c>
      <c r="B4719" t="s">
        <v>1923</v>
      </c>
      <c r="C4719" t="s">
        <v>10</v>
      </c>
      <c r="D4719" t="s">
        <v>818</v>
      </c>
      <c r="E4719">
        <f t="shared" si="212"/>
        <v>5.4644808743169399E-3</v>
      </c>
      <c r="F4719">
        <v>7</v>
      </c>
      <c r="G4719">
        <f>LOG(382/(7+1))</f>
        <v>1.6789733759197651</v>
      </c>
      <c r="H4719">
        <f>0.00546448087431694*3.86597906692673</f>
        <v>2.1125568671730766E-2</v>
      </c>
      <c r="I4719">
        <v>2.1125568671730811E-2</v>
      </c>
    </row>
    <row r="4720" spans="1:9" x14ac:dyDescent="0.25">
      <c r="A4720">
        <v>311</v>
      </c>
      <c r="B4720" t="s">
        <v>1923</v>
      </c>
      <c r="C4720" t="s">
        <v>10</v>
      </c>
      <c r="D4720" t="s">
        <v>1083</v>
      </c>
      <c r="E4720">
        <f t="shared" si="212"/>
        <v>5.4644808743169399E-3</v>
      </c>
      <c r="F4720">
        <v>51</v>
      </c>
      <c r="G4720">
        <f>LOG(382/(51+1))</f>
        <v>0.86606001927690957</v>
      </c>
      <c r="H4720">
        <f>0.00546448087431694*1.99417689002514</f>
        <v>1.0897141475547214E-2</v>
      </c>
      <c r="I4720">
        <v>1.089714147554726E-2</v>
      </c>
    </row>
    <row r="4721" spans="1:9" x14ac:dyDescent="0.25">
      <c r="A4721">
        <v>311</v>
      </c>
      <c r="B4721" t="s">
        <v>1923</v>
      </c>
      <c r="C4721" t="s">
        <v>10</v>
      </c>
      <c r="D4721" t="s">
        <v>486</v>
      </c>
      <c r="E4721">
        <f t="shared" si="212"/>
        <v>5.4644808743169399E-3</v>
      </c>
      <c r="F4721">
        <v>5</v>
      </c>
      <c r="G4721">
        <f>LOG(382/(5+1))</f>
        <v>1.803912112528065</v>
      </c>
      <c r="H4721">
        <f>0.00546448087431694*4.15366113937852</f>
        <v>2.2697601854527433E-2</v>
      </c>
      <c r="I4721">
        <v>2.2697601854527429E-2</v>
      </c>
    </row>
    <row r="4722" spans="1:9" x14ac:dyDescent="0.25">
      <c r="A4722">
        <v>311</v>
      </c>
      <c r="B4722" t="s">
        <v>1923</v>
      </c>
      <c r="C4722" t="s">
        <v>10</v>
      </c>
      <c r="D4722" t="s">
        <v>1947</v>
      </c>
      <c r="E4722">
        <f t="shared" si="212"/>
        <v>5.4644808743169399E-3</v>
      </c>
      <c r="F4722">
        <v>1</v>
      </c>
      <c r="G4722">
        <f>LOG(382/(1+1))</f>
        <v>2.2810333672477277</v>
      </c>
      <c r="H4722">
        <f>0.00546448087431694*5.25227342804663</f>
        <v>2.8700947694243879E-2</v>
      </c>
      <c r="I4722">
        <v>2.8700947694243879E-2</v>
      </c>
    </row>
    <row r="4723" spans="1:9" x14ac:dyDescent="0.25">
      <c r="A4723">
        <v>311</v>
      </c>
      <c r="B4723" t="s">
        <v>1923</v>
      </c>
      <c r="C4723" t="s">
        <v>10</v>
      </c>
      <c r="D4723" t="s">
        <v>1514</v>
      </c>
      <c r="E4723">
        <f t="shared" si="212"/>
        <v>5.4644808743169399E-3</v>
      </c>
      <c r="F4723">
        <v>5</v>
      </c>
      <c r="G4723">
        <f>LOG(382/(5+1))</f>
        <v>1.803912112528065</v>
      </c>
      <c r="H4723">
        <f>0.00546448087431694*4.15366113937852</f>
        <v>2.2697601854527433E-2</v>
      </c>
      <c r="I4723">
        <v>2.2697601854527429E-2</v>
      </c>
    </row>
    <row r="4724" spans="1:9" x14ac:dyDescent="0.25">
      <c r="A4724">
        <v>311</v>
      </c>
      <c r="B4724" t="s">
        <v>1923</v>
      </c>
      <c r="C4724" t="s">
        <v>10</v>
      </c>
      <c r="D4724" t="s">
        <v>1328</v>
      </c>
      <c r="E4724">
        <f t="shared" si="212"/>
        <v>5.4644808743169399E-3</v>
      </c>
      <c r="F4724">
        <v>22</v>
      </c>
      <c r="G4724">
        <f>LOG(382/(22+1))</f>
        <v>1.2203355268941158</v>
      </c>
      <c r="H4724">
        <f>0.00546448087431694*2.80992639267742</f>
        <v>1.5354789031024153E-2</v>
      </c>
      <c r="I4724">
        <v>1.535478903102418E-2</v>
      </c>
    </row>
    <row r="4725" spans="1:9" x14ac:dyDescent="0.25">
      <c r="A4725">
        <v>311</v>
      </c>
      <c r="B4725" t="s">
        <v>1923</v>
      </c>
      <c r="C4725" t="s">
        <v>10</v>
      </c>
      <c r="D4725" t="s">
        <v>1948</v>
      </c>
      <c r="E4725">
        <f t="shared" si="212"/>
        <v>5.4644808743169399E-3</v>
      </c>
      <c r="F4725">
        <v>1</v>
      </c>
      <c r="G4725">
        <f>LOG(382/(1+1))</f>
        <v>2.2810333672477277</v>
      </c>
      <c r="H4725">
        <f>0.00546448087431694*5.25227342804663</f>
        <v>2.8700947694243879E-2</v>
      </c>
      <c r="I4725">
        <v>2.8700947694243879E-2</v>
      </c>
    </row>
    <row r="4726" spans="1:9" x14ac:dyDescent="0.25">
      <c r="A4726">
        <v>311</v>
      </c>
      <c r="B4726" t="s">
        <v>1923</v>
      </c>
      <c r="C4726" t="s">
        <v>10</v>
      </c>
      <c r="D4726" t="s">
        <v>1949</v>
      </c>
      <c r="E4726">
        <f t="shared" si="212"/>
        <v>5.4644808743169399E-3</v>
      </c>
      <c r="F4726">
        <v>1</v>
      </c>
      <c r="G4726">
        <f>LOG(382/(1+1))</f>
        <v>2.2810333672477277</v>
      </c>
      <c r="H4726">
        <f>0.00546448087431694*5.25227342804663</f>
        <v>2.8700947694243879E-2</v>
      </c>
      <c r="I4726">
        <v>2.8700947694243879E-2</v>
      </c>
    </row>
    <row r="4727" spans="1:9" x14ac:dyDescent="0.25">
      <c r="A4727">
        <v>311</v>
      </c>
      <c r="B4727" t="s">
        <v>1923</v>
      </c>
      <c r="C4727" t="s">
        <v>10</v>
      </c>
      <c r="D4727" t="s">
        <v>1950</v>
      </c>
      <c r="E4727">
        <f t="shared" si="212"/>
        <v>5.4644808743169399E-3</v>
      </c>
      <c r="F4727">
        <v>3</v>
      </c>
      <c r="G4727">
        <f>LOG(382/(3+1))</f>
        <v>1.9800033715837464</v>
      </c>
      <c r="H4727">
        <f>0.00546448087431694*4.55912624748668</f>
        <v>2.4913258182987324E-2</v>
      </c>
      <c r="I4727">
        <v>2.4913258182987352E-2</v>
      </c>
    </row>
    <row r="4728" spans="1:9" x14ac:dyDescent="0.25">
      <c r="A4728">
        <v>311</v>
      </c>
      <c r="B4728" t="s">
        <v>1923</v>
      </c>
      <c r="C4728" t="s">
        <v>10</v>
      </c>
      <c r="D4728" t="s">
        <v>1951</v>
      </c>
      <c r="E4728">
        <f t="shared" si="212"/>
        <v>5.4644808743169399E-3</v>
      </c>
      <c r="F4728">
        <v>6</v>
      </c>
      <c r="G4728">
        <f>LOG(382/(6+1))</f>
        <v>1.736965322897452</v>
      </c>
      <c r="H4728">
        <f>0.00546448087431694*3.99951045955126</f>
        <v>2.1855248412848416E-2</v>
      </c>
      <c r="I4728">
        <v>2.185524841284843E-2</v>
      </c>
    </row>
    <row r="4729" spans="1:9" x14ac:dyDescent="0.25">
      <c r="A4729">
        <v>311</v>
      </c>
      <c r="B4729" t="s">
        <v>1923</v>
      </c>
      <c r="C4729" t="s">
        <v>10</v>
      </c>
      <c r="D4729" t="s">
        <v>1952</v>
      </c>
      <c r="E4729">
        <f>2/183</f>
        <v>1.092896174863388E-2</v>
      </c>
      <c r="F4729">
        <v>8</v>
      </c>
      <c r="G4729">
        <f>LOG(382/(8+1))</f>
        <v>1.6278208534723839</v>
      </c>
      <c r="H4729">
        <f>0.0109289617486338*3.74819603127035</f>
        <v>4.0963891052134674E-2</v>
      </c>
      <c r="I4729">
        <v>4.0963891052135028E-2</v>
      </c>
    </row>
    <row r="4730" spans="1:9" x14ac:dyDescent="0.25">
      <c r="A4730">
        <v>311</v>
      </c>
      <c r="B4730" t="s">
        <v>1923</v>
      </c>
      <c r="C4730" t="s">
        <v>10</v>
      </c>
      <c r="D4730" t="s">
        <v>1953</v>
      </c>
      <c r="E4730">
        <f t="shared" ref="E4730:E4735" si="213">1/183</f>
        <v>5.4644808743169399E-3</v>
      </c>
      <c r="F4730">
        <v>11</v>
      </c>
      <c r="G4730">
        <f>LOG(382/(11+1))</f>
        <v>1.5028821168640838</v>
      </c>
      <c r="H4730">
        <f>0.00546448087431694*3.46051395881857</f>
        <v>1.8909912343270874E-2</v>
      </c>
      <c r="I4730">
        <v>1.8909912343270899E-2</v>
      </c>
    </row>
    <row r="4731" spans="1:9" x14ac:dyDescent="0.25">
      <c r="A4731">
        <v>311</v>
      </c>
      <c r="B4731" t="s">
        <v>1923</v>
      </c>
      <c r="C4731" t="s">
        <v>10</v>
      </c>
      <c r="D4731" t="s">
        <v>1834</v>
      </c>
      <c r="E4731">
        <f t="shared" si="213"/>
        <v>5.4644808743169399E-3</v>
      </c>
      <c r="F4731">
        <v>12</v>
      </c>
      <c r="G4731">
        <f>LOG(382/(12+1))</f>
        <v>1.468120010604872</v>
      </c>
      <c r="H4731">
        <f>0.00546448087431694*3.38047125114503</f>
        <v>1.8472520498060273E-2</v>
      </c>
      <c r="I4731">
        <v>1.8472520498060321E-2</v>
      </c>
    </row>
    <row r="4732" spans="1:9" x14ac:dyDescent="0.25">
      <c r="A4732">
        <v>311</v>
      </c>
      <c r="B4732" t="s">
        <v>1923</v>
      </c>
      <c r="C4732" t="s">
        <v>10</v>
      </c>
      <c r="D4732" t="s">
        <v>1954</v>
      </c>
      <c r="E4732">
        <f t="shared" si="213"/>
        <v>5.4644808743169399E-3</v>
      </c>
      <c r="F4732">
        <v>1</v>
      </c>
      <c r="G4732">
        <f>LOG(382/(1+1))</f>
        <v>2.2810333672477277</v>
      </c>
      <c r="H4732">
        <f>0.00546448087431694*5.25227342804663</f>
        <v>2.8700947694243879E-2</v>
      </c>
      <c r="I4732">
        <v>2.8700947694243879E-2</v>
      </c>
    </row>
    <row r="4733" spans="1:9" x14ac:dyDescent="0.25">
      <c r="A4733">
        <v>311</v>
      </c>
      <c r="B4733" t="s">
        <v>1923</v>
      </c>
      <c r="C4733" t="s">
        <v>10</v>
      </c>
      <c r="D4733" t="s">
        <v>1955</v>
      </c>
      <c r="E4733">
        <f t="shared" si="213"/>
        <v>5.4644808743169399E-3</v>
      </c>
      <c r="F4733">
        <v>1</v>
      </c>
      <c r="G4733">
        <f>LOG(382/(1+1))</f>
        <v>2.2810333672477277</v>
      </c>
      <c r="H4733">
        <f>0.00546448087431694*5.25227342804663</f>
        <v>2.8700947694243879E-2</v>
      </c>
      <c r="I4733">
        <v>2.8700947694243879E-2</v>
      </c>
    </row>
    <row r="4734" spans="1:9" x14ac:dyDescent="0.25">
      <c r="A4734">
        <v>311</v>
      </c>
      <c r="B4734" t="s">
        <v>1923</v>
      </c>
      <c r="C4734" t="s">
        <v>10</v>
      </c>
      <c r="D4734" t="s">
        <v>65</v>
      </c>
      <c r="E4734">
        <f t="shared" si="213"/>
        <v>5.4644808743169399E-3</v>
      </c>
      <c r="F4734">
        <v>32</v>
      </c>
      <c r="G4734">
        <f>LOG(382/(32+1))</f>
        <v>1.0635494230338212</v>
      </c>
      <c r="H4734">
        <f>0.00546448087431694*2.44891304714009</f>
        <v>1.3382038508962241E-2</v>
      </c>
      <c r="I4734">
        <v>1.3382038508962271E-2</v>
      </c>
    </row>
    <row r="4735" spans="1:9" x14ac:dyDescent="0.25">
      <c r="A4735">
        <v>311</v>
      </c>
      <c r="B4735" t="s">
        <v>1923</v>
      </c>
      <c r="C4735" t="s">
        <v>10</v>
      </c>
      <c r="D4735" t="s">
        <v>1956</v>
      </c>
      <c r="E4735">
        <f t="shared" si="213"/>
        <v>5.4644808743169399E-3</v>
      </c>
      <c r="F4735">
        <v>1</v>
      </c>
      <c r="G4735">
        <f>LOG(382/(1+1))</f>
        <v>2.2810333672477277</v>
      </c>
      <c r="H4735">
        <f>0.00546448087431694*5.25227342804663</f>
        <v>2.8700947694243879E-2</v>
      </c>
      <c r="I4735">
        <v>2.8700947694243879E-2</v>
      </c>
    </row>
    <row r="4736" spans="1:9" x14ac:dyDescent="0.25">
      <c r="A4736">
        <v>311</v>
      </c>
      <c r="B4736" t="s">
        <v>1923</v>
      </c>
      <c r="C4736" t="s">
        <v>10</v>
      </c>
      <c r="D4736" t="s">
        <v>339</v>
      </c>
      <c r="E4736">
        <f>2/183</f>
        <v>1.092896174863388E-2</v>
      </c>
      <c r="F4736">
        <v>66</v>
      </c>
      <c r="G4736">
        <f>LOG(382/(66+1))</f>
        <v>0.75598856021088234</v>
      </c>
      <c r="H4736">
        <f>0.0109289617486338*1.7407279892156</f>
        <v>1.9024349608913523E-2</v>
      </c>
      <c r="I4736">
        <v>1.9024349608913759E-2</v>
      </c>
    </row>
    <row r="4737" spans="1:9" x14ac:dyDescent="0.25">
      <c r="A4737">
        <v>311</v>
      </c>
      <c r="B4737" t="s">
        <v>1923</v>
      </c>
      <c r="C4737" t="s">
        <v>10</v>
      </c>
      <c r="D4737" t="s">
        <v>144</v>
      </c>
      <c r="E4737">
        <f t="shared" ref="E4737:E4746" si="214">1/183</f>
        <v>5.4644808743169399E-3</v>
      </c>
      <c r="F4737">
        <v>105</v>
      </c>
      <c r="G4737">
        <f>LOG(382/(105+1))</f>
        <v>0.55675749764693849</v>
      </c>
      <c r="H4737">
        <f>0.00546448087431694*1.2819815144945</f>
        <v>7.0053634671830593E-3</v>
      </c>
      <c r="I4737">
        <v>7.0053634671831044E-3</v>
      </c>
    </row>
    <row r="4738" spans="1:9" x14ac:dyDescent="0.25">
      <c r="A4738">
        <v>311</v>
      </c>
      <c r="B4738" t="s">
        <v>1923</v>
      </c>
      <c r="C4738" t="s">
        <v>10</v>
      </c>
      <c r="D4738" t="s">
        <v>596</v>
      </c>
      <c r="E4738">
        <f t="shared" si="214"/>
        <v>5.4644808743169399E-3</v>
      </c>
      <c r="F4738">
        <v>60</v>
      </c>
      <c r="G4738">
        <f>LOG(382/(60+1))</f>
        <v>0.79673352790094176</v>
      </c>
      <c r="H4738">
        <f>0.00546448087431694*1.83454674443326</f>
        <v>1.0024845597995956E-2</v>
      </c>
      <c r="I4738">
        <v>1.002484559799598E-2</v>
      </c>
    </row>
    <row r="4739" spans="1:9" x14ac:dyDescent="0.25">
      <c r="A4739">
        <v>311</v>
      </c>
      <c r="B4739" t="s">
        <v>1923</v>
      </c>
      <c r="C4739" t="s">
        <v>10</v>
      </c>
      <c r="D4739" t="s">
        <v>1957</v>
      </c>
      <c r="E4739">
        <f t="shared" si="214"/>
        <v>5.4644808743169399E-3</v>
      </c>
      <c r="F4739">
        <v>2</v>
      </c>
      <c r="G4739">
        <f>LOG(382/(2+1))</f>
        <v>2.1049421081920463</v>
      </c>
      <c r="H4739">
        <f>0.00546448087431694*4.84680831993846</f>
        <v>2.6485291365783935E-2</v>
      </c>
      <c r="I4739">
        <v>2.648529136578396E-2</v>
      </c>
    </row>
    <row r="4740" spans="1:9" x14ac:dyDescent="0.25">
      <c r="A4740">
        <v>311</v>
      </c>
      <c r="B4740" t="s">
        <v>1923</v>
      </c>
      <c r="C4740" t="s">
        <v>10</v>
      </c>
      <c r="D4740" t="s">
        <v>920</v>
      </c>
      <c r="E4740">
        <f t="shared" si="214"/>
        <v>5.4644808743169399E-3</v>
      </c>
      <c r="F4740">
        <v>30</v>
      </c>
      <c r="G4740">
        <f>LOG(382/(30+1))</f>
        <v>1.090701669077436</v>
      </c>
      <c r="H4740">
        <f>0.00546448087431694*2.51143340412142</f>
        <v>1.3723679803942186E-2</v>
      </c>
      <c r="I4740">
        <v>1.372367980394223E-2</v>
      </c>
    </row>
    <row r="4741" spans="1:9" x14ac:dyDescent="0.25">
      <c r="A4741">
        <v>311</v>
      </c>
      <c r="B4741" t="s">
        <v>1923</v>
      </c>
      <c r="C4741" t="s">
        <v>10</v>
      </c>
      <c r="D4741" t="s">
        <v>432</v>
      </c>
      <c r="E4741">
        <f t="shared" si="214"/>
        <v>5.4644808743169399E-3</v>
      </c>
      <c r="F4741">
        <v>67</v>
      </c>
      <c r="G4741">
        <f>LOG(382/(67+1))</f>
        <v>0.7495544502054724</v>
      </c>
      <c r="H4741">
        <f>0.00546448087431694*1.72591290343046</f>
        <v>9.431218051532568E-3</v>
      </c>
      <c r="I4741">
        <v>9.4312180515326131E-3</v>
      </c>
    </row>
    <row r="4742" spans="1:9" x14ac:dyDescent="0.25">
      <c r="A4742">
        <v>311</v>
      </c>
      <c r="B4742" t="s">
        <v>1923</v>
      </c>
      <c r="C4742" t="s">
        <v>10</v>
      </c>
      <c r="D4742" t="s">
        <v>600</v>
      </c>
      <c r="E4742">
        <f t="shared" si="214"/>
        <v>5.4644808743169399E-3</v>
      </c>
      <c r="F4742">
        <v>102</v>
      </c>
      <c r="G4742">
        <f>LOG(382/(102+1))</f>
        <v>0.56922613820653656</v>
      </c>
      <c r="H4742">
        <f>0.00546448087431694*1.31069162037693</f>
        <v>7.1622492916772135E-3</v>
      </c>
      <c r="I4742">
        <v>7.1622492916772647E-3</v>
      </c>
    </row>
    <row r="4743" spans="1:9" x14ac:dyDescent="0.25">
      <c r="A4743">
        <v>311</v>
      </c>
      <c r="B4743" t="s">
        <v>1923</v>
      </c>
      <c r="C4743" t="s">
        <v>10</v>
      </c>
      <c r="D4743" t="s">
        <v>1958</v>
      </c>
      <c r="E4743">
        <f t="shared" si="214"/>
        <v>5.4644808743169399E-3</v>
      </c>
      <c r="F4743">
        <v>1</v>
      </c>
      <c r="G4743">
        <f>LOG(382/(1+1))</f>
        <v>2.2810333672477277</v>
      </c>
      <c r="H4743">
        <f>0.00546448087431694*5.25227342804663</f>
        <v>2.8700947694243879E-2</v>
      </c>
      <c r="I4743">
        <v>2.8700947694243879E-2</v>
      </c>
    </row>
    <row r="4744" spans="1:9" x14ac:dyDescent="0.25">
      <c r="A4744">
        <v>311</v>
      </c>
      <c r="B4744" t="s">
        <v>1923</v>
      </c>
      <c r="C4744" t="s">
        <v>10</v>
      </c>
      <c r="D4744" t="s">
        <v>589</v>
      </c>
      <c r="E4744">
        <f t="shared" si="214"/>
        <v>5.4644808743169399E-3</v>
      </c>
      <c r="F4744">
        <v>12</v>
      </c>
      <c r="G4744">
        <f>LOG(382/(12+1))</f>
        <v>1.468120010604872</v>
      </c>
      <c r="H4744">
        <f>0.00546448087431694*3.38047125114503</f>
        <v>1.8472520498060273E-2</v>
      </c>
      <c r="I4744">
        <v>1.8472520498060321E-2</v>
      </c>
    </row>
    <row r="4745" spans="1:9" x14ac:dyDescent="0.25">
      <c r="A4745">
        <v>311</v>
      </c>
      <c r="B4745" t="s">
        <v>1923</v>
      </c>
      <c r="C4745" t="s">
        <v>10</v>
      </c>
      <c r="D4745" t="s">
        <v>1407</v>
      </c>
      <c r="E4745">
        <f t="shared" si="214"/>
        <v>5.4644808743169399E-3</v>
      </c>
      <c r="F4745">
        <v>16</v>
      </c>
      <c r="G4745">
        <f>LOG(382/(16+1))</f>
        <v>1.3516144415334348</v>
      </c>
      <c r="H4745">
        <f>0.00546448087431694*3.11220726455035</f>
        <v>1.7006597074045626E-2</v>
      </c>
      <c r="I4745">
        <v>1.7006597074045681E-2</v>
      </c>
    </row>
    <row r="4746" spans="1:9" x14ac:dyDescent="0.25">
      <c r="A4746">
        <v>311</v>
      </c>
      <c r="B4746" t="s">
        <v>1923</v>
      </c>
      <c r="C4746" t="s">
        <v>10</v>
      </c>
      <c r="D4746" t="s">
        <v>1626</v>
      </c>
      <c r="E4746">
        <f t="shared" si="214"/>
        <v>5.4644808743169399E-3</v>
      </c>
      <c r="F4746">
        <v>32</v>
      </c>
      <c r="G4746">
        <f>LOG(382/(32+1))</f>
        <v>1.0635494230338212</v>
      </c>
      <c r="H4746">
        <f>0.00546448087431694*2.44891304714009</f>
        <v>1.3382038508962241E-2</v>
      </c>
      <c r="I4746">
        <v>1.3382038508962271E-2</v>
      </c>
    </row>
    <row r="4747" spans="1:9" x14ac:dyDescent="0.25">
      <c r="A4747">
        <v>311</v>
      </c>
      <c r="B4747" t="s">
        <v>1923</v>
      </c>
      <c r="C4747" t="s">
        <v>10</v>
      </c>
      <c r="D4747" t="s">
        <v>236</v>
      </c>
      <c r="E4747">
        <f>2/183</f>
        <v>1.092896174863388E-2</v>
      </c>
      <c r="F4747">
        <v>87</v>
      </c>
      <c r="G4747">
        <f>LOG(382/(87+1))</f>
        <v>0.63758069076154011</v>
      </c>
      <c r="H4747">
        <f>0.0109289617486338*1.46808379412836</f>
        <v>1.6044631629818024E-2</v>
      </c>
      <c r="I4747">
        <v>1.6044631629818239E-2</v>
      </c>
    </row>
    <row r="4748" spans="1:9" x14ac:dyDescent="0.25">
      <c r="A4748">
        <v>311</v>
      </c>
      <c r="B4748" t="s">
        <v>1923</v>
      </c>
      <c r="C4748" t="s">
        <v>10</v>
      </c>
      <c r="D4748" t="s">
        <v>763</v>
      </c>
      <c r="E4748">
        <f>2/183</f>
        <v>1.092896174863388E-2</v>
      </c>
      <c r="F4748">
        <v>47</v>
      </c>
      <c r="G4748">
        <f>LOG(382/(47+1))</f>
        <v>0.90082212553612151</v>
      </c>
      <c r="H4748">
        <f>0.0109289617486338*2.07421959769868</f>
        <v>2.2669066641515464E-2</v>
      </c>
      <c r="I4748">
        <v>2.2669066641515669E-2</v>
      </c>
    </row>
    <row r="4749" spans="1:9" x14ac:dyDescent="0.25">
      <c r="A4749">
        <v>311</v>
      </c>
      <c r="B4749" t="s">
        <v>1923</v>
      </c>
      <c r="C4749" t="s">
        <v>10</v>
      </c>
      <c r="D4749" t="s">
        <v>775</v>
      </c>
      <c r="E4749">
        <f t="shared" ref="E4749:E4758" si="215">1/183</f>
        <v>5.4644808743169399E-3</v>
      </c>
      <c r="F4749">
        <v>20</v>
      </c>
      <c r="G4749">
        <f>LOG(382/(20+1))</f>
        <v>1.2598440681777894</v>
      </c>
      <c r="H4749">
        <f>0.00546448087431694*2.90089817088315</f>
        <v>1.5851902573131967E-2</v>
      </c>
      <c r="I4749">
        <v>1.585190257313198E-2</v>
      </c>
    </row>
    <row r="4750" spans="1:9" x14ac:dyDescent="0.25">
      <c r="A4750">
        <v>311</v>
      </c>
      <c r="B4750" t="s">
        <v>1923</v>
      </c>
      <c r="C4750" t="s">
        <v>10</v>
      </c>
      <c r="D4750" t="s">
        <v>1831</v>
      </c>
      <c r="E4750">
        <f t="shared" si="215"/>
        <v>5.4644808743169399E-3</v>
      </c>
      <c r="F4750">
        <v>28</v>
      </c>
      <c r="G4750">
        <f>LOG(382/(28+1))</f>
        <v>1.1196653650127526</v>
      </c>
      <c r="H4750">
        <f>0.00546448087431694*2.5781247786201</f>
        <v>1.408811354437213E-2</v>
      </c>
      <c r="I4750">
        <v>1.408811354437214E-2</v>
      </c>
    </row>
    <row r="4751" spans="1:9" x14ac:dyDescent="0.25">
      <c r="A4751">
        <v>311</v>
      </c>
      <c r="B4751" t="s">
        <v>1923</v>
      </c>
      <c r="C4751" t="s">
        <v>10</v>
      </c>
      <c r="D4751" t="s">
        <v>1919</v>
      </c>
      <c r="E4751">
        <f t="shared" si="215"/>
        <v>5.4644808743169399E-3</v>
      </c>
      <c r="F4751">
        <v>18</v>
      </c>
      <c r="G4751">
        <f>LOG(382/(18+1))</f>
        <v>1.3033097619588798</v>
      </c>
      <c r="H4751">
        <f>0.00546448087431694*3.00098162944013</f>
        <v>1.6398806718252078E-2</v>
      </c>
      <c r="I4751">
        <v>1.6398806718252099E-2</v>
      </c>
    </row>
    <row r="4752" spans="1:9" x14ac:dyDescent="0.25">
      <c r="A4752">
        <v>311</v>
      </c>
      <c r="B4752" t="s">
        <v>1923</v>
      </c>
      <c r="C4752" t="s">
        <v>10</v>
      </c>
      <c r="D4752" t="s">
        <v>1918</v>
      </c>
      <c r="E4752">
        <f t="shared" si="215"/>
        <v>5.4644808743169399E-3</v>
      </c>
      <c r="F4752">
        <v>25</v>
      </c>
      <c r="G4752">
        <f>LOG(382/(25+1))</f>
        <v>1.1670900149408907</v>
      </c>
      <c r="H4752">
        <f>0.00546448087431694*2.68732407058509</f>
        <v>1.468483098680377E-2</v>
      </c>
      <c r="I4752">
        <v>1.4684830986803789E-2</v>
      </c>
    </row>
    <row r="4753" spans="1:9" x14ac:dyDescent="0.25">
      <c r="A4753">
        <v>311</v>
      </c>
      <c r="B4753" t="s">
        <v>1923</v>
      </c>
      <c r="C4753" t="s">
        <v>10</v>
      </c>
      <c r="D4753" t="s">
        <v>1920</v>
      </c>
      <c r="E4753">
        <f t="shared" si="215"/>
        <v>5.4644808743169399E-3</v>
      </c>
      <c r="F4753">
        <v>18</v>
      </c>
      <c r="G4753">
        <f>LOG(382/(18+1))</f>
        <v>1.3033097619588798</v>
      </c>
      <c r="H4753">
        <f>0.00546448087431694*3.00098162944013</f>
        <v>1.6398806718252078E-2</v>
      </c>
      <c r="I4753">
        <v>1.6398806718252099E-2</v>
      </c>
    </row>
    <row r="4754" spans="1:9" x14ac:dyDescent="0.25">
      <c r="A4754">
        <v>311</v>
      </c>
      <c r="B4754" t="s">
        <v>1923</v>
      </c>
      <c r="C4754" t="s">
        <v>10</v>
      </c>
      <c r="D4754" t="s">
        <v>1469</v>
      </c>
      <c r="E4754">
        <f t="shared" si="215"/>
        <v>5.4644808743169399E-3</v>
      </c>
      <c r="F4754">
        <v>24</v>
      </c>
      <c r="G4754">
        <f>LOG(382/(24+1))</f>
        <v>1.1841233542396712</v>
      </c>
      <c r="H4754">
        <f>0.00546448087431694*2.72654478373837</f>
        <v>1.4899151823706939E-2</v>
      </c>
      <c r="I4754">
        <v>1.489915182370696E-2</v>
      </c>
    </row>
    <row r="4755" spans="1:9" x14ac:dyDescent="0.25">
      <c r="A4755">
        <v>311</v>
      </c>
      <c r="B4755" t="s">
        <v>1923</v>
      </c>
      <c r="C4755" t="s">
        <v>10</v>
      </c>
      <c r="D4755" t="s">
        <v>439</v>
      </c>
      <c r="E4755">
        <f t="shared" si="215"/>
        <v>5.4644808743169399E-3</v>
      </c>
      <c r="F4755">
        <v>28</v>
      </c>
      <c r="G4755">
        <f>LOG(382/(28+1))</f>
        <v>1.1196653650127526</v>
      </c>
      <c r="H4755">
        <f>0.00546448087431694*2.5781247786201</f>
        <v>1.408811354437213E-2</v>
      </c>
      <c r="I4755">
        <v>1.408811354437214E-2</v>
      </c>
    </row>
    <row r="4756" spans="1:9" x14ac:dyDescent="0.25">
      <c r="A4756">
        <v>311</v>
      </c>
      <c r="B4756" t="s">
        <v>1923</v>
      </c>
      <c r="C4756" t="s">
        <v>10</v>
      </c>
      <c r="D4756" t="s">
        <v>688</v>
      </c>
      <c r="E4756">
        <f t="shared" si="215"/>
        <v>5.4644808743169399E-3</v>
      </c>
      <c r="F4756">
        <v>23</v>
      </c>
      <c r="G4756">
        <f>LOG(382/(23+1))</f>
        <v>1.2018521212001028</v>
      </c>
      <c r="H4756">
        <f>0.00546448087431694*2.76736677825862</f>
        <v>1.5122222832014318E-2</v>
      </c>
      <c r="I4756">
        <v>1.512222283201437E-2</v>
      </c>
    </row>
    <row r="4757" spans="1:9" x14ac:dyDescent="0.25">
      <c r="A4757">
        <v>311</v>
      </c>
      <c r="B4757" t="s">
        <v>1923</v>
      </c>
      <c r="C4757" t="s">
        <v>10</v>
      </c>
      <c r="D4757" t="s">
        <v>1959</v>
      </c>
      <c r="E4757">
        <f t="shared" si="215"/>
        <v>5.4644808743169399E-3</v>
      </c>
      <c r="F4757">
        <v>1</v>
      </c>
      <c r="G4757">
        <f>LOG(382/(1+1))</f>
        <v>2.2810333672477277</v>
      </c>
      <c r="H4757">
        <f>0.00546448087431694*5.25227342804663</f>
        <v>2.8700947694243879E-2</v>
      </c>
      <c r="I4757">
        <v>2.8700947694243879E-2</v>
      </c>
    </row>
    <row r="4758" spans="1:9" x14ac:dyDescent="0.25">
      <c r="A4758">
        <v>311</v>
      </c>
      <c r="B4758" t="s">
        <v>1923</v>
      </c>
      <c r="C4758" t="s">
        <v>10</v>
      </c>
      <c r="D4758" t="s">
        <v>754</v>
      </c>
      <c r="E4758">
        <f t="shared" si="215"/>
        <v>5.4644808743169399E-3</v>
      </c>
      <c r="F4758">
        <v>111</v>
      </c>
      <c r="G4758">
        <f>LOG(382/(111+1))</f>
        <v>0.53284534024152708</v>
      </c>
      <c r="H4758">
        <f>0.00546448087431694*1.22692173731148</f>
        <v>6.7044903678222948E-3</v>
      </c>
      <c r="I4758">
        <v>6.7044903678222991E-3</v>
      </c>
    </row>
    <row r="4759" spans="1:9" x14ac:dyDescent="0.25">
      <c r="A4759">
        <v>311</v>
      </c>
      <c r="B4759" t="s">
        <v>1923</v>
      </c>
      <c r="C4759" t="s">
        <v>10</v>
      </c>
      <c r="D4759" t="s">
        <v>338</v>
      </c>
      <c r="E4759">
        <f>2/183</f>
        <v>1.092896174863388E-2</v>
      </c>
      <c r="F4759">
        <v>54</v>
      </c>
      <c r="G4759">
        <f>LOG(382/(54+1))</f>
        <v>0.84170067341746491</v>
      </c>
      <c r="H4759">
        <f>0.0109289617486338*1.9380874233741</f>
        <v>2.1181283315563779E-2</v>
      </c>
      <c r="I4759">
        <v>2.118128331556398E-2</v>
      </c>
    </row>
    <row r="4760" spans="1:9" x14ac:dyDescent="0.25">
      <c r="A4760">
        <v>311</v>
      </c>
      <c r="B4760" t="s">
        <v>1923</v>
      </c>
      <c r="C4760" t="s">
        <v>10</v>
      </c>
      <c r="D4760" t="s">
        <v>597</v>
      </c>
      <c r="E4760">
        <f>2/183</f>
        <v>1.092896174863388E-2</v>
      </c>
      <c r="F4760">
        <v>51</v>
      </c>
      <c r="G4760">
        <f>LOG(382/(51+1))</f>
        <v>0.86606001927690957</v>
      </c>
      <c r="H4760">
        <f>0.0109289617486338*1.99417689002514</f>
        <v>2.1794282951094267E-2</v>
      </c>
      <c r="I4760">
        <v>2.179428295109451E-2</v>
      </c>
    </row>
    <row r="4761" spans="1:9" x14ac:dyDescent="0.25">
      <c r="A4761">
        <v>311</v>
      </c>
      <c r="B4761" t="s">
        <v>1923</v>
      </c>
      <c r="C4761" t="s">
        <v>10</v>
      </c>
      <c r="D4761" t="s">
        <v>388</v>
      </c>
      <c r="E4761">
        <f t="shared" ref="E4761:E4767" si="216">1/183</f>
        <v>5.4644808743169399E-3</v>
      </c>
      <c r="F4761">
        <v>44</v>
      </c>
      <c r="G4761">
        <f>LOG(382/(44+1))</f>
        <v>0.92885084913636506</v>
      </c>
      <c r="H4761">
        <f>0.00546448087431694*2.13875811883625</f>
        <v>1.1687202835170765E-2</v>
      </c>
      <c r="I4761">
        <v>1.1687202835170791E-2</v>
      </c>
    </row>
    <row r="4762" spans="1:9" x14ac:dyDescent="0.25">
      <c r="A4762">
        <v>311</v>
      </c>
      <c r="B4762" t="s">
        <v>1923</v>
      </c>
      <c r="C4762" t="s">
        <v>10</v>
      </c>
      <c r="D4762" t="s">
        <v>1921</v>
      </c>
      <c r="E4762">
        <f t="shared" si="216"/>
        <v>5.4644808743169399E-3</v>
      </c>
      <c r="F4762">
        <v>37</v>
      </c>
      <c r="G4762">
        <f>LOG(382/(37+1))</f>
        <v>1.0022797662948986</v>
      </c>
      <c r="H4762">
        <f>0.00546448087431694*2.30783444888018</f>
        <v>1.2611117206995518E-2</v>
      </c>
      <c r="I4762">
        <v>1.261111720699557E-2</v>
      </c>
    </row>
    <row r="4763" spans="1:9" x14ac:dyDescent="0.25">
      <c r="A4763">
        <v>311</v>
      </c>
      <c r="B4763" t="s">
        <v>1923</v>
      </c>
      <c r="C4763" t="s">
        <v>10</v>
      </c>
      <c r="D4763" t="s">
        <v>82</v>
      </c>
      <c r="E4763">
        <f t="shared" si="216"/>
        <v>5.4644808743169399E-3</v>
      </c>
      <c r="F4763">
        <v>92</v>
      </c>
      <c r="G4763">
        <f>LOG(382/(92+1))</f>
        <v>0.61358041435777355</v>
      </c>
      <c r="H4763">
        <f>0.00546448087431694*1.41282111545331</f>
        <v>7.7203339642257368E-3</v>
      </c>
      <c r="I4763">
        <v>7.720333964225788E-3</v>
      </c>
    </row>
    <row r="4764" spans="1:9" x14ac:dyDescent="0.25">
      <c r="A4764">
        <v>311</v>
      </c>
      <c r="B4764" t="s">
        <v>1923</v>
      </c>
      <c r="C4764" t="s">
        <v>10</v>
      </c>
      <c r="D4764" t="s">
        <v>1922</v>
      </c>
      <c r="E4764">
        <f t="shared" si="216"/>
        <v>5.4644808743169399E-3</v>
      </c>
      <c r="F4764">
        <v>15</v>
      </c>
      <c r="G4764">
        <f>LOG(382/(15+1))</f>
        <v>1.3779433802557839</v>
      </c>
      <c r="H4764">
        <f>0.00546448087431694*3.17283188636679</f>
        <v>1.7337879160474263E-2</v>
      </c>
      <c r="I4764">
        <v>1.733787916047428E-2</v>
      </c>
    </row>
    <row r="4765" spans="1:9" x14ac:dyDescent="0.25">
      <c r="A4765">
        <v>311</v>
      </c>
      <c r="B4765" t="s">
        <v>1923</v>
      </c>
      <c r="C4765" t="s">
        <v>10</v>
      </c>
      <c r="D4765" t="s">
        <v>247</v>
      </c>
      <c r="E4765">
        <f t="shared" si="216"/>
        <v>5.4644808743169399E-3</v>
      </c>
      <c r="F4765">
        <v>121</v>
      </c>
      <c r="G4765">
        <f>LOG(382/(121+1))</f>
        <v>0.49570353223696051</v>
      </c>
      <c r="H4765">
        <f>0.00546448087431694*1.14139956387331</f>
        <v>6.2371560867393993E-3</v>
      </c>
      <c r="I4765">
        <v>6.237156086739447E-3</v>
      </c>
    </row>
    <row r="4766" spans="1:9" x14ac:dyDescent="0.25">
      <c r="A4766">
        <v>311</v>
      </c>
      <c r="B4766" t="s">
        <v>1923</v>
      </c>
      <c r="C4766" t="s">
        <v>10</v>
      </c>
      <c r="D4766" t="s">
        <v>331</v>
      </c>
      <c r="E4766">
        <f t="shared" si="216"/>
        <v>5.4644808743169399E-3</v>
      </c>
      <c r="F4766">
        <v>130</v>
      </c>
      <c r="G4766">
        <f>LOG(382/(130+1))</f>
        <v>0.46479206725594452</v>
      </c>
      <c r="H4766">
        <f>0.00546448087431694*1.07022328540542</f>
        <v>5.8482146743465578E-3</v>
      </c>
      <c r="I4766">
        <v>5.8482146743465777E-3</v>
      </c>
    </row>
    <row r="4767" spans="1:9" x14ac:dyDescent="0.25">
      <c r="A4767">
        <v>311</v>
      </c>
      <c r="B4767" t="s">
        <v>1923</v>
      </c>
      <c r="C4767" t="s">
        <v>10</v>
      </c>
      <c r="D4767" t="s">
        <v>68</v>
      </c>
      <c r="E4767">
        <f t="shared" si="216"/>
        <v>5.4644808743169399E-3</v>
      </c>
      <c r="F4767">
        <v>43</v>
      </c>
      <c r="G4767">
        <f>LOG(382/(43+1))</f>
        <v>0.93861068642552126</v>
      </c>
      <c r="H4767">
        <f>0.00546448087431694*2.16123097468831</f>
        <v>1.1810005326165628E-2</v>
      </c>
      <c r="I4767">
        <v>1.181000532616565E-2</v>
      </c>
    </row>
    <row r="4768" spans="1:9" x14ac:dyDescent="0.25">
      <c r="A4768">
        <v>311</v>
      </c>
      <c r="B4768" t="s">
        <v>1923</v>
      </c>
      <c r="C4768" t="s">
        <v>10</v>
      </c>
      <c r="D4768" t="s">
        <v>78</v>
      </c>
      <c r="E4768">
        <f>2/183</f>
        <v>1.092896174863388E-2</v>
      </c>
      <c r="F4768">
        <v>122</v>
      </c>
      <c r="G4768">
        <f>LOG(382/(122+1))</f>
        <v>0.49215825147231079</v>
      </c>
      <c r="H4768">
        <f>0.0109289617486338*1.13323625323415</f>
        <v>1.2385095663761113E-2</v>
      </c>
      <c r="I4768">
        <v>1.2385095663761281E-2</v>
      </c>
    </row>
    <row r="4769" spans="1:9" x14ac:dyDescent="0.25">
      <c r="A4769">
        <v>311</v>
      </c>
      <c r="B4769" t="s">
        <v>1923</v>
      </c>
      <c r="C4769" t="s">
        <v>10</v>
      </c>
      <c r="D4769" t="s">
        <v>753</v>
      </c>
      <c r="E4769">
        <f>1/183</f>
        <v>5.4644808743169399E-3</v>
      </c>
      <c r="F4769">
        <v>19</v>
      </c>
      <c r="G4769">
        <f>LOG(382/(19+1))</f>
        <v>1.2810333672477277</v>
      </c>
      <c r="H4769">
        <f>0.00546448087431694*2.94968833505258</f>
        <v>1.6118515492090601E-2</v>
      </c>
      <c r="I4769">
        <v>1.6118515492090629E-2</v>
      </c>
    </row>
    <row r="4770" spans="1:9" x14ac:dyDescent="0.25">
      <c r="A4770">
        <v>311</v>
      </c>
      <c r="B4770" t="s">
        <v>1923</v>
      </c>
      <c r="C4770" t="s">
        <v>10</v>
      </c>
      <c r="D4770" t="s">
        <v>124</v>
      </c>
      <c r="E4770">
        <f>1/183</f>
        <v>5.4644808743169399E-3</v>
      </c>
      <c r="F4770">
        <v>9</v>
      </c>
      <c r="G4770">
        <f>LOG(382/(9+1))</f>
        <v>1.5820633629117087</v>
      </c>
      <c r="H4770">
        <f>0.00546448087431694*3.64283551561252</f>
        <v>1.9906205003347104E-2</v>
      </c>
      <c r="I4770">
        <v>1.9906205003347159E-2</v>
      </c>
    </row>
    <row r="4771" spans="1:9" x14ac:dyDescent="0.25">
      <c r="A4771">
        <v>311</v>
      </c>
      <c r="B4771" t="s">
        <v>1923</v>
      </c>
      <c r="C4771" t="s">
        <v>10</v>
      </c>
      <c r="D4771" t="s">
        <v>342</v>
      </c>
      <c r="E4771">
        <f>1/183</f>
        <v>5.4644808743169399E-3</v>
      </c>
      <c r="F4771">
        <v>35</v>
      </c>
      <c r="G4771">
        <f>LOG(382/(35+1))</f>
        <v>1.0257608621444214</v>
      </c>
      <c r="H4771">
        <f>0.00546448087431694*2.36190167015046</f>
        <v>1.2906566503554427E-2</v>
      </c>
      <c r="I4771">
        <v>1.2906566503554449E-2</v>
      </c>
    </row>
    <row r="4772" spans="1:9" x14ac:dyDescent="0.25">
      <c r="A4772">
        <v>312</v>
      </c>
      <c r="B4772" t="s">
        <v>1960</v>
      </c>
      <c r="C4772" t="s">
        <v>10</v>
      </c>
      <c r="D4772" t="s">
        <v>111</v>
      </c>
      <c r="E4772">
        <f>7/240</f>
        <v>2.9166666666666667E-2</v>
      </c>
      <c r="F4772">
        <v>33</v>
      </c>
      <c r="G4772">
        <f>LOG(382/(33+1))</f>
        <v>1.0505844458694535</v>
      </c>
      <c r="H4772">
        <f>0.0291666666666666*2.41906008399041</f>
        <v>7.0555919116386812E-2</v>
      </c>
      <c r="I4772">
        <v>7.0555919116387061E-2</v>
      </c>
    </row>
    <row r="4773" spans="1:9" x14ac:dyDescent="0.25">
      <c r="A4773">
        <v>312</v>
      </c>
      <c r="B4773" t="s">
        <v>1960</v>
      </c>
      <c r="C4773" t="s">
        <v>10</v>
      </c>
      <c r="D4773" t="s">
        <v>908</v>
      </c>
      <c r="E4773">
        <f>10/240</f>
        <v>4.1666666666666664E-2</v>
      </c>
      <c r="F4773">
        <v>2</v>
      </c>
      <c r="G4773">
        <f>LOG(382/(2+1))</f>
        <v>2.1049421081920463</v>
      </c>
      <c r="H4773">
        <f>0.0416666666666666*4.84680831993846</f>
        <v>0.20195034666410219</v>
      </c>
      <c r="I4773">
        <v>0.20195034666410269</v>
      </c>
    </row>
    <row r="4774" spans="1:9" x14ac:dyDescent="0.25">
      <c r="A4774">
        <v>312</v>
      </c>
      <c r="B4774" t="s">
        <v>1960</v>
      </c>
      <c r="C4774" t="s">
        <v>10</v>
      </c>
      <c r="D4774" t="s">
        <v>69</v>
      </c>
      <c r="E4774">
        <f>1/240</f>
        <v>4.1666666666666666E-3</v>
      </c>
      <c r="F4774">
        <v>13</v>
      </c>
      <c r="G4774">
        <f>LOG(382/(13+1))</f>
        <v>1.4359353272334707</v>
      </c>
      <c r="H4774">
        <f>0.00416666666666666*3.30636327899131</f>
        <v>1.377651366246377E-2</v>
      </c>
      <c r="I4774">
        <v>1.3776513662463821E-2</v>
      </c>
    </row>
    <row r="4775" spans="1:9" x14ac:dyDescent="0.25">
      <c r="A4775">
        <v>312</v>
      </c>
      <c r="B4775" t="s">
        <v>1960</v>
      </c>
      <c r="C4775" t="s">
        <v>10</v>
      </c>
      <c r="D4775" t="s">
        <v>15</v>
      </c>
      <c r="E4775">
        <f>3/240</f>
        <v>1.2500000000000001E-2</v>
      </c>
      <c r="F4775">
        <v>112</v>
      </c>
      <c r="G4775">
        <f>LOG(382/(112+1))</f>
        <v>0.52898491942828896</v>
      </c>
      <c r="H4775">
        <f>0.0125*1.21803278989423</f>
        <v>1.5225409873677875E-2</v>
      </c>
      <c r="I4775">
        <v>1.5225409873677931E-2</v>
      </c>
    </row>
    <row r="4776" spans="1:9" x14ac:dyDescent="0.25">
      <c r="A4776">
        <v>312</v>
      </c>
      <c r="B4776" t="s">
        <v>1960</v>
      </c>
      <c r="C4776" t="s">
        <v>10</v>
      </c>
      <c r="D4776" t="s">
        <v>39</v>
      </c>
      <c r="E4776">
        <f>6/240</f>
        <v>2.5000000000000001E-2</v>
      </c>
      <c r="F4776">
        <v>145</v>
      </c>
      <c r="G4776">
        <f>LOG(382/(145+1))</f>
        <v>0.41771050712727159</v>
      </c>
      <c r="H4776">
        <f>0.025*0.961813986898238</f>
        <v>2.4045349672455953E-2</v>
      </c>
      <c r="I4776">
        <v>2.404534967245597E-2</v>
      </c>
    </row>
    <row r="4777" spans="1:9" x14ac:dyDescent="0.25">
      <c r="A4777">
        <v>312</v>
      </c>
      <c r="B4777" t="s">
        <v>1960</v>
      </c>
      <c r="C4777" t="s">
        <v>10</v>
      </c>
      <c r="D4777" t="s">
        <v>909</v>
      </c>
      <c r="E4777">
        <f>7/240</f>
        <v>2.9166666666666667E-2</v>
      </c>
      <c r="F4777">
        <v>2</v>
      </c>
      <c r="G4777">
        <f>LOG(382/(2+1))</f>
        <v>2.1049421081920463</v>
      </c>
      <c r="H4777">
        <f>0.0291666666666666*4.84680831993846</f>
        <v>0.14136524266487144</v>
      </c>
      <c r="I4777">
        <v>0.14136524266487191</v>
      </c>
    </row>
    <row r="4778" spans="1:9" x14ac:dyDescent="0.25">
      <c r="A4778">
        <v>312</v>
      </c>
      <c r="B4778" t="s">
        <v>1960</v>
      </c>
      <c r="C4778" t="s">
        <v>10</v>
      </c>
      <c r="D4778" t="s">
        <v>17</v>
      </c>
      <c r="E4778">
        <f>4/240</f>
        <v>1.6666666666666666E-2</v>
      </c>
      <c r="F4778">
        <v>169</v>
      </c>
      <c r="G4778">
        <f>LOG(382/(169+1))</f>
        <v>0.3516144415334348</v>
      </c>
      <c r="H4778">
        <f>0.0166666666666666*0.809622171556313</f>
        <v>1.3493702859271831E-2</v>
      </c>
      <c r="I4778">
        <v>1.349370285927189E-2</v>
      </c>
    </row>
    <row r="4779" spans="1:9" x14ac:dyDescent="0.25">
      <c r="A4779">
        <v>312</v>
      </c>
      <c r="B4779" t="s">
        <v>1960</v>
      </c>
      <c r="C4779" t="s">
        <v>10</v>
      </c>
      <c r="D4779" t="s">
        <v>43</v>
      </c>
      <c r="E4779">
        <f>2/240</f>
        <v>8.3333333333333332E-3</v>
      </c>
      <c r="F4779">
        <v>4</v>
      </c>
      <c r="G4779">
        <f>LOG(382/(4+1))</f>
        <v>1.8830933585756899</v>
      </c>
      <c r="H4779">
        <f>0.00833333333333333*4.33598269617247</f>
        <v>3.6133189134770573E-2</v>
      </c>
      <c r="I4779">
        <v>3.6133189134770621E-2</v>
      </c>
    </row>
    <row r="4780" spans="1:9" x14ac:dyDescent="0.25">
      <c r="A4780">
        <v>312</v>
      </c>
      <c r="B4780" t="s">
        <v>1960</v>
      </c>
      <c r="C4780" t="s">
        <v>10</v>
      </c>
      <c r="D4780" t="s">
        <v>19</v>
      </c>
      <c r="E4780">
        <f>2/240</f>
        <v>8.3333333333333332E-3</v>
      </c>
      <c r="F4780">
        <v>220</v>
      </c>
      <c r="G4780">
        <f>LOG(382/(220+1))</f>
        <v>0.23767108922659805</v>
      </c>
      <c r="H4780">
        <f>0.00833333333333333*0.547257907088822</f>
        <v>4.5604825590735152E-3</v>
      </c>
      <c r="I4780">
        <v>4.5604825590735204E-3</v>
      </c>
    </row>
    <row r="4781" spans="1:9" x14ac:dyDescent="0.25">
      <c r="A4781">
        <v>312</v>
      </c>
      <c r="B4781" t="s">
        <v>1960</v>
      </c>
      <c r="C4781" t="s">
        <v>10</v>
      </c>
      <c r="D4781" t="s">
        <v>44</v>
      </c>
      <c r="E4781">
        <f>4/240</f>
        <v>1.6666666666666666E-2</v>
      </c>
      <c r="F4781">
        <v>151</v>
      </c>
      <c r="G4781">
        <f>LOG(382/(151+1))</f>
        <v>0.40021977496693617</v>
      </c>
      <c r="H4781">
        <f>0.0166666666666666*0.921540087760298</f>
        <v>1.5359001462671574E-2</v>
      </c>
      <c r="I4781">
        <v>1.5359001462671639E-2</v>
      </c>
    </row>
    <row r="4782" spans="1:9" x14ac:dyDescent="0.25">
      <c r="A4782">
        <v>312</v>
      </c>
      <c r="B4782" t="s">
        <v>1960</v>
      </c>
      <c r="C4782" t="s">
        <v>10</v>
      </c>
      <c r="D4782" t="s">
        <v>580</v>
      </c>
      <c r="E4782">
        <f>1/240</f>
        <v>4.1666666666666666E-3</v>
      </c>
      <c r="F4782">
        <v>17</v>
      </c>
      <c r="G4782">
        <f>LOG(382/(17+1))</f>
        <v>1.3267908578084027</v>
      </c>
      <c r="H4782">
        <f>0.00416666666666666*3.05504885071041</f>
        <v>1.2729370211293353E-2</v>
      </c>
      <c r="I4782">
        <v>1.2729370211293381E-2</v>
      </c>
    </row>
    <row r="4783" spans="1:9" x14ac:dyDescent="0.25">
      <c r="A4783">
        <v>312</v>
      </c>
      <c r="B4783" t="s">
        <v>1960</v>
      </c>
      <c r="C4783" t="s">
        <v>10</v>
      </c>
      <c r="D4783" t="s">
        <v>737</v>
      </c>
      <c r="E4783">
        <f>3/240</f>
        <v>1.2500000000000001E-2</v>
      </c>
      <c r="F4783">
        <v>11</v>
      </c>
      <c r="G4783">
        <f>LOG(382/(11+1))</f>
        <v>1.5028821168640838</v>
      </c>
      <c r="H4783">
        <f>0.0125*3.46051395881857</f>
        <v>4.3256424485232127E-2</v>
      </c>
      <c r="I4783">
        <v>4.3256424485232189E-2</v>
      </c>
    </row>
    <row r="4784" spans="1:9" x14ac:dyDescent="0.25">
      <c r="A4784">
        <v>312</v>
      </c>
      <c r="B4784" t="s">
        <v>1960</v>
      </c>
      <c r="C4784" t="s">
        <v>10</v>
      </c>
      <c r="D4784" t="s">
        <v>362</v>
      </c>
      <c r="E4784">
        <f>3/240</f>
        <v>1.2500000000000001E-2</v>
      </c>
      <c r="F4784">
        <v>81</v>
      </c>
      <c r="G4784">
        <f>LOG(382/(81+1))</f>
        <v>0.66824951052799197</v>
      </c>
      <c r="H4784">
        <f>0.0125*1.53870136134232</f>
        <v>1.9233767016779001E-2</v>
      </c>
      <c r="I4784">
        <v>1.9233767016779021E-2</v>
      </c>
    </row>
    <row r="4785" spans="1:9" x14ac:dyDescent="0.25">
      <c r="A4785">
        <v>312</v>
      </c>
      <c r="B4785" t="s">
        <v>1960</v>
      </c>
      <c r="C4785" t="s">
        <v>10</v>
      </c>
      <c r="D4785" t="s">
        <v>77</v>
      </c>
      <c r="E4785">
        <f>4/240</f>
        <v>1.6666666666666666E-2</v>
      </c>
      <c r="F4785">
        <v>148</v>
      </c>
      <c r="G4785">
        <f>LOG(382/(148+1))</f>
        <v>0.40887709449943471</v>
      </c>
      <c r="H4785">
        <f>0.0166666666666666*0.941474302661116</f>
        <v>1.5691238377685206E-2</v>
      </c>
      <c r="I4785">
        <v>1.5691238377685272E-2</v>
      </c>
    </row>
    <row r="4786" spans="1:9" x14ac:dyDescent="0.25">
      <c r="A4786">
        <v>312</v>
      </c>
      <c r="B4786" t="s">
        <v>1960</v>
      </c>
      <c r="C4786" t="s">
        <v>10</v>
      </c>
      <c r="D4786" t="s">
        <v>76</v>
      </c>
      <c r="E4786">
        <f>3/240</f>
        <v>1.2500000000000001E-2</v>
      </c>
      <c r="F4786">
        <v>140</v>
      </c>
      <c r="G4786">
        <f>LOG(382/(140+1))</f>
        <v>0.43284425025632883</v>
      </c>
      <c r="H4786">
        <f>0.0125*0.996660718228407</f>
        <v>1.2458258977855088E-2</v>
      </c>
      <c r="I4786">
        <v>1.245825897785509E-2</v>
      </c>
    </row>
    <row r="4787" spans="1:9" x14ac:dyDescent="0.25">
      <c r="A4787">
        <v>312</v>
      </c>
      <c r="B4787" t="s">
        <v>1960</v>
      </c>
      <c r="C4787" t="s">
        <v>10</v>
      </c>
      <c r="D4787" t="s">
        <v>331</v>
      </c>
      <c r="E4787">
        <f>3/240</f>
        <v>1.2500000000000001E-2</v>
      </c>
      <c r="F4787">
        <v>130</v>
      </c>
      <c r="G4787">
        <f>LOG(382/(130+1))</f>
        <v>0.46479206725594452</v>
      </c>
      <c r="H4787">
        <f>0.0125*1.07022328540542</f>
        <v>1.3377791067567752E-2</v>
      </c>
      <c r="I4787">
        <v>1.33777910675678E-2</v>
      </c>
    </row>
    <row r="4788" spans="1:9" x14ac:dyDescent="0.25">
      <c r="A4788">
        <v>312</v>
      </c>
      <c r="B4788" t="s">
        <v>1960</v>
      </c>
      <c r="C4788" t="s">
        <v>10</v>
      </c>
      <c r="D4788" t="s">
        <v>68</v>
      </c>
      <c r="E4788">
        <f>3/240</f>
        <v>1.2500000000000001E-2</v>
      </c>
      <c r="F4788">
        <v>43</v>
      </c>
      <c r="G4788">
        <f>LOG(382/(43+1))</f>
        <v>0.93861068642552126</v>
      </c>
      <c r="H4788">
        <f>0.0125*2.16123097468831</f>
        <v>2.7015387183603874E-2</v>
      </c>
      <c r="I4788">
        <v>2.7015387183603929E-2</v>
      </c>
    </row>
    <row r="4789" spans="1:9" x14ac:dyDescent="0.25">
      <c r="A4789">
        <v>312</v>
      </c>
      <c r="B4789" t="s">
        <v>1960</v>
      </c>
      <c r="C4789" t="s">
        <v>10</v>
      </c>
      <c r="D4789" t="s">
        <v>404</v>
      </c>
      <c r="E4789">
        <f>2/240</f>
        <v>8.3333333333333332E-3</v>
      </c>
      <c r="F4789">
        <v>22</v>
      </c>
      <c r="G4789">
        <f>LOG(382/(22+1))</f>
        <v>1.2203355268941158</v>
      </c>
      <c r="H4789">
        <f>0.00833333333333333*2.80992639267742</f>
        <v>2.3416053272311822E-2</v>
      </c>
      <c r="I4789">
        <v>2.3416053272311881E-2</v>
      </c>
    </row>
    <row r="4790" spans="1:9" x14ac:dyDescent="0.25">
      <c r="A4790">
        <v>312</v>
      </c>
      <c r="B4790" t="s">
        <v>1960</v>
      </c>
      <c r="C4790" t="s">
        <v>10</v>
      </c>
      <c r="D4790" t="s">
        <v>823</v>
      </c>
      <c r="E4790">
        <f>2/240</f>
        <v>8.3333333333333332E-3</v>
      </c>
      <c r="F4790">
        <v>45</v>
      </c>
      <c r="G4790">
        <f>LOG(382/(45+1))</f>
        <v>0.9193055312301347</v>
      </c>
      <c r="H4790">
        <f>0.00833333333333333*2.11677921211748</f>
        <v>1.763982676764566E-2</v>
      </c>
      <c r="I4790">
        <v>1.763982676764567E-2</v>
      </c>
    </row>
    <row r="4791" spans="1:9" x14ac:dyDescent="0.25">
      <c r="A4791">
        <v>312</v>
      </c>
      <c r="B4791" t="s">
        <v>1960</v>
      </c>
      <c r="C4791" t="s">
        <v>10</v>
      </c>
      <c r="D4791" t="s">
        <v>910</v>
      </c>
      <c r="E4791">
        <f>2/240</f>
        <v>8.3333333333333332E-3</v>
      </c>
      <c r="F4791">
        <v>6</v>
      </c>
      <c r="G4791">
        <f>LOG(382/(6+1))</f>
        <v>1.736965322897452</v>
      </c>
      <c r="H4791">
        <f>0.00833333333333333*3.99951045955126</f>
        <v>3.332925382959382E-2</v>
      </c>
      <c r="I4791">
        <v>3.3329253829593848E-2</v>
      </c>
    </row>
    <row r="4792" spans="1:9" x14ac:dyDescent="0.25">
      <c r="A4792">
        <v>312</v>
      </c>
      <c r="B4792" t="s">
        <v>1960</v>
      </c>
      <c r="C4792" t="s">
        <v>10</v>
      </c>
      <c r="D4792" t="s">
        <v>911</v>
      </c>
      <c r="E4792">
        <f>5/240</f>
        <v>2.0833333333333332E-2</v>
      </c>
      <c r="F4792">
        <v>22</v>
      </c>
      <c r="G4792">
        <f>LOG(382/(22+1))</f>
        <v>1.2203355268941158</v>
      </c>
      <c r="H4792">
        <f>0.0208333333333333*2.80992639267742</f>
        <v>5.854013318077949E-2</v>
      </c>
      <c r="I4792">
        <v>5.8540133180779698E-2</v>
      </c>
    </row>
    <row r="4793" spans="1:9" x14ac:dyDescent="0.25">
      <c r="A4793">
        <v>312</v>
      </c>
      <c r="B4793" t="s">
        <v>1960</v>
      </c>
      <c r="C4793" t="s">
        <v>10</v>
      </c>
      <c r="D4793" t="s">
        <v>912</v>
      </c>
      <c r="E4793">
        <f>1/240</f>
        <v>4.1666666666666666E-3</v>
      </c>
      <c r="F4793">
        <v>4</v>
      </c>
      <c r="G4793">
        <f>LOG(382/(4+1))</f>
        <v>1.8830933585756899</v>
      </c>
      <c r="H4793">
        <f>0.00416666666666666*4.33598269617247</f>
        <v>1.8066594567385262E-2</v>
      </c>
      <c r="I4793">
        <v>1.8066594567385311E-2</v>
      </c>
    </row>
    <row r="4794" spans="1:9" x14ac:dyDescent="0.25">
      <c r="A4794">
        <v>312</v>
      </c>
      <c r="B4794" t="s">
        <v>1960</v>
      </c>
      <c r="C4794" t="s">
        <v>10</v>
      </c>
      <c r="D4794" t="s">
        <v>470</v>
      </c>
      <c r="E4794">
        <f>1/240</f>
        <v>4.1666666666666666E-3</v>
      </c>
      <c r="F4794">
        <v>4</v>
      </c>
      <c r="G4794">
        <f>LOG(382/(4+1))</f>
        <v>1.8830933585756899</v>
      </c>
      <c r="H4794">
        <f>0.00416666666666666*4.33598269617247</f>
        <v>1.8066594567385262E-2</v>
      </c>
      <c r="I4794">
        <v>1.8066594567385311E-2</v>
      </c>
    </row>
    <row r="4795" spans="1:9" x14ac:dyDescent="0.25">
      <c r="A4795">
        <v>312</v>
      </c>
      <c r="B4795" t="s">
        <v>1960</v>
      </c>
      <c r="C4795" t="s">
        <v>10</v>
      </c>
      <c r="D4795" t="s">
        <v>913</v>
      </c>
      <c r="E4795">
        <f>1/240</f>
        <v>4.1666666666666666E-3</v>
      </c>
      <c r="F4795">
        <v>14</v>
      </c>
      <c r="G4795">
        <f>LOG(382/(14+1))</f>
        <v>1.4059721038560276</v>
      </c>
      <c r="H4795">
        <f>0.00416666666666666*3.23737040750436</f>
        <v>1.3489043364601477E-2</v>
      </c>
      <c r="I4795">
        <v>1.348904336460152E-2</v>
      </c>
    </row>
    <row r="4796" spans="1:9" x14ac:dyDescent="0.25">
      <c r="A4796">
        <v>312</v>
      </c>
      <c r="B4796" t="s">
        <v>1960</v>
      </c>
      <c r="C4796" t="s">
        <v>10</v>
      </c>
      <c r="D4796" t="s">
        <v>914</v>
      </c>
      <c r="E4796">
        <f>1/240</f>
        <v>4.1666666666666666E-3</v>
      </c>
      <c r="F4796">
        <v>4</v>
      </c>
      <c r="G4796">
        <f>LOG(382/(4+1))</f>
        <v>1.8830933585756899</v>
      </c>
      <c r="H4796">
        <f>0.00416666666666666*4.33598269617247</f>
        <v>1.8066594567385262E-2</v>
      </c>
      <c r="I4796">
        <v>1.8066594567385311E-2</v>
      </c>
    </row>
    <row r="4797" spans="1:9" x14ac:dyDescent="0.25">
      <c r="A4797">
        <v>312</v>
      </c>
      <c r="B4797" t="s">
        <v>1960</v>
      </c>
      <c r="C4797" t="s">
        <v>10</v>
      </c>
      <c r="D4797" t="s">
        <v>915</v>
      </c>
      <c r="E4797">
        <f>1/240</f>
        <v>4.1666666666666666E-3</v>
      </c>
      <c r="F4797">
        <v>8</v>
      </c>
      <c r="G4797">
        <f>LOG(382/(8+1))</f>
        <v>1.6278208534723839</v>
      </c>
      <c r="H4797">
        <f>0.00416666666666666*3.74819603127035</f>
        <v>1.5617483463626432E-2</v>
      </c>
      <c r="I4797">
        <v>1.5617483463626481E-2</v>
      </c>
    </row>
    <row r="4798" spans="1:9" x14ac:dyDescent="0.25">
      <c r="A4798">
        <v>312</v>
      </c>
      <c r="B4798" t="s">
        <v>1960</v>
      </c>
      <c r="C4798" t="s">
        <v>10</v>
      </c>
      <c r="D4798" t="s">
        <v>916</v>
      </c>
      <c r="E4798">
        <f>2/240</f>
        <v>8.3333333333333332E-3</v>
      </c>
      <c r="F4798">
        <v>4</v>
      </c>
      <c r="G4798">
        <f>LOG(382/(4+1))</f>
        <v>1.8830933585756899</v>
      </c>
      <c r="H4798">
        <f>0.00833333333333333*4.33598269617247</f>
        <v>3.6133189134770573E-2</v>
      </c>
      <c r="I4798">
        <v>3.6133189134770621E-2</v>
      </c>
    </row>
    <row r="4799" spans="1:9" x14ac:dyDescent="0.25">
      <c r="A4799">
        <v>312</v>
      </c>
      <c r="B4799" t="s">
        <v>1960</v>
      </c>
      <c r="C4799" t="s">
        <v>10</v>
      </c>
      <c r="D4799" t="s">
        <v>917</v>
      </c>
      <c r="E4799">
        <f>1/240</f>
        <v>4.1666666666666666E-3</v>
      </c>
      <c r="F4799">
        <v>2</v>
      </c>
      <c r="G4799">
        <f>LOG(382/(2+1))</f>
        <v>2.1049421081920463</v>
      </c>
      <c r="H4799">
        <f>0.00416666666666666*4.84680831993846</f>
        <v>2.0195034666410216E-2</v>
      </c>
      <c r="I4799">
        <v>2.0195034666410271E-2</v>
      </c>
    </row>
    <row r="4800" spans="1:9" x14ac:dyDescent="0.25">
      <c r="A4800">
        <v>312</v>
      </c>
      <c r="B4800" t="s">
        <v>1960</v>
      </c>
      <c r="C4800" t="s">
        <v>10</v>
      </c>
      <c r="D4800" t="s">
        <v>918</v>
      </c>
      <c r="E4800">
        <f>3/240</f>
        <v>1.2500000000000001E-2</v>
      </c>
      <c r="F4800">
        <v>3</v>
      </c>
      <c r="G4800">
        <f>LOG(382/(3+1))</f>
        <v>1.9800033715837464</v>
      </c>
      <c r="H4800">
        <f>0.0125*4.55912624748668</f>
        <v>5.6989078093583501E-2</v>
      </c>
      <c r="I4800">
        <v>5.6989078093583563E-2</v>
      </c>
    </row>
    <row r="4801" spans="1:9" x14ac:dyDescent="0.25">
      <c r="A4801">
        <v>312</v>
      </c>
      <c r="B4801" t="s">
        <v>1960</v>
      </c>
      <c r="C4801" t="s">
        <v>10</v>
      </c>
      <c r="D4801" t="s">
        <v>485</v>
      </c>
      <c r="E4801">
        <f>1/240</f>
        <v>4.1666666666666666E-3</v>
      </c>
      <c r="F4801">
        <v>74</v>
      </c>
      <c r="G4801">
        <f>LOG(382/(74+1))</f>
        <v>0.7070020995200087</v>
      </c>
      <c r="H4801">
        <f>0.00416666666666666*1.62793249507026</f>
        <v>6.7830520627927392E-3</v>
      </c>
      <c r="I4801">
        <v>6.7830520627927696E-3</v>
      </c>
    </row>
    <row r="4802" spans="1:9" x14ac:dyDescent="0.25">
      <c r="A4802">
        <v>312</v>
      </c>
      <c r="B4802" t="s">
        <v>1960</v>
      </c>
      <c r="C4802" t="s">
        <v>10</v>
      </c>
      <c r="D4802" t="s">
        <v>36</v>
      </c>
      <c r="E4802">
        <f>5/240</f>
        <v>2.0833333333333332E-2</v>
      </c>
      <c r="F4802">
        <v>58</v>
      </c>
      <c r="G4802">
        <f>LOG(382/(58+1))</f>
        <v>0.81121135126956456</v>
      </c>
      <c r="H4802">
        <f>0.0208333333333333*1.86788316470085</f>
        <v>3.8914232597934313E-2</v>
      </c>
      <c r="I4802">
        <v>3.8914232597934487E-2</v>
      </c>
    </row>
    <row r="4803" spans="1:9" x14ac:dyDescent="0.25">
      <c r="A4803">
        <v>312</v>
      </c>
      <c r="B4803" t="s">
        <v>1960</v>
      </c>
      <c r="C4803" t="s">
        <v>10</v>
      </c>
      <c r="D4803" t="s">
        <v>1961</v>
      </c>
      <c r="E4803">
        <f>1/240</f>
        <v>4.1666666666666666E-3</v>
      </c>
      <c r="F4803">
        <v>1</v>
      </c>
      <c r="G4803">
        <f>LOG(382/(1+1))</f>
        <v>2.2810333672477277</v>
      </c>
      <c r="H4803">
        <f>0.00416666666666666*5.25227342804663</f>
        <v>2.1884472616860922E-2</v>
      </c>
      <c r="I4803">
        <v>2.188447261686096E-2</v>
      </c>
    </row>
    <row r="4804" spans="1:9" x14ac:dyDescent="0.25">
      <c r="A4804">
        <v>312</v>
      </c>
      <c r="B4804" t="s">
        <v>1960</v>
      </c>
      <c r="C4804" t="s">
        <v>10</v>
      </c>
      <c r="D4804" t="s">
        <v>1505</v>
      </c>
      <c r="E4804">
        <f>1/240</f>
        <v>4.1666666666666666E-3</v>
      </c>
      <c r="F4804">
        <v>6</v>
      </c>
      <c r="G4804">
        <f>LOG(382/(6+1))</f>
        <v>1.736965322897452</v>
      </c>
      <c r="H4804">
        <f>0.00416666666666666*3.99951045955126</f>
        <v>1.6664626914796889E-2</v>
      </c>
      <c r="I4804">
        <v>1.6664626914796921E-2</v>
      </c>
    </row>
    <row r="4805" spans="1:9" x14ac:dyDescent="0.25">
      <c r="A4805">
        <v>312</v>
      </c>
      <c r="B4805" t="s">
        <v>1960</v>
      </c>
      <c r="C4805" t="s">
        <v>10</v>
      </c>
      <c r="D4805" t="s">
        <v>808</v>
      </c>
      <c r="E4805">
        <f>1/240</f>
        <v>4.1666666666666666E-3</v>
      </c>
      <c r="F4805">
        <v>20</v>
      </c>
      <c r="G4805">
        <f>LOG(382/(20+1))</f>
        <v>1.2598440681777894</v>
      </c>
      <c r="H4805">
        <f>0.00416666666666666*2.90089817088315</f>
        <v>1.2087075712013106E-2</v>
      </c>
      <c r="I4805">
        <v>1.208707571201314E-2</v>
      </c>
    </row>
    <row r="4806" spans="1:9" x14ac:dyDescent="0.25">
      <c r="A4806">
        <v>312</v>
      </c>
      <c r="B4806" t="s">
        <v>1960</v>
      </c>
      <c r="C4806" t="s">
        <v>10</v>
      </c>
      <c r="D4806" t="s">
        <v>41</v>
      </c>
      <c r="E4806">
        <f>3/240</f>
        <v>1.2500000000000001E-2</v>
      </c>
      <c r="F4806">
        <v>195</v>
      </c>
      <c r="G4806">
        <f>LOG(382/(195+1))</f>
        <v>0.28980729155523272</v>
      </c>
      <c r="H4806">
        <f>0.0125*0.667305949376058</f>
        <v>8.3413243672007253E-3</v>
      </c>
      <c r="I4806">
        <v>8.3413243672007253E-3</v>
      </c>
    </row>
    <row r="4807" spans="1:9" x14ac:dyDescent="0.25">
      <c r="A4807">
        <v>312</v>
      </c>
      <c r="B4807" t="s">
        <v>1960</v>
      </c>
      <c r="C4807" t="s">
        <v>10</v>
      </c>
      <c r="D4807" t="s">
        <v>158</v>
      </c>
      <c r="E4807">
        <f t="shared" ref="E4807:E4815" si="217">1/240</f>
        <v>4.1666666666666666E-3</v>
      </c>
      <c r="F4807">
        <v>5</v>
      </c>
      <c r="G4807">
        <f>LOG(382/(5+1))</f>
        <v>1.803912112528065</v>
      </c>
      <c r="H4807">
        <f>0.00416666666666666*4.15366113937852</f>
        <v>1.7306921414077137E-2</v>
      </c>
      <c r="I4807">
        <v>1.7306921414077161E-2</v>
      </c>
    </row>
    <row r="4808" spans="1:9" x14ac:dyDescent="0.25">
      <c r="A4808">
        <v>312</v>
      </c>
      <c r="B4808" t="s">
        <v>1960</v>
      </c>
      <c r="C4808" t="s">
        <v>10</v>
      </c>
      <c r="D4808" t="s">
        <v>816</v>
      </c>
      <c r="E4808">
        <f t="shared" si="217"/>
        <v>4.1666666666666666E-3</v>
      </c>
      <c r="F4808">
        <v>3</v>
      </c>
      <c r="G4808">
        <f>LOG(382/(3+1))</f>
        <v>1.9800033715837464</v>
      </c>
      <c r="H4808">
        <f>0.00416666666666666*4.55912624748668</f>
        <v>1.8996359364527801E-2</v>
      </c>
      <c r="I4808">
        <v>1.899635936452785E-2</v>
      </c>
    </row>
    <row r="4809" spans="1:9" x14ac:dyDescent="0.25">
      <c r="A4809">
        <v>312</v>
      </c>
      <c r="B4809" t="s">
        <v>1960</v>
      </c>
      <c r="C4809" t="s">
        <v>10</v>
      </c>
      <c r="D4809" t="s">
        <v>874</v>
      </c>
      <c r="E4809">
        <f t="shared" si="217"/>
        <v>4.1666666666666666E-3</v>
      </c>
      <c r="F4809">
        <v>4</v>
      </c>
      <c r="G4809">
        <f>LOG(382/(4+1))</f>
        <v>1.8830933585756899</v>
      </c>
      <c r="H4809">
        <f>0.00416666666666666*4.33598269617247</f>
        <v>1.8066594567385262E-2</v>
      </c>
      <c r="I4809">
        <v>1.8066594567385311E-2</v>
      </c>
    </row>
    <row r="4810" spans="1:9" x14ac:dyDescent="0.25">
      <c r="A4810">
        <v>312</v>
      </c>
      <c r="B4810" t="s">
        <v>1960</v>
      </c>
      <c r="C4810" t="s">
        <v>10</v>
      </c>
      <c r="D4810" t="s">
        <v>1962</v>
      </c>
      <c r="E4810">
        <f t="shared" si="217"/>
        <v>4.1666666666666666E-3</v>
      </c>
      <c r="F4810">
        <v>1</v>
      </c>
      <c r="G4810">
        <f>LOG(382/(1+1))</f>
        <v>2.2810333672477277</v>
      </c>
      <c r="H4810">
        <f>0.00416666666666666*5.25227342804663</f>
        <v>2.1884472616860922E-2</v>
      </c>
      <c r="I4810">
        <v>2.188447261686096E-2</v>
      </c>
    </row>
    <row r="4811" spans="1:9" x14ac:dyDescent="0.25">
      <c r="A4811">
        <v>312</v>
      </c>
      <c r="B4811" t="s">
        <v>1960</v>
      </c>
      <c r="C4811" t="s">
        <v>10</v>
      </c>
      <c r="D4811" t="s">
        <v>486</v>
      </c>
      <c r="E4811">
        <f t="shared" si="217"/>
        <v>4.1666666666666666E-3</v>
      </c>
      <c r="F4811">
        <v>5</v>
      </c>
      <c r="G4811">
        <f>LOG(382/(5+1))</f>
        <v>1.803912112528065</v>
      </c>
      <c r="H4811">
        <f>0.00416666666666666*4.15366113937852</f>
        <v>1.7306921414077137E-2</v>
      </c>
      <c r="I4811">
        <v>1.7306921414077161E-2</v>
      </c>
    </row>
    <row r="4812" spans="1:9" x14ac:dyDescent="0.25">
      <c r="A4812">
        <v>312</v>
      </c>
      <c r="B4812" t="s">
        <v>1960</v>
      </c>
      <c r="C4812" t="s">
        <v>10</v>
      </c>
      <c r="D4812" t="s">
        <v>79</v>
      </c>
      <c r="E4812">
        <f t="shared" si="217"/>
        <v>4.1666666666666666E-3</v>
      </c>
      <c r="F4812">
        <v>26</v>
      </c>
      <c r="G4812">
        <f>LOG(382/(26+1))</f>
        <v>1.1506995987527215</v>
      </c>
      <c r="H4812">
        <f>0.00416666666666666*2.64958374260224</f>
        <v>1.1039932260842648E-2</v>
      </c>
      <c r="I4812">
        <v>1.103993226084269E-2</v>
      </c>
    </row>
    <row r="4813" spans="1:9" x14ac:dyDescent="0.25">
      <c r="A4813">
        <v>312</v>
      </c>
      <c r="B4813" t="s">
        <v>1960</v>
      </c>
      <c r="C4813" t="s">
        <v>10</v>
      </c>
      <c r="D4813" t="s">
        <v>1963</v>
      </c>
      <c r="E4813">
        <f t="shared" si="217"/>
        <v>4.1666666666666666E-3</v>
      </c>
      <c r="F4813">
        <v>1</v>
      </c>
      <c r="G4813">
        <f>LOG(382/(1+1))</f>
        <v>2.2810333672477277</v>
      </c>
      <c r="H4813">
        <f>0.00416666666666666*5.25227342804663</f>
        <v>2.1884472616860922E-2</v>
      </c>
      <c r="I4813">
        <v>2.188447261686096E-2</v>
      </c>
    </row>
    <row r="4814" spans="1:9" x14ac:dyDescent="0.25">
      <c r="A4814">
        <v>312</v>
      </c>
      <c r="B4814" t="s">
        <v>1960</v>
      </c>
      <c r="C4814" t="s">
        <v>10</v>
      </c>
      <c r="D4814" t="s">
        <v>1964</v>
      </c>
      <c r="E4814">
        <f t="shared" si="217"/>
        <v>4.1666666666666666E-3</v>
      </c>
      <c r="F4814">
        <v>1</v>
      </c>
      <c r="G4814">
        <f>LOG(382/(1+1))</f>
        <v>2.2810333672477277</v>
      </c>
      <c r="H4814">
        <f>0.00416666666666666*5.25227342804663</f>
        <v>2.1884472616860922E-2</v>
      </c>
      <c r="I4814">
        <v>2.188447261686096E-2</v>
      </c>
    </row>
    <row r="4815" spans="1:9" x14ac:dyDescent="0.25">
      <c r="A4815">
        <v>312</v>
      </c>
      <c r="B4815" t="s">
        <v>1960</v>
      </c>
      <c r="C4815" t="s">
        <v>10</v>
      </c>
      <c r="D4815" t="s">
        <v>907</v>
      </c>
      <c r="E4815">
        <f t="shared" si="217"/>
        <v>4.1666666666666666E-3</v>
      </c>
      <c r="F4815">
        <v>6</v>
      </c>
      <c r="G4815">
        <f>LOG(382/(6+1))</f>
        <v>1.736965322897452</v>
      </c>
      <c r="H4815">
        <f>0.00416666666666666*3.99951045955126</f>
        <v>1.6664626914796889E-2</v>
      </c>
      <c r="I4815">
        <v>1.6664626914796921E-2</v>
      </c>
    </row>
    <row r="4816" spans="1:9" x14ac:dyDescent="0.25">
      <c r="A4816">
        <v>312</v>
      </c>
      <c r="B4816" t="s">
        <v>1960</v>
      </c>
      <c r="C4816" t="s">
        <v>10</v>
      </c>
      <c r="D4816" t="s">
        <v>1080</v>
      </c>
      <c r="E4816">
        <f>3/240</f>
        <v>1.2500000000000001E-2</v>
      </c>
      <c r="F4816">
        <v>26</v>
      </c>
      <c r="G4816">
        <f>LOG(382/(26+1))</f>
        <v>1.1506995987527215</v>
      </c>
      <c r="H4816">
        <f>0.0125*2.64958374260224</f>
        <v>3.3119796782528001E-2</v>
      </c>
      <c r="I4816">
        <v>3.3119796782528077E-2</v>
      </c>
    </row>
    <row r="4817" spans="1:9" x14ac:dyDescent="0.25">
      <c r="A4817">
        <v>312</v>
      </c>
      <c r="B4817" t="s">
        <v>1960</v>
      </c>
      <c r="C4817" t="s">
        <v>10</v>
      </c>
      <c r="D4817" t="s">
        <v>746</v>
      </c>
      <c r="E4817">
        <f>1/240</f>
        <v>4.1666666666666666E-3</v>
      </c>
      <c r="F4817">
        <v>58</v>
      </c>
      <c r="G4817">
        <f>LOG(382/(58+1))</f>
        <v>0.81121135126956456</v>
      </c>
      <c r="H4817">
        <f>0.00416666666666666*1.86788316470085</f>
        <v>7.7828465195868618E-3</v>
      </c>
      <c r="I4817">
        <v>7.7828465195868982E-3</v>
      </c>
    </row>
    <row r="4818" spans="1:9" x14ac:dyDescent="0.25">
      <c r="A4818">
        <v>312</v>
      </c>
      <c r="B4818" t="s">
        <v>1960</v>
      </c>
      <c r="C4818" t="s">
        <v>10</v>
      </c>
      <c r="D4818" t="s">
        <v>133</v>
      </c>
      <c r="E4818">
        <f>3/240</f>
        <v>1.2500000000000001E-2</v>
      </c>
      <c r="F4818">
        <v>142</v>
      </c>
      <c r="G4818">
        <f>LOG(382/(142+1))</f>
        <v>0.42672732544664693</v>
      </c>
      <c r="H4818">
        <f>0.0125*0.982575978346667</f>
        <v>1.2282199729333337E-2</v>
      </c>
      <c r="I4818">
        <v>1.228219972933335E-2</v>
      </c>
    </row>
    <row r="4819" spans="1:9" x14ac:dyDescent="0.25">
      <c r="A4819">
        <v>312</v>
      </c>
      <c r="B4819" t="s">
        <v>1960</v>
      </c>
      <c r="C4819" t="s">
        <v>10</v>
      </c>
      <c r="D4819" t="s">
        <v>18</v>
      </c>
      <c r="E4819">
        <f>1/240</f>
        <v>4.1666666666666666E-3</v>
      </c>
      <c r="F4819">
        <v>7</v>
      </c>
      <c r="G4819">
        <f>LOG(382/(7+1))</f>
        <v>1.6789733759197651</v>
      </c>
      <c r="H4819">
        <f>0.00416666666666666*3.86597906692673</f>
        <v>1.6108246112194684E-2</v>
      </c>
      <c r="I4819">
        <v>1.610824611219475E-2</v>
      </c>
    </row>
    <row r="4820" spans="1:9" x14ac:dyDescent="0.25">
      <c r="A4820">
        <v>312</v>
      </c>
      <c r="B4820" t="s">
        <v>1960</v>
      </c>
      <c r="C4820" t="s">
        <v>10</v>
      </c>
      <c r="D4820" t="s">
        <v>451</v>
      </c>
      <c r="E4820">
        <f>1/240</f>
        <v>4.1666666666666666E-3</v>
      </c>
      <c r="F4820">
        <v>15</v>
      </c>
      <c r="G4820">
        <f>LOG(382/(15+1))</f>
        <v>1.3779433802557839</v>
      </c>
      <c r="H4820">
        <f>0.00416666666666666*3.17283188636679</f>
        <v>1.3220132859861603E-2</v>
      </c>
      <c r="I4820">
        <v>1.3220132859861639E-2</v>
      </c>
    </row>
    <row r="4821" spans="1:9" x14ac:dyDescent="0.25">
      <c r="A4821">
        <v>312</v>
      </c>
      <c r="B4821" t="s">
        <v>1960</v>
      </c>
      <c r="C4821" t="s">
        <v>10</v>
      </c>
      <c r="D4821" t="s">
        <v>1965</v>
      </c>
      <c r="E4821">
        <f>1/240</f>
        <v>4.1666666666666666E-3</v>
      </c>
      <c r="F4821">
        <v>1</v>
      </c>
      <c r="G4821">
        <f>LOG(382/(1+1))</f>
        <v>2.2810333672477277</v>
      </c>
      <c r="H4821">
        <f>0.00416666666666666*5.25227342804663</f>
        <v>2.1884472616860922E-2</v>
      </c>
      <c r="I4821">
        <v>2.188447261686096E-2</v>
      </c>
    </row>
    <row r="4822" spans="1:9" x14ac:dyDescent="0.25">
      <c r="A4822">
        <v>312</v>
      </c>
      <c r="B4822" t="s">
        <v>1960</v>
      </c>
      <c r="C4822" t="s">
        <v>10</v>
      </c>
      <c r="D4822" t="s">
        <v>1618</v>
      </c>
      <c r="E4822">
        <f>1/240</f>
        <v>4.1666666666666666E-3</v>
      </c>
      <c r="F4822">
        <v>6</v>
      </c>
      <c r="G4822">
        <f>LOG(382/(6+1))</f>
        <v>1.736965322897452</v>
      </c>
      <c r="H4822">
        <f>0.00416666666666666*3.99951045955126</f>
        <v>1.6664626914796889E-2</v>
      </c>
      <c r="I4822">
        <v>1.6664626914796921E-2</v>
      </c>
    </row>
    <row r="4823" spans="1:9" x14ac:dyDescent="0.25">
      <c r="A4823">
        <v>312</v>
      </c>
      <c r="B4823" t="s">
        <v>1960</v>
      </c>
      <c r="C4823" t="s">
        <v>10</v>
      </c>
      <c r="D4823" t="s">
        <v>1812</v>
      </c>
      <c r="E4823">
        <f>2/240</f>
        <v>8.3333333333333332E-3</v>
      </c>
      <c r="F4823">
        <v>10</v>
      </c>
      <c r="G4823">
        <f>LOG(382/(10+1))</f>
        <v>1.5406706777534838</v>
      </c>
      <c r="H4823">
        <f>0.00833333333333333*3.5475253358082</f>
        <v>2.9562711131734989E-2</v>
      </c>
      <c r="I4823">
        <v>2.9562711131735041E-2</v>
      </c>
    </row>
    <row r="4824" spans="1:9" x14ac:dyDescent="0.25">
      <c r="A4824">
        <v>312</v>
      </c>
      <c r="B4824" t="s">
        <v>1960</v>
      </c>
      <c r="C4824" t="s">
        <v>10</v>
      </c>
      <c r="D4824" t="s">
        <v>528</v>
      </c>
      <c r="E4824">
        <f>3/240</f>
        <v>1.2500000000000001E-2</v>
      </c>
      <c r="F4824">
        <v>9</v>
      </c>
      <c r="G4824">
        <f>LOG(382/(9+1))</f>
        <v>1.5820633629117087</v>
      </c>
      <c r="H4824">
        <f>0.0125*3.64283551561252</f>
        <v>4.5535443945156504E-2</v>
      </c>
      <c r="I4824">
        <v>4.5535443945156621E-2</v>
      </c>
    </row>
    <row r="4825" spans="1:9" x14ac:dyDescent="0.25">
      <c r="A4825">
        <v>312</v>
      </c>
      <c r="B4825" t="s">
        <v>1960</v>
      </c>
      <c r="C4825" t="s">
        <v>10</v>
      </c>
      <c r="D4825" t="s">
        <v>25</v>
      </c>
      <c r="E4825">
        <f>1/240</f>
        <v>4.1666666666666666E-3</v>
      </c>
      <c r="F4825">
        <v>106</v>
      </c>
      <c r="G4825">
        <f>LOG(382/(106+1))</f>
        <v>0.55267958522649907</v>
      </c>
      <c r="H4825">
        <f>0.00416666666666666*1.27259177414466</f>
        <v>5.3024657256027412E-3</v>
      </c>
      <c r="I4825">
        <v>5.3024657256027881E-3</v>
      </c>
    </row>
    <row r="4826" spans="1:9" x14ac:dyDescent="0.25">
      <c r="A4826">
        <v>312</v>
      </c>
      <c r="B4826" t="s">
        <v>1960</v>
      </c>
      <c r="C4826" t="s">
        <v>10</v>
      </c>
      <c r="D4826" t="s">
        <v>272</v>
      </c>
      <c r="E4826">
        <f>1/240</f>
        <v>4.1666666666666666E-3</v>
      </c>
      <c r="F4826">
        <v>17</v>
      </c>
      <c r="G4826">
        <f>LOG(382/(17+1))</f>
        <v>1.3267908578084027</v>
      </c>
      <c r="H4826">
        <f>0.00416666666666666*3.05504885071041</f>
        <v>1.2729370211293353E-2</v>
      </c>
      <c r="I4826">
        <v>1.2729370211293381E-2</v>
      </c>
    </row>
    <row r="4827" spans="1:9" x14ac:dyDescent="0.25">
      <c r="A4827">
        <v>312</v>
      </c>
      <c r="B4827" t="s">
        <v>1960</v>
      </c>
      <c r="C4827" t="s">
        <v>10</v>
      </c>
      <c r="D4827" t="s">
        <v>1966</v>
      </c>
      <c r="E4827">
        <f>1/240</f>
        <v>4.1666666666666666E-3</v>
      </c>
      <c r="F4827">
        <v>2</v>
      </c>
      <c r="G4827">
        <f>LOG(382/(2+1))</f>
        <v>2.1049421081920463</v>
      </c>
      <c r="H4827">
        <f>0.00416666666666666*4.84680831993846</f>
        <v>2.0195034666410216E-2</v>
      </c>
      <c r="I4827">
        <v>2.0195034666410271E-2</v>
      </c>
    </row>
    <row r="4828" spans="1:9" x14ac:dyDescent="0.25">
      <c r="A4828">
        <v>312</v>
      </c>
      <c r="B4828" t="s">
        <v>1960</v>
      </c>
      <c r="C4828" t="s">
        <v>10</v>
      </c>
      <c r="D4828" t="s">
        <v>942</v>
      </c>
      <c r="E4828">
        <f>1/240</f>
        <v>4.1666666666666666E-3</v>
      </c>
      <c r="F4828">
        <v>10</v>
      </c>
      <c r="G4828">
        <f>LOG(382/(10+1))</f>
        <v>1.5406706777534838</v>
      </c>
      <c r="H4828">
        <f>0.00416666666666666*3.5475253358082</f>
        <v>1.4781355565867476E-2</v>
      </c>
      <c r="I4828">
        <v>1.4781355565867521E-2</v>
      </c>
    </row>
    <row r="4829" spans="1:9" x14ac:dyDescent="0.25">
      <c r="A4829">
        <v>312</v>
      </c>
      <c r="B4829" t="s">
        <v>1960</v>
      </c>
      <c r="C4829" t="s">
        <v>10</v>
      </c>
      <c r="D4829" t="s">
        <v>279</v>
      </c>
      <c r="E4829">
        <f>2/240</f>
        <v>8.3333333333333332E-3</v>
      </c>
      <c r="F4829">
        <v>22</v>
      </c>
      <c r="G4829">
        <f>LOG(382/(22+1))</f>
        <v>1.2203355268941158</v>
      </c>
      <c r="H4829">
        <f>0.00833333333333333*2.80992639267742</f>
        <v>2.3416053272311822E-2</v>
      </c>
      <c r="I4829">
        <v>2.3416053272311881E-2</v>
      </c>
    </row>
    <row r="4830" spans="1:9" x14ac:dyDescent="0.25">
      <c r="A4830">
        <v>312</v>
      </c>
      <c r="B4830" t="s">
        <v>1960</v>
      </c>
      <c r="C4830" t="s">
        <v>10</v>
      </c>
      <c r="D4830" t="s">
        <v>62</v>
      </c>
      <c r="E4830">
        <f>1/240</f>
        <v>4.1666666666666666E-3</v>
      </c>
      <c r="F4830">
        <v>6</v>
      </c>
      <c r="G4830">
        <f>LOG(382/(6+1))</f>
        <v>1.736965322897452</v>
      </c>
      <c r="H4830">
        <f>0.00416666666666666*3.99951045955126</f>
        <v>1.6664626914796889E-2</v>
      </c>
      <c r="I4830">
        <v>1.6664626914796921E-2</v>
      </c>
    </row>
    <row r="4831" spans="1:9" x14ac:dyDescent="0.25">
      <c r="A4831">
        <v>312</v>
      </c>
      <c r="B4831" t="s">
        <v>1960</v>
      </c>
      <c r="C4831" t="s">
        <v>10</v>
      </c>
      <c r="D4831" t="s">
        <v>1967</v>
      </c>
      <c r="E4831">
        <f>1/240</f>
        <v>4.1666666666666666E-3</v>
      </c>
      <c r="F4831">
        <v>5</v>
      </c>
      <c r="G4831">
        <f>LOG(382/(5+1))</f>
        <v>1.803912112528065</v>
      </c>
      <c r="H4831">
        <f>0.00416666666666666*4.15366113937852</f>
        <v>1.7306921414077137E-2</v>
      </c>
      <c r="I4831">
        <v>1.7306921414077161E-2</v>
      </c>
    </row>
    <row r="4832" spans="1:9" x14ac:dyDescent="0.25">
      <c r="A4832">
        <v>312</v>
      </c>
      <c r="B4832" t="s">
        <v>1960</v>
      </c>
      <c r="C4832" t="s">
        <v>10</v>
      </c>
      <c r="D4832" t="s">
        <v>1114</v>
      </c>
      <c r="E4832">
        <f>1/240</f>
        <v>4.1666666666666666E-3</v>
      </c>
      <c r="F4832">
        <v>3</v>
      </c>
      <c r="G4832">
        <f>LOG(382/(3+1))</f>
        <v>1.9800033715837464</v>
      </c>
      <c r="H4832">
        <f>0.00416666666666666*4.55912624748668</f>
        <v>1.8996359364527801E-2</v>
      </c>
      <c r="I4832">
        <v>1.899635936452785E-2</v>
      </c>
    </row>
    <row r="4833" spans="1:9" x14ac:dyDescent="0.25">
      <c r="A4833">
        <v>312</v>
      </c>
      <c r="B4833" t="s">
        <v>1960</v>
      </c>
      <c r="C4833" t="s">
        <v>10</v>
      </c>
      <c r="D4833" t="s">
        <v>1462</v>
      </c>
      <c r="E4833">
        <f>1/240</f>
        <v>4.1666666666666666E-3</v>
      </c>
      <c r="F4833">
        <v>7</v>
      </c>
      <c r="G4833">
        <f>LOG(382/(7+1))</f>
        <v>1.6789733759197651</v>
      </c>
      <c r="H4833">
        <f>0.00416666666666666*3.86597906692673</f>
        <v>1.6108246112194684E-2</v>
      </c>
      <c r="I4833">
        <v>1.610824611219475E-2</v>
      </c>
    </row>
    <row r="4834" spans="1:9" x14ac:dyDescent="0.25">
      <c r="A4834">
        <v>312</v>
      </c>
      <c r="B4834" t="s">
        <v>1960</v>
      </c>
      <c r="C4834" t="s">
        <v>10</v>
      </c>
      <c r="D4834" t="s">
        <v>1968</v>
      </c>
      <c r="E4834">
        <f>1/240</f>
        <v>4.1666666666666666E-3</v>
      </c>
      <c r="F4834">
        <v>1</v>
      </c>
      <c r="G4834">
        <f>LOG(382/(1+1))</f>
        <v>2.2810333672477277</v>
      </c>
      <c r="H4834">
        <f>0.00416666666666666*5.25227342804663</f>
        <v>2.1884472616860922E-2</v>
      </c>
      <c r="I4834">
        <v>2.188447261686096E-2</v>
      </c>
    </row>
    <row r="4835" spans="1:9" x14ac:dyDescent="0.25">
      <c r="A4835">
        <v>312</v>
      </c>
      <c r="B4835" t="s">
        <v>1960</v>
      </c>
      <c r="C4835" t="s">
        <v>10</v>
      </c>
      <c r="D4835" t="s">
        <v>26</v>
      </c>
      <c r="E4835">
        <f>3/240</f>
        <v>1.2500000000000001E-2</v>
      </c>
      <c r="F4835">
        <v>40</v>
      </c>
      <c r="G4835">
        <f>LOG(382/(40+1))</f>
        <v>0.96927950619197323</v>
      </c>
      <c r="H4835">
        <f>0.0125*2.23184854190226</f>
        <v>2.7898106773778249E-2</v>
      </c>
      <c r="I4835">
        <v>2.7898106773778339E-2</v>
      </c>
    </row>
    <row r="4836" spans="1:9" x14ac:dyDescent="0.25">
      <c r="A4836">
        <v>312</v>
      </c>
      <c r="B4836" t="s">
        <v>1960</v>
      </c>
      <c r="C4836" t="s">
        <v>10</v>
      </c>
      <c r="D4836" t="s">
        <v>1969</v>
      </c>
      <c r="E4836">
        <f>1/240</f>
        <v>4.1666666666666666E-3</v>
      </c>
      <c r="F4836">
        <v>1</v>
      </c>
      <c r="G4836">
        <f>LOG(382/(1+1))</f>
        <v>2.2810333672477277</v>
      </c>
      <c r="H4836">
        <f>0.00416666666666666*5.25227342804663</f>
        <v>2.1884472616860922E-2</v>
      </c>
      <c r="I4836">
        <v>2.188447261686096E-2</v>
      </c>
    </row>
    <row r="4837" spans="1:9" x14ac:dyDescent="0.25">
      <c r="A4837">
        <v>312</v>
      </c>
      <c r="B4837" t="s">
        <v>1960</v>
      </c>
      <c r="C4837" t="s">
        <v>10</v>
      </c>
      <c r="D4837" t="s">
        <v>1235</v>
      </c>
      <c r="E4837">
        <f>1/240</f>
        <v>4.1666666666666666E-3</v>
      </c>
      <c r="F4837">
        <v>6</v>
      </c>
      <c r="G4837">
        <f>LOG(382/(6+1))</f>
        <v>1.736965322897452</v>
      </c>
      <c r="H4837">
        <f>0.00416666666666666*3.99951045955126</f>
        <v>1.6664626914796889E-2</v>
      </c>
      <c r="I4837">
        <v>1.6664626914796921E-2</v>
      </c>
    </row>
    <row r="4838" spans="1:9" x14ac:dyDescent="0.25">
      <c r="A4838">
        <v>312</v>
      </c>
      <c r="B4838" t="s">
        <v>1960</v>
      </c>
      <c r="C4838" t="s">
        <v>10</v>
      </c>
      <c r="D4838" t="s">
        <v>901</v>
      </c>
      <c r="E4838">
        <f>1/240</f>
        <v>4.1666666666666666E-3</v>
      </c>
      <c r="F4838">
        <v>2</v>
      </c>
      <c r="G4838">
        <f>LOG(382/(2+1))</f>
        <v>2.1049421081920463</v>
      </c>
      <c r="H4838">
        <f>0.00416666666666666*4.84680831993846</f>
        <v>2.0195034666410216E-2</v>
      </c>
      <c r="I4838">
        <v>2.0195034666410271E-2</v>
      </c>
    </row>
    <row r="4839" spans="1:9" x14ac:dyDescent="0.25">
      <c r="A4839">
        <v>312</v>
      </c>
      <c r="B4839" t="s">
        <v>1960</v>
      </c>
      <c r="C4839" t="s">
        <v>10</v>
      </c>
      <c r="D4839" t="s">
        <v>765</v>
      </c>
      <c r="E4839">
        <f>1/240</f>
        <v>4.1666666666666666E-3</v>
      </c>
      <c r="F4839">
        <v>44</v>
      </c>
      <c r="G4839">
        <f>LOG(382/(44+1))</f>
        <v>0.92885084913636506</v>
      </c>
      <c r="H4839">
        <f>0.00416666666666666*2.13875811883625</f>
        <v>8.911492161817693E-3</v>
      </c>
      <c r="I4839">
        <v>8.9114921618177294E-3</v>
      </c>
    </row>
    <row r="4840" spans="1:9" x14ac:dyDescent="0.25">
      <c r="A4840">
        <v>312</v>
      </c>
      <c r="B4840" t="s">
        <v>1960</v>
      </c>
      <c r="C4840" t="s">
        <v>10</v>
      </c>
      <c r="D4840" t="s">
        <v>596</v>
      </c>
      <c r="E4840">
        <f>1/240</f>
        <v>4.1666666666666666E-3</v>
      </c>
      <c r="F4840">
        <v>60</v>
      </c>
      <c r="G4840">
        <f>LOG(382/(60+1))</f>
        <v>0.79673352790094176</v>
      </c>
      <c r="H4840">
        <f>0.00416666666666666*1.83454674443326</f>
        <v>7.6439447684719039E-3</v>
      </c>
      <c r="I4840">
        <v>7.6439447684719334E-3</v>
      </c>
    </row>
    <row r="4841" spans="1:9" x14ac:dyDescent="0.25">
      <c r="A4841">
        <v>312</v>
      </c>
      <c r="B4841" t="s">
        <v>1960</v>
      </c>
      <c r="C4841" t="s">
        <v>10</v>
      </c>
      <c r="D4841" t="s">
        <v>1465</v>
      </c>
      <c r="E4841">
        <f>3/240</f>
        <v>1.2500000000000001E-2</v>
      </c>
      <c r="F4841">
        <v>5</v>
      </c>
      <c r="G4841">
        <f>LOG(382/(5+1))</f>
        <v>1.803912112528065</v>
      </c>
      <c r="H4841">
        <f>0.0125*4.15366113937852</f>
        <v>5.19207642422315E-2</v>
      </c>
      <c r="I4841">
        <v>5.19207642422315E-2</v>
      </c>
    </row>
    <row r="4842" spans="1:9" x14ac:dyDescent="0.25">
      <c r="A4842">
        <v>312</v>
      </c>
      <c r="B4842" t="s">
        <v>1960</v>
      </c>
      <c r="C4842" t="s">
        <v>10</v>
      </c>
      <c r="D4842" t="s">
        <v>597</v>
      </c>
      <c r="E4842">
        <f>2/240</f>
        <v>8.3333333333333332E-3</v>
      </c>
      <c r="F4842">
        <v>51</v>
      </c>
      <c r="G4842">
        <f>LOG(382/(51+1))</f>
        <v>0.86606001927690957</v>
      </c>
      <c r="H4842">
        <f>0.00833333333333333*1.99417689002514</f>
        <v>1.6618140750209492E-2</v>
      </c>
      <c r="I4842">
        <v>1.6618140750209561E-2</v>
      </c>
    </row>
    <row r="4843" spans="1:9" x14ac:dyDescent="0.25">
      <c r="A4843">
        <v>312</v>
      </c>
      <c r="B4843" t="s">
        <v>1960</v>
      </c>
      <c r="C4843" t="s">
        <v>10</v>
      </c>
      <c r="D4843" t="s">
        <v>754</v>
      </c>
      <c r="E4843">
        <f>1/240</f>
        <v>4.1666666666666666E-3</v>
      </c>
      <c r="F4843">
        <v>111</v>
      </c>
      <c r="G4843">
        <f>LOG(382/(111+1))</f>
        <v>0.53284534024152708</v>
      </c>
      <c r="H4843">
        <f>0.00416666666666666*1.22692173731148</f>
        <v>5.1121739054644918E-3</v>
      </c>
      <c r="I4843">
        <v>5.1121739054645031E-3</v>
      </c>
    </row>
    <row r="4844" spans="1:9" x14ac:dyDescent="0.25">
      <c r="A4844">
        <v>312</v>
      </c>
      <c r="B4844" t="s">
        <v>1960</v>
      </c>
      <c r="C4844" t="s">
        <v>10</v>
      </c>
      <c r="D4844" t="s">
        <v>600</v>
      </c>
      <c r="E4844">
        <f>5/240</f>
        <v>2.0833333333333332E-2</v>
      </c>
      <c r="F4844">
        <v>102</v>
      </c>
      <c r="G4844">
        <f>LOG(382/(102+1))</f>
        <v>0.56922613820653656</v>
      </c>
      <c r="H4844">
        <f>0.0208333333333333*1.31069162037693</f>
        <v>2.7306075424519335E-2</v>
      </c>
      <c r="I4844">
        <v>2.7306075424519571E-2</v>
      </c>
    </row>
    <row r="4845" spans="1:9" x14ac:dyDescent="0.25">
      <c r="A4845">
        <v>312</v>
      </c>
      <c r="B4845" t="s">
        <v>1960</v>
      </c>
      <c r="C4845" t="s">
        <v>10</v>
      </c>
      <c r="D4845" t="s">
        <v>1970</v>
      </c>
      <c r="E4845">
        <f>3/240</f>
        <v>1.2500000000000001E-2</v>
      </c>
      <c r="F4845">
        <v>1</v>
      </c>
      <c r="G4845">
        <f>LOG(382/(1+1))</f>
        <v>2.2810333672477277</v>
      </c>
      <c r="H4845">
        <f>0.0125*5.25227342804663</f>
        <v>6.5653417850582874E-2</v>
      </c>
      <c r="I4845">
        <v>6.5653417850582874E-2</v>
      </c>
    </row>
    <row r="4846" spans="1:9" x14ac:dyDescent="0.25">
      <c r="A4846">
        <v>312</v>
      </c>
      <c r="B4846" t="s">
        <v>1960</v>
      </c>
      <c r="C4846" t="s">
        <v>10</v>
      </c>
      <c r="D4846" t="s">
        <v>1052</v>
      </c>
      <c r="E4846">
        <f>2/240</f>
        <v>8.3333333333333332E-3</v>
      </c>
      <c r="F4846">
        <v>4</v>
      </c>
      <c r="G4846">
        <f>LOG(382/(4+1))</f>
        <v>1.8830933585756899</v>
      </c>
      <c r="H4846">
        <f>0.00833333333333333*4.33598269617247</f>
        <v>3.6133189134770573E-2</v>
      </c>
      <c r="I4846">
        <v>3.6133189134770621E-2</v>
      </c>
    </row>
    <row r="4847" spans="1:9" x14ac:dyDescent="0.25">
      <c r="A4847">
        <v>312</v>
      </c>
      <c r="B4847" t="s">
        <v>1960</v>
      </c>
      <c r="C4847" t="s">
        <v>10</v>
      </c>
      <c r="D4847" t="s">
        <v>830</v>
      </c>
      <c r="E4847">
        <f>1/240</f>
        <v>4.1666666666666666E-3</v>
      </c>
      <c r="F4847">
        <v>19</v>
      </c>
      <c r="G4847">
        <f>LOG(382/(19+1))</f>
        <v>1.2810333672477277</v>
      </c>
      <c r="H4847">
        <f>0.00416666666666666*2.94968833505258</f>
        <v>1.2290368062719062E-2</v>
      </c>
      <c r="I4847">
        <v>1.22903680627191E-2</v>
      </c>
    </row>
    <row r="4848" spans="1:9" x14ac:dyDescent="0.25">
      <c r="A4848">
        <v>312</v>
      </c>
      <c r="B4848" t="s">
        <v>1960</v>
      </c>
      <c r="C4848" t="s">
        <v>10</v>
      </c>
      <c r="D4848" t="s">
        <v>1971</v>
      </c>
      <c r="E4848">
        <f>3/240</f>
        <v>1.2500000000000001E-2</v>
      </c>
      <c r="F4848">
        <v>1</v>
      </c>
      <c r="G4848">
        <f>LOG(382/(1+1))</f>
        <v>2.2810333672477277</v>
      </c>
      <c r="H4848">
        <f>0.0125*5.25227342804663</f>
        <v>6.5653417850582874E-2</v>
      </c>
      <c r="I4848">
        <v>6.5653417850582874E-2</v>
      </c>
    </row>
    <row r="4849" spans="1:9" x14ac:dyDescent="0.25">
      <c r="A4849">
        <v>312</v>
      </c>
      <c r="B4849" t="s">
        <v>1960</v>
      </c>
      <c r="C4849" t="s">
        <v>10</v>
      </c>
      <c r="D4849" t="s">
        <v>1972</v>
      </c>
      <c r="E4849">
        <f>1/240</f>
        <v>4.1666666666666666E-3</v>
      </c>
      <c r="F4849">
        <v>9</v>
      </c>
      <c r="G4849">
        <f>LOG(382/(9+1))</f>
        <v>1.5820633629117087</v>
      </c>
      <c r="H4849">
        <f>0.00416666666666666*3.64283551561252</f>
        <v>1.5178481315052141E-2</v>
      </c>
      <c r="I4849">
        <v>1.5178481315052211E-2</v>
      </c>
    </row>
    <row r="4850" spans="1:9" x14ac:dyDescent="0.25">
      <c r="A4850">
        <v>312</v>
      </c>
      <c r="B4850" t="s">
        <v>1960</v>
      </c>
      <c r="C4850" t="s">
        <v>10</v>
      </c>
      <c r="D4850" t="s">
        <v>573</v>
      </c>
      <c r="E4850">
        <f>1/240</f>
        <v>4.1666666666666666E-3</v>
      </c>
      <c r="F4850">
        <v>14</v>
      </c>
      <c r="G4850">
        <f>LOG(382/(14+1))</f>
        <v>1.4059721038560276</v>
      </c>
      <c r="H4850">
        <f>0.00416666666666666*3.23737040750436</f>
        <v>1.3489043364601477E-2</v>
      </c>
      <c r="I4850">
        <v>1.348904336460152E-2</v>
      </c>
    </row>
    <row r="4851" spans="1:9" x14ac:dyDescent="0.25">
      <c r="A4851">
        <v>312</v>
      </c>
      <c r="B4851" t="s">
        <v>1960</v>
      </c>
      <c r="C4851" t="s">
        <v>10</v>
      </c>
      <c r="D4851" t="s">
        <v>767</v>
      </c>
      <c r="E4851">
        <f>1/240</f>
        <v>4.1666666666666666E-3</v>
      </c>
      <c r="F4851">
        <v>47</v>
      </c>
      <c r="G4851">
        <f>LOG(382/(47+1))</f>
        <v>0.90082212553612151</v>
      </c>
      <c r="H4851">
        <f>0.00416666666666666*2.07421959769868</f>
        <v>8.6425816570778191E-3</v>
      </c>
      <c r="I4851">
        <v>8.6425816570778503E-3</v>
      </c>
    </row>
    <row r="4852" spans="1:9" x14ac:dyDescent="0.25">
      <c r="A4852">
        <v>312</v>
      </c>
      <c r="B4852" t="s">
        <v>1960</v>
      </c>
      <c r="C4852" t="s">
        <v>10</v>
      </c>
      <c r="D4852" t="s">
        <v>335</v>
      </c>
      <c r="E4852">
        <f>1/240</f>
        <v>4.1666666666666666E-3</v>
      </c>
      <c r="F4852">
        <v>7</v>
      </c>
      <c r="G4852">
        <f>LOG(382/(7+1))</f>
        <v>1.6789733759197651</v>
      </c>
      <c r="H4852">
        <f>0.00416666666666666*3.86597906692673</f>
        <v>1.6108246112194684E-2</v>
      </c>
      <c r="I4852">
        <v>1.610824611219475E-2</v>
      </c>
    </row>
    <row r="4853" spans="1:9" x14ac:dyDescent="0.25">
      <c r="A4853">
        <v>312</v>
      </c>
      <c r="B4853" t="s">
        <v>1960</v>
      </c>
      <c r="C4853" t="s">
        <v>10</v>
      </c>
      <c r="D4853" t="s">
        <v>1973</v>
      </c>
      <c r="E4853">
        <f>2/240</f>
        <v>8.3333333333333332E-3</v>
      </c>
      <c r="F4853">
        <v>2</v>
      </c>
      <c r="G4853">
        <f>LOG(382/(2+1))</f>
        <v>2.1049421081920463</v>
      </c>
      <c r="H4853">
        <f>0.00833333333333333*4.84680831993846</f>
        <v>4.039006933282048E-2</v>
      </c>
      <c r="I4853">
        <v>4.0390069332820543E-2</v>
      </c>
    </row>
    <row r="4854" spans="1:9" x14ac:dyDescent="0.25">
      <c r="A4854">
        <v>312</v>
      </c>
      <c r="B4854" t="s">
        <v>1960</v>
      </c>
      <c r="C4854" t="s">
        <v>10</v>
      </c>
      <c r="D4854" t="s">
        <v>1974</v>
      </c>
      <c r="E4854">
        <f>1/240</f>
        <v>4.1666666666666666E-3</v>
      </c>
      <c r="F4854">
        <v>9</v>
      </c>
      <c r="G4854">
        <f>LOG(382/(9+1))</f>
        <v>1.5820633629117087</v>
      </c>
      <c r="H4854">
        <f>0.00416666666666666*3.64283551561252</f>
        <v>1.5178481315052141E-2</v>
      </c>
      <c r="I4854">
        <v>1.5178481315052211E-2</v>
      </c>
    </row>
    <row r="4855" spans="1:9" x14ac:dyDescent="0.25">
      <c r="A4855">
        <v>312</v>
      </c>
      <c r="B4855" t="s">
        <v>1960</v>
      </c>
      <c r="C4855" t="s">
        <v>10</v>
      </c>
      <c r="D4855" t="s">
        <v>786</v>
      </c>
      <c r="E4855">
        <f>1/240</f>
        <v>4.1666666666666666E-3</v>
      </c>
      <c r="F4855">
        <v>11</v>
      </c>
      <c r="G4855">
        <f>LOG(382/(11+1))</f>
        <v>1.5028821168640838</v>
      </c>
      <c r="H4855">
        <f>0.00416666666666666*3.46051395881857</f>
        <v>1.4418808161744017E-2</v>
      </c>
      <c r="I4855">
        <v>1.4418808161744061E-2</v>
      </c>
    </row>
    <row r="4856" spans="1:9" x14ac:dyDescent="0.25">
      <c r="A4856">
        <v>312</v>
      </c>
      <c r="B4856" t="s">
        <v>1960</v>
      </c>
      <c r="C4856" t="s">
        <v>10</v>
      </c>
      <c r="D4856" t="s">
        <v>361</v>
      </c>
      <c r="E4856">
        <f>2/240</f>
        <v>8.3333333333333332E-3</v>
      </c>
      <c r="F4856">
        <v>118</v>
      </c>
      <c r="G4856">
        <f>LOG(382/(118+1))</f>
        <v>0.50651640151917798</v>
      </c>
      <c r="H4856">
        <f>0.00833333333333333*1.16629711549504</f>
        <v>9.7191426291253283E-3</v>
      </c>
      <c r="I4856">
        <v>9.7191426291253821E-3</v>
      </c>
    </row>
    <row r="4857" spans="1:9" x14ac:dyDescent="0.25">
      <c r="A4857">
        <v>312</v>
      </c>
      <c r="B4857" t="s">
        <v>1960</v>
      </c>
      <c r="C4857" t="s">
        <v>10</v>
      </c>
      <c r="D4857" t="s">
        <v>1975</v>
      </c>
      <c r="E4857">
        <f>1/240</f>
        <v>4.1666666666666666E-3</v>
      </c>
      <c r="F4857">
        <v>1</v>
      </c>
      <c r="G4857">
        <f>LOG(382/(1+1))</f>
        <v>2.2810333672477277</v>
      </c>
      <c r="H4857">
        <f>0.00416666666666666*5.25227342804663</f>
        <v>2.1884472616860922E-2</v>
      </c>
      <c r="I4857">
        <v>2.188447261686096E-2</v>
      </c>
    </row>
    <row r="4858" spans="1:9" x14ac:dyDescent="0.25">
      <c r="A4858">
        <v>312</v>
      </c>
      <c r="B4858" t="s">
        <v>1960</v>
      </c>
      <c r="C4858" t="s">
        <v>10</v>
      </c>
      <c r="D4858" t="s">
        <v>157</v>
      </c>
      <c r="E4858">
        <f>7/240</f>
        <v>2.9166666666666667E-2</v>
      </c>
      <c r="F4858">
        <v>16</v>
      </c>
      <c r="G4858">
        <f>LOG(382/(16+1))</f>
        <v>1.3516144415334348</v>
      </c>
      <c r="H4858">
        <f>0.0291666666666666*3.11220726455035</f>
        <v>9.0772711882718335E-2</v>
      </c>
      <c r="I4858">
        <v>9.0772711882718807E-2</v>
      </c>
    </row>
    <row r="4859" spans="1:9" x14ac:dyDescent="0.25">
      <c r="A4859">
        <v>312</v>
      </c>
      <c r="B4859" t="s">
        <v>1960</v>
      </c>
      <c r="C4859" t="s">
        <v>10</v>
      </c>
      <c r="D4859" t="s">
        <v>1976</v>
      </c>
      <c r="E4859">
        <f>1/240</f>
        <v>4.1666666666666666E-3</v>
      </c>
      <c r="F4859">
        <v>1</v>
      </c>
      <c r="G4859">
        <f>LOG(382/(1+1))</f>
        <v>2.2810333672477277</v>
      </c>
      <c r="H4859">
        <f>0.00416666666666666*5.25227342804663</f>
        <v>2.1884472616860922E-2</v>
      </c>
      <c r="I4859">
        <v>2.188447261686096E-2</v>
      </c>
    </row>
    <row r="4860" spans="1:9" x14ac:dyDescent="0.25">
      <c r="A4860">
        <v>312</v>
      </c>
      <c r="B4860" t="s">
        <v>1960</v>
      </c>
      <c r="C4860" t="s">
        <v>10</v>
      </c>
      <c r="D4860" t="s">
        <v>1539</v>
      </c>
      <c r="E4860">
        <f>1/240</f>
        <v>4.1666666666666666E-3</v>
      </c>
      <c r="F4860">
        <v>6</v>
      </c>
      <c r="G4860">
        <f>LOG(382/(6+1))</f>
        <v>1.736965322897452</v>
      </c>
      <c r="H4860">
        <f>0.00416666666666666*3.99951045955126</f>
        <v>1.6664626914796889E-2</v>
      </c>
      <c r="I4860">
        <v>1.6664626914796921E-2</v>
      </c>
    </row>
    <row r="4861" spans="1:9" x14ac:dyDescent="0.25">
      <c r="A4861">
        <v>312</v>
      </c>
      <c r="B4861" t="s">
        <v>1960</v>
      </c>
      <c r="C4861" t="s">
        <v>10</v>
      </c>
      <c r="D4861" t="s">
        <v>1977</v>
      </c>
      <c r="E4861">
        <f>1/240</f>
        <v>4.1666666666666666E-3</v>
      </c>
      <c r="F4861">
        <v>2</v>
      </c>
      <c r="G4861">
        <f>LOG(382/(2+1))</f>
        <v>2.1049421081920463</v>
      </c>
      <c r="H4861">
        <f>0.00416666666666666*4.84680831993846</f>
        <v>2.0195034666410216E-2</v>
      </c>
      <c r="I4861">
        <v>2.0195034666410271E-2</v>
      </c>
    </row>
    <row r="4862" spans="1:9" x14ac:dyDescent="0.25">
      <c r="A4862">
        <v>312</v>
      </c>
      <c r="B4862" t="s">
        <v>1960</v>
      </c>
      <c r="C4862" t="s">
        <v>10</v>
      </c>
      <c r="D4862" t="s">
        <v>40</v>
      </c>
      <c r="E4862">
        <f>2/240</f>
        <v>8.3333333333333332E-3</v>
      </c>
      <c r="F4862">
        <v>159</v>
      </c>
      <c r="G4862">
        <f>LOG(382/(159+1))</f>
        <v>0.377943380255784</v>
      </c>
      <c r="H4862">
        <f>0.00833333333333333*0.870246793372748</f>
        <v>7.2520566114395637E-3</v>
      </c>
      <c r="I4862">
        <v>7.2520566114395698E-3</v>
      </c>
    </row>
    <row r="4863" spans="1:9" x14ac:dyDescent="0.25">
      <c r="A4863">
        <v>312</v>
      </c>
      <c r="B4863" t="s">
        <v>1960</v>
      </c>
      <c r="C4863" t="s">
        <v>10</v>
      </c>
      <c r="D4863" t="s">
        <v>776</v>
      </c>
      <c r="E4863">
        <f>2/240</f>
        <v>8.3333333333333332E-3</v>
      </c>
      <c r="F4863">
        <v>15</v>
      </c>
      <c r="G4863">
        <f>LOG(382/(15+1))</f>
        <v>1.3779433802557839</v>
      </c>
      <c r="H4863">
        <f>0.00833333333333333*3.17283188636679</f>
        <v>2.644026571972324E-2</v>
      </c>
      <c r="I4863">
        <v>2.6440265719723289E-2</v>
      </c>
    </row>
    <row r="4864" spans="1:9" x14ac:dyDescent="0.25">
      <c r="A4864">
        <v>312</v>
      </c>
      <c r="B4864" t="s">
        <v>1960</v>
      </c>
      <c r="C4864" t="s">
        <v>10</v>
      </c>
      <c r="D4864" t="s">
        <v>1480</v>
      </c>
      <c r="E4864">
        <f>1/240</f>
        <v>4.1666666666666666E-3</v>
      </c>
      <c r="F4864">
        <v>11</v>
      </c>
      <c r="G4864">
        <f>LOG(382/(11+1))</f>
        <v>1.5028821168640838</v>
      </c>
      <c r="H4864">
        <f>0.00416666666666666*3.46051395881857</f>
        <v>1.4418808161744017E-2</v>
      </c>
      <c r="I4864">
        <v>1.4418808161744061E-2</v>
      </c>
    </row>
    <row r="4865" spans="1:9" x14ac:dyDescent="0.25">
      <c r="A4865">
        <v>312</v>
      </c>
      <c r="B4865" t="s">
        <v>1960</v>
      </c>
      <c r="C4865" t="s">
        <v>10</v>
      </c>
      <c r="D4865" t="s">
        <v>1407</v>
      </c>
      <c r="E4865">
        <f>2/240</f>
        <v>8.3333333333333332E-3</v>
      </c>
      <c r="F4865">
        <v>16</v>
      </c>
      <c r="G4865">
        <f>LOG(382/(16+1))</f>
        <v>1.3516144415334348</v>
      </c>
      <c r="H4865">
        <f>0.00833333333333333*3.11220726455035</f>
        <v>2.5935060537919569E-2</v>
      </c>
      <c r="I4865">
        <v>2.593506053791966E-2</v>
      </c>
    </row>
    <row r="4866" spans="1:9" x14ac:dyDescent="0.25">
      <c r="A4866">
        <v>312</v>
      </c>
      <c r="B4866" t="s">
        <v>1960</v>
      </c>
      <c r="C4866" t="s">
        <v>10</v>
      </c>
      <c r="D4866" t="s">
        <v>1478</v>
      </c>
      <c r="E4866">
        <f>2/240</f>
        <v>8.3333333333333332E-3</v>
      </c>
      <c r="F4866">
        <v>17</v>
      </c>
      <c r="G4866">
        <f>LOG(382/(17+1))</f>
        <v>1.3267908578084027</v>
      </c>
      <c r="H4866">
        <f>0.00833333333333333*3.05504885071041</f>
        <v>2.5458740422586737E-2</v>
      </c>
      <c r="I4866">
        <v>2.5458740422586751E-2</v>
      </c>
    </row>
    <row r="4867" spans="1:9" x14ac:dyDescent="0.25">
      <c r="A4867">
        <v>312</v>
      </c>
      <c r="B4867" t="s">
        <v>1960</v>
      </c>
      <c r="C4867" t="s">
        <v>10</v>
      </c>
      <c r="D4867" t="s">
        <v>829</v>
      </c>
      <c r="E4867">
        <f>1/240</f>
        <v>4.1666666666666666E-3</v>
      </c>
      <c r="F4867">
        <v>4</v>
      </c>
      <c r="G4867">
        <f>LOG(382/(4+1))</f>
        <v>1.8830933585756899</v>
      </c>
      <c r="H4867">
        <f>0.00416666666666666*4.33598269617247</f>
        <v>1.8066594567385262E-2</v>
      </c>
      <c r="I4867">
        <v>1.8066594567385311E-2</v>
      </c>
    </row>
    <row r="4868" spans="1:9" x14ac:dyDescent="0.25">
      <c r="A4868">
        <v>312</v>
      </c>
      <c r="B4868" t="s">
        <v>1960</v>
      </c>
      <c r="C4868" t="s">
        <v>10</v>
      </c>
      <c r="D4868" t="s">
        <v>475</v>
      </c>
      <c r="E4868">
        <f>2/240</f>
        <v>8.3333333333333332E-3</v>
      </c>
      <c r="F4868">
        <v>16</v>
      </c>
      <c r="G4868">
        <f>LOG(382/(16+1))</f>
        <v>1.3516144415334348</v>
      </c>
      <c r="H4868">
        <f>0.00833333333333333*3.11220726455035</f>
        <v>2.5935060537919569E-2</v>
      </c>
      <c r="I4868">
        <v>2.593506053791966E-2</v>
      </c>
    </row>
    <row r="4869" spans="1:9" x14ac:dyDescent="0.25">
      <c r="A4869">
        <v>312</v>
      </c>
      <c r="B4869" t="s">
        <v>1960</v>
      </c>
      <c r="C4869" t="s">
        <v>10</v>
      </c>
      <c r="D4869" t="s">
        <v>688</v>
      </c>
      <c r="E4869">
        <f>1/240</f>
        <v>4.1666666666666666E-3</v>
      </c>
      <c r="F4869">
        <v>23</v>
      </c>
      <c r="G4869">
        <f>LOG(382/(23+1))</f>
        <v>1.2018521212001028</v>
      </c>
      <c r="H4869">
        <f>0.00416666666666666*2.76736677825862</f>
        <v>1.1530694909410898E-2</v>
      </c>
      <c r="I4869">
        <v>1.1530694909410961E-2</v>
      </c>
    </row>
    <row r="4870" spans="1:9" x14ac:dyDescent="0.25">
      <c r="A4870">
        <v>312</v>
      </c>
      <c r="B4870" t="s">
        <v>1960</v>
      </c>
      <c r="C4870" t="s">
        <v>10</v>
      </c>
      <c r="D4870" t="s">
        <v>1978</v>
      </c>
      <c r="E4870">
        <f>1/240</f>
        <v>4.1666666666666666E-3</v>
      </c>
      <c r="F4870">
        <v>1</v>
      </c>
      <c r="G4870">
        <f>LOG(382/(1+1))</f>
        <v>2.2810333672477277</v>
      </c>
      <c r="H4870">
        <f>0.00416666666666666*5.25227342804663</f>
        <v>2.1884472616860922E-2</v>
      </c>
      <c r="I4870">
        <v>2.188447261686096E-2</v>
      </c>
    </row>
    <row r="4871" spans="1:9" x14ac:dyDescent="0.25">
      <c r="A4871">
        <v>312</v>
      </c>
      <c r="B4871" t="s">
        <v>1960</v>
      </c>
      <c r="C4871" t="s">
        <v>10</v>
      </c>
      <c r="D4871" t="s">
        <v>1979</v>
      </c>
      <c r="E4871">
        <f>1/240</f>
        <v>4.1666666666666666E-3</v>
      </c>
      <c r="F4871">
        <v>1</v>
      </c>
      <c r="G4871">
        <f>LOG(382/(1+1))</f>
        <v>2.2810333672477277</v>
      </c>
      <c r="H4871">
        <f>0.00416666666666666*5.25227342804663</f>
        <v>2.1884472616860922E-2</v>
      </c>
      <c r="I4871">
        <v>2.188447261686096E-2</v>
      </c>
    </row>
    <row r="4872" spans="1:9" x14ac:dyDescent="0.25">
      <c r="A4872">
        <v>312</v>
      </c>
      <c r="B4872" t="s">
        <v>1960</v>
      </c>
      <c r="C4872" t="s">
        <v>10</v>
      </c>
      <c r="D4872" t="s">
        <v>591</v>
      </c>
      <c r="E4872">
        <f>2/240</f>
        <v>8.3333333333333332E-3</v>
      </c>
      <c r="F4872">
        <v>21</v>
      </c>
      <c r="G4872">
        <f>LOG(382/(21+1))</f>
        <v>1.2396406820895025</v>
      </c>
      <c r="H4872">
        <f>0.00833333333333333*2.85437815524825</f>
        <v>2.3786484627068737E-2</v>
      </c>
      <c r="I4872">
        <v>2.3786484627068831E-2</v>
      </c>
    </row>
    <row r="4873" spans="1:9" x14ac:dyDescent="0.25">
      <c r="A4873">
        <v>312</v>
      </c>
      <c r="B4873" t="s">
        <v>1960</v>
      </c>
      <c r="C4873" t="s">
        <v>10</v>
      </c>
      <c r="D4873" t="s">
        <v>648</v>
      </c>
      <c r="E4873">
        <f>1/240</f>
        <v>4.1666666666666666E-3</v>
      </c>
      <c r="F4873">
        <v>4</v>
      </c>
      <c r="G4873">
        <f>LOG(382/(4+1))</f>
        <v>1.8830933585756899</v>
      </c>
      <c r="H4873">
        <f>0.00416666666666666*4.33598269617247</f>
        <v>1.8066594567385262E-2</v>
      </c>
      <c r="I4873">
        <v>1.8066594567385311E-2</v>
      </c>
    </row>
    <row r="4874" spans="1:9" x14ac:dyDescent="0.25">
      <c r="A4874">
        <v>312</v>
      </c>
      <c r="B4874" t="s">
        <v>1960</v>
      </c>
      <c r="C4874" t="s">
        <v>10</v>
      </c>
      <c r="D4874" t="s">
        <v>815</v>
      </c>
      <c r="E4874">
        <f>1/240</f>
        <v>4.1666666666666666E-3</v>
      </c>
      <c r="F4874">
        <v>5</v>
      </c>
      <c r="G4874">
        <f>LOG(382/(5+1))</f>
        <v>1.803912112528065</v>
      </c>
      <c r="H4874">
        <f>0.00416666666666666*4.15366113937852</f>
        <v>1.7306921414077137E-2</v>
      </c>
      <c r="I4874">
        <v>1.7306921414077161E-2</v>
      </c>
    </row>
    <row r="4875" spans="1:9" x14ac:dyDescent="0.25">
      <c r="A4875">
        <v>312</v>
      </c>
      <c r="B4875" t="s">
        <v>1960</v>
      </c>
      <c r="C4875" t="s">
        <v>10</v>
      </c>
      <c r="D4875" t="s">
        <v>1683</v>
      </c>
      <c r="E4875">
        <f>3/240</f>
        <v>1.2500000000000001E-2</v>
      </c>
      <c r="F4875">
        <v>2</v>
      </c>
      <c r="G4875">
        <f>LOG(382/(2+1))</f>
        <v>2.1049421081920463</v>
      </c>
      <c r="H4875">
        <f>0.0125*4.84680831993846</f>
        <v>6.0585103999230755E-2</v>
      </c>
      <c r="I4875">
        <v>6.0585103999230817E-2</v>
      </c>
    </row>
    <row r="4876" spans="1:9" x14ac:dyDescent="0.25">
      <c r="A4876">
        <v>312</v>
      </c>
      <c r="B4876" t="s">
        <v>1960</v>
      </c>
      <c r="C4876" t="s">
        <v>10</v>
      </c>
      <c r="D4876" t="s">
        <v>338</v>
      </c>
      <c r="E4876">
        <f t="shared" ref="E4876:E4888" si="218">1/240</f>
        <v>4.1666666666666666E-3</v>
      </c>
      <c r="F4876">
        <v>54</v>
      </c>
      <c r="G4876">
        <f>LOG(382/(54+1))</f>
        <v>0.84170067341746491</v>
      </c>
      <c r="H4876">
        <f>0.00416666666666666*1.9380874233741</f>
        <v>8.0753642640587365E-3</v>
      </c>
      <c r="I4876">
        <v>8.0753642640587677E-3</v>
      </c>
    </row>
    <row r="4877" spans="1:9" x14ac:dyDescent="0.25">
      <c r="A4877">
        <v>312</v>
      </c>
      <c r="B4877" t="s">
        <v>1960</v>
      </c>
      <c r="C4877" t="s">
        <v>10</v>
      </c>
      <c r="D4877" t="s">
        <v>1980</v>
      </c>
      <c r="E4877">
        <f t="shared" si="218"/>
        <v>4.1666666666666666E-3</v>
      </c>
      <c r="F4877">
        <v>1</v>
      </c>
      <c r="G4877">
        <f>LOG(382/(1+1))</f>
        <v>2.2810333672477277</v>
      </c>
      <c r="H4877">
        <f>0.00416666666666666*5.25227342804663</f>
        <v>2.1884472616860922E-2</v>
      </c>
      <c r="I4877">
        <v>2.188447261686096E-2</v>
      </c>
    </row>
    <row r="4878" spans="1:9" x14ac:dyDescent="0.25">
      <c r="A4878">
        <v>312</v>
      </c>
      <c r="B4878" t="s">
        <v>1960</v>
      </c>
      <c r="C4878" t="s">
        <v>10</v>
      </c>
      <c r="D4878" t="s">
        <v>1981</v>
      </c>
      <c r="E4878">
        <f t="shared" si="218"/>
        <v>4.1666666666666666E-3</v>
      </c>
      <c r="F4878">
        <v>1</v>
      </c>
      <c r="G4878">
        <f>LOG(382/(1+1))</f>
        <v>2.2810333672477277</v>
      </c>
      <c r="H4878">
        <f>0.00416666666666666*5.25227342804663</f>
        <v>2.1884472616860922E-2</v>
      </c>
      <c r="I4878">
        <v>2.188447261686096E-2</v>
      </c>
    </row>
    <row r="4879" spans="1:9" x14ac:dyDescent="0.25">
      <c r="A4879">
        <v>312</v>
      </c>
      <c r="B4879" t="s">
        <v>1960</v>
      </c>
      <c r="C4879" t="s">
        <v>10</v>
      </c>
      <c r="D4879" t="s">
        <v>1982</v>
      </c>
      <c r="E4879">
        <f t="shared" si="218"/>
        <v>4.1666666666666666E-3</v>
      </c>
      <c r="F4879">
        <v>3</v>
      </c>
      <c r="G4879">
        <f>LOG(382/(3+1))</f>
        <v>1.9800033715837464</v>
      </c>
      <c r="H4879">
        <f>0.00416666666666666*4.55912624748668</f>
        <v>1.8996359364527801E-2</v>
      </c>
      <c r="I4879">
        <v>1.899635936452785E-2</v>
      </c>
    </row>
    <row r="4880" spans="1:9" x14ac:dyDescent="0.25">
      <c r="A4880">
        <v>312</v>
      </c>
      <c r="B4880" t="s">
        <v>1960</v>
      </c>
      <c r="C4880" t="s">
        <v>10</v>
      </c>
      <c r="D4880" t="s">
        <v>218</v>
      </c>
      <c r="E4880">
        <f t="shared" si="218"/>
        <v>4.1666666666666666E-3</v>
      </c>
      <c r="F4880">
        <v>35</v>
      </c>
      <c r="G4880">
        <f>LOG(382/(35+1))</f>
        <v>1.0257608621444214</v>
      </c>
      <c r="H4880">
        <f>0.00416666666666666*2.36190167015046</f>
        <v>9.8412569589602338E-3</v>
      </c>
      <c r="I4880">
        <v>9.8412569589602702E-3</v>
      </c>
    </row>
    <row r="4881" spans="1:9" x14ac:dyDescent="0.25">
      <c r="A4881">
        <v>312</v>
      </c>
      <c r="B4881" t="s">
        <v>1960</v>
      </c>
      <c r="C4881" t="s">
        <v>10</v>
      </c>
      <c r="D4881" t="s">
        <v>1983</v>
      </c>
      <c r="E4881">
        <f t="shared" si="218"/>
        <v>4.1666666666666666E-3</v>
      </c>
      <c r="F4881">
        <v>2</v>
      </c>
      <c r="G4881">
        <f>LOG(382/(2+1))</f>
        <v>2.1049421081920463</v>
      </c>
      <c r="H4881">
        <f>0.00416666666666666*4.84680831993846</f>
        <v>2.0195034666410216E-2</v>
      </c>
      <c r="I4881">
        <v>2.0195034666410271E-2</v>
      </c>
    </row>
    <row r="4882" spans="1:9" x14ac:dyDescent="0.25">
      <c r="A4882">
        <v>312</v>
      </c>
      <c r="B4882" t="s">
        <v>1960</v>
      </c>
      <c r="C4882" t="s">
        <v>10</v>
      </c>
      <c r="D4882" t="s">
        <v>1874</v>
      </c>
      <c r="E4882">
        <f t="shared" si="218"/>
        <v>4.1666666666666666E-3</v>
      </c>
      <c r="F4882">
        <v>2</v>
      </c>
      <c r="G4882">
        <f>LOG(382/(2+1))</f>
        <v>2.1049421081920463</v>
      </c>
      <c r="H4882">
        <f>0.00416666666666666*4.84680831993846</f>
        <v>2.0195034666410216E-2</v>
      </c>
      <c r="I4882">
        <v>2.0195034666410271E-2</v>
      </c>
    </row>
    <row r="4883" spans="1:9" x14ac:dyDescent="0.25">
      <c r="A4883">
        <v>312</v>
      </c>
      <c r="B4883" t="s">
        <v>1960</v>
      </c>
      <c r="C4883" t="s">
        <v>10</v>
      </c>
      <c r="D4883" t="s">
        <v>1984</v>
      </c>
      <c r="E4883">
        <f t="shared" si="218"/>
        <v>4.1666666666666666E-3</v>
      </c>
      <c r="F4883">
        <v>7</v>
      </c>
      <c r="G4883">
        <f>LOG(382/(7+1))</f>
        <v>1.6789733759197651</v>
      </c>
      <c r="H4883">
        <f>0.00416666666666666*3.86597906692673</f>
        <v>1.6108246112194684E-2</v>
      </c>
      <c r="I4883">
        <v>1.610824611219475E-2</v>
      </c>
    </row>
    <row r="4884" spans="1:9" x14ac:dyDescent="0.25">
      <c r="A4884">
        <v>312</v>
      </c>
      <c r="B4884" t="s">
        <v>1960</v>
      </c>
      <c r="C4884" t="s">
        <v>10</v>
      </c>
      <c r="D4884" t="s">
        <v>1414</v>
      </c>
      <c r="E4884">
        <f t="shared" si="218"/>
        <v>4.1666666666666666E-3</v>
      </c>
      <c r="F4884">
        <v>3</v>
      </c>
      <c r="G4884">
        <f>LOG(382/(3+1))</f>
        <v>1.9800033715837464</v>
      </c>
      <c r="H4884">
        <f>0.00416666666666666*4.55912624748668</f>
        <v>1.8996359364527801E-2</v>
      </c>
      <c r="I4884">
        <v>1.899635936452785E-2</v>
      </c>
    </row>
    <row r="4885" spans="1:9" x14ac:dyDescent="0.25">
      <c r="A4885">
        <v>312</v>
      </c>
      <c r="B4885" t="s">
        <v>1960</v>
      </c>
      <c r="C4885" t="s">
        <v>10</v>
      </c>
      <c r="D4885" t="s">
        <v>1230</v>
      </c>
      <c r="E4885">
        <f t="shared" si="218"/>
        <v>4.1666666666666666E-3</v>
      </c>
      <c r="F4885">
        <v>10</v>
      </c>
      <c r="G4885">
        <f>LOG(382/(10+1))</f>
        <v>1.5406706777534838</v>
      </c>
      <c r="H4885">
        <f>0.00416666666666666*3.5475253358082</f>
        <v>1.4781355565867476E-2</v>
      </c>
      <c r="I4885">
        <v>1.4781355565867521E-2</v>
      </c>
    </row>
    <row r="4886" spans="1:9" x14ac:dyDescent="0.25">
      <c r="A4886">
        <v>312</v>
      </c>
      <c r="B4886" t="s">
        <v>1960</v>
      </c>
      <c r="C4886" t="s">
        <v>10</v>
      </c>
      <c r="D4886" t="s">
        <v>898</v>
      </c>
      <c r="E4886">
        <f t="shared" si="218"/>
        <v>4.1666666666666666E-3</v>
      </c>
      <c r="F4886">
        <v>22</v>
      </c>
      <c r="G4886">
        <f>LOG(382/(22+1))</f>
        <v>1.2203355268941158</v>
      </c>
      <c r="H4886">
        <f>0.00416666666666666*2.80992639267742</f>
        <v>1.1708026636155897E-2</v>
      </c>
      <c r="I4886">
        <v>1.170802663615594E-2</v>
      </c>
    </row>
    <row r="4887" spans="1:9" x14ac:dyDescent="0.25">
      <c r="A4887">
        <v>312</v>
      </c>
      <c r="B4887" t="s">
        <v>1960</v>
      </c>
      <c r="C4887" t="s">
        <v>10</v>
      </c>
      <c r="D4887" t="s">
        <v>81</v>
      </c>
      <c r="E4887">
        <f t="shared" si="218"/>
        <v>4.1666666666666666E-3</v>
      </c>
      <c r="F4887">
        <v>114</v>
      </c>
      <c r="G4887">
        <f>LOG(382/(114+1))</f>
        <v>0.52136552255809698</v>
      </c>
      <c r="H4887">
        <f>0.00416666666666666*1.20048848024332</f>
        <v>5.0020353343471586E-3</v>
      </c>
      <c r="I4887">
        <v>5.0020353343471881E-3</v>
      </c>
    </row>
    <row r="4888" spans="1:9" x14ac:dyDescent="0.25">
      <c r="A4888">
        <v>312</v>
      </c>
      <c r="B4888" t="s">
        <v>1960</v>
      </c>
      <c r="C4888" t="s">
        <v>10</v>
      </c>
      <c r="D4888" t="s">
        <v>593</v>
      </c>
      <c r="E4888">
        <f t="shared" si="218"/>
        <v>4.1666666666666666E-3</v>
      </c>
      <c r="F4888">
        <v>30</v>
      </c>
      <c r="G4888">
        <f>LOG(382/(30+1))</f>
        <v>1.090701669077436</v>
      </c>
      <c r="H4888">
        <f>0.00416666666666666*2.51143340412142</f>
        <v>1.04643058505059E-2</v>
      </c>
      <c r="I4888">
        <v>1.0464305850505951E-2</v>
      </c>
    </row>
    <row r="4889" spans="1:9" x14ac:dyDescent="0.25">
      <c r="A4889">
        <v>312</v>
      </c>
      <c r="B4889" t="s">
        <v>1960</v>
      </c>
      <c r="C4889" t="s">
        <v>10</v>
      </c>
      <c r="D4889" t="s">
        <v>594</v>
      </c>
      <c r="E4889">
        <f>2/240</f>
        <v>8.3333333333333332E-3</v>
      </c>
      <c r="F4889">
        <v>36</v>
      </c>
      <c r="G4889">
        <f>LOG(382/(36+1))</f>
        <v>1.0138616388447137</v>
      </c>
      <c r="H4889">
        <f>0.00833333333333333*2.33450269596235</f>
        <v>1.9454189133019575E-2</v>
      </c>
      <c r="I4889">
        <v>1.9454189133019589E-2</v>
      </c>
    </row>
    <row r="4890" spans="1:9" x14ac:dyDescent="0.25">
      <c r="A4890">
        <v>312</v>
      </c>
      <c r="B4890" t="s">
        <v>1960</v>
      </c>
      <c r="C4890" t="s">
        <v>10</v>
      </c>
      <c r="D4890" t="s">
        <v>1934</v>
      </c>
      <c r="E4890">
        <f>1/240</f>
        <v>4.1666666666666666E-3</v>
      </c>
      <c r="F4890">
        <v>3</v>
      </c>
      <c r="G4890">
        <f>LOG(382/(3+1))</f>
        <v>1.9800033715837464</v>
      </c>
      <c r="H4890">
        <f>0.00416666666666666*4.55912624748668</f>
        <v>1.8996359364527801E-2</v>
      </c>
      <c r="I4890">
        <v>1.899635936452785E-2</v>
      </c>
    </row>
    <row r="4891" spans="1:9" x14ac:dyDescent="0.25">
      <c r="A4891">
        <v>312</v>
      </c>
      <c r="B4891" t="s">
        <v>1960</v>
      </c>
      <c r="C4891" t="s">
        <v>10</v>
      </c>
      <c r="D4891" t="s">
        <v>1854</v>
      </c>
      <c r="E4891">
        <f>1/240</f>
        <v>4.1666666666666666E-3</v>
      </c>
      <c r="F4891">
        <v>9</v>
      </c>
      <c r="G4891">
        <f>LOG(382/(9+1))</f>
        <v>1.5820633629117087</v>
      </c>
      <c r="H4891">
        <f>0.00416666666666666*3.64283551561252</f>
        <v>1.5178481315052141E-2</v>
      </c>
      <c r="I4891">
        <v>1.5178481315052211E-2</v>
      </c>
    </row>
    <row r="4892" spans="1:9" x14ac:dyDescent="0.25">
      <c r="A4892">
        <v>312</v>
      </c>
      <c r="B4892" t="s">
        <v>1960</v>
      </c>
      <c r="C4892" t="s">
        <v>10</v>
      </c>
      <c r="D4892" t="s">
        <v>1985</v>
      </c>
      <c r="E4892">
        <f>1/240</f>
        <v>4.1666666666666666E-3</v>
      </c>
      <c r="F4892">
        <v>8</v>
      </c>
      <c r="G4892">
        <f>LOG(382/(8+1))</f>
        <v>1.6278208534723839</v>
      </c>
      <c r="H4892">
        <f>0.00416666666666666*3.74819603127035</f>
        <v>1.5617483463626432E-2</v>
      </c>
      <c r="I4892">
        <v>1.5617483463626481E-2</v>
      </c>
    </row>
    <row r="4893" spans="1:9" x14ac:dyDescent="0.25">
      <c r="A4893">
        <v>312</v>
      </c>
      <c r="B4893" t="s">
        <v>1960</v>
      </c>
      <c r="C4893" t="s">
        <v>10</v>
      </c>
      <c r="D4893" t="s">
        <v>1986</v>
      </c>
      <c r="E4893">
        <f>2/240</f>
        <v>8.3333333333333332E-3</v>
      </c>
      <c r="F4893">
        <v>5</v>
      </c>
      <c r="G4893">
        <f>LOG(382/(5+1))</f>
        <v>1.803912112528065</v>
      </c>
      <c r="H4893">
        <f>0.00833333333333333*4.15366113937852</f>
        <v>3.4613842828154315E-2</v>
      </c>
      <c r="I4893">
        <v>3.4613842828154329E-2</v>
      </c>
    </row>
    <row r="4894" spans="1:9" x14ac:dyDescent="0.25">
      <c r="A4894">
        <v>312</v>
      </c>
      <c r="B4894" t="s">
        <v>1960</v>
      </c>
      <c r="C4894" t="s">
        <v>10</v>
      </c>
      <c r="D4894" t="s">
        <v>1987</v>
      </c>
      <c r="E4894">
        <f t="shared" ref="E4894:E4906" si="219">1/240</f>
        <v>4.1666666666666666E-3</v>
      </c>
      <c r="F4894">
        <v>1</v>
      </c>
      <c r="G4894">
        <f>LOG(382/(1+1))</f>
        <v>2.2810333672477277</v>
      </c>
      <c r="H4894">
        <f>0.00416666666666666*5.25227342804663</f>
        <v>2.1884472616860922E-2</v>
      </c>
      <c r="I4894">
        <v>2.188447261686096E-2</v>
      </c>
    </row>
    <row r="4895" spans="1:9" x14ac:dyDescent="0.25">
      <c r="A4895">
        <v>312</v>
      </c>
      <c r="B4895" t="s">
        <v>1960</v>
      </c>
      <c r="C4895" t="s">
        <v>10</v>
      </c>
      <c r="D4895" t="s">
        <v>994</v>
      </c>
      <c r="E4895">
        <f t="shared" si="219"/>
        <v>4.1666666666666666E-3</v>
      </c>
      <c r="F4895">
        <v>37</v>
      </c>
      <c r="G4895">
        <f>LOG(382/(37+1))</f>
        <v>1.0022797662948986</v>
      </c>
      <c r="H4895">
        <f>0.00416666666666666*2.30783444888018</f>
        <v>9.615976870334067E-3</v>
      </c>
      <c r="I4895">
        <v>9.6159768703341208E-3</v>
      </c>
    </row>
    <row r="4896" spans="1:9" x14ac:dyDescent="0.25">
      <c r="A4896">
        <v>312</v>
      </c>
      <c r="B4896" t="s">
        <v>1960</v>
      </c>
      <c r="C4896" t="s">
        <v>10</v>
      </c>
      <c r="D4896" t="s">
        <v>1988</v>
      </c>
      <c r="E4896">
        <f t="shared" si="219"/>
        <v>4.1666666666666666E-3</v>
      </c>
      <c r="F4896">
        <v>1</v>
      </c>
      <c r="G4896">
        <f>LOG(382/(1+1))</f>
        <v>2.2810333672477277</v>
      </c>
      <c r="H4896">
        <f>0.00416666666666666*5.25227342804663</f>
        <v>2.1884472616860922E-2</v>
      </c>
      <c r="I4896">
        <v>2.188447261686096E-2</v>
      </c>
    </row>
    <row r="4897" spans="1:9" x14ac:dyDescent="0.25">
      <c r="A4897">
        <v>312</v>
      </c>
      <c r="B4897" t="s">
        <v>1960</v>
      </c>
      <c r="C4897" t="s">
        <v>10</v>
      </c>
      <c r="D4897" t="s">
        <v>1989</v>
      </c>
      <c r="E4897">
        <f t="shared" si="219"/>
        <v>4.1666666666666666E-3</v>
      </c>
      <c r="F4897">
        <v>1</v>
      </c>
      <c r="G4897">
        <f>LOG(382/(1+1))</f>
        <v>2.2810333672477277</v>
      </c>
      <c r="H4897">
        <f>0.00416666666666666*5.25227342804663</f>
        <v>2.1884472616860922E-2</v>
      </c>
      <c r="I4897">
        <v>2.188447261686096E-2</v>
      </c>
    </row>
    <row r="4898" spans="1:9" x14ac:dyDescent="0.25">
      <c r="A4898">
        <v>312</v>
      </c>
      <c r="B4898" t="s">
        <v>1960</v>
      </c>
      <c r="C4898" t="s">
        <v>10</v>
      </c>
      <c r="D4898" t="s">
        <v>1224</v>
      </c>
      <c r="E4898">
        <f t="shared" si="219"/>
        <v>4.1666666666666666E-3</v>
      </c>
      <c r="F4898">
        <v>11</v>
      </c>
      <c r="G4898">
        <f>LOG(382/(11+1))</f>
        <v>1.5028821168640838</v>
      </c>
      <c r="H4898">
        <f>0.00416666666666666*3.46051395881857</f>
        <v>1.4418808161744017E-2</v>
      </c>
      <c r="I4898">
        <v>1.4418808161744061E-2</v>
      </c>
    </row>
    <row r="4899" spans="1:9" x14ac:dyDescent="0.25">
      <c r="A4899">
        <v>312</v>
      </c>
      <c r="B4899" t="s">
        <v>1960</v>
      </c>
      <c r="C4899" t="s">
        <v>10</v>
      </c>
      <c r="D4899" t="s">
        <v>1990</v>
      </c>
      <c r="E4899">
        <f t="shared" si="219"/>
        <v>4.1666666666666666E-3</v>
      </c>
      <c r="F4899">
        <v>1</v>
      </c>
      <c r="G4899">
        <f>LOG(382/(1+1))</f>
        <v>2.2810333672477277</v>
      </c>
      <c r="H4899">
        <f>0.00416666666666666*5.25227342804663</f>
        <v>2.1884472616860922E-2</v>
      </c>
      <c r="I4899">
        <v>2.188447261686096E-2</v>
      </c>
    </row>
    <row r="4900" spans="1:9" x14ac:dyDescent="0.25">
      <c r="A4900">
        <v>312</v>
      </c>
      <c r="B4900" t="s">
        <v>1960</v>
      </c>
      <c r="C4900" t="s">
        <v>10</v>
      </c>
      <c r="D4900" t="s">
        <v>1991</v>
      </c>
      <c r="E4900">
        <f t="shared" si="219"/>
        <v>4.1666666666666666E-3</v>
      </c>
      <c r="F4900">
        <v>2</v>
      </c>
      <c r="G4900">
        <f>LOG(382/(2+1))</f>
        <v>2.1049421081920463</v>
      </c>
      <c r="H4900">
        <f>0.00416666666666666*4.84680831993846</f>
        <v>2.0195034666410216E-2</v>
      </c>
      <c r="I4900">
        <v>2.0195034666410271E-2</v>
      </c>
    </row>
    <row r="4901" spans="1:9" x14ac:dyDescent="0.25">
      <c r="A4901">
        <v>312</v>
      </c>
      <c r="B4901" t="s">
        <v>1960</v>
      </c>
      <c r="C4901" t="s">
        <v>10</v>
      </c>
      <c r="D4901" t="s">
        <v>1042</v>
      </c>
      <c r="E4901">
        <f t="shared" si="219"/>
        <v>4.1666666666666666E-3</v>
      </c>
      <c r="F4901">
        <v>3</v>
      </c>
      <c r="G4901">
        <f>LOG(382/(3+1))</f>
        <v>1.9800033715837464</v>
      </c>
      <c r="H4901">
        <f>0.00416666666666666*4.55912624748668</f>
        <v>1.8996359364527801E-2</v>
      </c>
      <c r="I4901">
        <v>1.899635936452785E-2</v>
      </c>
    </row>
    <row r="4902" spans="1:9" x14ac:dyDescent="0.25">
      <c r="A4902">
        <v>312</v>
      </c>
      <c r="B4902" t="s">
        <v>1960</v>
      </c>
      <c r="C4902" t="s">
        <v>10</v>
      </c>
      <c r="D4902" t="s">
        <v>1152</v>
      </c>
      <c r="E4902">
        <f t="shared" si="219"/>
        <v>4.1666666666666666E-3</v>
      </c>
      <c r="F4902">
        <v>6</v>
      </c>
      <c r="G4902">
        <f>LOG(382/(6+1))</f>
        <v>1.736965322897452</v>
      </c>
      <c r="H4902">
        <f>0.00416666666666666*3.99951045955126</f>
        <v>1.6664626914796889E-2</v>
      </c>
      <c r="I4902">
        <v>1.6664626914796921E-2</v>
      </c>
    </row>
    <row r="4903" spans="1:9" x14ac:dyDescent="0.25">
      <c r="A4903">
        <v>312</v>
      </c>
      <c r="B4903" t="s">
        <v>1960</v>
      </c>
      <c r="C4903" t="s">
        <v>10</v>
      </c>
      <c r="D4903" t="s">
        <v>1855</v>
      </c>
      <c r="E4903">
        <f t="shared" si="219"/>
        <v>4.1666666666666666E-3</v>
      </c>
      <c r="F4903">
        <v>17</v>
      </c>
      <c r="G4903">
        <f>LOG(382/(17+1))</f>
        <v>1.3267908578084027</v>
      </c>
      <c r="H4903">
        <f>0.00416666666666666*3.05504885071041</f>
        <v>1.2729370211293353E-2</v>
      </c>
      <c r="I4903">
        <v>1.2729370211293381E-2</v>
      </c>
    </row>
    <row r="4904" spans="1:9" x14ac:dyDescent="0.25">
      <c r="A4904">
        <v>312</v>
      </c>
      <c r="B4904" t="s">
        <v>1960</v>
      </c>
      <c r="C4904" t="s">
        <v>10</v>
      </c>
      <c r="D4904" t="s">
        <v>1448</v>
      </c>
      <c r="E4904">
        <f t="shared" si="219"/>
        <v>4.1666666666666666E-3</v>
      </c>
      <c r="F4904">
        <v>11</v>
      </c>
      <c r="G4904">
        <f>LOG(382/(11+1))</f>
        <v>1.5028821168640838</v>
      </c>
      <c r="H4904">
        <f>0.00416666666666666*3.46051395881857</f>
        <v>1.4418808161744017E-2</v>
      </c>
      <c r="I4904">
        <v>1.4418808161744061E-2</v>
      </c>
    </row>
    <row r="4905" spans="1:9" x14ac:dyDescent="0.25">
      <c r="A4905">
        <v>312</v>
      </c>
      <c r="B4905" t="s">
        <v>1960</v>
      </c>
      <c r="C4905" t="s">
        <v>10</v>
      </c>
      <c r="D4905" t="s">
        <v>1992</v>
      </c>
      <c r="E4905">
        <f t="shared" si="219"/>
        <v>4.1666666666666666E-3</v>
      </c>
      <c r="F4905">
        <v>1</v>
      </c>
      <c r="G4905">
        <f>LOG(382/(1+1))</f>
        <v>2.2810333672477277</v>
      </c>
      <c r="H4905">
        <f>0.00416666666666666*5.25227342804663</f>
        <v>2.1884472616860922E-2</v>
      </c>
      <c r="I4905">
        <v>2.188447261686096E-2</v>
      </c>
    </row>
    <row r="4906" spans="1:9" x14ac:dyDescent="0.25">
      <c r="A4906">
        <v>312</v>
      </c>
      <c r="B4906" t="s">
        <v>1960</v>
      </c>
      <c r="C4906" t="s">
        <v>10</v>
      </c>
      <c r="D4906" t="s">
        <v>1993</v>
      </c>
      <c r="E4906">
        <f t="shared" si="219"/>
        <v>4.1666666666666666E-3</v>
      </c>
      <c r="F4906">
        <v>1</v>
      </c>
      <c r="G4906">
        <f>LOG(382/(1+1))</f>
        <v>2.2810333672477277</v>
      </c>
      <c r="H4906">
        <f>0.00416666666666666*5.25227342804663</f>
        <v>2.1884472616860922E-2</v>
      </c>
      <c r="I4906">
        <v>2.188447261686096E-2</v>
      </c>
    </row>
    <row r="4907" spans="1:9" x14ac:dyDescent="0.25">
      <c r="A4907">
        <v>313</v>
      </c>
      <c r="B4907" t="s">
        <v>1994</v>
      </c>
      <c r="C4907" t="s">
        <v>10</v>
      </c>
      <c r="D4907" t="s">
        <v>727</v>
      </c>
      <c r="E4907">
        <f>2/30</f>
        <v>6.6666666666666666E-2</v>
      </c>
      <c r="F4907">
        <v>9</v>
      </c>
      <c r="G4907">
        <f>LOG(382/(9+1))</f>
        <v>1.5820633629117087</v>
      </c>
      <c r="H4907">
        <f>0.0666666666666666*3.64283551561252</f>
        <v>0.24285570104083443</v>
      </c>
      <c r="I4907">
        <v>0.24285570104083529</v>
      </c>
    </row>
    <row r="4908" spans="1:9" x14ac:dyDescent="0.25">
      <c r="A4908">
        <v>313</v>
      </c>
      <c r="B4908" t="s">
        <v>1994</v>
      </c>
      <c r="C4908" t="s">
        <v>10</v>
      </c>
      <c r="D4908" t="s">
        <v>728</v>
      </c>
      <c r="E4908">
        <f>2/30</f>
        <v>6.6666666666666666E-2</v>
      </c>
      <c r="F4908">
        <v>9</v>
      </c>
      <c r="G4908">
        <f>LOG(382/(9+1))</f>
        <v>1.5820633629117087</v>
      </c>
      <c r="H4908">
        <f>0.0666666666666666*3.64283551561252</f>
        <v>0.24285570104083443</v>
      </c>
      <c r="I4908">
        <v>0.24285570104083529</v>
      </c>
    </row>
    <row r="4909" spans="1:9" x14ac:dyDescent="0.25">
      <c r="A4909">
        <v>313</v>
      </c>
      <c r="B4909" t="s">
        <v>1994</v>
      </c>
      <c r="C4909" t="s">
        <v>10</v>
      </c>
      <c r="D4909" t="s">
        <v>726</v>
      </c>
      <c r="E4909">
        <f>3/30</f>
        <v>0.1</v>
      </c>
      <c r="F4909">
        <v>37</v>
      </c>
      <c r="G4909">
        <f>LOG(382/(37+1))</f>
        <v>1.0022797662948986</v>
      </c>
      <c r="H4909">
        <f>0.1*2.30783444888018</f>
        <v>0.230783444888018</v>
      </c>
      <c r="I4909">
        <v>0.23078344488801891</v>
      </c>
    </row>
    <row r="4910" spans="1:9" x14ac:dyDescent="0.25">
      <c r="A4910">
        <v>313</v>
      </c>
      <c r="B4910" t="s">
        <v>1994</v>
      </c>
      <c r="C4910" t="s">
        <v>10</v>
      </c>
      <c r="D4910" t="s">
        <v>41</v>
      </c>
      <c r="E4910">
        <f t="shared" ref="E4910:E4925" si="220">1/30</f>
        <v>3.3333333333333333E-2</v>
      </c>
      <c r="F4910">
        <v>195</v>
      </c>
      <c r="G4910">
        <f>LOG(382/(195+1))</f>
        <v>0.28980729155523272</v>
      </c>
      <c r="H4910">
        <f>0.0333333333333333*0.667305949376058</f>
        <v>2.2243531645868578E-2</v>
      </c>
      <c r="I4910">
        <v>2.2243531645868599E-2</v>
      </c>
    </row>
    <row r="4911" spans="1:9" x14ac:dyDescent="0.25">
      <c r="A4911">
        <v>313</v>
      </c>
      <c r="B4911" t="s">
        <v>1994</v>
      </c>
      <c r="C4911" t="s">
        <v>10</v>
      </c>
      <c r="D4911" t="s">
        <v>42</v>
      </c>
      <c r="E4911">
        <f t="shared" si="220"/>
        <v>3.3333333333333333E-2</v>
      </c>
      <c r="F4911">
        <v>251</v>
      </c>
      <c r="G4911">
        <f>LOG(382/(251+1))</f>
        <v>0.18066282213016463</v>
      </c>
      <c r="H4911">
        <f>0.0333333333333333*0.415991521095151</f>
        <v>1.3866384036505018E-2</v>
      </c>
      <c r="I4911">
        <v>1.386638403650506E-2</v>
      </c>
    </row>
    <row r="4912" spans="1:9" x14ac:dyDescent="0.25">
      <c r="A4912">
        <v>313</v>
      </c>
      <c r="B4912" t="s">
        <v>1994</v>
      </c>
      <c r="C4912" t="s">
        <v>10</v>
      </c>
      <c r="D4912" t="s">
        <v>22</v>
      </c>
      <c r="E4912">
        <f t="shared" si="220"/>
        <v>3.3333333333333333E-2</v>
      </c>
      <c r="F4912">
        <v>259</v>
      </c>
      <c r="G4912">
        <f>LOG(382/(259+1))</f>
        <v>0.16709001494089079</v>
      </c>
      <c r="H4912">
        <f>0.0333333333333333*0.384738977591047</f>
        <v>1.282463258636822E-2</v>
      </c>
      <c r="I4912">
        <v>1.282463258636825E-2</v>
      </c>
    </row>
    <row r="4913" spans="1:9" x14ac:dyDescent="0.25">
      <c r="A4913">
        <v>313</v>
      </c>
      <c r="B4913" t="s">
        <v>1994</v>
      </c>
      <c r="C4913" t="s">
        <v>10</v>
      </c>
      <c r="D4913" t="s">
        <v>23</v>
      </c>
      <c r="E4913">
        <f t="shared" si="220"/>
        <v>3.3333333333333333E-2</v>
      </c>
      <c r="F4913">
        <v>275</v>
      </c>
      <c r="G4913">
        <f>LOG(382/(275+1))</f>
        <v>0.14115428084649101</v>
      </c>
      <c r="H4913">
        <f>0.0333333333333333*0.325019742889425</f>
        <v>1.0833991429647487E-2</v>
      </c>
      <c r="I4913">
        <v>1.0833991429647499E-2</v>
      </c>
    </row>
    <row r="4914" spans="1:9" x14ac:dyDescent="0.25">
      <c r="A4914">
        <v>313</v>
      </c>
      <c r="B4914" t="s">
        <v>1994</v>
      </c>
      <c r="C4914" t="s">
        <v>10</v>
      </c>
      <c r="D4914" t="s">
        <v>31</v>
      </c>
      <c r="E4914">
        <f t="shared" si="220"/>
        <v>3.3333333333333333E-2</v>
      </c>
      <c r="F4914">
        <v>31</v>
      </c>
      <c r="G4914">
        <f>LOG(382/(31+1))</f>
        <v>1.0769133845918029</v>
      </c>
      <c r="H4914">
        <f>0.0333333333333333*2.47968470580684</f>
        <v>8.2656156860227911E-2</v>
      </c>
      <c r="I4914">
        <v>8.2656156860228286E-2</v>
      </c>
    </row>
    <row r="4915" spans="1:9" x14ac:dyDescent="0.25">
      <c r="A4915">
        <v>313</v>
      </c>
      <c r="B4915" t="s">
        <v>1994</v>
      </c>
      <c r="C4915" t="s">
        <v>10</v>
      </c>
      <c r="D4915" t="s">
        <v>1232</v>
      </c>
      <c r="E4915">
        <f t="shared" si="220"/>
        <v>3.3333333333333333E-2</v>
      </c>
      <c r="F4915">
        <v>2</v>
      </c>
      <c r="G4915">
        <f>LOG(382/(2+1))</f>
        <v>2.1049421081920463</v>
      </c>
      <c r="H4915">
        <f>0.0333333333333333*4.84680831993846</f>
        <v>0.16156027733128184</v>
      </c>
      <c r="I4915">
        <v>0.1615602773312822</v>
      </c>
    </row>
    <row r="4916" spans="1:9" x14ac:dyDescent="0.25">
      <c r="A4916">
        <v>313</v>
      </c>
      <c r="B4916" t="s">
        <v>1994</v>
      </c>
      <c r="C4916" t="s">
        <v>10</v>
      </c>
      <c r="D4916" t="s">
        <v>1233</v>
      </c>
      <c r="E4916">
        <f t="shared" si="220"/>
        <v>3.3333333333333333E-2</v>
      </c>
      <c r="F4916">
        <v>4</v>
      </c>
      <c r="G4916">
        <f>LOG(382/(4+1))</f>
        <v>1.8830933585756899</v>
      </c>
      <c r="H4916">
        <f>0.0333333333333333*4.33598269617247</f>
        <v>0.14453275653908218</v>
      </c>
      <c r="I4916">
        <v>0.14453275653908251</v>
      </c>
    </row>
    <row r="4917" spans="1:9" x14ac:dyDescent="0.25">
      <c r="A4917">
        <v>313</v>
      </c>
      <c r="B4917" t="s">
        <v>1994</v>
      </c>
      <c r="C4917" t="s">
        <v>10</v>
      </c>
      <c r="D4917" t="s">
        <v>26</v>
      </c>
      <c r="E4917">
        <f t="shared" si="220"/>
        <v>3.3333333333333333E-2</v>
      </c>
      <c r="F4917">
        <v>40</v>
      </c>
      <c r="G4917">
        <f>LOG(382/(40+1))</f>
        <v>0.96927950619197323</v>
      </c>
      <c r="H4917">
        <f>0.0333333333333333*2.23184854190226</f>
        <v>7.4394951396741918E-2</v>
      </c>
      <c r="I4917">
        <v>7.4394951396742237E-2</v>
      </c>
    </row>
    <row r="4918" spans="1:9" x14ac:dyDescent="0.25">
      <c r="A4918">
        <v>313</v>
      </c>
      <c r="B4918" t="s">
        <v>1994</v>
      </c>
      <c r="C4918" t="s">
        <v>10</v>
      </c>
      <c r="D4918" t="s">
        <v>542</v>
      </c>
      <c r="E4918">
        <f t="shared" si="220"/>
        <v>3.3333333333333333E-2</v>
      </c>
      <c r="F4918">
        <v>42</v>
      </c>
      <c r="G4918">
        <f>LOG(382/(42+1))</f>
        <v>0.94859490733212215</v>
      </c>
      <c r="H4918">
        <f>0.0333333333333333*2.18422049291301</f>
        <v>7.2807349763766918E-2</v>
      </c>
      <c r="I4918">
        <v>7.2807349763767099E-2</v>
      </c>
    </row>
    <row r="4919" spans="1:9" x14ac:dyDescent="0.25">
      <c r="A4919">
        <v>313</v>
      </c>
      <c r="B4919" t="s">
        <v>1994</v>
      </c>
      <c r="C4919" t="s">
        <v>10</v>
      </c>
      <c r="D4919" t="s">
        <v>1234</v>
      </c>
      <c r="E4919">
        <f t="shared" si="220"/>
        <v>3.3333333333333333E-2</v>
      </c>
      <c r="F4919">
        <v>3</v>
      </c>
      <c r="G4919">
        <f>LOG(382/(3+1))</f>
        <v>1.9800033715837464</v>
      </c>
      <c r="H4919">
        <f>0.0333333333333333*4.55912624748668</f>
        <v>0.15197087491622252</v>
      </c>
      <c r="I4919">
        <v>0.1519708749162228</v>
      </c>
    </row>
    <row r="4920" spans="1:9" x14ac:dyDescent="0.25">
      <c r="A4920">
        <v>313</v>
      </c>
      <c r="B4920" t="s">
        <v>1994</v>
      </c>
      <c r="C4920" t="s">
        <v>10</v>
      </c>
      <c r="D4920" t="s">
        <v>1235</v>
      </c>
      <c r="E4920">
        <f t="shared" si="220"/>
        <v>3.3333333333333333E-2</v>
      </c>
      <c r="F4920">
        <v>6</v>
      </c>
      <c r="G4920">
        <f>LOG(382/(6+1))</f>
        <v>1.736965322897452</v>
      </c>
      <c r="H4920">
        <f>0.0333333333333333*3.99951045955126</f>
        <v>0.1333170153183752</v>
      </c>
      <c r="I4920">
        <v>0.13331701531837539</v>
      </c>
    </row>
    <row r="4921" spans="1:9" x14ac:dyDescent="0.25">
      <c r="A4921">
        <v>313</v>
      </c>
      <c r="B4921" t="s">
        <v>1994</v>
      </c>
      <c r="C4921" t="s">
        <v>10</v>
      </c>
      <c r="D4921" t="s">
        <v>28</v>
      </c>
      <c r="E4921">
        <f t="shared" si="220"/>
        <v>3.3333333333333333E-2</v>
      </c>
      <c r="F4921">
        <v>35</v>
      </c>
      <c r="G4921">
        <f>LOG(382/(35+1))</f>
        <v>1.0257608621444214</v>
      </c>
      <c r="H4921">
        <f>0.0333333333333333*2.36190167015046</f>
        <v>7.8730055671681912E-2</v>
      </c>
      <c r="I4921">
        <v>7.8730055671682161E-2</v>
      </c>
    </row>
    <row r="4922" spans="1:9" x14ac:dyDescent="0.25">
      <c r="A4922">
        <v>313</v>
      </c>
      <c r="B4922" t="s">
        <v>1994</v>
      </c>
      <c r="C4922" t="s">
        <v>10</v>
      </c>
      <c r="D4922" t="s">
        <v>476</v>
      </c>
      <c r="E4922">
        <f t="shared" si="220"/>
        <v>3.3333333333333333E-2</v>
      </c>
      <c r="F4922">
        <v>18</v>
      </c>
      <c r="G4922">
        <f>LOG(382/(18+1))</f>
        <v>1.3033097619588798</v>
      </c>
      <c r="H4922">
        <f>0.0333333333333333*3.00098162944013</f>
        <v>0.10003272098133757</v>
      </c>
      <c r="I4922">
        <v>0.10003272098133779</v>
      </c>
    </row>
    <row r="4923" spans="1:9" x14ac:dyDescent="0.25">
      <c r="A4923">
        <v>313</v>
      </c>
      <c r="B4923" t="s">
        <v>1994</v>
      </c>
      <c r="C4923" t="s">
        <v>10</v>
      </c>
      <c r="D4923" t="s">
        <v>929</v>
      </c>
      <c r="E4923">
        <f t="shared" si="220"/>
        <v>3.3333333333333333E-2</v>
      </c>
      <c r="F4923">
        <v>32</v>
      </c>
      <c r="G4923">
        <f>LOG(382/(32+1))</f>
        <v>1.0635494230338212</v>
      </c>
      <c r="H4923">
        <f>0.0333333333333333*2.44891304714009</f>
        <v>8.1630434904669591E-2</v>
      </c>
      <c r="I4923">
        <v>8.1630434904669841E-2</v>
      </c>
    </row>
    <row r="4924" spans="1:9" x14ac:dyDescent="0.25">
      <c r="A4924">
        <v>313</v>
      </c>
      <c r="B4924" t="s">
        <v>1994</v>
      </c>
      <c r="C4924" t="s">
        <v>10</v>
      </c>
      <c r="D4924" t="s">
        <v>716</v>
      </c>
      <c r="E4924">
        <f t="shared" si="220"/>
        <v>3.3333333333333333E-2</v>
      </c>
      <c r="F4924">
        <v>13</v>
      </c>
      <c r="G4924">
        <f>LOG(382/(13+1))</f>
        <v>1.4359353272334707</v>
      </c>
      <c r="H4924">
        <f>0.0333333333333333*3.30636327899131</f>
        <v>0.11021210929971022</v>
      </c>
      <c r="I4924">
        <v>0.11021210929971061</v>
      </c>
    </row>
    <row r="4925" spans="1:9" x14ac:dyDescent="0.25">
      <c r="A4925">
        <v>313</v>
      </c>
      <c r="B4925" t="s">
        <v>1994</v>
      </c>
      <c r="C4925" t="s">
        <v>10</v>
      </c>
      <c r="D4925" t="s">
        <v>15</v>
      </c>
      <c r="E4925">
        <f t="shared" si="220"/>
        <v>3.3333333333333333E-2</v>
      </c>
      <c r="F4925">
        <v>112</v>
      </c>
      <c r="G4925">
        <f>LOG(382/(112+1))</f>
        <v>0.52898491942828896</v>
      </c>
      <c r="H4925">
        <f>0.0333333333333333*1.21803278989423</f>
        <v>4.060109299647429E-2</v>
      </c>
      <c r="I4925">
        <v>4.0601092996474492E-2</v>
      </c>
    </row>
    <row r="4926" spans="1:9" x14ac:dyDescent="0.25">
      <c r="A4926">
        <v>313</v>
      </c>
      <c r="B4926" t="s">
        <v>1994</v>
      </c>
      <c r="C4926" t="s">
        <v>10</v>
      </c>
      <c r="D4926" t="s">
        <v>17</v>
      </c>
      <c r="E4926">
        <f>2/30</f>
        <v>6.6666666666666666E-2</v>
      </c>
      <c r="F4926">
        <v>169</v>
      </c>
      <c r="G4926">
        <f>LOG(382/(169+1))</f>
        <v>0.3516144415334348</v>
      </c>
      <c r="H4926">
        <f>0.0666666666666666*0.809622171556313</f>
        <v>5.3974811437087475E-2</v>
      </c>
      <c r="I4926">
        <v>5.3974811437087572E-2</v>
      </c>
    </row>
    <row r="4927" spans="1:9" x14ac:dyDescent="0.25">
      <c r="A4927">
        <v>313</v>
      </c>
      <c r="B4927" t="s">
        <v>1994</v>
      </c>
      <c r="C4927" t="s">
        <v>10</v>
      </c>
      <c r="D4927" t="s">
        <v>250</v>
      </c>
      <c r="E4927">
        <f>1/30</f>
        <v>3.3333333333333333E-2</v>
      </c>
      <c r="F4927">
        <v>14</v>
      </c>
      <c r="G4927">
        <f>LOG(382/(14+1))</f>
        <v>1.4059721038560276</v>
      </c>
      <c r="H4927">
        <f>0.0333333333333333*3.23737040750436</f>
        <v>0.10791234691681188</v>
      </c>
      <c r="I4927">
        <v>0.1079123469168122</v>
      </c>
    </row>
    <row r="4928" spans="1:9" x14ac:dyDescent="0.25">
      <c r="A4928">
        <v>313</v>
      </c>
      <c r="B4928" t="s">
        <v>1994</v>
      </c>
      <c r="C4928" t="s">
        <v>10</v>
      </c>
      <c r="D4928" t="s">
        <v>251</v>
      </c>
      <c r="E4928">
        <f>1/30</f>
        <v>3.3333333333333333E-2</v>
      </c>
      <c r="F4928">
        <v>6</v>
      </c>
      <c r="G4928">
        <f>LOG(382/(6+1))</f>
        <v>1.736965322897452</v>
      </c>
      <c r="H4928">
        <f>0.0333333333333333*3.99951045955126</f>
        <v>0.1333170153183752</v>
      </c>
      <c r="I4928">
        <v>0.13331701531837539</v>
      </c>
    </row>
    <row r="4929" spans="1:9" x14ac:dyDescent="0.25">
      <c r="A4929">
        <v>313</v>
      </c>
      <c r="B4929" t="s">
        <v>1994</v>
      </c>
      <c r="C4929" t="s">
        <v>10</v>
      </c>
      <c r="D4929" t="s">
        <v>920</v>
      </c>
      <c r="E4929">
        <f>1/30</f>
        <v>3.3333333333333333E-2</v>
      </c>
      <c r="F4929">
        <v>30</v>
      </c>
      <c r="G4929">
        <f>LOG(382/(30+1))</f>
        <v>1.090701669077436</v>
      </c>
      <c r="H4929">
        <f>0.0333333333333333*2.51143340412142</f>
        <v>8.3714446804047243E-2</v>
      </c>
      <c r="I4929">
        <v>8.3714446804047632E-2</v>
      </c>
    </row>
    <row r="4930" spans="1:9" x14ac:dyDescent="0.25">
      <c r="A4930">
        <v>313</v>
      </c>
      <c r="B4930" t="s">
        <v>1994</v>
      </c>
      <c r="C4930" t="s">
        <v>10</v>
      </c>
      <c r="D4930" t="s">
        <v>19</v>
      </c>
      <c r="E4930">
        <f>1/30</f>
        <v>3.3333333333333333E-2</v>
      </c>
      <c r="F4930">
        <v>220</v>
      </c>
      <c r="G4930">
        <f>LOG(382/(220+1))</f>
        <v>0.23767108922659805</v>
      </c>
      <c r="H4930">
        <f>0.0333333333333333*0.547257907088822</f>
        <v>1.824193023629405E-2</v>
      </c>
      <c r="I4930">
        <v>1.8241930236294081E-2</v>
      </c>
    </row>
    <row r="4931" spans="1:9" x14ac:dyDescent="0.25">
      <c r="A4931">
        <v>313</v>
      </c>
      <c r="B4931" t="s">
        <v>1994</v>
      </c>
      <c r="C4931" t="s">
        <v>10</v>
      </c>
      <c r="D4931" t="s">
        <v>44</v>
      </c>
      <c r="E4931">
        <f>1/30</f>
        <v>3.3333333333333333E-2</v>
      </c>
      <c r="F4931">
        <v>151</v>
      </c>
      <c r="G4931">
        <f>LOG(382/(151+1))</f>
        <v>0.40021977496693617</v>
      </c>
      <c r="H4931">
        <f>0.0333333333333333*0.921540087760298</f>
        <v>3.0718002925343237E-2</v>
      </c>
      <c r="I4931">
        <v>3.0718002925343289E-2</v>
      </c>
    </row>
    <row r="4932" spans="1:9" x14ac:dyDescent="0.25">
      <c r="A4932">
        <v>314</v>
      </c>
      <c r="B4932" t="s">
        <v>1995</v>
      </c>
      <c r="C4932" t="s">
        <v>10</v>
      </c>
      <c r="D4932" t="s">
        <v>103</v>
      </c>
      <c r="E4932">
        <f>1/22</f>
        <v>4.5454545454545456E-2</v>
      </c>
      <c r="F4932">
        <v>38</v>
      </c>
      <c r="G4932">
        <f>LOG(382/(38+1))</f>
        <v>0.99099875588520958</v>
      </c>
      <c r="H4932">
        <f>0.0454545454545454*2.28185896247692</f>
        <v>0.10372086193076897</v>
      </c>
      <c r="I4932">
        <v>0.1037208619307695</v>
      </c>
    </row>
    <row r="4933" spans="1:9" x14ac:dyDescent="0.25">
      <c r="A4933">
        <v>314</v>
      </c>
      <c r="B4933" t="s">
        <v>1995</v>
      </c>
      <c r="C4933" t="s">
        <v>10</v>
      </c>
      <c r="D4933" t="s">
        <v>336</v>
      </c>
      <c r="E4933">
        <f>1/22</f>
        <v>4.5454545454545456E-2</v>
      </c>
      <c r="F4933">
        <v>10</v>
      </c>
      <c r="G4933">
        <f>LOG(382/(10+1))</f>
        <v>1.5406706777534838</v>
      </c>
      <c r="H4933">
        <f>0.0454545454545454*3.5475253358082</f>
        <v>0.16125115162764528</v>
      </c>
      <c r="I4933">
        <v>0.16125115162764569</v>
      </c>
    </row>
    <row r="4934" spans="1:9" x14ac:dyDescent="0.25">
      <c r="A4934">
        <v>314</v>
      </c>
      <c r="B4934" t="s">
        <v>1995</v>
      </c>
      <c r="C4934" t="s">
        <v>10</v>
      </c>
      <c r="D4934" t="s">
        <v>183</v>
      </c>
      <c r="E4934">
        <f>3/22</f>
        <v>0.13636363636363635</v>
      </c>
      <c r="F4934">
        <v>46</v>
      </c>
      <c r="G4934">
        <f>LOG(382/(46+1))</f>
        <v>0.90996550497599127</v>
      </c>
      <c r="H4934">
        <f>0.136363636363636*2.09527300689651</f>
        <v>0.28571904639497786</v>
      </c>
      <c r="I4934">
        <v>0.28571904639497953</v>
      </c>
    </row>
    <row r="4935" spans="1:9" x14ac:dyDescent="0.25">
      <c r="A4935">
        <v>314</v>
      </c>
      <c r="B4935" t="s">
        <v>1995</v>
      </c>
      <c r="C4935" t="s">
        <v>10</v>
      </c>
      <c r="D4935" t="s">
        <v>289</v>
      </c>
      <c r="E4935">
        <f>3/22</f>
        <v>0.13636363636363635</v>
      </c>
      <c r="F4935">
        <v>8</v>
      </c>
      <c r="G4935">
        <f>LOG(382/(8+1))</f>
        <v>1.6278208534723839</v>
      </c>
      <c r="H4935">
        <f>0.136363636363636*3.74819603127035</f>
        <v>0.51111764062777365</v>
      </c>
      <c r="I4935">
        <v>0.51111764062777576</v>
      </c>
    </row>
    <row r="4936" spans="1:9" x14ac:dyDescent="0.25">
      <c r="A4936">
        <v>314</v>
      </c>
      <c r="B4936" t="s">
        <v>1995</v>
      </c>
      <c r="C4936" t="s">
        <v>10</v>
      </c>
      <c r="D4936" t="s">
        <v>608</v>
      </c>
      <c r="E4936">
        <f t="shared" ref="E4936:E4949" si="221">1/22</f>
        <v>4.5454545454545456E-2</v>
      </c>
      <c r="F4936">
        <v>4</v>
      </c>
      <c r="G4936">
        <f>LOG(382/(4+1))</f>
        <v>1.8830933585756899</v>
      </c>
      <c r="H4936">
        <f>0.0454545454545454*4.33598269617247</f>
        <v>0.19709012255329386</v>
      </c>
      <c r="I4936">
        <v>0.19709012255329431</v>
      </c>
    </row>
    <row r="4937" spans="1:9" x14ac:dyDescent="0.25">
      <c r="A4937">
        <v>314</v>
      </c>
      <c r="B4937" t="s">
        <v>1995</v>
      </c>
      <c r="C4937" t="s">
        <v>10</v>
      </c>
      <c r="D4937" t="s">
        <v>272</v>
      </c>
      <c r="E4937">
        <f t="shared" si="221"/>
        <v>4.5454545454545456E-2</v>
      </c>
      <c r="F4937">
        <v>17</v>
      </c>
      <c r="G4937">
        <f>LOG(382/(17+1))</f>
        <v>1.3267908578084027</v>
      </c>
      <c r="H4937">
        <f>0.0454545454545454*3.05504885071041</f>
        <v>0.13886585685047301</v>
      </c>
      <c r="I4937">
        <v>0.1388658568504732</v>
      </c>
    </row>
    <row r="4938" spans="1:9" x14ac:dyDescent="0.25">
      <c r="A4938">
        <v>314</v>
      </c>
      <c r="B4938" t="s">
        <v>1995</v>
      </c>
      <c r="C4938" t="s">
        <v>10</v>
      </c>
      <c r="D4938" t="s">
        <v>404</v>
      </c>
      <c r="E4938">
        <f t="shared" si="221"/>
        <v>4.5454545454545456E-2</v>
      </c>
      <c r="F4938">
        <v>22</v>
      </c>
      <c r="G4938">
        <f>LOG(382/(22+1))</f>
        <v>1.2203355268941158</v>
      </c>
      <c r="H4938">
        <f>0.0454545454545454*2.80992639267742</f>
        <v>0.12772392693988258</v>
      </c>
      <c r="I4938">
        <v>0.12772392693988299</v>
      </c>
    </row>
    <row r="4939" spans="1:9" x14ac:dyDescent="0.25">
      <c r="A4939">
        <v>314</v>
      </c>
      <c r="B4939" t="s">
        <v>1995</v>
      </c>
      <c r="C4939" t="s">
        <v>10</v>
      </c>
      <c r="D4939" t="s">
        <v>39</v>
      </c>
      <c r="E4939">
        <f t="shared" si="221"/>
        <v>4.5454545454545456E-2</v>
      </c>
      <c r="F4939">
        <v>145</v>
      </c>
      <c r="G4939">
        <f>LOG(382/(145+1))</f>
        <v>0.41771050712727159</v>
      </c>
      <c r="H4939">
        <f>0.0454545454545454*0.961813986898238</f>
        <v>4.3718817586283494E-2</v>
      </c>
      <c r="I4939">
        <v>4.3718817586283577E-2</v>
      </c>
    </row>
    <row r="4940" spans="1:9" x14ac:dyDescent="0.25">
      <c r="A4940">
        <v>314</v>
      </c>
      <c r="B4940" t="s">
        <v>1995</v>
      </c>
      <c r="C4940" t="s">
        <v>10</v>
      </c>
      <c r="D4940" t="s">
        <v>40</v>
      </c>
      <c r="E4940">
        <f t="shared" si="221"/>
        <v>4.5454545454545456E-2</v>
      </c>
      <c r="F4940">
        <v>159</v>
      </c>
      <c r="G4940">
        <f>LOG(382/(159+1))</f>
        <v>0.377943380255784</v>
      </c>
      <c r="H4940">
        <f>0.0454545454545454*0.870246793372748</f>
        <v>3.9556672426033952E-2</v>
      </c>
      <c r="I4940">
        <v>3.9556672426034008E-2</v>
      </c>
    </row>
    <row r="4941" spans="1:9" x14ac:dyDescent="0.25">
      <c r="A4941">
        <v>314</v>
      </c>
      <c r="B4941" t="s">
        <v>1995</v>
      </c>
      <c r="C4941" t="s">
        <v>10</v>
      </c>
      <c r="D4941" t="s">
        <v>41</v>
      </c>
      <c r="E4941">
        <f t="shared" si="221"/>
        <v>4.5454545454545456E-2</v>
      </c>
      <c r="F4941">
        <v>195</v>
      </c>
      <c r="G4941">
        <f>LOG(382/(195+1))</f>
        <v>0.28980729155523272</v>
      </c>
      <c r="H4941">
        <f>0.0454545454545454*0.667305949376058</f>
        <v>3.03320886080026E-2</v>
      </c>
      <c r="I4941">
        <v>3.0332088608002641E-2</v>
      </c>
    </row>
    <row r="4942" spans="1:9" x14ac:dyDescent="0.25">
      <c r="A4942">
        <v>314</v>
      </c>
      <c r="B4942" t="s">
        <v>1995</v>
      </c>
      <c r="C4942" t="s">
        <v>10</v>
      </c>
      <c r="D4942" t="s">
        <v>22</v>
      </c>
      <c r="E4942">
        <f t="shared" si="221"/>
        <v>4.5454545454545456E-2</v>
      </c>
      <c r="F4942">
        <v>259</v>
      </c>
      <c r="G4942">
        <f>LOG(382/(259+1))</f>
        <v>0.16709001494089079</v>
      </c>
      <c r="H4942">
        <f>0.0454545454545454*0.384738977591047</f>
        <v>1.7488135345047572E-2</v>
      </c>
      <c r="I4942">
        <v>1.748813534504761E-2</v>
      </c>
    </row>
    <row r="4943" spans="1:9" x14ac:dyDescent="0.25">
      <c r="A4943">
        <v>314</v>
      </c>
      <c r="B4943" t="s">
        <v>1995</v>
      </c>
      <c r="C4943" t="s">
        <v>10</v>
      </c>
      <c r="D4943" t="s">
        <v>23</v>
      </c>
      <c r="E4943">
        <f t="shared" si="221"/>
        <v>4.5454545454545456E-2</v>
      </c>
      <c r="F4943">
        <v>275</v>
      </c>
      <c r="G4943">
        <f>LOG(382/(275+1))</f>
        <v>0.14115428084649101</v>
      </c>
      <c r="H4943">
        <f>0.0454545454545454*0.325019742889425</f>
        <v>1.4773624676792026E-2</v>
      </c>
      <c r="I4943">
        <v>1.477362467679205E-2</v>
      </c>
    </row>
    <row r="4944" spans="1:9" x14ac:dyDescent="0.25">
      <c r="A4944">
        <v>314</v>
      </c>
      <c r="B4944" t="s">
        <v>1995</v>
      </c>
      <c r="C4944" t="s">
        <v>10</v>
      </c>
      <c r="D4944" t="s">
        <v>1996</v>
      </c>
      <c r="E4944">
        <f t="shared" si="221"/>
        <v>4.5454545454545456E-2</v>
      </c>
      <c r="F4944">
        <v>1</v>
      </c>
      <c r="G4944">
        <f>LOG(382/(1+1))</f>
        <v>2.2810333672477277</v>
      </c>
      <c r="H4944">
        <f>0.0454545454545454*5.25227342804663</f>
        <v>0.23873970127484653</v>
      </c>
      <c r="I4944">
        <v>0.23873970127484681</v>
      </c>
    </row>
    <row r="4945" spans="1:9" x14ac:dyDescent="0.25">
      <c r="A4945">
        <v>314</v>
      </c>
      <c r="B4945" t="s">
        <v>1995</v>
      </c>
      <c r="C4945" t="s">
        <v>10</v>
      </c>
      <c r="D4945" t="s">
        <v>1997</v>
      </c>
      <c r="E4945">
        <f t="shared" si="221"/>
        <v>4.5454545454545456E-2</v>
      </c>
      <c r="F4945">
        <v>4</v>
      </c>
      <c r="G4945">
        <f>LOG(382/(4+1))</f>
        <v>1.8830933585756899</v>
      </c>
      <c r="H4945">
        <f>0.0454545454545454*4.33598269617247</f>
        <v>0.19709012255329386</v>
      </c>
      <c r="I4945">
        <v>0.19709012255329431</v>
      </c>
    </row>
    <row r="4946" spans="1:9" x14ac:dyDescent="0.25">
      <c r="A4946">
        <v>314</v>
      </c>
      <c r="B4946" t="s">
        <v>1995</v>
      </c>
      <c r="C4946" t="s">
        <v>10</v>
      </c>
      <c r="D4946" t="s">
        <v>1998</v>
      </c>
      <c r="E4946">
        <f t="shared" si="221"/>
        <v>4.5454545454545456E-2</v>
      </c>
      <c r="F4946">
        <v>1</v>
      </c>
      <c r="G4946">
        <f>LOG(382/(1+1))</f>
        <v>2.2810333672477277</v>
      </c>
      <c r="H4946">
        <f>0.0454545454545454*5.25227342804663</f>
        <v>0.23873970127484653</v>
      </c>
      <c r="I4946">
        <v>0.23873970127484681</v>
      </c>
    </row>
    <row r="4947" spans="1:9" x14ac:dyDescent="0.25">
      <c r="A4947">
        <v>314</v>
      </c>
      <c r="B4947" t="s">
        <v>1995</v>
      </c>
      <c r="C4947" t="s">
        <v>10</v>
      </c>
      <c r="D4947" t="s">
        <v>1999</v>
      </c>
      <c r="E4947">
        <f t="shared" si="221"/>
        <v>4.5454545454545456E-2</v>
      </c>
      <c r="F4947">
        <v>2</v>
      </c>
      <c r="G4947">
        <f>LOG(382/(2+1))</f>
        <v>2.1049421081920463</v>
      </c>
      <c r="H4947">
        <f>0.0454545454545454*4.84680831993846</f>
        <v>0.22030946908811155</v>
      </c>
      <c r="I4947">
        <v>0.22030946908811211</v>
      </c>
    </row>
    <row r="4948" spans="1:9" x14ac:dyDescent="0.25">
      <c r="A4948">
        <v>314</v>
      </c>
      <c r="B4948" t="s">
        <v>1995</v>
      </c>
      <c r="C4948" t="s">
        <v>10</v>
      </c>
      <c r="D4948" t="s">
        <v>279</v>
      </c>
      <c r="E4948">
        <f t="shared" si="221"/>
        <v>4.5454545454545456E-2</v>
      </c>
      <c r="F4948">
        <v>22</v>
      </c>
      <c r="G4948">
        <f>LOG(382/(22+1))</f>
        <v>1.2203355268941158</v>
      </c>
      <c r="H4948">
        <f>0.0454545454545454*2.80992639267742</f>
        <v>0.12772392693988258</v>
      </c>
      <c r="I4948">
        <v>0.12772392693988299</v>
      </c>
    </row>
    <row r="4949" spans="1:9" x14ac:dyDescent="0.25">
      <c r="A4949">
        <v>314</v>
      </c>
      <c r="B4949" t="s">
        <v>1995</v>
      </c>
      <c r="C4949" t="s">
        <v>10</v>
      </c>
      <c r="D4949" t="s">
        <v>2000</v>
      </c>
      <c r="E4949">
        <f t="shared" si="221"/>
        <v>4.5454545454545456E-2</v>
      </c>
      <c r="F4949">
        <v>1</v>
      </c>
      <c r="G4949">
        <f>LOG(382/(1+1))</f>
        <v>2.2810333672477277</v>
      </c>
      <c r="H4949">
        <f>0.0454545454545454*5.25227342804663</f>
        <v>0.23873970127484653</v>
      </c>
      <c r="I4949">
        <v>0.23873970127484681</v>
      </c>
    </row>
    <row r="4950" spans="1:9" x14ac:dyDescent="0.25">
      <c r="A4950">
        <v>315</v>
      </c>
      <c r="B4950" t="s">
        <v>2001</v>
      </c>
      <c r="C4950" t="s">
        <v>10</v>
      </c>
      <c r="D4950" t="s">
        <v>36</v>
      </c>
      <c r="E4950">
        <f>2/24</f>
        <v>8.3333333333333329E-2</v>
      </c>
      <c r="F4950">
        <v>58</v>
      </c>
      <c r="G4950">
        <f>LOG(382/(58+1))</f>
        <v>0.81121135126956456</v>
      </c>
      <c r="H4950">
        <f>0.0833333333333333*1.86788316470085</f>
        <v>0.15565693039173745</v>
      </c>
      <c r="I4950">
        <v>0.15565693039173789</v>
      </c>
    </row>
    <row r="4951" spans="1:9" x14ac:dyDescent="0.25">
      <c r="A4951">
        <v>315</v>
      </c>
      <c r="B4951" t="s">
        <v>2001</v>
      </c>
      <c r="C4951" t="s">
        <v>10</v>
      </c>
      <c r="D4951" t="s">
        <v>603</v>
      </c>
      <c r="E4951">
        <f>2/24</f>
        <v>8.3333333333333329E-2</v>
      </c>
      <c r="F4951">
        <v>4</v>
      </c>
      <c r="G4951">
        <f>LOG(382/(4+1))</f>
        <v>1.8830933585756899</v>
      </c>
      <c r="H4951">
        <f>0.0833333333333333*4.33598269617247</f>
        <v>0.36133189134770571</v>
      </c>
      <c r="I4951">
        <v>0.36133189134770621</v>
      </c>
    </row>
    <row r="4952" spans="1:9" x14ac:dyDescent="0.25">
      <c r="A4952">
        <v>315</v>
      </c>
      <c r="B4952" t="s">
        <v>2001</v>
      </c>
      <c r="C4952" t="s">
        <v>10</v>
      </c>
      <c r="D4952" t="s">
        <v>247</v>
      </c>
      <c r="E4952">
        <f t="shared" ref="E4952:E4971" si="222">1/24</f>
        <v>4.1666666666666664E-2</v>
      </c>
      <c r="F4952">
        <v>121</v>
      </c>
      <c r="G4952">
        <f>LOG(382/(121+1))</f>
        <v>0.49570353223696051</v>
      </c>
      <c r="H4952">
        <f>0.0416666666666666*1.14139956387331</f>
        <v>4.7558315161387844E-2</v>
      </c>
      <c r="I4952">
        <v>4.7558315161388282E-2</v>
      </c>
    </row>
    <row r="4953" spans="1:9" x14ac:dyDescent="0.25">
      <c r="A4953">
        <v>315</v>
      </c>
      <c r="B4953" t="s">
        <v>2001</v>
      </c>
      <c r="C4953" t="s">
        <v>10</v>
      </c>
      <c r="D4953" t="s">
        <v>1545</v>
      </c>
      <c r="E4953">
        <f t="shared" si="222"/>
        <v>4.1666666666666664E-2</v>
      </c>
      <c r="F4953">
        <v>5</v>
      </c>
      <c r="G4953">
        <f>LOG(382/(5+1))</f>
        <v>1.803912112528065</v>
      </c>
      <c r="H4953">
        <f>0.0416666666666666*4.15366113937852</f>
        <v>0.17306921414077139</v>
      </c>
      <c r="I4953">
        <v>0.17306921414077159</v>
      </c>
    </row>
    <row r="4954" spans="1:9" x14ac:dyDescent="0.25">
      <c r="A4954">
        <v>315</v>
      </c>
      <c r="B4954" t="s">
        <v>2001</v>
      </c>
      <c r="C4954" t="s">
        <v>10</v>
      </c>
      <c r="D4954" t="s">
        <v>42</v>
      </c>
      <c r="E4954">
        <f t="shared" si="222"/>
        <v>4.1666666666666664E-2</v>
      </c>
      <c r="F4954">
        <v>251</v>
      </c>
      <c r="G4954">
        <f>LOG(382/(251+1))</f>
        <v>0.18066282213016463</v>
      </c>
      <c r="H4954">
        <f>0.0416666666666666*0.415991521095151</f>
        <v>1.7332980045631264E-2</v>
      </c>
      <c r="I4954">
        <v>1.733298004563133E-2</v>
      </c>
    </row>
    <row r="4955" spans="1:9" x14ac:dyDescent="0.25">
      <c r="A4955">
        <v>315</v>
      </c>
      <c r="B4955" t="s">
        <v>2001</v>
      </c>
      <c r="C4955" t="s">
        <v>10</v>
      </c>
      <c r="D4955" t="s">
        <v>573</v>
      </c>
      <c r="E4955">
        <f t="shared" si="222"/>
        <v>4.1666666666666664E-2</v>
      </c>
      <c r="F4955">
        <v>14</v>
      </c>
      <c r="G4955">
        <f>LOG(382/(14+1))</f>
        <v>1.4059721038560276</v>
      </c>
      <c r="H4955">
        <f>0.0416666666666666*3.23737040750436</f>
        <v>0.13489043364601477</v>
      </c>
      <c r="I4955">
        <v>0.13489043364601519</v>
      </c>
    </row>
    <row r="4956" spans="1:9" x14ac:dyDescent="0.25">
      <c r="A4956">
        <v>315</v>
      </c>
      <c r="B4956" t="s">
        <v>2001</v>
      </c>
      <c r="C4956" t="s">
        <v>10</v>
      </c>
      <c r="D4956" t="s">
        <v>574</v>
      </c>
      <c r="E4956">
        <f t="shared" si="222"/>
        <v>4.1666666666666664E-2</v>
      </c>
      <c r="F4956">
        <v>3</v>
      </c>
      <c r="G4956">
        <f>LOG(382/(3+1))</f>
        <v>1.9800033715837464</v>
      </c>
      <c r="H4956">
        <f>0.0416666666666666*4.55912624748668</f>
        <v>0.18996359364527804</v>
      </c>
      <c r="I4956">
        <v>0.18996359364527851</v>
      </c>
    </row>
    <row r="4957" spans="1:9" x14ac:dyDescent="0.25">
      <c r="A4957">
        <v>315</v>
      </c>
      <c r="B4957" t="s">
        <v>2001</v>
      </c>
      <c r="C4957" t="s">
        <v>10</v>
      </c>
      <c r="D4957" t="s">
        <v>19</v>
      </c>
      <c r="E4957">
        <f t="shared" si="222"/>
        <v>4.1666666666666664E-2</v>
      </c>
      <c r="F4957">
        <v>220</v>
      </c>
      <c r="G4957">
        <f>LOG(382/(220+1))</f>
        <v>0.23767108922659805</v>
      </c>
      <c r="H4957">
        <f>0.0416666666666666*0.547257907088822</f>
        <v>2.2802412795367551E-2</v>
      </c>
      <c r="I4957">
        <v>2.2802412795367599E-2</v>
      </c>
    </row>
    <row r="4958" spans="1:9" x14ac:dyDescent="0.25">
      <c r="A4958">
        <v>315</v>
      </c>
      <c r="B4958" t="s">
        <v>2001</v>
      </c>
      <c r="C4958" t="s">
        <v>10</v>
      </c>
      <c r="D4958" t="s">
        <v>44</v>
      </c>
      <c r="E4958">
        <f t="shared" si="222"/>
        <v>4.1666666666666664E-2</v>
      </c>
      <c r="F4958">
        <v>151</v>
      </c>
      <c r="G4958">
        <f>LOG(382/(151+1))</f>
        <v>0.40021977496693617</v>
      </c>
      <c r="H4958">
        <f>0.0416666666666666*0.921540087760298</f>
        <v>3.8397503656679023E-2</v>
      </c>
      <c r="I4958">
        <v>3.8397503656679113E-2</v>
      </c>
    </row>
    <row r="4959" spans="1:9" x14ac:dyDescent="0.25">
      <c r="A4959">
        <v>315</v>
      </c>
      <c r="B4959" t="s">
        <v>2001</v>
      </c>
      <c r="C4959" t="s">
        <v>10</v>
      </c>
      <c r="D4959" t="s">
        <v>22</v>
      </c>
      <c r="E4959">
        <f t="shared" si="222"/>
        <v>4.1666666666666664E-2</v>
      </c>
      <c r="F4959">
        <v>259</v>
      </c>
      <c r="G4959">
        <f>LOG(382/(259+1))</f>
        <v>0.16709001494089079</v>
      </c>
      <c r="H4959">
        <f>0.0416666666666666*0.384738977591047</f>
        <v>1.6030790732960268E-2</v>
      </c>
      <c r="I4959">
        <v>1.603079073296031E-2</v>
      </c>
    </row>
    <row r="4960" spans="1:9" x14ac:dyDescent="0.25">
      <c r="A4960">
        <v>315</v>
      </c>
      <c r="B4960" t="s">
        <v>2001</v>
      </c>
      <c r="C4960" t="s">
        <v>10</v>
      </c>
      <c r="D4960" t="s">
        <v>23</v>
      </c>
      <c r="E4960">
        <f t="shared" si="222"/>
        <v>4.1666666666666664E-2</v>
      </c>
      <c r="F4960">
        <v>275</v>
      </c>
      <c r="G4960">
        <f>LOG(382/(275+1))</f>
        <v>0.14115428084649101</v>
      </c>
      <c r="H4960">
        <f>0.0416666666666666*0.325019742889425</f>
        <v>1.3542489287059353E-2</v>
      </c>
      <c r="I4960">
        <v>1.3542489287059379E-2</v>
      </c>
    </row>
    <row r="4961" spans="1:9" x14ac:dyDescent="0.25">
      <c r="A4961">
        <v>315</v>
      </c>
      <c r="B4961" t="s">
        <v>2001</v>
      </c>
      <c r="C4961" t="s">
        <v>10</v>
      </c>
      <c r="D4961" t="s">
        <v>24</v>
      </c>
      <c r="E4961">
        <f t="shared" si="222"/>
        <v>4.1666666666666664E-2</v>
      </c>
      <c r="F4961">
        <v>59</v>
      </c>
      <c r="G4961">
        <f>LOG(382/(59+1))</f>
        <v>0.80391211252806505</v>
      </c>
      <c r="H4961">
        <f>0.0416666666666666*1.85107604638447</f>
        <v>7.71281685993528E-2</v>
      </c>
      <c r="I4961">
        <v>7.7128168599353092E-2</v>
      </c>
    </row>
    <row r="4962" spans="1:9" x14ac:dyDescent="0.25">
      <c r="A4962">
        <v>315</v>
      </c>
      <c r="B4962" t="s">
        <v>2001</v>
      </c>
      <c r="C4962" t="s">
        <v>10</v>
      </c>
      <c r="D4962" t="s">
        <v>215</v>
      </c>
      <c r="E4962">
        <f t="shared" si="222"/>
        <v>4.1666666666666664E-2</v>
      </c>
      <c r="F4962">
        <v>25</v>
      </c>
      <c r="G4962">
        <f>LOG(382/(25+1))</f>
        <v>1.1670900149408907</v>
      </c>
      <c r="H4962">
        <f>0.0416666666666666*2.68732407058509</f>
        <v>0.11197183627437858</v>
      </c>
      <c r="I4962">
        <v>0.1119718362743789</v>
      </c>
    </row>
    <row r="4963" spans="1:9" x14ac:dyDescent="0.25">
      <c r="A4963">
        <v>315</v>
      </c>
      <c r="B4963" t="s">
        <v>2001</v>
      </c>
      <c r="C4963" t="s">
        <v>10</v>
      </c>
      <c r="D4963" t="s">
        <v>216</v>
      </c>
      <c r="E4963">
        <f t="shared" si="222"/>
        <v>4.1666666666666664E-2</v>
      </c>
      <c r="F4963">
        <v>63</v>
      </c>
      <c r="G4963">
        <f>LOG(382/(63+1))</f>
        <v>0.7758833889278216</v>
      </c>
      <c r="H4963">
        <f>0.0416666666666666*1.7865375252469</f>
        <v>7.4439063551954052E-2</v>
      </c>
      <c r="I4963">
        <v>7.4439063551954301E-2</v>
      </c>
    </row>
    <row r="4964" spans="1:9" x14ac:dyDescent="0.25">
      <c r="A4964">
        <v>315</v>
      </c>
      <c r="B4964" t="s">
        <v>2001</v>
      </c>
      <c r="C4964" t="s">
        <v>10</v>
      </c>
      <c r="D4964" t="s">
        <v>823</v>
      </c>
      <c r="E4964">
        <f t="shared" si="222"/>
        <v>4.1666666666666664E-2</v>
      </c>
      <c r="F4964">
        <v>45</v>
      </c>
      <c r="G4964">
        <f>LOG(382/(45+1))</f>
        <v>0.9193055312301347</v>
      </c>
      <c r="H4964">
        <f>0.0416666666666666*2.11677921211748</f>
        <v>8.8199133838228208E-2</v>
      </c>
      <c r="I4964">
        <v>8.8199133838228333E-2</v>
      </c>
    </row>
    <row r="4965" spans="1:9" x14ac:dyDescent="0.25">
      <c r="A4965">
        <v>315</v>
      </c>
      <c r="B4965" t="s">
        <v>2001</v>
      </c>
      <c r="C4965" t="s">
        <v>10</v>
      </c>
      <c r="D4965" t="s">
        <v>404</v>
      </c>
      <c r="E4965">
        <f t="shared" si="222"/>
        <v>4.1666666666666664E-2</v>
      </c>
      <c r="F4965">
        <v>22</v>
      </c>
      <c r="G4965">
        <f>LOG(382/(22+1))</f>
        <v>1.2203355268941158</v>
      </c>
      <c r="H4965">
        <f>0.0416666666666666*2.80992639267742</f>
        <v>0.11708026636155898</v>
      </c>
      <c r="I4965">
        <v>0.1170802663615594</v>
      </c>
    </row>
    <row r="4966" spans="1:9" x14ac:dyDescent="0.25">
      <c r="A4966">
        <v>315</v>
      </c>
      <c r="B4966" t="s">
        <v>2001</v>
      </c>
      <c r="C4966" t="s">
        <v>10</v>
      </c>
      <c r="D4966" t="s">
        <v>39</v>
      </c>
      <c r="E4966">
        <f t="shared" si="222"/>
        <v>4.1666666666666664E-2</v>
      </c>
      <c r="F4966">
        <v>145</v>
      </c>
      <c r="G4966">
        <f>LOG(382/(145+1))</f>
        <v>0.41771050712727159</v>
      </c>
      <c r="H4966">
        <f>0.0416666666666666*0.961813986898238</f>
        <v>4.0075582787426525E-2</v>
      </c>
      <c r="I4966">
        <v>4.0075582787426609E-2</v>
      </c>
    </row>
    <row r="4967" spans="1:9" x14ac:dyDescent="0.25">
      <c r="A4967">
        <v>315</v>
      </c>
      <c r="B4967" t="s">
        <v>2001</v>
      </c>
      <c r="C4967" t="s">
        <v>10</v>
      </c>
      <c r="D4967" t="s">
        <v>645</v>
      </c>
      <c r="E4967">
        <f t="shared" si="222"/>
        <v>4.1666666666666664E-2</v>
      </c>
      <c r="F4967">
        <v>5</v>
      </c>
      <c r="G4967">
        <f>LOG(382/(5+1))</f>
        <v>1.803912112528065</v>
      </c>
      <c r="H4967">
        <f>0.0416666666666666*4.15366113937852</f>
        <v>0.17306921414077139</v>
      </c>
      <c r="I4967">
        <v>0.17306921414077159</v>
      </c>
    </row>
    <row r="4968" spans="1:9" x14ac:dyDescent="0.25">
      <c r="A4968">
        <v>315</v>
      </c>
      <c r="B4968" t="s">
        <v>2001</v>
      </c>
      <c r="C4968" t="s">
        <v>10</v>
      </c>
      <c r="D4968" t="s">
        <v>106</v>
      </c>
      <c r="E4968">
        <f t="shared" si="222"/>
        <v>4.1666666666666664E-2</v>
      </c>
      <c r="F4968">
        <v>17</v>
      </c>
      <c r="G4968">
        <f>LOG(382/(17+1))</f>
        <v>1.3267908578084027</v>
      </c>
      <c r="H4968">
        <f>0.0416666666666666*3.05504885071041</f>
        <v>0.12729370211293356</v>
      </c>
      <c r="I4968">
        <v>0.12729370211293381</v>
      </c>
    </row>
    <row r="4969" spans="1:9" x14ac:dyDescent="0.25">
      <c r="A4969">
        <v>315</v>
      </c>
      <c r="B4969" t="s">
        <v>2001</v>
      </c>
      <c r="C4969" t="s">
        <v>10</v>
      </c>
      <c r="D4969" t="s">
        <v>576</v>
      </c>
      <c r="E4969">
        <f t="shared" si="222"/>
        <v>4.1666666666666664E-2</v>
      </c>
      <c r="F4969">
        <v>5</v>
      </c>
      <c r="G4969">
        <f>LOG(382/(5+1))</f>
        <v>1.803912112528065</v>
      </c>
      <c r="H4969">
        <f>0.0416666666666666*4.15366113937852</f>
        <v>0.17306921414077139</v>
      </c>
      <c r="I4969">
        <v>0.17306921414077159</v>
      </c>
    </row>
    <row r="4970" spans="1:9" x14ac:dyDescent="0.25">
      <c r="A4970">
        <v>315</v>
      </c>
      <c r="B4970" t="s">
        <v>2001</v>
      </c>
      <c r="C4970" t="s">
        <v>10</v>
      </c>
      <c r="D4970" t="s">
        <v>580</v>
      </c>
      <c r="E4970">
        <f t="shared" si="222"/>
        <v>4.1666666666666664E-2</v>
      </c>
      <c r="F4970">
        <v>17</v>
      </c>
      <c r="G4970">
        <f>LOG(382/(17+1))</f>
        <v>1.3267908578084027</v>
      </c>
      <c r="H4970">
        <f>0.0416666666666666*3.05504885071041</f>
        <v>0.12729370211293356</v>
      </c>
      <c r="I4970">
        <v>0.12729370211293381</v>
      </c>
    </row>
    <row r="4971" spans="1:9" x14ac:dyDescent="0.25">
      <c r="A4971">
        <v>315</v>
      </c>
      <c r="B4971" t="s">
        <v>2001</v>
      </c>
      <c r="C4971" t="s">
        <v>10</v>
      </c>
      <c r="D4971" t="s">
        <v>183</v>
      </c>
      <c r="E4971">
        <f t="shared" si="222"/>
        <v>4.1666666666666664E-2</v>
      </c>
      <c r="F4971">
        <v>46</v>
      </c>
      <c r="G4971">
        <f>LOG(382/(46+1))</f>
        <v>0.90996550497599127</v>
      </c>
      <c r="H4971">
        <f>0.0416666666666666*2.09527300689651</f>
        <v>8.7303041954021124E-2</v>
      </c>
      <c r="I4971">
        <v>8.7303041954021512E-2</v>
      </c>
    </row>
    <row r="4972" spans="1:9" x14ac:dyDescent="0.25">
      <c r="A4972">
        <v>316</v>
      </c>
      <c r="B4972" t="s">
        <v>2002</v>
      </c>
      <c r="C4972" t="s">
        <v>10</v>
      </c>
      <c r="D4972" t="s">
        <v>36</v>
      </c>
      <c r="E4972">
        <f>4/42</f>
        <v>9.5238095238095233E-2</v>
      </c>
      <c r="F4972">
        <v>58</v>
      </c>
      <c r="G4972">
        <f>LOG(382/(58+1))</f>
        <v>0.81121135126956456</v>
      </c>
      <c r="H4972">
        <f>0.0952380952380952*1.86788316470085</f>
        <v>0.17789363473341421</v>
      </c>
      <c r="I4972">
        <v>0.1778936347334148</v>
      </c>
    </row>
    <row r="4973" spans="1:9" x14ac:dyDescent="0.25">
      <c r="A4973">
        <v>316</v>
      </c>
      <c r="B4973" t="s">
        <v>2002</v>
      </c>
      <c r="C4973" t="s">
        <v>10</v>
      </c>
      <c r="D4973" t="s">
        <v>2003</v>
      </c>
      <c r="E4973">
        <f>1/42</f>
        <v>2.3809523809523808E-2</v>
      </c>
      <c r="F4973">
        <v>2</v>
      </c>
      <c r="G4973">
        <f>LOG(382/(2+1))</f>
        <v>2.1049421081920463</v>
      </c>
      <c r="H4973">
        <f>0.0238095238095238*4.84680831993846</f>
        <v>0.11540019809377282</v>
      </c>
      <c r="I4973">
        <v>0.115400198093773</v>
      </c>
    </row>
    <row r="4974" spans="1:9" x14ac:dyDescent="0.25">
      <c r="A4974">
        <v>316</v>
      </c>
      <c r="B4974" t="s">
        <v>2002</v>
      </c>
      <c r="C4974" t="s">
        <v>10</v>
      </c>
      <c r="D4974" t="s">
        <v>38</v>
      </c>
      <c r="E4974">
        <f>1/42</f>
        <v>2.3809523809523808E-2</v>
      </c>
      <c r="F4974">
        <v>86</v>
      </c>
      <c r="G4974">
        <f>LOG(382/(86+1))</f>
        <v>0.64254411029309022</v>
      </c>
      <c r="H4974">
        <f>0.0238095238095238*1.47951248995199</f>
        <v>3.5226487855999751E-2</v>
      </c>
      <c r="I4974">
        <v>3.5226487855999793E-2</v>
      </c>
    </row>
    <row r="4975" spans="1:9" x14ac:dyDescent="0.25">
      <c r="A4975">
        <v>316</v>
      </c>
      <c r="B4975" t="s">
        <v>2002</v>
      </c>
      <c r="C4975" t="s">
        <v>10</v>
      </c>
      <c r="D4975" t="s">
        <v>404</v>
      </c>
      <c r="E4975">
        <f>1/42</f>
        <v>2.3809523809523808E-2</v>
      </c>
      <c r="F4975">
        <v>22</v>
      </c>
      <c r="G4975">
        <f>LOG(382/(22+1))</f>
        <v>1.2203355268941158</v>
      </c>
      <c r="H4975">
        <f>0.0238095238095238*2.80992639267742</f>
        <v>6.6903009349462347E-2</v>
      </c>
      <c r="I4975">
        <v>6.6903009349462514E-2</v>
      </c>
    </row>
    <row r="4976" spans="1:9" x14ac:dyDescent="0.25">
      <c r="A4976">
        <v>316</v>
      </c>
      <c r="B4976" t="s">
        <v>2002</v>
      </c>
      <c r="C4976" t="s">
        <v>10</v>
      </c>
      <c r="D4976" t="s">
        <v>39</v>
      </c>
      <c r="E4976">
        <f>1/42</f>
        <v>2.3809523809523808E-2</v>
      </c>
      <c r="F4976">
        <v>145</v>
      </c>
      <c r="G4976">
        <f>LOG(382/(145+1))</f>
        <v>0.41771050712727159</v>
      </c>
      <c r="H4976">
        <f>0.0238095238095238*0.961813986898238</f>
        <v>2.2900333021386613E-2</v>
      </c>
      <c r="I4976">
        <v>2.290033302138663E-2</v>
      </c>
    </row>
    <row r="4977" spans="1:9" x14ac:dyDescent="0.25">
      <c r="A4977">
        <v>316</v>
      </c>
      <c r="B4977" t="s">
        <v>2002</v>
      </c>
      <c r="C4977" t="s">
        <v>10</v>
      </c>
      <c r="D4977" t="s">
        <v>2004</v>
      </c>
      <c r="E4977">
        <f>1/42</f>
        <v>2.3809523809523808E-2</v>
      </c>
      <c r="F4977">
        <v>1</v>
      </c>
      <c r="G4977">
        <f>LOG(382/(1+1))</f>
        <v>2.2810333672477277</v>
      </c>
      <c r="H4977">
        <f>0.0238095238095238*5.25227342804663</f>
        <v>0.12505412923920542</v>
      </c>
      <c r="I4977">
        <v>0.1250541292392055</v>
      </c>
    </row>
    <row r="4978" spans="1:9" x14ac:dyDescent="0.25">
      <c r="A4978">
        <v>316</v>
      </c>
      <c r="B4978" t="s">
        <v>2002</v>
      </c>
      <c r="C4978" t="s">
        <v>10</v>
      </c>
      <c r="D4978" t="s">
        <v>363</v>
      </c>
      <c r="E4978">
        <f>2/42</f>
        <v>4.7619047619047616E-2</v>
      </c>
      <c r="F4978">
        <v>36</v>
      </c>
      <c r="G4978">
        <f>LOG(382/(36+1))</f>
        <v>1.0138616388447137</v>
      </c>
      <c r="H4978">
        <f>0.0476190476190476*2.33450269596235</f>
        <v>0.11116679504582616</v>
      </c>
      <c r="I4978">
        <v>0.1111667950458262</v>
      </c>
    </row>
    <row r="4979" spans="1:9" x14ac:dyDescent="0.25">
      <c r="A4979">
        <v>316</v>
      </c>
      <c r="B4979" t="s">
        <v>2002</v>
      </c>
      <c r="C4979" t="s">
        <v>10</v>
      </c>
      <c r="D4979" t="s">
        <v>874</v>
      </c>
      <c r="E4979">
        <f>1/42</f>
        <v>2.3809523809523808E-2</v>
      </c>
      <c r="F4979">
        <v>4</v>
      </c>
      <c r="G4979">
        <f>LOG(382/(4+1))</f>
        <v>1.8830933585756899</v>
      </c>
      <c r="H4979">
        <f>0.0238095238095238*4.33598269617247</f>
        <v>0.10323768324220164</v>
      </c>
      <c r="I4979">
        <v>0.1032376832422018</v>
      </c>
    </row>
    <row r="4980" spans="1:9" x14ac:dyDescent="0.25">
      <c r="A4980">
        <v>316</v>
      </c>
      <c r="B4980" t="s">
        <v>2002</v>
      </c>
      <c r="C4980" t="s">
        <v>10</v>
      </c>
      <c r="D4980" t="s">
        <v>752</v>
      </c>
      <c r="E4980">
        <f>1/42</f>
        <v>2.3809523809523808E-2</v>
      </c>
      <c r="F4980">
        <v>34</v>
      </c>
      <c r="G4980">
        <f>LOG(382/(34+1))</f>
        <v>1.037995318561433</v>
      </c>
      <c r="H4980">
        <f>0.0238095238095238*2.39007254711716</f>
        <v>5.6906489217075217E-2</v>
      </c>
      <c r="I4980">
        <v>5.6906489217075272E-2</v>
      </c>
    </row>
    <row r="4981" spans="1:9" x14ac:dyDescent="0.25">
      <c r="A4981">
        <v>316</v>
      </c>
      <c r="B4981" t="s">
        <v>2002</v>
      </c>
      <c r="C4981" t="s">
        <v>10</v>
      </c>
      <c r="D4981" t="s">
        <v>76</v>
      </c>
      <c r="E4981">
        <f>2/42</f>
        <v>4.7619047619047616E-2</v>
      </c>
      <c r="F4981">
        <v>140</v>
      </c>
      <c r="G4981">
        <f>LOG(382/(140+1))</f>
        <v>0.43284425025632883</v>
      </c>
      <c r="H4981">
        <f>0.0476190476190476*0.996660718228407</f>
        <v>4.7460034201352697E-2</v>
      </c>
      <c r="I4981">
        <v>4.746003420135271E-2</v>
      </c>
    </row>
    <row r="4982" spans="1:9" x14ac:dyDescent="0.25">
      <c r="A4982">
        <v>316</v>
      </c>
      <c r="B4982" t="s">
        <v>2002</v>
      </c>
      <c r="C4982" t="s">
        <v>10</v>
      </c>
      <c r="D4982" t="s">
        <v>1982</v>
      </c>
      <c r="E4982">
        <f>1/42</f>
        <v>2.3809523809523808E-2</v>
      </c>
      <c r="F4982">
        <v>3</v>
      </c>
      <c r="G4982">
        <f>LOG(382/(3+1))</f>
        <v>1.9800033715837464</v>
      </c>
      <c r="H4982">
        <f>0.0238095238095238*4.55912624748668</f>
        <v>0.108550624940159</v>
      </c>
      <c r="I4982">
        <v>0.1085506249401591</v>
      </c>
    </row>
    <row r="4983" spans="1:9" x14ac:dyDescent="0.25">
      <c r="A4983">
        <v>316</v>
      </c>
      <c r="B4983" t="s">
        <v>2002</v>
      </c>
      <c r="C4983" t="s">
        <v>10</v>
      </c>
      <c r="D4983" t="s">
        <v>77</v>
      </c>
      <c r="E4983">
        <f>4/42</f>
        <v>9.5238095238095233E-2</v>
      </c>
      <c r="F4983">
        <v>148</v>
      </c>
      <c r="G4983">
        <f>LOG(382/(148+1))</f>
        <v>0.40887709449943471</v>
      </c>
      <c r="H4983">
        <f>0.0952380952380952*0.941474302661116</f>
        <v>8.966421930105864E-2</v>
      </c>
      <c r="I4983">
        <v>8.9664219301058667E-2</v>
      </c>
    </row>
    <row r="4984" spans="1:9" x14ac:dyDescent="0.25">
      <c r="A4984">
        <v>316</v>
      </c>
      <c r="B4984" t="s">
        <v>2002</v>
      </c>
      <c r="C4984" t="s">
        <v>10</v>
      </c>
      <c r="D4984" t="s">
        <v>103</v>
      </c>
      <c r="E4984">
        <f t="shared" ref="E4984:E4990" si="223">1/42</f>
        <v>2.3809523809523808E-2</v>
      </c>
      <c r="F4984">
        <v>38</v>
      </c>
      <c r="G4984">
        <f>LOG(382/(38+1))</f>
        <v>0.99099875588520958</v>
      </c>
      <c r="H4984">
        <f>0.0238095238095238*2.28185896247692</f>
        <v>5.432997529706951E-2</v>
      </c>
      <c r="I4984">
        <v>5.4329975297069732E-2</v>
      </c>
    </row>
    <row r="4985" spans="1:9" x14ac:dyDescent="0.25">
      <c r="A4985">
        <v>316</v>
      </c>
      <c r="B4985" t="s">
        <v>2002</v>
      </c>
      <c r="C4985" t="s">
        <v>10</v>
      </c>
      <c r="D4985" t="s">
        <v>1397</v>
      </c>
      <c r="E4985">
        <f t="shared" si="223"/>
        <v>2.3809523809523808E-2</v>
      </c>
      <c r="F4985">
        <v>29</v>
      </c>
      <c r="G4985">
        <f>LOG(382/(29+1))</f>
        <v>1.1049421081920463</v>
      </c>
      <c r="H4985">
        <f>0.0238095238095238*2.54422322694442</f>
        <v>6.0576743498676644E-2</v>
      </c>
      <c r="I4985">
        <v>6.0576743498676658E-2</v>
      </c>
    </row>
    <row r="4986" spans="1:9" x14ac:dyDescent="0.25">
      <c r="A4986">
        <v>316</v>
      </c>
      <c r="B4986" t="s">
        <v>2002</v>
      </c>
      <c r="C4986" t="s">
        <v>10</v>
      </c>
      <c r="D4986" t="s">
        <v>2005</v>
      </c>
      <c r="E4986">
        <f t="shared" si="223"/>
        <v>2.3809523809523808E-2</v>
      </c>
      <c r="F4986">
        <v>4</v>
      </c>
      <c r="G4986">
        <f>LOG(382/(4+1))</f>
        <v>1.8830933585756899</v>
      </c>
      <c r="H4986">
        <f>0.0238095238095238*4.33598269617247</f>
        <v>0.10323768324220164</v>
      </c>
      <c r="I4986">
        <v>0.1032376832422018</v>
      </c>
    </row>
    <row r="4987" spans="1:9" x14ac:dyDescent="0.25">
      <c r="A4987">
        <v>316</v>
      </c>
      <c r="B4987" t="s">
        <v>2002</v>
      </c>
      <c r="C4987" t="s">
        <v>10</v>
      </c>
      <c r="D4987" t="s">
        <v>2006</v>
      </c>
      <c r="E4987">
        <f t="shared" si="223"/>
        <v>2.3809523809523808E-2</v>
      </c>
      <c r="F4987">
        <v>3</v>
      </c>
      <c r="G4987">
        <f>LOG(382/(3+1))</f>
        <v>1.9800033715837464</v>
      </c>
      <c r="H4987">
        <f>0.0238095238095238*4.55912624748668</f>
        <v>0.108550624940159</v>
      </c>
      <c r="I4987">
        <v>0.1085506249401591</v>
      </c>
    </row>
    <row r="4988" spans="1:9" x14ac:dyDescent="0.25">
      <c r="A4988">
        <v>316</v>
      </c>
      <c r="B4988" t="s">
        <v>2002</v>
      </c>
      <c r="C4988" t="s">
        <v>10</v>
      </c>
      <c r="D4988" t="s">
        <v>2007</v>
      </c>
      <c r="E4988">
        <f t="shared" si="223"/>
        <v>2.3809523809523808E-2</v>
      </c>
      <c r="F4988">
        <v>5</v>
      </c>
      <c r="G4988">
        <f>LOG(382/(5+1))</f>
        <v>1.803912112528065</v>
      </c>
      <c r="H4988">
        <f>0.0238095238095238*4.15366113937852</f>
        <v>9.8896693794726626E-2</v>
      </c>
      <c r="I4988">
        <v>9.8896693794726653E-2</v>
      </c>
    </row>
    <row r="4989" spans="1:9" x14ac:dyDescent="0.25">
      <c r="A4989">
        <v>316</v>
      </c>
      <c r="B4989" t="s">
        <v>2002</v>
      </c>
      <c r="C4989" t="s">
        <v>10</v>
      </c>
      <c r="D4989" t="s">
        <v>799</v>
      </c>
      <c r="E4989">
        <f t="shared" si="223"/>
        <v>2.3809523809523808E-2</v>
      </c>
      <c r="F4989">
        <v>8</v>
      </c>
      <c r="G4989">
        <f>LOG(382/(8+1))</f>
        <v>1.6278208534723839</v>
      </c>
      <c r="H4989">
        <f>0.0238095238095238*3.74819603127035</f>
        <v>8.9242762649294011E-2</v>
      </c>
      <c r="I4989">
        <v>8.9242762649294177E-2</v>
      </c>
    </row>
    <row r="4990" spans="1:9" x14ac:dyDescent="0.25">
      <c r="A4990">
        <v>316</v>
      </c>
      <c r="B4990" t="s">
        <v>2002</v>
      </c>
      <c r="C4990" t="s">
        <v>10</v>
      </c>
      <c r="D4990" t="s">
        <v>44</v>
      </c>
      <c r="E4990">
        <f t="shared" si="223"/>
        <v>2.3809523809523808E-2</v>
      </c>
      <c r="F4990">
        <v>151</v>
      </c>
      <c r="G4990">
        <f>LOG(382/(151+1))</f>
        <v>0.40021977496693617</v>
      </c>
      <c r="H4990">
        <f>0.0238095238095238*0.921540087760298</f>
        <v>2.1941430660959469E-2</v>
      </c>
      <c r="I4990">
        <v>2.194143066095949E-2</v>
      </c>
    </row>
    <row r="4991" spans="1:9" x14ac:dyDescent="0.25">
      <c r="A4991">
        <v>316</v>
      </c>
      <c r="B4991" t="s">
        <v>2002</v>
      </c>
      <c r="C4991" t="s">
        <v>10</v>
      </c>
      <c r="D4991" t="s">
        <v>40</v>
      </c>
      <c r="E4991">
        <f>2/42</f>
        <v>4.7619047619047616E-2</v>
      </c>
      <c r="F4991">
        <v>159</v>
      </c>
      <c r="G4991">
        <f>LOG(382/(159+1))</f>
        <v>0.377943380255784</v>
      </c>
      <c r="H4991">
        <f>0.0476190476190476*0.870246793372748</f>
        <v>4.1440323493940369E-2</v>
      </c>
      <c r="I4991">
        <v>4.1440323493940397E-2</v>
      </c>
    </row>
    <row r="4992" spans="1:9" x14ac:dyDescent="0.25">
      <c r="A4992">
        <v>316</v>
      </c>
      <c r="B4992" t="s">
        <v>2002</v>
      </c>
      <c r="C4992" t="s">
        <v>10</v>
      </c>
      <c r="D4992" t="s">
        <v>41</v>
      </c>
      <c r="E4992">
        <f>2/42</f>
        <v>4.7619047619047616E-2</v>
      </c>
      <c r="F4992">
        <v>195</v>
      </c>
      <c r="G4992">
        <f>LOG(382/(195+1))</f>
        <v>0.28980729155523272</v>
      </c>
      <c r="H4992">
        <f>0.0476190476190476*0.667305949376058</f>
        <v>3.1776473779812277E-2</v>
      </c>
      <c r="I4992">
        <v>3.1776473779812277E-2</v>
      </c>
    </row>
    <row r="4993" spans="1:9" x14ac:dyDescent="0.25">
      <c r="A4993">
        <v>316</v>
      </c>
      <c r="B4993" t="s">
        <v>2002</v>
      </c>
      <c r="C4993" t="s">
        <v>10</v>
      </c>
      <c r="D4993" t="s">
        <v>68</v>
      </c>
      <c r="E4993">
        <f>2/42</f>
        <v>4.7619047619047616E-2</v>
      </c>
      <c r="F4993">
        <v>43</v>
      </c>
      <c r="G4993">
        <f>LOG(382/(43+1))</f>
        <v>0.93861068642552126</v>
      </c>
      <c r="H4993">
        <f>0.0476190476190476*2.16123097468831</f>
        <v>0.10291576069944329</v>
      </c>
      <c r="I4993">
        <v>0.1029157606994435</v>
      </c>
    </row>
    <row r="4994" spans="1:9" x14ac:dyDescent="0.25">
      <c r="A4994">
        <v>316</v>
      </c>
      <c r="B4994" t="s">
        <v>2002</v>
      </c>
      <c r="C4994" t="s">
        <v>10</v>
      </c>
      <c r="D4994" t="s">
        <v>991</v>
      </c>
      <c r="E4994">
        <f>2/42</f>
        <v>4.7619047619047616E-2</v>
      </c>
      <c r="F4994">
        <v>2</v>
      </c>
      <c r="G4994">
        <f>LOG(382/(2+1))</f>
        <v>2.1049421081920463</v>
      </c>
      <c r="H4994">
        <f>0.0476190476190476*4.84680831993846</f>
        <v>0.23080039618754564</v>
      </c>
      <c r="I4994">
        <v>0.23080039618754589</v>
      </c>
    </row>
    <row r="4995" spans="1:9" x14ac:dyDescent="0.25">
      <c r="A4995">
        <v>316</v>
      </c>
      <c r="B4995" t="s">
        <v>2002</v>
      </c>
      <c r="C4995" t="s">
        <v>10</v>
      </c>
      <c r="D4995" t="s">
        <v>2008</v>
      </c>
      <c r="E4995">
        <f t="shared" ref="E4995:E5001" si="224">1/42</f>
        <v>2.3809523809523808E-2</v>
      </c>
      <c r="F4995">
        <v>1</v>
      </c>
      <c r="G4995">
        <f>LOG(382/(1+1))</f>
        <v>2.2810333672477277</v>
      </c>
      <c r="H4995">
        <f>0.0238095238095238*5.25227342804663</f>
        <v>0.12505412923920542</v>
      </c>
      <c r="I4995">
        <v>0.1250541292392055</v>
      </c>
    </row>
    <row r="4996" spans="1:9" x14ac:dyDescent="0.25">
      <c r="A4996">
        <v>316</v>
      </c>
      <c r="B4996" t="s">
        <v>2002</v>
      </c>
      <c r="C4996" t="s">
        <v>10</v>
      </c>
      <c r="D4996" t="s">
        <v>237</v>
      </c>
      <c r="E4996">
        <f t="shared" si="224"/>
        <v>2.3809523809523808E-2</v>
      </c>
      <c r="F4996">
        <v>138</v>
      </c>
      <c r="G4996">
        <f>LOG(382/(138+1))</f>
        <v>0.43904856265761361</v>
      </c>
      <c r="H4996">
        <f>0.0238095238095238*1.01094667547588</f>
        <v>2.4070158939901897E-2</v>
      </c>
      <c r="I4996">
        <v>2.407015893990198E-2</v>
      </c>
    </row>
    <row r="4997" spans="1:9" x14ac:dyDescent="0.25">
      <c r="A4997">
        <v>316</v>
      </c>
      <c r="B4997" t="s">
        <v>2002</v>
      </c>
      <c r="C4997" t="s">
        <v>10</v>
      </c>
      <c r="D4997" t="s">
        <v>133</v>
      </c>
      <c r="E4997">
        <f t="shared" si="224"/>
        <v>2.3809523809523808E-2</v>
      </c>
      <c r="F4997">
        <v>142</v>
      </c>
      <c r="G4997">
        <f>LOG(382/(142+1))</f>
        <v>0.42672732544664693</v>
      </c>
      <c r="H4997">
        <f>0.0238095238095238*0.982575978346667</f>
        <v>2.3394666151111111E-2</v>
      </c>
      <c r="I4997">
        <v>2.3394666151111139E-2</v>
      </c>
    </row>
    <row r="4998" spans="1:9" x14ac:dyDescent="0.25">
      <c r="A4998">
        <v>316</v>
      </c>
      <c r="B4998" t="s">
        <v>2002</v>
      </c>
      <c r="C4998" t="s">
        <v>10</v>
      </c>
      <c r="D4998" t="s">
        <v>487</v>
      </c>
      <c r="E4998">
        <f t="shared" si="224"/>
        <v>2.3809523809523808E-2</v>
      </c>
      <c r="F4998">
        <v>32</v>
      </c>
      <c r="G4998">
        <f>LOG(382/(32+1))</f>
        <v>1.0635494230338212</v>
      </c>
      <c r="H4998">
        <f>0.0238095238095238*2.44891304714009</f>
        <v>5.8307453503335459E-2</v>
      </c>
      <c r="I4998">
        <v>5.8307453503335591E-2</v>
      </c>
    </row>
    <row r="4999" spans="1:9" x14ac:dyDescent="0.25">
      <c r="A4999">
        <v>316</v>
      </c>
      <c r="B4999" t="s">
        <v>2002</v>
      </c>
      <c r="C4999" t="s">
        <v>10</v>
      </c>
      <c r="D4999" t="s">
        <v>362</v>
      </c>
      <c r="E4999">
        <f t="shared" si="224"/>
        <v>2.3809523809523808E-2</v>
      </c>
      <c r="F4999">
        <v>81</v>
      </c>
      <c r="G4999">
        <f>LOG(382/(81+1))</f>
        <v>0.66824951052799197</v>
      </c>
      <c r="H4999">
        <f>0.0238095238095238*1.53870136134232</f>
        <v>3.6635746698626653E-2</v>
      </c>
      <c r="I4999">
        <v>3.6635746698626709E-2</v>
      </c>
    </row>
    <row r="5000" spans="1:9" x14ac:dyDescent="0.25">
      <c r="A5000">
        <v>316</v>
      </c>
      <c r="B5000" t="s">
        <v>2002</v>
      </c>
      <c r="C5000" t="s">
        <v>10</v>
      </c>
      <c r="D5000" t="s">
        <v>2009</v>
      </c>
      <c r="E5000">
        <f t="shared" si="224"/>
        <v>2.3809523809523808E-2</v>
      </c>
      <c r="F5000">
        <v>4</v>
      </c>
      <c r="G5000">
        <f>LOG(382/(4+1))</f>
        <v>1.8830933585756899</v>
      </c>
      <c r="H5000">
        <f>0.0238095238095238*4.33598269617247</f>
        <v>0.10323768324220164</v>
      </c>
      <c r="I5000">
        <v>0.1032376832422018</v>
      </c>
    </row>
    <row r="5001" spans="1:9" x14ac:dyDescent="0.25">
      <c r="A5001">
        <v>316</v>
      </c>
      <c r="B5001" t="s">
        <v>2002</v>
      </c>
      <c r="C5001" t="s">
        <v>10</v>
      </c>
      <c r="D5001" t="s">
        <v>580</v>
      </c>
      <c r="E5001">
        <f t="shared" si="224"/>
        <v>2.3809523809523808E-2</v>
      </c>
      <c r="F5001">
        <v>17</v>
      </c>
      <c r="G5001">
        <f>LOG(382/(17+1))</f>
        <v>1.3267908578084027</v>
      </c>
      <c r="H5001">
        <f>0.0238095238095238*3.05504885071041</f>
        <v>7.2739258350247832E-2</v>
      </c>
      <c r="I5001">
        <v>7.273925835024786E-2</v>
      </c>
    </row>
    <row r="5002" spans="1:9" x14ac:dyDescent="0.25">
      <c r="A5002">
        <v>317</v>
      </c>
      <c r="B5002" t="s">
        <v>2010</v>
      </c>
      <c r="C5002" t="s">
        <v>10</v>
      </c>
      <c r="D5002" t="s">
        <v>11</v>
      </c>
      <c r="E5002">
        <f>2/19</f>
        <v>0.10526315789473684</v>
      </c>
      <c r="F5002">
        <v>83</v>
      </c>
      <c r="G5002">
        <f>LOG(382/(83+1))</f>
        <v>0.65778407684982709</v>
      </c>
      <c r="H5002">
        <f>0.105263157894736*1.51460380976326</f>
        <v>0.15943197997507871</v>
      </c>
      <c r="I5002">
        <v>0.15943197997508021</v>
      </c>
    </row>
    <row r="5003" spans="1:9" x14ac:dyDescent="0.25">
      <c r="A5003">
        <v>317</v>
      </c>
      <c r="B5003" t="s">
        <v>2010</v>
      </c>
      <c r="C5003" t="s">
        <v>10</v>
      </c>
      <c r="D5003" t="s">
        <v>12</v>
      </c>
      <c r="E5003">
        <f t="shared" ref="E5003:E5010" si="225">1/19</f>
        <v>5.2631578947368418E-2</v>
      </c>
      <c r="F5003">
        <v>28</v>
      </c>
      <c r="G5003">
        <f>LOG(382/(28+1))</f>
        <v>1.1196653650127526</v>
      </c>
      <c r="H5003">
        <f>0.0526315789473684*2.5781247786201</f>
        <v>0.13569077782211045</v>
      </c>
      <c r="I5003">
        <v>0.13569077782211059</v>
      </c>
    </row>
    <row r="5004" spans="1:9" x14ac:dyDescent="0.25">
      <c r="A5004">
        <v>317</v>
      </c>
      <c r="B5004" t="s">
        <v>2010</v>
      </c>
      <c r="C5004" t="s">
        <v>10</v>
      </c>
      <c r="D5004" t="s">
        <v>15</v>
      </c>
      <c r="E5004">
        <f t="shared" si="225"/>
        <v>5.2631578947368418E-2</v>
      </c>
      <c r="F5004">
        <v>112</v>
      </c>
      <c r="G5004">
        <f>LOG(382/(112+1))</f>
        <v>0.52898491942828896</v>
      </c>
      <c r="H5004">
        <f>0.0526315789473684*1.21803278989423</f>
        <v>6.4106988941801557E-2</v>
      </c>
      <c r="I5004">
        <v>6.4106988941801821E-2</v>
      </c>
    </row>
    <row r="5005" spans="1:9" x14ac:dyDescent="0.25">
      <c r="A5005">
        <v>317</v>
      </c>
      <c r="B5005" t="s">
        <v>2010</v>
      </c>
      <c r="C5005" t="s">
        <v>10</v>
      </c>
      <c r="D5005" t="s">
        <v>2011</v>
      </c>
      <c r="E5005">
        <f t="shared" si="225"/>
        <v>5.2631578947368418E-2</v>
      </c>
      <c r="F5005">
        <v>1</v>
      </c>
      <c r="G5005">
        <f>LOG(382/(1+1))</f>
        <v>2.2810333672477277</v>
      </c>
      <c r="H5005">
        <f>0.0526315789473684*5.25227342804663</f>
        <v>0.27643544358140143</v>
      </c>
      <c r="I5005">
        <v>0.27643544358140149</v>
      </c>
    </row>
    <row r="5006" spans="1:9" x14ac:dyDescent="0.25">
      <c r="A5006">
        <v>317</v>
      </c>
      <c r="B5006" t="s">
        <v>2010</v>
      </c>
      <c r="C5006" t="s">
        <v>10</v>
      </c>
      <c r="D5006" t="s">
        <v>17</v>
      </c>
      <c r="E5006">
        <f t="shared" si="225"/>
        <v>5.2631578947368418E-2</v>
      </c>
      <c r="F5006">
        <v>169</v>
      </c>
      <c r="G5006">
        <f>LOG(382/(169+1))</f>
        <v>0.3516144415334348</v>
      </c>
      <c r="H5006">
        <f>0.0526315789473684*0.809622171556313</f>
        <v>4.2611693239805931E-2</v>
      </c>
      <c r="I5006">
        <v>4.2611693239805973E-2</v>
      </c>
    </row>
    <row r="5007" spans="1:9" x14ac:dyDescent="0.25">
      <c r="A5007">
        <v>317</v>
      </c>
      <c r="B5007" t="s">
        <v>2010</v>
      </c>
      <c r="C5007" t="s">
        <v>10</v>
      </c>
      <c r="D5007" t="s">
        <v>1064</v>
      </c>
      <c r="E5007">
        <f t="shared" si="225"/>
        <v>5.2631578947368418E-2</v>
      </c>
      <c r="F5007">
        <v>7</v>
      </c>
      <c r="G5007">
        <f>LOG(382/(7+1))</f>
        <v>1.6789733759197651</v>
      </c>
      <c r="H5007">
        <f>0.0526315789473684*3.86597906692673</f>
        <v>0.2034725824698278</v>
      </c>
      <c r="I5007">
        <v>0.20347258246982841</v>
      </c>
    </row>
    <row r="5008" spans="1:9" x14ac:dyDescent="0.25">
      <c r="A5008">
        <v>317</v>
      </c>
      <c r="B5008" t="s">
        <v>2010</v>
      </c>
      <c r="C5008" t="s">
        <v>10</v>
      </c>
      <c r="D5008" t="s">
        <v>1230</v>
      </c>
      <c r="E5008">
        <f t="shared" si="225"/>
        <v>5.2631578947368418E-2</v>
      </c>
      <c r="F5008">
        <v>10</v>
      </c>
      <c r="G5008">
        <f>LOG(382/(10+1))</f>
        <v>1.5406706777534838</v>
      </c>
      <c r="H5008">
        <f>0.0526315789473684*3.5475253358082</f>
        <v>0.18671185977937887</v>
      </c>
      <c r="I5008">
        <v>0.18671185977937921</v>
      </c>
    </row>
    <row r="5009" spans="1:9" x14ac:dyDescent="0.25">
      <c r="A5009">
        <v>317</v>
      </c>
      <c r="B5009" t="s">
        <v>2010</v>
      </c>
      <c r="C5009" t="s">
        <v>10</v>
      </c>
      <c r="D5009" t="s">
        <v>40</v>
      </c>
      <c r="E5009">
        <f t="shared" si="225"/>
        <v>5.2631578947368418E-2</v>
      </c>
      <c r="F5009">
        <v>159</v>
      </c>
      <c r="G5009">
        <f>LOG(382/(159+1))</f>
        <v>0.377943380255784</v>
      </c>
      <c r="H5009">
        <f>0.0526315789473684*0.870246793372748</f>
        <v>4.5802462809091983E-2</v>
      </c>
      <c r="I5009">
        <v>4.5802462809092018E-2</v>
      </c>
    </row>
    <row r="5010" spans="1:9" x14ac:dyDescent="0.25">
      <c r="A5010">
        <v>317</v>
      </c>
      <c r="B5010" t="s">
        <v>2010</v>
      </c>
      <c r="C5010" t="s">
        <v>10</v>
      </c>
      <c r="D5010" t="s">
        <v>41</v>
      </c>
      <c r="E5010">
        <f t="shared" si="225"/>
        <v>5.2631578947368418E-2</v>
      </c>
      <c r="F5010">
        <v>195</v>
      </c>
      <c r="G5010">
        <f>LOG(382/(195+1))</f>
        <v>0.28980729155523272</v>
      </c>
      <c r="H5010">
        <f>0.0526315789473684*0.667305949376058</f>
        <v>3.5121365756634618E-2</v>
      </c>
      <c r="I5010">
        <v>3.5121365756634632E-2</v>
      </c>
    </row>
    <row r="5011" spans="1:9" x14ac:dyDescent="0.25">
      <c r="A5011">
        <v>317</v>
      </c>
      <c r="B5011" t="s">
        <v>2010</v>
      </c>
      <c r="C5011" t="s">
        <v>10</v>
      </c>
      <c r="D5011" t="s">
        <v>183</v>
      </c>
      <c r="E5011">
        <f>2/19</f>
        <v>0.10526315789473684</v>
      </c>
      <c r="F5011">
        <v>46</v>
      </c>
      <c r="G5011">
        <f>LOG(382/(46+1))</f>
        <v>0.90996550497599127</v>
      </c>
      <c r="H5011">
        <f>0.105263157894736*2.09527300689651</f>
        <v>0.22055505335752562</v>
      </c>
      <c r="I5011">
        <v>0.22055505335752801</v>
      </c>
    </row>
    <row r="5012" spans="1:9" x14ac:dyDescent="0.25">
      <c r="A5012">
        <v>317</v>
      </c>
      <c r="B5012" t="s">
        <v>2010</v>
      </c>
      <c r="C5012" t="s">
        <v>10</v>
      </c>
      <c r="D5012" t="s">
        <v>1534</v>
      </c>
      <c r="E5012">
        <f t="shared" ref="E5012:E5018" si="226">1/19</f>
        <v>5.2631578947368418E-2</v>
      </c>
      <c r="F5012">
        <v>25</v>
      </c>
      <c r="G5012">
        <f>LOG(382/(25+1))</f>
        <v>1.1670900149408907</v>
      </c>
      <c r="H5012">
        <f>0.0526315789473684*2.68732407058509</f>
        <v>0.14143810897816256</v>
      </c>
      <c r="I5012">
        <v>0.14143810897816281</v>
      </c>
    </row>
    <row r="5013" spans="1:9" x14ac:dyDescent="0.25">
      <c r="A5013">
        <v>317</v>
      </c>
      <c r="B5013" t="s">
        <v>2010</v>
      </c>
      <c r="C5013" t="s">
        <v>10</v>
      </c>
      <c r="D5013" t="s">
        <v>2012</v>
      </c>
      <c r="E5013">
        <f t="shared" si="226"/>
        <v>5.2631578947368418E-2</v>
      </c>
      <c r="F5013">
        <v>1</v>
      </c>
      <c r="G5013">
        <f>LOG(382/(1+1))</f>
        <v>2.2810333672477277</v>
      </c>
      <c r="H5013">
        <f>0.0526315789473684*5.25227342804663</f>
        <v>0.27643544358140143</v>
      </c>
      <c r="I5013">
        <v>0.27643544358140149</v>
      </c>
    </row>
    <row r="5014" spans="1:9" x14ac:dyDescent="0.25">
      <c r="A5014">
        <v>317</v>
      </c>
      <c r="B5014" t="s">
        <v>2010</v>
      </c>
      <c r="C5014" t="s">
        <v>10</v>
      </c>
      <c r="D5014" t="s">
        <v>1181</v>
      </c>
      <c r="E5014">
        <f t="shared" si="226"/>
        <v>5.2631578947368418E-2</v>
      </c>
      <c r="F5014">
        <v>11</v>
      </c>
      <c r="G5014">
        <f>LOG(382/(11+1))</f>
        <v>1.5028821168640838</v>
      </c>
      <c r="H5014">
        <f>0.0526315789473684*3.46051395881857</f>
        <v>0.18213231362202992</v>
      </c>
      <c r="I5014">
        <v>0.18213231362203031</v>
      </c>
    </row>
    <row r="5015" spans="1:9" x14ac:dyDescent="0.25">
      <c r="A5015">
        <v>317</v>
      </c>
      <c r="B5015" t="s">
        <v>2010</v>
      </c>
      <c r="C5015" t="s">
        <v>10</v>
      </c>
      <c r="D5015" t="s">
        <v>236</v>
      </c>
      <c r="E5015">
        <f t="shared" si="226"/>
        <v>5.2631578947368418E-2</v>
      </c>
      <c r="F5015">
        <v>87</v>
      </c>
      <c r="G5015">
        <f>LOG(382/(87+1))</f>
        <v>0.63758069076154011</v>
      </c>
      <c r="H5015">
        <f>0.0526315789473684*1.46808379412836</f>
        <v>7.7267568112018917E-2</v>
      </c>
      <c r="I5015">
        <v>7.7267568112019402E-2</v>
      </c>
    </row>
    <row r="5016" spans="1:9" x14ac:dyDescent="0.25">
      <c r="A5016">
        <v>317</v>
      </c>
      <c r="B5016" t="s">
        <v>2010</v>
      </c>
      <c r="C5016" t="s">
        <v>10</v>
      </c>
      <c r="D5016" t="s">
        <v>119</v>
      </c>
      <c r="E5016">
        <f t="shared" si="226"/>
        <v>5.2631578947368418E-2</v>
      </c>
      <c r="F5016">
        <v>79</v>
      </c>
      <c r="G5016">
        <f>LOG(382/(79+1))</f>
        <v>0.67897337591976514</v>
      </c>
      <c r="H5016">
        <f>0.0526315789473684*1.56339397393269</f>
        <v>8.2283893364878388E-2</v>
      </c>
      <c r="I5016">
        <v>8.228389336487861E-2</v>
      </c>
    </row>
    <row r="5017" spans="1:9" x14ac:dyDescent="0.25">
      <c r="A5017">
        <v>317</v>
      </c>
      <c r="B5017" t="s">
        <v>2010</v>
      </c>
      <c r="C5017" t="s">
        <v>10</v>
      </c>
      <c r="D5017" t="s">
        <v>209</v>
      </c>
      <c r="E5017">
        <f t="shared" si="226"/>
        <v>5.2631578947368418E-2</v>
      </c>
      <c r="F5017">
        <v>7</v>
      </c>
      <c r="G5017">
        <f>LOG(382/(7+1))</f>
        <v>1.6789733759197651</v>
      </c>
      <c r="H5017">
        <f>0.0526315789473684*3.86597906692673</f>
        <v>0.2034725824698278</v>
      </c>
      <c r="I5017">
        <v>0.20347258246982841</v>
      </c>
    </row>
    <row r="5018" spans="1:9" x14ac:dyDescent="0.25">
      <c r="A5018">
        <v>317</v>
      </c>
      <c r="B5018" t="s">
        <v>2010</v>
      </c>
      <c r="C5018" t="s">
        <v>10</v>
      </c>
      <c r="D5018" t="s">
        <v>1633</v>
      </c>
      <c r="E5018">
        <f t="shared" si="226"/>
        <v>5.2631578947368418E-2</v>
      </c>
      <c r="F5018">
        <v>18</v>
      </c>
      <c r="G5018">
        <f>LOG(382/(18+1))</f>
        <v>1.3033097619588798</v>
      </c>
      <c r="H5018">
        <f>0.0526315789473684*3.00098162944013</f>
        <v>0.15794640154948048</v>
      </c>
      <c r="I5018">
        <v>0.15794640154948081</v>
      </c>
    </row>
    <row r="5019" spans="1:9" x14ac:dyDescent="0.25">
      <c r="A5019">
        <v>318</v>
      </c>
      <c r="B5019" t="s">
        <v>2013</v>
      </c>
      <c r="C5019" t="s">
        <v>10</v>
      </c>
      <c r="D5019" t="s">
        <v>315</v>
      </c>
      <c r="E5019">
        <f>8/184</f>
        <v>4.3478260869565216E-2</v>
      </c>
      <c r="F5019">
        <v>55</v>
      </c>
      <c r="G5019">
        <f>LOG(382/(55+1))</f>
        <v>0.83387533590550833</v>
      </c>
      <c r="H5019">
        <f>0.0434782608695652*1.92006891787142</f>
        <v>8.3481257298757369E-2</v>
      </c>
      <c r="I5019">
        <v>8.3481257298757647E-2</v>
      </c>
    </row>
    <row r="5020" spans="1:9" x14ac:dyDescent="0.25">
      <c r="A5020">
        <v>318</v>
      </c>
      <c r="B5020" t="s">
        <v>2013</v>
      </c>
      <c r="C5020" t="s">
        <v>10</v>
      </c>
      <c r="D5020" t="s">
        <v>1081</v>
      </c>
      <c r="E5020">
        <f>9/184</f>
        <v>4.8913043478260872E-2</v>
      </c>
      <c r="F5020">
        <v>27</v>
      </c>
      <c r="G5020">
        <f>LOG(382/(27+1))</f>
        <v>1.1349053315694895</v>
      </c>
      <c r="H5020">
        <f>0.0489130434782608*2.61321609843137</f>
        <v>0.12782035264066466</v>
      </c>
      <c r="I5020">
        <v>0.12782035264066491</v>
      </c>
    </row>
    <row r="5021" spans="1:9" x14ac:dyDescent="0.25">
      <c r="A5021">
        <v>318</v>
      </c>
      <c r="B5021" t="s">
        <v>2013</v>
      </c>
      <c r="C5021" t="s">
        <v>10</v>
      </c>
      <c r="D5021" t="s">
        <v>152</v>
      </c>
      <c r="E5021">
        <f>6/184</f>
        <v>3.2608695652173912E-2</v>
      </c>
      <c r="F5021">
        <v>31</v>
      </c>
      <c r="G5021">
        <f>LOG(382/(31+1))</f>
        <v>1.0769133845918029</v>
      </c>
      <c r="H5021">
        <f>0.0326086956521739*2.47968470580684</f>
        <v>8.0859283885005614E-2</v>
      </c>
      <c r="I5021">
        <v>8.0859283885005934E-2</v>
      </c>
    </row>
    <row r="5022" spans="1:9" x14ac:dyDescent="0.25">
      <c r="A5022">
        <v>318</v>
      </c>
      <c r="B5022" t="s">
        <v>2013</v>
      </c>
      <c r="C5022" t="s">
        <v>10</v>
      </c>
      <c r="D5022" t="s">
        <v>115</v>
      </c>
      <c r="E5022">
        <f>5/184</f>
        <v>2.717391304347826E-2</v>
      </c>
      <c r="F5022">
        <v>17</v>
      </c>
      <c r="G5022">
        <f>LOG(382/(17+1))</f>
        <v>1.3267908578084027</v>
      </c>
      <c r="H5022">
        <f>0.0271739130434782*3.05504885071041</f>
        <v>8.3017631812782697E-2</v>
      </c>
      <c r="I5022">
        <v>8.3017631812782891E-2</v>
      </c>
    </row>
    <row r="5023" spans="1:9" x14ac:dyDescent="0.25">
      <c r="A5023">
        <v>318</v>
      </c>
      <c r="B5023" t="s">
        <v>2013</v>
      </c>
      <c r="C5023" t="s">
        <v>10</v>
      </c>
      <c r="D5023" t="s">
        <v>1502</v>
      </c>
      <c r="E5023">
        <f>6/184</f>
        <v>3.2608695652173912E-2</v>
      </c>
      <c r="F5023">
        <v>3</v>
      </c>
      <c r="G5023">
        <f>LOG(382/(3+1))</f>
        <v>1.9800033715837464</v>
      </c>
      <c r="H5023">
        <f>0.0326086956521739*4.55912624748668</f>
        <v>0.14866716024413079</v>
      </c>
      <c r="I5023">
        <v>0.14866716024413101</v>
      </c>
    </row>
    <row r="5024" spans="1:9" x14ac:dyDescent="0.25">
      <c r="A5024">
        <v>318</v>
      </c>
      <c r="B5024" t="s">
        <v>2013</v>
      </c>
      <c r="C5024" t="s">
        <v>10</v>
      </c>
      <c r="D5024" t="s">
        <v>42</v>
      </c>
      <c r="E5024">
        <f>1/184</f>
        <v>5.434782608695652E-3</v>
      </c>
      <c r="F5024">
        <v>251</v>
      </c>
      <c r="G5024">
        <f>LOG(382/(251+1))</f>
        <v>0.18066282213016463</v>
      </c>
      <c r="H5024">
        <f>0.00543478260869565*0.415991521095151</f>
        <v>2.2608234842127761E-3</v>
      </c>
      <c r="I5024">
        <v>2.2608234842127822E-3</v>
      </c>
    </row>
    <row r="5025" spans="1:9" x14ac:dyDescent="0.25">
      <c r="A5025">
        <v>318</v>
      </c>
      <c r="B5025" t="s">
        <v>2013</v>
      </c>
      <c r="C5025" t="s">
        <v>10</v>
      </c>
      <c r="D5025" t="s">
        <v>15</v>
      </c>
      <c r="E5025">
        <f>1/184</f>
        <v>5.434782608695652E-3</v>
      </c>
      <c r="F5025">
        <v>112</v>
      </c>
      <c r="G5025">
        <f>LOG(382/(112+1))</f>
        <v>0.52898491942828896</v>
      </c>
      <c r="H5025">
        <f>0.00543478260869565*1.21803278989423</f>
        <v>6.6197434233382048E-3</v>
      </c>
      <c r="I5025">
        <v>6.6197434233382316E-3</v>
      </c>
    </row>
    <row r="5026" spans="1:9" x14ac:dyDescent="0.25">
      <c r="A5026">
        <v>318</v>
      </c>
      <c r="B5026" t="s">
        <v>2013</v>
      </c>
      <c r="C5026" t="s">
        <v>10</v>
      </c>
      <c r="D5026" t="s">
        <v>17</v>
      </c>
      <c r="E5026">
        <f>1/184</f>
        <v>5.434782608695652E-3</v>
      </c>
      <c r="F5026">
        <v>169</v>
      </c>
      <c r="G5026">
        <f>LOG(382/(169+1))</f>
        <v>0.3516144415334348</v>
      </c>
      <c r="H5026">
        <f>0.00543478260869565*0.809622171556313</f>
        <v>4.4001204975886565E-3</v>
      </c>
      <c r="I5026">
        <v>4.4001204975886599E-3</v>
      </c>
    </row>
    <row r="5027" spans="1:9" x14ac:dyDescent="0.25">
      <c r="A5027">
        <v>318</v>
      </c>
      <c r="B5027" t="s">
        <v>2013</v>
      </c>
      <c r="C5027" t="s">
        <v>10</v>
      </c>
      <c r="D5027" t="s">
        <v>168</v>
      </c>
      <c r="E5027">
        <f>2/184</f>
        <v>1.0869565217391304E-2</v>
      </c>
      <c r="F5027">
        <v>34</v>
      </c>
      <c r="G5027">
        <f>LOG(382/(34+1))</f>
        <v>1.037995318561433</v>
      </c>
      <c r="H5027">
        <f>0.0108695652173913*2.39007254711716</f>
        <v>2.5979049425186512E-2</v>
      </c>
      <c r="I5027">
        <v>2.5979049425186539E-2</v>
      </c>
    </row>
    <row r="5028" spans="1:9" x14ac:dyDescent="0.25">
      <c r="A5028">
        <v>318</v>
      </c>
      <c r="B5028" t="s">
        <v>2013</v>
      </c>
      <c r="C5028" t="s">
        <v>10</v>
      </c>
      <c r="D5028" t="s">
        <v>19</v>
      </c>
      <c r="E5028">
        <f>1/184</f>
        <v>5.434782608695652E-3</v>
      </c>
      <c r="F5028">
        <v>220</v>
      </c>
      <c r="G5028">
        <f>LOG(382/(220+1))</f>
        <v>0.23767108922659805</v>
      </c>
      <c r="H5028">
        <f>0.00543478260869565*0.547257907088822</f>
        <v>2.9742277559175103E-3</v>
      </c>
      <c r="I5028">
        <v>2.9742277559175129E-3</v>
      </c>
    </row>
    <row r="5029" spans="1:9" x14ac:dyDescent="0.25">
      <c r="A5029">
        <v>318</v>
      </c>
      <c r="B5029" t="s">
        <v>2013</v>
      </c>
      <c r="C5029" t="s">
        <v>10</v>
      </c>
      <c r="D5029" t="s">
        <v>41</v>
      </c>
      <c r="E5029">
        <f>2/184</f>
        <v>1.0869565217391304E-2</v>
      </c>
      <c r="F5029">
        <v>195</v>
      </c>
      <c r="G5029">
        <f>LOG(382/(195+1))</f>
        <v>0.28980729155523272</v>
      </c>
      <c r="H5029">
        <f>0.0108695652173913*0.667305949376058</f>
        <v>7.25332553669628E-3</v>
      </c>
      <c r="I5029">
        <v>7.2533255366962826E-3</v>
      </c>
    </row>
    <row r="5030" spans="1:9" x14ac:dyDescent="0.25">
      <c r="A5030">
        <v>318</v>
      </c>
      <c r="B5030" t="s">
        <v>2013</v>
      </c>
      <c r="C5030" t="s">
        <v>10</v>
      </c>
      <c r="D5030" t="s">
        <v>44</v>
      </c>
      <c r="E5030">
        <f>1/184</f>
        <v>5.434782608695652E-3</v>
      </c>
      <c r="F5030">
        <v>151</v>
      </c>
      <c r="G5030">
        <f>LOG(382/(151+1))</f>
        <v>0.40021977496693617</v>
      </c>
      <c r="H5030">
        <f>0.00543478260869565*0.921540087760298</f>
        <v>5.0083700421755311E-3</v>
      </c>
      <c r="I5030">
        <v>5.0083700421755363E-3</v>
      </c>
    </row>
    <row r="5031" spans="1:9" x14ac:dyDescent="0.25">
      <c r="A5031">
        <v>318</v>
      </c>
      <c r="B5031" t="s">
        <v>2013</v>
      </c>
      <c r="C5031" t="s">
        <v>10</v>
      </c>
      <c r="D5031" t="s">
        <v>2014</v>
      </c>
      <c r="E5031">
        <f>1/184</f>
        <v>5.434782608695652E-3</v>
      </c>
      <c r="F5031">
        <v>1</v>
      </c>
      <c r="G5031">
        <f>LOG(382/(1+1))</f>
        <v>2.2810333672477277</v>
      </c>
      <c r="H5031">
        <f>0.00543478260869565*5.25227342804663</f>
        <v>2.8544964282862108E-2</v>
      </c>
      <c r="I5031">
        <v>2.8544964282862122E-2</v>
      </c>
    </row>
    <row r="5032" spans="1:9" x14ac:dyDescent="0.25">
      <c r="A5032">
        <v>318</v>
      </c>
      <c r="B5032" t="s">
        <v>2013</v>
      </c>
      <c r="C5032" t="s">
        <v>10</v>
      </c>
      <c r="D5032" t="s">
        <v>23</v>
      </c>
      <c r="E5032">
        <f>1/184</f>
        <v>5.434782608695652E-3</v>
      </c>
      <c r="F5032">
        <v>275</v>
      </c>
      <c r="G5032">
        <f>LOG(382/(275+1))</f>
        <v>0.14115428084649101</v>
      </c>
      <c r="H5032">
        <f>0.00543478260869565*0.325019742889425</f>
        <v>1.7664116461381786E-3</v>
      </c>
      <c r="I5032">
        <v>1.7664116461381799E-3</v>
      </c>
    </row>
    <row r="5033" spans="1:9" x14ac:dyDescent="0.25">
      <c r="A5033">
        <v>318</v>
      </c>
      <c r="B5033" t="s">
        <v>2013</v>
      </c>
      <c r="C5033" t="s">
        <v>10</v>
      </c>
      <c r="D5033" t="s">
        <v>2015</v>
      </c>
      <c r="E5033">
        <f>1/184</f>
        <v>5.434782608695652E-3</v>
      </c>
      <c r="F5033">
        <v>1</v>
      </c>
      <c r="G5033">
        <f>LOG(382/(1+1))</f>
        <v>2.2810333672477277</v>
      </c>
      <c r="H5033">
        <f>0.00543478260869565*5.25227342804663</f>
        <v>2.8544964282862108E-2</v>
      </c>
      <c r="I5033">
        <v>2.8544964282862122E-2</v>
      </c>
    </row>
    <row r="5034" spans="1:9" x14ac:dyDescent="0.25">
      <c r="A5034">
        <v>318</v>
      </c>
      <c r="B5034" t="s">
        <v>2013</v>
      </c>
      <c r="C5034" t="s">
        <v>10</v>
      </c>
      <c r="D5034" t="s">
        <v>1868</v>
      </c>
      <c r="E5034">
        <f>2/184</f>
        <v>1.0869565217391304E-2</v>
      </c>
      <c r="F5034">
        <v>8</v>
      </c>
      <c r="G5034">
        <f>LOG(382/(8+1))</f>
        <v>1.6278208534723839</v>
      </c>
      <c r="H5034">
        <f>0.0108695652173913*3.74819603127035</f>
        <v>4.0741261209460311E-2</v>
      </c>
      <c r="I5034">
        <v>4.0741261209460387E-2</v>
      </c>
    </row>
    <row r="5035" spans="1:9" x14ac:dyDescent="0.25">
      <c r="A5035">
        <v>318</v>
      </c>
      <c r="B5035" t="s">
        <v>2013</v>
      </c>
      <c r="C5035" t="s">
        <v>10</v>
      </c>
      <c r="D5035" t="s">
        <v>76</v>
      </c>
      <c r="E5035">
        <f>1/184</f>
        <v>5.434782608695652E-3</v>
      </c>
      <c r="F5035">
        <v>140</v>
      </c>
      <c r="G5035">
        <f>LOG(382/(140+1))</f>
        <v>0.43284425025632883</v>
      </c>
      <c r="H5035">
        <f>0.00543478260869565*0.996660718228407</f>
        <v>5.4166343381978621E-3</v>
      </c>
      <c r="I5035">
        <v>5.4166343381978638E-3</v>
      </c>
    </row>
    <row r="5036" spans="1:9" x14ac:dyDescent="0.25">
      <c r="A5036">
        <v>318</v>
      </c>
      <c r="B5036" t="s">
        <v>2013</v>
      </c>
      <c r="C5036" t="s">
        <v>10</v>
      </c>
      <c r="D5036" t="s">
        <v>77</v>
      </c>
      <c r="E5036">
        <f>2/184</f>
        <v>1.0869565217391304E-2</v>
      </c>
      <c r="F5036">
        <v>148</v>
      </c>
      <c r="G5036">
        <f>LOG(382/(148+1))</f>
        <v>0.40887709449943471</v>
      </c>
      <c r="H5036">
        <f>0.0108695652173913*0.941474302661116</f>
        <v>1.0233416333272996E-2</v>
      </c>
      <c r="I5036">
        <v>1.0233416333273E-2</v>
      </c>
    </row>
    <row r="5037" spans="1:9" x14ac:dyDescent="0.25">
      <c r="A5037">
        <v>318</v>
      </c>
      <c r="B5037" t="s">
        <v>2013</v>
      </c>
      <c r="C5037" t="s">
        <v>10</v>
      </c>
      <c r="D5037" t="s">
        <v>40</v>
      </c>
      <c r="E5037">
        <f>3/184</f>
        <v>1.6304347826086956E-2</v>
      </c>
      <c r="F5037">
        <v>159</v>
      </c>
      <c r="G5037">
        <f>LOG(382/(159+1))</f>
        <v>0.377943380255784</v>
      </c>
      <c r="H5037">
        <f>0.0163043478260869*0.870246793372748</f>
        <v>1.4188806413686061E-2</v>
      </c>
      <c r="I5037">
        <v>1.418880641368611E-2</v>
      </c>
    </row>
    <row r="5038" spans="1:9" x14ac:dyDescent="0.25">
      <c r="A5038">
        <v>318</v>
      </c>
      <c r="B5038" t="s">
        <v>2013</v>
      </c>
      <c r="C5038" t="s">
        <v>10</v>
      </c>
      <c r="D5038" t="s">
        <v>2016</v>
      </c>
      <c r="E5038">
        <f>1/184</f>
        <v>5.434782608695652E-3</v>
      </c>
      <c r="F5038">
        <v>2</v>
      </c>
      <c r="G5038">
        <f>LOG(382/(2+1))</f>
        <v>2.1049421081920463</v>
      </c>
      <c r="H5038">
        <f>0.00543478260869565*4.84680831993846</f>
        <v>2.6341349564882925E-2</v>
      </c>
      <c r="I5038">
        <v>2.634134956488296E-2</v>
      </c>
    </row>
    <row r="5039" spans="1:9" x14ac:dyDescent="0.25">
      <c r="A5039">
        <v>318</v>
      </c>
      <c r="B5039" t="s">
        <v>2013</v>
      </c>
      <c r="C5039" t="s">
        <v>10</v>
      </c>
      <c r="D5039" t="s">
        <v>994</v>
      </c>
      <c r="E5039">
        <f>1/184</f>
        <v>5.434782608695652E-3</v>
      </c>
      <c r="F5039">
        <v>37</v>
      </c>
      <c r="G5039">
        <f>LOG(382/(37+1))</f>
        <v>1.0022797662948986</v>
      </c>
      <c r="H5039">
        <f>0.00543478260869565*2.30783444888018</f>
        <v>1.2542578526522713E-2</v>
      </c>
      <c r="I5039">
        <v>1.254257852652277E-2</v>
      </c>
    </row>
    <row r="5040" spans="1:9" x14ac:dyDescent="0.25">
      <c r="A5040">
        <v>318</v>
      </c>
      <c r="B5040" t="s">
        <v>2013</v>
      </c>
      <c r="C5040" t="s">
        <v>10</v>
      </c>
      <c r="D5040" t="s">
        <v>247</v>
      </c>
      <c r="E5040">
        <f>2/184</f>
        <v>1.0869565217391304E-2</v>
      </c>
      <c r="F5040">
        <v>121</v>
      </c>
      <c r="G5040">
        <f>LOG(382/(121+1))</f>
        <v>0.49570353223696051</v>
      </c>
      <c r="H5040">
        <f>0.0108695652173913*1.14139956387331</f>
        <v>1.2406516998622932E-2</v>
      </c>
      <c r="I5040">
        <v>1.2406516998623029E-2</v>
      </c>
    </row>
    <row r="5041" spans="1:9" x14ac:dyDescent="0.25">
      <c r="A5041">
        <v>318</v>
      </c>
      <c r="B5041" t="s">
        <v>2013</v>
      </c>
      <c r="C5041" t="s">
        <v>10</v>
      </c>
      <c r="D5041" t="s">
        <v>39</v>
      </c>
      <c r="E5041">
        <f>1/184</f>
        <v>5.434782608695652E-3</v>
      </c>
      <c r="F5041">
        <v>145</v>
      </c>
      <c r="G5041">
        <f>LOG(382/(145+1))</f>
        <v>0.41771050712727159</v>
      </c>
      <c r="H5041">
        <f>0.00543478260869565*0.961813986898238</f>
        <v>5.22724992879477E-3</v>
      </c>
      <c r="I5041">
        <v>5.2272499287947752E-3</v>
      </c>
    </row>
    <row r="5042" spans="1:9" x14ac:dyDescent="0.25">
      <c r="A5042">
        <v>318</v>
      </c>
      <c r="B5042" t="s">
        <v>2013</v>
      </c>
      <c r="C5042" t="s">
        <v>10</v>
      </c>
      <c r="D5042" t="s">
        <v>1079</v>
      </c>
      <c r="E5042">
        <f>1/184</f>
        <v>5.434782608695652E-3</v>
      </c>
      <c r="F5042">
        <v>34</v>
      </c>
      <c r="G5042">
        <f>LOG(382/(34+1))</f>
        <v>1.037995318561433</v>
      </c>
      <c r="H5042">
        <f>0.00543478260869565*2.39007254711716</f>
        <v>1.2989524712593256E-2</v>
      </c>
      <c r="I5042">
        <v>1.298952471259327E-2</v>
      </c>
    </row>
    <row r="5043" spans="1:9" x14ac:dyDescent="0.25">
      <c r="A5043">
        <v>318</v>
      </c>
      <c r="B5043" t="s">
        <v>2013</v>
      </c>
      <c r="C5043" t="s">
        <v>10</v>
      </c>
      <c r="D5043" t="s">
        <v>119</v>
      </c>
      <c r="E5043">
        <f>1/184</f>
        <v>5.434782608695652E-3</v>
      </c>
      <c r="F5043">
        <v>79</v>
      </c>
      <c r="G5043">
        <f>LOG(382/(79+1))</f>
        <v>0.67897337591976514</v>
      </c>
      <c r="H5043">
        <f>0.00543478260869565*1.56339397393269</f>
        <v>8.4967063800689656E-3</v>
      </c>
      <c r="I5043">
        <v>8.4967063800689864E-3</v>
      </c>
    </row>
    <row r="5044" spans="1:9" x14ac:dyDescent="0.25">
      <c r="A5044">
        <v>318</v>
      </c>
      <c r="B5044" t="s">
        <v>2013</v>
      </c>
      <c r="C5044" t="s">
        <v>10</v>
      </c>
      <c r="D5044" t="s">
        <v>2017</v>
      </c>
      <c r="E5044">
        <f>1/184</f>
        <v>5.434782608695652E-3</v>
      </c>
      <c r="F5044">
        <v>1</v>
      </c>
      <c r="G5044">
        <f>LOG(382/(1+1))</f>
        <v>2.2810333672477277</v>
      </c>
      <c r="H5044">
        <f>0.00543478260869565*5.25227342804663</f>
        <v>2.8544964282862108E-2</v>
      </c>
      <c r="I5044">
        <v>2.8544964282862122E-2</v>
      </c>
    </row>
    <row r="5045" spans="1:9" x14ac:dyDescent="0.25">
      <c r="A5045">
        <v>318</v>
      </c>
      <c r="B5045" t="s">
        <v>2013</v>
      </c>
      <c r="C5045" t="s">
        <v>10</v>
      </c>
      <c r="D5045" t="s">
        <v>322</v>
      </c>
      <c r="E5045">
        <f>2/184</f>
        <v>1.0869565217391304E-2</v>
      </c>
      <c r="F5045">
        <v>128</v>
      </c>
      <c r="G5045">
        <f>LOG(382/(128+1))</f>
        <v>0.47147365261245977</v>
      </c>
      <c r="H5045">
        <f>0.0108695652173913*1.0856082042449</f>
        <v>1.1800089176574996E-2</v>
      </c>
      <c r="I5045">
        <v>1.180008917657503E-2</v>
      </c>
    </row>
    <row r="5046" spans="1:9" x14ac:dyDescent="0.25">
      <c r="A5046">
        <v>318</v>
      </c>
      <c r="B5046" t="s">
        <v>2013</v>
      </c>
      <c r="C5046" t="s">
        <v>10</v>
      </c>
      <c r="D5046" t="s">
        <v>123</v>
      </c>
      <c r="E5046">
        <f>2/184</f>
        <v>1.0869565217391304E-2</v>
      </c>
      <c r="F5046">
        <v>74</v>
      </c>
      <c r="G5046">
        <f>LOG(382/(74+1))</f>
        <v>0.7070020995200087</v>
      </c>
      <c r="H5046">
        <f>0.0108695652173913*1.62793249507026</f>
        <v>1.7694918424676735E-2</v>
      </c>
      <c r="I5046">
        <v>1.7694918424676791E-2</v>
      </c>
    </row>
    <row r="5047" spans="1:9" x14ac:dyDescent="0.25">
      <c r="A5047">
        <v>318</v>
      </c>
      <c r="B5047" t="s">
        <v>2013</v>
      </c>
      <c r="C5047" t="s">
        <v>10</v>
      </c>
      <c r="D5047" t="s">
        <v>1533</v>
      </c>
      <c r="E5047">
        <f>1/184</f>
        <v>5.434782608695652E-3</v>
      </c>
      <c r="F5047">
        <v>33</v>
      </c>
      <c r="G5047">
        <f>LOG(382/(33+1))</f>
        <v>1.0505844458694535</v>
      </c>
      <c r="H5047">
        <f>0.00543478260869565*2.41906008399041</f>
        <v>1.314706567386092E-2</v>
      </c>
      <c r="I5047">
        <v>1.314706567386094E-2</v>
      </c>
    </row>
    <row r="5048" spans="1:9" x14ac:dyDescent="0.25">
      <c r="A5048">
        <v>318</v>
      </c>
      <c r="B5048" t="s">
        <v>2013</v>
      </c>
      <c r="C5048" t="s">
        <v>10</v>
      </c>
      <c r="D5048" t="s">
        <v>97</v>
      </c>
      <c r="E5048">
        <f>3/184</f>
        <v>1.6304347826086956E-2</v>
      </c>
      <c r="F5048">
        <v>19</v>
      </c>
      <c r="G5048">
        <f>LOG(382/(19+1))</f>
        <v>1.2810333672477277</v>
      </c>
      <c r="H5048">
        <f>0.0163043478260869*2.94968833505258</f>
        <v>4.8092744593248422E-2</v>
      </c>
      <c r="I5048">
        <v>4.8092744593248658E-2</v>
      </c>
    </row>
    <row r="5049" spans="1:9" x14ac:dyDescent="0.25">
      <c r="A5049">
        <v>318</v>
      </c>
      <c r="B5049" t="s">
        <v>2013</v>
      </c>
      <c r="C5049" t="s">
        <v>10</v>
      </c>
      <c r="D5049" t="s">
        <v>11</v>
      </c>
      <c r="E5049">
        <f>2/184</f>
        <v>1.0869565217391304E-2</v>
      </c>
      <c r="F5049">
        <v>83</v>
      </c>
      <c r="G5049">
        <f>LOG(382/(83+1))</f>
        <v>0.65778407684982709</v>
      </c>
      <c r="H5049">
        <f>0.0108695652173913*1.51460380976326</f>
        <v>1.6463084888731081E-2</v>
      </c>
      <c r="I5049">
        <v>1.6463084888731098E-2</v>
      </c>
    </row>
    <row r="5050" spans="1:9" x14ac:dyDescent="0.25">
      <c r="A5050">
        <v>318</v>
      </c>
      <c r="B5050" t="s">
        <v>2013</v>
      </c>
      <c r="C5050" t="s">
        <v>10</v>
      </c>
      <c r="D5050" t="s">
        <v>237</v>
      </c>
      <c r="E5050">
        <f>1/184</f>
        <v>5.434782608695652E-3</v>
      </c>
      <c r="F5050">
        <v>138</v>
      </c>
      <c r="G5050">
        <f>LOG(382/(138+1))</f>
        <v>0.43904856265761361</v>
      </c>
      <c r="H5050">
        <f>0.00543478260869565*1.01094667547588</f>
        <v>5.4942754101949985E-3</v>
      </c>
      <c r="I5050">
        <v>5.4942754101950184E-3</v>
      </c>
    </row>
    <row r="5051" spans="1:9" x14ac:dyDescent="0.25">
      <c r="A5051">
        <v>318</v>
      </c>
      <c r="B5051" t="s">
        <v>2013</v>
      </c>
      <c r="C5051" t="s">
        <v>10</v>
      </c>
      <c r="D5051" t="s">
        <v>2018</v>
      </c>
      <c r="E5051">
        <f>1/184</f>
        <v>5.434782608695652E-3</v>
      </c>
      <c r="F5051">
        <v>1</v>
      </c>
      <c r="G5051">
        <f>LOG(382/(1+1))</f>
        <v>2.2810333672477277</v>
      </c>
      <c r="H5051">
        <f>0.00543478260869565*5.25227342804663</f>
        <v>2.8544964282862108E-2</v>
      </c>
      <c r="I5051">
        <v>2.8544964282862122E-2</v>
      </c>
    </row>
    <row r="5052" spans="1:9" x14ac:dyDescent="0.25">
      <c r="A5052">
        <v>318</v>
      </c>
      <c r="B5052" t="s">
        <v>2013</v>
      </c>
      <c r="C5052" t="s">
        <v>10</v>
      </c>
      <c r="D5052" t="s">
        <v>1534</v>
      </c>
      <c r="E5052">
        <f>1/184</f>
        <v>5.434782608695652E-3</v>
      </c>
      <c r="F5052">
        <v>25</v>
      </c>
      <c r="G5052">
        <f>LOG(382/(25+1))</f>
        <v>1.1670900149408907</v>
      </c>
      <c r="H5052">
        <f>0.00543478260869565*2.68732407058509</f>
        <v>1.4605022122745049E-2</v>
      </c>
      <c r="I5052">
        <v>1.460502212274507E-2</v>
      </c>
    </row>
    <row r="5053" spans="1:9" x14ac:dyDescent="0.25">
      <c r="A5053">
        <v>318</v>
      </c>
      <c r="B5053" t="s">
        <v>2013</v>
      </c>
      <c r="C5053" t="s">
        <v>10</v>
      </c>
      <c r="D5053" t="s">
        <v>2019</v>
      </c>
      <c r="E5053">
        <f>1/184</f>
        <v>5.434782608695652E-3</v>
      </c>
      <c r="F5053">
        <v>1</v>
      </c>
      <c r="G5053">
        <f>LOG(382/(1+1))</f>
        <v>2.2810333672477277</v>
      </c>
      <c r="H5053">
        <f>0.00543478260869565*5.25227342804663</f>
        <v>2.8544964282862108E-2</v>
      </c>
      <c r="I5053">
        <v>2.8544964282862122E-2</v>
      </c>
    </row>
    <row r="5054" spans="1:9" x14ac:dyDescent="0.25">
      <c r="A5054">
        <v>318</v>
      </c>
      <c r="B5054" t="s">
        <v>2013</v>
      </c>
      <c r="C5054" t="s">
        <v>10</v>
      </c>
      <c r="D5054" t="s">
        <v>81</v>
      </c>
      <c r="E5054">
        <f>2/184</f>
        <v>1.0869565217391304E-2</v>
      </c>
      <c r="F5054">
        <v>114</v>
      </c>
      <c r="G5054">
        <f>LOG(382/(114+1))</f>
        <v>0.52136552255809698</v>
      </c>
      <c r="H5054">
        <f>0.0108695652173913*1.20048848024332</f>
        <v>1.3048787828731735E-2</v>
      </c>
      <c r="I5054">
        <v>1.3048787828731791E-2</v>
      </c>
    </row>
    <row r="5055" spans="1:9" x14ac:dyDescent="0.25">
      <c r="A5055">
        <v>318</v>
      </c>
      <c r="B5055" t="s">
        <v>2013</v>
      </c>
      <c r="C5055" t="s">
        <v>10</v>
      </c>
      <c r="D5055" t="s">
        <v>1935</v>
      </c>
      <c r="E5055">
        <f>2/184</f>
        <v>1.0869565217391304E-2</v>
      </c>
      <c r="F5055">
        <v>2</v>
      </c>
      <c r="G5055">
        <f>LOG(382/(2+1))</f>
        <v>2.1049421081920463</v>
      </c>
      <c r="H5055">
        <f>0.0108695652173913*4.84680831993846</f>
        <v>5.268269912976585E-2</v>
      </c>
      <c r="I5055">
        <v>5.2682699129765927E-2</v>
      </c>
    </row>
    <row r="5056" spans="1:9" x14ac:dyDescent="0.25">
      <c r="A5056">
        <v>318</v>
      </c>
      <c r="B5056" t="s">
        <v>2013</v>
      </c>
      <c r="C5056" t="s">
        <v>10</v>
      </c>
      <c r="D5056" t="s">
        <v>1953</v>
      </c>
      <c r="E5056">
        <f>2/184</f>
        <v>1.0869565217391304E-2</v>
      </c>
      <c r="F5056">
        <v>11</v>
      </c>
      <c r="G5056">
        <f>LOG(382/(11+1))</f>
        <v>1.5028821168640838</v>
      </c>
      <c r="H5056">
        <f>0.0108695652173913*3.46051395881857</f>
        <v>3.7614282161071398E-2</v>
      </c>
      <c r="I5056">
        <v>3.7614282161071468E-2</v>
      </c>
    </row>
    <row r="5057" spans="1:9" x14ac:dyDescent="0.25">
      <c r="A5057">
        <v>318</v>
      </c>
      <c r="B5057" t="s">
        <v>2013</v>
      </c>
      <c r="C5057" t="s">
        <v>10</v>
      </c>
      <c r="D5057" t="s">
        <v>776</v>
      </c>
      <c r="E5057">
        <f t="shared" ref="E5057:E5064" si="227">1/184</f>
        <v>5.434782608695652E-3</v>
      </c>
      <c r="F5057">
        <v>15</v>
      </c>
      <c r="G5057">
        <f>LOG(382/(15+1))</f>
        <v>1.3779433802557839</v>
      </c>
      <c r="H5057">
        <f>0.00543478260869565*3.17283188636679</f>
        <v>1.7243651556341246E-2</v>
      </c>
      <c r="I5057">
        <v>1.724365155634127E-2</v>
      </c>
    </row>
    <row r="5058" spans="1:9" x14ac:dyDescent="0.25">
      <c r="A5058">
        <v>318</v>
      </c>
      <c r="B5058" t="s">
        <v>2013</v>
      </c>
      <c r="C5058" t="s">
        <v>10</v>
      </c>
      <c r="D5058" t="s">
        <v>2020</v>
      </c>
      <c r="E5058">
        <f t="shared" si="227"/>
        <v>5.434782608695652E-3</v>
      </c>
      <c r="F5058">
        <v>1</v>
      </c>
      <c r="G5058">
        <f>LOG(382/(1+1))</f>
        <v>2.2810333672477277</v>
      </c>
      <c r="H5058">
        <f>0.00543478260869565*5.25227342804663</f>
        <v>2.8544964282862108E-2</v>
      </c>
      <c r="I5058">
        <v>2.8544964282862122E-2</v>
      </c>
    </row>
    <row r="5059" spans="1:9" x14ac:dyDescent="0.25">
      <c r="A5059">
        <v>318</v>
      </c>
      <c r="B5059" t="s">
        <v>2013</v>
      </c>
      <c r="C5059" t="s">
        <v>10</v>
      </c>
      <c r="D5059" t="s">
        <v>836</v>
      </c>
      <c r="E5059">
        <f t="shared" si="227"/>
        <v>5.434782608695652E-3</v>
      </c>
      <c r="F5059">
        <v>21</v>
      </c>
      <c r="G5059">
        <f>LOG(382/(21+1))</f>
        <v>1.2396406820895025</v>
      </c>
      <c r="H5059">
        <f>0.00543478260869565*2.85437815524825</f>
        <v>1.5512924756783961E-2</v>
      </c>
      <c r="I5059">
        <v>1.551292475678402E-2</v>
      </c>
    </row>
    <row r="5060" spans="1:9" x14ac:dyDescent="0.25">
      <c r="A5060">
        <v>318</v>
      </c>
      <c r="B5060" t="s">
        <v>2013</v>
      </c>
      <c r="C5060" t="s">
        <v>10</v>
      </c>
      <c r="D5060" t="s">
        <v>2021</v>
      </c>
      <c r="E5060">
        <f t="shared" si="227"/>
        <v>5.434782608695652E-3</v>
      </c>
      <c r="F5060">
        <v>1</v>
      </c>
      <c r="G5060">
        <f>LOG(382/(1+1))</f>
        <v>2.2810333672477277</v>
      </c>
      <c r="H5060">
        <f>0.00543478260869565*5.25227342804663</f>
        <v>2.8544964282862108E-2</v>
      </c>
      <c r="I5060">
        <v>2.8544964282862122E-2</v>
      </c>
    </row>
    <row r="5061" spans="1:9" x14ac:dyDescent="0.25">
      <c r="A5061">
        <v>318</v>
      </c>
      <c r="B5061" t="s">
        <v>2013</v>
      </c>
      <c r="C5061" t="s">
        <v>10</v>
      </c>
      <c r="D5061" t="s">
        <v>2022</v>
      </c>
      <c r="E5061">
        <f t="shared" si="227"/>
        <v>5.434782608695652E-3</v>
      </c>
      <c r="F5061">
        <v>1</v>
      </c>
      <c r="G5061">
        <f>LOG(382/(1+1))</f>
        <v>2.2810333672477277</v>
      </c>
      <c r="H5061">
        <f>0.00543478260869565*5.25227342804663</f>
        <v>2.8544964282862108E-2</v>
      </c>
      <c r="I5061">
        <v>2.8544964282862122E-2</v>
      </c>
    </row>
    <row r="5062" spans="1:9" x14ac:dyDescent="0.25">
      <c r="A5062">
        <v>318</v>
      </c>
      <c r="B5062" t="s">
        <v>2013</v>
      </c>
      <c r="C5062" t="s">
        <v>10</v>
      </c>
      <c r="D5062" t="s">
        <v>2023</v>
      </c>
      <c r="E5062">
        <f t="shared" si="227"/>
        <v>5.434782608695652E-3</v>
      </c>
      <c r="F5062">
        <v>1</v>
      </c>
      <c r="G5062">
        <f>LOG(382/(1+1))</f>
        <v>2.2810333672477277</v>
      </c>
      <c r="H5062">
        <f>0.00543478260869565*5.25227342804663</f>
        <v>2.8544964282862108E-2</v>
      </c>
      <c r="I5062">
        <v>2.8544964282862122E-2</v>
      </c>
    </row>
    <row r="5063" spans="1:9" x14ac:dyDescent="0.25">
      <c r="A5063">
        <v>318</v>
      </c>
      <c r="B5063" t="s">
        <v>2013</v>
      </c>
      <c r="C5063" t="s">
        <v>10</v>
      </c>
      <c r="D5063" t="s">
        <v>764</v>
      </c>
      <c r="E5063">
        <f t="shared" si="227"/>
        <v>5.434782608695652E-3</v>
      </c>
      <c r="F5063">
        <v>57</v>
      </c>
      <c r="G5063">
        <f>LOG(382/(57+1))</f>
        <v>0.81863536934877146</v>
      </c>
      <c r="H5063">
        <f>0.00543478260869565*1.88497759806015</f>
        <v>1.0244443467718203E-2</v>
      </c>
      <c r="I5063">
        <v>1.024444346771824E-2</v>
      </c>
    </row>
    <row r="5064" spans="1:9" x14ac:dyDescent="0.25">
      <c r="A5064">
        <v>318</v>
      </c>
      <c r="B5064" t="s">
        <v>2013</v>
      </c>
      <c r="C5064" t="s">
        <v>10</v>
      </c>
      <c r="D5064" t="s">
        <v>279</v>
      </c>
      <c r="E5064">
        <f t="shared" si="227"/>
        <v>5.434782608695652E-3</v>
      </c>
      <c r="F5064">
        <v>22</v>
      </c>
      <c r="G5064">
        <f>LOG(382/(22+1))</f>
        <v>1.2203355268941158</v>
      </c>
      <c r="H5064">
        <f>0.00543478260869565*2.80992639267742</f>
        <v>1.5271339090638146E-2</v>
      </c>
      <c r="I5064">
        <v>1.5271339090638179E-2</v>
      </c>
    </row>
    <row r="5065" spans="1:9" x14ac:dyDescent="0.25">
      <c r="A5065">
        <v>318</v>
      </c>
      <c r="B5065" t="s">
        <v>2013</v>
      </c>
      <c r="C5065" t="s">
        <v>10</v>
      </c>
      <c r="D5065" t="s">
        <v>2024</v>
      </c>
      <c r="E5065">
        <f>4/184</f>
        <v>2.1739130434782608E-2</v>
      </c>
      <c r="F5065">
        <v>1</v>
      </c>
      <c r="G5065">
        <f>LOG(382/(1+1))</f>
        <v>2.2810333672477277</v>
      </c>
      <c r="H5065">
        <f>0.0217391304347826*5.25227342804663</f>
        <v>0.11417985713144843</v>
      </c>
      <c r="I5065">
        <v>0.1141798571314485</v>
      </c>
    </row>
    <row r="5066" spans="1:9" x14ac:dyDescent="0.25">
      <c r="A5066">
        <v>318</v>
      </c>
      <c r="B5066" t="s">
        <v>2013</v>
      </c>
      <c r="C5066" t="s">
        <v>10</v>
      </c>
      <c r="D5066" t="s">
        <v>1834</v>
      </c>
      <c r="E5066">
        <f>3/184</f>
        <v>1.6304347826086956E-2</v>
      </c>
      <c r="F5066">
        <v>12</v>
      </c>
      <c r="G5066">
        <f>LOG(382/(12+1))</f>
        <v>1.468120010604872</v>
      </c>
      <c r="H5066">
        <f>0.0163043478260869*3.38047125114503</f>
        <v>5.5116379094755738E-2</v>
      </c>
      <c r="I5066">
        <v>5.5116379094756057E-2</v>
      </c>
    </row>
    <row r="5067" spans="1:9" x14ac:dyDescent="0.25">
      <c r="A5067">
        <v>318</v>
      </c>
      <c r="B5067" t="s">
        <v>2013</v>
      </c>
      <c r="C5067" t="s">
        <v>10</v>
      </c>
      <c r="D5067" t="s">
        <v>2025</v>
      </c>
      <c r="E5067">
        <f>2/184</f>
        <v>1.0869565217391304E-2</v>
      </c>
      <c r="F5067">
        <v>3</v>
      </c>
      <c r="G5067">
        <f>LOG(382/(3+1))</f>
        <v>1.9800033715837464</v>
      </c>
      <c r="H5067">
        <f>0.0108695652173913*4.55912624748668</f>
        <v>4.9555720081376937E-2</v>
      </c>
      <c r="I5067">
        <v>4.9555720081377007E-2</v>
      </c>
    </row>
    <row r="5068" spans="1:9" x14ac:dyDescent="0.25">
      <c r="A5068">
        <v>318</v>
      </c>
      <c r="B5068" t="s">
        <v>2013</v>
      </c>
      <c r="C5068" t="s">
        <v>10</v>
      </c>
      <c r="D5068" t="s">
        <v>932</v>
      </c>
      <c r="E5068">
        <f>1/184</f>
        <v>5.434782608695652E-3</v>
      </c>
      <c r="F5068">
        <v>35</v>
      </c>
      <c r="G5068">
        <f>LOG(382/(35+1))</f>
        <v>1.0257608621444214</v>
      </c>
      <c r="H5068">
        <f>0.00543478260869565*2.36190167015046</f>
        <v>1.2836422120382931E-2</v>
      </c>
      <c r="I5068">
        <v>1.2836422120382961E-2</v>
      </c>
    </row>
    <row r="5069" spans="1:9" x14ac:dyDescent="0.25">
      <c r="A5069">
        <v>318</v>
      </c>
      <c r="B5069" t="s">
        <v>2013</v>
      </c>
      <c r="C5069" t="s">
        <v>10</v>
      </c>
      <c r="D5069" t="s">
        <v>775</v>
      </c>
      <c r="E5069">
        <f>2/184</f>
        <v>1.0869565217391304E-2</v>
      </c>
      <c r="F5069">
        <v>20</v>
      </c>
      <c r="G5069">
        <f>LOG(382/(20+1))</f>
        <v>1.2598440681777894</v>
      </c>
      <c r="H5069">
        <f>0.0108695652173913*2.90089817088315</f>
        <v>3.153150185742553E-2</v>
      </c>
      <c r="I5069">
        <v>3.1531501857425558E-2</v>
      </c>
    </row>
    <row r="5070" spans="1:9" x14ac:dyDescent="0.25">
      <c r="A5070">
        <v>318</v>
      </c>
      <c r="B5070" t="s">
        <v>2013</v>
      </c>
      <c r="C5070" t="s">
        <v>10</v>
      </c>
      <c r="D5070" t="s">
        <v>2026</v>
      </c>
      <c r="E5070">
        <f>1/184</f>
        <v>5.434782608695652E-3</v>
      </c>
      <c r="F5070">
        <v>1</v>
      </c>
      <c r="G5070">
        <f>LOG(382/(1+1))</f>
        <v>2.2810333672477277</v>
      </c>
      <c r="H5070">
        <f>0.00543478260869565*5.25227342804663</f>
        <v>2.8544964282862108E-2</v>
      </c>
      <c r="I5070">
        <v>2.8544964282862122E-2</v>
      </c>
    </row>
    <row r="5071" spans="1:9" x14ac:dyDescent="0.25">
      <c r="A5071">
        <v>318</v>
      </c>
      <c r="B5071" t="s">
        <v>2013</v>
      </c>
      <c r="C5071" t="s">
        <v>10</v>
      </c>
      <c r="D5071" t="s">
        <v>2027</v>
      </c>
      <c r="E5071">
        <f>1/184</f>
        <v>5.434782608695652E-3</v>
      </c>
      <c r="F5071">
        <v>3</v>
      </c>
      <c r="G5071">
        <f>LOG(382/(3+1))</f>
        <v>1.9800033715837464</v>
      </c>
      <c r="H5071">
        <f>0.00543478260869565*4.55912624748668</f>
        <v>2.4777860040688469E-2</v>
      </c>
      <c r="I5071">
        <v>2.47778600406885E-2</v>
      </c>
    </row>
    <row r="5072" spans="1:9" x14ac:dyDescent="0.25">
      <c r="A5072">
        <v>318</v>
      </c>
      <c r="B5072" t="s">
        <v>2013</v>
      </c>
      <c r="C5072" t="s">
        <v>10</v>
      </c>
      <c r="D5072" t="s">
        <v>2028</v>
      </c>
      <c r="E5072">
        <f>1/184</f>
        <v>5.434782608695652E-3</v>
      </c>
      <c r="F5072">
        <v>1</v>
      </c>
      <c r="G5072">
        <f>LOG(382/(1+1))</f>
        <v>2.2810333672477277</v>
      </c>
      <c r="H5072">
        <f>0.00543478260869565*5.25227342804663</f>
        <v>2.8544964282862108E-2</v>
      </c>
      <c r="I5072">
        <v>2.8544964282862122E-2</v>
      </c>
    </row>
    <row r="5073" spans="1:9" x14ac:dyDescent="0.25">
      <c r="A5073">
        <v>318</v>
      </c>
      <c r="B5073" t="s">
        <v>2013</v>
      </c>
      <c r="C5073" t="s">
        <v>10</v>
      </c>
      <c r="D5073" t="s">
        <v>2029</v>
      </c>
      <c r="E5073">
        <f>1/184</f>
        <v>5.434782608695652E-3</v>
      </c>
      <c r="F5073">
        <v>1</v>
      </c>
      <c r="G5073">
        <f>LOG(382/(1+1))</f>
        <v>2.2810333672477277</v>
      </c>
      <c r="H5073">
        <f>0.00543478260869565*5.25227342804663</f>
        <v>2.8544964282862108E-2</v>
      </c>
      <c r="I5073">
        <v>2.8544964282862122E-2</v>
      </c>
    </row>
    <row r="5074" spans="1:9" x14ac:dyDescent="0.25">
      <c r="A5074">
        <v>318</v>
      </c>
      <c r="B5074" t="s">
        <v>2013</v>
      </c>
      <c r="C5074" t="s">
        <v>10</v>
      </c>
      <c r="D5074" t="s">
        <v>133</v>
      </c>
      <c r="E5074">
        <f>2/184</f>
        <v>1.0869565217391304E-2</v>
      </c>
      <c r="F5074">
        <v>142</v>
      </c>
      <c r="G5074">
        <f>LOG(382/(142+1))</f>
        <v>0.42672732544664693</v>
      </c>
      <c r="H5074">
        <f>0.0108695652173913*0.982575978346667</f>
        <v>1.0680173677681159E-2</v>
      </c>
      <c r="I5074">
        <v>1.0680173677681169E-2</v>
      </c>
    </row>
    <row r="5075" spans="1:9" x14ac:dyDescent="0.25">
      <c r="A5075">
        <v>318</v>
      </c>
      <c r="B5075" t="s">
        <v>2013</v>
      </c>
      <c r="C5075" t="s">
        <v>10</v>
      </c>
      <c r="D5075" t="s">
        <v>134</v>
      </c>
      <c r="E5075">
        <f>2/184</f>
        <v>1.0869565217391304E-2</v>
      </c>
      <c r="F5075">
        <v>21</v>
      </c>
      <c r="G5075">
        <f>LOG(382/(21+1))</f>
        <v>1.2396406820895025</v>
      </c>
      <c r="H5075">
        <f>0.0108695652173913*2.85437815524825</f>
        <v>3.1025849513567922E-2</v>
      </c>
      <c r="I5075">
        <v>3.102584951356803E-2</v>
      </c>
    </row>
    <row r="5076" spans="1:9" x14ac:dyDescent="0.25">
      <c r="A5076">
        <v>318</v>
      </c>
      <c r="B5076" t="s">
        <v>2013</v>
      </c>
      <c r="C5076" t="s">
        <v>10</v>
      </c>
      <c r="D5076" t="s">
        <v>135</v>
      </c>
      <c r="E5076">
        <f>2/184</f>
        <v>1.0869565217391304E-2</v>
      </c>
      <c r="F5076">
        <v>6</v>
      </c>
      <c r="G5076">
        <f>LOG(382/(6+1))</f>
        <v>1.736965322897452</v>
      </c>
      <c r="H5076">
        <f>0.0108695652173913*3.99951045955126</f>
        <v>4.3472939777731069E-2</v>
      </c>
      <c r="I5076">
        <v>4.3472939777731097E-2</v>
      </c>
    </row>
    <row r="5077" spans="1:9" x14ac:dyDescent="0.25">
      <c r="A5077">
        <v>318</v>
      </c>
      <c r="B5077" t="s">
        <v>2013</v>
      </c>
      <c r="C5077" t="s">
        <v>10</v>
      </c>
      <c r="D5077" t="s">
        <v>136</v>
      </c>
      <c r="E5077">
        <f>2/184</f>
        <v>1.0869565217391304E-2</v>
      </c>
      <c r="F5077">
        <v>17</v>
      </c>
      <c r="G5077">
        <f>LOG(382/(17+1))</f>
        <v>1.3267908578084027</v>
      </c>
      <c r="H5077">
        <f>0.0108695652173913*3.05504885071041</f>
        <v>3.3207052725113137E-2</v>
      </c>
      <c r="I5077">
        <v>3.3207052725113158E-2</v>
      </c>
    </row>
    <row r="5078" spans="1:9" x14ac:dyDescent="0.25">
      <c r="A5078">
        <v>318</v>
      </c>
      <c r="B5078" t="s">
        <v>2013</v>
      </c>
      <c r="C5078" t="s">
        <v>10</v>
      </c>
      <c r="D5078" t="s">
        <v>204</v>
      </c>
      <c r="E5078">
        <f>1/184</f>
        <v>5.434782608695652E-3</v>
      </c>
      <c r="F5078">
        <v>166</v>
      </c>
      <c r="G5078">
        <f>LOG(382/(166+1))</f>
        <v>0.35934689176412549</v>
      </c>
      <c r="H5078">
        <f>0.00543478260869565*0.82742679618982</f>
        <v>4.4968847619011936E-3</v>
      </c>
      <c r="I5078">
        <v>4.4968847619011963E-3</v>
      </c>
    </row>
    <row r="5079" spans="1:9" x14ac:dyDescent="0.25">
      <c r="A5079">
        <v>318</v>
      </c>
      <c r="B5079" t="s">
        <v>2013</v>
      </c>
      <c r="C5079" t="s">
        <v>10</v>
      </c>
      <c r="D5079" t="s">
        <v>2030</v>
      </c>
      <c r="E5079">
        <f>1/184</f>
        <v>5.434782608695652E-3</v>
      </c>
      <c r="F5079">
        <v>1</v>
      </c>
      <c r="G5079">
        <f>LOG(382/(1+1))</f>
        <v>2.2810333672477277</v>
      </c>
      <c r="H5079">
        <f>0.00543478260869565*5.25227342804663</f>
        <v>2.8544964282862108E-2</v>
      </c>
      <c r="I5079">
        <v>2.8544964282862122E-2</v>
      </c>
    </row>
    <row r="5080" spans="1:9" x14ac:dyDescent="0.25">
      <c r="A5080">
        <v>318</v>
      </c>
      <c r="B5080" t="s">
        <v>2013</v>
      </c>
      <c r="C5080" t="s">
        <v>10</v>
      </c>
      <c r="D5080" t="s">
        <v>939</v>
      </c>
      <c r="E5080">
        <f>1/184</f>
        <v>5.434782608695652E-3</v>
      </c>
      <c r="F5080">
        <v>35</v>
      </c>
      <c r="G5080">
        <f>LOG(382/(35+1))</f>
        <v>1.0257608621444214</v>
      </c>
      <c r="H5080">
        <f>0.00543478260869565*2.36190167015046</f>
        <v>1.2836422120382931E-2</v>
      </c>
      <c r="I5080">
        <v>1.2836422120382961E-2</v>
      </c>
    </row>
    <row r="5081" spans="1:9" x14ac:dyDescent="0.25">
      <c r="A5081">
        <v>318</v>
      </c>
      <c r="B5081" t="s">
        <v>2013</v>
      </c>
      <c r="C5081" t="s">
        <v>10</v>
      </c>
      <c r="D5081" t="s">
        <v>327</v>
      </c>
      <c r="E5081">
        <f>2/184</f>
        <v>1.0869565217391304E-2</v>
      </c>
      <c r="F5081">
        <v>46</v>
      </c>
      <c r="G5081">
        <f>LOG(382/(46+1))</f>
        <v>0.90996550497599127</v>
      </c>
      <c r="H5081">
        <f>0.0108695652173913*2.09527300689651</f>
        <v>2.2774706596701191E-2</v>
      </c>
      <c r="I5081">
        <v>2.277470659670126E-2</v>
      </c>
    </row>
    <row r="5082" spans="1:9" x14ac:dyDescent="0.25">
      <c r="A5082">
        <v>318</v>
      </c>
      <c r="B5082" t="s">
        <v>2013</v>
      </c>
      <c r="C5082" t="s">
        <v>10</v>
      </c>
      <c r="D5082" t="s">
        <v>1083</v>
      </c>
      <c r="E5082">
        <f t="shared" ref="E5082:E5095" si="228">1/184</f>
        <v>5.434782608695652E-3</v>
      </c>
      <c r="F5082">
        <v>51</v>
      </c>
      <c r="G5082">
        <f>LOG(382/(51+1))</f>
        <v>0.86606001927690957</v>
      </c>
      <c r="H5082">
        <f>0.00543478260869565*1.99417689002514</f>
        <v>1.083791788057141E-2</v>
      </c>
      <c r="I5082">
        <v>1.083791788057146E-2</v>
      </c>
    </row>
    <row r="5083" spans="1:9" x14ac:dyDescent="0.25">
      <c r="A5083">
        <v>318</v>
      </c>
      <c r="B5083" t="s">
        <v>2013</v>
      </c>
      <c r="C5083" t="s">
        <v>10</v>
      </c>
      <c r="D5083" t="s">
        <v>594</v>
      </c>
      <c r="E5083">
        <f t="shared" si="228"/>
        <v>5.434782608695652E-3</v>
      </c>
      <c r="F5083">
        <v>36</v>
      </c>
      <c r="G5083">
        <f>LOG(382/(36+1))</f>
        <v>1.0138616388447137</v>
      </c>
      <c r="H5083">
        <f>0.00543478260869565*2.33450269596235</f>
        <v>1.268751465196929E-2</v>
      </c>
      <c r="I5083">
        <v>1.26875146519693E-2</v>
      </c>
    </row>
    <row r="5084" spans="1:9" x14ac:dyDescent="0.25">
      <c r="A5084">
        <v>318</v>
      </c>
      <c r="B5084" t="s">
        <v>2013</v>
      </c>
      <c r="C5084" t="s">
        <v>10</v>
      </c>
      <c r="D5084" t="s">
        <v>2031</v>
      </c>
      <c r="E5084">
        <f t="shared" si="228"/>
        <v>5.434782608695652E-3</v>
      </c>
      <c r="F5084">
        <v>1</v>
      </c>
      <c r="G5084">
        <f>LOG(382/(1+1))</f>
        <v>2.2810333672477277</v>
      </c>
      <c r="H5084">
        <f>0.00543478260869565*5.25227342804663</f>
        <v>2.8544964282862108E-2</v>
      </c>
      <c r="I5084">
        <v>2.8544964282862122E-2</v>
      </c>
    </row>
    <row r="5085" spans="1:9" x14ac:dyDescent="0.25">
      <c r="A5085">
        <v>318</v>
      </c>
      <c r="B5085" t="s">
        <v>2013</v>
      </c>
      <c r="C5085" t="s">
        <v>10</v>
      </c>
      <c r="D5085" t="s">
        <v>339</v>
      </c>
      <c r="E5085">
        <f t="shared" si="228"/>
        <v>5.434782608695652E-3</v>
      </c>
      <c r="F5085">
        <v>66</v>
      </c>
      <c r="G5085">
        <f>LOG(382/(66+1))</f>
        <v>0.75598856021088234</v>
      </c>
      <c r="H5085">
        <f>0.00543478260869565*1.7407279892156</f>
        <v>9.460478202258692E-3</v>
      </c>
      <c r="I5085">
        <v>9.4604782022587458E-3</v>
      </c>
    </row>
    <row r="5086" spans="1:9" x14ac:dyDescent="0.25">
      <c r="A5086">
        <v>318</v>
      </c>
      <c r="B5086" t="s">
        <v>2013</v>
      </c>
      <c r="C5086" t="s">
        <v>10</v>
      </c>
      <c r="D5086" t="s">
        <v>144</v>
      </c>
      <c r="E5086">
        <f t="shared" si="228"/>
        <v>5.434782608695652E-3</v>
      </c>
      <c r="F5086">
        <v>105</v>
      </c>
      <c r="G5086">
        <f>LOG(382/(105+1))</f>
        <v>0.55675749764693849</v>
      </c>
      <c r="H5086">
        <f>0.00543478260869565*1.2819815144945</f>
        <v>6.9672908396440194E-3</v>
      </c>
      <c r="I5086">
        <v>6.9672908396440636E-3</v>
      </c>
    </row>
    <row r="5087" spans="1:9" x14ac:dyDescent="0.25">
      <c r="A5087">
        <v>318</v>
      </c>
      <c r="B5087" t="s">
        <v>2013</v>
      </c>
      <c r="C5087" t="s">
        <v>10</v>
      </c>
      <c r="D5087" t="s">
        <v>443</v>
      </c>
      <c r="E5087">
        <f t="shared" si="228"/>
        <v>5.434782608695652E-3</v>
      </c>
      <c r="F5087">
        <v>3</v>
      </c>
      <c r="G5087">
        <f>LOG(382/(3+1))</f>
        <v>1.9800033715837464</v>
      </c>
      <c r="H5087">
        <f>0.00543478260869565*4.55912624748668</f>
        <v>2.4777860040688469E-2</v>
      </c>
      <c r="I5087">
        <v>2.47778600406885E-2</v>
      </c>
    </row>
    <row r="5088" spans="1:9" x14ac:dyDescent="0.25">
      <c r="A5088">
        <v>318</v>
      </c>
      <c r="B5088" t="s">
        <v>2013</v>
      </c>
      <c r="C5088" t="s">
        <v>10</v>
      </c>
      <c r="D5088" t="s">
        <v>2032</v>
      </c>
      <c r="E5088">
        <f t="shared" si="228"/>
        <v>5.434782608695652E-3</v>
      </c>
      <c r="F5088">
        <v>1</v>
      </c>
      <c r="G5088">
        <f>LOG(382/(1+1))</f>
        <v>2.2810333672477277</v>
      </c>
      <c r="H5088">
        <f>0.00543478260869565*5.25227342804663</f>
        <v>2.8544964282862108E-2</v>
      </c>
      <c r="I5088">
        <v>2.8544964282862122E-2</v>
      </c>
    </row>
    <row r="5089" spans="1:9" x14ac:dyDescent="0.25">
      <c r="A5089">
        <v>318</v>
      </c>
      <c r="B5089" t="s">
        <v>2013</v>
      </c>
      <c r="C5089" t="s">
        <v>10</v>
      </c>
      <c r="D5089" t="s">
        <v>2033</v>
      </c>
      <c r="E5089">
        <f t="shared" si="228"/>
        <v>5.434782608695652E-3</v>
      </c>
      <c r="F5089">
        <v>1</v>
      </c>
      <c r="G5089">
        <f>LOG(382/(1+1))</f>
        <v>2.2810333672477277</v>
      </c>
      <c r="H5089">
        <f>0.00543478260869565*5.25227342804663</f>
        <v>2.8544964282862108E-2</v>
      </c>
      <c r="I5089">
        <v>2.8544964282862122E-2</v>
      </c>
    </row>
    <row r="5090" spans="1:9" x14ac:dyDescent="0.25">
      <c r="A5090">
        <v>318</v>
      </c>
      <c r="B5090" t="s">
        <v>2013</v>
      </c>
      <c r="C5090" t="s">
        <v>10</v>
      </c>
      <c r="D5090" t="s">
        <v>779</v>
      </c>
      <c r="E5090">
        <f t="shared" si="228"/>
        <v>5.434782608695652E-3</v>
      </c>
      <c r="F5090">
        <v>25</v>
      </c>
      <c r="G5090">
        <f>LOG(382/(25+1))</f>
        <v>1.1670900149408907</v>
      </c>
      <c r="H5090">
        <f>0.00543478260869565*2.68732407058509</f>
        <v>1.4605022122745049E-2</v>
      </c>
      <c r="I5090">
        <v>1.460502212274507E-2</v>
      </c>
    </row>
    <row r="5091" spans="1:9" x14ac:dyDescent="0.25">
      <c r="A5091">
        <v>318</v>
      </c>
      <c r="B5091" t="s">
        <v>2013</v>
      </c>
      <c r="C5091" t="s">
        <v>10</v>
      </c>
      <c r="D5091" t="s">
        <v>196</v>
      </c>
      <c r="E5091">
        <f t="shared" si="228"/>
        <v>5.434782608695652E-3</v>
      </c>
      <c r="F5091">
        <v>33</v>
      </c>
      <c r="G5091">
        <f>LOG(382/(33+1))</f>
        <v>1.0505844458694535</v>
      </c>
      <c r="H5091">
        <f>0.00543478260869565*2.41906008399041</f>
        <v>1.314706567386092E-2</v>
      </c>
      <c r="I5091">
        <v>1.314706567386094E-2</v>
      </c>
    </row>
    <row r="5092" spans="1:9" x14ac:dyDescent="0.25">
      <c r="A5092">
        <v>318</v>
      </c>
      <c r="B5092" t="s">
        <v>2013</v>
      </c>
      <c r="C5092" t="s">
        <v>10</v>
      </c>
      <c r="D5092" t="s">
        <v>432</v>
      </c>
      <c r="E5092">
        <f t="shared" si="228"/>
        <v>5.434782608695652E-3</v>
      </c>
      <c r="F5092">
        <v>67</v>
      </c>
      <c r="G5092">
        <f>LOG(382/(67+1))</f>
        <v>0.7495544502054724</v>
      </c>
      <c r="H5092">
        <f>0.00543478260869565*1.72591290343046</f>
        <v>9.3799614316872806E-3</v>
      </c>
      <c r="I5092">
        <v>9.3799614316873274E-3</v>
      </c>
    </row>
    <row r="5093" spans="1:9" x14ac:dyDescent="0.25">
      <c r="A5093">
        <v>318</v>
      </c>
      <c r="B5093" t="s">
        <v>2013</v>
      </c>
      <c r="C5093" t="s">
        <v>10</v>
      </c>
      <c r="D5093" t="s">
        <v>542</v>
      </c>
      <c r="E5093">
        <f t="shared" si="228"/>
        <v>5.434782608695652E-3</v>
      </c>
      <c r="F5093">
        <v>42</v>
      </c>
      <c r="G5093">
        <f>LOG(382/(42+1))</f>
        <v>0.94859490733212215</v>
      </c>
      <c r="H5093">
        <f>0.00543478260869565*2.18422049291301</f>
        <v>1.1870763548440267E-2</v>
      </c>
      <c r="I5093">
        <v>1.1870763548440289E-2</v>
      </c>
    </row>
    <row r="5094" spans="1:9" x14ac:dyDescent="0.25">
      <c r="A5094">
        <v>318</v>
      </c>
      <c r="B5094" t="s">
        <v>2013</v>
      </c>
      <c r="C5094" t="s">
        <v>10</v>
      </c>
      <c r="D5094" t="s">
        <v>1848</v>
      </c>
      <c r="E5094">
        <f t="shared" si="228"/>
        <v>5.434782608695652E-3</v>
      </c>
      <c r="F5094">
        <v>4</v>
      </c>
      <c r="G5094">
        <f>LOG(382/(4+1))</f>
        <v>1.8830933585756899</v>
      </c>
      <c r="H5094">
        <f>0.00543478260869565*4.33598269617247</f>
        <v>2.3565123348763418E-2</v>
      </c>
      <c r="I5094">
        <v>2.3565123348763449E-2</v>
      </c>
    </row>
    <row r="5095" spans="1:9" x14ac:dyDescent="0.25">
      <c r="A5095">
        <v>318</v>
      </c>
      <c r="B5095" t="s">
        <v>2013</v>
      </c>
      <c r="C5095" t="s">
        <v>10</v>
      </c>
      <c r="D5095" t="s">
        <v>596</v>
      </c>
      <c r="E5095">
        <f t="shared" si="228"/>
        <v>5.434782608695652E-3</v>
      </c>
      <c r="F5095">
        <v>60</v>
      </c>
      <c r="G5095">
        <f>LOG(382/(60+1))</f>
        <v>0.79673352790094176</v>
      </c>
      <c r="H5095">
        <f>0.00543478260869565*1.83454674443326</f>
        <v>9.9703627414851042E-3</v>
      </c>
      <c r="I5095">
        <v>9.9703627414851302E-3</v>
      </c>
    </row>
    <row r="5096" spans="1:9" x14ac:dyDescent="0.25">
      <c r="A5096">
        <v>318</v>
      </c>
      <c r="B5096" t="s">
        <v>2013</v>
      </c>
      <c r="C5096" t="s">
        <v>10</v>
      </c>
      <c r="D5096" t="s">
        <v>597</v>
      </c>
      <c r="E5096">
        <f>3/184</f>
        <v>1.6304347826086956E-2</v>
      </c>
      <c r="F5096">
        <v>51</v>
      </c>
      <c r="G5096">
        <f>LOG(382/(51+1))</f>
        <v>0.86606001927690957</v>
      </c>
      <c r="H5096">
        <f>0.0163043478260869*1.99417689002514</f>
        <v>3.2513753641714126E-2</v>
      </c>
      <c r="I5096">
        <v>3.2513753641714362E-2</v>
      </c>
    </row>
    <row r="5097" spans="1:9" x14ac:dyDescent="0.25">
      <c r="A5097">
        <v>318</v>
      </c>
      <c r="B5097" t="s">
        <v>2013</v>
      </c>
      <c r="C5097" t="s">
        <v>10</v>
      </c>
      <c r="D5097" t="s">
        <v>2034</v>
      </c>
      <c r="E5097">
        <f>1/184</f>
        <v>5.434782608695652E-3</v>
      </c>
      <c r="F5097">
        <v>1</v>
      </c>
      <c r="G5097">
        <f>LOG(382/(1+1))</f>
        <v>2.2810333672477277</v>
      </c>
      <c r="H5097">
        <f>0.00543478260869565*5.25227342804663</f>
        <v>2.8544964282862108E-2</v>
      </c>
      <c r="I5097">
        <v>2.8544964282862122E-2</v>
      </c>
    </row>
    <row r="5098" spans="1:9" x14ac:dyDescent="0.25">
      <c r="A5098">
        <v>318</v>
      </c>
      <c r="B5098" t="s">
        <v>2013</v>
      </c>
      <c r="C5098" t="s">
        <v>10</v>
      </c>
      <c r="D5098" t="s">
        <v>1407</v>
      </c>
      <c r="E5098">
        <f>1/184</f>
        <v>5.434782608695652E-3</v>
      </c>
      <c r="F5098">
        <v>16</v>
      </c>
      <c r="G5098">
        <f>LOG(382/(16+1))</f>
        <v>1.3516144415334348</v>
      </c>
      <c r="H5098">
        <f>0.00543478260869565*3.11220726455035</f>
        <v>1.6914169916034505E-2</v>
      </c>
      <c r="I5098">
        <v>1.691416991603456E-2</v>
      </c>
    </row>
    <row r="5099" spans="1:9" x14ac:dyDescent="0.25">
      <c r="A5099">
        <v>318</v>
      </c>
      <c r="B5099" t="s">
        <v>2013</v>
      </c>
      <c r="C5099" t="s">
        <v>10</v>
      </c>
      <c r="D5099" t="s">
        <v>361</v>
      </c>
      <c r="E5099">
        <f>2/184</f>
        <v>1.0869565217391304E-2</v>
      </c>
      <c r="F5099">
        <v>118</v>
      </c>
      <c r="G5099">
        <f>LOG(382/(118+1))</f>
        <v>0.50651640151917798</v>
      </c>
      <c r="H5099">
        <f>0.0108695652173913*1.16629711549504</f>
        <v>1.2677142559728689E-2</v>
      </c>
      <c r="I5099">
        <v>1.267714255972876E-2</v>
      </c>
    </row>
    <row r="5100" spans="1:9" x14ac:dyDescent="0.25">
      <c r="A5100">
        <v>318</v>
      </c>
      <c r="B5100" t="s">
        <v>2013</v>
      </c>
      <c r="C5100" t="s">
        <v>10</v>
      </c>
      <c r="D5100" t="s">
        <v>434</v>
      </c>
      <c r="E5100">
        <f>1/184</f>
        <v>5.434782608695652E-3</v>
      </c>
      <c r="F5100">
        <v>97</v>
      </c>
      <c r="G5100">
        <f>LOG(382/(97+1))</f>
        <v>0.59083728721921391</v>
      </c>
      <c r="H5100">
        <f>0.00543478260869565*1.360453129936</f>
        <v>7.393767010521737E-3</v>
      </c>
      <c r="I5100">
        <v>7.3937670105217561E-3</v>
      </c>
    </row>
    <row r="5101" spans="1:9" x14ac:dyDescent="0.25">
      <c r="A5101">
        <v>318</v>
      </c>
      <c r="B5101" t="s">
        <v>2013</v>
      </c>
      <c r="C5101" t="s">
        <v>10</v>
      </c>
      <c r="D5101" t="s">
        <v>444</v>
      </c>
      <c r="E5101">
        <f>2/184</f>
        <v>1.0869565217391304E-2</v>
      </c>
      <c r="F5101">
        <v>28</v>
      </c>
      <c r="G5101">
        <f>LOG(382/(28+1))</f>
        <v>1.1196653650127526</v>
      </c>
      <c r="H5101">
        <f>0.0108695652173913*2.5781247786201</f>
        <v>2.8023095419783685E-2</v>
      </c>
      <c r="I5101">
        <v>2.8023095419783709E-2</v>
      </c>
    </row>
    <row r="5102" spans="1:9" x14ac:dyDescent="0.25">
      <c r="A5102">
        <v>318</v>
      </c>
      <c r="B5102" t="s">
        <v>2013</v>
      </c>
      <c r="C5102" t="s">
        <v>10</v>
      </c>
      <c r="D5102" t="s">
        <v>445</v>
      </c>
      <c r="E5102">
        <f>2/184</f>
        <v>1.0869565217391304E-2</v>
      </c>
      <c r="F5102">
        <v>35</v>
      </c>
      <c r="G5102">
        <f>LOG(382/(35+1))</f>
        <v>1.0257608621444214</v>
      </c>
      <c r="H5102">
        <f>0.0108695652173913*2.36190167015046</f>
        <v>2.5672844240765862E-2</v>
      </c>
      <c r="I5102">
        <v>2.5672844240765921E-2</v>
      </c>
    </row>
    <row r="5103" spans="1:9" x14ac:dyDescent="0.25">
      <c r="A5103">
        <v>318</v>
      </c>
      <c r="B5103" t="s">
        <v>2013</v>
      </c>
      <c r="C5103" t="s">
        <v>10</v>
      </c>
      <c r="D5103" t="s">
        <v>310</v>
      </c>
      <c r="E5103">
        <f>1/184</f>
        <v>5.434782608695652E-3</v>
      </c>
      <c r="F5103">
        <v>50</v>
      </c>
      <c r="G5103">
        <f>LOG(382/(50+1))</f>
        <v>0.87449318681377242</v>
      </c>
      <c r="H5103">
        <f>0.00543478260869565*2.01359497588224</f>
        <v>1.0943450955881734E-2</v>
      </c>
      <c r="I5103">
        <v>1.0943450955881791E-2</v>
      </c>
    </row>
    <row r="5104" spans="1:9" x14ac:dyDescent="0.25">
      <c r="A5104">
        <v>318</v>
      </c>
      <c r="B5104" t="s">
        <v>2013</v>
      </c>
      <c r="C5104" t="s">
        <v>10</v>
      </c>
      <c r="D5104" t="s">
        <v>2035</v>
      </c>
      <c r="E5104">
        <f>1/184</f>
        <v>5.434782608695652E-3</v>
      </c>
      <c r="F5104">
        <v>13</v>
      </c>
      <c r="G5104">
        <f>LOG(382/(13+1))</f>
        <v>1.4359353272334707</v>
      </c>
      <c r="H5104">
        <f>0.00543478260869565*3.30636327899131</f>
        <v>1.7969365646691896E-2</v>
      </c>
      <c r="I5104">
        <v>1.7969365646691941E-2</v>
      </c>
    </row>
    <row r="5105" spans="1:9" x14ac:dyDescent="0.25">
      <c r="A5105">
        <v>318</v>
      </c>
      <c r="B5105" t="s">
        <v>2013</v>
      </c>
      <c r="C5105" t="s">
        <v>10</v>
      </c>
      <c r="D5105" t="s">
        <v>1176</v>
      </c>
      <c r="E5105">
        <f>1/184</f>
        <v>5.434782608695652E-3</v>
      </c>
      <c r="F5105">
        <v>15</v>
      </c>
      <c r="G5105">
        <f>LOG(382/(15+1))</f>
        <v>1.3779433802557839</v>
      </c>
      <c r="H5105">
        <f>0.00543478260869565*3.17283188636679</f>
        <v>1.7243651556341246E-2</v>
      </c>
      <c r="I5105">
        <v>1.724365155634127E-2</v>
      </c>
    </row>
    <row r="5106" spans="1:9" x14ac:dyDescent="0.25">
      <c r="A5106">
        <v>318</v>
      </c>
      <c r="B5106" t="s">
        <v>2013</v>
      </c>
      <c r="C5106" t="s">
        <v>10</v>
      </c>
      <c r="D5106" t="s">
        <v>1073</v>
      </c>
      <c r="E5106">
        <f>2/184</f>
        <v>1.0869565217391304E-2</v>
      </c>
      <c r="F5106">
        <v>25</v>
      </c>
      <c r="G5106">
        <f>LOG(382/(25+1))</f>
        <v>1.1670900149408907</v>
      </c>
      <c r="H5106">
        <f>0.0108695652173913*2.68732407058509</f>
        <v>2.9210044245490098E-2</v>
      </c>
      <c r="I5106">
        <v>2.921004424549014E-2</v>
      </c>
    </row>
    <row r="5107" spans="1:9" x14ac:dyDescent="0.25">
      <c r="A5107">
        <v>318</v>
      </c>
      <c r="B5107" t="s">
        <v>2013</v>
      </c>
      <c r="C5107" t="s">
        <v>10</v>
      </c>
      <c r="D5107" t="s">
        <v>2036</v>
      </c>
      <c r="E5107">
        <f t="shared" ref="E5107:E5114" si="229">1/184</f>
        <v>5.434782608695652E-3</v>
      </c>
      <c r="F5107">
        <v>7</v>
      </c>
      <c r="G5107">
        <f>LOG(382/(7+1))</f>
        <v>1.6789733759197651</v>
      </c>
      <c r="H5107">
        <f>0.00543478260869565*3.86597906692673</f>
        <v>2.101075579851483E-2</v>
      </c>
      <c r="I5107">
        <v>2.1010755798514889E-2</v>
      </c>
    </row>
    <row r="5108" spans="1:9" x14ac:dyDescent="0.25">
      <c r="A5108">
        <v>318</v>
      </c>
      <c r="B5108" t="s">
        <v>2013</v>
      </c>
      <c r="C5108" t="s">
        <v>10</v>
      </c>
      <c r="D5108" t="s">
        <v>490</v>
      </c>
      <c r="E5108">
        <f t="shared" si="229"/>
        <v>5.434782608695652E-3</v>
      </c>
      <c r="F5108">
        <v>31</v>
      </c>
      <c r="G5108">
        <f>LOG(382/(31+1))</f>
        <v>1.0769133845918029</v>
      </c>
      <c r="H5108">
        <f>0.00543478260869565*2.47968470580684</f>
        <v>1.3476547314167604E-2</v>
      </c>
      <c r="I5108">
        <v>1.3476547314167661E-2</v>
      </c>
    </row>
    <row r="5109" spans="1:9" x14ac:dyDescent="0.25">
      <c r="A5109">
        <v>318</v>
      </c>
      <c r="B5109" t="s">
        <v>2013</v>
      </c>
      <c r="C5109" t="s">
        <v>10</v>
      </c>
      <c r="D5109" t="s">
        <v>2037</v>
      </c>
      <c r="E5109">
        <f t="shared" si="229"/>
        <v>5.434782608695652E-3</v>
      </c>
      <c r="F5109">
        <v>1</v>
      </c>
      <c r="G5109">
        <f>LOG(382/(1+1))</f>
        <v>2.2810333672477277</v>
      </c>
      <c r="H5109">
        <f>0.00543478260869565*5.25227342804663</f>
        <v>2.8544964282862108E-2</v>
      </c>
      <c r="I5109">
        <v>2.8544964282862122E-2</v>
      </c>
    </row>
    <row r="5110" spans="1:9" x14ac:dyDescent="0.25">
      <c r="A5110">
        <v>318</v>
      </c>
      <c r="B5110" t="s">
        <v>2013</v>
      </c>
      <c r="C5110" t="s">
        <v>10</v>
      </c>
      <c r="D5110" t="s">
        <v>2038</v>
      </c>
      <c r="E5110">
        <f t="shared" si="229"/>
        <v>5.434782608695652E-3</v>
      </c>
      <c r="F5110">
        <v>2</v>
      </c>
      <c r="G5110">
        <f>LOG(382/(2+1))</f>
        <v>2.1049421081920463</v>
      </c>
      <c r="H5110">
        <f>0.00543478260869565*4.84680831993846</f>
        <v>2.6341349564882925E-2</v>
      </c>
      <c r="I5110">
        <v>2.634134956488296E-2</v>
      </c>
    </row>
    <row r="5111" spans="1:9" x14ac:dyDescent="0.25">
      <c r="A5111">
        <v>318</v>
      </c>
      <c r="B5111" t="s">
        <v>2013</v>
      </c>
      <c r="C5111" t="s">
        <v>10</v>
      </c>
      <c r="D5111" t="s">
        <v>852</v>
      </c>
      <c r="E5111">
        <f t="shared" si="229"/>
        <v>5.434782608695652E-3</v>
      </c>
      <c r="F5111">
        <v>10</v>
      </c>
      <c r="G5111">
        <f>LOG(382/(10+1))</f>
        <v>1.5406706777534838</v>
      </c>
      <c r="H5111">
        <f>0.00543478260869565*3.5475253358082</f>
        <v>1.9280028998957602E-2</v>
      </c>
      <c r="I5111">
        <v>1.928002899895763E-2</v>
      </c>
    </row>
    <row r="5112" spans="1:9" x14ac:dyDescent="0.25">
      <c r="A5112">
        <v>318</v>
      </c>
      <c r="B5112" t="s">
        <v>2013</v>
      </c>
      <c r="C5112" t="s">
        <v>10</v>
      </c>
      <c r="D5112" t="s">
        <v>1486</v>
      </c>
      <c r="E5112">
        <f t="shared" si="229"/>
        <v>5.434782608695652E-3</v>
      </c>
      <c r="F5112">
        <v>5</v>
      </c>
      <c r="G5112">
        <f>LOG(382/(5+1))</f>
        <v>1.803912112528065</v>
      </c>
      <c r="H5112">
        <f>0.00543478260869565*4.15366113937852</f>
        <v>2.2574245322709338E-2</v>
      </c>
      <c r="I5112">
        <v>2.2574245322709349E-2</v>
      </c>
    </row>
    <row r="5113" spans="1:9" x14ac:dyDescent="0.25">
      <c r="A5113">
        <v>318</v>
      </c>
      <c r="B5113" t="s">
        <v>2013</v>
      </c>
      <c r="C5113" t="s">
        <v>10</v>
      </c>
      <c r="D5113" t="s">
        <v>2039</v>
      </c>
      <c r="E5113">
        <f t="shared" si="229"/>
        <v>5.434782608695652E-3</v>
      </c>
      <c r="F5113">
        <v>3</v>
      </c>
      <c r="G5113">
        <f>LOG(382/(3+1))</f>
        <v>1.9800033715837464</v>
      </c>
      <c r="H5113">
        <f>0.00543478260869565*4.55912624748668</f>
        <v>2.4777860040688469E-2</v>
      </c>
      <c r="I5113">
        <v>2.47778600406885E-2</v>
      </c>
    </row>
    <row r="5114" spans="1:9" x14ac:dyDescent="0.25">
      <c r="A5114">
        <v>318</v>
      </c>
      <c r="B5114" t="s">
        <v>2013</v>
      </c>
      <c r="C5114" t="s">
        <v>10</v>
      </c>
      <c r="D5114" t="s">
        <v>1626</v>
      </c>
      <c r="E5114">
        <f t="shared" si="229"/>
        <v>5.434782608695652E-3</v>
      </c>
      <c r="F5114">
        <v>32</v>
      </c>
      <c r="G5114">
        <f>LOG(382/(32+1))</f>
        <v>1.0635494230338212</v>
      </c>
      <c r="H5114">
        <f>0.00543478260869565*2.44891304714009</f>
        <v>1.3309310038804834E-2</v>
      </c>
      <c r="I5114">
        <v>1.330931003880486E-2</v>
      </c>
    </row>
    <row r="5115" spans="1:9" x14ac:dyDescent="0.25">
      <c r="A5115">
        <v>318</v>
      </c>
      <c r="B5115" t="s">
        <v>2013</v>
      </c>
      <c r="C5115" t="s">
        <v>10</v>
      </c>
      <c r="D5115" t="s">
        <v>236</v>
      </c>
      <c r="E5115">
        <f>2/184</f>
        <v>1.0869565217391304E-2</v>
      </c>
      <c r="F5115">
        <v>87</v>
      </c>
      <c r="G5115">
        <f>LOG(382/(87+1))</f>
        <v>0.63758069076154011</v>
      </c>
      <c r="H5115">
        <f>0.0108695652173913*1.46808379412836</f>
        <v>1.5957432544873473E-2</v>
      </c>
      <c r="I5115">
        <v>1.595743254487357E-2</v>
      </c>
    </row>
    <row r="5116" spans="1:9" x14ac:dyDescent="0.25">
      <c r="A5116">
        <v>318</v>
      </c>
      <c r="B5116" t="s">
        <v>2013</v>
      </c>
      <c r="C5116" t="s">
        <v>10</v>
      </c>
      <c r="D5116" t="s">
        <v>763</v>
      </c>
      <c r="E5116">
        <f>2/184</f>
        <v>1.0869565217391304E-2</v>
      </c>
      <c r="F5116">
        <v>47</v>
      </c>
      <c r="G5116">
        <f>LOG(382/(47+1))</f>
        <v>0.90082212553612151</v>
      </c>
      <c r="H5116">
        <f>0.0108695652173913*2.07421959769868</f>
        <v>2.2545865192376949E-2</v>
      </c>
      <c r="I5116">
        <v>2.2545865192377001E-2</v>
      </c>
    </row>
    <row r="5117" spans="1:9" x14ac:dyDescent="0.25">
      <c r="A5117">
        <v>318</v>
      </c>
      <c r="B5117" t="s">
        <v>2013</v>
      </c>
      <c r="C5117" t="s">
        <v>10</v>
      </c>
      <c r="D5117" t="s">
        <v>1831</v>
      </c>
      <c r="E5117">
        <f>1/184</f>
        <v>5.434782608695652E-3</v>
      </c>
      <c r="F5117">
        <v>28</v>
      </c>
      <c r="G5117">
        <f>LOG(382/(28+1))</f>
        <v>1.1196653650127526</v>
      </c>
      <c r="H5117">
        <f>0.00543478260869565*2.5781247786201</f>
        <v>1.4011547709891842E-2</v>
      </c>
      <c r="I5117">
        <v>1.4011547709891849E-2</v>
      </c>
    </row>
    <row r="5118" spans="1:9" x14ac:dyDescent="0.25">
      <c r="A5118">
        <v>318</v>
      </c>
      <c r="B5118" t="s">
        <v>2013</v>
      </c>
      <c r="C5118" t="s">
        <v>10</v>
      </c>
      <c r="D5118" t="s">
        <v>1919</v>
      </c>
      <c r="E5118">
        <f>1/184</f>
        <v>5.434782608695652E-3</v>
      </c>
      <c r="F5118">
        <v>18</v>
      </c>
      <c r="G5118">
        <f>LOG(382/(18+1))</f>
        <v>1.3033097619588798</v>
      </c>
      <c r="H5118">
        <f>0.00543478260869565*3.00098162944013</f>
        <v>1.6309682768696352E-2</v>
      </c>
      <c r="I5118">
        <v>1.630968276869638E-2</v>
      </c>
    </row>
    <row r="5119" spans="1:9" x14ac:dyDescent="0.25">
      <c r="A5119">
        <v>318</v>
      </c>
      <c r="B5119" t="s">
        <v>2013</v>
      </c>
      <c r="C5119" t="s">
        <v>10</v>
      </c>
      <c r="D5119" t="s">
        <v>1918</v>
      </c>
      <c r="E5119">
        <f>1/184</f>
        <v>5.434782608695652E-3</v>
      </c>
      <c r="F5119">
        <v>25</v>
      </c>
      <c r="G5119">
        <f>LOG(382/(25+1))</f>
        <v>1.1670900149408907</v>
      </c>
      <c r="H5119">
        <f>0.00543478260869565*2.68732407058509</f>
        <v>1.4605022122745049E-2</v>
      </c>
      <c r="I5119">
        <v>1.460502212274507E-2</v>
      </c>
    </row>
    <row r="5120" spans="1:9" x14ac:dyDescent="0.25">
      <c r="A5120">
        <v>318</v>
      </c>
      <c r="B5120" t="s">
        <v>2013</v>
      </c>
      <c r="C5120" t="s">
        <v>10</v>
      </c>
      <c r="D5120" t="s">
        <v>1920</v>
      </c>
      <c r="E5120">
        <f>1/184</f>
        <v>5.434782608695652E-3</v>
      </c>
      <c r="F5120">
        <v>18</v>
      </c>
      <c r="G5120">
        <f>LOG(382/(18+1))</f>
        <v>1.3033097619588798</v>
      </c>
      <c r="H5120">
        <f>0.00543478260869565*3.00098162944013</f>
        <v>1.6309682768696352E-2</v>
      </c>
      <c r="I5120">
        <v>1.630968276869638E-2</v>
      </c>
    </row>
    <row r="5121" spans="1:9" x14ac:dyDescent="0.25">
      <c r="A5121">
        <v>318</v>
      </c>
      <c r="B5121" t="s">
        <v>2013</v>
      </c>
      <c r="C5121" t="s">
        <v>10</v>
      </c>
      <c r="D5121" t="s">
        <v>1469</v>
      </c>
      <c r="E5121">
        <f>2/184</f>
        <v>1.0869565217391304E-2</v>
      </c>
      <c r="F5121">
        <v>24</v>
      </c>
      <c r="G5121">
        <f>LOG(382/(24+1))</f>
        <v>1.1841233542396712</v>
      </c>
      <c r="H5121">
        <f>0.0108695652173913*2.72654478373837</f>
        <v>2.9636356344982271E-2</v>
      </c>
      <c r="I5121">
        <v>2.963635634498233E-2</v>
      </c>
    </row>
    <row r="5122" spans="1:9" x14ac:dyDescent="0.25">
      <c r="A5122">
        <v>318</v>
      </c>
      <c r="B5122" t="s">
        <v>2013</v>
      </c>
      <c r="C5122" t="s">
        <v>10</v>
      </c>
      <c r="D5122" t="s">
        <v>439</v>
      </c>
      <c r="E5122">
        <f>1/184</f>
        <v>5.434782608695652E-3</v>
      </c>
      <c r="F5122">
        <v>28</v>
      </c>
      <c r="G5122">
        <f>LOG(382/(28+1))</f>
        <v>1.1196653650127526</v>
      </c>
      <c r="H5122">
        <f>0.00543478260869565*2.5781247786201</f>
        <v>1.4011547709891842E-2</v>
      </c>
      <c r="I5122">
        <v>1.4011547709891849E-2</v>
      </c>
    </row>
    <row r="5123" spans="1:9" x14ac:dyDescent="0.25">
      <c r="A5123">
        <v>318</v>
      </c>
      <c r="B5123" t="s">
        <v>2013</v>
      </c>
      <c r="C5123" t="s">
        <v>10</v>
      </c>
      <c r="D5123" t="s">
        <v>688</v>
      </c>
      <c r="E5123">
        <f>1/184</f>
        <v>5.434782608695652E-3</v>
      </c>
      <c r="F5123">
        <v>23</v>
      </c>
      <c r="G5123">
        <f>LOG(382/(23+1))</f>
        <v>1.2018521212001028</v>
      </c>
      <c r="H5123">
        <f>0.00543478260869565*2.76736677825862</f>
        <v>1.5040036838362062E-2</v>
      </c>
      <c r="I5123">
        <v>1.5040036838362121E-2</v>
      </c>
    </row>
    <row r="5124" spans="1:9" x14ac:dyDescent="0.25">
      <c r="A5124">
        <v>318</v>
      </c>
      <c r="B5124" t="s">
        <v>2013</v>
      </c>
      <c r="C5124" t="s">
        <v>10</v>
      </c>
      <c r="D5124" t="s">
        <v>754</v>
      </c>
      <c r="E5124">
        <f>1/184</f>
        <v>5.434782608695652E-3</v>
      </c>
      <c r="F5124">
        <v>111</v>
      </c>
      <c r="G5124">
        <f>LOG(382/(111+1))</f>
        <v>0.53284534024152708</v>
      </c>
      <c r="H5124">
        <f>0.00543478260869565*1.22692173731148</f>
        <v>6.668052920171085E-3</v>
      </c>
      <c r="I5124">
        <v>6.6680529201710902E-3</v>
      </c>
    </row>
    <row r="5125" spans="1:9" x14ac:dyDescent="0.25">
      <c r="A5125">
        <v>318</v>
      </c>
      <c r="B5125" t="s">
        <v>2013</v>
      </c>
      <c r="C5125" t="s">
        <v>10</v>
      </c>
      <c r="D5125" t="s">
        <v>338</v>
      </c>
      <c r="E5125">
        <f>2/184</f>
        <v>1.0869565217391304E-2</v>
      </c>
      <c r="F5125">
        <v>54</v>
      </c>
      <c r="G5125">
        <f>LOG(382/(54+1))</f>
        <v>0.84170067341746491</v>
      </c>
      <c r="H5125">
        <f>0.0108695652173913*1.9380874233741</f>
        <v>2.1066167645370643E-2</v>
      </c>
      <c r="I5125">
        <v>2.1066167645370702E-2</v>
      </c>
    </row>
    <row r="5126" spans="1:9" x14ac:dyDescent="0.25">
      <c r="A5126">
        <v>318</v>
      </c>
      <c r="B5126" t="s">
        <v>2013</v>
      </c>
      <c r="C5126" t="s">
        <v>10</v>
      </c>
      <c r="D5126" t="s">
        <v>388</v>
      </c>
      <c r="E5126">
        <f>1/184</f>
        <v>5.434782608695652E-3</v>
      </c>
      <c r="F5126">
        <v>44</v>
      </c>
      <c r="G5126">
        <f>LOG(382/(44+1))</f>
        <v>0.92885084913636506</v>
      </c>
      <c r="H5126">
        <f>0.00543478260869565*2.13875811883625</f>
        <v>1.1623685428457875E-2</v>
      </c>
      <c r="I5126">
        <v>1.162368542845791E-2</v>
      </c>
    </row>
    <row r="5127" spans="1:9" x14ac:dyDescent="0.25">
      <c r="A5127">
        <v>318</v>
      </c>
      <c r="B5127" t="s">
        <v>2013</v>
      </c>
      <c r="C5127" t="s">
        <v>10</v>
      </c>
      <c r="D5127" t="s">
        <v>1921</v>
      </c>
      <c r="E5127">
        <f>1/184</f>
        <v>5.434782608695652E-3</v>
      </c>
      <c r="F5127">
        <v>37</v>
      </c>
      <c r="G5127">
        <f>LOG(382/(37+1))</f>
        <v>1.0022797662948986</v>
      </c>
      <c r="H5127">
        <f>0.00543478260869565*2.30783444888018</f>
        <v>1.2542578526522713E-2</v>
      </c>
      <c r="I5127">
        <v>1.254257852652277E-2</v>
      </c>
    </row>
    <row r="5128" spans="1:9" x14ac:dyDescent="0.25">
      <c r="A5128">
        <v>318</v>
      </c>
      <c r="B5128" t="s">
        <v>2013</v>
      </c>
      <c r="C5128" t="s">
        <v>10</v>
      </c>
      <c r="D5128" t="s">
        <v>82</v>
      </c>
      <c r="E5128">
        <f>1/184</f>
        <v>5.434782608695652E-3</v>
      </c>
      <c r="F5128">
        <v>92</v>
      </c>
      <c r="G5128">
        <f>LOG(382/(92+1))</f>
        <v>0.61358041435777355</v>
      </c>
      <c r="H5128">
        <f>0.00543478260869565*1.41282111545331</f>
        <v>7.6783756274636378E-3</v>
      </c>
      <c r="I5128">
        <v>7.6783756274636924E-3</v>
      </c>
    </row>
    <row r="5129" spans="1:9" x14ac:dyDescent="0.25">
      <c r="A5129">
        <v>318</v>
      </c>
      <c r="B5129" t="s">
        <v>2013</v>
      </c>
      <c r="C5129" t="s">
        <v>10</v>
      </c>
      <c r="D5129" t="s">
        <v>1922</v>
      </c>
      <c r="E5129">
        <f>1/184</f>
        <v>5.434782608695652E-3</v>
      </c>
      <c r="F5129">
        <v>15</v>
      </c>
      <c r="G5129">
        <f>LOG(382/(15+1))</f>
        <v>1.3779433802557839</v>
      </c>
      <c r="H5129">
        <f>0.00543478260869565*3.17283188636679</f>
        <v>1.7243651556341246E-2</v>
      </c>
      <c r="I5129">
        <v>1.724365155634127E-2</v>
      </c>
    </row>
    <row r="5130" spans="1:9" x14ac:dyDescent="0.25">
      <c r="A5130">
        <v>318</v>
      </c>
      <c r="B5130" t="s">
        <v>2013</v>
      </c>
      <c r="C5130" t="s">
        <v>10</v>
      </c>
      <c r="D5130" t="s">
        <v>331</v>
      </c>
      <c r="E5130">
        <f>1/184</f>
        <v>5.434782608695652E-3</v>
      </c>
      <c r="F5130">
        <v>130</v>
      </c>
      <c r="G5130">
        <f>LOG(382/(130+1))</f>
        <v>0.46479206725594452</v>
      </c>
      <c r="H5130">
        <f>0.00543478260869565*1.07022328540542</f>
        <v>5.8164308989424986E-3</v>
      </c>
      <c r="I5130">
        <v>5.8164308989425194E-3</v>
      </c>
    </row>
    <row r="5131" spans="1:9" x14ac:dyDescent="0.25">
      <c r="A5131">
        <v>318</v>
      </c>
      <c r="B5131" t="s">
        <v>2013</v>
      </c>
      <c r="C5131" t="s">
        <v>10</v>
      </c>
      <c r="D5131" t="s">
        <v>78</v>
      </c>
      <c r="E5131">
        <f>2/184</f>
        <v>1.0869565217391304E-2</v>
      </c>
      <c r="F5131">
        <v>122</v>
      </c>
      <c r="G5131">
        <f>LOG(382/(122+1))</f>
        <v>0.49215825147231079</v>
      </c>
      <c r="H5131">
        <f>0.0108695652173913*1.13323625323415</f>
        <v>1.2317785361240757E-2</v>
      </c>
      <c r="I5131">
        <v>1.2317785361240841E-2</v>
      </c>
    </row>
    <row r="5132" spans="1:9" x14ac:dyDescent="0.25">
      <c r="A5132">
        <v>318</v>
      </c>
      <c r="B5132" t="s">
        <v>2013</v>
      </c>
      <c r="C5132" t="s">
        <v>10</v>
      </c>
      <c r="D5132" t="s">
        <v>483</v>
      </c>
      <c r="E5132">
        <f>1/184</f>
        <v>5.434782608695652E-3</v>
      </c>
      <c r="F5132">
        <v>61</v>
      </c>
      <c r="G5132">
        <f>LOG(382/(61+1))</f>
        <v>0.7896716734134549</v>
      </c>
      <c r="H5132">
        <f>0.00543478260869565*1.81828622356148</f>
        <v>9.8819903454428239E-3</v>
      </c>
      <c r="I5132">
        <v>9.8819903454428447E-3</v>
      </c>
    </row>
    <row r="5133" spans="1:9" x14ac:dyDescent="0.25">
      <c r="A5133">
        <v>318</v>
      </c>
      <c r="B5133" t="s">
        <v>2013</v>
      </c>
      <c r="C5133" t="s">
        <v>10</v>
      </c>
      <c r="D5133" t="s">
        <v>753</v>
      </c>
      <c r="E5133">
        <f>1/184</f>
        <v>5.434782608695652E-3</v>
      </c>
      <c r="F5133">
        <v>19</v>
      </c>
      <c r="G5133">
        <f>LOG(382/(19+1))</f>
        <v>1.2810333672477277</v>
      </c>
      <c r="H5133">
        <f>0.00543478260869565*2.94968833505258</f>
        <v>1.6030914864416192E-2</v>
      </c>
      <c r="I5133">
        <v>1.6030914864416219E-2</v>
      </c>
    </row>
    <row r="5134" spans="1:9" x14ac:dyDescent="0.25">
      <c r="A5134">
        <v>318</v>
      </c>
      <c r="B5134" t="s">
        <v>2013</v>
      </c>
      <c r="C5134" t="s">
        <v>10</v>
      </c>
      <c r="D5134" t="s">
        <v>124</v>
      </c>
      <c r="E5134">
        <f>1/184</f>
        <v>5.434782608695652E-3</v>
      </c>
      <c r="F5134">
        <v>9</v>
      </c>
      <c r="G5134">
        <f>LOG(382/(9+1))</f>
        <v>1.5820633629117087</v>
      </c>
      <c r="H5134">
        <f>0.00543478260869565*3.64283551561252</f>
        <v>1.9798019106589775E-2</v>
      </c>
      <c r="I5134">
        <v>1.9798019106589831E-2</v>
      </c>
    </row>
    <row r="5135" spans="1:9" x14ac:dyDescent="0.25">
      <c r="A5135">
        <v>318</v>
      </c>
      <c r="B5135" t="s">
        <v>2013</v>
      </c>
      <c r="C5135" t="s">
        <v>10</v>
      </c>
      <c r="D5135" t="s">
        <v>342</v>
      </c>
      <c r="E5135">
        <f>1/184</f>
        <v>5.434782608695652E-3</v>
      </c>
      <c r="F5135">
        <v>35</v>
      </c>
      <c r="G5135">
        <f>LOG(382/(35+1))</f>
        <v>1.0257608621444214</v>
      </c>
      <c r="H5135">
        <f>0.00543478260869565*2.36190167015046</f>
        <v>1.2836422120382931E-2</v>
      </c>
      <c r="I5135">
        <v>1.2836422120382961E-2</v>
      </c>
    </row>
    <row r="5136" spans="1:9" x14ac:dyDescent="0.25">
      <c r="A5136">
        <v>319</v>
      </c>
      <c r="B5136" t="s">
        <v>2040</v>
      </c>
      <c r="C5136" t="s">
        <v>10</v>
      </c>
      <c r="D5136" t="s">
        <v>11</v>
      </c>
      <c r="E5136">
        <f>14/123</f>
        <v>0.11382113821138211</v>
      </c>
      <c r="F5136">
        <v>83</v>
      </c>
      <c r="G5136">
        <f>LOG(382/(83+1))</f>
        <v>0.65778407684982709</v>
      </c>
      <c r="H5136">
        <f>0.113821138211382*1.51460380976326</f>
        <v>0.17239392956654973</v>
      </c>
      <c r="I5136">
        <v>0.17239392956655011</v>
      </c>
    </row>
    <row r="5137" spans="1:9" x14ac:dyDescent="0.25">
      <c r="A5137">
        <v>319</v>
      </c>
      <c r="B5137" t="s">
        <v>2040</v>
      </c>
      <c r="C5137" t="s">
        <v>10</v>
      </c>
      <c r="D5137" t="s">
        <v>12</v>
      </c>
      <c r="E5137">
        <f>13/123</f>
        <v>0.10569105691056911</v>
      </c>
      <c r="F5137">
        <v>28</v>
      </c>
      <c r="G5137">
        <f>LOG(382/(28+1))</f>
        <v>1.1196653650127526</v>
      </c>
      <c r="H5137">
        <f>0.105691056910569*2.5781247786201</f>
        <v>0.27248473269968509</v>
      </c>
      <c r="I5137">
        <v>0.27248473269968548</v>
      </c>
    </row>
    <row r="5138" spans="1:9" x14ac:dyDescent="0.25">
      <c r="A5138">
        <v>319</v>
      </c>
      <c r="B5138" t="s">
        <v>2040</v>
      </c>
      <c r="C5138" t="s">
        <v>10</v>
      </c>
      <c r="D5138" t="s">
        <v>2041</v>
      </c>
      <c r="E5138">
        <f>1/123</f>
        <v>8.130081300813009E-3</v>
      </c>
      <c r="F5138">
        <v>1</v>
      </c>
      <c r="G5138">
        <f>LOG(382/(1+1))</f>
        <v>2.2810333672477277</v>
      </c>
      <c r="H5138">
        <f>0.008130081300813*5.25227342804663</f>
        <v>4.27014099841189E-2</v>
      </c>
      <c r="I5138">
        <v>4.2701409984118949E-2</v>
      </c>
    </row>
    <row r="5139" spans="1:9" x14ac:dyDescent="0.25">
      <c r="A5139">
        <v>319</v>
      </c>
      <c r="B5139" t="s">
        <v>2040</v>
      </c>
      <c r="C5139" t="s">
        <v>10</v>
      </c>
      <c r="D5139" t="s">
        <v>2042</v>
      </c>
      <c r="E5139">
        <f>1/123</f>
        <v>8.130081300813009E-3</v>
      </c>
      <c r="F5139">
        <v>1</v>
      </c>
      <c r="G5139">
        <f>LOG(382/(1+1))</f>
        <v>2.2810333672477277</v>
      </c>
      <c r="H5139">
        <f>0.008130081300813*5.25227342804663</f>
        <v>4.27014099841189E-2</v>
      </c>
      <c r="I5139">
        <v>4.2701409984118949E-2</v>
      </c>
    </row>
    <row r="5140" spans="1:9" x14ac:dyDescent="0.25">
      <c r="A5140">
        <v>319</v>
      </c>
      <c r="B5140" t="s">
        <v>2040</v>
      </c>
      <c r="C5140" t="s">
        <v>10</v>
      </c>
      <c r="D5140" t="s">
        <v>304</v>
      </c>
      <c r="E5140">
        <f>1/123</f>
        <v>8.130081300813009E-3</v>
      </c>
      <c r="F5140">
        <v>3</v>
      </c>
      <c r="G5140">
        <f>LOG(382/(3+1))</f>
        <v>1.9800033715837464</v>
      </c>
      <c r="H5140">
        <f>0.008130081300813*4.55912624748668</f>
        <v>3.7066067052737198E-2</v>
      </c>
      <c r="I5140">
        <v>3.7066067052737267E-2</v>
      </c>
    </row>
    <row r="5141" spans="1:9" x14ac:dyDescent="0.25">
      <c r="A5141">
        <v>319</v>
      </c>
      <c r="B5141" t="s">
        <v>2040</v>
      </c>
      <c r="C5141" t="s">
        <v>10</v>
      </c>
      <c r="D5141" t="s">
        <v>2043</v>
      </c>
      <c r="E5141">
        <f>1/123</f>
        <v>8.130081300813009E-3</v>
      </c>
      <c r="F5141">
        <v>1</v>
      </c>
      <c r="G5141">
        <f>LOG(382/(1+1))</f>
        <v>2.2810333672477277</v>
      </c>
      <c r="H5141">
        <f>0.008130081300813*5.25227342804663</f>
        <v>4.27014099841189E-2</v>
      </c>
      <c r="I5141">
        <v>4.2701409984118949E-2</v>
      </c>
    </row>
    <row r="5142" spans="1:9" x14ac:dyDescent="0.25">
      <c r="A5142">
        <v>319</v>
      </c>
      <c r="B5142" t="s">
        <v>2040</v>
      </c>
      <c r="C5142" t="s">
        <v>10</v>
      </c>
      <c r="D5142" t="s">
        <v>183</v>
      </c>
      <c r="E5142">
        <f>3/123</f>
        <v>2.4390243902439025E-2</v>
      </c>
      <c r="F5142">
        <v>46</v>
      </c>
      <c r="G5142">
        <f>LOG(382/(46+1))</f>
        <v>0.90996550497599127</v>
      </c>
      <c r="H5142">
        <f>0.024390243902439*2.09527300689651</f>
        <v>5.1104219680402636E-2</v>
      </c>
      <c r="I5142">
        <v>5.1104219680402838E-2</v>
      </c>
    </row>
    <row r="5143" spans="1:9" x14ac:dyDescent="0.25">
      <c r="A5143">
        <v>319</v>
      </c>
      <c r="B5143" t="s">
        <v>2040</v>
      </c>
      <c r="C5143" t="s">
        <v>10</v>
      </c>
      <c r="D5143" t="s">
        <v>38</v>
      </c>
      <c r="E5143">
        <f>1/123</f>
        <v>8.130081300813009E-3</v>
      </c>
      <c r="F5143">
        <v>86</v>
      </c>
      <c r="G5143">
        <f>LOG(382/(86+1))</f>
        <v>0.64254411029309022</v>
      </c>
      <c r="H5143">
        <f>0.008130081300813*1.47951248995199</f>
        <v>1.2028556828877957E-2</v>
      </c>
      <c r="I5143">
        <v>1.2028556828877979E-2</v>
      </c>
    </row>
    <row r="5144" spans="1:9" x14ac:dyDescent="0.25">
      <c r="A5144">
        <v>319</v>
      </c>
      <c r="B5144" t="s">
        <v>2040</v>
      </c>
      <c r="C5144" t="s">
        <v>10</v>
      </c>
      <c r="D5144" t="s">
        <v>693</v>
      </c>
      <c r="E5144">
        <f>1/123</f>
        <v>8.130081300813009E-3</v>
      </c>
      <c r="F5144">
        <v>25</v>
      </c>
      <c r="G5144">
        <f>LOG(382/(25+1))</f>
        <v>1.1670900149408907</v>
      </c>
      <c r="H5144">
        <f>0.008130081300813*2.68732407058509</f>
        <v>2.1848163175488516E-2</v>
      </c>
      <c r="I5144">
        <v>2.1848163175488561E-2</v>
      </c>
    </row>
    <row r="5145" spans="1:9" x14ac:dyDescent="0.25">
      <c r="A5145">
        <v>319</v>
      </c>
      <c r="B5145" t="s">
        <v>2040</v>
      </c>
      <c r="C5145" t="s">
        <v>10</v>
      </c>
      <c r="D5145" t="s">
        <v>44</v>
      </c>
      <c r="E5145">
        <f>2/123</f>
        <v>1.6260162601626018E-2</v>
      </c>
      <c r="F5145">
        <v>151</v>
      </c>
      <c r="G5145">
        <f>LOG(382/(151+1))</f>
        <v>0.40021977496693617</v>
      </c>
      <c r="H5145">
        <f>0.016260162601626*0.921540087760298</f>
        <v>1.4984391670899141E-2</v>
      </c>
      <c r="I5145">
        <v>1.4984391670899169E-2</v>
      </c>
    </row>
    <row r="5146" spans="1:9" x14ac:dyDescent="0.25">
      <c r="A5146">
        <v>319</v>
      </c>
      <c r="B5146" t="s">
        <v>2040</v>
      </c>
      <c r="C5146" t="s">
        <v>10</v>
      </c>
      <c r="D5146" t="s">
        <v>362</v>
      </c>
      <c r="E5146">
        <f>1/123</f>
        <v>8.130081300813009E-3</v>
      </c>
      <c r="F5146">
        <v>81</v>
      </c>
      <c r="G5146">
        <f>LOG(382/(81+1))</f>
        <v>0.66824951052799197</v>
      </c>
      <c r="H5146">
        <f>0.008130081300813*1.53870136134232</f>
        <v>1.2509767165384702E-2</v>
      </c>
      <c r="I5146">
        <v>1.250976716538473E-2</v>
      </c>
    </row>
    <row r="5147" spans="1:9" x14ac:dyDescent="0.25">
      <c r="A5147">
        <v>319</v>
      </c>
      <c r="B5147" t="s">
        <v>2040</v>
      </c>
      <c r="C5147" t="s">
        <v>10</v>
      </c>
      <c r="D5147" t="s">
        <v>593</v>
      </c>
      <c r="E5147">
        <f>1/123</f>
        <v>8.130081300813009E-3</v>
      </c>
      <c r="F5147">
        <v>30</v>
      </c>
      <c r="G5147">
        <f>LOG(382/(30+1))</f>
        <v>1.090701669077436</v>
      </c>
      <c r="H5147">
        <f>0.008130081300813*2.51143340412142</f>
        <v>2.0418157757084696E-2</v>
      </c>
      <c r="I5147">
        <v>2.041815775708479E-2</v>
      </c>
    </row>
    <row r="5148" spans="1:9" x14ac:dyDescent="0.25">
      <c r="A5148">
        <v>319</v>
      </c>
      <c r="B5148" t="s">
        <v>2040</v>
      </c>
      <c r="C5148" t="s">
        <v>10</v>
      </c>
      <c r="D5148" t="s">
        <v>216</v>
      </c>
      <c r="E5148">
        <f>2/123</f>
        <v>1.6260162601626018E-2</v>
      </c>
      <c r="F5148">
        <v>63</v>
      </c>
      <c r="G5148">
        <f>LOG(382/(63+1))</f>
        <v>0.7758833889278216</v>
      </c>
      <c r="H5148">
        <f>0.016260162601626*1.7865375252469</f>
        <v>2.9049390654421109E-2</v>
      </c>
      <c r="I5148">
        <v>2.9049390654421199E-2</v>
      </c>
    </row>
    <row r="5149" spans="1:9" x14ac:dyDescent="0.25">
      <c r="A5149">
        <v>319</v>
      </c>
      <c r="B5149" t="s">
        <v>2040</v>
      </c>
      <c r="C5149" t="s">
        <v>10</v>
      </c>
      <c r="D5149" t="s">
        <v>594</v>
      </c>
      <c r="E5149">
        <f>1/123</f>
        <v>8.130081300813009E-3</v>
      </c>
      <c r="F5149">
        <v>36</v>
      </c>
      <c r="G5149">
        <f>LOG(382/(36+1))</f>
        <v>1.0138616388447137</v>
      </c>
      <c r="H5149">
        <f>0.008130081300813*2.33450269596235</f>
        <v>1.8979696715141037E-2</v>
      </c>
      <c r="I5149">
        <v>1.8979696715141069E-2</v>
      </c>
    </row>
    <row r="5150" spans="1:9" x14ac:dyDescent="0.25">
      <c r="A5150">
        <v>319</v>
      </c>
      <c r="B5150" t="s">
        <v>2040</v>
      </c>
      <c r="C5150" t="s">
        <v>10</v>
      </c>
      <c r="D5150" t="s">
        <v>119</v>
      </c>
      <c r="E5150">
        <f>2/123</f>
        <v>1.6260162601626018E-2</v>
      </c>
      <c r="F5150">
        <v>79</v>
      </c>
      <c r="G5150">
        <f>LOG(382/(79+1))</f>
        <v>0.67897337591976514</v>
      </c>
      <c r="H5150">
        <f>0.016260162601626*1.56339397393269</f>
        <v>2.5421040226547783E-2</v>
      </c>
      <c r="I5150">
        <v>2.542104022654787E-2</v>
      </c>
    </row>
    <row r="5151" spans="1:9" x14ac:dyDescent="0.25">
      <c r="A5151">
        <v>319</v>
      </c>
      <c r="B5151" t="s">
        <v>2040</v>
      </c>
      <c r="C5151" t="s">
        <v>10</v>
      </c>
      <c r="D5151" t="s">
        <v>236</v>
      </c>
      <c r="E5151">
        <f>3/123</f>
        <v>2.4390243902439025E-2</v>
      </c>
      <c r="F5151">
        <v>87</v>
      </c>
      <c r="G5151">
        <f>LOG(382/(87+1))</f>
        <v>0.63758069076154011</v>
      </c>
      <c r="H5151">
        <f>0.024390243902439*1.46808379412836</f>
        <v>3.5806921808008749E-2</v>
      </c>
      <c r="I5151">
        <v>3.5806921808008992E-2</v>
      </c>
    </row>
    <row r="5152" spans="1:9" x14ac:dyDescent="0.25">
      <c r="A5152">
        <v>319</v>
      </c>
      <c r="B5152" t="s">
        <v>2040</v>
      </c>
      <c r="C5152" t="s">
        <v>10</v>
      </c>
      <c r="D5152" t="s">
        <v>243</v>
      </c>
      <c r="E5152">
        <f t="shared" ref="E5152:E5159" si="230">1/123</f>
        <v>8.130081300813009E-3</v>
      </c>
      <c r="F5152">
        <v>131</v>
      </c>
      <c r="G5152">
        <f>LOG(382/(131+1))</f>
        <v>0.46148943170585888</v>
      </c>
      <c r="H5152">
        <f>0.008130081300813*1.0626186860202</f>
        <v>8.6391763091073093E-3</v>
      </c>
      <c r="I5152">
        <v>8.6391763091073527E-3</v>
      </c>
    </row>
    <row r="5153" spans="1:9" x14ac:dyDescent="0.25">
      <c r="A5153">
        <v>319</v>
      </c>
      <c r="B5153" t="s">
        <v>2040</v>
      </c>
      <c r="C5153" t="s">
        <v>10</v>
      </c>
      <c r="D5153" t="s">
        <v>2044</v>
      </c>
      <c r="E5153">
        <f t="shared" si="230"/>
        <v>8.130081300813009E-3</v>
      </c>
      <c r="F5153">
        <v>1</v>
      </c>
      <c r="G5153">
        <f>LOG(382/(1+1))</f>
        <v>2.2810333672477277</v>
      </c>
      <c r="H5153">
        <f>0.008130081300813*5.25227342804663</f>
        <v>4.27014099841189E-2</v>
      </c>
      <c r="I5153">
        <v>4.2701409984118949E-2</v>
      </c>
    </row>
    <row r="5154" spans="1:9" x14ac:dyDescent="0.25">
      <c r="A5154">
        <v>319</v>
      </c>
      <c r="B5154" t="s">
        <v>2040</v>
      </c>
      <c r="C5154" t="s">
        <v>10</v>
      </c>
      <c r="D5154" t="s">
        <v>393</v>
      </c>
      <c r="E5154">
        <f t="shared" si="230"/>
        <v>8.130081300813009E-3</v>
      </c>
      <c r="F5154">
        <v>6</v>
      </c>
      <c r="G5154">
        <f>LOG(382/(6+1))</f>
        <v>1.736965322897452</v>
      </c>
      <c r="H5154">
        <f>0.008130081300813*3.99951045955126</f>
        <v>3.2516345199603711E-2</v>
      </c>
      <c r="I5154">
        <v>3.2516345199603759E-2</v>
      </c>
    </row>
    <row r="5155" spans="1:9" x14ac:dyDescent="0.25">
      <c r="A5155">
        <v>319</v>
      </c>
      <c r="B5155" t="s">
        <v>2040</v>
      </c>
      <c r="C5155" t="s">
        <v>10</v>
      </c>
      <c r="D5155" t="s">
        <v>367</v>
      </c>
      <c r="E5155">
        <f t="shared" si="230"/>
        <v>8.130081300813009E-3</v>
      </c>
      <c r="F5155">
        <v>4</v>
      </c>
      <c r="G5155">
        <f>LOG(382/(4+1))</f>
        <v>1.8830933585756899</v>
      </c>
      <c r="H5155">
        <f>0.008130081300813*4.33598269617247</f>
        <v>3.5251891838800536E-2</v>
      </c>
      <c r="I5155">
        <v>3.5251891838800613E-2</v>
      </c>
    </row>
    <row r="5156" spans="1:9" x14ac:dyDescent="0.25">
      <c r="A5156">
        <v>319</v>
      </c>
      <c r="B5156" t="s">
        <v>2040</v>
      </c>
      <c r="C5156" t="s">
        <v>10</v>
      </c>
      <c r="D5156" t="s">
        <v>2045</v>
      </c>
      <c r="E5156">
        <f t="shared" si="230"/>
        <v>8.130081300813009E-3</v>
      </c>
      <c r="F5156">
        <v>1</v>
      </c>
      <c r="G5156">
        <f>LOG(382/(1+1))</f>
        <v>2.2810333672477277</v>
      </c>
      <c r="H5156">
        <f>0.008130081300813*5.25227342804663</f>
        <v>4.27014099841189E-2</v>
      </c>
      <c r="I5156">
        <v>4.2701409984118949E-2</v>
      </c>
    </row>
    <row r="5157" spans="1:9" x14ac:dyDescent="0.25">
      <c r="A5157">
        <v>319</v>
      </c>
      <c r="B5157" t="s">
        <v>2040</v>
      </c>
      <c r="C5157" t="s">
        <v>10</v>
      </c>
      <c r="D5157" t="s">
        <v>105</v>
      </c>
      <c r="E5157">
        <f t="shared" si="230"/>
        <v>8.130081300813009E-3</v>
      </c>
      <c r="F5157">
        <v>122</v>
      </c>
      <c r="G5157">
        <f>LOG(382/(122+1))</f>
        <v>0.49215825147231079</v>
      </c>
      <c r="H5157">
        <f>0.008130081300813*1.13323625323415</f>
        <v>9.2133028718223483E-3</v>
      </c>
      <c r="I5157">
        <v>9.2133028718224194E-3</v>
      </c>
    </row>
    <row r="5158" spans="1:9" x14ac:dyDescent="0.25">
      <c r="A5158">
        <v>319</v>
      </c>
      <c r="B5158" t="s">
        <v>2040</v>
      </c>
      <c r="C5158" t="s">
        <v>10</v>
      </c>
      <c r="D5158" t="s">
        <v>378</v>
      </c>
      <c r="E5158">
        <f t="shared" si="230"/>
        <v>8.130081300813009E-3</v>
      </c>
      <c r="F5158">
        <v>4</v>
      </c>
      <c r="G5158">
        <f>LOG(382/(4+1))</f>
        <v>1.8830933585756899</v>
      </c>
      <c r="H5158">
        <f>0.008130081300813*4.33598269617247</f>
        <v>3.5251891838800536E-2</v>
      </c>
      <c r="I5158">
        <v>3.5251891838800613E-2</v>
      </c>
    </row>
    <row r="5159" spans="1:9" x14ac:dyDescent="0.25">
      <c r="A5159">
        <v>319</v>
      </c>
      <c r="B5159" t="s">
        <v>2040</v>
      </c>
      <c r="C5159" t="s">
        <v>10</v>
      </c>
      <c r="D5159" t="s">
        <v>186</v>
      </c>
      <c r="E5159">
        <f t="shared" si="230"/>
        <v>8.130081300813009E-3</v>
      </c>
      <c r="F5159">
        <v>5</v>
      </c>
      <c r="G5159">
        <f>LOG(382/(5+1))</f>
        <v>1.803912112528065</v>
      </c>
      <c r="H5159">
        <f>0.008130081300813*4.15366113937852</f>
        <v>3.3769602759174927E-2</v>
      </c>
      <c r="I5159">
        <v>3.3769602759174962E-2</v>
      </c>
    </row>
    <row r="5160" spans="1:9" x14ac:dyDescent="0.25">
      <c r="A5160">
        <v>319</v>
      </c>
      <c r="B5160" t="s">
        <v>2040</v>
      </c>
      <c r="C5160" t="s">
        <v>10</v>
      </c>
      <c r="D5160" t="s">
        <v>144</v>
      </c>
      <c r="E5160">
        <f>4/123</f>
        <v>3.2520325203252036E-2</v>
      </c>
      <c r="F5160">
        <v>105</v>
      </c>
      <c r="G5160">
        <f>LOG(382/(105+1))</f>
        <v>0.55675749764693849</v>
      </c>
      <c r="H5160">
        <f>0.032520325203252*1.2819815144945</f>
        <v>4.1690455755918655E-2</v>
      </c>
      <c r="I5160">
        <v>4.1690455755918961E-2</v>
      </c>
    </row>
    <row r="5161" spans="1:9" x14ac:dyDescent="0.25">
      <c r="A5161">
        <v>319</v>
      </c>
      <c r="B5161" t="s">
        <v>2040</v>
      </c>
      <c r="C5161" t="s">
        <v>10</v>
      </c>
      <c r="D5161" t="s">
        <v>42</v>
      </c>
      <c r="E5161">
        <f>2/123</f>
        <v>1.6260162601626018E-2</v>
      </c>
      <c r="F5161">
        <v>251</v>
      </c>
      <c r="G5161">
        <f>LOG(382/(251+1))</f>
        <v>0.18066282213016463</v>
      </c>
      <c r="H5161">
        <f>0.016260162601626*0.415991521095151</f>
        <v>6.7640897739048873E-3</v>
      </c>
      <c r="I5161">
        <v>6.7640897739049089E-3</v>
      </c>
    </row>
    <row r="5162" spans="1:9" x14ac:dyDescent="0.25">
      <c r="A5162">
        <v>319</v>
      </c>
      <c r="B5162" t="s">
        <v>2040</v>
      </c>
      <c r="C5162" t="s">
        <v>10</v>
      </c>
      <c r="D5162" t="s">
        <v>1062</v>
      </c>
      <c r="E5162">
        <f t="shared" ref="E5162:E5171" si="231">1/123</f>
        <v>8.130081300813009E-3</v>
      </c>
      <c r="F5162">
        <v>5</v>
      </c>
      <c r="G5162">
        <f>LOG(382/(5+1))</f>
        <v>1.803912112528065</v>
      </c>
      <c r="H5162">
        <f>0.008130081300813*4.15366113937852</f>
        <v>3.3769602759174927E-2</v>
      </c>
      <c r="I5162">
        <v>3.3769602759174962E-2</v>
      </c>
    </row>
    <row r="5163" spans="1:9" x14ac:dyDescent="0.25">
      <c r="A5163">
        <v>319</v>
      </c>
      <c r="B5163" t="s">
        <v>2040</v>
      </c>
      <c r="C5163" t="s">
        <v>10</v>
      </c>
      <c r="D5163" t="s">
        <v>865</v>
      </c>
      <c r="E5163">
        <f t="shared" si="231"/>
        <v>8.130081300813009E-3</v>
      </c>
      <c r="F5163">
        <v>13</v>
      </c>
      <c r="G5163">
        <f>LOG(382/(13+1))</f>
        <v>1.4359353272334707</v>
      </c>
      <c r="H5163">
        <f>0.008130081300813*3.30636327899131</f>
        <v>2.6881002268222008E-2</v>
      </c>
      <c r="I5163">
        <v>2.6881002268222091E-2</v>
      </c>
    </row>
    <row r="5164" spans="1:9" x14ac:dyDescent="0.25">
      <c r="A5164">
        <v>319</v>
      </c>
      <c r="B5164" t="s">
        <v>2040</v>
      </c>
      <c r="C5164" t="s">
        <v>10</v>
      </c>
      <c r="D5164" t="s">
        <v>2046</v>
      </c>
      <c r="E5164">
        <f t="shared" si="231"/>
        <v>8.130081300813009E-3</v>
      </c>
      <c r="F5164">
        <v>2</v>
      </c>
      <c r="G5164">
        <f>LOG(382/(2+1))</f>
        <v>2.1049421081920463</v>
      </c>
      <c r="H5164">
        <f>0.008130081300813*4.84680831993846</f>
        <v>3.9404945690556546E-2</v>
      </c>
      <c r="I5164">
        <v>3.9404945690556629E-2</v>
      </c>
    </row>
    <row r="5165" spans="1:9" x14ac:dyDescent="0.25">
      <c r="A5165">
        <v>319</v>
      </c>
      <c r="B5165" t="s">
        <v>2040</v>
      </c>
      <c r="C5165" t="s">
        <v>10</v>
      </c>
      <c r="D5165" t="s">
        <v>2047</v>
      </c>
      <c r="E5165">
        <f t="shared" si="231"/>
        <v>8.130081300813009E-3</v>
      </c>
      <c r="F5165">
        <v>2</v>
      </c>
      <c r="G5165">
        <f>LOG(382/(2+1))</f>
        <v>2.1049421081920463</v>
      </c>
      <c r="H5165">
        <f>0.008130081300813*4.84680831993846</f>
        <v>3.9404945690556546E-2</v>
      </c>
      <c r="I5165">
        <v>3.9404945690556629E-2</v>
      </c>
    </row>
    <row r="5166" spans="1:9" x14ac:dyDescent="0.25">
      <c r="A5166">
        <v>319</v>
      </c>
      <c r="B5166" t="s">
        <v>2040</v>
      </c>
      <c r="C5166" t="s">
        <v>10</v>
      </c>
      <c r="D5166" t="s">
        <v>17</v>
      </c>
      <c r="E5166">
        <f t="shared" si="231"/>
        <v>8.130081300813009E-3</v>
      </c>
      <c r="F5166">
        <v>169</v>
      </c>
      <c r="G5166">
        <f>LOG(382/(169+1))</f>
        <v>0.3516144415334348</v>
      </c>
      <c r="H5166">
        <f>0.008130081300813*0.809622171556313</f>
        <v>6.5822940776935953E-3</v>
      </c>
      <c r="I5166">
        <v>6.5822940776936057E-3</v>
      </c>
    </row>
    <row r="5167" spans="1:9" x14ac:dyDescent="0.25">
      <c r="A5167">
        <v>319</v>
      </c>
      <c r="B5167" t="s">
        <v>2040</v>
      </c>
      <c r="C5167" t="s">
        <v>10</v>
      </c>
      <c r="D5167" t="s">
        <v>70</v>
      </c>
      <c r="E5167">
        <f t="shared" si="231"/>
        <v>8.130081300813009E-3</v>
      </c>
      <c r="F5167">
        <v>44</v>
      </c>
      <c r="G5167">
        <f>LOG(382/(44+1))</f>
        <v>0.92885084913636506</v>
      </c>
      <c r="H5167">
        <f>0.008130081300813*2.13875811883625</f>
        <v>1.7388277388912583E-2</v>
      </c>
      <c r="I5167">
        <v>1.7388277388912649E-2</v>
      </c>
    </row>
    <row r="5168" spans="1:9" x14ac:dyDescent="0.25">
      <c r="A5168">
        <v>319</v>
      </c>
      <c r="B5168" t="s">
        <v>2040</v>
      </c>
      <c r="C5168" t="s">
        <v>10</v>
      </c>
      <c r="D5168" t="s">
        <v>22</v>
      </c>
      <c r="E5168">
        <f t="shared" si="231"/>
        <v>8.130081300813009E-3</v>
      </c>
      <c r="F5168">
        <v>259</v>
      </c>
      <c r="G5168">
        <f>LOG(382/(259+1))</f>
        <v>0.16709001494089079</v>
      </c>
      <c r="H5168">
        <f>0.008130081300813*0.384738977591047</f>
        <v>3.1279591674068835E-3</v>
      </c>
      <c r="I5168">
        <v>3.1279591674068909E-3</v>
      </c>
    </row>
    <row r="5169" spans="1:9" x14ac:dyDescent="0.25">
      <c r="A5169">
        <v>319</v>
      </c>
      <c r="B5169" t="s">
        <v>2040</v>
      </c>
      <c r="C5169" t="s">
        <v>10</v>
      </c>
      <c r="D5169" t="s">
        <v>23</v>
      </c>
      <c r="E5169">
        <f t="shared" si="231"/>
        <v>8.130081300813009E-3</v>
      </c>
      <c r="F5169">
        <v>275</v>
      </c>
      <c r="G5169">
        <f>LOG(382/(275+1))</f>
        <v>0.14115428084649101</v>
      </c>
      <c r="H5169">
        <f>0.008130081300813*0.325019742889425</f>
        <v>2.6424369340603631E-3</v>
      </c>
      <c r="I5169">
        <v>2.642436934060367E-3</v>
      </c>
    </row>
    <row r="5170" spans="1:9" x14ac:dyDescent="0.25">
      <c r="A5170">
        <v>319</v>
      </c>
      <c r="B5170" t="s">
        <v>2040</v>
      </c>
      <c r="C5170" t="s">
        <v>10</v>
      </c>
      <c r="D5170" t="s">
        <v>2048</v>
      </c>
      <c r="E5170">
        <f t="shared" si="231"/>
        <v>8.130081300813009E-3</v>
      </c>
      <c r="F5170">
        <v>3</v>
      </c>
      <c r="G5170">
        <f>LOG(382/(3+1))</f>
        <v>1.9800033715837464</v>
      </c>
      <c r="H5170">
        <f>0.008130081300813*4.55912624748668</f>
        <v>3.7066067052737198E-2</v>
      </c>
      <c r="I5170">
        <v>3.7066067052737267E-2</v>
      </c>
    </row>
    <row r="5171" spans="1:9" x14ac:dyDescent="0.25">
      <c r="A5171">
        <v>319</v>
      </c>
      <c r="B5171" t="s">
        <v>2040</v>
      </c>
      <c r="C5171" t="s">
        <v>10</v>
      </c>
      <c r="D5171" t="s">
        <v>2049</v>
      </c>
      <c r="E5171">
        <f t="shared" si="231"/>
        <v>8.130081300813009E-3</v>
      </c>
      <c r="F5171">
        <v>1</v>
      </c>
      <c r="G5171">
        <f>LOG(382/(1+1))</f>
        <v>2.2810333672477277</v>
      </c>
      <c r="H5171">
        <f>0.008130081300813*5.25227342804663</f>
        <v>4.27014099841189E-2</v>
      </c>
      <c r="I5171">
        <v>4.2701409984118949E-2</v>
      </c>
    </row>
    <row r="5172" spans="1:9" x14ac:dyDescent="0.25">
      <c r="A5172">
        <v>319</v>
      </c>
      <c r="B5172" t="s">
        <v>2040</v>
      </c>
      <c r="C5172" t="s">
        <v>10</v>
      </c>
      <c r="D5172" t="s">
        <v>600</v>
      </c>
      <c r="E5172">
        <f>2/123</f>
        <v>1.6260162601626018E-2</v>
      </c>
      <c r="F5172">
        <v>102</v>
      </c>
      <c r="G5172">
        <f>LOG(382/(102+1))</f>
        <v>0.56922613820653656</v>
      </c>
      <c r="H5172">
        <f>0.016260162601626*1.31069162037693</f>
        <v>2.1312058867917542E-2</v>
      </c>
      <c r="I5172">
        <v>2.1312058867917719E-2</v>
      </c>
    </row>
    <row r="5173" spans="1:9" x14ac:dyDescent="0.25">
      <c r="A5173">
        <v>319</v>
      </c>
      <c r="B5173" t="s">
        <v>2040</v>
      </c>
      <c r="C5173" t="s">
        <v>10</v>
      </c>
      <c r="D5173" t="s">
        <v>157</v>
      </c>
      <c r="E5173">
        <f t="shared" ref="E5173:E5180" si="232">1/123</f>
        <v>8.130081300813009E-3</v>
      </c>
      <c r="F5173">
        <v>16</v>
      </c>
      <c r="G5173">
        <f>LOG(382/(16+1))</f>
        <v>1.3516144415334348</v>
      </c>
      <c r="H5173">
        <f>0.008130081300813*3.11220726455035</f>
        <v>2.5302498085775178E-2</v>
      </c>
      <c r="I5173">
        <v>2.5302498085775279E-2</v>
      </c>
    </row>
    <row r="5174" spans="1:9" x14ac:dyDescent="0.25">
      <c r="A5174">
        <v>319</v>
      </c>
      <c r="B5174" t="s">
        <v>2040</v>
      </c>
      <c r="C5174" t="s">
        <v>10</v>
      </c>
      <c r="D5174" t="s">
        <v>64</v>
      </c>
      <c r="E5174">
        <f t="shared" si="232"/>
        <v>8.130081300813009E-3</v>
      </c>
      <c r="F5174">
        <v>16</v>
      </c>
      <c r="G5174">
        <f>LOG(382/(16+1))</f>
        <v>1.3516144415334348</v>
      </c>
      <c r="H5174">
        <f>0.008130081300813*3.11220726455035</f>
        <v>2.5302498085775178E-2</v>
      </c>
      <c r="I5174">
        <v>2.5302498085775279E-2</v>
      </c>
    </row>
    <row r="5175" spans="1:9" x14ac:dyDescent="0.25">
      <c r="A5175">
        <v>319</v>
      </c>
      <c r="B5175" t="s">
        <v>2040</v>
      </c>
      <c r="C5175" t="s">
        <v>10</v>
      </c>
      <c r="D5175" t="s">
        <v>731</v>
      </c>
      <c r="E5175">
        <f t="shared" si="232"/>
        <v>8.130081300813009E-3</v>
      </c>
      <c r="F5175">
        <v>7</v>
      </c>
      <c r="G5175">
        <f>LOG(382/(7+1))</f>
        <v>1.6789733759197651</v>
      </c>
      <c r="H5175">
        <f>0.008130081300813*3.86597906692673</f>
        <v>3.1430724121355502E-2</v>
      </c>
      <c r="I5175">
        <v>3.1430724121355613E-2</v>
      </c>
    </row>
    <row r="5176" spans="1:9" x14ac:dyDescent="0.25">
      <c r="A5176">
        <v>319</v>
      </c>
      <c r="B5176" t="s">
        <v>2040</v>
      </c>
      <c r="C5176" t="s">
        <v>10</v>
      </c>
      <c r="D5176" t="s">
        <v>912</v>
      </c>
      <c r="E5176">
        <f t="shared" si="232"/>
        <v>8.130081300813009E-3</v>
      </c>
      <c r="F5176">
        <v>4</v>
      </c>
      <c r="G5176">
        <f>LOG(382/(4+1))</f>
        <v>1.8830933585756899</v>
      </c>
      <c r="H5176">
        <f>0.008130081300813*4.33598269617247</f>
        <v>3.5251891838800536E-2</v>
      </c>
      <c r="I5176">
        <v>3.5251891838800613E-2</v>
      </c>
    </row>
    <row r="5177" spans="1:9" x14ac:dyDescent="0.25">
      <c r="A5177">
        <v>319</v>
      </c>
      <c r="B5177" t="s">
        <v>2040</v>
      </c>
      <c r="C5177" t="s">
        <v>10</v>
      </c>
      <c r="D5177" t="s">
        <v>82</v>
      </c>
      <c r="E5177">
        <f t="shared" si="232"/>
        <v>8.130081300813009E-3</v>
      </c>
      <c r="F5177">
        <v>92</v>
      </c>
      <c r="G5177">
        <f>LOG(382/(92+1))</f>
        <v>0.61358041435777355</v>
      </c>
      <c r="H5177">
        <f>0.008130081300813*1.41282111545331</f>
        <v>1.148635053214072E-2</v>
      </c>
      <c r="I5177">
        <v>1.148635053214081E-2</v>
      </c>
    </row>
    <row r="5178" spans="1:9" x14ac:dyDescent="0.25">
      <c r="A5178">
        <v>319</v>
      </c>
      <c r="B5178" t="s">
        <v>2040</v>
      </c>
      <c r="C5178" t="s">
        <v>10</v>
      </c>
      <c r="D5178" t="s">
        <v>589</v>
      </c>
      <c r="E5178">
        <f t="shared" si="232"/>
        <v>8.130081300813009E-3</v>
      </c>
      <c r="F5178">
        <v>12</v>
      </c>
      <c r="G5178">
        <f>LOG(382/(12+1))</f>
        <v>1.468120010604872</v>
      </c>
      <c r="H5178">
        <f>0.008130081300813*3.38047125114503</f>
        <v>2.7483506106870136E-2</v>
      </c>
      <c r="I5178">
        <v>2.748350610687024E-2</v>
      </c>
    </row>
    <row r="5179" spans="1:9" x14ac:dyDescent="0.25">
      <c r="A5179">
        <v>319</v>
      </c>
      <c r="B5179" t="s">
        <v>2040</v>
      </c>
      <c r="C5179" t="s">
        <v>10</v>
      </c>
      <c r="D5179" t="s">
        <v>1407</v>
      </c>
      <c r="E5179">
        <f t="shared" si="232"/>
        <v>8.130081300813009E-3</v>
      </c>
      <c r="F5179">
        <v>16</v>
      </c>
      <c r="G5179">
        <f>LOG(382/(16+1))</f>
        <v>1.3516144415334348</v>
      </c>
      <c r="H5179">
        <f>0.008130081300813*3.11220726455035</f>
        <v>2.5302498085775178E-2</v>
      </c>
      <c r="I5179">
        <v>2.5302498085775279E-2</v>
      </c>
    </row>
    <row r="5180" spans="1:9" x14ac:dyDescent="0.25">
      <c r="A5180">
        <v>319</v>
      </c>
      <c r="B5180" t="s">
        <v>2040</v>
      </c>
      <c r="C5180" t="s">
        <v>10</v>
      </c>
      <c r="D5180" t="s">
        <v>602</v>
      </c>
      <c r="E5180">
        <f t="shared" si="232"/>
        <v>8.130081300813009E-3</v>
      </c>
      <c r="F5180">
        <v>13</v>
      </c>
      <c r="G5180">
        <f>LOG(382/(13+1))</f>
        <v>1.4359353272334707</v>
      </c>
      <c r="H5180">
        <f>0.008130081300813*3.30636327899131</f>
        <v>2.6881002268222008E-2</v>
      </c>
      <c r="I5180">
        <v>2.6881002268222091E-2</v>
      </c>
    </row>
    <row r="5181" spans="1:9" x14ac:dyDescent="0.25">
      <c r="A5181">
        <v>319</v>
      </c>
      <c r="B5181" t="s">
        <v>2040</v>
      </c>
      <c r="C5181" t="s">
        <v>10</v>
      </c>
      <c r="D5181" t="s">
        <v>77</v>
      </c>
      <c r="E5181">
        <f>2/123</f>
        <v>1.6260162601626018E-2</v>
      </c>
      <c r="F5181">
        <v>148</v>
      </c>
      <c r="G5181">
        <f>LOG(382/(148+1))</f>
        <v>0.40887709449943471</v>
      </c>
      <c r="H5181">
        <f>0.016260162601626*0.941474302661116</f>
        <v>1.5308525246522197E-2</v>
      </c>
      <c r="I5181">
        <v>1.5308525246522211E-2</v>
      </c>
    </row>
    <row r="5182" spans="1:9" x14ac:dyDescent="0.25">
      <c r="A5182">
        <v>319</v>
      </c>
      <c r="B5182" t="s">
        <v>2040</v>
      </c>
      <c r="C5182" t="s">
        <v>10</v>
      </c>
      <c r="D5182" t="s">
        <v>724</v>
      </c>
      <c r="E5182">
        <f>1/123</f>
        <v>8.130081300813009E-3</v>
      </c>
      <c r="F5182">
        <v>9</v>
      </c>
      <c r="G5182">
        <f>LOG(382/(9+1))</f>
        <v>1.5820633629117087</v>
      </c>
      <c r="H5182">
        <f>0.008130081300813*3.64283551561252</f>
        <v>2.9616548907418834E-2</v>
      </c>
      <c r="I5182">
        <v>2.9616548907418942E-2</v>
      </c>
    </row>
    <row r="5183" spans="1:9" x14ac:dyDescent="0.25">
      <c r="A5183">
        <v>319</v>
      </c>
      <c r="B5183" t="s">
        <v>2040</v>
      </c>
      <c r="C5183" t="s">
        <v>10</v>
      </c>
      <c r="D5183" t="s">
        <v>1505</v>
      </c>
      <c r="E5183">
        <f>1/123</f>
        <v>8.130081300813009E-3</v>
      </c>
      <c r="F5183">
        <v>6</v>
      </c>
      <c r="G5183">
        <f>LOG(382/(6+1))</f>
        <v>1.736965322897452</v>
      </c>
      <c r="H5183">
        <f>0.008130081300813*3.99951045955126</f>
        <v>3.2516345199603711E-2</v>
      </c>
      <c r="I5183">
        <v>3.2516345199603759E-2</v>
      </c>
    </row>
    <row r="5184" spans="1:9" x14ac:dyDescent="0.25">
      <c r="A5184">
        <v>319</v>
      </c>
      <c r="B5184" t="s">
        <v>2040</v>
      </c>
      <c r="C5184" t="s">
        <v>10</v>
      </c>
      <c r="D5184" t="s">
        <v>739</v>
      </c>
      <c r="E5184">
        <f>1/123</f>
        <v>8.130081300813009E-3</v>
      </c>
      <c r="F5184">
        <v>24</v>
      </c>
      <c r="G5184">
        <f>LOG(382/(24+1))</f>
        <v>1.1841233542396712</v>
      </c>
      <c r="H5184">
        <f>0.008130081300813*2.72654478373837</f>
        <v>2.2167030762100547E-2</v>
      </c>
      <c r="I5184">
        <v>2.2167030762100609E-2</v>
      </c>
    </row>
    <row r="5185" spans="1:9" x14ac:dyDescent="0.25">
      <c r="A5185">
        <v>319</v>
      </c>
      <c r="B5185" t="s">
        <v>2040</v>
      </c>
      <c r="C5185" t="s">
        <v>10</v>
      </c>
      <c r="D5185" t="s">
        <v>2009</v>
      </c>
      <c r="E5185">
        <f>2/123</f>
        <v>1.6260162601626018E-2</v>
      </c>
      <c r="F5185">
        <v>4</v>
      </c>
      <c r="G5185">
        <f>LOG(382/(4+1))</f>
        <v>1.8830933585756899</v>
      </c>
      <c r="H5185">
        <f>0.016260162601626*4.33598269617247</f>
        <v>7.0503783677601073E-2</v>
      </c>
      <c r="I5185">
        <v>7.0503783677601226E-2</v>
      </c>
    </row>
    <row r="5186" spans="1:9" x14ac:dyDescent="0.25">
      <c r="A5186">
        <v>319</v>
      </c>
      <c r="B5186" t="s">
        <v>2040</v>
      </c>
      <c r="C5186" t="s">
        <v>10</v>
      </c>
      <c r="D5186" t="s">
        <v>149</v>
      </c>
      <c r="E5186">
        <f t="shared" ref="E5186:E5199" si="233">1/123</f>
        <v>8.130081300813009E-3</v>
      </c>
      <c r="F5186">
        <v>35</v>
      </c>
      <c r="G5186">
        <f>LOG(382/(35+1))</f>
        <v>1.0257608621444214</v>
      </c>
      <c r="H5186">
        <f>0.008130081300813*2.36190167015046</f>
        <v>1.9202452602849251E-2</v>
      </c>
      <c r="I5186">
        <v>1.920245260284931E-2</v>
      </c>
    </row>
    <row r="5187" spans="1:9" x14ac:dyDescent="0.25">
      <c r="A5187">
        <v>319</v>
      </c>
      <c r="B5187" t="s">
        <v>2040</v>
      </c>
      <c r="C5187" t="s">
        <v>10</v>
      </c>
      <c r="D5187" t="s">
        <v>803</v>
      </c>
      <c r="E5187">
        <f t="shared" si="233"/>
        <v>8.130081300813009E-3</v>
      </c>
      <c r="F5187">
        <v>3</v>
      </c>
      <c r="G5187">
        <f>LOG(382/(3+1))</f>
        <v>1.9800033715837464</v>
      </c>
      <c r="H5187">
        <f>0.008130081300813*4.55912624748668</f>
        <v>3.7066067052737198E-2</v>
      </c>
      <c r="I5187">
        <v>3.7066067052737267E-2</v>
      </c>
    </row>
    <row r="5188" spans="1:9" x14ac:dyDescent="0.25">
      <c r="A5188">
        <v>319</v>
      </c>
      <c r="B5188" t="s">
        <v>2040</v>
      </c>
      <c r="C5188" t="s">
        <v>10</v>
      </c>
      <c r="D5188" t="s">
        <v>621</v>
      </c>
      <c r="E5188">
        <f t="shared" si="233"/>
        <v>8.130081300813009E-3</v>
      </c>
      <c r="F5188">
        <v>3</v>
      </c>
      <c r="G5188">
        <f>LOG(382/(3+1))</f>
        <v>1.9800033715837464</v>
      </c>
      <c r="H5188">
        <f>0.008130081300813*4.55912624748668</f>
        <v>3.7066067052737198E-2</v>
      </c>
      <c r="I5188">
        <v>3.7066067052737267E-2</v>
      </c>
    </row>
    <row r="5189" spans="1:9" x14ac:dyDescent="0.25">
      <c r="A5189">
        <v>319</v>
      </c>
      <c r="B5189" t="s">
        <v>2040</v>
      </c>
      <c r="C5189" t="s">
        <v>10</v>
      </c>
      <c r="D5189" t="s">
        <v>2050</v>
      </c>
      <c r="E5189">
        <f t="shared" si="233"/>
        <v>8.130081300813009E-3</v>
      </c>
      <c r="F5189">
        <v>4</v>
      </c>
      <c r="G5189">
        <f>LOG(382/(4+1))</f>
        <v>1.8830933585756899</v>
      </c>
      <c r="H5189">
        <f>0.008130081300813*4.33598269617247</f>
        <v>3.5251891838800536E-2</v>
      </c>
      <c r="I5189">
        <v>3.5251891838800613E-2</v>
      </c>
    </row>
    <row r="5190" spans="1:9" x14ac:dyDescent="0.25">
      <c r="A5190">
        <v>319</v>
      </c>
      <c r="B5190" t="s">
        <v>2040</v>
      </c>
      <c r="C5190" t="s">
        <v>10</v>
      </c>
      <c r="D5190" t="s">
        <v>2051</v>
      </c>
      <c r="E5190">
        <f t="shared" si="233"/>
        <v>8.130081300813009E-3</v>
      </c>
      <c r="F5190">
        <v>2</v>
      </c>
      <c r="G5190">
        <f>LOG(382/(2+1))</f>
        <v>2.1049421081920463</v>
      </c>
      <c r="H5190">
        <f>0.008130081300813*4.84680831993846</f>
        <v>3.9404945690556546E-2</v>
      </c>
      <c r="I5190">
        <v>3.9404945690556629E-2</v>
      </c>
    </row>
    <row r="5191" spans="1:9" x14ac:dyDescent="0.25">
      <c r="A5191">
        <v>319</v>
      </c>
      <c r="B5191" t="s">
        <v>2040</v>
      </c>
      <c r="C5191" t="s">
        <v>10</v>
      </c>
      <c r="D5191" t="s">
        <v>2052</v>
      </c>
      <c r="E5191">
        <f t="shared" si="233"/>
        <v>8.130081300813009E-3</v>
      </c>
      <c r="F5191">
        <v>1</v>
      </c>
      <c r="G5191">
        <f>LOG(382/(1+1))</f>
        <v>2.2810333672477277</v>
      </c>
      <c r="H5191">
        <f>0.008130081300813*5.25227342804663</f>
        <v>4.27014099841189E-2</v>
      </c>
      <c r="I5191">
        <v>4.2701409984118949E-2</v>
      </c>
    </row>
    <row r="5192" spans="1:9" x14ac:dyDescent="0.25">
      <c r="A5192">
        <v>319</v>
      </c>
      <c r="B5192" t="s">
        <v>2040</v>
      </c>
      <c r="C5192" t="s">
        <v>10</v>
      </c>
      <c r="D5192" t="s">
        <v>1476</v>
      </c>
      <c r="E5192">
        <f t="shared" si="233"/>
        <v>8.130081300813009E-3</v>
      </c>
      <c r="F5192">
        <v>5</v>
      </c>
      <c r="G5192">
        <f>LOG(382/(5+1))</f>
        <v>1.803912112528065</v>
      </c>
      <c r="H5192">
        <f>0.008130081300813*4.15366113937852</f>
        <v>3.3769602759174927E-2</v>
      </c>
      <c r="I5192">
        <v>3.3769602759174962E-2</v>
      </c>
    </row>
    <row r="5193" spans="1:9" x14ac:dyDescent="0.25">
      <c r="A5193">
        <v>319</v>
      </c>
      <c r="B5193" t="s">
        <v>2040</v>
      </c>
      <c r="C5193" t="s">
        <v>10</v>
      </c>
      <c r="D5193" t="s">
        <v>1616</v>
      </c>
      <c r="E5193">
        <f t="shared" si="233"/>
        <v>8.130081300813009E-3</v>
      </c>
      <c r="F5193">
        <v>4</v>
      </c>
      <c r="G5193">
        <f>LOG(382/(4+1))</f>
        <v>1.8830933585756899</v>
      </c>
      <c r="H5193">
        <f>0.008130081300813*4.33598269617247</f>
        <v>3.5251891838800536E-2</v>
      </c>
      <c r="I5193">
        <v>3.5251891838800613E-2</v>
      </c>
    </row>
    <row r="5194" spans="1:9" x14ac:dyDescent="0.25">
      <c r="A5194">
        <v>319</v>
      </c>
      <c r="B5194" t="s">
        <v>2040</v>
      </c>
      <c r="C5194" t="s">
        <v>10</v>
      </c>
      <c r="D5194" t="s">
        <v>1222</v>
      </c>
      <c r="E5194">
        <f t="shared" si="233"/>
        <v>8.130081300813009E-3</v>
      </c>
      <c r="F5194">
        <v>56</v>
      </c>
      <c r="G5194">
        <f>LOG(382/(56+1))</f>
        <v>0.82618850723921733</v>
      </c>
      <c r="H5194">
        <f>0.008130081300813*1.90236934077202</f>
        <v>1.5466417404650554E-2</v>
      </c>
      <c r="I5194">
        <v>1.546641740465061E-2</v>
      </c>
    </row>
    <row r="5195" spans="1:9" x14ac:dyDescent="0.25">
      <c r="A5195">
        <v>319</v>
      </c>
      <c r="B5195" t="s">
        <v>2040</v>
      </c>
      <c r="C5195" t="s">
        <v>10</v>
      </c>
      <c r="D5195" t="s">
        <v>596</v>
      </c>
      <c r="E5195">
        <f t="shared" si="233"/>
        <v>8.130081300813009E-3</v>
      </c>
      <c r="F5195">
        <v>60</v>
      </c>
      <c r="G5195">
        <f>LOG(382/(60+1))</f>
        <v>0.79673352790094176</v>
      </c>
      <c r="H5195">
        <f>0.008130081300813*1.83454674443326</f>
        <v>1.4915014182384213E-2</v>
      </c>
      <c r="I5195">
        <v>1.4915014182384259E-2</v>
      </c>
    </row>
    <row r="5196" spans="1:9" x14ac:dyDescent="0.25">
      <c r="A5196">
        <v>319</v>
      </c>
      <c r="B5196" t="s">
        <v>2040</v>
      </c>
      <c r="C5196" t="s">
        <v>10</v>
      </c>
      <c r="D5196" t="s">
        <v>340</v>
      </c>
      <c r="E5196">
        <f t="shared" si="233"/>
        <v>8.130081300813009E-3</v>
      </c>
      <c r="F5196">
        <v>28</v>
      </c>
      <c r="G5196">
        <f>LOG(382/(28+1))</f>
        <v>1.1196653650127526</v>
      </c>
      <c r="H5196">
        <f>0.008130081300813*2.5781247786201</f>
        <v>2.0960364053821928E-2</v>
      </c>
      <c r="I5196">
        <v>2.0960364053821959E-2</v>
      </c>
    </row>
    <row r="5197" spans="1:9" x14ac:dyDescent="0.25">
      <c r="A5197">
        <v>319</v>
      </c>
      <c r="B5197" t="s">
        <v>2040</v>
      </c>
      <c r="C5197" t="s">
        <v>10</v>
      </c>
      <c r="D5197" t="s">
        <v>39</v>
      </c>
      <c r="E5197">
        <f t="shared" si="233"/>
        <v>8.130081300813009E-3</v>
      </c>
      <c r="F5197">
        <v>145</v>
      </c>
      <c r="G5197">
        <f>LOG(382/(145+1))</f>
        <v>0.41771050712727159</v>
      </c>
      <c r="H5197">
        <f>0.008130081300813*0.961813986898238</f>
        <v>7.8196259097417647E-3</v>
      </c>
      <c r="I5197">
        <v>7.8196259097417786E-3</v>
      </c>
    </row>
    <row r="5198" spans="1:9" x14ac:dyDescent="0.25">
      <c r="A5198">
        <v>319</v>
      </c>
      <c r="B5198" t="s">
        <v>2040</v>
      </c>
      <c r="C5198" t="s">
        <v>10</v>
      </c>
      <c r="D5198" t="s">
        <v>219</v>
      </c>
      <c r="E5198">
        <f t="shared" si="233"/>
        <v>8.130081300813009E-3</v>
      </c>
      <c r="F5198">
        <v>19</v>
      </c>
      <c r="G5198">
        <f>LOG(382/(19+1))</f>
        <v>1.2810333672477277</v>
      </c>
      <c r="H5198">
        <f>0.008130081300813*2.94968833505258</f>
        <v>2.3981205976037211E-2</v>
      </c>
      <c r="I5198">
        <v>2.398120597603727E-2</v>
      </c>
    </row>
    <row r="5199" spans="1:9" x14ac:dyDescent="0.25">
      <c r="A5199">
        <v>319</v>
      </c>
      <c r="B5199" t="s">
        <v>2040</v>
      </c>
      <c r="C5199" t="s">
        <v>10</v>
      </c>
      <c r="D5199" t="s">
        <v>2053</v>
      </c>
      <c r="E5199">
        <f t="shared" si="233"/>
        <v>8.130081300813009E-3</v>
      </c>
      <c r="F5199">
        <v>1</v>
      </c>
      <c r="G5199">
        <f>LOG(382/(1+1))</f>
        <v>2.2810333672477277</v>
      </c>
      <c r="H5199">
        <f>0.008130081300813*5.25227342804663</f>
        <v>4.27014099841189E-2</v>
      </c>
      <c r="I5199">
        <v>4.2701409984118949E-2</v>
      </c>
    </row>
    <row r="5200" spans="1:9" x14ac:dyDescent="0.25">
      <c r="A5200">
        <v>319</v>
      </c>
      <c r="B5200" t="s">
        <v>2040</v>
      </c>
      <c r="C5200" t="s">
        <v>10</v>
      </c>
      <c r="D5200" t="s">
        <v>1446</v>
      </c>
      <c r="E5200">
        <f>4/123</f>
        <v>3.2520325203252036E-2</v>
      </c>
      <c r="F5200">
        <v>8</v>
      </c>
      <c r="G5200">
        <f>LOG(382/(8+1))</f>
        <v>1.6278208534723839</v>
      </c>
      <c r="H5200">
        <f>0.032520325203252*3.74819603127035</f>
        <v>0.12189255386245029</v>
      </c>
      <c r="I5200">
        <v>0.1218925538624506</v>
      </c>
    </row>
    <row r="5201" spans="1:9" x14ac:dyDescent="0.25">
      <c r="A5201">
        <v>319</v>
      </c>
      <c r="B5201" t="s">
        <v>2040</v>
      </c>
      <c r="C5201" t="s">
        <v>10</v>
      </c>
      <c r="D5201" t="s">
        <v>2054</v>
      </c>
      <c r="E5201">
        <f>2/123</f>
        <v>1.6260162601626018E-2</v>
      </c>
      <c r="F5201">
        <v>2</v>
      </c>
      <c r="G5201">
        <f>LOG(382/(2+1))</f>
        <v>2.1049421081920463</v>
      </c>
      <c r="H5201">
        <f>0.016260162601626*4.84680831993846</f>
        <v>7.8809891381113092E-2</v>
      </c>
      <c r="I5201">
        <v>7.8809891381113259E-2</v>
      </c>
    </row>
    <row r="5202" spans="1:9" x14ac:dyDescent="0.25">
      <c r="A5202">
        <v>319</v>
      </c>
      <c r="B5202" t="s">
        <v>2040</v>
      </c>
      <c r="C5202" t="s">
        <v>10</v>
      </c>
      <c r="D5202" t="s">
        <v>1447</v>
      </c>
      <c r="E5202">
        <f>2/123</f>
        <v>1.6260162601626018E-2</v>
      </c>
      <c r="F5202">
        <v>6</v>
      </c>
      <c r="G5202">
        <f>LOG(382/(6+1))</f>
        <v>1.736965322897452</v>
      </c>
      <c r="H5202">
        <f>0.016260162601626*3.99951045955126</f>
        <v>6.5032690399207421E-2</v>
      </c>
      <c r="I5202">
        <v>6.5032690399207518E-2</v>
      </c>
    </row>
    <row r="5203" spans="1:9" x14ac:dyDescent="0.25">
      <c r="A5203">
        <v>319</v>
      </c>
      <c r="B5203" t="s">
        <v>2040</v>
      </c>
      <c r="C5203" t="s">
        <v>10</v>
      </c>
      <c r="D5203" t="s">
        <v>2055</v>
      </c>
      <c r="E5203">
        <f>1/123</f>
        <v>8.130081300813009E-3</v>
      </c>
      <c r="F5203">
        <v>4</v>
      </c>
      <c r="G5203">
        <f>LOG(382/(4+1))</f>
        <v>1.8830933585756899</v>
      </c>
      <c r="H5203">
        <f>0.008130081300813*4.33598269617247</f>
        <v>3.5251891838800536E-2</v>
      </c>
      <c r="I5203">
        <v>3.5251891838800613E-2</v>
      </c>
    </row>
    <row r="5204" spans="1:9" x14ac:dyDescent="0.25">
      <c r="A5204">
        <v>319</v>
      </c>
      <c r="B5204" t="s">
        <v>2040</v>
      </c>
      <c r="C5204" t="s">
        <v>10</v>
      </c>
      <c r="D5204" t="s">
        <v>730</v>
      </c>
      <c r="E5204">
        <f>2/123</f>
        <v>1.6260162601626018E-2</v>
      </c>
      <c r="F5204">
        <v>11</v>
      </c>
      <c r="G5204">
        <f>LOG(382/(11+1))</f>
        <v>1.5028821168640838</v>
      </c>
      <c r="H5204">
        <f>0.016260162601626*3.46051395881857</f>
        <v>5.6268519655586449E-2</v>
      </c>
      <c r="I5204">
        <v>5.6268519655586588E-2</v>
      </c>
    </row>
    <row r="5205" spans="1:9" x14ac:dyDescent="0.25">
      <c r="A5205">
        <v>319</v>
      </c>
      <c r="B5205" t="s">
        <v>2040</v>
      </c>
      <c r="C5205" t="s">
        <v>10</v>
      </c>
      <c r="D5205" t="s">
        <v>2056</v>
      </c>
      <c r="E5205">
        <f t="shared" ref="E5205:E5213" si="234">1/123</f>
        <v>8.130081300813009E-3</v>
      </c>
      <c r="F5205">
        <v>1</v>
      </c>
      <c r="G5205">
        <f>LOG(382/(1+1))</f>
        <v>2.2810333672477277</v>
      </c>
      <c r="H5205">
        <f>0.008130081300813*5.25227342804663</f>
        <v>4.27014099841189E-2</v>
      </c>
      <c r="I5205">
        <v>4.2701409984118949E-2</v>
      </c>
    </row>
    <row r="5206" spans="1:9" x14ac:dyDescent="0.25">
      <c r="A5206">
        <v>319</v>
      </c>
      <c r="B5206" t="s">
        <v>2040</v>
      </c>
      <c r="C5206" t="s">
        <v>10</v>
      </c>
      <c r="D5206" t="s">
        <v>732</v>
      </c>
      <c r="E5206">
        <f t="shared" si="234"/>
        <v>8.130081300813009E-3</v>
      </c>
      <c r="F5206">
        <v>4</v>
      </c>
      <c r="G5206">
        <f>LOG(382/(4+1))</f>
        <v>1.8830933585756899</v>
      </c>
      <c r="H5206">
        <f>0.008130081300813*4.33598269617247</f>
        <v>3.5251891838800536E-2</v>
      </c>
      <c r="I5206">
        <v>3.5251891838800613E-2</v>
      </c>
    </row>
    <row r="5207" spans="1:9" x14ac:dyDescent="0.25">
      <c r="A5207">
        <v>319</v>
      </c>
      <c r="B5207" t="s">
        <v>2040</v>
      </c>
      <c r="C5207" t="s">
        <v>10</v>
      </c>
      <c r="D5207" t="s">
        <v>103</v>
      </c>
      <c r="E5207">
        <f t="shared" si="234"/>
        <v>8.130081300813009E-3</v>
      </c>
      <c r="F5207">
        <v>38</v>
      </c>
      <c r="G5207">
        <f>LOG(382/(38+1))</f>
        <v>0.99099875588520958</v>
      </c>
      <c r="H5207">
        <f>0.008130081300813*2.28185896247692</f>
        <v>1.8551698881926162E-2</v>
      </c>
      <c r="I5207">
        <v>1.8551698881926249E-2</v>
      </c>
    </row>
    <row r="5208" spans="1:9" x14ac:dyDescent="0.25">
      <c r="A5208">
        <v>319</v>
      </c>
      <c r="B5208" t="s">
        <v>2040</v>
      </c>
      <c r="C5208" t="s">
        <v>10</v>
      </c>
      <c r="D5208" t="s">
        <v>30</v>
      </c>
      <c r="E5208">
        <f t="shared" si="234"/>
        <v>8.130081300813009E-3</v>
      </c>
      <c r="F5208">
        <v>7</v>
      </c>
      <c r="G5208">
        <f>LOG(382/(7+1))</f>
        <v>1.6789733759197651</v>
      </c>
      <c r="H5208">
        <f>0.008130081300813*3.86597906692673</f>
        <v>3.1430724121355502E-2</v>
      </c>
      <c r="I5208">
        <v>3.1430724121355613E-2</v>
      </c>
    </row>
    <row r="5209" spans="1:9" x14ac:dyDescent="0.25">
      <c r="A5209">
        <v>319</v>
      </c>
      <c r="B5209" t="s">
        <v>2040</v>
      </c>
      <c r="C5209" t="s">
        <v>10</v>
      </c>
      <c r="D5209" t="s">
        <v>2057</v>
      </c>
      <c r="E5209">
        <f t="shared" si="234"/>
        <v>8.130081300813009E-3</v>
      </c>
      <c r="F5209">
        <v>2</v>
      </c>
      <c r="G5209">
        <f>LOG(382/(2+1))</f>
        <v>2.1049421081920463</v>
      </c>
      <c r="H5209">
        <f>0.008130081300813*4.84680831993846</f>
        <v>3.9404945690556546E-2</v>
      </c>
      <c r="I5209">
        <v>3.9404945690556629E-2</v>
      </c>
    </row>
    <row r="5210" spans="1:9" x14ac:dyDescent="0.25">
      <c r="A5210">
        <v>319</v>
      </c>
      <c r="B5210" t="s">
        <v>2040</v>
      </c>
      <c r="C5210" t="s">
        <v>10</v>
      </c>
      <c r="D5210" t="s">
        <v>1412</v>
      </c>
      <c r="E5210">
        <f t="shared" si="234"/>
        <v>8.130081300813009E-3</v>
      </c>
      <c r="F5210">
        <v>3</v>
      </c>
      <c r="G5210">
        <f>LOG(382/(3+1))</f>
        <v>1.9800033715837464</v>
      </c>
      <c r="H5210">
        <f>0.008130081300813*4.55912624748668</f>
        <v>3.7066067052737198E-2</v>
      </c>
      <c r="I5210">
        <v>3.7066067052737267E-2</v>
      </c>
    </row>
    <row r="5211" spans="1:9" x14ac:dyDescent="0.25">
      <c r="A5211">
        <v>319</v>
      </c>
      <c r="B5211" t="s">
        <v>2040</v>
      </c>
      <c r="C5211" t="s">
        <v>10</v>
      </c>
      <c r="D5211" t="s">
        <v>440</v>
      </c>
      <c r="E5211">
        <f t="shared" si="234"/>
        <v>8.130081300813009E-3</v>
      </c>
      <c r="F5211">
        <v>6</v>
      </c>
      <c r="G5211">
        <f>LOG(382/(6+1))</f>
        <v>1.736965322897452</v>
      </c>
      <c r="H5211">
        <f>0.008130081300813*3.99951045955126</f>
        <v>3.2516345199603711E-2</v>
      </c>
      <c r="I5211">
        <v>3.2516345199603759E-2</v>
      </c>
    </row>
    <row r="5212" spans="1:9" x14ac:dyDescent="0.25">
      <c r="A5212">
        <v>319</v>
      </c>
      <c r="B5212" t="s">
        <v>2040</v>
      </c>
      <c r="C5212" t="s">
        <v>10</v>
      </c>
      <c r="D5212" t="s">
        <v>1633</v>
      </c>
      <c r="E5212">
        <f t="shared" si="234"/>
        <v>8.130081300813009E-3</v>
      </c>
      <c r="F5212">
        <v>18</v>
      </c>
      <c r="G5212">
        <f>LOG(382/(18+1))</f>
        <v>1.3033097619588798</v>
      </c>
      <c r="H5212">
        <f>0.008130081300813*3.00098162944013</f>
        <v>2.4398224629594529E-2</v>
      </c>
      <c r="I5212">
        <v>2.4398224629594591E-2</v>
      </c>
    </row>
    <row r="5213" spans="1:9" x14ac:dyDescent="0.25">
      <c r="A5213">
        <v>319</v>
      </c>
      <c r="B5213" t="s">
        <v>2040</v>
      </c>
      <c r="C5213" t="s">
        <v>10</v>
      </c>
      <c r="D5213" t="s">
        <v>2058</v>
      </c>
      <c r="E5213">
        <f t="shared" si="234"/>
        <v>8.130081300813009E-3</v>
      </c>
      <c r="F5213">
        <v>1</v>
      </c>
      <c r="G5213">
        <f>LOG(382/(1+1))</f>
        <v>2.2810333672477277</v>
      </c>
      <c r="H5213">
        <f>0.008130081300813*5.25227342804663</f>
        <v>4.27014099841189E-2</v>
      </c>
      <c r="I5213">
        <v>4.2701409984118949E-2</v>
      </c>
    </row>
    <row r="5214" spans="1:9" x14ac:dyDescent="0.25">
      <c r="A5214">
        <v>320</v>
      </c>
      <c r="B5214" t="s">
        <v>2059</v>
      </c>
      <c r="C5214" t="s">
        <v>10</v>
      </c>
      <c r="D5214" t="s">
        <v>2060</v>
      </c>
      <c r="E5214">
        <f>1/145</f>
        <v>6.8965517241379309E-3</v>
      </c>
      <c r="F5214">
        <v>1</v>
      </c>
      <c r="G5214">
        <f>LOG(382/(1+1))</f>
        <v>2.2810333672477277</v>
      </c>
      <c r="H5214">
        <f>0.00689655172413793*5.25227342804663</f>
        <v>3.6222575365838824E-2</v>
      </c>
      <c r="I5214">
        <v>3.6222575365838817E-2</v>
      </c>
    </row>
    <row r="5215" spans="1:9" x14ac:dyDescent="0.25">
      <c r="A5215">
        <v>320</v>
      </c>
      <c r="B5215" t="s">
        <v>2059</v>
      </c>
      <c r="C5215" t="s">
        <v>10</v>
      </c>
      <c r="D5215" t="s">
        <v>368</v>
      </c>
      <c r="E5215">
        <f>6/145</f>
        <v>4.1379310344827586E-2</v>
      </c>
      <c r="F5215">
        <v>17</v>
      </c>
      <c r="G5215">
        <f>LOG(382/(17+1))</f>
        <v>1.3267908578084027</v>
      </c>
      <c r="H5215">
        <f>0.0413793103448275*3.05504885071041</f>
        <v>0.12641581451215464</v>
      </c>
      <c r="I5215">
        <v>0.12641581451215489</v>
      </c>
    </row>
    <row r="5216" spans="1:9" x14ac:dyDescent="0.25">
      <c r="A5216">
        <v>320</v>
      </c>
      <c r="B5216" t="s">
        <v>2059</v>
      </c>
      <c r="C5216" t="s">
        <v>10</v>
      </c>
      <c r="D5216" t="s">
        <v>42</v>
      </c>
      <c r="E5216">
        <f>1/145</f>
        <v>6.8965517241379309E-3</v>
      </c>
      <c r="F5216">
        <v>251</v>
      </c>
      <c r="G5216">
        <f>LOG(382/(251+1))</f>
        <v>0.18066282213016463</v>
      </c>
      <c r="H5216">
        <f>0.00689655172413793*0.415991521095151</f>
        <v>2.8689070420355235E-3</v>
      </c>
      <c r="I5216">
        <v>2.86890704203553E-3</v>
      </c>
    </row>
    <row r="5217" spans="1:9" x14ac:dyDescent="0.25">
      <c r="A5217">
        <v>320</v>
      </c>
      <c r="B5217" t="s">
        <v>2059</v>
      </c>
      <c r="C5217" t="s">
        <v>10</v>
      </c>
      <c r="D5217" t="s">
        <v>15</v>
      </c>
      <c r="E5217">
        <f>2/145</f>
        <v>1.3793103448275862E-2</v>
      </c>
      <c r="F5217">
        <v>112</v>
      </c>
      <c r="G5217">
        <f>LOG(382/(112+1))</f>
        <v>0.52898491942828896</v>
      </c>
      <c r="H5217">
        <f>0.0137931034482758*1.21803278989423</f>
        <v>1.6800452274403098E-2</v>
      </c>
      <c r="I5217">
        <v>1.680045227440324E-2</v>
      </c>
    </row>
    <row r="5218" spans="1:9" x14ac:dyDescent="0.25">
      <c r="A5218">
        <v>320</v>
      </c>
      <c r="B5218" t="s">
        <v>2059</v>
      </c>
      <c r="C5218" t="s">
        <v>10</v>
      </c>
      <c r="D5218" t="s">
        <v>17</v>
      </c>
      <c r="E5218">
        <f>2/145</f>
        <v>1.3793103448275862E-2</v>
      </c>
      <c r="F5218">
        <v>169</v>
      </c>
      <c r="G5218">
        <f>LOG(382/(169+1))</f>
        <v>0.3516144415334348</v>
      </c>
      <c r="H5218">
        <f>0.0137931034482758*0.809622171556313</f>
        <v>1.1167202366293922E-2</v>
      </c>
      <c r="I5218">
        <v>1.1167202366293981E-2</v>
      </c>
    </row>
    <row r="5219" spans="1:9" x14ac:dyDescent="0.25">
      <c r="A5219">
        <v>320</v>
      </c>
      <c r="B5219" t="s">
        <v>2059</v>
      </c>
      <c r="C5219" t="s">
        <v>10</v>
      </c>
      <c r="D5219" t="s">
        <v>947</v>
      </c>
      <c r="E5219">
        <f>1/145</f>
        <v>6.8965517241379309E-3</v>
      </c>
      <c r="F5219">
        <v>6</v>
      </c>
      <c r="G5219">
        <f>LOG(382/(6+1))</f>
        <v>1.736965322897452</v>
      </c>
      <c r="H5219">
        <f>0.00689655172413793*3.99951045955126</f>
        <v>2.7582830755525929E-2</v>
      </c>
      <c r="I5219">
        <v>2.758283075552594E-2</v>
      </c>
    </row>
    <row r="5220" spans="1:9" x14ac:dyDescent="0.25">
      <c r="A5220">
        <v>320</v>
      </c>
      <c r="B5220" t="s">
        <v>2059</v>
      </c>
      <c r="C5220" t="s">
        <v>10</v>
      </c>
      <c r="D5220" t="s">
        <v>19</v>
      </c>
      <c r="E5220">
        <f>2/145</f>
        <v>1.3793103448275862E-2</v>
      </c>
      <c r="F5220">
        <v>220</v>
      </c>
      <c r="G5220">
        <f>LOG(382/(220+1))</f>
        <v>0.23767108922659805</v>
      </c>
      <c r="H5220">
        <f>0.0137931034482758*0.547257907088822</f>
        <v>7.5483849253630284E-3</v>
      </c>
      <c r="I5220">
        <v>7.5483849253630674E-3</v>
      </c>
    </row>
    <row r="5221" spans="1:9" x14ac:dyDescent="0.25">
      <c r="A5221">
        <v>320</v>
      </c>
      <c r="B5221" t="s">
        <v>2059</v>
      </c>
      <c r="C5221" t="s">
        <v>10</v>
      </c>
      <c r="D5221" t="s">
        <v>370</v>
      </c>
      <c r="E5221">
        <f>2/145</f>
        <v>1.3793103448275862E-2</v>
      </c>
      <c r="F5221">
        <v>14</v>
      </c>
      <c r="G5221">
        <f>LOG(382/(14+1))</f>
        <v>1.4059721038560276</v>
      </c>
      <c r="H5221">
        <f>0.0137931034482758*3.23737040750436</f>
        <v>4.4653384931094414E-2</v>
      </c>
      <c r="I5221">
        <v>4.4653384931094692E-2</v>
      </c>
    </row>
    <row r="5222" spans="1:9" x14ac:dyDescent="0.25">
      <c r="A5222">
        <v>320</v>
      </c>
      <c r="B5222" t="s">
        <v>2059</v>
      </c>
      <c r="C5222" t="s">
        <v>10</v>
      </c>
      <c r="D5222" t="s">
        <v>22</v>
      </c>
      <c r="E5222">
        <f>1/145</f>
        <v>6.8965517241379309E-3</v>
      </c>
      <c r="F5222">
        <v>259</v>
      </c>
      <c r="G5222">
        <f>LOG(382/(259+1))</f>
        <v>0.16709001494089079</v>
      </c>
      <c r="H5222">
        <f>0.00689655172413793*0.384738977591047</f>
        <v>2.6533722592485998E-3</v>
      </c>
      <c r="I5222">
        <v>2.6533722592486041E-3</v>
      </c>
    </row>
    <row r="5223" spans="1:9" x14ac:dyDescent="0.25">
      <c r="A5223">
        <v>320</v>
      </c>
      <c r="B5223" t="s">
        <v>2059</v>
      </c>
      <c r="C5223" t="s">
        <v>10</v>
      </c>
      <c r="D5223" t="s">
        <v>23</v>
      </c>
      <c r="E5223">
        <f>1/145</f>
        <v>6.8965517241379309E-3</v>
      </c>
      <c r="F5223">
        <v>275</v>
      </c>
      <c r="G5223">
        <f>LOG(382/(275+1))</f>
        <v>0.14115428084649101</v>
      </c>
      <c r="H5223">
        <f>0.00689655172413793*0.325019742889425</f>
        <v>2.2415154682029308E-3</v>
      </c>
      <c r="I5223">
        <v>2.2415154682029321E-3</v>
      </c>
    </row>
    <row r="5224" spans="1:9" x14ac:dyDescent="0.25">
      <c r="A5224">
        <v>320</v>
      </c>
      <c r="B5224" t="s">
        <v>2059</v>
      </c>
      <c r="C5224" t="s">
        <v>10</v>
      </c>
      <c r="D5224" t="s">
        <v>315</v>
      </c>
      <c r="E5224">
        <f>6/145</f>
        <v>4.1379310344827586E-2</v>
      </c>
      <c r="F5224">
        <v>55</v>
      </c>
      <c r="G5224">
        <f>LOG(382/(55+1))</f>
        <v>0.83387533590550833</v>
      </c>
      <c r="H5224">
        <f>0.0413793103448275*1.92006891787142</f>
        <v>7.9451127636058605E-2</v>
      </c>
      <c r="I5224">
        <v>7.9451127636058994E-2</v>
      </c>
    </row>
    <row r="5225" spans="1:9" x14ac:dyDescent="0.25">
      <c r="A5225">
        <v>320</v>
      </c>
      <c r="B5225" t="s">
        <v>2059</v>
      </c>
      <c r="C5225" t="s">
        <v>10</v>
      </c>
      <c r="D5225" t="s">
        <v>204</v>
      </c>
      <c r="E5225">
        <f t="shared" ref="E5225:E5230" si="235">2/145</f>
        <v>1.3793103448275862E-2</v>
      </c>
      <c r="F5225">
        <v>166</v>
      </c>
      <c r="G5225">
        <f>LOG(382/(166+1))</f>
        <v>0.35934689176412549</v>
      </c>
      <c r="H5225">
        <f>0.0137931034482758*0.82742679618982</f>
        <v>1.1412783395721602E-2</v>
      </c>
      <c r="I5225">
        <v>1.141278339572166E-2</v>
      </c>
    </row>
    <row r="5226" spans="1:9" x14ac:dyDescent="0.25">
      <c r="A5226">
        <v>320</v>
      </c>
      <c r="B5226" t="s">
        <v>2059</v>
      </c>
      <c r="C5226" t="s">
        <v>10</v>
      </c>
      <c r="D5226" t="s">
        <v>76</v>
      </c>
      <c r="E5226">
        <f t="shared" si="235"/>
        <v>1.3793103448275862E-2</v>
      </c>
      <c r="F5226">
        <v>140</v>
      </c>
      <c r="G5226">
        <f>LOG(382/(140+1))</f>
        <v>0.43284425025632883</v>
      </c>
      <c r="H5226">
        <f>0.0137931034482758*0.996660718228407</f>
        <v>1.3747044389357276E-2</v>
      </c>
      <c r="I5226">
        <v>1.374704438935734E-2</v>
      </c>
    </row>
    <row r="5227" spans="1:9" x14ac:dyDescent="0.25">
      <c r="A5227">
        <v>320</v>
      </c>
      <c r="B5227" t="s">
        <v>2059</v>
      </c>
      <c r="C5227" t="s">
        <v>10</v>
      </c>
      <c r="D5227" t="s">
        <v>77</v>
      </c>
      <c r="E5227">
        <f t="shared" si="235"/>
        <v>1.3793103448275862E-2</v>
      </c>
      <c r="F5227">
        <v>148</v>
      </c>
      <c r="G5227">
        <f>LOG(382/(148+1))</f>
        <v>0.40887709449943471</v>
      </c>
      <c r="H5227">
        <f>0.0137931034482758*0.941474302661116</f>
        <v>1.2985852450498093E-2</v>
      </c>
      <c r="I5227">
        <v>1.298585245049815E-2</v>
      </c>
    </row>
    <row r="5228" spans="1:9" x14ac:dyDescent="0.25">
      <c r="A5228">
        <v>320</v>
      </c>
      <c r="B5228" t="s">
        <v>2059</v>
      </c>
      <c r="C5228" t="s">
        <v>10</v>
      </c>
      <c r="D5228" t="s">
        <v>40</v>
      </c>
      <c r="E5228">
        <f t="shared" si="235"/>
        <v>1.3793103448275862E-2</v>
      </c>
      <c r="F5228">
        <v>159</v>
      </c>
      <c r="G5228">
        <f>LOG(382/(159+1))</f>
        <v>0.377943380255784</v>
      </c>
      <c r="H5228">
        <f>0.0137931034482758*0.870246793372748</f>
        <v>1.2003404046520607E-2</v>
      </c>
      <c r="I5228">
        <v>1.200340404652067E-2</v>
      </c>
    </row>
    <row r="5229" spans="1:9" x14ac:dyDescent="0.25">
      <c r="A5229">
        <v>320</v>
      </c>
      <c r="B5229" t="s">
        <v>2059</v>
      </c>
      <c r="C5229" t="s">
        <v>10</v>
      </c>
      <c r="D5229" t="s">
        <v>41</v>
      </c>
      <c r="E5229">
        <f t="shared" si="235"/>
        <v>1.3793103448275862E-2</v>
      </c>
      <c r="F5229">
        <v>195</v>
      </c>
      <c r="G5229">
        <f>LOG(382/(195+1))</f>
        <v>0.28980729155523272</v>
      </c>
      <c r="H5229">
        <f>0.0137931034482758*0.667305949376058</f>
        <v>9.2042199913938624E-3</v>
      </c>
      <c r="I5229">
        <v>9.2042199913939041E-3</v>
      </c>
    </row>
    <row r="5230" spans="1:9" x14ac:dyDescent="0.25">
      <c r="A5230">
        <v>320</v>
      </c>
      <c r="B5230" t="s">
        <v>2059</v>
      </c>
      <c r="C5230" t="s">
        <v>10</v>
      </c>
      <c r="D5230" t="s">
        <v>11</v>
      </c>
      <c r="E5230">
        <f t="shared" si="235"/>
        <v>1.3793103448275862E-2</v>
      </c>
      <c r="F5230">
        <v>83</v>
      </c>
      <c r="G5230">
        <f>LOG(382/(83+1))</f>
        <v>0.65778407684982709</v>
      </c>
      <c r="H5230">
        <f>0.0137931034482758*1.51460380976326</f>
        <v>2.0891087031217285E-2</v>
      </c>
      <c r="I5230">
        <v>2.0891087031217399E-2</v>
      </c>
    </row>
    <row r="5231" spans="1:9" x14ac:dyDescent="0.25">
      <c r="A5231">
        <v>320</v>
      </c>
      <c r="B5231" t="s">
        <v>2059</v>
      </c>
      <c r="C5231" t="s">
        <v>10</v>
      </c>
      <c r="D5231" t="s">
        <v>2061</v>
      </c>
      <c r="E5231">
        <f>1/145</f>
        <v>6.8965517241379309E-3</v>
      </c>
      <c r="F5231">
        <v>1</v>
      </c>
      <c r="G5231">
        <f>LOG(382/(1+1))</f>
        <v>2.2810333672477277</v>
      </c>
      <c r="H5231">
        <f>0.00689655172413793*5.25227342804663</f>
        <v>3.6222575365838824E-2</v>
      </c>
      <c r="I5231">
        <v>3.6222575365838817E-2</v>
      </c>
    </row>
    <row r="5232" spans="1:9" x14ac:dyDescent="0.25">
      <c r="A5232">
        <v>320</v>
      </c>
      <c r="B5232" t="s">
        <v>2059</v>
      </c>
      <c r="C5232" t="s">
        <v>10</v>
      </c>
      <c r="D5232" t="s">
        <v>78</v>
      </c>
      <c r="E5232">
        <f>2/145</f>
        <v>1.3793103448275862E-2</v>
      </c>
      <c r="F5232">
        <v>122</v>
      </c>
      <c r="G5232">
        <f>LOG(382/(122+1))</f>
        <v>0.49215825147231079</v>
      </c>
      <c r="H5232">
        <f>0.0137931034482758*1.13323625323415</f>
        <v>1.5630844872195102E-2</v>
      </c>
      <c r="I5232">
        <v>1.5630844872195279E-2</v>
      </c>
    </row>
    <row r="5233" spans="1:9" x14ac:dyDescent="0.25">
      <c r="A5233">
        <v>320</v>
      </c>
      <c r="B5233" t="s">
        <v>2059</v>
      </c>
      <c r="C5233" t="s">
        <v>10</v>
      </c>
      <c r="D5233" t="s">
        <v>483</v>
      </c>
      <c r="E5233">
        <f>2/145</f>
        <v>1.3793103448275862E-2</v>
      </c>
      <c r="F5233">
        <v>61</v>
      </c>
      <c r="G5233">
        <f>LOG(382/(61+1))</f>
        <v>0.7896716734134549</v>
      </c>
      <c r="H5233">
        <f>0.0137931034482758*1.81828622356148</f>
        <v>2.507980998015823E-2</v>
      </c>
      <c r="I5233">
        <v>2.507980998015839E-2</v>
      </c>
    </row>
    <row r="5234" spans="1:9" x14ac:dyDescent="0.25">
      <c r="A5234">
        <v>320</v>
      </c>
      <c r="B5234" t="s">
        <v>2059</v>
      </c>
      <c r="C5234" t="s">
        <v>10</v>
      </c>
      <c r="D5234" t="s">
        <v>994</v>
      </c>
      <c r="E5234">
        <f>1/145</f>
        <v>6.8965517241379309E-3</v>
      </c>
      <c r="F5234">
        <v>37</v>
      </c>
      <c r="G5234">
        <f>LOG(382/(37+1))</f>
        <v>1.0022797662948986</v>
      </c>
      <c r="H5234">
        <f>0.00689655172413793*2.30783444888018</f>
        <v>1.5916099647449514E-2</v>
      </c>
      <c r="I5234">
        <v>1.591609964744958E-2</v>
      </c>
    </row>
    <row r="5235" spans="1:9" x14ac:dyDescent="0.25">
      <c r="A5235">
        <v>320</v>
      </c>
      <c r="B5235" t="s">
        <v>2059</v>
      </c>
      <c r="C5235" t="s">
        <v>10</v>
      </c>
      <c r="D5235" t="s">
        <v>247</v>
      </c>
      <c r="E5235">
        <f>2/145</f>
        <v>1.3793103448275862E-2</v>
      </c>
      <c r="F5235">
        <v>121</v>
      </c>
      <c r="G5235">
        <f>LOG(382/(121+1))</f>
        <v>0.49570353223696051</v>
      </c>
      <c r="H5235">
        <f>0.0137931034482758*1.14139956387331</f>
        <v>1.5743442260321448E-2</v>
      </c>
      <c r="I5235">
        <v>1.5743442260321639E-2</v>
      </c>
    </row>
    <row r="5236" spans="1:9" x14ac:dyDescent="0.25">
      <c r="A5236">
        <v>320</v>
      </c>
      <c r="B5236" t="s">
        <v>2059</v>
      </c>
      <c r="C5236" t="s">
        <v>10</v>
      </c>
      <c r="D5236" t="s">
        <v>39</v>
      </c>
      <c r="E5236">
        <f>1/145</f>
        <v>6.8965517241379309E-3</v>
      </c>
      <c r="F5236">
        <v>145</v>
      </c>
      <c r="G5236">
        <f>LOG(382/(145+1))</f>
        <v>0.41771050712727159</v>
      </c>
      <c r="H5236">
        <f>0.00689655172413793*0.961813986898238</f>
        <v>6.63319990964302E-3</v>
      </c>
      <c r="I5236">
        <v>6.6331999096430252E-3</v>
      </c>
    </row>
    <row r="5237" spans="1:9" x14ac:dyDescent="0.25">
      <c r="A5237">
        <v>320</v>
      </c>
      <c r="B5237" t="s">
        <v>2059</v>
      </c>
      <c r="C5237" t="s">
        <v>10</v>
      </c>
      <c r="D5237" t="s">
        <v>1366</v>
      </c>
      <c r="E5237">
        <f>1/145</f>
        <v>6.8965517241379309E-3</v>
      </c>
      <c r="F5237">
        <v>4</v>
      </c>
      <c r="G5237">
        <f>LOG(382/(4+1))</f>
        <v>1.8830933585756899</v>
      </c>
      <c r="H5237">
        <f>0.00689655172413793*4.33598269617247</f>
        <v>2.9903328939120483E-2</v>
      </c>
      <c r="I5237">
        <v>2.990332893912051E-2</v>
      </c>
    </row>
    <row r="5238" spans="1:9" x14ac:dyDescent="0.25">
      <c r="A5238">
        <v>320</v>
      </c>
      <c r="B5238" t="s">
        <v>2059</v>
      </c>
      <c r="C5238" t="s">
        <v>10</v>
      </c>
      <c r="D5238" t="s">
        <v>216</v>
      </c>
      <c r="E5238">
        <f>1/145</f>
        <v>6.8965517241379309E-3</v>
      </c>
      <c r="F5238">
        <v>63</v>
      </c>
      <c r="G5238">
        <f>LOG(382/(63+1))</f>
        <v>0.7758833889278216</v>
      </c>
      <c r="H5238">
        <f>0.00689655172413793*1.7865375252469</f>
        <v>1.2320948449978619E-2</v>
      </c>
      <c r="I5238">
        <v>1.2320948449978639E-2</v>
      </c>
    </row>
    <row r="5239" spans="1:9" x14ac:dyDescent="0.25">
      <c r="A5239">
        <v>320</v>
      </c>
      <c r="B5239" t="s">
        <v>2059</v>
      </c>
      <c r="C5239" t="s">
        <v>10</v>
      </c>
      <c r="D5239" t="s">
        <v>237</v>
      </c>
      <c r="E5239">
        <f>3/145</f>
        <v>2.0689655172413793E-2</v>
      </c>
      <c r="F5239">
        <v>138</v>
      </c>
      <c r="G5239">
        <f>LOG(382/(138+1))</f>
        <v>0.43904856265761361</v>
      </c>
      <c r="H5239">
        <f>0.0206896551724137*1.01094667547588</f>
        <v>2.0916138113293976E-2</v>
      </c>
      <c r="I5239">
        <v>2.0916138113294139E-2</v>
      </c>
    </row>
    <row r="5240" spans="1:9" x14ac:dyDescent="0.25">
      <c r="A5240">
        <v>320</v>
      </c>
      <c r="B5240" t="s">
        <v>2059</v>
      </c>
      <c r="C5240" t="s">
        <v>10</v>
      </c>
      <c r="D5240" t="s">
        <v>322</v>
      </c>
      <c r="E5240">
        <f>2/145</f>
        <v>1.3793103448275862E-2</v>
      </c>
      <c r="F5240">
        <v>128</v>
      </c>
      <c r="G5240">
        <f>LOG(382/(128+1))</f>
        <v>0.47147365261245977</v>
      </c>
      <c r="H5240">
        <f>0.0137931034482758*1.0856082042449</f>
        <v>1.4973906265446828E-2</v>
      </c>
      <c r="I5240">
        <v>1.4973906265446941E-2</v>
      </c>
    </row>
    <row r="5241" spans="1:9" x14ac:dyDescent="0.25">
      <c r="A5241">
        <v>320</v>
      </c>
      <c r="B5241" t="s">
        <v>2059</v>
      </c>
      <c r="C5241" t="s">
        <v>10</v>
      </c>
      <c r="D5241" t="s">
        <v>123</v>
      </c>
      <c r="E5241">
        <f>2/145</f>
        <v>1.3793103448275862E-2</v>
      </c>
      <c r="F5241">
        <v>74</v>
      </c>
      <c r="G5241">
        <f>LOG(382/(74+1))</f>
        <v>0.7070020995200087</v>
      </c>
      <c r="H5241">
        <f>0.0137931034482758*1.62793249507026</f>
        <v>2.2454241311313829E-2</v>
      </c>
      <c r="I5241">
        <v>2.2454241311313999E-2</v>
      </c>
    </row>
    <row r="5242" spans="1:9" x14ac:dyDescent="0.25">
      <c r="A5242">
        <v>320</v>
      </c>
      <c r="B5242" t="s">
        <v>2059</v>
      </c>
      <c r="C5242" t="s">
        <v>10</v>
      </c>
      <c r="D5242" t="s">
        <v>1533</v>
      </c>
      <c r="E5242">
        <f>2/145</f>
        <v>1.3793103448275862E-2</v>
      </c>
      <c r="F5242">
        <v>33</v>
      </c>
      <c r="G5242">
        <f>LOG(382/(33+1))</f>
        <v>1.0505844458694535</v>
      </c>
      <c r="H5242">
        <f>0.0137931034482758*2.41906008399041</f>
        <v>3.3366345986074471E-2</v>
      </c>
      <c r="I5242">
        <v>3.3366345986074672E-2</v>
      </c>
    </row>
    <row r="5243" spans="1:9" x14ac:dyDescent="0.25">
      <c r="A5243">
        <v>320</v>
      </c>
      <c r="B5243" t="s">
        <v>2059</v>
      </c>
      <c r="C5243" t="s">
        <v>10</v>
      </c>
      <c r="D5243" t="s">
        <v>2062</v>
      </c>
      <c r="E5243">
        <f>1/145</f>
        <v>6.8965517241379309E-3</v>
      </c>
      <c r="F5243">
        <v>1</v>
      </c>
      <c r="G5243">
        <f>LOG(382/(1+1))</f>
        <v>2.2810333672477277</v>
      </c>
      <c r="H5243">
        <f>0.00689655172413793*5.25227342804663</f>
        <v>3.6222575365838824E-2</v>
      </c>
      <c r="I5243">
        <v>3.6222575365838817E-2</v>
      </c>
    </row>
    <row r="5244" spans="1:9" x14ac:dyDescent="0.25">
      <c r="A5244">
        <v>320</v>
      </c>
      <c r="B5244" t="s">
        <v>2059</v>
      </c>
      <c r="C5244" t="s">
        <v>10</v>
      </c>
      <c r="D5244" t="s">
        <v>2063</v>
      </c>
      <c r="E5244">
        <f>1/145</f>
        <v>6.8965517241379309E-3</v>
      </c>
      <c r="F5244">
        <v>1</v>
      </c>
      <c r="G5244">
        <f>LOG(382/(1+1))</f>
        <v>2.2810333672477277</v>
      </c>
      <c r="H5244">
        <f>0.00689655172413793*5.25227342804663</f>
        <v>3.6222575365838824E-2</v>
      </c>
      <c r="I5244">
        <v>3.6222575365838817E-2</v>
      </c>
    </row>
    <row r="5245" spans="1:9" x14ac:dyDescent="0.25">
      <c r="A5245">
        <v>320</v>
      </c>
      <c r="B5245" t="s">
        <v>2059</v>
      </c>
      <c r="C5245" t="s">
        <v>10</v>
      </c>
      <c r="D5245" t="s">
        <v>97</v>
      </c>
      <c r="E5245">
        <f>3/145</f>
        <v>2.0689655172413793E-2</v>
      </c>
      <c r="F5245">
        <v>19</v>
      </c>
      <c r="G5245">
        <f>LOG(382/(19+1))</f>
        <v>1.2810333672477277</v>
      </c>
      <c r="H5245">
        <f>0.0206896551724137*2.94968833505258</f>
        <v>6.1028034518328965E-2</v>
      </c>
      <c r="I5245">
        <v>6.1028034518329333E-2</v>
      </c>
    </row>
    <row r="5246" spans="1:9" x14ac:dyDescent="0.25">
      <c r="A5246">
        <v>320</v>
      </c>
      <c r="B5246" t="s">
        <v>2059</v>
      </c>
      <c r="C5246" t="s">
        <v>10</v>
      </c>
      <c r="D5246" t="s">
        <v>2064</v>
      </c>
      <c r="E5246">
        <f>1/145</f>
        <v>6.8965517241379309E-3</v>
      </c>
      <c r="F5246">
        <v>2</v>
      </c>
      <c r="G5246">
        <f>LOG(382/(2+1))</f>
        <v>2.1049421081920463</v>
      </c>
      <c r="H5246">
        <f>0.00689655172413793*4.84680831993846</f>
        <v>3.3426264275437649E-2</v>
      </c>
      <c r="I5246">
        <v>3.3426264275437691E-2</v>
      </c>
    </row>
    <row r="5247" spans="1:9" x14ac:dyDescent="0.25">
      <c r="A5247">
        <v>320</v>
      </c>
      <c r="B5247" t="s">
        <v>2059</v>
      </c>
      <c r="C5247" t="s">
        <v>10</v>
      </c>
      <c r="D5247" t="s">
        <v>1081</v>
      </c>
      <c r="E5247">
        <f>1/145</f>
        <v>6.8965517241379309E-3</v>
      </c>
      <c r="F5247">
        <v>27</v>
      </c>
      <c r="G5247">
        <f>LOG(382/(27+1))</f>
        <v>1.1349053315694895</v>
      </c>
      <c r="H5247">
        <f>0.00689655172413793*2.61321609843137</f>
        <v>1.8022179989181861E-2</v>
      </c>
      <c r="I5247">
        <v>1.8022179989181871E-2</v>
      </c>
    </row>
    <row r="5248" spans="1:9" x14ac:dyDescent="0.25">
      <c r="A5248">
        <v>320</v>
      </c>
      <c r="B5248" t="s">
        <v>2059</v>
      </c>
      <c r="C5248" t="s">
        <v>10</v>
      </c>
      <c r="D5248" t="s">
        <v>764</v>
      </c>
      <c r="E5248">
        <f>1/145</f>
        <v>6.8965517241379309E-3</v>
      </c>
      <c r="F5248">
        <v>57</v>
      </c>
      <c r="G5248">
        <f>LOG(382/(57+1))</f>
        <v>0.81863536934877146</v>
      </c>
      <c r="H5248">
        <f>0.00689655172413793*1.88497759806015</f>
        <v>1.2999845503863102E-2</v>
      </c>
      <c r="I5248">
        <v>1.299984550386314E-2</v>
      </c>
    </row>
    <row r="5249" spans="1:9" x14ac:dyDescent="0.25">
      <c r="A5249">
        <v>320</v>
      </c>
      <c r="B5249" t="s">
        <v>2059</v>
      </c>
      <c r="C5249" t="s">
        <v>10</v>
      </c>
      <c r="D5249" t="s">
        <v>279</v>
      </c>
      <c r="E5249">
        <f>1/145</f>
        <v>6.8965517241379309E-3</v>
      </c>
      <c r="F5249">
        <v>22</v>
      </c>
      <c r="G5249">
        <f>LOG(382/(22+1))</f>
        <v>1.2203355268941158</v>
      </c>
      <c r="H5249">
        <f>0.00689655172413793*2.80992639267742</f>
        <v>1.9378802708120133E-2</v>
      </c>
      <c r="I5249">
        <v>1.9378802708120181E-2</v>
      </c>
    </row>
    <row r="5250" spans="1:9" x14ac:dyDescent="0.25">
      <c r="A5250">
        <v>320</v>
      </c>
      <c r="B5250" t="s">
        <v>2059</v>
      </c>
      <c r="C5250" t="s">
        <v>10</v>
      </c>
      <c r="D5250" t="s">
        <v>1834</v>
      </c>
      <c r="E5250">
        <f>3/145</f>
        <v>2.0689655172413793E-2</v>
      </c>
      <c r="F5250">
        <v>12</v>
      </c>
      <c r="G5250">
        <f>LOG(382/(12+1))</f>
        <v>1.468120010604872</v>
      </c>
      <c r="H5250">
        <f>0.0206896551724137*3.38047125114503</f>
        <v>6.9940784506448583E-2</v>
      </c>
      <c r="I5250">
        <v>6.9940784506449069E-2</v>
      </c>
    </row>
    <row r="5251" spans="1:9" x14ac:dyDescent="0.25">
      <c r="A5251">
        <v>320</v>
      </c>
      <c r="B5251" t="s">
        <v>2059</v>
      </c>
      <c r="C5251" t="s">
        <v>10</v>
      </c>
      <c r="D5251" t="s">
        <v>2065</v>
      </c>
      <c r="E5251">
        <f>1/145</f>
        <v>6.8965517241379309E-3</v>
      </c>
      <c r="F5251">
        <v>2</v>
      </c>
      <c r="G5251">
        <f>LOG(382/(2+1))</f>
        <v>2.1049421081920463</v>
      </c>
      <c r="H5251">
        <f>0.00689655172413793*4.84680831993846</f>
        <v>3.3426264275437649E-2</v>
      </c>
      <c r="I5251">
        <v>3.3426264275437691E-2</v>
      </c>
    </row>
    <row r="5252" spans="1:9" x14ac:dyDescent="0.25">
      <c r="A5252">
        <v>320</v>
      </c>
      <c r="B5252" t="s">
        <v>2059</v>
      </c>
      <c r="C5252" t="s">
        <v>10</v>
      </c>
      <c r="D5252" t="s">
        <v>1953</v>
      </c>
      <c r="E5252">
        <f>1/145</f>
        <v>6.8965517241379309E-3</v>
      </c>
      <c r="F5252">
        <v>11</v>
      </c>
      <c r="G5252">
        <f>LOG(382/(11+1))</f>
        <v>1.5028821168640838</v>
      </c>
      <c r="H5252">
        <f>0.00689655172413793*3.46051395881857</f>
        <v>2.3865613509093584E-2</v>
      </c>
      <c r="I5252">
        <v>2.3865613509093619E-2</v>
      </c>
    </row>
    <row r="5253" spans="1:9" x14ac:dyDescent="0.25">
      <c r="A5253">
        <v>320</v>
      </c>
      <c r="B5253" t="s">
        <v>2059</v>
      </c>
      <c r="C5253" t="s">
        <v>10</v>
      </c>
      <c r="D5253" t="s">
        <v>98</v>
      </c>
      <c r="E5253">
        <f>1/145</f>
        <v>6.8965517241379309E-3</v>
      </c>
      <c r="F5253">
        <v>56</v>
      </c>
      <c r="G5253">
        <f>LOG(382/(56+1))</f>
        <v>0.82618850723921733</v>
      </c>
      <c r="H5253">
        <f>0.00689655172413793*1.90236934077202</f>
        <v>1.3119788557048411E-2</v>
      </c>
      <c r="I5253">
        <v>1.3119788557048449E-2</v>
      </c>
    </row>
    <row r="5254" spans="1:9" x14ac:dyDescent="0.25">
      <c r="A5254">
        <v>320</v>
      </c>
      <c r="B5254" t="s">
        <v>2059</v>
      </c>
      <c r="C5254" t="s">
        <v>10</v>
      </c>
      <c r="D5254" t="s">
        <v>932</v>
      </c>
      <c r="E5254">
        <f>1/145</f>
        <v>6.8965517241379309E-3</v>
      </c>
      <c r="F5254">
        <v>35</v>
      </c>
      <c r="G5254">
        <f>LOG(382/(35+1))</f>
        <v>1.0257608621444214</v>
      </c>
      <c r="H5254">
        <f>0.00689655172413793*2.36190167015046</f>
        <v>1.6288977035520413E-2</v>
      </c>
      <c r="I5254">
        <v>1.6288977035520451E-2</v>
      </c>
    </row>
    <row r="5255" spans="1:9" x14ac:dyDescent="0.25">
      <c r="A5255">
        <v>320</v>
      </c>
      <c r="B5255" t="s">
        <v>2059</v>
      </c>
      <c r="C5255" t="s">
        <v>10</v>
      </c>
      <c r="D5255" t="s">
        <v>2066</v>
      </c>
      <c r="E5255">
        <f>1/145</f>
        <v>6.8965517241379309E-3</v>
      </c>
      <c r="F5255">
        <v>2</v>
      </c>
      <c r="G5255">
        <f>LOG(382/(2+1))</f>
        <v>2.1049421081920463</v>
      </c>
      <c r="H5255">
        <f>0.00689655172413793*4.84680831993846</f>
        <v>3.3426264275437649E-2</v>
      </c>
      <c r="I5255">
        <v>3.3426264275437691E-2</v>
      </c>
    </row>
    <row r="5256" spans="1:9" x14ac:dyDescent="0.25">
      <c r="A5256">
        <v>320</v>
      </c>
      <c r="B5256" t="s">
        <v>2059</v>
      </c>
      <c r="C5256" t="s">
        <v>10</v>
      </c>
      <c r="D5256" t="s">
        <v>133</v>
      </c>
      <c r="E5256">
        <f>3/145</f>
        <v>2.0689655172413793E-2</v>
      </c>
      <c r="F5256">
        <v>142</v>
      </c>
      <c r="G5256">
        <f>LOG(382/(142+1))</f>
        <v>0.42672732544664693</v>
      </c>
      <c r="H5256">
        <f>0.0206896551724137*0.982575978346667</f>
        <v>2.0329158172689571E-2</v>
      </c>
      <c r="I5256">
        <v>2.0329158172689678E-2</v>
      </c>
    </row>
    <row r="5257" spans="1:9" x14ac:dyDescent="0.25">
      <c r="A5257">
        <v>320</v>
      </c>
      <c r="B5257" t="s">
        <v>2059</v>
      </c>
      <c r="C5257" t="s">
        <v>10</v>
      </c>
      <c r="D5257" t="s">
        <v>134</v>
      </c>
      <c r="E5257">
        <f>2/145</f>
        <v>1.3793103448275862E-2</v>
      </c>
      <c r="F5257">
        <v>21</v>
      </c>
      <c r="G5257">
        <f>LOG(382/(21+1))</f>
        <v>1.2396406820895025</v>
      </c>
      <c r="H5257">
        <f>0.0137931034482758*2.85437815524825</f>
        <v>3.9370733175837752E-2</v>
      </c>
      <c r="I5257">
        <v>3.9370733175838057E-2</v>
      </c>
    </row>
    <row r="5258" spans="1:9" x14ac:dyDescent="0.25">
      <c r="A5258">
        <v>320</v>
      </c>
      <c r="B5258" t="s">
        <v>2059</v>
      </c>
      <c r="C5258" t="s">
        <v>10</v>
      </c>
      <c r="D5258" t="s">
        <v>135</v>
      </c>
      <c r="E5258">
        <f>2/145</f>
        <v>1.3793103448275862E-2</v>
      </c>
      <c r="F5258">
        <v>6</v>
      </c>
      <c r="G5258">
        <f>LOG(382/(6+1))</f>
        <v>1.736965322897452</v>
      </c>
      <c r="H5258">
        <f>0.0137931034482758*3.99951045955126</f>
        <v>5.5165661511051615E-2</v>
      </c>
      <c r="I5258">
        <v>5.5165661511051893E-2</v>
      </c>
    </row>
    <row r="5259" spans="1:9" x14ac:dyDescent="0.25">
      <c r="A5259">
        <v>320</v>
      </c>
      <c r="B5259" t="s">
        <v>2059</v>
      </c>
      <c r="C5259" t="s">
        <v>10</v>
      </c>
      <c r="D5259" t="s">
        <v>136</v>
      </c>
      <c r="E5259">
        <f t="shared" ref="E5259:E5268" si="236">1/145</f>
        <v>6.8965517241379309E-3</v>
      </c>
      <c r="F5259">
        <v>17</v>
      </c>
      <c r="G5259">
        <f>LOG(382/(17+1))</f>
        <v>1.3267908578084027</v>
      </c>
      <c r="H5259">
        <f>0.00689655172413793*3.05504885071041</f>
        <v>2.1069302418692478E-2</v>
      </c>
      <c r="I5259">
        <v>2.1069302418692488E-2</v>
      </c>
    </row>
    <row r="5260" spans="1:9" x14ac:dyDescent="0.25">
      <c r="A5260">
        <v>320</v>
      </c>
      <c r="B5260" t="s">
        <v>2059</v>
      </c>
      <c r="C5260" t="s">
        <v>10</v>
      </c>
      <c r="D5260" t="s">
        <v>2067</v>
      </c>
      <c r="E5260">
        <f t="shared" si="236"/>
        <v>6.8965517241379309E-3</v>
      </c>
      <c r="F5260">
        <v>6</v>
      </c>
      <c r="G5260">
        <f>LOG(382/(6+1))</f>
        <v>1.736965322897452</v>
      </c>
      <c r="H5260">
        <f>0.00689655172413793*3.99951045955126</f>
        <v>2.7582830755525929E-2</v>
      </c>
      <c r="I5260">
        <v>2.758283075552594E-2</v>
      </c>
    </row>
    <row r="5261" spans="1:9" x14ac:dyDescent="0.25">
      <c r="A5261">
        <v>320</v>
      </c>
      <c r="B5261" t="s">
        <v>2059</v>
      </c>
      <c r="C5261" t="s">
        <v>10</v>
      </c>
      <c r="D5261" t="s">
        <v>2068</v>
      </c>
      <c r="E5261">
        <f t="shared" si="236"/>
        <v>6.8965517241379309E-3</v>
      </c>
      <c r="F5261">
        <v>1</v>
      </c>
      <c r="G5261">
        <f>LOG(382/(1+1))</f>
        <v>2.2810333672477277</v>
      </c>
      <c r="H5261">
        <f>0.00689655172413793*5.25227342804663</f>
        <v>3.6222575365838824E-2</v>
      </c>
      <c r="I5261">
        <v>3.6222575365838817E-2</v>
      </c>
    </row>
    <row r="5262" spans="1:9" x14ac:dyDescent="0.25">
      <c r="A5262">
        <v>320</v>
      </c>
      <c r="B5262" t="s">
        <v>2059</v>
      </c>
      <c r="C5262" t="s">
        <v>10</v>
      </c>
      <c r="D5262" t="s">
        <v>939</v>
      </c>
      <c r="E5262">
        <f t="shared" si="236"/>
        <v>6.8965517241379309E-3</v>
      </c>
      <c r="F5262">
        <v>35</v>
      </c>
      <c r="G5262">
        <f>LOG(382/(35+1))</f>
        <v>1.0257608621444214</v>
      </c>
      <c r="H5262">
        <f>0.00689655172413793*2.36190167015046</f>
        <v>1.6288977035520413E-2</v>
      </c>
      <c r="I5262">
        <v>1.6288977035520451E-2</v>
      </c>
    </row>
    <row r="5263" spans="1:9" x14ac:dyDescent="0.25">
      <c r="A5263">
        <v>320</v>
      </c>
      <c r="B5263" t="s">
        <v>2059</v>
      </c>
      <c r="C5263" t="s">
        <v>10</v>
      </c>
      <c r="D5263" t="s">
        <v>327</v>
      </c>
      <c r="E5263">
        <f t="shared" si="236"/>
        <v>6.8965517241379309E-3</v>
      </c>
      <c r="F5263">
        <v>46</v>
      </c>
      <c r="G5263">
        <f>LOG(382/(46+1))</f>
        <v>0.90996550497599127</v>
      </c>
      <c r="H5263">
        <f>0.00689655172413793*2.09527300689651</f>
        <v>1.4450158668251792E-2</v>
      </c>
      <c r="I5263">
        <v>1.445015866825184E-2</v>
      </c>
    </row>
    <row r="5264" spans="1:9" x14ac:dyDescent="0.25">
      <c r="A5264">
        <v>320</v>
      </c>
      <c r="B5264" t="s">
        <v>2059</v>
      </c>
      <c r="C5264" t="s">
        <v>10</v>
      </c>
      <c r="D5264" t="s">
        <v>1083</v>
      </c>
      <c r="E5264">
        <f t="shared" si="236"/>
        <v>6.8965517241379309E-3</v>
      </c>
      <c r="F5264">
        <v>51</v>
      </c>
      <c r="G5264">
        <f>LOG(382/(51+1))</f>
        <v>0.86606001927690957</v>
      </c>
      <c r="H5264">
        <f>0.00689655172413793*1.99417689002514</f>
        <v>1.3752944069138894E-2</v>
      </c>
      <c r="I5264">
        <v>1.3752944069138949E-2</v>
      </c>
    </row>
    <row r="5265" spans="1:9" x14ac:dyDescent="0.25">
      <c r="A5265">
        <v>320</v>
      </c>
      <c r="B5265" t="s">
        <v>2059</v>
      </c>
      <c r="C5265" t="s">
        <v>10</v>
      </c>
      <c r="D5265" t="s">
        <v>594</v>
      </c>
      <c r="E5265">
        <f t="shared" si="236"/>
        <v>6.8965517241379309E-3</v>
      </c>
      <c r="F5265">
        <v>36</v>
      </c>
      <c r="G5265">
        <f>LOG(382/(36+1))</f>
        <v>1.0138616388447137</v>
      </c>
      <c r="H5265">
        <f>0.00689655172413793*2.33450269596235</f>
        <v>1.6100018592843792E-2</v>
      </c>
      <c r="I5265">
        <v>1.6100018592843799E-2</v>
      </c>
    </row>
    <row r="5266" spans="1:9" x14ac:dyDescent="0.25">
      <c r="A5266">
        <v>320</v>
      </c>
      <c r="B5266" t="s">
        <v>2059</v>
      </c>
      <c r="C5266" t="s">
        <v>10</v>
      </c>
      <c r="D5266" t="s">
        <v>339</v>
      </c>
      <c r="E5266">
        <f t="shared" si="236"/>
        <v>6.8965517241379309E-3</v>
      </c>
      <c r="F5266">
        <v>66</v>
      </c>
      <c r="G5266">
        <f>LOG(382/(66+1))</f>
        <v>0.75598856021088234</v>
      </c>
      <c r="H5266">
        <f>0.00689655172413793*1.7407279892156</f>
        <v>1.2005020615279999E-2</v>
      </c>
      <c r="I5266">
        <v>1.2005020615280059E-2</v>
      </c>
    </row>
    <row r="5267" spans="1:9" x14ac:dyDescent="0.25">
      <c r="A5267">
        <v>320</v>
      </c>
      <c r="B5267" t="s">
        <v>2059</v>
      </c>
      <c r="C5267" t="s">
        <v>10</v>
      </c>
      <c r="D5267" t="s">
        <v>144</v>
      </c>
      <c r="E5267">
        <f t="shared" si="236"/>
        <v>6.8965517241379309E-3</v>
      </c>
      <c r="F5267">
        <v>105</v>
      </c>
      <c r="G5267">
        <f>LOG(382/(105+1))</f>
        <v>0.55675749764693849</v>
      </c>
      <c r="H5267">
        <f>0.00689655172413793*1.2819815144945</f>
        <v>8.8412518240999979E-3</v>
      </c>
      <c r="I5267">
        <v>8.8412518241000552E-3</v>
      </c>
    </row>
    <row r="5268" spans="1:9" x14ac:dyDescent="0.25">
      <c r="A5268">
        <v>320</v>
      </c>
      <c r="B5268" t="s">
        <v>2059</v>
      </c>
      <c r="C5268" t="s">
        <v>10</v>
      </c>
      <c r="D5268" t="s">
        <v>2069</v>
      </c>
      <c r="E5268">
        <f t="shared" si="236"/>
        <v>6.8965517241379309E-3</v>
      </c>
      <c r="F5268">
        <v>1</v>
      </c>
      <c r="G5268">
        <f>LOG(382/(1+1))</f>
        <v>2.2810333672477277</v>
      </c>
      <c r="H5268">
        <f>0.00689655172413793*5.25227342804663</f>
        <v>3.6222575365838824E-2</v>
      </c>
      <c r="I5268">
        <v>3.6222575365838817E-2</v>
      </c>
    </row>
    <row r="5269" spans="1:9" x14ac:dyDescent="0.25">
      <c r="A5269">
        <v>320</v>
      </c>
      <c r="B5269" t="s">
        <v>2059</v>
      </c>
      <c r="C5269" t="s">
        <v>10</v>
      </c>
      <c r="D5269" t="s">
        <v>432</v>
      </c>
      <c r="E5269">
        <f>2/145</f>
        <v>1.3793103448275862E-2</v>
      </c>
      <c r="F5269">
        <v>67</v>
      </c>
      <c r="G5269">
        <f>LOG(382/(67+1))</f>
        <v>0.7495544502054724</v>
      </c>
      <c r="H5269">
        <f>0.0137931034482758*1.72591290343046</f>
        <v>2.3805695219730375E-2</v>
      </c>
      <c r="I5269">
        <v>2.38056952197306E-2</v>
      </c>
    </row>
    <row r="5270" spans="1:9" x14ac:dyDescent="0.25">
      <c r="A5270">
        <v>320</v>
      </c>
      <c r="B5270" t="s">
        <v>2059</v>
      </c>
      <c r="C5270" t="s">
        <v>10</v>
      </c>
      <c r="D5270" t="s">
        <v>1473</v>
      </c>
      <c r="E5270">
        <f>1/145</f>
        <v>6.8965517241379309E-3</v>
      </c>
      <c r="F5270">
        <v>39</v>
      </c>
      <c r="G5270">
        <f>LOG(382/(39+1))</f>
        <v>0.9800033715837464</v>
      </c>
      <c r="H5270">
        <f>0.00689655172413793*2.25654115449263</f>
        <v>1.5562352789604343E-2</v>
      </c>
      <c r="I5270">
        <v>1.5562352789604409E-2</v>
      </c>
    </row>
    <row r="5271" spans="1:9" x14ac:dyDescent="0.25">
      <c r="A5271">
        <v>320</v>
      </c>
      <c r="B5271" t="s">
        <v>2059</v>
      </c>
      <c r="C5271" t="s">
        <v>10</v>
      </c>
      <c r="D5271" t="s">
        <v>600</v>
      </c>
      <c r="E5271">
        <f>1/145</f>
        <v>6.8965517241379309E-3</v>
      </c>
      <c r="F5271">
        <v>102</v>
      </c>
      <c r="G5271">
        <f>LOG(382/(102+1))</f>
        <v>0.56922613820653656</v>
      </c>
      <c r="H5271">
        <f>0.00689655172413793*1.31069162037693</f>
        <v>9.039252554323654E-3</v>
      </c>
      <c r="I5271">
        <v>9.03925255432372E-3</v>
      </c>
    </row>
    <row r="5272" spans="1:9" x14ac:dyDescent="0.25">
      <c r="A5272">
        <v>320</v>
      </c>
      <c r="B5272" t="s">
        <v>2059</v>
      </c>
      <c r="C5272" t="s">
        <v>10</v>
      </c>
      <c r="D5272" t="s">
        <v>1433</v>
      </c>
      <c r="E5272">
        <f>1/145</f>
        <v>6.8965517241379309E-3</v>
      </c>
      <c r="F5272">
        <v>21</v>
      </c>
      <c r="G5272">
        <f>LOG(382/(21+1))</f>
        <v>1.2396406820895025</v>
      </c>
      <c r="H5272">
        <f>0.00689655172413793*2.85437815524825</f>
        <v>1.9685366587918963E-2</v>
      </c>
      <c r="I5272">
        <v>1.9685366587919029E-2</v>
      </c>
    </row>
    <row r="5273" spans="1:9" x14ac:dyDescent="0.25">
      <c r="A5273">
        <v>320</v>
      </c>
      <c r="B5273" t="s">
        <v>2059</v>
      </c>
      <c r="C5273" t="s">
        <v>10</v>
      </c>
      <c r="D5273" t="s">
        <v>2070</v>
      </c>
      <c r="E5273">
        <f>1/145</f>
        <v>6.8965517241379309E-3</v>
      </c>
      <c r="F5273">
        <v>5</v>
      </c>
      <c r="G5273">
        <f>LOG(382/(5+1))</f>
        <v>1.803912112528065</v>
      </c>
      <c r="H5273">
        <f>0.00689655172413793*4.15366113937852</f>
        <v>2.864593889226565E-2</v>
      </c>
      <c r="I5273">
        <v>2.864593889226565E-2</v>
      </c>
    </row>
    <row r="5274" spans="1:9" x14ac:dyDescent="0.25">
      <c r="A5274">
        <v>320</v>
      </c>
      <c r="B5274" t="s">
        <v>2059</v>
      </c>
      <c r="C5274" t="s">
        <v>10</v>
      </c>
      <c r="D5274" t="s">
        <v>361</v>
      </c>
      <c r="E5274">
        <f>2/145</f>
        <v>1.3793103448275862E-2</v>
      </c>
      <c r="F5274">
        <v>118</v>
      </c>
      <c r="G5274">
        <f>LOG(382/(118+1))</f>
        <v>0.50651640151917798</v>
      </c>
      <c r="H5274">
        <f>0.0137931034482758*1.16629711549504</f>
        <v>1.6086856765448753E-2</v>
      </c>
      <c r="I5274">
        <v>1.6086856765448909E-2</v>
      </c>
    </row>
    <row r="5275" spans="1:9" x14ac:dyDescent="0.25">
      <c r="A5275">
        <v>320</v>
      </c>
      <c r="B5275" t="s">
        <v>2059</v>
      </c>
      <c r="C5275" t="s">
        <v>10</v>
      </c>
      <c r="D5275" t="s">
        <v>196</v>
      </c>
      <c r="E5275">
        <f t="shared" ref="E5275:E5281" si="237">1/145</f>
        <v>6.8965517241379309E-3</v>
      </c>
      <c r="F5275">
        <v>33</v>
      </c>
      <c r="G5275">
        <f>LOG(382/(33+1))</f>
        <v>1.0505844458694535</v>
      </c>
      <c r="H5275">
        <f>0.00689655172413793*2.41906008399041</f>
        <v>1.6683172993037308E-2</v>
      </c>
      <c r="I5275">
        <v>1.6683172993037339E-2</v>
      </c>
    </row>
    <row r="5276" spans="1:9" x14ac:dyDescent="0.25">
      <c r="A5276">
        <v>320</v>
      </c>
      <c r="B5276" t="s">
        <v>2059</v>
      </c>
      <c r="C5276" t="s">
        <v>10</v>
      </c>
      <c r="D5276" t="s">
        <v>1741</v>
      </c>
      <c r="E5276">
        <f t="shared" si="237"/>
        <v>6.8965517241379309E-3</v>
      </c>
      <c r="F5276">
        <v>6</v>
      </c>
      <c r="G5276">
        <f>LOG(382/(6+1))</f>
        <v>1.736965322897452</v>
      </c>
      <c r="H5276">
        <f>0.00689655172413793*3.99951045955126</f>
        <v>2.7582830755525929E-2</v>
      </c>
      <c r="I5276">
        <v>2.758283075552594E-2</v>
      </c>
    </row>
    <row r="5277" spans="1:9" x14ac:dyDescent="0.25">
      <c r="A5277">
        <v>320</v>
      </c>
      <c r="B5277" t="s">
        <v>2059</v>
      </c>
      <c r="C5277" t="s">
        <v>10</v>
      </c>
      <c r="D5277" t="s">
        <v>2071</v>
      </c>
      <c r="E5277">
        <f t="shared" si="237"/>
        <v>6.8965517241379309E-3</v>
      </c>
      <c r="F5277">
        <v>1</v>
      </c>
      <c r="G5277">
        <f>LOG(382/(1+1))</f>
        <v>2.2810333672477277</v>
      </c>
      <c r="H5277">
        <f>0.00689655172413793*5.25227342804663</f>
        <v>3.6222575365838824E-2</v>
      </c>
      <c r="I5277">
        <v>3.6222575365838817E-2</v>
      </c>
    </row>
    <row r="5278" spans="1:9" x14ac:dyDescent="0.25">
      <c r="A5278">
        <v>320</v>
      </c>
      <c r="B5278" t="s">
        <v>2059</v>
      </c>
      <c r="C5278" t="s">
        <v>10</v>
      </c>
      <c r="D5278" t="s">
        <v>599</v>
      </c>
      <c r="E5278">
        <f t="shared" si="237"/>
        <v>6.8965517241379309E-3</v>
      </c>
      <c r="F5278">
        <v>28</v>
      </c>
      <c r="G5278">
        <f>LOG(382/(28+1))</f>
        <v>1.1196653650127526</v>
      </c>
      <c r="H5278">
        <f>0.00689655172413793*2.5781247786201</f>
        <v>1.7780170887035169E-2</v>
      </c>
      <c r="I5278">
        <v>1.7780170887035179E-2</v>
      </c>
    </row>
    <row r="5279" spans="1:9" x14ac:dyDescent="0.25">
      <c r="A5279">
        <v>320</v>
      </c>
      <c r="B5279" t="s">
        <v>2059</v>
      </c>
      <c r="C5279" t="s">
        <v>10</v>
      </c>
      <c r="D5279" t="s">
        <v>2072</v>
      </c>
      <c r="E5279">
        <f t="shared" si="237"/>
        <v>6.8965517241379309E-3</v>
      </c>
      <c r="F5279">
        <v>1</v>
      </c>
      <c r="G5279">
        <f>LOG(382/(1+1))</f>
        <v>2.2810333672477277</v>
      </c>
      <c r="H5279">
        <f>0.00689655172413793*5.25227342804663</f>
        <v>3.6222575365838824E-2</v>
      </c>
      <c r="I5279">
        <v>3.6222575365838817E-2</v>
      </c>
    </row>
    <row r="5280" spans="1:9" x14ac:dyDescent="0.25">
      <c r="A5280">
        <v>320</v>
      </c>
      <c r="B5280" t="s">
        <v>2059</v>
      </c>
      <c r="C5280" t="s">
        <v>10</v>
      </c>
      <c r="D5280" t="s">
        <v>2073</v>
      </c>
      <c r="E5280">
        <f t="shared" si="237"/>
        <v>6.8965517241379309E-3</v>
      </c>
      <c r="F5280">
        <v>1</v>
      </c>
      <c r="G5280">
        <f>LOG(382/(1+1))</f>
        <v>2.2810333672477277</v>
      </c>
      <c r="H5280">
        <f>0.00689655172413793*5.25227342804663</f>
        <v>3.6222575365838824E-2</v>
      </c>
      <c r="I5280">
        <v>3.6222575365838817E-2</v>
      </c>
    </row>
    <row r="5281" spans="1:9" x14ac:dyDescent="0.25">
      <c r="A5281">
        <v>320</v>
      </c>
      <c r="B5281" t="s">
        <v>2059</v>
      </c>
      <c r="C5281" t="s">
        <v>10</v>
      </c>
      <c r="D5281" t="s">
        <v>434</v>
      </c>
      <c r="E5281">
        <f t="shared" si="237"/>
        <v>6.8965517241379309E-3</v>
      </c>
      <c r="F5281">
        <v>97</v>
      </c>
      <c r="G5281">
        <f>LOG(382/(97+1))</f>
        <v>0.59083728721921391</v>
      </c>
      <c r="H5281">
        <f>0.00689655172413793*1.360453129936</f>
        <v>9.3824353788689654E-3</v>
      </c>
      <c r="I5281">
        <v>9.382435378868988E-3</v>
      </c>
    </row>
    <row r="5282" spans="1:9" x14ac:dyDescent="0.25">
      <c r="A5282">
        <v>320</v>
      </c>
      <c r="B5282" t="s">
        <v>2059</v>
      </c>
      <c r="C5282" t="s">
        <v>10</v>
      </c>
      <c r="D5282" t="s">
        <v>444</v>
      </c>
      <c r="E5282">
        <f>2/145</f>
        <v>1.3793103448275862E-2</v>
      </c>
      <c r="F5282">
        <v>28</v>
      </c>
      <c r="G5282">
        <f>LOG(382/(28+1))</f>
        <v>1.1196653650127526</v>
      </c>
      <c r="H5282">
        <f>0.0137931034482758*2.5781247786201</f>
        <v>3.5560341774070178E-2</v>
      </c>
      <c r="I5282">
        <v>3.5560341774070359E-2</v>
      </c>
    </row>
    <row r="5283" spans="1:9" x14ac:dyDescent="0.25">
      <c r="A5283">
        <v>320</v>
      </c>
      <c r="B5283" t="s">
        <v>2059</v>
      </c>
      <c r="C5283" t="s">
        <v>10</v>
      </c>
      <c r="D5283" t="s">
        <v>445</v>
      </c>
      <c r="E5283">
        <f>2/145</f>
        <v>1.3793103448275862E-2</v>
      </c>
      <c r="F5283">
        <v>35</v>
      </c>
      <c r="G5283">
        <f>LOG(382/(35+1))</f>
        <v>1.0257608621444214</v>
      </c>
      <c r="H5283">
        <f>0.0137931034482758*2.36190167015046</f>
        <v>3.257795407104068E-2</v>
      </c>
      <c r="I5283">
        <v>3.2577954071040888E-2</v>
      </c>
    </row>
    <row r="5284" spans="1:9" x14ac:dyDescent="0.25">
      <c r="A5284">
        <v>320</v>
      </c>
      <c r="B5284" t="s">
        <v>2059</v>
      </c>
      <c r="C5284" t="s">
        <v>10</v>
      </c>
      <c r="D5284" t="s">
        <v>310</v>
      </c>
      <c r="E5284">
        <f t="shared" ref="E5284:E5295" si="238">1/145</f>
        <v>6.8965517241379309E-3</v>
      </c>
      <c r="F5284">
        <v>50</v>
      </c>
      <c r="G5284">
        <f>LOG(382/(50+1))</f>
        <v>0.87449318681377242</v>
      </c>
      <c r="H5284">
        <f>0.00689655172413793*2.01359497588224</f>
        <v>1.3886861902636135E-2</v>
      </c>
      <c r="I5284">
        <v>1.3886861902636201E-2</v>
      </c>
    </row>
    <row r="5285" spans="1:9" x14ac:dyDescent="0.25">
      <c r="A5285">
        <v>320</v>
      </c>
      <c r="B5285" t="s">
        <v>2059</v>
      </c>
      <c r="C5285" t="s">
        <v>10</v>
      </c>
      <c r="D5285" t="s">
        <v>1176</v>
      </c>
      <c r="E5285">
        <f t="shared" si="238"/>
        <v>6.8965517241379309E-3</v>
      </c>
      <c r="F5285">
        <v>15</v>
      </c>
      <c r="G5285">
        <f>LOG(382/(15+1))</f>
        <v>1.3779433802557839</v>
      </c>
      <c r="H5285">
        <f>0.00689655172413793*3.17283188636679</f>
        <v>2.1881599216322687E-2</v>
      </c>
      <c r="I5285">
        <v>2.1881599216322722E-2</v>
      </c>
    </row>
    <row r="5286" spans="1:9" x14ac:dyDescent="0.25">
      <c r="A5286">
        <v>320</v>
      </c>
      <c r="B5286" t="s">
        <v>2059</v>
      </c>
      <c r="C5286" t="s">
        <v>10</v>
      </c>
      <c r="D5286" t="s">
        <v>2074</v>
      </c>
      <c r="E5286">
        <f t="shared" si="238"/>
        <v>6.8965517241379309E-3</v>
      </c>
      <c r="F5286">
        <v>1</v>
      </c>
      <c r="G5286">
        <f>LOG(382/(1+1))</f>
        <v>2.2810333672477277</v>
      </c>
      <c r="H5286">
        <f>0.00689655172413793*5.25227342804663</f>
        <v>3.6222575365838824E-2</v>
      </c>
      <c r="I5286">
        <v>3.6222575365838817E-2</v>
      </c>
    </row>
    <row r="5287" spans="1:9" x14ac:dyDescent="0.25">
      <c r="A5287">
        <v>320</v>
      </c>
      <c r="B5287" t="s">
        <v>2059</v>
      </c>
      <c r="C5287" t="s">
        <v>10</v>
      </c>
      <c r="D5287" t="s">
        <v>2036</v>
      </c>
      <c r="E5287">
        <f t="shared" si="238"/>
        <v>6.8965517241379309E-3</v>
      </c>
      <c r="F5287">
        <v>7</v>
      </c>
      <c r="G5287">
        <f>LOG(382/(7+1))</f>
        <v>1.6789733759197651</v>
      </c>
      <c r="H5287">
        <f>0.00689655172413793*3.86597906692673</f>
        <v>2.6661924599494687E-2</v>
      </c>
      <c r="I5287">
        <v>2.6661924599494749E-2</v>
      </c>
    </row>
    <row r="5288" spans="1:9" x14ac:dyDescent="0.25">
      <c r="A5288">
        <v>320</v>
      </c>
      <c r="B5288" t="s">
        <v>2059</v>
      </c>
      <c r="C5288" t="s">
        <v>10</v>
      </c>
      <c r="D5288" t="s">
        <v>490</v>
      </c>
      <c r="E5288">
        <f t="shared" si="238"/>
        <v>6.8965517241379309E-3</v>
      </c>
      <c r="F5288">
        <v>31</v>
      </c>
      <c r="G5288">
        <f>LOG(382/(31+1))</f>
        <v>1.0769133845918029</v>
      </c>
      <c r="H5288">
        <f>0.00689655172413793*2.47968470580684</f>
        <v>1.7101273833150618E-2</v>
      </c>
      <c r="I5288">
        <v>1.7101273833150681E-2</v>
      </c>
    </row>
    <row r="5289" spans="1:9" x14ac:dyDescent="0.25">
      <c r="A5289">
        <v>320</v>
      </c>
      <c r="B5289" t="s">
        <v>2059</v>
      </c>
      <c r="C5289" t="s">
        <v>10</v>
      </c>
      <c r="D5289" t="s">
        <v>1073</v>
      </c>
      <c r="E5289">
        <f t="shared" si="238"/>
        <v>6.8965517241379309E-3</v>
      </c>
      <c r="F5289">
        <v>25</v>
      </c>
      <c r="G5289">
        <f>LOG(382/(25+1))</f>
        <v>1.1670900149408907</v>
      </c>
      <c r="H5289">
        <f>0.00689655172413793*2.68732407058509</f>
        <v>1.8533269452310965E-2</v>
      </c>
      <c r="I5289">
        <v>1.8533269452310989E-2</v>
      </c>
    </row>
    <row r="5290" spans="1:9" x14ac:dyDescent="0.25">
      <c r="A5290">
        <v>320</v>
      </c>
      <c r="B5290" t="s">
        <v>2059</v>
      </c>
      <c r="C5290" t="s">
        <v>10</v>
      </c>
      <c r="D5290" t="s">
        <v>1222</v>
      </c>
      <c r="E5290">
        <f t="shared" si="238"/>
        <v>6.8965517241379309E-3</v>
      </c>
      <c r="F5290">
        <v>56</v>
      </c>
      <c r="G5290">
        <f>LOG(382/(56+1))</f>
        <v>0.82618850723921733</v>
      </c>
      <c r="H5290">
        <f>0.00689655172413793*1.90236934077202</f>
        <v>1.3119788557048411E-2</v>
      </c>
      <c r="I5290">
        <v>1.3119788557048449E-2</v>
      </c>
    </row>
    <row r="5291" spans="1:9" x14ac:dyDescent="0.25">
      <c r="A5291">
        <v>320</v>
      </c>
      <c r="B5291" t="s">
        <v>2059</v>
      </c>
      <c r="C5291" t="s">
        <v>10</v>
      </c>
      <c r="D5291" t="s">
        <v>2075</v>
      </c>
      <c r="E5291">
        <f t="shared" si="238"/>
        <v>6.8965517241379309E-3</v>
      </c>
      <c r="F5291">
        <v>1</v>
      </c>
      <c r="G5291">
        <f>LOG(382/(1+1))</f>
        <v>2.2810333672477277</v>
      </c>
      <c r="H5291">
        <f>0.00689655172413793*5.25227342804663</f>
        <v>3.6222575365838824E-2</v>
      </c>
      <c r="I5291">
        <v>3.6222575365838817E-2</v>
      </c>
    </row>
    <row r="5292" spans="1:9" x14ac:dyDescent="0.25">
      <c r="A5292">
        <v>320</v>
      </c>
      <c r="B5292" t="s">
        <v>2059</v>
      </c>
      <c r="C5292" t="s">
        <v>10</v>
      </c>
      <c r="D5292" t="s">
        <v>852</v>
      </c>
      <c r="E5292">
        <f t="shared" si="238"/>
        <v>6.8965517241379309E-3</v>
      </c>
      <c r="F5292">
        <v>10</v>
      </c>
      <c r="G5292">
        <f>LOG(382/(10+1))</f>
        <v>1.5406706777534838</v>
      </c>
      <c r="H5292">
        <f>0.00689655172413793*3.5475253358082</f>
        <v>2.4465691971091032E-2</v>
      </c>
      <c r="I5292">
        <v>2.446569197109107E-2</v>
      </c>
    </row>
    <row r="5293" spans="1:9" x14ac:dyDescent="0.25">
      <c r="A5293">
        <v>320</v>
      </c>
      <c r="B5293" t="s">
        <v>2059</v>
      </c>
      <c r="C5293" t="s">
        <v>10</v>
      </c>
      <c r="D5293" t="s">
        <v>2076</v>
      </c>
      <c r="E5293">
        <f t="shared" si="238"/>
        <v>6.8965517241379309E-3</v>
      </c>
      <c r="F5293">
        <v>1</v>
      </c>
      <c r="G5293">
        <f>LOG(382/(1+1))</f>
        <v>2.2810333672477277</v>
      </c>
      <c r="H5293">
        <f>0.00689655172413793*5.25227342804663</f>
        <v>3.6222575365838824E-2</v>
      </c>
      <c r="I5293">
        <v>3.6222575365838817E-2</v>
      </c>
    </row>
    <row r="5294" spans="1:9" x14ac:dyDescent="0.25">
      <c r="A5294">
        <v>320</v>
      </c>
      <c r="B5294" t="s">
        <v>2059</v>
      </c>
      <c r="C5294" t="s">
        <v>10</v>
      </c>
      <c r="D5294" t="s">
        <v>2039</v>
      </c>
      <c r="E5294">
        <f t="shared" si="238"/>
        <v>6.8965517241379309E-3</v>
      </c>
      <c r="F5294">
        <v>3</v>
      </c>
      <c r="G5294">
        <f>LOG(382/(3+1))</f>
        <v>1.9800033715837464</v>
      </c>
      <c r="H5294">
        <f>0.00689655172413793*4.55912624748668</f>
        <v>3.1442249982666752E-2</v>
      </c>
      <c r="I5294">
        <v>3.1442249982666787E-2</v>
      </c>
    </row>
    <row r="5295" spans="1:9" x14ac:dyDescent="0.25">
      <c r="A5295">
        <v>320</v>
      </c>
      <c r="B5295" t="s">
        <v>2059</v>
      </c>
      <c r="C5295" t="s">
        <v>10</v>
      </c>
      <c r="D5295" t="s">
        <v>1626</v>
      </c>
      <c r="E5295">
        <f t="shared" si="238"/>
        <v>6.8965517241379309E-3</v>
      </c>
      <c r="F5295">
        <v>32</v>
      </c>
      <c r="G5295">
        <f>LOG(382/(32+1))</f>
        <v>1.0635494230338212</v>
      </c>
      <c r="H5295">
        <f>0.00689655172413793*2.44891304714009</f>
        <v>1.688905549751786E-2</v>
      </c>
      <c r="I5295">
        <v>1.6889055497517892E-2</v>
      </c>
    </row>
    <row r="5296" spans="1:9" x14ac:dyDescent="0.25">
      <c r="A5296">
        <v>320</v>
      </c>
      <c r="B5296" t="s">
        <v>2059</v>
      </c>
      <c r="C5296" t="s">
        <v>10</v>
      </c>
      <c r="D5296" t="s">
        <v>236</v>
      </c>
      <c r="E5296">
        <f>2/145</f>
        <v>1.3793103448275862E-2</v>
      </c>
      <c r="F5296">
        <v>87</v>
      </c>
      <c r="G5296">
        <f>LOG(382/(87+1))</f>
        <v>0.63758069076154011</v>
      </c>
      <c r="H5296">
        <f>0.0137931034482758*1.46808379412836</f>
        <v>2.0249431643149702E-2</v>
      </c>
      <c r="I5296">
        <v>2.024943164314991E-2</v>
      </c>
    </row>
    <row r="5297" spans="1:9" x14ac:dyDescent="0.25">
      <c r="A5297">
        <v>320</v>
      </c>
      <c r="B5297" t="s">
        <v>2059</v>
      </c>
      <c r="C5297" t="s">
        <v>10</v>
      </c>
      <c r="D5297" t="s">
        <v>763</v>
      </c>
      <c r="E5297">
        <f t="shared" ref="E5297:E5307" si="239">1/145</f>
        <v>6.8965517241379309E-3</v>
      </c>
      <c r="F5297">
        <v>47</v>
      </c>
      <c r="G5297">
        <f>LOG(382/(47+1))</f>
        <v>0.90082212553612151</v>
      </c>
      <c r="H5297">
        <f>0.00689655172413793*2.07421959769868</f>
        <v>1.4304962742749516E-2</v>
      </c>
      <c r="I5297">
        <v>1.430496274274955E-2</v>
      </c>
    </row>
    <row r="5298" spans="1:9" x14ac:dyDescent="0.25">
      <c r="A5298">
        <v>320</v>
      </c>
      <c r="B5298" t="s">
        <v>2059</v>
      </c>
      <c r="C5298" t="s">
        <v>10</v>
      </c>
      <c r="D5298" t="s">
        <v>2077</v>
      </c>
      <c r="E5298">
        <f t="shared" si="239"/>
        <v>6.8965517241379309E-3</v>
      </c>
      <c r="F5298">
        <v>1</v>
      </c>
      <c r="G5298">
        <f>LOG(382/(1+1))</f>
        <v>2.2810333672477277</v>
      </c>
      <c r="H5298">
        <f>0.00689655172413793*5.25227342804663</f>
        <v>3.6222575365838824E-2</v>
      </c>
      <c r="I5298">
        <v>3.6222575365838817E-2</v>
      </c>
    </row>
    <row r="5299" spans="1:9" x14ac:dyDescent="0.25">
      <c r="A5299">
        <v>320</v>
      </c>
      <c r="B5299" t="s">
        <v>2059</v>
      </c>
      <c r="C5299" t="s">
        <v>10</v>
      </c>
      <c r="D5299" t="s">
        <v>2078</v>
      </c>
      <c r="E5299">
        <f t="shared" si="239"/>
        <v>6.8965517241379309E-3</v>
      </c>
      <c r="F5299">
        <v>1</v>
      </c>
      <c r="G5299">
        <f>LOG(382/(1+1))</f>
        <v>2.2810333672477277</v>
      </c>
      <c r="H5299">
        <f>0.00689655172413793*5.25227342804663</f>
        <v>3.6222575365838824E-2</v>
      </c>
      <c r="I5299">
        <v>3.6222575365838817E-2</v>
      </c>
    </row>
    <row r="5300" spans="1:9" x14ac:dyDescent="0.25">
      <c r="A5300">
        <v>320</v>
      </c>
      <c r="B5300" t="s">
        <v>2059</v>
      </c>
      <c r="C5300" t="s">
        <v>10</v>
      </c>
      <c r="D5300" t="s">
        <v>1919</v>
      </c>
      <c r="E5300">
        <f t="shared" si="239"/>
        <v>6.8965517241379309E-3</v>
      </c>
      <c r="F5300">
        <v>18</v>
      </c>
      <c r="G5300">
        <f>LOG(382/(18+1))</f>
        <v>1.3033097619588798</v>
      </c>
      <c r="H5300">
        <f>0.00689655172413793*3.00098162944013</f>
        <v>2.0696425030621583E-2</v>
      </c>
      <c r="I5300">
        <v>2.0696425030621621E-2</v>
      </c>
    </row>
    <row r="5301" spans="1:9" x14ac:dyDescent="0.25">
      <c r="A5301">
        <v>320</v>
      </c>
      <c r="B5301" t="s">
        <v>2059</v>
      </c>
      <c r="C5301" t="s">
        <v>10</v>
      </c>
      <c r="D5301" t="s">
        <v>1918</v>
      </c>
      <c r="E5301">
        <f t="shared" si="239"/>
        <v>6.8965517241379309E-3</v>
      </c>
      <c r="F5301">
        <v>25</v>
      </c>
      <c r="G5301">
        <f>LOG(382/(25+1))</f>
        <v>1.1670900149408907</v>
      </c>
      <c r="H5301">
        <f>0.00689655172413793*2.68732407058509</f>
        <v>1.8533269452310965E-2</v>
      </c>
      <c r="I5301">
        <v>1.8533269452310989E-2</v>
      </c>
    </row>
    <row r="5302" spans="1:9" x14ac:dyDescent="0.25">
      <c r="A5302">
        <v>320</v>
      </c>
      <c r="B5302" t="s">
        <v>2059</v>
      </c>
      <c r="C5302" t="s">
        <v>10</v>
      </c>
      <c r="D5302" t="s">
        <v>1920</v>
      </c>
      <c r="E5302">
        <f t="shared" si="239"/>
        <v>6.8965517241379309E-3</v>
      </c>
      <c r="F5302">
        <v>18</v>
      </c>
      <c r="G5302">
        <f>LOG(382/(18+1))</f>
        <v>1.3033097619588798</v>
      </c>
      <c r="H5302">
        <f>0.00689655172413793*3.00098162944013</f>
        <v>2.0696425030621583E-2</v>
      </c>
      <c r="I5302">
        <v>2.0696425030621621E-2</v>
      </c>
    </row>
    <row r="5303" spans="1:9" x14ac:dyDescent="0.25">
      <c r="A5303">
        <v>320</v>
      </c>
      <c r="B5303" t="s">
        <v>2059</v>
      </c>
      <c r="C5303" t="s">
        <v>10</v>
      </c>
      <c r="D5303" t="s">
        <v>2079</v>
      </c>
      <c r="E5303">
        <f t="shared" si="239"/>
        <v>6.8965517241379309E-3</v>
      </c>
      <c r="F5303">
        <v>1</v>
      </c>
      <c r="G5303">
        <f>LOG(382/(1+1))</f>
        <v>2.2810333672477277</v>
      </c>
      <c r="H5303">
        <f>0.00689655172413793*5.25227342804663</f>
        <v>3.6222575365838824E-2</v>
      </c>
      <c r="I5303">
        <v>3.6222575365838817E-2</v>
      </c>
    </row>
    <row r="5304" spans="1:9" x14ac:dyDescent="0.25">
      <c r="A5304">
        <v>320</v>
      </c>
      <c r="B5304" t="s">
        <v>2059</v>
      </c>
      <c r="C5304" t="s">
        <v>10</v>
      </c>
      <c r="D5304" t="s">
        <v>439</v>
      </c>
      <c r="E5304">
        <f t="shared" si="239"/>
        <v>6.8965517241379309E-3</v>
      </c>
      <c r="F5304">
        <v>28</v>
      </c>
      <c r="G5304">
        <f>LOG(382/(28+1))</f>
        <v>1.1196653650127526</v>
      </c>
      <c r="H5304">
        <f>0.00689655172413793*2.5781247786201</f>
        <v>1.7780170887035169E-2</v>
      </c>
      <c r="I5304">
        <v>1.7780170887035179E-2</v>
      </c>
    </row>
    <row r="5305" spans="1:9" x14ac:dyDescent="0.25">
      <c r="A5305">
        <v>320</v>
      </c>
      <c r="B5305" t="s">
        <v>2059</v>
      </c>
      <c r="C5305" t="s">
        <v>10</v>
      </c>
      <c r="D5305" t="s">
        <v>688</v>
      </c>
      <c r="E5305">
        <f t="shared" si="239"/>
        <v>6.8965517241379309E-3</v>
      </c>
      <c r="F5305">
        <v>23</v>
      </c>
      <c r="G5305">
        <f>LOG(382/(23+1))</f>
        <v>1.2018521212001028</v>
      </c>
      <c r="H5305">
        <f>0.00689655172413793*2.76736677825862</f>
        <v>1.9085288125921515E-2</v>
      </c>
      <c r="I5305">
        <v>1.9085288125921581E-2</v>
      </c>
    </row>
    <row r="5306" spans="1:9" x14ac:dyDescent="0.25">
      <c r="A5306">
        <v>320</v>
      </c>
      <c r="B5306" t="s">
        <v>2059</v>
      </c>
      <c r="C5306" t="s">
        <v>10</v>
      </c>
      <c r="D5306" t="s">
        <v>1469</v>
      </c>
      <c r="E5306">
        <f t="shared" si="239"/>
        <v>6.8965517241379309E-3</v>
      </c>
      <c r="F5306">
        <v>24</v>
      </c>
      <c r="G5306">
        <f>LOG(382/(24+1))</f>
        <v>1.1841233542396712</v>
      </c>
      <c r="H5306">
        <f>0.00689655172413793*2.72654478373837</f>
        <v>1.8803757129230134E-2</v>
      </c>
      <c r="I5306">
        <v>1.8803757129230169E-2</v>
      </c>
    </row>
    <row r="5307" spans="1:9" x14ac:dyDescent="0.25">
      <c r="A5307">
        <v>320</v>
      </c>
      <c r="B5307" t="s">
        <v>2059</v>
      </c>
      <c r="C5307" t="s">
        <v>10</v>
      </c>
      <c r="D5307" t="s">
        <v>754</v>
      </c>
      <c r="E5307">
        <f t="shared" si="239"/>
        <v>6.8965517241379309E-3</v>
      </c>
      <c r="F5307">
        <v>111</v>
      </c>
      <c r="G5307">
        <f>LOG(382/(111+1))</f>
        <v>0.53284534024152708</v>
      </c>
      <c r="H5307">
        <f>0.00689655172413793*1.22692173731148</f>
        <v>8.4615292228377922E-3</v>
      </c>
      <c r="I5307">
        <v>8.4615292228377974E-3</v>
      </c>
    </row>
    <row r="5308" spans="1:9" x14ac:dyDescent="0.25">
      <c r="A5308">
        <v>320</v>
      </c>
      <c r="B5308" t="s">
        <v>2059</v>
      </c>
      <c r="C5308" t="s">
        <v>10</v>
      </c>
      <c r="D5308" t="s">
        <v>338</v>
      </c>
      <c r="E5308">
        <f>2/145</f>
        <v>1.3793103448275862E-2</v>
      </c>
      <c r="F5308">
        <v>54</v>
      </c>
      <c r="G5308">
        <f>LOG(382/(54+1))</f>
        <v>0.84170067341746491</v>
      </c>
      <c r="H5308">
        <f>0.0137931034482758*1.9380874233741</f>
        <v>2.6732240322401256E-2</v>
      </c>
      <c r="I5308">
        <v>2.673224032240144E-2</v>
      </c>
    </row>
    <row r="5309" spans="1:9" x14ac:dyDescent="0.25">
      <c r="A5309">
        <v>320</v>
      </c>
      <c r="B5309" t="s">
        <v>2059</v>
      </c>
      <c r="C5309" t="s">
        <v>10</v>
      </c>
      <c r="D5309" t="s">
        <v>597</v>
      </c>
      <c r="E5309">
        <f>2/145</f>
        <v>1.3793103448275862E-2</v>
      </c>
      <c r="F5309">
        <v>51</v>
      </c>
      <c r="G5309">
        <f>LOG(382/(51+1))</f>
        <v>0.86606001927690957</v>
      </c>
      <c r="H5309">
        <f>0.0137931034482758*1.99417689002514</f>
        <v>2.7505888138277666E-2</v>
      </c>
      <c r="I5309">
        <v>2.7505888138277899E-2</v>
      </c>
    </row>
    <row r="5310" spans="1:9" x14ac:dyDescent="0.25">
      <c r="A5310">
        <v>320</v>
      </c>
      <c r="B5310" t="s">
        <v>2059</v>
      </c>
      <c r="C5310" t="s">
        <v>10</v>
      </c>
      <c r="D5310" t="s">
        <v>2080</v>
      </c>
      <c r="E5310">
        <f t="shared" ref="E5310:E5315" si="240">1/145</f>
        <v>6.8965517241379309E-3</v>
      </c>
      <c r="F5310">
        <v>1</v>
      </c>
      <c r="G5310">
        <f>LOG(382/(1+1))</f>
        <v>2.2810333672477277</v>
      </c>
      <c r="H5310">
        <f>0.00689655172413793*5.25227342804663</f>
        <v>3.6222575365838824E-2</v>
      </c>
      <c r="I5310">
        <v>3.6222575365838817E-2</v>
      </c>
    </row>
    <row r="5311" spans="1:9" x14ac:dyDescent="0.25">
      <c r="A5311">
        <v>320</v>
      </c>
      <c r="B5311" t="s">
        <v>2059</v>
      </c>
      <c r="C5311" t="s">
        <v>10</v>
      </c>
      <c r="D5311" t="s">
        <v>1921</v>
      </c>
      <c r="E5311">
        <f t="shared" si="240"/>
        <v>6.8965517241379309E-3</v>
      </c>
      <c r="F5311">
        <v>37</v>
      </c>
      <c r="G5311">
        <f>LOG(382/(37+1))</f>
        <v>1.0022797662948986</v>
      </c>
      <c r="H5311">
        <f>0.00689655172413793*2.30783444888018</f>
        <v>1.5916099647449514E-2</v>
      </c>
      <c r="I5311">
        <v>1.591609964744958E-2</v>
      </c>
    </row>
    <row r="5312" spans="1:9" x14ac:dyDescent="0.25">
      <c r="A5312">
        <v>320</v>
      </c>
      <c r="B5312" t="s">
        <v>2059</v>
      </c>
      <c r="C5312" t="s">
        <v>10</v>
      </c>
      <c r="D5312" t="s">
        <v>82</v>
      </c>
      <c r="E5312">
        <f t="shared" si="240"/>
        <v>6.8965517241379309E-3</v>
      </c>
      <c r="F5312">
        <v>92</v>
      </c>
      <c r="G5312">
        <f>LOG(382/(92+1))</f>
        <v>0.61358041435777355</v>
      </c>
      <c r="H5312">
        <f>0.00689655172413793*1.41282111545331</f>
        <v>9.7435938996779988E-3</v>
      </c>
      <c r="I5312">
        <v>9.743593899678063E-3</v>
      </c>
    </row>
    <row r="5313" spans="1:9" x14ac:dyDescent="0.25">
      <c r="A5313">
        <v>320</v>
      </c>
      <c r="B5313" t="s">
        <v>2059</v>
      </c>
      <c r="C5313" t="s">
        <v>10</v>
      </c>
      <c r="D5313" t="s">
        <v>1922</v>
      </c>
      <c r="E5313">
        <f t="shared" si="240"/>
        <v>6.8965517241379309E-3</v>
      </c>
      <c r="F5313">
        <v>15</v>
      </c>
      <c r="G5313">
        <f>LOG(382/(15+1))</f>
        <v>1.3779433802557839</v>
      </c>
      <c r="H5313">
        <f>0.00689655172413793*3.17283188636679</f>
        <v>2.1881599216322687E-2</v>
      </c>
      <c r="I5313">
        <v>2.1881599216322722E-2</v>
      </c>
    </row>
    <row r="5314" spans="1:9" x14ac:dyDescent="0.25">
      <c r="A5314">
        <v>320</v>
      </c>
      <c r="B5314" t="s">
        <v>2059</v>
      </c>
      <c r="C5314" t="s">
        <v>10</v>
      </c>
      <c r="D5314" t="s">
        <v>331</v>
      </c>
      <c r="E5314">
        <f t="shared" si="240"/>
        <v>6.8965517241379309E-3</v>
      </c>
      <c r="F5314">
        <v>130</v>
      </c>
      <c r="G5314">
        <f>LOG(382/(130+1))</f>
        <v>0.46479206725594452</v>
      </c>
      <c r="H5314">
        <f>0.00689655172413793*1.07022328540542</f>
        <v>7.3808502441753097E-3</v>
      </c>
      <c r="I5314">
        <v>7.3808502441753358E-3</v>
      </c>
    </row>
    <row r="5315" spans="1:9" x14ac:dyDescent="0.25">
      <c r="A5315">
        <v>320</v>
      </c>
      <c r="B5315" t="s">
        <v>2059</v>
      </c>
      <c r="C5315" t="s">
        <v>10</v>
      </c>
      <c r="D5315" t="s">
        <v>753</v>
      </c>
      <c r="E5315">
        <f t="shared" si="240"/>
        <v>6.8965517241379309E-3</v>
      </c>
      <c r="F5315">
        <v>19</v>
      </c>
      <c r="G5315">
        <f>LOG(382/(19+1))</f>
        <v>1.2810333672477277</v>
      </c>
      <c r="H5315">
        <f>0.00689655172413793*2.94968833505258</f>
        <v>2.0342678172776411E-2</v>
      </c>
      <c r="I5315">
        <v>2.0342678172776449E-2</v>
      </c>
    </row>
    <row r="5316" spans="1:9" x14ac:dyDescent="0.25">
      <c r="A5316">
        <v>321</v>
      </c>
      <c r="B5316" t="s">
        <v>2081</v>
      </c>
      <c r="C5316" t="s">
        <v>10</v>
      </c>
      <c r="D5316" t="s">
        <v>2082</v>
      </c>
      <c r="E5316">
        <f>1/167</f>
        <v>5.9880239520958087E-3</v>
      </c>
      <c r="F5316">
        <v>1</v>
      </c>
      <c r="G5316">
        <f>LOG(382/(1+1))</f>
        <v>2.2810333672477277</v>
      </c>
      <c r="H5316">
        <f>0.0059880239520958*5.25227342804663</f>
        <v>3.1450739090099537E-2</v>
      </c>
      <c r="I5316">
        <v>3.1450739090099579E-2</v>
      </c>
    </row>
    <row r="5317" spans="1:9" x14ac:dyDescent="0.25">
      <c r="A5317">
        <v>321</v>
      </c>
      <c r="B5317" t="s">
        <v>2081</v>
      </c>
      <c r="C5317" t="s">
        <v>10</v>
      </c>
      <c r="D5317" t="s">
        <v>1609</v>
      </c>
      <c r="E5317">
        <f>4/167</f>
        <v>2.3952095808383235E-2</v>
      </c>
      <c r="F5317">
        <v>2</v>
      </c>
      <c r="G5317">
        <f>LOG(382/(2+1))</f>
        <v>2.1049421081920463</v>
      </c>
      <c r="H5317">
        <f>0.0239520958083832*4.84680831993846</f>
        <v>0.1160912172440348</v>
      </c>
      <c r="I5317">
        <v>0.11609121724403509</v>
      </c>
    </row>
    <row r="5318" spans="1:9" x14ac:dyDescent="0.25">
      <c r="A5318">
        <v>321</v>
      </c>
      <c r="B5318" t="s">
        <v>2081</v>
      </c>
      <c r="C5318" t="s">
        <v>10</v>
      </c>
      <c r="D5318" t="s">
        <v>42</v>
      </c>
      <c r="E5318">
        <f>1/167</f>
        <v>5.9880239520958087E-3</v>
      </c>
      <c r="F5318">
        <v>251</v>
      </c>
      <c r="G5318">
        <f>LOG(382/(251+1))</f>
        <v>0.18066282213016463</v>
      </c>
      <c r="H5318">
        <f>0.0059880239520958*0.415991521095151</f>
        <v>2.4909671921865295E-3</v>
      </c>
      <c r="I5318">
        <v>2.4909671921865381E-3</v>
      </c>
    </row>
    <row r="5319" spans="1:9" x14ac:dyDescent="0.25">
      <c r="A5319">
        <v>321</v>
      </c>
      <c r="B5319" t="s">
        <v>2081</v>
      </c>
      <c r="C5319" t="s">
        <v>10</v>
      </c>
      <c r="D5319" t="s">
        <v>15</v>
      </c>
      <c r="E5319">
        <f>1/167</f>
        <v>5.9880239520958087E-3</v>
      </c>
      <c r="F5319">
        <v>112</v>
      </c>
      <c r="G5319">
        <f>LOG(382/(112+1))</f>
        <v>0.52898491942828896</v>
      </c>
      <c r="H5319">
        <f>0.0059880239520958*1.21803278989423</f>
        <v>7.2936095203247203E-3</v>
      </c>
      <c r="I5319">
        <v>7.2936095203247594E-3</v>
      </c>
    </row>
    <row r="5320" spans="1:9" x14ac:dyDescent="0.25">
      <c r="A5320">
        <v>321</v>
      </c>
      <c r="B5320" t="s">
        <v>2081</v>
      </c>
      <c r="C5320" t="s">
        <v>10</v>
      </c>
      <c r="D5320" t="s">
        <v>269</v>
      </c>
      <c r="E5320">
        <f t="shared" ref="E5320:E5325" si="241">2/167</f>
        <v>1.1976047904191617E-2</v>
      </c>
      <c r="F5320">
        <v>4</v>
      </c>
      <c r="G5320">
        <f>LOG(382/(4+1))</f>
        <v>1.8830933585756899</v>
      </c>
      <c r="H5320">
        <f>0.0119760479041916*4.33598269617247</f>
        <v>5.1927936481107356E-2</v>
      </c>
      <c r="I5320">
        <v>5.1927936481107488E-2</v>
      </c>
    </row>
    <row r="5321" spans="1:9" x14ac:dyDescent="0.25">
      <c r="A5321">
        <v>321</v>
      </c>
      <c r="B5321" t="s">
        <v>2081</v>
      </c>
      <c r="C5321" t="s">
        <v>10</v>
      </c>
      <c r="D5321" t="s">
        <v>111</v>
      </c>
      <c r="E5321">
        <f t="shared" si="241"/>
        <v>1.1976047904191617E-2</v>
      </c>
      <c r="F5321">
        <v>33</v>
      </c>
      <c r="G5321">
        <f>LOG(382/(33+1))</f>
        <v>1.0505844458694535</v>
      </c>
      <c r="H5321">
        <f>0.0119760479041916*2.41906008399041</f>
        <v>2.8970779448986909E-2</v>
      </c>
      <c r="I5321">
        <v>2.8970779448986989E-2</v>
      </c>
    </row>
    <row r="5322" spans="1:9" x14ac:dyDescent="0.25">
      <c r="A5322">
        <v>321</v>
      </c>
      <c r="B5322" t="s">
        <v>2081</v>
      </c>
      <c r="C5322" t="s">
        <v>10</v>
      </c>
      <c r="D5322" t="s">
        <v>17</v>
      </c>
      <c r="E5322">
        <f t="shared" si="241"/>
        <v>1.1976047904191617E-2</v>
      </c>
      <c r="F5322">
        <v>169</v>
      </c>
      <c r="G5322">
        <f>LOG(382/(169+1))</f>
        <v>0.3516144415334348</v>
      </c>
      <c r="H5322">
        <f>0.0119760479041916*0.809622171556313</f>
        <v>9.6960739108540341E-3</v>
      </c>
      <c r="I5322">
        <v>9.6960739108540531E-3</v>
      </c>
    </row>
    <row r="5323" spans="1:9" x14ac:dyDescent="0.25">
      <c r="A5323">
        <v>321</v>
      </c>
      <c r="B5323" t="s">
        <v>2081</v>
      </c>
      <c r="C5323" t="s">
        <v>10</v>
      </c>
      <c r="D5323" t="s">
        <v>250</v>
      </c>
      <c r="E5323">
        <f t="shared" si="241"/>
        <v>1.1976047904191617E-2</v>
      </c>
      <c r="F5323">
        <v>14</v>
      </c>
      <c r="G5323">
        <f>LOG(382/(14+1))</f>
        <v>1.4059721038560276</v>
      </c>
      <c r="H5323">
        <f>0.0119760479041916*3.23737040750436</f>
        <v>3.8770903083884499E-2</v>
      </c>
      <c r="I5323">
        <v>3.8770903083884617E-2</v>
      </c>
    </row>
    <row r="5324" spans="1:9" x14ac:dyDescent="0.25">
      <c r="A5324">
        <v>321</v>
      </c>
      <c r="B5324" t="s">
        <v>2081</v>
      </c>
      <c r="C5324" t="s">
        <v>10</v>
      </c>
      <c r="D5324" t="s">
        <v>251</v>
      </c>
      <c r="E5324">
        <f t="shared" si="241"/>
        <v>1.1976047904191617E-2</v>
      </c>
      <c r="F5324">
        <v>6</v>
      </c>
      <c r="G5324">
        <f>LOG(382/(6+1))</f>
        <v>1.736965322897452</v>
      </c>
      <c r="H5324">
        <f>0.0119760479041916*3.99951045955126</f>
        <v>4.7898328856901248E-2</v>
      </c>
      <c r="I5324">
        <v>4.7898328856901352E-2</v>
      </c>
    </row>
    <row r="5325" spans="1:9" x14ac:dyDescent="0.25">
      <c r="A5325">
        <v>321</v>
      </c>
      <c r="B5325" t="s">
        <v>2081</v>
      </c>
      <c r="C5325" t="s">
        <v>10</v>
      </c>
      <c r="D5325" t="s">
        <v>19</v>
      </c>
      <c r="E5325">
        <f t="shared" si="241"/>
        <v>1.1976047904191617E-2</v>
      </c>
      <c r="F5325">
        <v>220</v>
      </c>
      <c r="G5325">
        <f>LOG(382/(220+1))</f>
        <v>0.23767108922659805</v>
      </c>
      <c r="H5325">
        <f>0.0119760479041916*0.547257907088822</f>
        <v>6.5539869112433684E-3</v>
      </c>
      <c r="I5325">
        <v>6.5539869112433823E-3</v>
      </c>
    </row>
    <row r="5326" spans="1:9" x14ac:dyDescent="0.25">
      <c r="A5326">
        <v>321</v>
      </c>
      <c r="B5326" t="s">
        <v>2081</v>
      </c>
      <c r="C5326" t="s">
        <v>10</v>
      </c>
      <c r="D5326" t="s">
        <v>44</v>
      </c>
      <c r="E5326">
        <f>1/167</f>
        <v>5.9880239520958087E-3</v>
      </c>
      <c r="F5326">
        <v>151</v>
      </c>
      <c r="G5326">
        <f>LOG(382/(151+1))</f>
        <v>0.40021977496693617</v>
      </c>
      <c r="H5326">
        <f>0.0059880239520958*0.921540087760298</f>
        <v>5.5182041183251306E-3</v>
      </c>
      <c r="I5326">
        <v>5.5182041183251427E-3</v>
      </c>
    </row>
    <row r="5327" spans="1:9" x14ac:dyDescent="0.25">
      <c r="A5327">
        <v>321</v>
      </c>
      <c r="B5327" t="s">
        <v>2081</v>
      </c>
      <c r="C5327" t="s">
        <v>10</v>
      </c>
      <c r="D5327" t="s">
        <v>22</v>
      </c>
      <c r="E5327">
        <f>1/167</f>
        <v>5.9880239520958087E-3</v>
      </c>
      <c r="F5327">
        <v>259</v>
      </c>
      <c r="G5327">
        <f>LOG(382/(259+1))</f>
        <v>0.16709001494089079</v>
      </c>
      <c r="H5327">
        <f>0.0059880239520958*0.384738977591047</f>
        <v>2.3038262131200387E-3</v>
      </c>
      <c r="I5327">
        <v>2.3038262131200452E-3</v>
      </c>
    </row>
    <row r="5328" spans="1:9" x14ac:dyDescent="0.25">
      <c r="A5328">
        <v>321</v>
      </c>
      <c r="B5328" t="s">
        <v>2081</v>
      </c>
      <c r="C5328" t="s">
        <v>10</v>
      </c>
      <c r="D5328" t="s">
        <v>23</v>
      </c>
      <c r="E5328">
        <f>1/167</f>
        <v>5.9880239520958087E-3</v>
      </c>
      <c r="F5328">
        <v>275</v>
      </c>
      <c r="G5328">
        <f>LOG(382/(275+1))</f>
        <v>0.14115428084649101</v>
      </c>
      <c r="H5328">
        <f>0.0059880239520958*0.325019742889425</f>
        <v>1.9462260053258954E-3</v>
      </c>
      <c r="I5328">
        <v>1.9462260053258989E-3</v>
      </c>
    </row>
    <row r="5329" spans="1:9" x14ac:dyDescent="0.25">
      <c r="A5329">
        <v>321</v>
      </c>
      <c r="B5329" t="s">
        <v>2081</v>
      </c>
      <c r="C5329" t="s">
        <v>10</v>
      </c>
      <c r="D5329" t="s">
        <v>247</v>
      </c>
      <c r="E5329">
        <f>2/167</f>
        <v>1.1976047904191617E-2</v>
      </c>
      <c r="F5329">
        <v>121</v>
      </c>
      <c r="G5329">
        <f>LOG(382/(121+1))</f>
        <v>0.49570353223696051</v>
      </c>
      <c r="H5329">
        <f>0.0119760479041916*1.14139956387331</f>
        <v>1.3669455854770161E-2</v>
      </c>
      <c r="I5329">
        <v>1.3669455854770279E-2</v>
      </c>
    </row>
    <row r="5330" spans="1:9" x14ac:dyDescent="0.25">
      <c r="A5330">
        <v>321</v>
      </c>
      <c r="B5330" t="s">
        <v>2081</v>
      </c>
      <c r="C5330" t="s">
        <v>10</v>
      </c>
      <c r="D5330" t="s">
        <v>39</v>
      </c>
      <c r="E5330">
        <f>1/167</f>
        <v>5.9880239520958087E-3</v>
      </c>
      <c r="F5330">
        <v>145</v>
      </c>
      <c r="G5330">
        <f>LOG(382/(145+1))</f>
        <v>0.41771050712727159</v>
      </c>
      <c r="H5330">
        <f>0.0059880239520958*0.961813986898238</f>
        <v>5.7593651910074059E-3</v>
      </c>
      <c r="I5330">
        <v>5.759365191007418E-3</v>
      </c>
    </row>
    <row r="5331" spans="1:9" x14ac:dyDescent="0.25">
      <c r="A5331">
        <v>321</v>
      </c>
      <c r="B5331" t="s">
        <v>2081</v>
      </c>
      <c r="C5331" t="s">
        <v>10</v>
      </c>
      <c r="D5331" t="s">
        <v>204</v>
      </c>
      <c r="E5331">
        <f>1/167</f>
        <v>5.9880239520958087E-3</v>
      </c>
      <c r="F5331">
        <v>166</v>
      </c>
      <c r="G5331">
        <f>LOG(382/(166+1))</f>
        <v>0.35934689176412549</v>
      </c>
      <c r="H5331">
        <f>0.0059880239520958*0.82742679618982</f>
        <v>4.9546514741905315E-3</v>
      </c>
      <c r="I5331">
        <v>4.9546514741905393E-3</v>
      </c>
    </row>
    <row r="5332" spans="1:9" x14ac:dyDescent="0.25">
      <c r="A5332">
        <v>321</v>
      </c>
      <c r="B5332" t="s">
        <v>2081</v>
      </c>
      <c r="C5332" t="s">
        <v>10</v>
      </c>
      <c r="D5332" t="s">
        <v>76</v>
      </c>
      <c r="E5332">
        <f>1/167</f>
        <v>5.9880239520958087E-3</v>
      </c>
      <c r="F5332">
        <v>140</v>
      </c>
      <c r="G5332">
        <f>LOG(382/(140+1))</f>
        <v>0.43284425025632883</v>
      </c>
      <c r="H5332">
        <f>0.0059880239520958*0.996660718228407</f>
        <v>5.9680282528647042E-3</v>
      </c>
      <c r="I5332">
        <v>5.9680282528647129E-3</v>
      </c>
    </row>
    <row r="5333" spans="1:9" x14ac:dyDescent="0.25">
      <c r="A5333">
        <v>321</v>
      </c>
      <c r="B5333" t="s">
        <v>2081</v>
      </c>
      <c r="C5333" t="s">
        <v>10</v>
      </c>
      <c r="D5333" t="s">
        <v>331</v>
      </c>
      <c r="E5333">
        <f>5/167</f>
        <v>2.9940119760479042E-2</v>
      </c>
      <c r="F5333">
        <v>130</v>
      </c>
      <c r="G5333">
        <f>LOG(382/(130+1))</f>
        <v>0.46479206725594452</v>
      </c>
      <c r="H5333">
        <f>0.029940119760479*1.07022328540542</f>
        <v>3.2042613335491577E-2</v>
      </c>
      <c r="I5333">
        <v>3.2042613335491729E-2</v>
      </c>
    </row>
    <row r="5334" spans="1:9" x14ac:dyDescent="0.25">
      <c r="A5334">
        <v>321</v>
      </c>
      <c r="B5334" t="s">
        <v>2081</v>
      </c>
      <c r="C5334" t="s">
        <v>10</v>
      </c>
      <c r="D5334" t="s">
        <v>752</v>
      </c>
      <c r="E5334">
        <f>1/167</f>
        <v>5.9880239520958087E-3</v>
      </c>
      <c r="F5334">
        <v>34</v>
      </c>
      <c r="G5334">
        <f>LOG(382/(34+1))</f>
        <v>1.037995318561433</v>
      </c>
      <c r="H5334">
        <f>0.0059880239520958*2.39007254711716</f>
        <v>1.4311811659384171E-2</v>
      </c>
      <c r="I5334">
        <v>1.4311811659384201E-2</v>
      </c>
    </row>
    <row r="5335" spans="1:9" x14ac:dyDescent="0.25">
      <c r="A5335">
        <v>321</v>
      </c>
      <c r="B5335" t="s">
        <v>2081</v>
      </c>
      <c r="C5335" t="s">
        <v>10</v>
      </c>
      <c r="D5335" t="s">
        <v>12</v>
      </c>
      <c r="E5335">
        <f>6/167</f>
        <v>3.5928143712574849E-2</v>
      </c>
      <c r="F5335">
        <v>28</v>
      </c>
      <c r="G5335">
        <f>LOG(382/(28+1))</f>
        <v>1.1196653650127526</v>
      </c>
      <c r="H5335">
        <f>0.0359281437125748*2.5781247786201</f>
        <v>9.2627237555213043E-2</v>
      </c>
      <c r="I5335">
        <v>9.262723755521321E-2</v>
      </c>
    </row>
    <row r="5336" spans="1:9" x14ac:dyDescent="0.25">
      <c r="A5336">
        <v>321</v>
      </c>
      <c r="B5336" t="s">
        <v>2081</v>
      </c>
      <c r="C5336" t="s">
        <v>10</v>
      </c>
      <c r="D5336" t="s">
        <v>730</v>
      </c>
      <c r="E5336">
        <f>1/167</f>
        <v>5.9880239520958087E-3</v>
      </c>
      <c r="F5336">
        <v>11</v>
      </c>
      <c r="G5336">
        <f>LOG(382/(11+1))</f>
        <v>1.5028821168640838</v>
      </c>
      <c r="H5336">
        <f>0.0059880239520958*3.46051395881857</f>
        <v>2.0721640471967458E-2</v>
      </c>
      <c r="I5336">
        <v>2.072164047196752E-2</v>
      </c>
    </row>
    <row r="5337" spans="1:9" x14ac:dyDescent="0.25">
      <c r="A5337">
        <v>321</v>
      </c>
      <c r="B5337" t="s">
        <v>2081</v>
      </c>
      <c r="C5337" t="s">
        <v>10</v>
      </c>
      <c r="D5337" t="s">
        <v>30</v>
      </c>
      <c r="E5337">
        <f>1/167</f>
        <v>5.9880239520958087E-3</v>
      </c>
      <c r="F5337">
        <v>7</v>
      </c>
      <c r="G5337">
        <f>LOG(382/(7+1))</f>
        <v>1.6789733759197651</v>
      </c>
      <c r="H5337">
        <f>0.0059880239520958*3.86597906692673</f>
        <v>2.3149575251058232E-2</v>
      </c>
      <c r="I5337">
        <v>2.3149575251058319E-2</v>
      </c>
    </row>
    <row r="5338" spans="1:9" x14ac:dyDescent="0.25">
      <c r="A5338">
        <v>321</v>
      </c>
      <c r="B5338" t="s">
        <v>2081</v>
      </c>
      <c r="C5338" t="s">
        <v>10</v>
      </c>
      <c r="D5338" t="s">
        <v>732</v>
      </c>
      <c r="E5338">
        <f>1/167</f>
        <v>5.9880239520958087E-3</v>
      </c>
      <c r="F5338">
        <v>4</v>
      </c>
      <c r="G5338">
        <f>LOG(382/(4+1))</f>
        <v>1.8830933585756899</v>
      </c>
      <c r="H5338">
        <f>0.0059880239520958*4.33598269617247</f>
        <v>2.5963968240553678E-2</v>
      </c>
      <c r="I5338">
        <v>2.5963968240553741E-2</v>
      </c>
    </row>
    <row r="5339" spans="1:9" x14ac:dyDescent="0.25">
      <c r="A5339">
        <v>321</v>
      </c>
      <c r="B5339" t="s">
        <v>2081</v>
      </c>
      <c r="C5339" t="s">
        <v>10</v>
      </c>
      <c r="D5339" t="s">
        <v>2083</v>
      </c>
      <c r="E5339">
        <f>1/167</f>
        <v>5.9880239520958087E-3</v>
      </c>
      <c r="F5339">
        <v>1</v>
      </c>
      <c r="G5339">
        <f>LOG(382/(1+1))</f>
        <v>2.2810333672477277</v>
      </c>
      <c r="H5339">
        <f>0.0059880239520958*5.25227342804663</f>
        <v>3.1450739090099537E-2</v>
      </c>
      <c r="I5339">
        <v>3.1450739090099579E-2</v>
      </c>
    </row>
    <row r="5340" spans="1:9" x14ac:dyDescent="0.25">
      <c r="A5340">
        <v>321</v>
      </c>
      <c r="B5340" t="s">
        <v>2081</v>
      </c>
      <c r="C5340" t="s">
        <v>10</v>
      </c>
      <c r="D5340" t="s">
        <v>2084</v>
      </c>
      <c r="E5340">
        <f>1/167</f>
        <v>5.9880239520958087E-3</v>
      </c>
      <c r="F5340">
        <v>1</v>
      </c>
      <c r="G5340">
        <f>LOG(382/(1+1))</f>
        <v>2.2810333672477277</v>
      </c>
      <c r="H5340">
        <f>0.0059880239520958*5.25227342804663</f>
        <v>3.1450739090099537E-2</v>
      </c>
      <c r="I5340">
        <v>3.1450739090099579E-2</v>
      </c>
    </row>
    <row r="5341" spans="1:9" x14ac:dyDescent="0.25">
      <c r="A5341">
        <v>321</v>
      </c>
      <c r="B5341" t="s">
        <v>2081</v>
      </c>
      <c r="C5341" t="s">
        <v>10</v>
      </c>
      <c r="D5341" t="s">
        <v>78</v>
      </c>
      <c r="E5341">
        <f>2/167</f>
        <v>1.1976047904191617E-2</v>
      </c>
      <c r="F5341">
        <v>122</v>
      </c>
      <c r="G5341">
        <f>LOG(382/(122+1))</f>
        <v>0.49215825147231079</v>
      </c>
      <c r="H5341">
        <f>0.0119760479041916*1.13323625323415</f>
        <v>1.3571691655498784E-2</v>
      </c>
      <c r="I5341">
        <v>1.357169165549889E-2</v>
      </c>
    </row>
    <row r="5342" spans="1:9" x14ac:dyDescent="0.25">
      <c r="A5342">
        <v>321</v>
      </c>
      <c r="B5342" t="s">
        <v>2081</v>
      </c>
      <c r="C5342" t="s">
        <v>10</v>
      </c>
      <c r="D5342" t="s">
        <v>483</v>
      </c>
      <c r="E5342">
        <f>2/167</f>
        <v>1.1976047904191617E-2</v>
      </c>
      <c r="F5342">
        <v>61</v>
      </c>
      <c r="G5342">
        <f>LOG(382/(61+1))</f>
        <v>0.7896716734134549</v>
      </c>
      <c r="H5342">
        <f>0.0119760479041916*1.81828622356148</f>
        <v>2.1775882916903924E-2</v>
      </c>
      <c r="I5342">
        <v>2.1775882916904001E-2</v>
      </c>
    </row>
    <row r="5343" spans="1:9" x14ac:dyDescent="0.25">
      <c r="A5343">
        <v>321</v>
      </c>
      <c r="B5343" t="s">
        <v>2081</v>
      </c>
      <c r="C5343" t="s">
        <v>10</v>
      </c>
      <c r="D5343" t="s">
        <v>939</v>
      </c>
      <c r="E5343">
        <f>1/167</f>
        <v>5.9880239520958087E-3</v>
      </c>
      <c r="F5343">
        <v>35</v>
      </c>
      <c r="G5343">
        <f>LOG(382/(35+1))</f>
        <v>1.0257608621444214</v>
      </c>
      <c r="H5343">
        <f>0.0059880239520958*2.36190167015046</f>
        <v>1.4143123773356029E-2</v>
      </c>
      <c r="I5343">
        <v>1.4143123773356079E-2</v>
      </c>
    </row>
    <row r="5344" spans="1:9" x14ac:dyDescent="0.25">
      <c r="A5344">
        <v>321</v>
      </c>
      <c r="B5344" t="s">
        <v>2081</v>
      </c>
      <c r="C5344" t="s">
        <v>10</v>
      </c>
      <c r="D5344" t="s">
        <v>322</v>
      </c>
      <c r="E5344">
        <f>1/167</f>
        <v>5.9880239520958087E-3</v>
      </c>
      <c r="F5344">
        <v>128</v>
      </c>
      <c r="G5344">
        <f>LOG(382/(128+1))</f>
        <v>0.47147365261245977</v>
      </c>
      <c r="H5344">
        <f>0.0059880239520958*1.0856082042449</f>
        <v>6.500647929610171E-3</v>
      </c>
      <c r="I5344">
        <v>6.5006479296101987E-3</v>
      </c>
    </row>
    <row r="5345" spans="1:9" x14ac:dyDescent="0.25">
      <c r="A5345">
        <v>321</v>
      </c>
      <c r="B5345" t="s">
        <v>2081</v>
      </c>
      <c r="C5345" t="s">
        <v>10</v>
      </c>
      <c r="D5345" t="s">
        <v>123</v>
      </c>
      <c r="E5345">
        <f>2/167</f>
        <v>1.1976047904191617E-2</v>
      </c>
      <c r="F5345">
        <v>74</v>
      </c>
      <c r="G5345">
        <f>LOG(382/(74+1))</f>
        <v>0.7070020995200087</v>
      </c>
      <c r="H5345">
        <f>0.0119760479041916*1.62793249507026</f>
        <v>1.949619754575159E-2</v>
      </c>
      <c r="I5345">
        <v>1.9496197545751669E-2</v>
      </c>
    </row>
    <row r="5346" spans="1:9" x14ac:dyDescent="0.25">
      <c r="A5346">
        <v>321</v>
      </c>
      <c r="B5346" t="s">
        <v>2081</v>
      </c>
      <c r="C5346" t="s">
        <v>10</v>
      </c>
      <c r="D5346" t="s">
        <v>1533</v>
      </c>
      <c r="E5346">
        <f>3/167</f>
        <v>1.7964071856287425E-2</v>
      </c>
      <c r="F5346">
        <v>33</v>
      </c>
      <c r="G5346">
        <f>LOG(382/(33+1))</f>
        <v>1.0505844458694535</v>
      </c>
      <c r="H5346">
        <f>0.0179640718562874*2.41906008399041</f>
        <v>4.3456169173480365E-2</v>
      </c>
      <c r="I5346">
        <v>4.3456169173480483E-2</v>
      </c>
    </row>
    <row r="5347" spans="1:9" x14ac:dyDescent="0.25">
      <c r="A5347">
        <v>321</v>
      </c>
      <c r="B5347" t="s">
        <v>2081</v>
      </c>
      <c r="C5347" t="s">
        <v>10</v>
      </c>
      <c r="D5347" t="s">
        <v>2085</v>
      </c>
      <c r="E5347">
        <f>1/167</f>
        <v>5.9880239520958087E-3</v>
      </c>
      <c r="F5347">
        <v>1</v>
      </c>
      <c r="G5347">
        <f>LOG(382/(1+1))</f>
        <v>2.2810333672477277</v>
      </c>
      <c r="H5347">
        <f>0.0059880239520958*5.25227342804663</f>
        <v>3.1450739090099537E-2</v>
      </c>
      <c r="I5347">
        <v>3.1450739090099579E-2</v>
      </c>
    </row>
    <row r="5348" spans="1:9" x14ac:dyDescent="0.25">
      <c r="A5348">
        <v>321</v>
      </c>
      <c r="B5348" t="s">
        <v>2081</v>
      </c>
      <c r="C5348" t="s">
        <v>10</v>
      </c>
      <c r="D5348" t="s">
        <v>11</v>
      </c>
      <c r="E5348">
        <f>6/167</f>
        <v>3.5928143712574849E-2</v>
      </c>
      <c r="F5348">
        <v>83</v>
      </c>
      <c r="G5348">
        <f>LOG(382/(83+1))</f>
        <v>0.65778407684982709</v>
      </c>
      <c r="H5348">
        <f>0.0359281437125748*1.51460380976326</f>
        <v>5.4416903344787708E-2</v>
      </c>
      <c r="I5348">
        <v>5.4416903344787833E-2</v>
      </c>
    </row>
    <row r="5349" spans="1:9" x14ac:dyDescent="0.25">
      <c r="A5349">
        <v>321</v>
      </c>
      <c r="B5349" t="s">
        <v>2081</v>
      </c>
      <c r="C5349" t="s">
        <v>10</v>
      </c>
      <c r="D5349" t="s">
        <v>2086</v>
      </c>
      <c r="E5349">
        <f>1/167</f>
        <v>5.9880239520958087E-3</v>
      </c>
      <c r="F5349">
        <v>2</v>
      </c>
      <c r="G5349">
        <f>LOG(382/(2+1))</f>
        <v>2.1049421081920463</v>
      </c>
      <c r="H5349">
        <f>0.0059880239520958*4.84680831993846</f>
        <v>2.9022804311008701E-2</v>
      </c>
      <c r="I5349">
        <v>2.902280431100878E-2</v>
      </c>
    </row>
    <row r="5350" spans="1:9" x14ac:dyDescent="0.25">
      <c r="A5350">
        <v>321</v>
      </c>
      <c r="B5350" t="s">
        <v>2081</v>
      </c>
      <c r="C5350" t="s">
        <v>10</v>
      </c>
      <c r="D5350" t="s">
        <v>133</v>
      </c>
      <c r="E5350">
        <f>2/167</f>
        <v>1.1976047904191617E-2</v>
      </c>
      <c r="F5350">
        <v>142</v>
      </c>
      <c r="G5350">
        <f>LOG(382/(142+1))</f>
        <v>0.42672732544664693</v>
      </c>
      <c r="H5350">
        <f>0.0119760479041916*0.982575978346667</f>
        <v>1.1767376986187612E-2</v>
      </c>
      <c r="I5350">
        <v>1.176737698618764E-2</v>
      </c>
    </row>
    <row r="5351" spans="1:9" x14ac:dyDescent="0.25">
      <c r="A5351">
        <v>321</v>
      </c>
      <c r="B5351" t="s">
        <v>2081</v>
      </c>
      <c r="C5351" t="s">
        <v>10</v>
      </c>
      <c r="D5351" t="s">
        <v>937</v>
      </c>
      <c r="E5351">
        <f>1/167</f>
        <v>5.9880239520958087E-3</v>
      </c>
      <c r="F5351">
        <v>41</v>
      </c>
      <c r="G5351">
        <f>LOG(382/(41+1))</f>
        <v>0.95881407251380824</v>
      </c>
      <c r="H5351">
        <f>0.0059880239520958*2.2077509903232</f>
        <v>1.3220065810318546E-2</v>
      </c>
      <c r="I5351">
        <v>1.322006581031861E-2</v>
      </c>
    </row>
    <row r="5352" spans="1:9" x14ac:dyDescent="0.25">
      <c r="A5352">
        <v>321</v>
      </c>
      <c r="B5352" t="s">
        <v>2081</v>
      </c>
      <c r="C5352" t="s">
        <v>10</v>
      </c>
      <c r="D5352" t="s">
        <v>1532</v>
      </c>
      <c r="E5352">
        <f>1/167</f>
        <v>5.9880239520958087E-3</v>
      </c>
      <c r="F5352">
        <v>28</v>
      </c>
      <c r="G5352">
        <f>LOG(382/(28+1))</f>
        <v>1.1196653650127526</v>
      </c>
      <c r="H5352">
        <f>0.0059880239520958*2.5781247786201</f>
        <v>1.543787292586884E-2</v>
      </c>
      <c r="I5352">
        <v>1.5437872925868869E-2</v>
      </c>
    </row>
    <row r="5353" spans="1:9" x14ac:dyDescent="0.25">
      <c r="A5353">
        <v>321</v>
      </c>
      <c r="B5353" t="s">
        <v>2081</v>
      </c>
      <c r="C5353" t="s">
        <v>10</v>
      </c>
      <c r="D5353" t="s">
        <v>680</v>
      </c>
      <c r="E5353">
        <f>1/167</f>
        <v>5.9880239520958087E-3</v>
      </c>
      <c r="F5353">
        <v>25</v>
      </c>
      <c r="G5353">
        <f>LOG(382/(25+1))</f>
        <v>1.1670900149408907</v>
      </c>
      <c r="H5353">
        <f>0.0059880239520958*2.68732407058509</f>
        <v>1.6091760901707105E-2</v>
      </c>
      <c r="I5353">
        <v>1.609176090170715E-2</v>
      </c>
    </row>
    <row r="5354" spans="1:9" x14ac:dyDescent="0.25">
      <c r="A5354">
        <v>321</v>
      </c>
      <c r="B5354" t="s">
        <v>2081</v>
      </c>
      <c r="C5354" t="s">
        <v>10</v>
      </c>
      <c r="D5354" t="s">
        <v>2087</v>
      </c>
      <c r="E5354">
        <f>1/167</f>
        <v>5.9880239520958087E-3</v>
      </c>
      <c r="F5354">
        <v>1</v>
      </c>
      <c r="G5354">
        <f>LOG(382/(1+1))</f>
        <v>2.2810333672477277</v>
      </c>
      <c r="H5354">
        <f>0.0059880239520958*5.25227342804663</f>
        <v>3.1450739090099537E-2</v>
      </c>
      <c r="I5354">
        <v>3.1450739090099579E-2</v>
      </c>
    </row>
    <row r="5355" spans="1:9" x14ac:dyDescent="0.25">
      <c r="A5355">
        <v>321</v>
      </c>
      <c r="B5355" t="s">
        <v>2081</v>
      </c>
      <c r="C5355" t="s">
        <v>10</v>
      </c>
      <c r="D5355" t="s">
        <v>1853</v>
      </c>
      <c r="E5355">
        <f>2/167</f>
        <v>1.1976047904191617E-2</v>
      </c>
      <c r="F5355">
        <v>15</v>
      </c>
      <c r="G5355">
        <f>LOG(382/(15+1))</f>
        <v>1.3779433802557839</v>
      </c>
      <c r="H5355">
        <f>0.0119760479041916*3.17283188636679</f>
        <v>3.799798666307528E-2</v>
      </c>
      <c r="I5355">
        <v>3.7997986663075377E-2</v>
      </c>
    </row>
    <row r="5356" spans="1:9" x14ac:dyDescent="0.25">
      <c r="A5356">
        <v>321</v>
      </c>
      <c r="B5356" t="s">
        <v>2081</v>
      </c>
      <c r="C5356" t="s">
        <v>10</v>
      </c>
      <c r="D5356" t="s">
        <v>1860</v>
      </c>
      <c r="E5356">
        <f>1/167</f>
        <v>5.9880239520958087E-3</v>
      </c>
      <c r="F5356">
        <v>2</v>
      </c>
      <c r="G5356">
        <f>LOG(382/(2+1))</f>
        <v>2.1049421081920463</v>
      </c>
      <c r="H5356">
        <f>0.0059880239520958*4.84680831993846</f>
        <v>2.9022804311008701E-2</v>
      </c>
      <c r="I5356">
        <v>2.902280431100878E-2</v>
      </c>
    </row>
    <row r="5357" spans="1:9" x14ac:dyDescent="0.25">
      <c r="A5357">
        <v>321</v>
      </c>
      <c r="B5357" t="s">
        <v>2081</v>
      </c>
      <c r="C5357" t="s">
        <v>10</v>
      </c>
      <c r="D5357" t="s">
        <v>2088</v>
      </c>
      <c r="E5357">
        <f>1/167</f>
        <v>5.9880239520958087E-3</v>
      </c>
      <c r="F5357">
        <v>1</v>
      </c>
      <c r="G5357">
        <f>LOG(382/(1+1))</f>
        <v>2.2810333672477277</v>
      </c>
      <c r="H5357">
        <f>0.0059880239520958*5.25227342804663</f>
        <v>3.1450739090099537E-2</v>
      </c>
      <c r="I5357">
        <v>3.1450739090099579E-2</v>
      </c>
    </row>
    <row r="5358" spans="1:9" x14ac:dyDescent="0.25">
      <c r="A5358">
        <v>321</v>
      </c>
      <c r="B5358" t="s">
        <v>2081</v>
      </c>
      <c r="C5358" t="s">
        <v>10</v>
      </c>
      <c r="D5358" t="s">
        <v>327</v>
      </c>
      <c r="E5358">
        <f>1/167</f>
        <v>5.9880239520958087E-3</v>
      </c>
      <c r="F5358">
        <v>46</v>
      </c>
      <c r="G5358">
        <f>LOG(382/(46+1))</f>
        <v>0.90996550497599127</v>
      </c>
      <c r="H5358">
        <f>0.0059880239520958*2.09527300689651</f>
        <v>1.2546544951476092E-2</v>
      </c>
      <c r="I5358">
        <v>1.2546544951476149E-2</v>
      </c>
    </row>
    <row r="5359" spans="1:9" x14ac:dyDescent="0.25">
      <c r="A5359">
        <v>321</v>
      </c>
      <c r="B5359" t="s">
        <v>2081</v>
      </c>
      <c r="C5359" t="s">
        <v>10</v>
      </c>
      <c r="D5359" t="s">
        <v>1866</v>
      </c>
      <c r="E5359">
        <f>1/167</f>
        <v>5.9880239520958087E-3</v>
      </c>
      <c r="F5359">
        <v>18</v>
      </c>
      <c r="G5359">
        <f>LOG(382/(18+1))</f>
        <v>1.3033097619588798</v>
      </c>
      <c r="H5359">
        <f>0.0059880239520958*3.00098162944013</f>
        <v>1.7969949876886982E-2</v>
      </c>
      <c r="I5359">
        <v>1.7969949876887031E-2</v>
      </c>
    </row>
    <row r="5360" spans="1:9" x14ac:dyDescent="0.25">
      <c r="A5360">
        <v>321</v>
      </c>
      <c r="B5360" t="s">
        <v>2081</v>
      </c>
      <c r="C5360" t="s">
        <v>10</v>
      </c>
      <c r="D5360" t="s">
        <v>2089</v>
      </c>
      <c r="E5360">
        <f>1/167</f>
        <v>5.9880239520958087E-3</v>
      </c>
      <c r="F5360">
        <v>4</v>
      </c>
      <c r="G5360">
        <f>LOG(382/(4+1))</f>
        <v>1.8830933585756899</v>
      </c>
      <c r="H5360">
        <f>0.0059880239520958*4.33598269617247</f>
        <v>2.5963968240553678E-2</v>
      </c>
      <c r="I5360">
        <v>2.5963968240553741E-2</v>
      </c>
    </row>
    <row r="5361" spans="1:9" x14ac:dyDescent="0.25">
      <c r="A5361">
        <v>321</v>
      </c>
      <c r="B5361" t="s">
        <v>2081</v>
      </c>
      <c r="C5361" t="s">
        <v>10</v>
      </c>
      <c r="D5361" t="s">
        <v>132</v>
      </c>
      <c r="E5361">
        <f>2/167</f>
        <v>1.1976047904191617E-2</v>
      </c>
      <c r="F5361">
        <v>8</v>
      </c>
      <c r="G5361">
        <f>LOG(382/(8+1))</f>
        <v>1.6278208534723839</v>
      </c>
      <c r="H5361">
        <f>0.0119760479041916*3.74819603127035</f>
        <v>4.4888575224794551E-2</v>
      </c>
      <c r="I5361">
        <v>4.4888575224794683E-2</v>
      </c>
    </row>
    <row r="5362" spans="1:9" x14ac:dyDescent="0.25">
      <c r="A5362">
        <v>321</v>
      </c>
      <c r="B5362" t="s">
        <v>2081</v>
      </c>
      <c r="C5362" t="s">
        <v>10</v>
      </c>
      <c r="D5362" t="s">
        <v>339</v>
      </c>
      <c r="E5362">
        <f>2/167</f>
        <v>1.1976047904191617E-2</v>
      </c>
      <c r="F5362">
        <v>66</v>
      </c>
      <c r="G5362">
        <f>LOG(382/(66+1))</f>
        <v>0.75598856021088234</v>
      </c>
      <c r="H5362">
        <f>0.0119760479041916*1.7407279892156</f>
        <v>2.0847041787013146E-2</v>
      </c>
      <c r="I5362">
        <v>2.0847041787013281E-2</v>
      </c>
    </row>
    <row r="5363" spans="1:9" x14ac:dyDescent="0.25">
      <c r="A5363">
        <v>321</v>
      </c>
      <c r="B5363" t="s">
        <v>2081</v>
      </c>
      <c r="C5363" t="s">
        <v>10</v>
      </c>
      <c r="D5363" t="s">
        <v>230</v>
      </c>
      <c r="E5363">
        <f t="shared" ref="E5363:E5370" si="242">1/167</f>
        <v>5.9880239520958087E-3</v>
      </c>
      <c r="F5363">
        <v>9</v>
      </c>
      <c r="G5363">
        <f>LOG(382/(9+1))</f>
        <v>1.5820633629117087</v>
      </c>
      <c r="H5363">
        <f>0.0059880239520958*3.64283551561252</f>
        <v>2.1813386321033024E-2</v>
      </c>
      <c r="I5363">
        <v>2.181338632103311E-2</v>
      </c>
    </row>
    <row r="5364" spans="1:9" x14ac:dyDescent="0.25">
      <c r="A5364">
        <v>321</v>
      </c>
      <c r="B5364" t="s">
        <v>2081</v>
      </c>
      <c r="C5364" t="s">
        <v>10</v>
      </c>
      <c r="D5364" t="s">
        <v>2090</v>
      </c>
      <c r="E5364">
        <f t="shared" si="242"/>
        <v>5.9880239520958087E-3</v>
      </c>
      <c r="F5364">
        <v>1</v>
      </c>
      <c r="G5364">
        <f>LOG(382/(1+1))</f>
        <v>2.2810333672477277</v>
      </c>
      <c r="H5364">
        <f>0.0059880239520958*5.25227342804663</f>
        <v>3.1450739090099537E-2</v>
      </c>
      <c r="I5364">
        <v>3.1450739090099579E-2</v>
      </c>
    </row>
    <row r="5365" spans="1:9" x14ac:dyDescent="0.25">
      <c r="A5365">
        <v>321</v>
      </c>
      <c r="B5365" t="s">
        <v>2081</v>
      </c>
      <c r="C5365" t="s">
        <v>10</v>
      </c>
      <c r="D5365" t="s">
        <v>591</v>
      </c>
      <c r="E5365">
        <f t="shared" si="242"/>
        <v>5.9880239520958087E-3</v>
      </c>
      <c r="F5365">
        <v>21</v>
      </c>
      <c r="G5365">
        <f>LOG(382/(21+1))</f>
        <v>1.2396406820895025</v>
      </c>
      <c r="H5365">
        <f>0.0059880239520958*2.85437815524825</f>
        <v>1.7092084761965543E-2</v>
      </c>
      <c r="I5365">
        <v>1.709208476196563E-2</v>
      </c>
    </row>
    <row r="5366" spans="1:9" x14ac:dyDescent="0.25">
      <c r="A5366">
        <v>321</v>
      </c>
      <c r="B5366" t="s">
        <v>2081</v>
      </c>
      <c r="C5366" t="s">
        <v>10</v>
      </c>
      <c r="D5366" t="s">
        <v>2091</v>
      </c>
      <c r="E5366">
        <f t="shared" si="242"/>
        <v>5.9880239520958087E-3</v>
      </c>
      <c r="F5366">
        <v>3</v>
      </c>
      <c r="G5366">
        <f>LOG(382/(3+1))</f>
        <v>1.9800033715837464</v>
      </c>
      <c r="H5366">
        <f>0.0059880239520958*4.55912624748668</f>
        <v>2.7300157170578883E-2</v>
      </c>
      <c r="I5366">
        <v>2.7300157170578949E-2</v>
      </c>
    </row>
    <row r="5367" spans="1:9" x14ac:dyDescent="0.25">
      <c r="A5367">
        <v>321</v>
      </c>
      <c r="B5367" t="s">
        <v>2081</v>
      </c>
      <c r="C5367" t="s">
        <v>10</v>
      </c>
      <c r="D5367" t="s">
        <v>2092</v>
      </c>
      <c r="E5367">
        <f t="shared" si="242"/>
        <v>5.9880239520958087E-3</v>
      </c>
      <c r="F5367">
        <v>1</v>
      </c>
      <c r="G5367">
        <f>LOG(382/(1+1))</f>
        <v>2.2810333672477277</v>
      </c>
      <c r="H5367">
        <f>0.0059880239520958*5.25227342804663</f>
        <v>3.1450739090099537E-2</v>
      </c>
      <c r="I5367">
        <v>3.1450739090099579E-2</v>
      </c>
    </row>
    <row r="5368" spans="1:9" x14ac:dyDescent="0.25">
      <c r="A5368">
        <v>321</v>
      </c>
      <c r="B5368" t="s">
        <v>2081</v>
      </c>
      <c r="C5368" t="s">
        <v>10</v>
      </c>
      <c r="D5368" t="s">
        <v>1328</v>
      </c>
      <c r="E5368">
        <f t="shared" si="242"/>
        <v>5.9880239520958087E-3</v>
      </c>
      <c r="F5368">
        <v>22</v>
      </c>
      <c r="G5368">
        <f>LOG(382/(22+1))</f>
        <v>1.2203355268941158</v>
      </c>
      <c r="H5368">
        <f>0.0059880239520958*2.80992639267742</f>
        <v>1.6825906542978539E-2</v>
      </c>
      <c r="I5368">
        <v>1.6825906542978601E-2</v>
      </c>
    </row>
    <row r="5369" spans="1:9" x14ac:dyDescent="0.25">
      <c r="A5369">
        <v>321</v>
      </c>
      <c r="B5369" t="s">
        <v>2081</v>
      </c>
      <c r="C5369" t="s">
        <v>10</v>
      </c>
      <c r="D5369" t="s">
        <v>764</v>
      </c>
      <c r="E5369">
        <f t="shared" si="242"/>
        <v>5.9880239520958087E-3</v>
      </c>
      <c r="F5369">
        <v>57</v>
      </c>
      <c r="G5369">
        <f>LOG(382/(57+1))</f>
        <v>0.81863536934877146</v>
      </c>
      <c r="H5369">
        <f>0.0059880239520958*1.88497759806015</f>
        <v>1.1287291006348187E-2</v>
      </c>
      <c r="I5369">
        <v>1.1287291006348239E-2</v>
      </c>
    </row>
    <row r="5370" spans="1:9" x14ac:dyDescent="0.25">
      <c r="A5370">
        <v>321</v>
      </c>
      <c r="B5370" t="s">
        <v>2081</v>
      </c>
      <c r="C5370" t="s">
        <v>10</v>
      </c>
      <c r="D5370" t="s">
        <v>2093</v>
      </c>
      <c r="E5370">
        <f t="shared" si="242"/>
        <v>5.9880239520958087E-3</v>
      </c>
      <c r="F5370">
        <v>7</v>
      </c>
      <c r="G5370">
        <f>LOG(382/(7+1))</f>
        <v>1.6789733759197651</v>
      </c>
      <c r="H5370">
        <f>0.0059880239520958*3.86597906692673</f>
        <v>2.3149575251058232E-2</v>
      </c>
      <c r="I5370">
        <v>2.3149575251058319E-2</v>
      </c>
    </row>
    <row r="5371" spans="1:9" x14ac:dyDescent="0.25">
      <c r="A5371">
        <v>321</v>
      </c>
      <c r="B5371" t="s">
        <v>2081</v>
      </c>
      <c r="C5371" t="s">
        <v>10</v>
      </c>
      <c r="D5371" t="s">
        <v>1922</v>
      </c>
      <c r="E5371">
        <f>2/167</f>
        <v>1.1976047904191617E-2</v>
      </c>
      <c r="F5371">
        <v>15</v>
      </c>
      <c r="G5371">
        <f>LOG(382/(15+1))</f>
        <v>1.3779433802557839</v>
      </c>
      <c r="H5371">
        <f>0.0119760479041916*3.17283188636679</f>
        <v>3.799798666307528E-2</v>
      </c>
      <c r="I5371">
        <v>3.7997986663075377E-2</v>
      </c>
    </row>
    <row r="5372" spans="1:9" x14ac:dyDescent="0.25">
      <c r="A5372">
        <v>321</v>
      </c>
      <c r="B5372" t="s">
        <v>2081</v>
      </c>
      <c r="C5372" t="s">
        <v>10</v>
      </c>
      <c r="D5372" t="s">
        <v>144</v>
      </c>
      <c r="E5372">
        <f>2/167</f>
        <v>1.1976047904191617E-2</v>
      </c>
      <c r="F5372">
        <v>105</v>
      </c>
      <c r="G5372">
        <f>LOG(382/(105+1))</f>
        <v>0.55675749764693849</v>
      </c>
      <c r="H5372">
        <f>0.0119760479041916*1.2819815144945</f>
        <v>1.5353072029874229E-2</v>
      </c>
      <c r="I5372">
        <v>1.535307202987435E-2</v>
      </c>
    </row>
    <row r="5373" spans="1:9" x14ac:dyDescent="0.25">
      <c r="A5373">
        <v>321</v>
      </c>
      <c r="B5373" t="s">
        <v>2081</v>
      </c>
      <c r="C5373" t="s">
        <v>10</v>
      </c>
      <c r="D5373" t="s">
        <v>542</v>
      </c>
      <c r="E5373">
        <f>1/167</f>
        <v>5.9880239520958087E-3</v>
      </c>
      <c r="F5373">
        <v>42</v>
      </c>
      <c r="G5373">
        <f>LOG(382/(42+1))</f>
        <v>0.94859490733212215</v>
      </c>
      <c r="H5373">
        <f>0.0059880239520958*2.18422049291301</f>
        <v>1.3079164628221597E-2</v>
      </c>
      <c r="I5373">
        <v>1.307916462822164E-2</v>
      </c>
    </row>
    <row r="5374" spans="1:9" x14ac:dyDescent="0.25">
      <c r="A5374">
        <v>321</v>
      </c>
      <c r="B5374" t="s">
        <v>2081</v>
      </c>
      <c r="C5374" t="s">
        <v>10</v>
      </c>
      <c r="D5374" t="s">
        <v>432</v>
      </c>
      <c r="E5374">
        <f>3/167</f>
        <v>1.7964071856287425E-2</v>
      </c>
      <c r="F5374">
        <v>67</v>
      </c>
      <c r="G5374">
        <f>LOG(382/(67+1))</f>
        <v>0.7495544502054724</v>
      </c>
      <c r="H5374">
        <f>0.0179640718562874*1.72591290343046</f>
        <v>3.1004423414918401E-2</v>
      </c>
      <c r="I5374">
        <v>3.1004423414918589E-2</v>
      </c>
    </row>
    <row r="5375" spans="1:9" x14ac:dyDescent="0.25">
      <c r="A5375">
        <v>321</v>
      </c>
      <c r="B5375" t="s">
        <v>2081</v>
      </c>
      <c r="C5375" t="s">
        <v>10</v>
      </c>
      <c r="D5375" t="s">
        <v>1473</v>
      </c>
      <c r="E5375">
        <f>2/167</f>
        <v>1.1976047904191617E-2</v>
      </c>
      <c r="F5375">
        <v>39</v>
      </c>
      <c r="G5375">
        <f>LOG(382/(39+1))</f>
        <v>0.9800033715837464</v>
      </c>
      <c r="H5375">
        <f>0.0119760479041916*2.25654115449263</f>
        <v>2.7024444963983558E-2</v>
      </c>
      <c r="I5375">
        <v>2.70244449639837E-2</v>
      </c>
    </row>
    <row r="5376" spans="1:9" x14ac:dyDescent="0.25">
      <c r="A5376">
        <v>321</v>
      </c>
      <c r="B5376" t="s">
        <v>2081</v>
      </c>
      <c r="C5376" t="s">
        <v>10</v>
      </c>
      <c r="D5376" t="s">
        <v>600</v>
      </c>
      <c r="E5376">
        <f>4/167</f>
        <v>2.3952095808383235E-2</v>
      </c>
      <c r="F5376">
        <v>102</v>
      </c>
      <c r="G5376">
        <f>LOG(382/(102+1))</f>
        <v>0.56922613820653656</v>
      </c>
      <c r="H5376">
        <f>0.0239520958083832*1.31069162037693</f>
        <v>3.139381126651325E-2</v>
      </c>
      <c r="I5376">
        <v>3.139381126651352E-2</v>
      </c>
    </row>
    <row r="5377" spans="1:9" x14ac:dyDescent="0.25">
      <c r="A5377">
        <v>321</v>
      </c>
      <c r="B5377" t="s">
        <v>2081</v>
      </c>
      <c r="C5377" t="s">
        <v>10</v>
      </c>
      <c r="D5377" t="s">
        <v>1405</v>
      </c>
      <c r="E5377">
        <f t="shared" ref="E5377:E5389" si="243">1/167</f>
        <v>5.9880239520958087E-3</v>
      </c>
      <c r="F5377">
        <v>14</v>
      </c>
      <c r="G5377">
        <f>LOG(382/(14+1))</f>
        <v>1.4059721038560276</v>
      </c>
      <c r="H5377">
        <f>0.0059880239520958*3.23737040750436</f>
        <v>1.9385451541942249E-2</v>
      </c>
      <c r="I5377">
        <v>1.9385451541942308E-2</v>
      </c>
    </row>
    <row r="5378" spans="1:9" x14ac:dyDescent="0.25">
      <c r="A5378">
        <v>321</v>
      </c>
      <c r="B5378" t="s">
        <v>2081</v>
      </c>
      <c r="C5378" t="s">
        <v>10</v>
      </c>
      <c r="D5378" t="s">
        <v>2094</v>
      </c>
      <c r="E5378">
        <f t="shared" si="243"/>
        <v>5.9880239520958087E-3</v>
      </c>
      <c r="F5378">
        <v>1</v>
      </c>
      <c r="G5378">
        <f>LOG(382/(1+1))</f>
        <v>2.2810333672477277</v>
      </c>
      <c r="H5378">
        <f>0.0059880239520958*5.25227342804663</f>
        <v>3.1450739090099537E-2</v>
      </c>
      <c r="I5378">
        <v>3.1450739090099579E-2</v>
      </c>
    </row>
    <row r="5379" spans="1:9" x14ac:dyDescent="0.25">
      <c r="A5379">
        <v>321</v>
      </c>
      <c r="B5379" t="s">
        <v>2081</v>
      </c>
      <c r="C5379" t="s">
        <v>10</v>
      </c>
      <c r="D5379" t="s">
        <v>597</v>
      </c>
      <c r="E5379">
        <f t="shared" si="243"/>
        <v>5.9880239520958087E-3</v>
      </c>
      <c r="F5379">
        <v>51</v>
      </c>
      <c r="G5379">
        <f>LOG(382/(51+1))</f>
        <v>0.86606001927690957</v>
      </c>
      <c r="H5379">
        <f>0.0059880239520958*1.99417689002514</f>
        <v>1.194117898218645E-2</v>
      </c>
      <c r="I5379">
        <v>1.1941178982186509E-2</v>
      </c>
    </row>
    <row r="5380" spans="1:9" x14ac:dyDescent="0.25">
      <c r="A5380">
        <v>321</v>
      </c>
      <c r="B5380" t="s">
        <v>2081</v>
      </c>
      <c r="C5380" t="s">
        <v>10</v>
      </c>
      <c r="D5380" t="s">
        <v>814</v>
      </c>
      <c r="E5380">
        <f t="shared" si="243"/>
        <v>5.9880239520958087E-3</v>
      </c>
      <c r="F5380">
        <v>18</v>
      </c>
      <c r="G5380">
        <f>LOG(382/(18+1))</f>
        <v>1.3033097619588798</v>
      </c>
      <c r="H5380">
        <f>0.0059880239520958*3.00098162944013</f>
        <v>1.7969949876886982E-2</v>
      </c>
      <c r="I5380">
        <v>1.7969949876887031E-2</v>
      </c>
    </row>
    <row r="5381" spans="1:9" x14ac:dyDescent="0.25">
      <c r="A5381">
        <v>321</v>
      </c>
      <c r="B5381" t="s">
        <v>2081</v>
      </c>
      <c r="C5381" t="s">
        <v>10</v>
      </c>
      <c r="D5381" t="s">
        <v>1401</v>
      </c>
      <c r="E5381">
        <f t="shared" si="243"/>
        <v>5.9880239520958087E-3</v>
      </c>
      <c r="F5381">
        <v>16</v>
      </c>
      <c r="G5381">
        <f>LOG(382/(16+1))</f>
        <v>1.3516144415334348</v>
      </c>
      <c r="H5381">
        <f>0.0059880239520958*3.11220726455035</f>
        <v>1.8635971644014045E-2</v>
      </c>
      <c r="I5381">
        <v>1.8635971644014131E-2</v>
      </c>
    </row>
    <row r="5382" spans="1:9" x14ac:dyDescent="0.25">
      <c r="A5382">
        <v>321</v>
      </c>
      <c r="B5382" t="s">
        <v>2081</v>
      </c>
      <c r="C5382" t="s">
        <v>10</v>
      </c>
      <c r="D5382" t="s">
        <v>599</v>
      </c>
      <c r="E5382">
        <f t="shared" si="243"/>
        <v>5.9880239520958087E-3</v>
      </c>
      <c r="F5382">
        <v>28</v>
      </c>
      <c r="G5382">
        <f>LOG(382/(28+1))</f>
        <v>1.1196653650127526</v>
      </c>
      <c r="H5382">
        <f>0.0059880239520958*2.5781247786201</f>
        <v>1.543787292586884E-2</v>
      </c>
      <c r="I5382">
        <v>1.5437872925868869E-2</v>
      </c>
    </row>
    <row r="5383" spans="1:9" x14ac:dyDescent="0.25">
      <c r="A5383">
        <v>321</v>
      </c>
      <c r="B5383" t="s">
        <v>2081</v>
      </c>
      <c r="C5383" t="s">
        <v>10</v>
      </c>
      <c r="D5383" t="s">
        <v>1896</v>
      </c>
      <c r="E5383">
        <f t="shared" si="243"/>
        <v>5.9880239520958087E-3</v>
      </c>
      <c r="F5383">
        <v>2</v>
      </c>
      <c r="G5383">
        <f>LOG(382/(2+1))</f>
        <v>2.1049421081920463</v>
      </c>
      <c r="H5383">
        <f>0.0059880239520958*4.84680831993846</f>
        <v>2.9022804311008701E-2</v>
      </c>
      <c r="I5383">
        <v>2.902280431100878E-2</v>
      </c>
    </row>
    <row r="5384" spans="1:9" x14ac:dyDescent="0.25">
      <c r="A5384">
        <v>321</v>
      </c>
      <c r="B5384" t="s">
        <v>2081</v>
      </c>
      <c r="C5384" t="s">
        <v>10</v>
      </c>
      <c r="D5384" t="s">
        <v>1362</v>
      </c>
      <c r="E5384">
        <f t="shared" si="243"/>
        <v>5.9880239520958087E-3</v>
      </c>
      <c r="F5384">
        <v>12</v>
      </c>
      <c r="G5384">
        <f>LOG(382/(12+1))</f>
        <v>1.468120010604872</v>
      </c>
      <c r="H5384">
        <f>0.0059880239520958*3.38047125114503</f>
        <v>2.0242342821227697E-2</v>
      </c>
      <c r="I5384">
        <v>2.024234282122778E-2</v>
      </c>
    </row>
    <row r="5385" spans="1:9" x14ac:dyDescent="0.25">
      <c r="A5385">
        <v>321</v>
      </c>
      <c r="B5385" t="s">
        <v>2081</v>
      </c>
      <c r="C5385" t="s">
        <v>10</v>
      </c>
      <c r="D5385" t="s">
        <v>121</v>
      </c>
      <c r="E5385">
        <f t="shared" si="243"/>
        <v>5.9880239520958087E-3</v>
      </c>
      <c r="F5385">
        <v>22</v>
      </c>
      <c r="G5385">
        <f>LOG(382/(22+1))</f>
        <v>1.2203355268941158</v>
      </c>
      <c r="H5385">
        <f>0.0059880239520958*2.80992639267742</f>
        <v>1.6825906542978539E-2</v>
      </c>
      <c r="I5385">
        <v>1.6825906542978601E-2</v>
      </c>
    </row>
    <row r="5386" spans="1:9" x14ac:dyDescent="0.25">
      <c r="A5386">
        <v>321</v>
      </c>
      <c r="B5386" t="s">
        <v>2081</v>
      </c>
      <c r="C5386" t="s">
        <v>10</v>
      </c>
      <c r="D5386" t="s">
        <v>913</v>
      </c>
      <c r="E5386">
        <f t="shared" si="243"/>
        <v>5.9880239520958087E-3</v>
      </c>
      <c r="F5386">
        <v>14</v>
      </c>
      <c r="G5386">
        <f>LOG(382/(14+1))</f>
        <v>1.4059721038560276</v>
      </c>
      <c r="H5386">
        <f>0.0059880239520958*3.23737040750436</f>
        <v>1.9385451541942249E-2</v>
      </c>
      <c r="I5386">
        <v>1.9385451541942308E-2</v>
      </c>
    </row>
    <row r="5387" spans="1:9" x14ac:dyDescent="0.25">
      <c r="A5387">
        <v>321</v>
      </c>
      <c r="B5387" t="s">
        <v>2081</v>
      </c>
      <c r="C5387" t="s">
        <v>10</v>
      </c>
      <c r="D5387" t="s">
        <v>429</v>
      </c>
      <c r="E5387">
        <f t="shared" si="243"/>
        <v>5.9880239520958087E-3</v>
      </c>
      <c r="F5387">
        <v>11</v>
      </c>
      <c r="G5387">
        <f>LOG(382/(11+1))</f>
        <v>1.5028821168640838</v>
      </c>
      <c r="H5387">
        <f>0.0059880239520958*3.46051395881857</f>
        <v>2.0721640471967458E-2</v>
      </c>
      <c r="I5387">
        <v>2.072164047196752E-2</v>
      </c>
    </row>
    <row r="5388" spans="1:9" x14ac:dyDescent="0.25">
      <c r="A5388">
        <v>321</v>
      </c>
      <c r="B5388" t="s">
        <v>2081</v>
      </c>
      <c r="C5388" t="s">
        <v>10</v>
      </c>
      <c r="D5388" t="s">
        <v>196</v>
      </c>
      <c r="E5388">
        <f t="shared" si="243"/>
        <v>5.9880239520958087E-3</v>
      </c>
      <c r="F5388">
        <v>33</v>
      </c>
      <c r="G5388">
        <f>LOG(382/(33+1))</f>
        <v>1.0505844458694535</v>
      </c>
      <c r="H5388">
        <f>0.0059880239520958*2.41906008399041</f>
        <v>1.4485389724493454E-2</v>
      </c>
      <c r="I5388">
        <v>1.4485389724493499E-2</v>
      </c>
    </row>
    <row r="5389" spans="1:9" x14ac:dyDescent="0.25">
      <c r="A5389">
        <v>321</v>
      </c>
      <c r="B5389" t="s">
        <v>2081</v>
      </c>
      <c r="C5389" t="s">
        <v>10</v>
      </c>
      <c r="D5389" t="s">
        <v>2095</v>
      </c>
      <c r="E5389">
        <f t="shared" si="243"/>
        <v>5.9880239520958087E-3</v>
      </c>
      <c r="F5389">
        <v>1</v>
      </c>
      <c r="G5389">
        <f>LOG(382/(1+1))</f>
        <v>2.2810333672477277</v>
      </c>
      <c r="H5389">
        <f>0.0059880239520958*5.25227342804663</f>
        <v>3.1450739090099537E-2</v>
      </c>
      <c r="I5389">
        <v>3.1450739090099579E-2</v>
      </c>
    </row>
    <row r="5390" spans="1:9" x14ac:dyDescent="0.25">
      <c r="A5390">
        <v>321</v>
      </c>
      <c r="B5390" t="s">
        <v>2081</v>
      </c>
      <c r="C5390" t="s">
        <v>10</v>
      </c>
      <c r="D5390" t="s">
        <v>82</v>
      </c>
      <c r="E5390">
        <f>2/167</f>
        <v>1.1976047904191617E-2</v>
      </c>
      <c r="F5390">
        <v>92</v>
      </c>
      <c r="G5390">
        <f>LOG(382/(92+1))</f>
        <v>0.61358041435777355</v>
      </c>
      <c r="H5390">
        <f>0.0119760479041916*1.41282111545331</f>
        <v>1.6920013358722251E-2</v>
      </c>
      <c r="I5390">
        <v>1.692001335872239E-2</v>
      </c>
    </row>
    <row r="5391" spans="1:9" x14ac:dyDescent="0.25">
      <c r="A5391">
        <v>321</v>
      </c>
      <c r="B5391" t="s">
        <v>2081</v>
      </c>
      <c r="C5391" t="s">
        <v>10</v>
      </c>
      <c r="D5391" t="s">
        <v>2070</v>
      </c>
      <c r="E5391">
        <f>1/167</f>
        <v>5.9880239520958087E-3</v>
      </c>
      <c r="F5391">
        <v>5</v>
      </c>
      <c r="G5391">
        <f>LOG(382/(5+1))</f>
        <v>1.803912112528065</v>
      </c>
      <c r="H5391">
        <f>0.0059880239520958*4.15366113937852</f>
        <v>2.4872222391488109E-2</v>
      </c>
      <c r="I5391">
        <v>2.487222239148814E-2</v>
      </c>
    </row>
    <row r="5392" spans="1:9" x14ac:dyDescent="0.25">
      <c r="A5392">
        <v>321</v>
      </c>
      <c r="B5392" t="s">
        <v>2081</v>
      </c>
      <c r="C5392" t="s">
        <v>10</v>
      </c>
      <c r="D5392" t="s">
        <v>2096</v>
      </c>
      <c r="E5392">
        <f>1/167</f>
        <v>5.9880239520958087E-3</v>
      </c>
      <c r="F5392">
        <v>1</v>
      </c>
      <c r="G5392">
        <f>LOG(382/(1+1))</f>
        <v>2.2810333672477277</v>
      </c>
      <c r="H5392">
        <f>0.0059880239520958*5.25227342804663</f>
        <v>3.1450739090099537E-2</v>
      </c>
      <c r="I5392">
        <v>3.1450739090099579E-2</v>
      </c>
    </row>
    <row r="5393" spans="1:9" x14ac:dyDescent="0.25">
      <c r="A5393">
        <v>321</v>
      </c>
      <c r="B5393" t="s">
        <v>2081</v>
      </c>
      <c r="C5393" t="s">
        <v>10</v>
      </c>
      <c r="D5393" t="s">
        <v>434</v>
      </c>
      <c r="E5393">
        <f>1/167</f>
        <v>5.9880239520958087E-3</v>
      </c>
      <c r="F5393">
        <v>97</v>
      </c>
      <c r="G5393">
        <f>LOG(382/(97+1))</f>
        <v>0.59083728721921391</v>
      </c>
      <c r="H5393">
        <f>0.0059880239520958*1.360453129936</f>
        <v>8.1464259277604679E-3</v>
      </c>
      <c r="I5393">
        <v>8.1464259277604992E-3</v>
      </c>
    </row>
    <row r="5394" spans="1:9" x14ac:dyDescent="0.25">
      <c r="A5394">
        <v>321</v>
      </c>
      <c r="B5394" t="s">
        <v>2081</v>
      </c>
      <c r="C5394" t="s">
        <v>10</v>
      </c>
      <c r="D5394" t="s">
        <v>444</v>
      </c>
      <c r="E5394">
        <f>1/167</f>
        <v>5.9880239520958087E-3</v>
      </c>
      <c r="F5394">
        <v>28</v>
      </c>
      <c r="G5394">
        <f>LOG(382/(28+1))</f>
        <v>1.1196653650127526</v>
      </c>
      <c r="H5394">
        <f>0.0059880239520958*2.5781247786201</f>
        <v>1.543787292586884E-2</v>
      </c>
      <c r="I5394">
        <v>1.5437872925868869E-2</v>
      </c>
    </row>
    <row r="5395" spans="1:9" x14ac:dyDescent="0.25">
      <c r="A5395">
        <v>321</v>
      </c>
      <c r="B5395" t="s">
        <v>2081</v>
      </c>
      <c r="C5395" t="s">
        <v>10</v>
      </c>
      <c r="D5395" t="s">
        <v>445</v>
      </c>
      <c r="E5395">
        <f>2/167</f>
        <v>1.1976047904191617E-2</v>
      </c>
      <c r="F5395">
        <v>35</v>
      </c>
      <c r="G5395">
        <f>LOG(382/(35+1))</f>
        <v>1.0257608621444214</v>
      </c>
      <c r="H5395">
        <f>0.0119760479041916*2.36190167015046</f>
        <v>2.8286247546712058E-2</v>
      </c>
      <c r="I5395">
        <v>2.8286247546712159E-2</v>
      </c>
    </row>
    <row r="5396" spans="1:9" x14ac:dyDescent="0.25">
      <c r="A5396">
        <v>321</v>
      </c>
      <c r="B5396" t="s">
        <v>2081</v>
      </c>
      <c r="C5396" t="s">
        <v>10</v>
      </c>
      <c r="D5396" t="s">
        <v>236</v>
      </c>
      <c r="E5396">
        <f>4/167</f>
        <v>2.3952095808383235E-2</v>
      </c>
      <c r="F5396">
        <v>87</v>
      </c>
      <c r="G5396">
        <f>LOG(382/(87+1))</f>
        <v>0.63758069076154011</v>
      </c>
      <c r="H5396">
        <f>0.0239520958083832*1.46808379412836</f>
        <v>3.5163683691697194E-2</v>
      </c>
      <c r="I5396">
        <v>3.5163683691697457E-2</v>
      </c>
    </row>
    <row r="5397" spans="1:9" x14ac:dyDescent="0.25">
      <c r="A5397">
        <v>321</v>
      </c>
      <c r="B5397" t="s">
        <v>2081</v>
      </c>
      <c r="C5397" t="s">
        <v>10</v>
      </c>
      <c r="D5397" t="s">
        <v>398</v>
      </c>
      <c r="E5397">
        <f>1/167</f>
        <v>5.9880239520958087E-3</v>
      </c>
      <c r="F5397">
        <v>14</v>
      </c>
      <c r="G5397">
        <f>LOG(382/(14+1))</f>
        <v>1.4059721038560276</v>
      </c>
      <c r="H5397">
        <f>0.0059880239520958*3.23737040750436</f>
        <v>1.9385451541942249E-2</v>
      </c>
      <c r="I5397">
        <v>1.9385451541942308E-2</v>
      </c>
    </row>
    <row r="5398" spans="1:9" x14ac:dyDescent="0.25">
      <c r="A5398">
        <v>321</v>
      </c>
      <c r="B5398" t="s">
        <v>2081</v>
      </c>
      <c r="C5398" t="s">
        <v>10</v>
      </c>
      <c r="D5398" t="s">
        <v>1073</v>
      </c>
      <c r="E5398">
        <f>1/167</f>
        <v>5.9880239520958087E-3</v>
      </c>
      <c r="F5398">
        <v>25</v>
      </c>
      <c r="G5398">
        <f>LOG(382/(25+1))</f>
        <v>1.1670900149408907</v>
      </c>
      <c r="H5398">
        <f>0.0059880239520958*2.68732407058509</f>
        <v>1.6091760901707105E-2</v>
      </c>
      <c r="I5398">
        <v>1.609176090170715E-2</v>
      </c>
    </row>
    <row r="5399" spans="1:9" x14ac:dyDescent="0.25">
      <c r="A5399">
        <v>321</v>
      </c>
      <c r="B5399" t="s">
        <v>2081</v>
      </c>
      <c r="C5399" t="s">
        <v>10</v>
      </c>
      <c r="D5399" t="s">
        <v>1858</v>
      </c>
      <c r="E5399">
        <f>1/167</f>
        <v>5.9880239520958087E-3</v>
      </c>
      <c r="F5399">
        <v>6</v>
      </c>
      <c r="G5399">
        <f>LOG(382/(6+1))</f>
        <v>1.736965322897452</v>
      </c>
      <c r="H5399">
        <f>0.0059880239520958*3.99951045955126</f>
        <v>2.3949164428450624E-2</v>
      </c>
      <c r="I5399">
        <v>2.3949164428450669E-2</v>
      </c>
    </row>
    <row r="5400" spans="1:9" x14ac:dyDescent="0.25">
      <c r="A5400">
        <v>321</v>
      </c>
      <c r="B5400" t="s">
        <v>2081</v>
      </c>
      <c r="C5400" t="s">
        <v>10</v>
      </c>
      <c r="D5400" t="s">
        <v>2036</v>
      </c>
      <c r="E5400">
        <f>1/167</f>
        <v>5.9880239520958087E-3</v>
      </c>
      <c r="F5400">
        <v>7</v>
      </c>
      <c r="G5400">
        <f>LOG(382/(7+1))</f>
        <v>1.6789733759197651</v>
      </c>
      <c r="H5400">
        <f>0.0059880239520958*3.86597906692673</f>
        <v>2.3149575251058232E-2</v>
      </c>
      <c r="I5400">
        <v>2.3149575251058319E-2</v>
      </c>
    </row>
    <row r="5401" spans="1:9" x14ac:dyDescent="0.25">
      <c r="A5401">
        <v>321</v>
      </c>
      <c r="B5401" t="s">
        <v>2081</v>
      </c>
      <c r="C5401" t="s">
        <v>10</v>
      </c>
      <c r="D5401" t="s">
        <v>490</v>
      </c>
      <c r="E5401">
        <f>1/167</f>
        <v>5.9880239520958087E-3</v>
      </c>
      <c r="F5401">
        <v>31</v>
      </c>
      <c r="G5401">
        <f>LOG(382/(31+1))</f>
        <v>1.0769133845918029</v>
      </c>
      <c r="H5401">
        <f>0.0059880239520958*2.47968470580684</f>
        <v>1.4848411412016985E-2</v>
      </c>
      <c r="I5401">
        <v>1.484841141201706E-2</v>
      </c>
    </row>
    <row r="5402" spans="1:9" x14ac:dyDescent="0.25">
      <c r="A5402">
        <v>321</v>
      </c>
      <c r="B5402" t="s">
        <v>2081</v>
      </c>
      <c r="C5402" t="s">
        <v>10</v>
      </c>
      <c r="D5402" t="s">
        <v>243</v>
      </c>
      <c r="E5402">
        <f>2/167</f>
        <v>1.1976047904191617E-2</v>
      </c>
      <c r="F5402">
        <v>131</v>
      </c>
      <c r="G5402">
        <f>LOG(382/(131+1))</f>
        <v>0.46148943170585888</v>
      </c>
      <c r="H5402">
        <f>0.0119760479041916*1.0626186860202</f>
        <v>1.2725972287667048E-2</v>
      </c>
      <c r="I5402">
        <v>1.272597228766712E-2</v>
      </c>
    </row>
    <row r="5403" spans="1:9" x14ac:dyDescent="0.25">
      <c r="A5403">
        <v>321</v>
      </c>
      <c r="B5403" t="s">
        <v>2081</v>
      </c>
      <c r="C5403" t="s">
        <v>10</v>
      </c>
      <c r="D5403" t="s">
        <v>2097</v>
      </c>
      <c r="E5403">
        <f>1/167</f>
        <v>5.9880239520958087E-3</v>
      </c>
      <c r="F5403">
        <v>1</v>
      </c>
      <c r="G5403">
        <f>LOG(382/(1+1))</f>
        <v>2.2810333672477277</v>
      </c>
      <c r="H5403">
        <f>0.0059880239520958*5.25227342804663</f>
        <v>3.1450739090099537E-2</v>
      </c>
      <c r="I5403">
        <v>3.1450739090099579E-2</v>
      </c>
    </row>
    <row r="5404" spans="1:9" x14ac:dyDescent="0.25">
      <c r="A5404">
        <v>321</v>
      </c>
      <c r="B5404" t="s">
        <v>2081</v>
      </c>
      <c r="C5404" t="s">
        <v>10</v>
      </c>
      <c r="D5404" t="s">
        <v>263</v>
      </c>
      <c r="E5404">
        <f>1/167</f>
        <v>5.9880239520958087E-3</v>
      </c>
      <c r="F5404">
        <v>41</v>
      </c>
      <c r="G5404">
        <f>LOG(382/(41+1))</f>
        <v>0.95881407251380824</v>
      </c>
      <c r="H5404">
        <f>0.0059880239520958*2.2077509903232</f>
        <v>1.3220065810318546E-2</v>
      </c>
      <c r="I5404">
        <v>1.322006581031861E-2</v>
      </c>
    </row>
    <row r="5405" spans="1:9" x14ac:dyDescent="0.25">
      <c r="A5405">
        <v>321</v>
      </c>
      <c r="B5405" t="s">
        <v>2081</v>
      </c>
      <c r="C5405" t="s">
        <v>10</v>
      </c>
      <c r="D5405" t="s">
        <v>2098</v>
      </c>
      <c r="E5405">
        <f>1/167</f>
        <v>5.9880239520958087E-3</v>
      </c>
      <c r="F5405">
        <v>1</v>
      </c>
      <c r="G5405">
        <f>LOG(382/(1+1))</f>
        <v>2.2810333672477277</v>
      </c>
      <c r="H5405">
        <f>0.0059880239520958*5.25227342804663</f>
        <v>3.1450739090099537E-2</v>
      </c>
      <c r="I5405">
        <v>3.1450739090099579E-2</v>
      </c>
    </row>
    <row r="5406" spans="1:9" x14ac:dyDescent="0.25">
      <c r="A5406">
        <v>321</v>
      </c>
      <c r="B5406" t="s">
        <v>2081</v>
      </c>
      <c r="C5406" t="s">
        <v>10</v>
      </c>
      <c r="D5406" t="s">
        <v>388</v>
      </c>
      <c r="E5406">
        <f>3/167</f>
        <v>1.7964071856287425E-2</v>
      </c>
      <c r="F5406">
        <v>44</v>
      </c>
      <c r="G5406">
        <f>LOG(382/(44+1))</f>
        <v>0.92885084913636506</v>
      </c>
      <c r="H5406">
        <f>0.0179640718562874*2.13875811883625</f>
        <v>3.8420804529992462E-2</v>
      </c>
      <c r="I5406">
        <v>3.8420804529992608E-2</v>
      </c>
    </row>
    <row r="5407" spans="1:9" x14ac:dyDescent="0.25">
      <c r="A5407">
        <v>321</v>
      </c>
      <c r="B5407" t="s">
        <v>2081</v>
      </c>
      <c r="C5407" t="s">
        <v>10</v>
      </c>
      <c r="D5407" t="s">
        <v>2050</v>
      </c>
      <c r="E5407">
        <f>1/167</f>
        <v>5.9880239520958087E-3</v>
      </c>
      <c r="F5407">
        <v>4</v>
      </c>
      <c r="G5407">
        <f>LOG(382/(4+1))</f>
        <v>1.8830933585756899</v>
      </c>
      <c r="H5407">
        <f>0.0059880239520958*4.33598269617247</f>
        <v>2.5963968240553678E-2</v>
      </c>
      <c r="I5407">
        <v>2.5963968240553741E-2</v>
      </c>
    </row>
    <row r="5408" spans="1:9" x14ac:dyDescent="0.25">
      <c r="A5408">
        <v>321</v>
      </c>
      <c r="B5408" t="s">
        <v>2081</v>
      </c>
      <c r="C5408" t="s">
        <v>10</v>
      </c>
      <c r="D5408" t="s">
        <v>2099</v>
      </c>
      <c r="E5408">
        <f>1/167</f>
        <v>5.9880239520958087E-3</v>
      </c>
      <c r="F5408">
        <v>6</v>
      </c>
      <c r="G5408">
        <f>LOG(382/(6+1))</f>
        <v>1.736965322897452</v>
      </c>
      <c r="H5408">
        <f>0.0059880239520958*3.99951045955126</f>
        <v>2.3949164428450624E-2</v>
      </c>
      <c r="I5408">
        <v>2.3949164428450669E-2</v>
      </c>
    </row>
    <row r="5409" spans="1:9" x14ac:dyDescent="0.25">
      <c r="A5409">
        <v>321</v>
      </c>
      <c r="B5409" t="s">
        <v>2081</v>
      </c>
      <c r="C5409" t="s">
        <v>10</v>
      </c>
      <c r="D5409" t="s">
        <v>2100</v>
      </c>
      <c r="E5409">
        <f>1/167</f>
        <v>5.9880239520958087E-3</v>
      </c>
      <c r="F5409">
        <v>1</v>
      </c>
      <c r="G5409">
        <f>LOG(382/(1+1))</f>
        <v>2.2810333672477277</v>
      </c>
      <c r="H5409">
        <f>0.0059880239520958*5.25227342804663</f>
        <v>3.1450739090099537E-2</v>
      </c>
      <c r="I5409">
        <v>3.1450739090099579E-2</v>
      </c>
    </row>
    <row r="5410" spans="1:9" x14ac:dyDescent="0.25">
      <c r="A5410">
        <v>321</v>
      </c>
      <c r="B5410" t="s">
        <v>2081</v>
      </c>
      <c r="C5410" t="s">
        <v>10</v>
      </c>
      <c r="D5410" t="s">
        <v>521</v>
      </c>
      <c r="E5410">
        <f>1/167</f>
        <v>5.9880239520958087E-3</v>
      </c>
      <c r="F5410">
        <v>7</v>
      </c>
      <c r="G5410">
        <f>LOG(382/(7+1))</f>
        <v>1.6789733759197651</v>
      </c>
      <c r="H5410">
        <f>0.0059880239520958*3.86597906692673</f>
        <v>2.3149575251058232E-2</v>
      </c>
      <c r="I5410">
        <v>2.3149575251058319E-2</v>
      </c>
    </row>
    <row r="5411" spans="1:9" x14ac:dyDescent="0.25">
      <c r="A5411">
        <v>321</v>
      </c>
      <c r="B5411" t="s">
        <v>2081</v>
      </c>
      <c r="C5411" t="s">
        <v>10</v>
      </c>
      <c r="D5411" t="s">
        <v>1626</v>
      </c>
      <c r="E5411">
        <f>1/167</f>
        <v>5.9880239520958087E-3</v>
      </c>
      <c r="F5411">
        <v>32</v>
      </c>
      <c r="G5411">
        <f>LOG(382/(32+1))</f>
        <v>1.0635494230338212</v>
      </c>
      <c r="H5411">
        <f>0.0059880239520958*2.44891304714009</f>
        <v>1.4664149982874771E-2</v>
      </c>
      <c r="I5411">
        <v>1.4664149982874819E-2</v>
      </c>
    </row>
    <row r="5412" spans="1:9" x14ac:dyDescent="0.25">
      <c r="A5412">
        <v>321</v>
      </c>
      <c r="B5412" t="s">
        <v>2081</v>
      </c>
      <c r="C5412" t="s">
        <v>10</v>
      </c>
      <c r="D5412" t="s">
        <v>763</v>
      </c>
      <c r="E5412">
        <f>2/167</f>
        <v>1.1976047904191617E-2</v>
      </c>
      <c r="F5412">
        <v>47</v>
      </c>
      <c r="G5412">
        <f>LOG(382/(47+1))</f>
        <v>0.90082212553612151</v>
      </c>
      <c r="H5412">
        <f>0.0119760479041916*2.07421959769868</f>
        <v>2.4840953265852422E-2</v>
      </c>
      <c r="I5412">
        <v>2.4840953265852509E-2</v>
      </c>
    </row>
    <row r="5413" spans="1:9" x14ac:dyDescent="0.25">
      <c r="A5413">
        <v>321</v>
      </c>
      <c r="B5413" t="s">
        <v>2081</v>
      </c>
      <c r="C5413" t="s">
        <v>10</v>
      </c>
      <c r="D5413" t="s">
        <v>2101</v>
      </c>
      <c r="E5413">
        <f>1/167</f>
        <v>5.9880239520958087E-3</v>
      </c>
      <c r="F5413">
        <v>1</v>
      </c>
      <c r="G5413">
        <f>LOG(382/(1+1))</f>
        <v>2.2810333672477277</v>
      </c>
      <c r="H5413">
        <f>0.0059880239520958*5.25227342804663</f>
        <v>3.1450739090099537E-2</v>
      </c>
      <c r="I5413">
        <v>3.1450739090099579E-2</v>
      </c>
    </row>
    <row r="5414" spans="1:9" x14ac:dyDescent="0.25">
      <c r="A5414">
        <v>321</v>
      </c>
      <c r="B5414" t="s">
        <v>2081</v>
      </c>
      <c r="C5414" t="s">
        <v>10</v>
      </c>
      <c r="D5414" t="s">
        <v>2102</v>
      </c>
      <c r="E5414">
        <f>1/167</f>
        <v>5.9880239520958087E-3</v>
      </c>
      <c r="F5414">
        <v>1</v>
      </c>
      <c r="G5414">
        <f>LOG(382/(1+1))</f>
        <v>2.2810333672477277</v>
      </c>
      <c r="H5414">
        <f>0.0059880239520958*5.25227342804663</f>
        <v>3.1450739090099537E-2</v>
      </c>
      <c r="I5414">
        <v>3.1450739090099579E-2</v>
      </c>
    </row>
    <row r="5415" spans="1:9" x14ac:dyDescent="0.25">
      <c r="A5415">
        <v>321</v>
      </c>
      <c r="B5415" t="s">
        <v>2081</v>
      </c>
      <c r="C5415" t="s">
        <v>10</v>
      </c>
      <c r="D5415" t="s">
        <v>1918</v>
      </c>
      <c r="E5415">
        <f>1/167</f>
        <v>5.9880239520958087E-3</v>
      </c>
      <c r="F5415">
        <v>25</v>
      </c>
      <c r="G5415">
        <f>LOG(382/(25+1))</f>
        <v>1.1670900149408907</v>
      </c>
      <c r="H5415">
        <f>0.0059880239520958*2.68732407058509</f>
        <v>1.6091760901707105E-2</v>
      </c>
      <c r="I5415">
        <v>1.609176090170715E-2</v>
      </c>
    </row>
    <row r="5416" spans="1:9" x14ac:dyDescent="0.25">
      <c r="A5416">
        <v>321</v>
      </c>
      <c r="B5416" t="s">
        <v>2081</v>
      </c>
      <c r="C5416" t="s">
        <v>10</v>
      </c>
      <c r="D5416" t="s">
        <v>1831</v>
      </c>
      <c r="E5416">
        <f>1/167</f>
        <v>5.9880239520958087E-3</v>
      </c>
      <c r="F5416">
        <v>28</v>
      </c>
      <c r="G5416">
        <f>LOG(382/(28+1))</f>
        <v>1.1196653650127526</v>
      </c>
      <c r="H5416">
        <f>0.0059880239520958*2.5781247786201</f>
        <v>1.543787292586884E-2</v>
      </c>
      <c r="I5416">
        <v>1.5437872925868869E-2</v>
      </c>
    </row>
    <row r="5417" spans="1:9" x14ac:dyDescent="0.25">
      <c r="A5417">
        <v>321</v>
      </c>
      <c r="B5417" t="s">
        <v>2081</v>
      </c>
      <c r="C5417" t="s">
        <v>10</v>
      </c>
      <c r="D5417" t="s">
        <v>1098</v>
      </c>
      <c r="E5417">
        <f>1/167</f>
        <v>5.9880239520958087E-3</v>
      </c>
      <c r="F5417">
        <v>19</v>
      </c>
      <c r="G5417">
        <f>LOG(382/(19+1))</f>
        <v>1.2810333672477277</v>
      </c>
      <c r="H5417">
        <f>0.0059880239520958*2.94968833505258</f>
        <v>1.7662804401512432E-2</v>
      </c>
      <c r="I5417">
        <v>1.766280440151248E-2</v>
      </c>
    </row>
    <row r="5418" spans="1:9" x14ac:dyDescent="0.25">
      <c r="A5418">
        <v>321</v>
      </c>
      <c r="B5418" t="s">
        <v>2081</v>
      </c>
      <c r="C5418" t="s">
        <v>10</v>
      </c>
      <c r="D5418" t="s">
        <v>338</v>
      </c>
      <c r="E5418">
        <f>2/167</f>
        <v>1.1976047904191617E-2</v>
      </c>
      <c r="F5418">
        <v>54</v>
      </c>
      <c r="G5418">
        <f>LOG(382/(54+1))</f>
        <v>0.84170067341746491</v>
      </c>
      <c r="H5418">
        <f>0.0119760479041916*1.9380874233741</f>
        <v>2.3210627824839486E-2</v>
      </c>
      <c r="I5418">
        <v>2.3210627824839569E-2</v>
      </c>
    </row>
    <row r="5419" spans="1:9" x14ac:dyDescent="0.25">
      <c r="A5419">
        <v>321</v>
      </c>
      <c r="B5419" t="s">
        <v>2081</v>
      </c>
      <c r="C5419" t="s">
        <v>10</v>
      </c>
      <c r="D5419" t="s">
        <v>2103</v>
      </c>
      <c r="E5419">
        <f t="shared" ref="E5419:E5431" si="244">1/167</f>
        <v>5.9880239520958087E-3</v>
      </c>
      <c r="F5419">
        <v>2</v>
      </c>
      <c r="G5419">
        <f>LOG(382/(2+1))</f>
        <v>2.1049421081920463</v>
      </c>
      <c r="H5419">
        <f>0.0059880239520958*4.84680831993846</f>
        <v>2.9022804311008701E-2</v>
      </c>
      <c r="I5419">
        <v>2.902280431100878E-2</v>
      </c>
    </row>
    <row r="5420" spans="1:9" x14ac:dyDescent="0.25">
      <c r="A5420">
        <v>321</v>
      </c>
      <c r="B5420" t="s">
        <v>2081</v>
      </c>
      <c r="C5420" t="s">
        <v>10</v>
      </c>
      <c r="D5420" t="s">
        <v>2104</v>
      </c>
      <c r="E5420">
        <f t="shared" si="244"/>
        <v>5.9880239520958087E-3</v>
      </c>
      <c r="F5420">
        <v>2</v>
      </c>
      <c r="G5420">
        <f>LOG(382/(2+1))</f>
        <v>2.1049421081920463</v>
      </c>
      <c r="H5420">
        <f>0.0059880239520958*4.84680831993846</f>
        <v>2.9022804311008701E-2</v>
      </c>
      <c r="I5420">
        <v>2.902280431100878E-2</v>
      </c>
    </row>
    <row r="5421" spans="1:9" x14ac:dyDescent="0.25">
      <c r="A5421">
        <v>321</v>
      </c>
      <c r="B5421" t="s">
        <v>2081</v>
      </c>
      <c r="C5421" t="s">
        <v>10</v>
      </c>
      <c r="D5421" t="s">
        <v>283</v>
      </c>
      <c r="E5421">
        <f t="shared" si="244"/>
        <v>5.9880239520958087E-3</v>
      </c>
      <c r="F5421">
        <v>16</v>
      </c>
      <c r="G5421">
        <f>LOG(382/(16+1))</f>
        <v>1.3516144415334348</v>
      </c>
      <c r="H5421">
        <f>0.0059880239520958*3.11220726455035</f>
        <v>1.8635971644014045E-2</v>
      </c>
      <c r="I5421">
        <v>1.8635971644014131E-2</v>
      </c>
    </row>
    <row r="5422" spans="1:9" x14ac:dyDescent="0.25">
      <c r="A5422">
        <v>321</v>
      </c>
      <c r="B5422" t="s">
        <v>2081</v>
      </c>
      <c r="C5422" t="s">
        <v>10</v>
      </c>
      <c r="D5422" t="s">
        <v>1541</v>
      </c>
      <c r="E5422">
        <f t="shared" si="244"/>
        <v>5.9880239520958087E-3</v>
      </c>
      <c r="F5422">
        <v>5</v>
      </c>
      <c r="G5422">
        <f>LOG(382/(5+1))</f>
        <v>1.803912112528065</v>
      </c>
      <c r="H5422">
        <f>0.0059880239520958*4.15366113937852</f>
        <v>2.4872222391488109E-2</v>
      </c>
      <c r="I5422">
        <v>2.487222239148814E-2</v>
      </c>
    </row>
    <row r="5423" spans="1:9" x14ac:dyDescent="0.25">
      <c r="A5423">
        <v>321</v>
      </c>
      <c r="B5423" t="s">
        <v>2081</v>
      </c>
      <c r="C5423" t="s">
        <v>10</v>
      </c>
      <c r="D5423" t="s">
        <v>2105</v>
      </c>
      <c r="E5423">
        <f t="shared" si="244"/>
        <v>5.9880239520958087E-3</v>
      </c>
      <c r="F5423">
        <v>10</v>
      </c>
      <c r="G5423">
        <f>LOG(382/(10+1))</f>
        <v>1.5406706777534838</v>
      </c>
      <c r="H5423">
        <f>0.0059880239520958*3.5475253358082</f>
        <v>2.1242666681486198E-2</v>
      </c>
      <c r="I5423">
        <v>2.124266668148626E-2</v>
      </c>
    </row>
    <row r="5424" spans="1:9" x14ac:dyDescent="0.25">
      <c r="A5424">
        <v>321</v>
      </c>
      <c r="B5424" t="s">
        <v>2081</v>
      </c>
      <c r="C5424" t="s">
        <v>10</v>
      </c>
      <c r="D5424" t="s">
        <v>1469</v>
      </c>
      <c r="E5424">
        <f t="shared" si="244"/>
        <v>5.9880239520958087E-3</v>
      </c>
      <c r="F5424">
        <v>24</v>
      </c>
      <c r="G5424">
        <f>LOG(382/(24+1))</f>
        <v>1.1841233542396712</v>
      </c>
      <c r="H5424">
        <f>0.0059880239520958*2.72654478373837</f>
        <v>1.6326615471487223E-2</v>
      </c>
      <c r="I5424">
        <v>1.6326615471487269E-2</v>
      </c>
    </row>
    <row r="5425" spans="1:9" x14ac:dyDescent="0.25">
      <c r="A5425">
        <v>321</v>
      </c>
      <c r="B5425" t="s">
        <v>2081</v>
      </c>
      <c r="C5425" t="s">
        <v>10</v>
      </c>
      <c r="D5425" t="s">
        <v>439</v>
      </c>
      <c r="E5425">
        <f t="shared" si="244"/>
        <v>5.9880239520958087E-3</v>
      </c>
      <c r="F5425">
        <v>28</v>
      </c>
      <c r="G5425">
        <f>LOG(382/(28+1))</f>
        <v>1.1196653650127526</v>
      </c>
      <c r="H5425">
        <f>0.0059880239520958*2.5781247786201</f>
        <v>1.543787292586884E-2</v>
      </c>
      <c r="I5425">
        <v>1.5437872925868869E-2</v>
      </c>
    </row>
    <row r="5426" spans="1:9" x14ac:dyDescent="0.25">
      <c r="A5426">
        <v>321</v>
      </c>
      <c r="B5426" t="s">
        <v>2081</v>
      </c>
      <c r="C5426" t="s">
        <v>10</v>
      </c>
      <c r="D5426" t="s">
        <v>2106</v>
      </c>
      <c r="E5426">
        <f t="shared" si="244"/>
        <v>5.9880239520958087E-3</v>
      </c>
      <c r="F5426">
        <v>1</v>
      </c>
      <c r="G5426">
        <f>LOG(382/(1+1))</f>
        <v>2.2810333672477277</v>
      </c>
      <c r="H5426">
        <f>0.0059880239520958*5.25227342804663</f>
        <v>3.1450739090099537E-2</v>
      </c>
      <c r="I5426">
        <v>3.1450739090099579E-2</v>
      </c>
    </row>
    <row r="5427" spans="1:9" x14ac:dyDescent="0.25">
      <c r="A5427">
        <v>321</v>
      </c>
      <c r="B5427" t="s">
        <v>2081</v>
      </c>
      <c r="C5427" t="s">
        <v>10</v>
      </c>
      <c r="D5427" t="s">
        <v>1345</v>
      </c>
      <c r="E5427">
        <f t="shared" si="244"/>
        <v>5.9880239520958087E-3</v>
      </c>
      <c r="F5427">
        <v>8</v>
      </c>
      <c r="G5427">
        <f>LOG(382/(8+1))</f>
        <v>1.6278208534723839</v>
      </c>
      <c r="H5427">
        <f>0.0059880239520958*3.74819603127035</f>
        <v>2.2444287612397276E-2</v>
      </c>
      <c r="I5427">
        <v>2.2444287612397341E-2</v>
      </c>
    </row>
    <row r="5428" spans="1:9" x14ac:dyDescent="0.25">
      <c r="A5428">
        <v>321</v>
      </c>
      <c r="B5428" t="s">
        <v>2081</v>
      </c>
      <c r="C5428" t="s">
        <v>10</v>
      </c>
      <c r="D5428" t="s">
        <v>754</v>
      </c>
      <c r="E5428">
        <f t="shared" si="244"/>
        <v>5.9880239520958087E-3</v>
      </c>
      <c r="F5428">
        <v>111</v>
      </c>
      <c r="G5428">
        <f>LOG(382/(111+1))</f>
        <v>0.53284534024152708</v>
      </c>
      <c r="H5428">
        <f>0.0059880239520958*1.22692173731148</f>
        <v>7.3468367503681338E-3</v>
      </c>
      <c r="I5428">
        <v>7.3468367503681494E-3</v>
      </c>
    </row>
    <row r="5429" spans="1:9" x14ac:dyDescent="0.25">
      <c r="A5429">
        <v>321</v>
      </c>
      <c r="B5429" t="s">
        <v>2081</v>
      </c>
      <c r="C5429" t="s">
        <v>10</v>
      </c>
      <c r="D5429" t="s">
        <v>2107</v>
      </c>
      <c r="E5429">
        <f t="shared" si="244"/>
        <v>5.9880239520958087E-3</v>
      </c>
      <c r="F5429">
        <v>1</v>
      </c>
      <c r="G5429">
        <f>LOG(382/(1+1))</f>
        <v>2.2810333672477277</v>
      </c>
      <c r="H5429">
        <f>0.0059880239520958*5.25227342804663</f>
        <v>3.1450739090099537E-2</v>
      </c>
      <c r="I5429">
        <v>3.1450739090099579E-2</v>
      </c>
    </row>
    <row r="5430" spans="1:9" x14ac:dyDescent="0.25">
      <c r="A5430">
        <v>321</v>
      </c>
      <c r="B5430" t="s">
        <v>2081</v>
      </c>
      <c r="C5430" t="s">
        <v>10</v>
      </c>
      <c r="D5430" t="s">
        <v>77</v>
      </c>
      <c r="E5430">
        <f t="shared" si="244"/>
        <v>5.9880239520958087E-3</v>
      </c>
      <c r="F5430">
        <v>148</v>
      </c>
      <c r="G5430">
        <f>LOG(382/(148+1))</f>
        <v>0.40887709449943471</v>
      </c>
      <c r="H5430">
        <f>0.0059880239520958*0.941474302661116</f>
        <v>5.6375706746174528E-3</v>
      </c>
      <c r="I5430">
        <v>5.6375706746174623E-3</v>
      </c>
    </row>
    <row r="5431" spans="1:9" x14ac:dyDescent="0.25">
      <c r="A5431">
        <v>321</v>
      </c>
      <c r="B5431" t="s">
        <v>2081</v>
      </c>
      <c r="C5431" t="s">
        <v>10</v>
      </c>
      <c r="D5431" t="s">
        <v>2108</v>
      </c>
      <c r="E5431">
        <f t="shared" si="244"/>
        <v>5.9880239520958087E-3</v>
      </c>
      <c r="F5431">
        <v>2</v>
      </c>
      <c r="G5431">
        <f>LOG(382/(2+1))</f>
        <v>2.1049421081920463</v>
      </c>
      <c r="H5431">
        <f>0.0059880239520958*4.84680831993846</f>
        <v>2.9022804311008701E-2</v>
      </c>
      <c r="I5431">
        <v>2.902280431100878E-2</v>
      </c>
    </row>
    <row r="5432" spans="1:9" x14ac:dyDescent="0.25">
      <c r="A5432">
        <v>322</v>
      </c>
      <c r="B5432" t="s">
        <v>2109</v>
      </c>
      <c r="C5432" t="s">
        <v>10</v>
      </c>
      <c r="D5432" t="s">
        <v>315</v>
      </c>
      <c r="E5432">
        <f>7/149</f>
        <v>4.6979865771812082E-2</v>
      </c>
      <c r="F5432">
        <v>55</v>
      </c>
      <c r="G5432">
        <f>LOG(382/(55+1))</f>
        <v>0.83387533590550833</v>
      </c>
      <c r="H5432">
        <f>0.046979865771812*1.92006891787142</f>
        <v>9.0204580034227627E-2</v>
      </c>
      <c r="I5432">
        <v>9.0204580034228057E-2</v>
      </c>
    </row>
    <row r="5433" spans="1:9" x14ac:dyDescent="0.25">
      <c r="A5433">
        <v>322</v>
      </c>
      <c r="B5433" t="s">
        <v>2109</v>
      </c>
      <c r="C5433" t="s">
        <v>10</v>
      </c>
      <c r="D5433" t="s">
        <v>77</v>
      </c>
      <c r="E5433">
        <f>4/149</f>
        <v>2.6845637583892617E-2</v>
      </c>
      <c r="F5433">
        <v>148</v>
      </c>
      <c r="G5433">
        <f>LOG(382/(148+1))</f>
        <v>0.40887709449943471</v>
      </c>
      <c r="H5433">
        <f>0.0268456375838926*0.941474302661116</f>
        <v>2.5274477923788331E-2</v>
      </c>
      <c r="I5433">
        <v>2.5274477923788351E-2</v>
      </c>
    </row>
    <row r="5434" spans="1:9" x14ac:dyDescent="0.25">
      <c r="A5434">
        <v>322</v>
      </c>
      <c r="B5434" t="s">
        <v>2109</v>
      </c>
      <c r="C5434" t="s">
        <v>10</v>
      </c>
      <c r="D5434" t="s">
        <v>2110</v>
      </c>
      <c r="E5434">
        <f>6/149</f>
        <v>4.0268456375838924E-2</v>
      </c>
      <c r="F5434">
        <v>1</v>
      </c>
      <c r="G5434">
        <f>LOG(382/(1+1))</f>
        <v>2.2810333672477277</v>
      </c>
      <c r="H5434">
        <f>0.0402684563758389*5.25227342804663</f>
        <v>0.21150094341127357</v>
      </c>
      <c r="I5434">
        <v>0.21150094341127371</v>
      </c>
    </row>
    <row r="5435" spans="1:9" x14ac:dyDescent="0.25">
      <c r="A5435">
        <v>322</v>
      </c>
      <c r="B5435" t="s">
        <v>2109</v>
      </c>
      <c r="C5435" t="s">
        <v>10</v>
      </c>
      <c r="D5435" t="s">
        <v>2111</v>
      </c>
      <c r="E5435">
        <f>1/149</f>
        <v>6.7114093959731542E-3</v>
      </c>
      <c r="F5435">
        <v>1</v>
      </c>
      <c r="G5435">
        <f>LOG(382/(1+1))</f>
        <v>2.2810333672477277</v>
      </c>
      <c r="H5435">
        <f>0.00671140939597315*5.25227342804663</f>
        <v>3.5250157235212257E-2</v>
      </c>
      <c r="I5435">
        <v>3.5250157235212277E-2</v>
      </c>
    </row>
    <row r="5436" spans="1:9" x14ac:dyDescent="0.25">
      <c r="A5436">
        <v>322</v>
      </c>
      <c r="B5436" t="s">
        <v>2109</v>
      </c>
      <c r="C5436" t="s">
        <v>10</v>
      </c>
      <c r="D5436" t="s">
        <v>42</v>
      </c>
      <c r="E5436">
        <f>1/149</f>
        <v>6.7114093959731542E-3</v>
      </c>
      <c r="F5436">
        <v>251</v>
      </c>
      <c r="G5436">
        <f>LOG(382/(251+1))</f>
        <v>0.18066282213016463</v>
      </c>
      <c r="H5436">
        <f>0.00671140939597315*0.415991521095151</f>
        <v>2.7918894033231588E-3</v>
      </c>
      <c r="I5436">
        <v>2.7918894033231671E-3</v>
      </c>
    </row>
    <row r="5437" spans="1:9" x14ac:dyDescent="0.25">
      <c r="A5437">
        <v>322</v>
      </c>
      <c r="B5437" t="s">
        <v>2109</v>
      </c>
      <c r="C5437" t="s">
        <v>10</v>
      </c>
      <c r="D5437" t="s">
        <v>15</v>
      </c>
      <c r="E5437">
        <f>2/149</f>
        <v>1.3422818791946308E-2</v>
      </c>
      <c r="F5437">
        <v>112</v>
      </c>
      <c r="G5437">
        <f>LOG(382/(112+1))</f>
        <v>0.52898491942828896</v>
      </c>
      <c r="H5437">
        <f>0.0134228187919463*1.21803278989423</f>
        <v>1.6349433421399051E-2</v>
      </c>
      <c r="I5437">
        <v>1.634943342139912E-2</v>
      </c>
    </row>
    <row r="5438" spans="1:9" x14ac:dyDescent="0.25">
      <c r="A5438">
        <v>322</v>
      </c>
      <c r="B5438" t="s">
        <v>2109</v>
      </c>
      <c r="C5438" t="s">
        <v>10</v>
      </c>
      <c r="D5438" t="s">
        <v>17</v>
      </c>
      <c r="E5438">
        <f>2/149</f>
        <v>1.3422818791946308E-2</v>
      </c>
      <c r="F5438">
        <v>169</v>
      </c>
      <c r="G5438">
        <f>LOG(382/(169+1))</f>
        <v>0.3516144415334348</v>
      </c>
      <c r="H5438">
        <f>0.0134228187919463*0.809622171556313</f>
        <v>1.086741169874245E-2</v>
      </c>
      <c r="I5438">
        <v>1.086741169874246E-2</v>
      </c>
    </row>
    <row r="5439" spans="1:9" x14ac:dyDescent="0.25">
      <c r="A5439">
        <v>322</v>
      </c>
      <c r="B5439" t="s">
        <v>2109</v>
      </c>
      <c r="C5439" t="s">
        <v>10</v>
      </c>
      <c r="D5439" t="s">
        <v>920</v>
      </c>
      <c r="E5439">
        <f>2/149</f>
        <v>1.3422818791946308E-2</v>
      </c>
      <c r="F5439">
        <v>30</v>
      </c>
      <c r="G5439">
        <f>LOG(382/(30+1))</f>
        <v>1.090701669077436</v>
      </c>
      <c r="H5439">
        <f>0.0134228187919463*2.51143340412142</f>
        <v>3.3710515491562662E-2</v>
      </c>
      <c r="I5439">
        <v>3.3710515491562808E-2</v>
      </c>
    </row>
    <row r="5440" spans="1:9" x14ac:dyDescent="0.25">
      <c r="A5440">
        <v>322</v>
      </c>
      <c r="B5440" t="s">
        <v>2109</v>
      </c>
      <c r="C5440" t="s">
        <v>10</v>
      </c>
      <c r="D5440" t="s">
        <v>19</v>
      </c>
      <c r="E5440">
        <f>2/149</f>
        <v>1.3422818791946308E-2</v>
      </c>
      <c r="F5440">
        <v>220</v>
      </c>
      <c r="G5440">
        <f>LOG(382/(220+1))</f>
        <v>0.23767108922659805</v>
      </c>
      <c r="H5440">
        <f>0.0134228187919463*0.547257907088822</f>
        <v>7.3457437193130424E-3</v>
      </c>
      <c r="I5440">
        <v>7.3457437193130519E-3</v>
      </c>
    </row>
    <row r="5441" spans="1:9" x14ac:dyDescent="0.25">
      <c r="A5441">
        <v>322</v>
      </c>
      <c r="B5441" t="s">
        <v>2109</v>
      </c>
      <c r="C5441" t="s">
        <v>10</v>
      </c>
      <c r="D5441" t="s">
        <v>44</v>
      </c>
      <c r="E5441">
        <f>2/149</f>
        <v>1.3422818791946308E-2</v>
      </c>
      <c r="F5441">
        <v>151</v>
      </c>
      <c r="G5441">
        <f>LOG(382/(151+1))</f>
        <v>0.40021977496693617</v>
      </c>
      <c r="H5441">
        <f>0.0134228187919463*0.921540087760298</f>
        <v>1.2369665607520772E-2</v>
      </c>
      <c r="I5441">
        <v>1.2369665607520791E-2</v>
      </c>
    </row>
    <row r="5442" spans="1:9" x14ac:dyDescent="0.25">
      <c r="A5442">
        <v>322</v>
      </c>
      <c r="B5442" t="s">
        <v>2109</v>
      </c>
      <c r="C5442" t="s">
        <v>10</v>
      </c>
      <c r="D5442" t="s">
        <v>22</v>
      </c>
      <c r="E5442">
        <f>1/149</f>
        <v>6.7114093959731542E-3</v>
      </c>
      <c r="F5442">
        <v>259</v>
      </c>
      <c r="G5442">
        <f>LOG(382/(259+1))</f>
        <v>0.16709001494089079</v>
      </c>
      <c r="H5442">
        <f>0.00671140939597315*0.384738977591047</f>
        <v>2.582140789201656E-3</v>
      </c>
      <c r="I5442">
        <v>2.5821407892016612E-3</v>
      </c>
    </row>
    <row r="5443" spans="1:9" x14ac:dyDescent="0.25">
      <c r="A5443">
        <v>322</v>
      </c>
      <c r="B5443" t="s">
        <v>2109</v>
      </c>
      <c r="C5443" t="s">
        <v>10</v>
      </c>
      <c r="D5443" t="s">
        <v>23</v>
      </c>
      <c r="E5443">
        <f>1/149</f>
        <v>6.7114093959731542E-3</v>
      </c>
      <c r="F5443">
        <v>275</v>
      </c>
      <c r="G5443">
        <f>LOG(382/(275+1))</f>
        <v>0.14115428084649101</v>
      </c>
      <c r="H5443">
        <f>0.00671140939597315*0.325019742889425</f>
        <v>2.1813405563048641E-3</v>
      </c>
      <c r="I5443">
        <v>2.1813405563048671E-3</v>
      </c>
    </row>
    <row r="5444" spans="1:9" x14ac:dyDescent="0.25">
      <c r="A5444">
        <v>322</v>
      </c>
      <c r="B5444" t="s">
        <v>2109</v>
      </c>
      <c r="C5444" t="s">
        <v>10</v>
      </c>
      <c r="D5444" t="s">
        <v>105</v>
      </c>
      <c r="E5444">
        <f>1/149</f>
        <v>6.7114093959731542E-3</v>
      </c>
      <c r="F5444">
        <v>122</v>
      </c>
      <c r="G5444">
        <f>LOG(382/(122+1))</f>
        <v>0.49215825147231079</v>
      </c>
      <c r="H5444">
        <f>0.00671140939597315*1.13323625323415</f>
        <v>7.6056124378130821E-3</v>
      </c>
      <c r="I5444">
        <v>7.6056124378131376E-3</v>
      </c>
    </row>
    <row r="5445" spans="1:9" x14ac:dyDescent="0.25">
      <c r="A5445">
        <v>322</v>
      </c>
      <c r="B5445" t="s">
        <v>2109</v>
      </c>
      <c r="C5445" t="s">
        <v>10</v>
      </c>
      <c r="D5445" t="s">
        <v>2112</v>
      </c>
      <c r="E5445">
        <f>1/149</f>
        <v>6.7114093959731542E-3</v>
      </c>
      <c r="F5445">
        <v>1</v>
      </c>
      <c r="G5445">
        <f>LOG(382/(1+1))</f>
        <v>2.2810333672477277</v>
      </c>
      <c r="H5445">
        <f>0.00671140939597315*5.25227342804663</f>
        <v>3.5250157235212257E-2</v>
      </c>
      <c r="I5445">
        <v>3.5250157235212277E-2</v>
      </c>
    </row>
    <row r="5446" spans="1:9" x14ac:dyDescent="0.25">
      <c r="A5446">
        <v>322</v>
      </c>
      <c r="B5446" t="s">
        <v>2109</v>
      </c>
      <c r="C5446" t="s">
        <v>10</v>
      </c>
      <c r="D5446" t="s">
        <v>485</v>
      </c>
      <c r="E5446">
        <f>2/149</f>
        <v>1.3422818791946308E-2</v>
      </c>
      <c r="F5446">
        <v>74</v>
      </c>
      <c r="G5446">
        <f>LOG(382/(74+1))</f>
        <v>0.7070020995200087</v>
      </c>
      <c r="H5446">
        <f>0.0134228187919463*1.62793249507026</f>
        <v>2.1851442886849114E-2</v>
      </c>
      <c r="I5446">
        <v>2.185144288684919E-2</v>
      </c>
    </row>
    <row r="5447" spans="1:9" x14ac:dyDescent="0.25">
      <c r="A5447">
        <v>322</v>
      </c>
      <c r="B5447" t="s">
        <v>2109</v>
      </c>
      <c r="C5447" t="s">
        <v>10</v>
      </c>
      <c r="D5447" t="s">
        <v>76</v>
      </c>
      <c r="E5447">
        <f>3/149</f>
        <v>2.0134228187919462E-2</v>
      </c>
      <c r="F5447">
        <v>140</v>
      </c>
      <c r="G5447">
        <f>LOG(382/(140+1))</f>
        <v>0.43284425025632883</v>
      </c>
      <c r="H5447">
        <f>0.0201342281879194*0.996660718228407</f>
        <v>2.0066994326746385E-2</v>
      </c>
      <c r="I5447">
        <v>2.0066994326746451E-2</v>
      </c>
    </row>
    <row r="5448" spans="1:9" x14ac:dyDescent="0.25">
      <c r="A5448">
        <v>322</v>
      </c>
      <c r="B5448" t="s">
        <v>2109</v>
      </c>
      <c r="C5448" t="s">
        <v>10</v>
      </c>
      <c r="D5448" t="s">
        <v>40</v>
      </c>
      <c r="E5448">
        <f>4/149</f>
        <v>2.6845637583892617E-2</v>
      </c>
      <c r="F5448">
        <v>159</v>
      </c>
      <c r="G5448">
        <f>LOG(382/(159+1))</f>
        <v>0.377943380255784</v>
      </c>
      <c r="H5448">
        <f>0.0268456375838926*0.870246793372748</f>
        <v>2.336233002342946E-2</v>
      </c>
      <c r="I5448">
        <v>2.3362330023429481E-2</v>
      </c>
    </row>
    <row r="5449" spans="1:9" x14ac:dyDescent="0.25">
      <c r="A5449">
        <v>322</v>
      </c>
      <c r="B5449" t="s">
        <v>2109</v>
      </c>
      <c r="C5449" t="s">
        <v>10</v>
      </c>
      <c r="D5449" t="s">
        <v>41</v>
      </c>
      <c r="E5449">
        <f>2/149</f>
        <v>1.3422818791946308E-2</v>
      </c>
      <c r="F5449">
        <v>195</v>
      </c>
      <c r="G5449">
        <f>LOG(382/(195+1))</f>
        <v>0.28980729155523272</v>
      </c>
      <c r="H5449">
        <f>0.0134228187919463*0.667305949376058</f>
        <v>8.9571268372625173E-3</v>
      </c>
      <c r="I5449">
        <v>8.9571268372625242E-3</v>
      </c>
    </row>
    <row r="5450" spans="1:9" x14ac:dyDescent="0.25">
      <c r="A5450">
        <v>322</v>
      </c>
      <c r="B5450" t="s">
        <v>2109</v>
      </c>
      <c r="C5450" t="s">
        <v>10</v>
      </c>
      <c r="D5450" t="s">
        <v>752</v>
      </c>
      <c r="E5450">
        <f>1/149</f>
        <v>6.7114093959731542E-3</v>
      </c>
      <c r="F5450">
        <v>34</v>
      </c>
      <c r="G5450">
        <f>LOG(382/(34+1))</f>
        <v>1.037995318561433</v>
      </c>
      <c r="H5450">
        <f>0.00671140939597315*2.39007254711716</f>
        <v>1.6040755349779588E-2</v>
      </c>
      <c r="I5450">
        <v>1.6040755349779601E-2</v>
      </c>
    </row>
    <row r="5451" spans="1:9" x14ac:dyDescent="0.25">
      <c r="A5451">
        <v>322</v>
      </c>
      <c r="B5451" t="s">
        <v>2109</v>
      </c>
      <c r="C5451" t="s">
        <v>10</v>
      </c>
      <c r="D5451" t="s">
        <v>2113</v>
      </c>
      <c r="E5451">
        <f>1/149</f>
        <v>6.7114093959731542E-3</v>
      </c>
      <c r="F5451">
        <v>1</v>
      </c>
      <c r="G5451">
        <f>LOG(382/(1+1))</f>
        <v>2.2810333672477277</v>
      </c>
      <c r="H5451">
        <f>0.00671140939597315*5.25227342804663</f>
        <v>3.5250157235212257E-2</v>
      </c>
      <c r="I5451">
        <v>3.5250157235212277E-2</v>
      </c>
    </row>
    <row r="5452" spans="1:9" x14ac:dyDescent="0.25">
      <c r="A5452">
        <v>322</v>
      </c>
      <c r="B5452" t="s">
        <v>2109</v>
      </c>
      <c r="C5452" t="s">
        <v>10</v>
      </c>
      <c r="D5452" t="s">
        <v>247</v>
      </c>
      <c r="E5452">
        <f>2/149</f>
        <v>1.3422818791946308E-2</v>
      </c>
      <c r="F5452">
        <v>121</v>
      </c>
      <c r="G5452">
        <f>LOG(382/(121+1))</f>
        <v>0.49570353223696051</v>
      </c>
      <c r="H5452">
        <f>0.0134228187919463*1.14139956387331</f>
        <v>1.5320799515077978E-2</v>
      </c>
      <c r="I5452">
        <v>1.5320799515078099E-2</v>
      </c>
    </row>
    <row r="5453" spans="1:9" x14ac:dyDescent="0.25">
      <c r="A5453">
        <v>322</v>
      </c>
      <c r="B5453" t="s">
        <v>2109</v>
      </c>
      <c r="C5453" t="s">
        <v>10</v>
      </c>
      <c r="D5453" t="s">
        <v>39</v>
      </c>
      <c r="E5453">
        <f>1/149</f>
        <v>6.7114093959731542E-3</v>
      </c>
      <c r="F5453">
        <v>145</v>
      </c>
      <c r="G5453">
        <f>LOG(382/(145+1))</f>
        <v>0.41771050712727159</v>
      </c>
      <c r="H5453">
        <f>0.00671140939597315*0.961813986898238</f>
        <v>6.4551274288472309E-3</v>
      </c>
      <c r="I5453">
        <v>6.4551274288472396E-3</v>
      </c>
    </row>
    <row r="5454" spans="1:9" x14ac:dyDescent="0.25">
      <c r="A5454">
        <v>322</v>
      </c>
      <c r="B5454" t="s">
        <v>2109</v>
      </c>
      <c r="C5454" t="s">
        <v>10</v>
      </c>
      <c r="D5454" t="s">
        <v>1079</v>
      </c>
      <c r="E5454">
        <f>1/149</f>
        <v>6.7114093959731542E-3</v>
      </c>
      <c r="F5454">
        <v>34</v>
      </c>
      <c r="G5454">
        <f>LOG(382/(34+1))</f>
        <v>1.037995318561433</v>
      </c>
      <c r="H5454">
        <f>0.00671140939597315*2.39007254711716</f>
        <v>1.6040755349779588E-2</v>
      </c>
      <c r="I5454">
        <v>1.6040755349779601E-2</v>
      </c>
    </row>
    <row r="5455" spans="1:9" x14ac:dyDescent="0.25">
      <c r="A5455">
        <v>322</v>
      </c>
      <c r="B5455" t="s">
        <v>2109</v>
      </c>
      <c r="C5455" t="s">
        <v>10</v>
      </c>
      <c r="D5455" t="s">
        <v>119</v>
      </c>
      <c r="E5455">
        <f>1/149</f>
        <v>6.7114093959731542E-3</v>
      </c>
      <c r="F5455">
        <v>79</v>
      </c>
      <c r="G5455">
        <f>LOG(382/(79+1))</f>
        <v>0.67897337591976514</v>
      </c>
      <c r="H5455">
        <f>0.00671140939597315*1.56339397393269</f>
        <v>1.0492577006259657E-2</v>
      </c>
      <c r="I5455">
        <v>1.049257700625969E-2</v>
      </c>
    </row>
    <row r="5456" spans="1:9" x14ac:dyDescent="0.25">
      <c r="A5456">
        <v>322</v>
      </c>
      <c r="B5456" t="s">
        <v>2109</v>
      </c>
      <c r="C5456" t="s">
        <v>10</v>
      </c>
      <c r="D5456" t="s">
        <v>322</v>
      </c>
      <c r="E5456">
        <f>2/149</f>
        <v>1.3422818791946308E-2</v>
      </c>
      <c r="F5456">
        <v>128</v>
      </c>
      <c r="G5456">
        <f>LOG(382/(128+1))</f>
        <v>0.47147365261245977</v>
      </c>
      <c r="H5456">
        <f>0.0134228187919463*1.0856082042449</f>
        <v>1.4571922204629521E-2</v>
      </c>
      <c r="I5456">
        <v>1.457192220462957E-2</v>
      </c>
    </row>
    <row r="5457" spans="1:9" x14ac:dyDescent="0.25">
      <c r="A5457">
        <v>322</v>
      </c>
      <c r="B5457" t="s">
        <v>2109</v>
      </c>
      <c r="C5457" t="s">
        <v>10</v>
      </c>
      <c r="D5457" t="s">
        <v>2114</v>
      </c>
      <c r="E5457">
        <f>1/149</f>
        <v>6.7114093959731542E-3</v>
      </c>
      <c r="F5457">
        <v>1</v>
      </c>
      <c r="G5457">
        <f>LOG(382/(1+1))</f>
        <v>2.2810333672477277</v>
      </c>
      <c r="H5457">
        <f>0.00671140939597315*5.25227342804663</f>
        <v>3.5250157235212257E-2</v>
      </c>
      <c r="I5457">
        <v>3.5250157235212277E-2</v>
      </c>
    </row>
    <row r="5458" spans="1:9" x14ac:dyDescent="0.25">
      <c r="A5458">
        <v>322</v>
      </c>
      <c r="B5458" t="s">
        <v>2109</v>
      </c>
      <c r="C5458" t="s">
        <v>10</v>
      </c>
      <c r="D5458" t="s">
        <v>1533</v>
      </c>
      <c r="E5458">
        <f>3/149</f>
        <v>2.0134228187919462E-2</v>
      </c>
      <c r="F5458">
        <v>33</v>
      </c>
      <c r="G5458">
        <f>LOG(382/(33+1))</f>
        <v>1.0505844458694535</v>
      </c>
      <c r="H5458">
        <f>0.0201342281879194*2.41906008399041</f>
        <v>4.8705907731350383E-2</v>
      </c>
      <c r="I5458">
        <v>4.8705907731350612E-2</v>
      </c>
    </row>
    <row r="5459" spans="1:9" x14ac:dyDescent="0.25">
      <c r="A5459">
        <v>322</v>
      </c>
      <c r="B5459" t="s">
        <v>2109</v>
      </c>
      <c r="C5459" t="s">
        <v>10</v>
      </c>
      <c r="D5459" t="s">
        <v>97</v>
      </c>
      <c r="E5459">
        <f>3/149</f>
        <v>2.0134228187919462E-2</v>
      </c>
      <c r="F5459">
        <v>19</v>
      </c>
      <c r="G5459">
        <f>LOG(382/(19+1))</f>
        <v>1.2810333672477277</v>
      </c>
      <c r="H5459">
        <f>0.0201342281879194*2.94968833505258</f>
        <v>5.9389698021192698E-2</v>
      </c>
      <c r="I5459">
        <v>5.9389698021192969E-2</v>
      </c>
    </row>
    <row r="5460" spans="1:9" x14ac:dyDescent="0.25">
      <c r="A5460">
        <v>322</v>
      </c>
      <c r="B5460" t="s">
        <v>2109</v>
      </c>
      <c r="C5460" t="s">
        <v>10</v>
      </c>
      <c r="D5460" t="s">
        <v>11</v>
      </c>
      <c r="E5460">
        <f>3/149</f>
        <v>2.0134228187919462E-2</v>
      </c>
      <c r="F5460">
        <v>83</v>
      </c>
      <c r="G5460">
        <f>LOG(382/(83+1))</f>
        <v>0.65778407684982709</v>
      </c>
      <c r="H5460">
        <f>0.0201342281879194*1.51460380976326</f>
        <v>3.0495378720065539E-2</v>
      </c>
      <c r="I5460">
        <v>3.049537872006567E-2</v>
      </c>
    </row>
    <row r="5461" spans="1:9" x14ac:dyDescent="0.25">
      <c r="A5461">
        <v>322</v>
      </c>
      <c r="B5461" t="s">
        <v>2109</v>
      </c>
      <c r="C5461" t="s">
        <v>10</v>
      </c>
      <c r="D5461" t="s">
        <v>1534</v>
      </c>
      <c r="E5461">
        <f>1/149</f>
        <v>6.7114093959731542E-3</v>
      </c>
      <c r="F5461">
        <v>25</v>
      </c>
      <c r="G5461">
        <f>LOG(382/(25+1))</f>
        <v>1.1670900149408907</v>
      </c>
      <c r="H5461">
        <f>0.00671140939597315*2.68732407058509</f>
        <v>1.8035732017349586E-2</v>
      </c>
      <c r="I5461">
        <v>1.8035732017349621E-2</v>
      </c>
    </row>
    <row r="5462" spans="1:9" x14ac:dyDescent="0.25">
      <c r="A5462">
        <v>322</v>
      </c>
      <c r="B5462" t="s">
        <v>2109</v>
      </c>
      <c r="C5462" t="s">
        <v>10</v>
      </c>
      <c r="D5462" t="s">
        <v>237</v>
      </c>
      <c r="E5462">
        <f>2/149</f>
        <v>1.3422818791946308E-2</v>
      </c>
      <c r="F5462">
        <v>138</v>
      </c>
      <c r="G5462">
        <f>LOG(382/(138+1))</f>
        <v>0.43904856265761361</v>
      </c>
      <c r="H5462">
        <f>0.0134228187919463*1.01094667547588</f>
        <v>1.3569754033233281E-2</v>
      </c>
      <c r="I5462">
        <v>1.3569754033233331E-2</v>
      </c>
    </row>
    <row r="5463" spans="1:9" x14ac:dyDescent="0.25">
      <c r="A5463">
        <v>322</v>
      </c>
      <c r="B5463" t="s">
        <v>2109</v>
      </c>
      <c r="C5463" t="s">
        <v>10</v>
      </c>
      <c r="D5463" t="s">
        <v>2115</v>
      </c>
      <c r="E5463">
        <f>1/149</f>
        <v>6.7114093959731542E-3</v>
      </c>
      <c r="F5463">
        <v>2</v>
      </c>
      <c r="G5463">
        <f>LOG(382/(2+1))</f>
        <v>2.1049421081920463</v>
      </c>
      <c r="H5463">
        <f>0.00671140939597315*4.84680831993846</f>
        <v>3.2528914898915816E-2</v>
      </c>
      <c r="I5463">
        <v>3.2528914898915871E-2</v>
      </c>
    </row>
    <row r="5464" spans="1:9" x14ac:dyDescent="0.25">
      <c r="A5464">
        <v>322</v>
      </c>
      <c r="B5464" t="s">
        <v>2109</v>
      </c>
      <c r="C5464" t="s">
        <v>10</v>
      </c>
      <c r="D5464" t="s">
        <v>2116</v>
      </c>
      <c r="E5464">
        <f>1/149</f>
        <v>6.7114093959731542E-3</v>
      </c>
      <c r="F5464">
        <v>1</v>
      </c>
      <c r="G5464">
        <f>LOG(382/(1+1))</f>
        <v>2.2810333672477277</v>
      </c>
      <c r="H5464">
        <f>0.00671140939597315*5.25227342804663</f>
        <v>3.5250157235212257E-2</v>
      </c>
      <c r="I5464">
        <v>3.5250157235212277E-2</v>
      </c>
    </row>
    <row r="5465" spans="1:9" x14ac:dyDescent="0.25">
      <c r="A5465">
        <v>322</v>
      </c>
      <c r="B5465" t="s">
        <v>2109</v>
      </c>
      <c r="C5465" t="s">
        <v>10</v>
      </c>
      <c r="D5465" t="s">
        <v>1081</v>
      </c>
      <c r="E5465">
        <f>2/149</f>
        <v>1.3422818791946308E-2</v>
      </c>
      <c r="F5465">
        <v>27</v>
      </c>
      <c r="G5465">
        <f>LOG(382/(27+1))</f>
        <v>1.1349053315694895</v>
      </c>
      <c r="H5465">
        <f>0.0134228187919463*2.61321609843137</f>
        <v>3.5076726153441186E-2</v>
      </c>
      <c r="I5465">
        <v>3.5076726153441221E-2</v>
      </c>
    </row>
    <row r="5466" spans="1:9" x14ac:dyDescent="0.25">
      <c r="A5466">
        <v>322</v>
      </c>
      <c r="B5466" t="s">
        <v>2109</v>
      </c>
      <c r="C5466" t="s">
        <v>10</v>
      </c>
      <c r="D5466" t="s">
        <v>152</v>
      </c>
      <c r="E5466">
        <f t="shared" ref="E5466:E5472" si="245">1/149</f>
        <v>6.7114093959731542E-3</v>
      </c>
      <c r="F5466">
        <v>31</v>
      </c>
      <c r="G5466">
        <f>LOG(382/(31+1))</f>
        <v>1.0769133845918029</v>
      </c>
      <c r="H5466">
        <f>0.00671140939597315*2.47968470580684</f>
        <v>1.6642179233602943E-2</v>
      </c>
      <c r="I5466">
        <v>1.6642179233603008E-2</v>
      </c>
    </row>
    <row r="5467" spans="1:9" x14ac:dyDescent="0.25">
      <c r="A5467">
        <v>322</v>
      </c>
      <c r="B5467" t="s">
        <v>2109</v>
      </c>
      <c r="C5467" t="s">
        <v>10</v>
      </c>
      <c r="D5467" t="s">
        <v>764</v>
      </c>
      <c r="E5467">
        <f t="shared" si="245"/>
        <v>6.7114093959731542E-3</v>
      </c>
      <c r="F5467">
        <v>57</v>
      </c>
      <c r="G5467">
        <f>LOG(382/(57+1))</f>
        <v>0.81863536934877146</v>
      </c>
      <c r="H5467">
        <f>0.00671140939597315*1.88497759806015</f>
        <v>1.265085636281979E-2</v>
      </c>
      <c r="I5467">
        <v>1.265085636281984E-2</v>
      </c>
    </row>
    <row r="5468" spans="1:9" x14ac:dyDescent="0.25">
      <c r="A5468">
        <v>322</v>
      </c>
      <c r="B5468" t="s">
        <v>2109</v>
      </c>
      <c r="C5468" t="s">
        <v>10</v>
      </c>
      <c r="D5468" t="s">
        <v>279</v>
      </c>
      <c r="E5468">
        <f t="shared" si="245"/>
        <v>6.7114093959731542E-3</v>
      </c>
      <c r="F5468">
        <v>22</v>
      </c>
      <c r="G5468">
        <f>LOG(382/(22+1))</f>
        <v>1.2203355268941158</v>
      </c>
      <c r="H5468">
        <f>0.00671140939597315*2.80992639267742</f>
        <v>1.8858566393808174E-2</v>
      </c>
      <c r="I5468">
        <v>1.8858566393808229E-2</v>
      </c>
    </row>
    <row r="5469" spans="1:9" x14ac:dyDescent="0.25">
      <c r="A5469">
        <v>322</v>
      </c>
      <c r="B5469" t="s">
        <v>2109</v>
      </c>
      <c r="C5469" t="s">
        <v>10</v>
      </c>
      <c r="D5469" t="s">
        <v>2117</v>
      </c>
      <c r="E5469">
        <f t="shared" si="245"/>
        <v>6.7114093959731542E-3</v>
      </c>
      <c r="F5469">
        <v>1</v>
      </c>
      <c r="G5469">
        <f>LOG(382/(1+1))</f>
        <v>2.2810333672477277</v>
      </c>
      <c r="H5469">
        <f>0.00671140939597315*5.25227342804663</f>
        <v>3.5250157235212257E-2</v>
      </c>
      <c r="I5469">
        <v>3.5250157235212277E-2</v>
      </c>
    </row>
    <row r="5470" spans="1:9" x14ac:dyDescent="0.25">
      <c r="A5470">
        <v>322</v>
      </c>
      <c r="B5470" t="s">
        <v>2109</v>
      </c>
      <c r="C5470" t="s">
        <v>10</v>
      </c>
      <c r="D5470" t="s">
        <v>2118</v>
      </c>
      <c r="E5470">
        <f t="shared" si="245"/>
        <v>6.7114093959731542E-3</v>
      </c>
      <c r="F5470">
        <v>1</v>
      </c>
      <c r="G5470">
        <f>LOG(382/(1+1))</f>
        <v>2.2810333672477277</v>
      </c>
      <c r="H5470">
        <f>0.00671140939597315*5.25227342804663</f>
        <v>3.5250157235212257E-2</v>
      </c>
      <c r="I5470">
        <v>3.5250157235212277E-2</v>
      </c>
    </row>
    <row r="5471" spans="1:9" x14ac:dyDescent="0.25">
      <c r="A5471">
        <v>322</v>
      </c>
      <c r="B5471" t="s">
        <v>2109</v>
      </c>
      <c r="C5471" t="s">
        <v>10</v>
      </c>
      <c r="D5471" t="s">
        <v>98</v>
      </c>
      <c r="E5471">
        <f t="shared" si="245"/>
        <v>6.7114093959731542E-3</v>
      </c>
      <c r="F5471">
        <v>56</v>
      </c>
      <c r="G5471">
        <f>LOG(382/(56+1))</f>
        <v>0.82618850723921733</v>
      </c>
      <c r="H5471">
        <f>0.00671140939597315*1.90236934077202</f>
        <v>1.2767579468268581E-2</v>
      </c>
      <c r="I5471">
        <v>1.2767579468268619E-2</v>
      </c>
    </row>
    <row r="5472" spans="1:9" x14ac:dyDescent="0.25">
      <c r="A5472">
        <v>322</v>
      </c>
      <c r="B5472" t="s">
        <v>2109</v>
      </c>
      <c r="C5472" t="s">
        <v>10</v>
      </c>
      <c r="D5472" t="s">
        <v>932</v>
      </c>
      <c r="E5472">
        <f t="shared" si="245"/>
        <v>6.7114093959731542E-3</v>
      </c>
      <c r="F5472">
        <v>35</v>
      </c>
      <c r="G5472">
        <f>LOG(382/(35+1))</f>
        <v>1.0257608621444214</v>
      </c>
      <c r="H5472">
        <f>0.00671140939597315*2.36190167015046</f>
        <v>1.5851689061412474E-2</v>
      </c>
      <c r="I5472">
        <v>1.585168906141252E-2</v>
      </c>
    </row>
    <row r="5473" spans="1:9" x14ac:dyDescent="0.25">
      <c r="A5473">
        <v>322</v>
      </c>
      <c r="B5473" t="s">
        <v>2109</v>
      </c>
      <c r="C5473" t="s">
        <v>10</v>
      </c>
      <c r="D5473" t="s">
        <v>133</v>
      </c>
      <c r="E5473">
        <f>3/149</f>
        <v>2.0134228187919462E-2</v>
      </c>
      <c r="F5473">
        <v>142</v>
      </c>
      <c r="G5473">
        <f>LOG(382/(142+1))</f>
        <v>0.42672732544664693</v>
      </c>
      <c r="H5473">
        <f>0.0201342281879194*0.982575978346667</f>
        <v>1.9783408959999943E-2</v>
      </c>
      <c r="I5473">
        <v>1.9783408960000019E-2</v>
      </c>
    </row>
    <row r="5474" spans="1:9" x14ac:dyDescent="0.25">
      <c r="A5474">
        <v>322</v>
      </c>
      <c r="B5474" t="s">
        <v>2109</v>
      </c>
      <c r="C5474" t="s">
        <v>10</v>
      </c>
      <c r="D5474" t="s">
        <v>2119</v>
      </c>
      <c r="E5474">
        <f t="shared" ref="E5474:E5497" si="246">1/149</f>
        <v>6.7114093959731542E-3</v>
      </c>
      <c r="F5474">
        <v>1</v>
      </c>
      <c r="G5474">
        <f>LOG(382/(1+1))</f>
        <v>2.2810333672477277</v>
      </c>
      <c r="H5474">
        <f>0.00671140939597315*5.25227342804663</f>
        <v>3.5250157235212257E-2</v>
      </c>
      <c r="I5474">
        <v>3.5250157235212277E-2</v>
      </c>
    </row>
    <row r="5475" spans="1:9" x14ac:dyDescent="0.25">
      <c r="A5475">
        <v>322</v>
      </c>
      <c r="B5475" t="s">
        <v>2109</v>
      </c>
      <c r="C5475" t="s">
        <v>10</v>
      </c>
      <c r="D5475" t="s">
        <v>2120</v>
      </c>
      <c r="E5475">
        <f t="shared" si="246"/>
        <v>6.7114093959731542E-3</v>
      </c>
      <c r="F5475">
        <v>1</v>
      </c>
      <c r="G5475">
        <f>LOG(382/(1+1))</f>
        <v>2.2810333672477277</v>
      </c>
      <c r="H5475">
        <f>0.00671140939597315*5.25227342804663</f>
        <v>3.5250157235212257E-2</v>
      </c>
      <c r="I5475">
        <v>3.5250157235212277E-2</v>
      </c>
    </row>
    <row r="5476" spans="1:9" x14ac:dyDescent="0.25">
      <c r="A5476">
        <v>322</v>
      </c>
      <c r="B5476" t="s">
        <v>2109</v>
      </c>
      <c r="C5476" t="s">
        <v>10</v>
      </c>
      <c r="D5476" t="s">
        <v>134</v>
      </c>
      <c r="E5476">
        <f t="shared" si="246"/>
        <v>6.7114093959731542E-3</v>
      </c>
      <c r="F5476">
        <v>21</v>
      </c>
      <c r="G5476">
        <f>LOG(382/(21+1))</f>
        <v>1.2396406820895025</v>
      </c>
      <c r="H5476">
        <f>0.00671140939597315*2.85437815524825</f>
        <v>1.9156900370793612E-2</v>
      </c>
      <c r="I5476">
        <v>1.9156900370793681E-2</v>
      </c>
    </row>
    <row r="5477" spans="1:9" x14ac:dyDescent="0.25">
      <c r="A5477">
        <v>322</v>
      </c>
      <c r="B5477" t="s">
        <v>2109</v>
      </c>
      <c r="C5477" t="s">
        <v>10</v>
      </c>
      <c r="D5477" t="s">
        <v>136</v>
      </c>
      <c r="E5477">
        <f t="shared" si="246"/>
        <v>6.7114093959731542E-3</v>
      </c>
      <c r="F5477">
        <v>17</v>
      </c>
      <c r="G5477">
        <f>LOG(382/(17+1))</f>
        <v>1.3267908578084027</v>
      </c>
      <c r="H5477">
        <f>0.00671140939597315*3.05504885071041</f>
        <v>2.0503683561814819E-2</v>
      </c>
      <c r="I5477">
        <v>2.0503683561814829E-2</v>
      </c>
    </row>
    <row r="5478" spans="1:9" x14ac:dyDescent="0.25">
      <c r="A5478">
        <v>322</v>
      </c>
      <c r="B5478" t="s">
        <v>2109</v>
      </c>
      <c r="C5478" t="s">
        <v>10</v>
      </c>
      <c r="D5478" t="s">
        <v>939</v>
      </c>
      <c r="E5478">
        <f t="shared" si="246"/>
        <v>6.7114093959731542E-3</v>
      </c>
      <c r="F5478">
        <v>35</v>
      </c>
      <c r="G5478">
        <f>LOG(382/(35+1))</f>
        <v>1.0257608621444214</v>
      </c>
      <c r="H5478">
        <f>0.00671140939597315*2.36190167015046</f>
        <v>1.5851689061412474E-2</v>
      </c>
      <c r="I5478">
        <v>1.585168906141252E-2</v>
      </c>
    </row>
    <row r="5479" spans="1:9" x14ac:dyDescent="0.25">
      <c r="A5479">
        <v>322</v>
      </c>
      <c r="B5479" t="s">
        <v>2109</v>
      </c>
      <c r="C5479" t="s">
        <v>10</v>
      </c>
      <c r="D5479" t="s">
        <v>327</v>
      </c>
      <c r="E5479">
        <f t="shared" si="246"/>
        <v>6.7114093959731542E-3</v>
      </c>
      <c r="F5479">
        <v>46</v>
      </c>
      <c r="G5479">
        <f>LOG(382/(46+1))</f>
        <v>0.90996550497599127</v>
      </c>
      <c r="H5479">
        <f>0.00671140939597315*2.09527300689651</f>
        <v>1.4062234945614153E-2</v>
      </c>
      <c r="I5479">
        <v>1.40622349456142E-2</v>
      </c>
    </row>
    <row r="5480" spans="1:9" x14ac:dyDescent="0.25">
      <c r="A5480">
        <v>322</v>
      </c>
      <c r="B5480" t="s">
        <v>2109</v>
      </c>
      <c r="C5480" t="s">
        <v>10</v>
      </c>
      <c r="D5480" t="s">
        <v>1083</v>
      </c>
      <c r="E5480">
        <f t="shared" si="246"/>
        <v>6.7114093959731542E-3</v>
      </c>
      <c r="F5480">
        <v>51</v>
      </c>
      <c r="G5480">
        <f>LOG(382/(51+1))</f>
        <v>0.86606001927690957</v>
      </c>
      <c r="H5480">
        <f>0.00671140939597315*1.99417689002514</f>
        <v>1.338373751694724E-2</v>
      </c>
      <c r="I5480">
        <v>1.3383737516947301E-2</v>
      </c>
    </row>
    <row r="5481" spans="1:9" x14ac:dyDescent="0.25">
      <c r="A5481">
        <v>322</v>
      </c>
      <c r="B5481" t="s">
        <v>2109</v>
      </c>
      <c r="C5481" t="s">
        <v>10</v>
      </c>
      <c r="D5481" t="s">
        <v>594</v>
      </c>
      <c r="E5481">
        <f t="shared" si="246"/>
        <v>6.7114093959731542E-3</v>
      </c>
      <c r="F5481">
        <v>36</v>
      </c>
      <c r="G5481">
        <f>LOG(382/(36+1))</f>
        <v>1.0138616388447137</v>
      </c>
      <c r="H5481">
        <f>0.00671140939597315*2.33450269596235</f>
        <v>1.5667803328606365E-2</v>
      </c>
      <c r="I5481">
        <v>1.5667803328606379E-2</v>
      </c>
    </row>
    <row r="5482" spans="1:9" x14ac:dyDescent="0.25">
      <c r="A5482">
        <v>322</v>
      </c>
      <c r="B5482" t="s">
        <v>2109</v>
      </c>
      <c r="C5482" t="s">
        <v>10</v>
      </c>
      <c r="D5482" t="s">
        <v>339</v>
      </c>
      <c r="E5482">
        <f t="shared" si="246"/>
        <v>6.7114093959731542E-3</v>
      </c>
      <c r="F5482">
        <v>66</v>
      </c>
      <c r="G5482">
        <f>LOG(382/(66+1))</f>
        <v>0.75598856021088234</v>
      </c>
      <c r="H5482">
        <f>0.00671140939597315*1.7407279892156</f>
        <v>1.1682738182655026E-2</v>
      </c>
      <c r="I5482">
        <v>1.1682738182655091E-2</v>
      </c>
    </row>
    <row r="5483" spans="1:9" x14ac:dyDescent="0.25">
      <c r="A5483">
        <v>322</v>
      </c>
      <c r="B5483" t="s">
        <v>2109</v>
      </c>
      <c r="C5483" t="s">
        <v>10</v>
      </c>
      <c r="D5483" t="s">
        <v>144</v>
      </c>
      <c r="E5483">
        <f t="shared" si="246"/>
        <v>6.7114093959731542E-3</v>
      </c>
      <c r="F5483">
        <v>105</v>
      </c>
      <c r="G5483">
        <f>LOG(382/(105+1))</f>
        <v>0.55675749764693849</v>
      </c>
      <c r="H5483">
        <f>0.00671140939597315*1.2819815144945</f>
        <v>8.603902781842275E-3</v>
      </c>
      <c r="I5483">
        <v>8.603902781842334E-3</v>
      </c>
    </row>
    <row r="5484" spans="1:9" x14ac:dyDescent="0.25">
      <c r="A5484">
        <v>322</v>
      </c>
      <c r="B5484" t="s">
        <v>2109</v>
      </c>
      <c r="C5484" t="s">
        <v>10</v>
      </c>
      <c r="D5484" t="s">
        <v>1514</v>
      </c>
      <c r="E5484">
        <f t="shared" si="246"/>
        <v>6.7114093959731542E-3</v>
      </c>
      <c r="F5484">
        <v>5</v>
      </c>
      <c r="G5484">
        <f>LOG(382/(5+1))</f>
        <v>1.803912112528065</v>
      </c>
      <c r="H5484">
        <f>0.00671140939597315*4.15366113937852</f>
        <v>2.7876920398513538E-2</v>
      </c>
      <c r="I5484">
        <v>2.7876920398513551E-2</v>
      </c>
    </row>
    <row r="5485" spans="1:9" x14ac:dyDescent="0.25">
      <c r="A5485">
        <v>322</v>
      </c>
      <c r="B5485" t="s">
        <v>2109</v>
      </c>
      <c r="C5485" t="s">
        <v>10</v>
      </c>
      <c r="D5485" t="s">
        <v>542</v>
      </c>
      <c r="E5485">
        <f t="shared" si="246"/>
        <v>6.7114093959731542E-3</v>
      </c>
      <c r="F5485">
        <v>42</v>
      </c>
      <c r="G5485">
        <f>LOG(382/(42+1))</f>
        <v>0.94859490733212215</v>
      </c>
      <c r="H5485">
        <f>0.00671140939597315*2.18422049291301</f>
        <v>1.4659197939013479E-2</v>
      </c>
      <c r="I5485">
        <v>1.465919793901351E-2</v>
      </c>
    </row>
    <row r="5486" spans="1:9" x14ac:dyDescent="0.25">
      <c r="A5486">
        <v>322</v>
      </c>
      <c r="B5486" t="s">
        <v>2109</v>
      </c>
      <c r="C5486" t="s">
        <v>10</v>
      </c>
      <c r="D5486" t="s">
        <v>432</v>
      </c>
      <c r="E5486">
        <f t="shared" si="246"/>
        <v>6.7114093959731542E-3</v>
      </c>
      <c r="F5486">
        <v>67</v>
      </c>
      <c r="G5486">
        <f>LOG(382/(67+1))</f>
        <v>0.7495544502054724</v>
      </c>
      <c r="H5486">
        <f>0.00671140939597315*1.72591290343046</f>
        <v>1.1583308076714489E-2</v>
      </c>
      <c r="I5486">
        <v>1.158330807671455E-2</v>
      </c>
    </row>
    <row r="5487" spans="1:9" x14ac:dyDescent="0.25">
      <c r="A5487">
        <v>322</v>
      </c>
      <c r="B5487" t="s">
        <v>2109</v>
      </c>
      <c r="C5487" t="s">
        <v>10</v>
      </c>
      <c r="D5487" t="s">
        <v>1473</v>
      </c>
      <c r="E5487">
        <f t="shared" si="246"/>
        <v>6.7114093959731542E-3</v>
      </c>
      <c r="F5487">
        <v>39</v>
      </c>
      <c r="G5487">
        <f>LOG(382/(39+1))</f>
        <v>0.9800033715837464</v>
      </c>
      <c r="H5487">
        <f>0.00671140939597315*2.25654115449263</f>
        <v>1.5144571506661937E-2</v>
      </c>
      <c r="I5487">
        <v>1.514457150666201E-2</v>
      </c>
    </row>
    <row r="5488" spans="1:9" x14ac:dyDescent="0.25">
      <c r="A5488">
        <v>322</v>
      </c>
      <c r="B5488" t="s">
        <v>2109</v>
      </c>
      <c r="C5488" t="s">
        <v>10</v>
      </c>
      <c r="D5488" t="s">
        <v>600</v>
      </c>
      <c r="E5488">
        <f t="shared" si="246"/>
        <v>6.7114093959731542E-3</v>
      </c>
      <c r="F5488">
        <v>102</v>
      </c>
      <c r="G5488">
        <f>LOG(382/(102+1))</f>
        <v>0.56922613820653656</v>
      </c>
      <c r="H5488">
        <f>0.00671140939597315*1.31069162037693</f>
        <v>8.7965880562210011E-3</v>
      </c>
      <c r="I5488">
        <v>8.7965880562210705E-3</v>
      </c>
    </row>
    <row r="5489" spans="1:9" x14ac:dyDescent="0.25">
      <c r="A5489">
        <v>322</v>
      </c>
      <c r="B5489" t="s">
        <v>2109</v>
      </c>
      <c r="C5489" t="s">
        <v>10</v>
      </c>
      <c r="D5489" t="s">
        <v>1433</v>
      </c>
      <c r="E5489">
        <f t="shared" si="246"/>
        <v>6.7114093959731542E-3</v>
      </c>
      <c r="F5489">
        <v>21</v>
      </c>
      <c r="G5489">
        <f>LOG(382/(21+1))</f>
        <v>1.2396406820895025</v>
      </c>
      <c r="H5489">
        <f>0.00671140939597315*2.85437815524825</f>
        <v>1.9156900370793612E-2</v>
      </c>
      <c r="I5489">
        <v>1.9156900370793681E-2</v>
      </c>
    </row>
    <row r="5490" spans="1:9" x14ac:dyDescent="0.25">
      <c r="A5490">
        <v>322</v>
      </c>
      <c r="B5490" t="s">
        <v>2109</v>
      </c>
      <c r="C5490" t="s">
        <v>10</v>
      </c>
      <c r="D5490" t="s">
        <v>2070</v>
      </c>
      <c r="E5490">
        <f t="shared" si="246"/>
        <v>6.7114093959731542E-3</v>
      </c>
      <c r="F5490">
        <v>5</v>
      </c>
      <c r="G5490">
        <f>LOG(382/(5+1))</f>
        <v>1.803912112528065</v>
      </c>
      <c r="H5490">
        <f>0.00671140939597315*4.15366113937852</f>
        <v>2.7876920398513538E-2</v>
      </c>
      <c r="I5490">
        <v>2.7876920398513551E-2</v>
      </c>
    </row>
    <row r="5491" spans="1:9" x14ac:dyDescent="0.25">
      <c r="A5491">
        <v>322</v>
      </c>
      <c r="B5491" t="s">
        <v>2109</v>
      </c>
      <c r="C5491" t="s">
        <v>10</v>
      </c>
      <c r="D5491" t="s">
        <v>2121</v>
      </c>
      <c r="E5491">
        <f t="shared" si="246"/>
        <v>6.7114093959731542E-3</v>
      </c>
      <c r="F5491">
        <v>1</v>
      </c>
      <c r="G5491">
        <f>LOG(382/(1+1))</f>
        <v>2.2810333672477277</v>
      </c>
      <c r="H5491">
        <f>0.00671140939597315*5.25227342804663</f>
        <v>3.5250157235212257E-2</v>
      </c>
      <c r="I5491">
        <v>3.5250157235212277E-2</v>
      </c>
    </row>
    <row r="5492" spans="1:9" x14ac:dyDescent="0.25">
      <c r="A5492">
        <v>322</v>
      </c>
      <c r="B5492" t="s">
        <v>2109</v>
      </c>
      <c r="C5492" t="s">
        <v>10</v>
      </c>
      <c r="D5492" t="s">
        <v>1362</v>
      </c>
      <c r="E5492">
        <f t="shared" si="246"/>
        <v>6.7114093959731542E-3</v>
      </c>
      <c r="F5492">
        <v>12</v>
      </c>
      <c r="G5492">
        <f>LOG(382/(12+1))</f>
        <v>1.468120010604872</v>
      </c>
      <c r="H5492">
        <f>0.00671140939597315*3.38047125114503</f>
        <v>2.2687726517751864E-2</v>
      </c>
      <c r="I5492">
        <v>2.268772651775194E-2</v>
      </c>
    </row>
    <row r="5493" spans="1:9" x14ac:dyDescent="0.25">
      <c r="A5493">
        <v>322</v>
      </c>
      <c r="B5493" t="s">
        <v>2109</v>
      </c>
      <c r="C5493" t="s">
        <v>10</v>
      </c>
      <c r="D5493" t="s">
        <v>121</v>
      </c>
      <c r="E5493">
        <f t="shared" si="246"/>
        <v>6.7114093959731542E-3</v>
      </c>
      <c r="F5493">
        <v>22</v>
      </c>
      <c r="G5493">
        <f>LOG(382/(22+1))</f>
        <v>1.2203355268941158</v>
      </c>
      <c r="H5493">
        <f>0.00671140939597315*2.80992639267742</f>
        <v>1.8858566393808174E-2</v>
      </c>
      <c r="I5493">
        <v>1.8858566393808229E-2</v>
      </c>
    </row>
    <row r="5494" spans="1:9" x14ac:dyDescent="0.25">
      <c r="A5494">
        <v>322</v>
      </c>
      <c r="B5494" t="s">
        <v>2109</v>
      </c>
      <c r="C5494" t="s">
        <v>10</v>
      </c>
      <c r="D5494" t="s">
        <v>2122</v>
      </c>
      <c r="E5494">
        <f t="shared" si="246"/>
        <v>6.7114093959731542E-3</v>
      </c>
      <c r="F5494">
        <v>1</v>
      </c>
      <c r="G5494">
        <f>LOG(382/(1+1))</f>
        <v>2.2810333672477277</v>
      </c>
      <c r="H5494">
        <f>0.00671140939597315*5.25227342804663</f>
        <v>3.5250157235212257E-2</v>
      </c>
      <c r="I5494">
        <v>3.5250157235212277E-2</v>
      </c>
    </row>
    <row r="5495" spans="1:9" x14ac:dyDescent="0.25">
      <c r="A5495">
        <v>322</v>
      </c>
      <c r="B5495" t="s">
        <v>2109</v>
      </c>
      <c r="C5495" t="s">
        <v>10</v>
      </c>
      <c r="D5495" t="s">
        <v>361</v>
      </c>
      <c r="E5495">
        <f t="shared" si="246"/>
        <v>6.7114093959731542E-3</v>
      </c>
      <c r="F5495">
        <v>118</v>
      </c>
      <c r="G5495">
        <f>LOG(382/(118+1))</f>
        <v>0.50651640151917798</v>
      </c>
      <c r="H5495">
        <f>0.00671140939597315*1.16629711549504</f>
        <v>7.8274974194297922E-3</v>
      </c>
      <c r="I5495">
        <v>7.8274974194298373E-3</v>
      </c>
    </row>
    <row r="5496" spans="1:9" x14ac:dyDescent="0.25">
      <c r="A5496">
        <v>322</v>
      </c>
      <c r="B5496" t="s">
        <v>2109</v>
      </c>
      <c r="C5496" t="s">
        <v>10</v>
      </c>
      <c r="D5496" t="s">
        <v>434</v>
      </c>
      <c r="E5496">
        <f t="shared" si="246"/>
        <v>6.7114093959731542E-3</v>
      </c>
      <c r="F5496">
        <v>97</v>
      </c>
      <c r="G5496">
        <f>LOG(382/(97+1))</f>
        <v>0.59083728721921391</v>
      </c>
      <c r="H5496">
        <f>0.00671140939597315*1.360453129936</f>
        <v>9.1305579190335516E-3</v>
      </c>
      <c r="I5496">
        <v>9.1305579190335776E-3</v>
      </c>
    </row>
    <row r="5497" spans="1:9" x14ac:dyDescent="0.25">
      <c r="A5497">
        <v>322</v>
      </c>
      <c r="B5497" t="s">
        <v>2109</v>
      </c>
      <c r="C5497" t="s">
        <v>10</v>
      </c>
      <c r="D5497" t="s">
        <v>444</v>
      </c>
      <c r="E5497">
        <f t="shared" si="246"/>
        <v>6.7114093959731542E-3</v>
      </c>
      <c r="F5497">
        <v>28</v>
      </c>
      <c r="G5497">
        <f>LOG(382/(28+1))</f>
        <v>1.1196653650127526</v>
      </c>
      <c r="H5497">
        <f>0.00671140939597315*2.5781247786201</f>
        <v>1.7302850863222134E-2</v>
      </c>
      <c r="I5497">
        <v>1.7302850863222159E-2</v>
      </c>
    </row>
    <row r="5498" spans="1:9" x14ac:dyDescent="0.25">
      <c r="A5498">
        <v>322</v>
      </c>
      <c r="B5498" t="s">
        <v>2109</v>
      </c>
      <c r="C5498" t="s">
        <v>10</v>
      </c>
      <c r="D5498" t="s">
        <v>445</v>
      </c>
      <c r="E5498">
        <f>2/149</f>
        <v>1.3422818791946308E-2</v>
      </c>
      <c r="F5498">
        <v>35</v>
      </c>
      <c r="G5498">
        <f>LOG(382/(35+1))</f>
        <v>1.0257608621444214</v>
      </c>
      <c r="H5498">
        <f>0.0134228187919463*2.36190167015046</f>
        <v>3.1703378122824949E-2</v>
      </c>
      <c r="I5498">
        <v>3.1703378122825032E-2</v>
      </c>
    </row>
    <row r="5499" spans="1:9" x14ac:dyDescent="0.25">
      <c r="A5499">
        <v>322</v>
      </c>
      <c r="B5499" t="s">
        <v>2109</v>
      </c>
      <c r="C5499" t="s">
        <v>10</v>
      </c>
      <c r="D5499" t="s">
        <v>310</v>
      </c>
      <c r="E5499">
        <f t="shared" ref="E5499:E5515" si="247">1/149</f>
        <v>6.7114093959731542E-3</v>
      </c>
      <c r="F5499">
        <v>50</v>
      </c>
      <c r="G5499">
        <f>LOG(382/(50+1))</f>
        <v>0.87449318681377242</v>
      </c>
      <c r="H5499">
        <f>0.00671140939597315*2.01359497588224</f>
        <v>1.3514060240820393E-2</v>
      </c>
      <c r="I5499">
        <v>1.3514060240820471E-2</v>
      </c>
    </row>
    <row r="5500" spans="1:9" x14ac:dyDescent="0.25">
      <c r="A5500">
        <v>322</v>
      </c>
      <c r="B5500" t="s">
        <v>2109</v>
      </c>
      <c r="C5500" t="s">
        <v>10</v>
      </c>
      <c r="D5500" t="s">
        <v>2123</v>
      </c>
      <c r="E5500">
        <f t="shared" si="247"/>
        <v>6.7114093959731542E-3</v>
      </c>
      <c r="F5500">
        <v>1</v>
      </c>
      <c r="G5500">
        <f>LOG(382/(1+1))</f>
        <v>2.2810333672477277</v>
      </c>
      <c r="H5500">
        <f>0.00671140939597315*5.25227342804663</f>
        <v>3.5250157235212257E-2</v>
      </c>
      <c r="I5500">
        <v>3.5250157235212277E-2</v>
      </c>
    </row>
    <row r="5501" spans="1:9" x14ac:dyDescent="0.25">
      <c r="A5501">
        <v>322</v>
      </c>
      <c r="B5501" t="s">
        <v>2109</v>
      </c>
      <c r="C5501" t="s">
        <v>10</v>
      </c>
      <c r="D5501" t="s">
        <v>1176</v>
      </c>
      <c r="E5501">
        <f t="shared" si="247"/>
        <v>6.7114093959731542E-3</v>
      </c>
      <c r="F5501">
        <v>15</v>
      </c>
      <c r="G5501">
        <f>LOG(382/(15+1))</f>
        <v>1.3779433802557839</v>
      </c>
      <c r="H5501">
        <f>0.00671140939597315*3.17283188636679</f>
        <v>2.129417373400529E-2</v>
      </c>
      <c r="I5501">
        <v>2.1294173734005328E-2</v>
      </c>
    </row>
    <row r="5502" spans="1:9" x14ac:dyDescent="0.25">
      <c r="A5502">
        <v>322</v>
      </c>
      <c r="B5502" t="s">
        <v>2109</v>
      </c>
      <c r="C5502" t="s">
        <v>10</v>
      </c>
      <c r="D5502" t="s">
        <v>1073</v>
      </c>
      <c r="E5502">
        <f t="shared" si="247"/>
        <v>6.7114093959731542E-3</v>
      </c>
      <c r="F5502">
        <v>25</v>
      </c>
      <c r="G5502">
        <f>LOG(382/(25+1))</f>
        <v>1.1670900149408907</v>
      </c>
      <c r="H5502">
        <f>0.00671140939597315*2.68732407058509</f>
        <v>1.8035732017349586E-2</v>
      </c>
      <c r="I5502">
        <v>1.8035732017349621E-2</v>
      </c>
    </row>
    <row r="5503" spans="1:9" x14ac:dyDescent="0.25">
      <c r="A5503">
        <v>322</v>
      </c>
      <c r="B5503" t="s">
        <v>2109</v>
      </c>
      <c r="C5503" t="s">
        <v>10</v>
      </c>
      <c r="D5503" t="s">
        <v>2036</v>
      </c>
      <c r="E5503">
        <f t="shared" si="247"/>
        <v>6.7114093959731542E-3</v>
      </c>
      <c r="F5503">
        <v>7</v>
      </c>
      <c r="G5503">
        <f>LOG(382/(7+1))</f>
        <v>1.6789733759197651</v>
      </c>
      <c r="H5503">
        <f>0.00671140939597315*3.86597906692673</f>
        <v>2.5946168234407568E-2</v>
      </c>
      <c r="I5503">
        <v>2.5946168234407641E-2</v>
      </c>
    </row>
    <row r="5504" spans="1:9" x14ac:dyDescent="0.25">
      <c r="A5504">
        <v>322</v>
      </c>
      <c r="B5504" t="s">
        <v>2109</v>
      </c>
      <c r="C5504" t="s">
        <v>10</v>
      </c>
      <c r="D5504" t="s">
        <v>490</v>
      </c>
      <c r="E5504">
        <f t="shared" si="247"/>
        <v>6.7114093959731542E-3</v>
      </c>
      <c r="F5504">
        <v>31</v>
      </c>
      <c r="G5504">
        <f>LOG(382/(31+1))</f>
        <v>1.0769133845918029</v>
      </c>
      <c r="H5504">
        <f>0.00671140939597315*2.47968470580684</f>
        <v>1.6642179233602943E-2</v>
      </c>
      <c r="I5504">
        <v>1.6642179233603008E-2</v>
      </c>
    </row>
    <row r="5505" spans="1:9" x14ac:dyDescent="0.25">
      <c r="A5505">
        <v>322</v>
      </c>
      <c r="B5505" t="s">
        <v>2109</v>
      </c>
      <c r="C5505" t="s">
        <v>10</v>
      </c>
      <c r="D5505" t="s">
        <v>2124</v>
      </c>
      <c r="E5505">
        <f t="shared" si="247"/>
        <v>6.7114093959731542E-3</v>
      </c>
      <c r="F5505">
        <v>1</v>
      </c>
      <c r="G5505">
        <f>LOG(382/(1+1))</f>
        <v>2.2810333672477277</v>
      </c>
      <c r="H5505">
        <f>0.00671140939597315*5.25227342804663</f>
        <v>3.5250157235212257E-2</v>
      </c>
      <c r="I5505">
        <v>3.5250157235212277E-2</v>
      </c>
    </row>
    <row r="5506" spans="1:9" x14ac:dyDescent="0.25">
      <c r="A5506">
        <v>322</v>
      </c>
      <c r="B5506" t="s">
        <v>2109</v>
      </c>
      <c r="C5506" t="s">
        <v>10</v>
      </c>
      <c r="D5506" t="s">
        <v>2038</v>
      </c>
      <c r="E5506">
        <f t="shared" si="247"/>
        <v>6.7114093959731542E-3</v>
      </c>
      <c r="F5506">
        <v>2</v>
      </c>
      <c r="G5506">
        <f>LOG(382/(2+1))</f>
        <v>2.1049421081920463</v>
      </c>
      <c r="H5506">
        <f>0.00671140939597315*4.84680831993846</f>
        <v>3.2528914898915816E-2</v>
      </c>
      <c r="I5506">
        <v>3.2528914898915871E-2</v>
      </c>
    </row>
    <row r="5507" spans="1:9" x14ac:dyDescent="0.25">
      <c r="A5507">
        <v>322</v>
      </c>
      <c r="B5507" t="s">
        <v>2109</v>
      </c>
      <c r="C5507" t="s">
        <v>10</v>
      </c>
      <c r="D5507" t="s">
        <v>2125</v>
      </c>
      <c r="E5507">
        <f t="shared" si="247"/>
        <v>6.7114093959731542E-3</v>
      </c>
      <c r="F5507">
        <v>2</v>
      </c>
      <c r="G5507">
        <f>LOG(382/(2+1))</f>
        <v>2.1049421081920463</v>
      </c>
      <c r="H5507">
        <f>0.00671140939597315*4.84680831993846</f>
        <v>3.2528914898915816E-2</v>
      </c>
      <c r="I5507">
        <v>3.2528914898915871E-2</v>
      </c>
    </row>
    <row r="5508" spans="1:9" x14ac:dyDescent="0.25">
      <c r="A5508">
        <v>322</v>
      </c>
      <c r="B5508" t="s">
        <v>2109</v>
      </c>
      <c r="C5508" t="s">
        <v>10</v>
      </c>
      <c r="D5508" t="s">
        <v>1834</v>
      </c>
      <c r="E5508">
        <f t="shared" si="247"/>
        <v>6.7114093959731542E-3</v>
      </c>
      <c r="F5508">
        <v>12</v>
      </c>
      <c r="G5508">
        <f>LOG(382/(12+1))</f>
        <v>1.468120010604872</v>
      </c>
      <c r="H5508">
        <f>0.00671140939597315*3.38047125114503</f>
        <v>2.2687726517751864E-2</v>
      </c>
      <c r="I5508">
        <v>2.268772651775194E-2</v>
      </c>
    </row>
    <row r="5509" spans="1:9" x14ac:dyDescent="0.25">
      <c r="A5509">
        <v>322</v>
      </c>
      <c r="B5509" t="s">
        <v>2109</v>
      </c>
      <c r="C5509" t="s">
        <v>10</v>
      </c>
      <c r="D5509" t="s">
        <v>852</v>
      </c>
      <c r="E5509">
        <f t="shared" si="247"/>
        <v>6.7114093959731542E-3</v>
      </c>
      <c r="F5509">
        <v>10</v>
      </c>
      <c r="G5509">
        <f>LOG(382/(10+1))</f>
        <v>1.5406706777534838</v>
      </c>
      <c r="H5509">
        <f>0.00671140939597315*3.5475253358082</f>
        <v>2.380889487119596E-2</v>
      </c>
      <c r="I5509">
        <v>2.3808894871196001E-2</v>
      </c>
    </row>
    <row r="5510" spans="1:9" x14ac:dyDescent="0.25">
      <c r="A5510">
        <v>322</v>
      </c>
      <c r="B5510" t="s">
        <v>2109</v>
      </c>
      <c r="C5510" t="s">
        <v>10</v>
      </c>
      <c r="D5510" t="s">
        <v>1486</v>
      </c>
      <c r="E5510">
        <f t="shared" si="247"/>
        <v>6.7114093959731542E-3</v>
      </c>
      <c r="F5510">
        <v>5</v>
      </c>
      <c r="G5510">
        <f>LOG(382/(5+1))</f>
        <v>1.803912112528065</v>
      </c>
      <c r="H5510">
        <f>0.00671140939597315*4.15366113937852</f>
        <v>2.7876920398513538E-2</v>
      </c>
      <c r="I5510">
        <v>2.7876920398513551E-2</v>
      </c>
    </row>
    <row r="5511" spans="1:9" x14ac:dyDescent="0.25">
      <c r="A5511">
        <v>322</v>
      </c>
      <c r="B5511" t="s">
        <v>2109</v>
      </c>
      <c r="C5511" t="s">
        <v>10</v>
      </c>
      <c r="D5511" t="s">
        <v>2039</v>
      </c>
      <c r="E5511">
        <f t="shared" si="247"/>
        <v>6.7114093959731542E-3</v>
      </c>
      <c r="F5511">
        <v>3</v>
      </c>
      <c r="G5511">
        <f>LOG(382/(3+1))</f>
        <v>1.9800033715837464</v>
      </c>
      <c r="H5511">
        <f>0.00671140939597315*4.55912624748668</f>
        <v>3.0598162734809912E-2</v>
      </c>
      <c r="I5511">
        <v>3.0598162734809961E-2</v>
      </c>
    </row>
    <row r="5512" spans="1:9" x14ac:dyDescent="0.25">
      <c r="A5512">
        <v>322</v>
      </c>
      <c r="B5512" t="s">
        <v>2109</v>
      </c>
      <c r="C5512" t="s">
        <v>10</v>
      </c>
      <c r="D5512" t="s">
        <v>1626</v>
      </c>
      <c r="E5512">
        <f t="shared" si="247"/>
        <v>6.7114093959731542E-3</v>
      </c>
      <c r="F5512">
        <v>32</v>
      </c>
      <c r="G5512">
        <f>LOG(382/(32+1))</f>
        <v>1.0635494230338212</v>
      </c>
      <c r="H5512">
        <f>0.00671140939597315*2.44891304714009</f>
        <v>1.6435658034497237E-2</v>
      </c>
      <c r="I5512">
        <v>1.6435658034497279E-2</v>
      </c>
    </row>
    <row r="5513" spans="1:9" x14ac:dyDescent="0.25">
      <c r="A5513">
        <v>322</v>
      </c>
      <c r="B5513" t="s">
        <v>2109</v>
      </c>
      <c r="C5513" t="s">
        <v>10</v>
      </c>
      <c r="D5513" t="s">
        <v>236</v>
      </c>
      <c r="E5513">
        <f t="shared" si="247"/>
        <v>6.7114093959731542E-3</v>
      </c>
      <c r="F5513">
        <v>87</v>
      </c>
      <c r="G5513">
        <f>LOG(382/(87+1))</f>
        <v>0.63758069076154011</v>
      </c>
      <c r="H5513">
        <f>0.00671140939597315*1.46808379412836</f>
        <v>9.8529113699889863E-3</v>
      </c>
      <c r="I5513">
        <v>9.8529113699890505E-3</v>
      </c>
    </row>
    <row r="5514" spans="1:9" x14ac:dyDescent="0.25">
      <c r="A5514">
        <v>322</v>
      </c>
      <c r="B5514" t="s">
        <v>2109</v>
      </c>
      <c r="C5514" t="s">
        <v>10</v>
      </c>
      <c r="D5514" t="s">
        <v>2126</v>
      </c>
      <c r="E5514">
        <f t="shared" si="247"/>
        <v>6.7114093959731542E-3</v>
      </c>
      <c r="F5514">
        <v>1</v>
      </c>
      <c r="G5514">
        <f>LOG(382/(1+1))</f>
        <v>2.2810333672477277</v>
      </c>
      <c r="H5514">
        <f>0.00671140939597315*5.25227342804663</f>
        <v>3.5250157235212257E-2</v>
      </c>
      <c r="I5514">
        <v>3.5250157235212277E-2</v>
      </c>
    </row>
    <row r="5515" spans="1:9" x14ac:dyDescent="0.25">
      <c r="A5515">
        <v>322</v>
      </c>
      <c r="B5515" t="s">
        <v>2109</v>
      </c>
      <c r="C5515" t="s">
        <v>10</v>
      </c>
      <c r="D5515" t="s">
        <v>2064</v>
      </c>
      <c r="E5515">
        <f t="shared" si="247"/>
        <v>6.7114093959731542E-3</v>
      </c>
      <c r="F5515">
        <v>2</v>
      </c>
      <c r="G5515">
        <f>LOG(382/(2+1))</f>
        <v>2.1049421081920463</v>
      </c>
      <c r="H5515">
        <f>0.00671140939597315*4.84680831993846</f>
        <v>3.2528914898915816E-2</v>
      </c>
      <c r="I5515">
        <v>3.2528914898915871E-2</v>
      </c>
    </row>
    <row r="5516" spans="1:9" x14ac:dyDescent="0.25">
      <c r="A5516">
        <v>322</v>
      </c>
      <c r="B5516" t="s">
        <v>2109</v>
      </c>
      <c r="C5516" t="s">
        <v>10</v>
      </c>
      <c r="D5516" t="s">
        <v>388</v>
      </c>
      <c r="E5516">
        <f>2/149</f>
        <v>1.3422818791946308E-2</v>
      </c>
      <c r="F5516">
        <v>44</v>
      </c>
      <c r="G5516">
        <f>LOG(382/(44+1))</f>
        <v>0.92885084913636506</v>
      </c>
      <c r="H5516">
        <f>0.0134228187919463*2.13875811883625</f>
        <v>2.8708162668942931E-2</v>
      </c>
      <c r="I5516">
        <v>2.8708162668943021E-2</v>
      </c>
    </row>
    <row r="5517" spans="1:9" x14ac:dyDescent="0.25">
      <c r="A5517">
        <v>322</v>
      </c>
      <c r="B5517" t="s">
        <v>2109</v>
      </c>
      <c r="C5517" t="s">
        <v>10</v>
      </c>
      <c r="D5517" t="s">
        <v>1918</v>
      </c>
      <c r="E5517">
        <f>1/149</f>
        <v>6.7114093959731542E-3</v>
      </c>
      <c r="F5517">
        <v>25</v>
      </c>
      <c r="G5517">
        <f>LOG(382/(25+1))</f>
        <v>1.1670900149408907</v>
      </c>
      <c r="H5517">
        <f>0.00671140939597315*2.68732407058509</f>
        <v>1.8035732017349586E-2</v>
      </c>
      <c r="I5517">
        <v>1.8035732017349621E-2</v>
      </c>
    </row>
    <row r="5518" spans="1:9" x14ac:dyDescent="0.25">
      <c r="A5518">
        <v>322</v>
      </c>
      <c r="B5518" t="s">
        <v>2109</v>
      </c>
      <c r="C5518" t="s">
        <v>10</v>
      </c>
      <c r="D5518" t="s">
        <v>1831</v>
      </c>
      <c r="E5518">
        <f>1/149</f>
        <v>6.7114093959731542E-3</v>
      </c>
      <c r="F5518">
        <v>28</v>
      </c>
      <c r="G5518">
        <f>LOG(382/(28+1))</f>
        <v>1.1196653650127526</v>
      </c>
      <c r="H5518">
        <f>0.00671140939597315*2.5781247786201</f>
        <v>1.7302850863222134E-2</v>
      </c>
      <c r="I5518">
        <v>1.7302850863222159E-2</v>
      </c>
    </row>
    <row r="5519" spans="1:9" x14ac:dyDescent="0.25">
      <c r="A5519">
        <v>322</v>
      </c>
      <c r="B5519" t="s">
        <v>2109</v>
      </c>
      <c r="C5519" t="s">
        <v>10</v>
      </c>
      <c r="D5519" t="s">
        <v>763</v>
      </c>
      <c r="E5519">
        <f>1/149</f>
        <v>6.7114093959731542E-3</v>
      </c>
      <c r="F5519">
        <v>47</v>
      </c>
      <c r="G5519">
        <f>LOG(382/(47+1))</f>
        <v>0.90082212553612151</v>
      </c>
      <c r="H5519">
        <f>0.00671140939597315*2.07421959769868</f>
        <v>1.3920936897306569E-2</v>
      </c>
      <c r="I5519">
        <v>1.3920936897306601E-2</v>
      </c>
    </row>
    <row r="5520" spans="1:9" x14ac:dyDescent="0.25">
      <c r="A5520">
        <v>322</v>
      </c>
      <c r="B5520" t="s">
        <v>2109</v>
      </c>
      <c r="C5520" t="s">
        <v>10</v>
      </c>
      <c r="D5520" t="s">
        <v>1098</v>
      </c>
      <c r="E5520">
        <f>1/149</f>
        <v>6.7114093959731542E-3</v>
      </c>
      <c r="F5520">
        <v>19</v>
      </c>
      <c r="G5520">
        <f>LOG(382/(19+1))</f>
        <v>1.2810333672477277</v>
      </c>
      <c r="H5520">
        <f>0.00671140939597315*2.94968833505258</f>
        <v>1.9796566007064281E-2</v>
      </c>
      <c r="I5520">
        <v>1.9796566007064319E-2</v>
      </c>
    </row>
    <row r="5521" spans="1:9" x14ac:dyDescent="0.25">
      <c r="A5521">
        <v>322</v>
      </c>
      <c r="B5521" t="s">
        <v>2109</v>
      </c>
      <c r="C5521" t="s">
        <v>10</v>
      </c>
      <c r="D5521" t="s">
        <v>1469</v>
      </c>
      <c r="E5521">
        <f>2/149</f>
        <v>1.3422818791946308E-2</v>
      </c>
      <c r="F5521">
        <v>24</v>
      </c>
      <c r="G5521">
        <f>LOG(382/(24+1))</f>
        <v>1.1841233542396712</v>
      </c>
      <c r="H5521">
        <f>0.0134228187919463*2.72654478373837</f>
        <v>3.6597916560246552E-2</v>
      </c>
      <c r="I5521">
        <v>3.6597916560246628E-2</v>
      </c>
    </row>
    <row r="5522" spans="1:9" x14ac:dyDescent="0.25">
      <c r="A5522">
        <v>322</v>
      </c>
      <c r="B5522" t="s">
        <v>2109</v>
      </c>
      <c r="C5522" t="s">
        <v>10</v>
      </c>
      <c r="D5522" t="s">
        <v>439</v>
      </c>
      <c r="E5522">
        <f>1/149</f>
        <v>6.7114093959731542E-3</v>
      </c>
      <c r="F5522">
        <v>28</v>
      </c>
      <c r="G5522">
        <f>LOG(382/(28+1))</f>
        <v>1.1196653650127526</v>
      </c>
      <c r="H5522">
        <f>0.00671140939597315*2.5781247786201</f>
        <v>1.7302850863222134E-2</v>
      </c>
      <c r="I5522">
        <v>1.7302850863222159E-2</v>
      </c>
    </row>
    <row r="5523" spans="1:9" x14ac:dyDescent="0.25">
      <c r="A5523">
        <v>322</v>
      </c>
      <c r="B5523" t="s">
        <v>2109</v>
      </c>
      <c r="C5523" t="s">
        <v>10</v>
      </c>
      <c r="D5523" t="s">
        <v>688</v>
      </c>
      <c r="E5523">
        <f>1/149</f>
        <v>6.7114093959731542E-3</v>
      </c>
      <c r="F5523">
        <v>23</v>
      </c>
      <c r="G5523">
        <f>LOG(382/(23+1))</f>
        <v>1.2018521212001028</v>
      </c>
      <c r="H5523">
        <f>0.00671140939597315*2.76736677825862</f>
        <v>1.8572931397708849E-2</v>
      </c>
      <c r="I5523">
        <v>1.8572931397708919E-2</v>
      </c>
    </row>
    <row r="5524" spans="1:9" x14ac:dyDescent="0.25">
      <c r="A5524">
        <v>322</v>
      </c>
      <c r="B5524" t="s">
        <v>2109</v>
      </c>
      <c r="C5524" t="s">
        <v>10</v>
      </c>
      <c r="D5524" t="s">
        <v>2127</v>
      </c>
      <c r="E5524">
        <f>1/149</f>
        <v>6.7114093959731542E-3</v>
      </c>
      <c r="F5524">
        <v>1</v>
      </c>
      <c r="G5524">
        <f>LOG(382/(1+1))</f>
        <v>2.2810333672477277</v>
      </c>
      <c r="H5524">
        <f>0.00671140939597315*5.25227342804663</f>
        <v>3.5250157235212257E-2</v>
      </c>
      <c r="I5524">
        <v>3.5250157235212277E-2</v>
      </c>
    </row>
    <row r="5525" spans="1:9" x14ac:dyDescent="0.25">
      <c r="A5525">
        <v>322</v>
      </c>
      <c r="B5525" t="s">
        <v>2109</v>
      </c>
      <c r="C5525" t="s">
        <v>10</v>
      </c>
      <c r="D5525" t="s">
        <v>754</v>
      </c>
      <c r="E5525">
        <f>1/149</f>
        <v>6.7114093959731542E-3</v>
      </c>
      <c r="F5525">
        <v>111</v>
      </c>
      <c r="G5525">
        <f>LOG(382/(111+1))</f>
        <v>0.53284534024152708</v>
      </c>
      <c r="H5525">
        <f>0.00671140939597315*1.22692173731148</f>
        <v>8.2343740759159671E-3</v>
      </c>
      <c r="I5525">
        <v>8.2343740759159775E-3</v>
      </c>
    </row>
    <row r="5526" spans="1:9" x14ac:dyDescent="0.25">
      <c r="A5526">
        <v>322</v>
      </c>
      <c r="B5526" t="s">
        <v>2109</v>
      </c>
      <c r="C5526" t="s">
        <v>10</v>
      </c>
      <c r="D5526" t="s">
        <v>338</v>
      </c>
      <c r="E5526">
        <f>1/149</f>
        <v>6.7114093959731542E-3</v>
      </c>
      <c r="F5526">
        <v>54</v>
      </c>
      <c r="G5526">
        <f>LOG(382/(54+1))</f>
        <v>0.84170067341746491</v>
      </c>
      <c r="H5526">
        <f>0.00671140939597315*1.9380874233741</f>
        <v>1.3007298143450327E-2</v>
      </c>
      <c r="I5526">
        <v>1.300729814345036E-2</v>
      </c>
    </row>
    <row r="5527" spans="1:9" x14ac:dyDescent="0.25">
      <c r="A5527">
        <v>322</v>
      </c>
      <c r="B5527" t="s">
        <v>2109</v>
      </c>
      <c r="C5527" t="s">
        <v>10</v>
      </c>
      <c r="D5527" t="s">
        <v>597</v>
      </c>
      <c r="E5527">
        <f>2/149</f>
        <v>1.3422818791946308E-2</v>
      </c>
      <c r="F5527">
        <v>51</v>
      </c>
      <c r="G5527">
        <f>LOG(382/(51+1))</f>
        <v>0.86606001927690957</v>
      </c>
      <c r="H5527">
        <f>0.0134228187919463*1.99417689002514</f>
        <v>2.676747503389448E-2</v>
      </c>
      <c r="I5527">
        <v>2.6767475033894601E-2</v>
      </c>
    </row>
    <row r="5528" spans="1:9" x14ac:dyDescent="0.25">
      <c r="A5528">
        <v>322</v>
      </c>
      <c r="B5528" t="s">
        <v>2109</v>
      </c>
      <c r="C5528" t="s">
        <v>10</v>
      </c>
      <c r="D5528" t="s">
        <v>2128</v>
      </c>
      <c r="E5528">
        <f t="shared" ref="E5528:E5538" si="248">1/149</f>
        <v>6.7114093959731542E-3</v>
      </c>
      <c r="F5528">
        <v>1</v>
      </c>
      <c r="G5528">
        <f>LOG(382/(1+1))</f>
        <v>2.2810333672477277</v>
      </c>
      <c r="H5528">
        <f>0.00671140939597315*5.25227342804663</f>
        <v>3.5250157235212257E-2</v>
      </c>
      <c r="I5528">
        <v>3.5250157235212277E-2</v>
      </c>
    </row>
    <row r="5529" spans="1:9" x14ac:dyDescent="0.25">
      <c r="A5529">
        <v>322</v>
      </c>
      <c r="B5529" t="s">
        <v>2109</v>
      </c>
      <c r="C5529" t="s">
        <v>10</v>
      </c>
      <c r="D5529" t="s">
        <v>1921</v>
      </c>
      <c r="E5529">
        <f t="shared" si="248"/>
        <v>6.7114093959731542E-3</v>
      </c>
      <c r="F5529">
        <v>37</v>
      </c>
      <c r="G5529">
        <f>LOG(382/(37+1))</f>
        <v>1.0022797662948986</v>
      </c>
      <c r="H5529">
        <f>0.00671140939597315*2.30783444888018</f>
        <v>1.5488821804564954E-2</v>
      </c>
      <c r="I5529">
        <v>1.5488821804565031E-2</v>
      </c>
    </row>
    <row r="5530" spans="1:9" x14ac:dyDescent="0.25">
      <c r="A5530">
        <v>322</v>
      </c>
      <c r="B5530" t="s">
        <v>2109</v>
      </c>
      <c r="C5530" t="s">
        <v>10</v>
      </c>
      <c r="D5530" t="s">
        <v>82</v>
      </c>
      <c r="E5530">
        <f t="shared" si="248"/>
        <v>6.7114093959731542E-3</v>
      </c>
      <c r="F5530">
        <v>92</v>
      </c>
      <c r="G5530">
        <f>LOG(382/(92+1))</f>
        <v>0.61358041435777355</v>
      </c>
      <c r="H5530">
        <f>0.00671140939597315*1.41282111545331</f>
        <v>9.4820209090826103E-3</v>
      </c>
      <c r="I5530">
        <v>9.4820209090826797E-3</v>
      </c>
    </row>
    <row r="5531" spans="1:9" x14ac:dyDescent="0.25">
      <c r="A5531">
        <v>322</v>
      </c>
      <c r="B5531" t="s">
        <v>2109</v>
      </c>
      <c r="C5531" t="s">
        <v>10</v>
      </c>
      <c r="D5531" t="s">
        <v>1922</v>
      </c>
      <c r="E5531">
        <f t="shared" si="248"/>
        <v>6.7114093959731542E-3</v>
      </c>
      <c r="F5531">
        <v>15</v>
      </c>
      <c r="G5531">
        <f>LOG(382/(15+1))</f>
        <v>1.3779433802557839</v>
      </c>
      <c r="H5531">
        <f>0.00671140939597315*3.17283188636679</f>
        <v>2.129417373400529E-2</v>
      </c>
      <c r="I5531">
        <v>2.1294173734005328E-2</v>
      </c>
    </row>
    <row r="5532" spans="1:9" x14ac:dyDescent="0.25">
      <c r="A5532">
        <v>322</v>
      </c>
      <c r="B5532" t="s">
        <v>2109</v>
      </c>
      <c r="C5532" t="s">
        <v>10</v>
      </c>
      <c r="D5532" t="s">
        <v>283</v>
      </c>
      <c r="E5532">
        <f t="shared" si="248"/>
        <v>6.7114093959731542E-3</v>
      </c>
      <c r="F5532">
        <v>16</v>
      </c>
      <c r="G5532">
        <f>LOG(382/(16+1))</f>
        <v>1.3516144415334348</v>
      </c>
      <c r="H5532">
        <f>0.00671140939597315*3.11220726455035</f>
        <v>2.0887297077519112E-2</v>
      </c>
      <c r="I5532">
        <v>2.0887297077519192E-2</v>
      </c>
    </row>
    <row r="5533" spans="1:9" x14ac:dyDescent="0.25">
      <c r="A5533">
        <v>322</v>
      </c>
      <c r="B5533" t="s">
        <v>2109</v>
      </c>
      <c r="C5533" t="s">
        <v>10</v>
      </c>
      <c r="D5533" t="s">
        <v>1541</v>
      </c>
      <c r="E5533">
        <f t="shared" si="248"/>
        <v>6.7114093959731542E-3</v>
      </c>
      <c r="F5533">
        <v>5</v>
      </c>
      <c r="G5533">
        <f>LOG(382/(5+1))</f>
        <v>1.803912112528065</v>
      </c>
      <c r="H5533">
        <f>0.00671140939597315*4.15366113937852</f>
        <v>2.7876920398513538E-2</v>
      </c>
      <c r="I5533">
        <v>2.7876920398513551E-2</v>
      </c>
    </row>
    <row r="5534" spans="1:9" x14ac:dyDescent="0.25">
      <c r="A5534">
        <v>322</v>
      </c>
      <c r="B5534" t="s">
        <v>2109</v>
      </c>
      <c r="C5534" t="s">
        <v>10</v>
      </c>
      <c r="D5534" t="s">
        <v>2105</v>
      </c>
      <c r="E5534">
        <f t="shared" si="248"/>
        <v>6.7114093959731542E-3</v>
      </c>
      <c r="F5534">
        <v>10</v>
      </c>
      <c r="G5534">
        <f>LOG(382/(10+1))</f>
        <v>1.5406706777534838</v>
      </c>
      <c r="H5534">
        <f>0.00671140939597315*3.5475253358082</f>
        <v>2.380889487119596E-2</v>
      </c>
      <c r="I5534">
        <v>2.3808894871196001E-2</v>
      </c>
    </row>
    <row r="5535" spans="1:9" x14ac:dyDescent="0.25">
      <c r="A5535">
        <v>322</v>
      </c>
      <c r="B5535" t="s">
        <v>2109</v>
      </c>
      <c r="C5535" t="s">
        <v>10</v>
      </c>
      <c r="D5535" t="s">
        <v>331</v>
      </c>
      <c r="E5535">
        <f t="shared" si="248"/>
        <v>6.7114093959731542E-3</v>
      </c>
      <c r="F5535">
        <v>130</v>
      </c>
      <c r="G5535">
        <f>LOG(382/(130+1))</f>
        <v>0.46479206725594452</v>
      </c>
      <c r="H5535">
        <f>0.00671140939597315*1.07022328540542</f>
        <v>7.1827066134591902E-3</v>
      </c>
      <c r="I5535">
        <v>7.1827066134592188E-3</v>
      </c>
    </row>
    <row r="5536" spans="1:9" x14ac:dyDescent="0.25">
      <c r="A5536">
        <v>322</v>
      </c>
      <c r="B5536" t="s">
        <v>2109</v>
      </c>
      <c r="C5536" t="s">
        <v>10</v>
      </c>
      <c r="D5536" t="s">
        <v>78</v>
      </c>
      <c r="E5536">
        <f t="shared" si="248"/>
        <v>6.7114093959731542E-3</v>
      </c>
      <c r="F5536">
        <v>122</v>
      </c>
      <c r="G5536">
        <f>LOG(382/(122+1))</f>
        <v>0.49215825147231079</v>
      </c>
      <c r="H5536">
        <f>0.00671140939597315*1.13323625323415</f>
        <v>7.6056124378130821E-3</v>
      </c>
      <c r="I5536">
        <v>7.6056124378131376E-3</v>
      </c>
    </row>
    <row r="5537" spans="1:9" x14ac:dyDescent="0.25">
      <c r="A5537">
        <v>322</v>
      </c>
      <c r="B5537" t="s">
        <v>2109</v>
      </c>
      <c r="C5537" t="s">
        <v>10</v>
      </c>
      <c r="D5537" t="s">
        <v>483</v>
      </c>
      <c r="E5537">
        <f t="shared" si="248"/>
        <v>6.7114093959731542E-3</v>
      </c>
      <c r="F5537">
        <v>61</v>
      </c>
      <c r="G5537">
        <f>LOG(382/(61+1))</f>
        <v>0.7896716734134549</v>
      </c>
      <c r="H5537">
        <f>0.00671140939597315*1.81828622356148</f>
        <v>1.2203263245379053E-2</v>
      </c>
      <c r="I5537">
        <v>1.2203263245379081E-2</v>
      </c>
    </row>
    <row r="5538" spans="1:9" x14ac:dyDescent="0.25">
      <c r="A5538">
        <v>322</v>
      </c>
      <c r="B5538" t="s">
        <v>2109</v>
      </c>
      <c r="C5538" t="s">
        <v>10</v>
      </c>
      <c r="D5538" t="s">
        <v>753</v>
      </c>
      <c r="E5538">
        <f t="shared" si="248"/>
        <v>6.7114093959731542E-3</v>
      </c>
      <c r="F5538">
        <v>19</v>
      </c>
      <c r="G5538">
        <f>LOG(382/(19+1))</f>
        <v>1.2810333672477277</v>
      </c>
      <c r="H5538">
        <f>0.00671140939597315*2.94968833505258</f>
        <v>1.9796566007064281E-2</v>
      </c>
      <c r="I5538">
        <v>1.9796566007064319E-2</v>
      </c>
    </row>
    <row r="5539" spans="1:9" x14ac:dyDescent="0.25">
      <c r="A5539">
        <v>323</v>
      </c>
      <c r="B5539" t="s">
        <v>2129</v>
      </c>
      <c r="C5539" t="s">
        <v>10</v>
      </c>
      <c r="D5539" t="s">
        <v>15</v>
      </c>
      <c r="E5539">
        <f>13/130</f>
        <v>0.1</v>
      </c>
      <c r="F5539">
        <v>112</v>
      </c>
      <c r="G5539">
        <f>LOG(382/(112+1))</f>
        <v>0.52898491942828896</v>
      </c>
      <c r="H5539">
        <f>0.1*1.21803278989423</f>
        <v>0.121803278989423</v>
      </c>
      <c r="I5539">
        <v>0.1218032789894235</v>
      </c>
    </row>
    <row r="5540" spans="1:9" x14ac:dyDescent="0.25">
      <c r="A5540">
        <v>323</v>
      </c>
      <c r="B5540" t="s">
        <v>2129</v>
      </c>
      <c r="C5540" t="s">
        <v>10</v>
      </c>
      <c r="D5540" t="s">
        <v>2130</v>
      </c>
      <c r="E5540">
        <f>6/130</f>
        <v>4.6153846153846156E-2</v>
      </c>
      <c r="F5540">
        <v>2</v>
      </c>
      <c r="G5540">
        <f>LOG(382/(2+1))</f>
        <v>2.1049421081920463</v>
      </c>
      <c r="H5540">
        <f>0.0461538461538461*4.84680831993846</f>
        <v>0.22369884553562097</v>
      </c>
      <c r="I5540">
        <v>0.2236988455356215</v>
      </c>
    </row>
    <row r="5541" spans="1:9" x14ac:dyDescent="0.25">
      <c r="A5541">
        <v>323</v>
      </c>
      <c r="B5541" t="s">
        <v>2129</v>
      </c>
      <c r="C5541" t="s">
        <v>10</v>
      </c>
      <c r="D5541" t="s">
        <v>38</v>
      </c>
      <c r="E5541">
        <f>1/130</f>
        <v>7.6923076923076927E-3</v>
      </c>
      <c r="F5541">
        <v>86</v>
      </c>
      <c r="G5541">
        <f>LOG(382/(86+1))</f>
        <v>0.64254411029309022</v>
      </c>
      <c r="H5541">
        <f>0.00769230769230769*1.47951248995199</f>
        <v>1.1380865307322997E-2</v>
      </c>
      <c r="I5541">
        <v>1.1380865307323009E-2</v>
      </c>
    </row>
    <row r="5542" spans="1:9" x14ac:dyDescent="0.25">
      <c r="A5542">
        <v>323</v>
      </c>
      <c r="B5542" t="s">
        <v>2129</v>
      </c>
      <c r="C5542" t="s">
        <v>10</v>
      </c>
      <c r="D5542" t="s">
        <v>746</v>
      </c>
      <c r="E5542">
        <f>1/130</f>
        <v>7.6923076923076927E-3</v>
      </c>
      <c r="F5542">
        <v>58</v>
      </c>
      <c r="G5542">
        <f>LOG(382/(58+1))</f>
        <v>0.81121135126956456</v>
      </c>
      <c r="H5542">
        <f>0.00769230769230769*1.86788316470085</f>
        <v>1.4368332036160381E-2</v>
      </c>
      <c r="I5542">
        <v>1.436833203616043E-2</v>
      </c>
    </row>
    <row r="5543" spans="1:9" x14ac:dyDescent="0.25">
      <c r="A5543">
        <v>323</v>
      </c>
      <c r="B5543" t="s">
        <v>2129</v>
      </c>
      <c r="C5543" t="s">
        <v>10</v>
      </c>
      <c r="D5543" t="s">
        <v>198</v>
      </c>
      <c r="E5543">
        <f>1/130</f>
        <v>7.6923076923076927E-3</v>
      </c>
      <c r="F5543">
        <v>11</v>
      </c>
      <c r="G5543">
        <f>LOG(382/(11+1))</f>
        <v>1.5028821168640838</v>
      </c>
      <c r="H5543">
        <f>0.00769230769230769*3.46051395881857</f>
        <v>2.6619338144758222E-2</v>
      </c>
      <c r="I5543">
        <v>2.6619338144758271E-2</v>
      </c>
    </row>
    <row r="5544" spans="1:9" x14ac:dyDescent="0.25">
      <c r="A5544">
        <v>323</v>
      </c>
      <c r="B5544" t="s">
        <v>2129</v>
      </c>
      <c r="C5544" t="s">
        <v>10</v>
      </c>
      <c r="D5544" t="s">
        <v>39</v>
      </c>
      <c r="E5544">
        <f>2/130</f>
        <v>1.5384615384615385E-2</v>
      </c>
      <c r="F5544">
        <v>145</v>
      </c>
      <c r="G5544">
        <f>LOG(382/(145+1))</f>
        <v>0.41771050712727159</v>
      </c>
      <c r="H5544">
        <f>0.0153846153846153*0.961813986898238</f>
        <v>1.4797138259972812E-2</v>
      </c>
      <c r="I5544">
        <v>1.47971382599729E-2</v>
      </c>
    </row>
    <row r="5545" spans="1:9" x14ac:dyDescent="0.25">
      <c r="A5545">
        <v>323</v>
      </c>
      <c r="B5545" t="s">
        <v>2129</v>
      </c>
      <c r="C5545" t="s">
        <v>10</v>
      </c>
      <c r="D5545" t="s">
        <v>1188</v>
      </c>
      <c r="E5545">
        <f>1/130</f>
        <v>7.6923076923076927E-3</v>
      </c>
      <c r="F5545">
        <v>4</v>
      </c>
      <c r="G5545">
        <f>LOG(382/(4+1))</f>
        <v>1.8830933585756899</v>
      </c>
      <c r="H5545">
        <f>0.00769230769230769*4.33598269617247</f>
        <v>3.3353713047480534E-2</v>
      </c>
      <c r="I5545">
        <v>3.3353713047480582E-2</v>
      </c>
    </row>
    <row r="5546" spans="1:9" x14ac:dyDescent="0.25">
      <c r="A5546">
        <v>323</v>
      </c>
      <c r="B5546" t="s">
        <v>2129</v>
      </c>
      <c r="C5546" t="s">
        <v>10</v>
      </c>
      <c r="D5546" t="s">
        <v>1418</v>
      </c>
      <c r="E5546">
        <f>3/130</f>
        <v>2.3076923076923078E-2</v>
      </c>
      <c r="F5546">
        <v>6</v>
      </c>
      <c r="G5546">
        <f>LOG(382/(6+1))</f>
        <v>1.736965322897452</v>
      </c>
      <c r="H5546">
        <f>0.023076923076923*3.99951045955126</f>
        <v>9.2296395220413385E-2</v>
      </c>
      <c r="I5546">
        <v>9.2296395220413746E-2</v>
      </c>
    </row>
    <row r="5547" spans="1:9" x14ac:dyDescent="0.25">
      <c r="A5547">
        <v>323</v>
      </c>
      <c r="B5547" t="s">
        <v>2129</v>
      </c>
      <c r="C5547" t="s">
        <v>10</v>
      </c>
      <c r="D5547" t="s">
        <v>2131</v>
      </c>
      <c r="E5547">
        <f>1/130</f>
        <v>7.6923076923076927E-3</v>
      </c>
      <c r="F5547">
        <v>1</v>
      </c>
      <c r="G5547">
        <f>LOG(382/(1+1))</f>
        <v>2.2810333672477277</v>
      </c>
      <c r="H5547">
        <f>0.00769230769230769*5.25227342804663</f>
        <v>4.0402103292666372E-2</v>
      </c>
      <c r="I5547">
        <v>4.0402103292666393E-2</v>
      </c>
    </row>
    <row r="5548" spans="1:9" x14ac:dyDescent="0.25">
      <c r="A5548">
        <v>323</v>
      </c>
      <c r="B5548" t="s">
        <v>2129</v>
      </c>
      <c r="C5548" t="s">
        <v>10</v>
      </c>
      <c r="D5548" t="s">
        <v>2132</v>
      </c>
      <c r="E5548">
        <f>1/130</f>
        <v>7.6923076923076927E-3</v>
      </c>
      <c r="F5548">
        <v>1</v>
      </c>
      <c r="G5548">
        <f>LOG(382/(1+1))</f>
        <v>2.2810333672477277</v>
      </c>
      <c r="H5548">
        <f>0.00769230769230769*5.25227342804663</f>
        <v>4.0402103292666372E-2</v>
      </c>
      <c r="I5548">
        <v>4.0402103292666393E-2</v>
      </c>
    </row>
    <row r="5549" spans="1:9" x14ac:dyDescent="0.25">
      <c r="A5549">
        <v>323</v>
      </c>
      <c r="B5549" t="s">
        <v>2129</v>
      </c>
      <c r="C5549" t="s">
        <v>10</v>
      </c>
      <c r="D5549" t="s">
        <v>823</v>
      </c>
      <c r="E5549">
        <f>2/130</f>
        <v>1.5384615384615385E-2</v>
      </c>
      <c r="F5549">
        <v>45</v>
      </c>
      <c r="G5549">
        <f>LOG(382/(45+1))</f>
        <v>0.9193055312301347</v>
      </c>
      <c r="H5549">
        <f>0.0153846153846153*2.11677921211748</f>
        <v>3.2565834032576443E-2</v>
      </c>
      <c r="I5549">
        <v>3.2565834032576617E-2</v>
      </c>
    </row>
    <row r="5550" spans="1:9" x14ac:dyDescent="0.25">
      <c r="A5550">
        <v>323</v>
      </c>
      <c r="B5550" t="s">
        <v>2129</v>
      </c>
      <c r="C5550" t="s">
        <v>10</v>
      </c>
      <c r="D5550" t="s">
        <v>2133</v>
      </c>
      <c r="E5550">
        <f>3/130</f>
        <v>2.3076923076923078E-2</v>
      </c>
      <c r="F5550">
        <v>3</v>
      </c>
      <c r="G5550">
        <f>LOG(382/(3+1))</f>
        <v>1.9800033715837464</v>
      </c>
      <c r="H5550">
        <f>0.023076923076923*4.55912624748668</f>
        <v>0.10521060571123073</v>
      </c>
      <c r="I5550">
        <v>0.1052106057112312</v>
      </c>
    </row>
    <row r="5551" spans="1:9" x14ac:dyDescent="0.25">
      <c r="A5551">
        <v>323</v>
      </c>
      <c r="B5551" t="s">
        <v>2129</v>
      </c>
      <c r="C5551" t="s">
        <v>10</v>
      </c>
      <c r="D5551" t="s">
        <v>174</v>
      </c>
      <c r="E5551">
        <f>3/130</f>
        <v>2.3076923076923078E-2</v>
      </c>
      <c r="F5551">
        <v>5</v>
      </c>
      <c r="G5551">
        <f>LOG(382/(5+1))</f>
        <v>1.803912112528065</v>
      </c>
      <c r="H5551">
        <f>0.023076923076923*4.15366113937852</f>
        <v>9.5853718601042442E-2</v>
      </c>
      <c r="I5551">
        <v>9.5853718601042776E-2</v>
      </c>
    </row>
    <row r="5552" spans="1:9" x14ac:dyDescent="0.25">
      <c r="A5552">
        <v>323</v>
      </c>
      <c r="B5552" t="s">
        <v>2129</v>
      </c>
      <c r="C5552" t="s">
        <v>10</v>
      </c>
      <c r="D5552" t="s">
        <v>25</v>
      </c>
      <c r="E5552">
        <f>1/130</f>
        <v>7.6923076923076927E-3</v>
      </c>
      <c r="F5552">
        <v>106</v>
      </c>
      <c r="G5552">
        <f>LOG(382/(106+1))</f>
        <v>0.55267958522649907</v>
      </c>
      <c r="H5552">
        <f>0.00769230769230769*1.27259177414466</f>
        <v>9.7891674934204587E-3</v>
      </c>
      <c r="I5552">
        <v>9.7891674934205315E-3</v>
      </c>
    </row>
    <row r="5553" spans="1:9" x14ac:dyDescent="0.25">
      <c r="A5553">
        <v>323</v>
      </c>
      <c r="B5553" t="s">
        <v>2129</v>
      </c>
      <c r="C5553" t="s">
        <v>10</v>
      </c>
      <c r="D5553" t="s">
        <v>2134</v>
      </c>
      <c r="E5553">
        <f>1/130</f>
        <v>7.6923076923076927E-3</v>
      </c>
      <c r="F5553">
        <v>2</v>
      </c>
      <c r="G5553">
        <f>LOG(382/(2+1))</f>
        <v>2.1049421081920463</v>
      </c>
      <c r="H5553">
        <f>0.00769230769230769*4.84680831993846</f>
        <v>3.7283140922603528E-2</v>
      </c>
      <c r="I5553">
        <v>3.7283140922603583E-2</v>
      </c>
    </row>
    <row r="5554" spans="1:9" x14ac:dyDescent="0.25">
      <c r="A5554">
        <v>323</v>
      </c>
      <c r="B5554" t="s">
        <v>2129</v>
      </c>
      <c r="C5554" t="s">
        <v>10</v>
      </c>
      <c r="D5554" t="s">
        <v>331</v>
      </c>
      <c r="E5554">
        <f>3/130</f>
        <v>2.3076923076923078E-2</v>
      </c>
      <c r="F5554">
        <v>130</v>
      </c>
      <c r="G5554">
        <f>LOG(382/(130+1))</f>
        <v>0.46479206725594452</v>
      </c>
      <c r="H5554">
        <f>0.023076923076923*1.07022328540542</f>
        <v>2.4697460432432688E-2</v>
      </c>
      <c r="I5554">
        <v>2.4697460432432851E-2</v>
      </c>
    </row>
    <row r="5555" spans="1:9" x14ac:dyDescent="0.25">
      <c r="A5555">
        <v>323</v>
      </c>
      <c r="B5555" t="s">
        <v>2129</v>
      </c>
      <c r="C5555" t="s">
        <v>10</v>
      </c>
      <c r="D5555" t="s">
        <v>216</v>
      </c>
      <c r="E5555">
        <f>3/130</f>
        <v>2.3076923076923078E-2</v>
      </c>
      <c r="F5555">
        <v>63</v>
      </c>
      <c r="G5555">
        <f>LOG(382/(63+1))</f>
        <v>0.7758833889278216</v>
      </c>
      <c r="H5555">
        <f>0.023076923076923*1.7865375252469</f>
        <v>4.1227789044159094E-2</v>
      </c>
      <c r="I5555">
        <v>4.1227789044159309E-2</v>
      </c>
    </row>
    <row r="5556" spans="1:9" x14ac:dyDescent="0.25">
      <c r="A5556">
        <v>323</v>
      </c>
      <c r="B5556" t="s">
        <v>2129</v>
      </c>
      <c r="C5556" t="s">
        <v>10</v>
      </c>
      <c r="D5556" t="s">
        <v>932</v>
      </c>
      <c r="E5556">
        <f>1/130</f>
        <v>7.6923076923076927E-3</v>
      </c>
      <c r="F5556">
        <v>35</v>
      </c>
      <c r="G5556">
        <f>LOG(382/(35+1))</f>
        <v>1.0257608621444214</v>
      </c>
      <c r="H5556">
        <f>0.00769230769230769*2.36190167015046</f>
        <v>1.8168474385772765E-2</v>
      </c>
      <c r="I5556">
        <v>1.816847438577281E-2</v>
      </c>
    </row>
    <row r="5557" spans="1:9" x14ac:dyDescent="0.25">
      <c r="A5557">
        <v>323</v>
      </c>
      <c r="B5557" t="s">
        <v>2129</v>
      </c>
      <c r="C5557" t="s">
        <v>10</v>
      </c>
      <c r="D5557" t="s">
        <v>36</v>
      </c>
      <c r="E5557">
        <f>1/130</f>
        <v>7.6923076923076927E-3</v>
      </c>
      <c r="F5557">
        <v>58</v>
      </c>
      <c r="G5557">
        <f>LOG(382/(58+1))</f>
        <v>0.81121135126956456</v>
      </c>
      <c r="H5557">
        <f>0.00769230769230769*1.86788316470085</f>
        <v>1.4368332036160381E-2</v>
      </c>
      <c r="I5557">
        <v>1.436833203616043E-2</v>
      </c>
    </row>
    <row r="5558" spans="1:9" x14ac:dyDescent="0.25">
      <c r="A5558">
        <v>323</v>
      </c>
      <c r="B5558" t="s">
        <v>2129</v>
      </c>
      <c r="C5558" t="s">
        <v>10</v>
      </c>
      <c r="D5558" t="s">
        <v>161</v>
      </c>
      <c r="E5558">
        <f>1/130</f>
        <v>7.6923076923076927E-3</v>
      </c>
      <c r="F5558">
        <v>33</v>
      </c>
      <c r="G5558">
        <f>LOG(382/(33+1))</f>
        <v>1.0505844458694535</v>
      </c>
      <c r="H5558">
        <f>0.00769230769230769*2.41906008399041</f>
        <v>1.8608154492233919E-2</v>
      </c>
      <c r="I5558">
        <v>1.860815449223395E-2</v>
      </c>
    </row>
    <row r="5559" spans="1:9" x14ac:dyDescent="0.25">
      <c r="A5559">
        <v>323</v>
      </c>
      <c r="B5559" t="s">
        <v>2129</v>
      </c>
      <c r="C5559" t="s">
        <v>10</v>
      </c>
      <c r="D5559" t="s">
        <v>1608</v>
      </c>
      <c r="E5559">
        <f>1/130</f>
        <v>7.6923076923076927E-3</v>
      </c>
      <c r="F5559">
        <v>13</v>
      </c>
      <c r="G5559">
        <f>LOG(382/(13+1))</f>
        <v>1.4359353272334707</v>
      </c>
      <c r="H5559">
        <f>0.00769230769230769*3.30636327899131</f>
        <v>2.5433563684548532E-2</v>
      </c>
      <c r="I5559">
        <v>2.5433563684548591E-2</v>
      </c>
    </row>
    <row r="5560" spans="1:9" x14ac:dyDescent="0.25">
      <c r="A5560">
        <v>323</v>
      </c>
      <c r="B5560" t="s">
        <v>2129</v>
      </c>
      <c r="C5560" t="s">
        <v>10</v>
      </c>
      <c r="D5560" t="s">
        <v>76</v>
      </c>
      <c r="E5560">
        <f>1/130</f>
        <v>7.6923076923076927E-3</v>
      </c>
      <c r="F5560">
        <v>140</v>
      </c>
      <c r="G5560">
        <f>LOG(382/(140+1))</f>
        <v>0.43284425025632883</v>
      </c>
      <c r="H5560">
        <f>0.00769230769230769*0.996660718228407</f>
        <v>7.6666209094492822E-3</v>
      </c>
      <c r="I5560">
        <v>7.6666209094492848E-3</v>
      </c>
    </row>
    <row r="5561" spans="1:9" x14ac:dyDescent="0.25">
      <c r="A5561">
        <v>323</v>
      </c>
      <c r="B5561" t="s">
        <v>2129</v>
      </c>
      <c r="C5561" t="s">
        <v>10</v>
      </c>
      <c r="D5561" t="s">
        <v>77</v>
      </c>
      <c r="E5561">
        <f>2/130</f>
        <v>1.5384615384615385E-2</v>
      </c>
      <c r="F5561">
        <v>148</v>
      </c>
      <c r="G5561">
        <f>LOG(382/(148+1))</f>
        <v>0.40887709449943471</v>
      </c>
      <c r="H5561">
        <f>0.0153846153846153*0.941474302661116</f>
        <v>1.4484220040940167E-2</v>
      </c>
      <c r="I5561">
        <v>1.448422004094025E-2</v>
      </c>
    </row>
    <row r="5562" spans="1:9" x14ac:dyDescent="0.25">
      <c r="A5562">
        <v>323</v>
      </c>
      <c r="B5562" t="s">
        <v>2129</v>
      </c>
      <c r="C5562" t="s">
        <v>10</v>
      </c>
      <c r="D5562" t="s">
        <v>315</v>
      </c>
      <c r="E5562">
        <f>2/130</f>
        <v>1.5384615384615385E-2</v>
      </c>
      <c r="F5562">
        <v>55</v>
      </c>
      <c r="G5562">
        <f>LOG(382/(55+1))</f>
        <v>0.83387533590550833</v>
      </c>
      <c r="H5562">
        <f>0.0153846153846153*1.92006891787142</f>
        <v>2.95395218134063E-2</v>
      </c>
      <c r="I5562">
        <v>2.953952181340655E-2</v>
      </c>
    </row>
    <row r="5563" spans="1:9" x14ac:dyDescent="0.25">
      <c r="A5563">
        <v>323</v>
      </c>
      <c r="B5563" t="s">
        <v>2129</v>
      </c>
      <c r="C5563" t="s">
        <v>10</v>
      </c>
      <c r="D5563" t="s">
        <v>272</v>
      </c>
      <c r="E5563">
        <f>1/130</f>
        <v>7.6923076923076927E-3</v>
      </c>
      <c r="F5563">
        <v>17</v>
      </c>
      <c r="G5563">
        <f>LOG(382/(17+1))</f>
        <v>1.3267908578084027</v>
      </c>
      <c r="H5563">
        <f>0.00769230769230769*3.05504885071041</f>
        <v>2.3500375774695454E-2</v>
      </c>
      <c r="I5563">
        <v>2.3500375774695461E-2</v>
      </c>
    </row>
    <row r="5564" spans="1:9" x14ac:dyDescent="0.25">
      <c r="A5564">
        <v>323</v>
      </c>
      <c r="B5564" t="s">
        <v>2129</v>
      </c>
      <c r="C5564" t="s">
        <v>10</v>
      </c>
      <c r="D5564" t="s">
        <v>1397</v>
      </c>
      <c r="E5564">
        <f>1/130</f>
        <v>7.6923076923076927E-3</v>
      </c>
      <c r="F5564">
        <v>29</v>
      </c>
      <c r="G5564">
        <f>LOG(382/(29+1))</f>
        <v>1.1049421081920463</v>
      </c>
      <c r="H5564">
        <f>0.00769230769230769*2.54422322694442</f>
        <v>1.9570947899572453E-2</v>
      </c>
      <c r="I5564">
        <v>1.957094789957246E-2</v>
      </c>
    </row>
    <row r="5565" spans="1:9" x14ac:dyDescent="0.25">
      <c r="A5565">
        <v>323</v>
      </c>
      <c r="B5565" t="s">
        <v>2129</v>
      </c>
      <c r="C5565" t="s">
        <v>10</v>
      </c>
      <c r="D5565" t="s">
        <v>215</v>
      </c>
      <c r="E5565">
        <f>1/130</f>
        <v>7.6923076923076927E-3</v>
      </c>
      <c r="F5565">
        <v>25</v>
      </c>
      <c r="G5565">
        <f>LOG(382/(25+1))</f>
        <v>1.1670900149408907</v>
      </c>
      <c r="H5565">
        <f>0.00769230769230769*2.68732407058509</f>
        <v>2.0671723619885302E-2</v>
      </c>
      <c r="I5565">
        <v>2.067172361988533E-2</v>
      </c>
    </row>
    <row r="5566" spans="1:9" x14ac:dyDescent="0.25">
      <c r="A5566">
        <v>323</v>
      </c>
      <c r="B5566" t="s">
        <v>2129</v>
      </c>
      <c r="C5566" t="s">
        <v>10</v>
      </c>
      <c r="D5566" t="s">
        <v>119</v>
      </c>
      <c r="E5566">
        <f>3/130</f>
        <v>2.3076923076923078E-2</v>
      </c>
      <c r="F5566">
        <v>79</v>
      </c>
      <c r="G5566">
        <f>LOG(382/(79+1))</f>
        <v>0.67897337591976514</v>
      </c>
      <c r="H5566">
        <f>0.023076923076923*1.56339397393269</f>
        <v>3.6078322475369649E-2</v>
      </c>
      <c r="I5566">
        <v>3.6078322475369858E-2</v>
      </c>
    </row>
    <row r="5567" spans="1:9" x14ac:dyDescent="0.25">
      <c r="A5567">
        <v>323</v>
      </c>
      <c r="B5567" t="s">
        <v>2129</v>
      </c>
      <c r="C5567" t="s">
        <v>10</v>
      </c>
      <c r="D5567" t="s">
        <v>688</v>
      </c>
      <c r="E5567">
        <f>1/130</f>
        <v>7.6923076923076927E-3</v>
      </c>
      <c r="F5567">
        <v>23</v>
      </c>
      <c r="G5567">
        <f>LOG(382/(23+1))</f>
        <v>1.2018521212001028</v>
      </c>
      <c r="H5567">
        <f>0.00769230769230769*2.76736677825862</f>
        <v>2.1287436755835533E-2</v>
      </c>
      <c r="I5567">
        <v>2.1287436755835609E-2</v>
      </c>
    </row>
    <row r="5568" spans="1:9" x14ac:dyDescent="0.25">
      <c r="A5568">
        <v>323</v>
      </c>
      <c r="B5568" t="s">
        <v>2129</v>
      </c>
      <c r="C5568" t="s">
        <v>10</v>
      </c>
      <c r="D5568" t="s">
        <v>2135</v>
      </c>
      <c r="E5568">
        <f>1/130</f>
        <v>7.6923076923076927E-3</v>
      </c>
      <c r="F5568">
        <v>1</v>
      </c>
      <c r="G5568">
        <f>LOG(382/(1+1))</f>
        <v>2.2810333672477277</v>
      </c>
      <c r="H5568">
        <f>0.00769230769230769*5.25227342804663</f>
        <v>4.0402103292666372E-2</v>
      </c>
      <c r="I5568">
        <v>4.0402103292666393E-2</v>
      </c>
    </row>
    <row r="5569" spans="1:9" x14ac:dyDescent="0.25">
      <c r="A5569">
        <v>323</v>
      </c>
      <c r="B5569" t="s">
        <v>2129</v>
      </c>
      <c r="C5569" t="s">
        <v>10</v>
      </c>
      <c r="D5569" t="s">
        <v>103</v>
      </c>
      <c r="E5569">
        <f>1/130</f>
        <v>7.6923076923076927E-3</v>
      </c>
      <c r="F5569">
        <v>38</v>
      </c>
      <c r="G5569">
        <f>LOG(382/(38+1))</f>
        <v>0.99099875588520958</v>
      </c>
      <c r="H5569">
        <f>0.00769230769230769*2.28185896247692</f>
        <v>1.7552761249822458E-2</v>
      </c>
      <c r="I5569">
        <v>1.7552761249822531E-2</v>
      </c>
    </row>
    <row r="5570" spans="1:9" x14ac:dyDescent="0.25">
      <c r="A5570">
        <v>323</v>
      </c>
      <c r="B5570" t="s">
        <v>2129</v>
      </c>
      <c r="C5570" t="s">
        <v>10</v>
      </c>
      <c r="D5570" t="s">
        <v>196</v>
      </c>
      <c r="E5570">
        <f>1/130</f>
        <v>7.6923076923076927E-3</v>
      </c>
      <c r="F5570">
        <v>33</v>
      </c>
      <c r="G5570">
        <f>LOG(382/(33+1))</f>
        <v>1.0505844458694535</v>
      </c>
      <c r="H5570">
        <f>0.00769230769230769*2.41906008399041</f>
        <v>1.8608154492233919E-2</v>
      </c>
      <c r="I5570">
        <v>1.860815449223395E-2</v>
      </c>
    </row>
    <row r="5571" spans="1:9" x14ac:dyDescent="0.25">
      <c r="A5571">
        <v>323</v>
      </c>
      <c r="B5571" t="s">
        <v>2129</v>
      </c>
      <c r="C5571" t="s">
        <v>10</v>
      </c>
      <c r="D5571" t="s">
        <v>2136</v>
      </c>
      <c r="E5571">
        <f>1/130</f>
        <v>7.6923076923076927E-3</v>
      </c>
      <c r="F5571">
        <v>3</v>
      </c>
      <c r="G5571">
        <f>LOG(382/(3+1))</f>
        <v>1.9800033715837464</v>
      </c>
      <c r="H5571">
        <f>0.00769230769230769*4.55912624748668</f>
        <v>3.5070201903743679E-2</v>
      </c>
      <c r="I5571">
        <v>3.5070201903743728E-2</v>
      </c>
    </row>
    <row r="5572" spans="1:9" x14ac:dyDescent="0.25">
      <c r="A5572">
        <v>323</v>
      </c>
      <c r="B5572" t="s">
        <v>2129</v>
      </c>
      <c r="C5572" t="s">
        <v>10</v>
      </c>
      <c r="D5572" t="s">
        <v>465</v>
      </c>
      <c r="E5572">
        <f>2/130</f>
        <v>1.5384615384615385E-2</v>
      </c>
      <c r="F5572">
        <v>36</v>
      </c>
      <c r="G5572">
        <f>LOG(382/(36+1))</f>
        <v>1.0138616388447137</v>
      </c>
      <c r="H5572">
        <f>0.0153846153846153*2.33450269596235</f>
        <v>3.5915426091728264E-2</v>
      </c>
      <c r="I5572">
        <v>3.5915426091728479E-2</v>
      </c>
    </row>
    <row r="5573" spans="1:9" x14ac:dyDescent="0.25">
      <c r="A5573">
        <v>323</v>
      </c>
      <c r="B5573" t="s">
        <v>2129</v>
      </c>
      <c r="C5573" t="s">
        <v>10</v>
      </c>
      <c r="D5573" t="s">
        <v>40</v>
      </c>
      <c r="E5573">
        <f>3/130</f>
        <v>2.3076923076923078E-2</v>
      </c>
      <c r="F5573">
        <v>159</v>
      </c>
      <c r="G5573">
        <f>LOG(382/(159+1))</f>
        <v>0.377943380255784</v>
      </c>
      <c r="H5573">
        <f>0.023076923076923*0.870246793372748</f>
        <v>2.0082618308601807E-2</v>
      </c>
      <c r="I5573">
        <v>2.0082618308601891E-2</v>
      </c>
    </row>
    <row r="5574" spans="1:9" x14ac:dyDescent="0.25">
      <c r="A5574">
        <v>323</v>
      </c>
      <c r="B5574" t="s">
        <v>2129</v>
      </c>
      <c r="C5574" t="s">
        <v>10</v>
      </c>
      <c r="D5574" t="s">
        <v>41</v>
      </c>
      <c r="E5574">
        <f>4/130</f>
        <v>3.0769230769230771E-2</v>
      </c>
      <c r="F5574">
        <v>195</v>
      </c>
      <c r="G5574">
        <f>LOG(382/(195+1))</f>
        <v>0.28980729155523272</v>
      </c>
      <c r="H5574">
        <f>0.0307692307692307*0.667305949376058</f>
        <v>2.0532490750032509E-2</v>
      </c>
      <c r="I5574">
        <v>2.0532490750032561E-2</v>
      </c>
    </row>
    <row r="5575" spans="1:9" x14ac:dyDescent="0.25">
      <c r="A5575">
        <v>323</v>
      </c>
      <c r="B5575" t="s">
        <v>2129</v>
      </c>
      <c r="C5575" t="s">
        <v>10</v>
      </c>
      <c r="D5575" t="s">
        <v>911</v>
      </c>
      <c r="E5575">
        <f>1/130</f>
        <v>7.6923076923076927E-3</v>
      </c>
      <c r="F5575">
        <v>22</v>
      </c>
      <c r="G5575">
        <f>LOG(382/(22+1))</f>
        <v>1.2203355268941158</v>
      </c>
      <c r="H5575">
        <f>0.00769230769230769*2.80992639267742</f>
        <v>2.1614818405210914E-2</v>
      </c>
      <c r="I5575">
        <v>2.161481840521097E-2</v>
      </c>
    </row>
    <row r="5576" spans="1:9" x14ac:dyDescent="0.25">
      <c r="A5576">
        <v>323</v>
      </c>
      <c r="B5576" t="s">
        <v>2129</v>
      </c>
      <c r="C5576" t="s">
        <v>10</v>
      </c>
      <c r="D5576" t="s">
        <v>2137</v>
      </c>
      <c r="E5576">
        <f>1/130</f>
        <v>7.6923076923076927E-3</v>
      </c>
      <c r="F5576">
        <v>2</v>
      </c>
      <c r="G5576">
        <f>LOG(382/(2+1))</f>
        <v>2.1049421081920463</v>
      </c>
      <c r="H5576">
        <f>0.00769230769230769*4.84680831993846</f>
        <v>3.7283140922603528E-2</v>
      </c>
      <c r="I5576">
        <v>3.7283140922603583E-2</v>
      </c>
    </row>
    <row r="5577" spans="1:9" x14ac:dyDescent="0.25">
      <c r="A5577">
        <v>323</v>
      </c>
      <c r="B5577" t="s">
        <v>2129</v>
      </c>
      <c r="C5577" t="s">
        <v>10</v>
      </c>
      <c r="D5577" t="s">
        <v>131</v>
      </c>
      <c r="E5577">
        <f>1/130</f>
        <v>7.6923076923076927E-3</v>
      </c>
      <c r="F5577">
        <v>38</v>
      </c>
      <c r="G5577">
        <f>LOG(382/(38+1))</f>
        <v>0.99099875588520958</v>
      </c>
      <c r="H5577">
        <f>0.00769230769230769*2.28185896247692</f>
        <v>1.7552761249822458E-2</v>
      </c>
      <c r="I5577">
        <v>1.7552761249822531E-2</v>
      </c>
    </row>
    <row r="5578" spans="1:9" x14ac:dyDescent="0.25">
      <c r="A5578">
        <v>323</v>
      </c>
      <c r="B5578" t="s">
        <v>2129</v>
      </c>
      <c r="C5578" t="s">
        <v>10</v>
      </c>
      <c r="D5578" t="s">
        <v>2138</v>
      </c>
      <c r="E5578">
        <f>1/130</f>
        <v>7.6923076923076927E-3</v>
      </c>
      <c r="F5578">
        <v>3</v>
      </c>
      <c r="G5578">
        <f>LOG(382/(3+1))</f>
        <v>1.9800033715837464</v>
      </c>
      <c r="H5578">
        <f>0.00769230769230769*4.55912624748668</f>
        <v>3.5070201903743679E-2</v>
      </c>
      <c r="I5578">
        <v>3.5070201903743728E-2</v>
      </c>
    </row>
    <row r="5579" spans="1:9" x14ac:dyDescent="0.25">
      <c r="A5579">
        <v>323</v>
      </c>
      <c r="B5579" t="s">
        <v>2129</v>
      </c>
      <c r="C5579" t="s">
        <v>10</v>
      </c>
      <c r="D5579" t="s">
        <v>236</v>
      </c>
      <c r="E5579">
        <f>1/130</f>
        <v>7.6923076923076927E-3</v>
      </c>
      <c r="F5579">
        <v>87</v>
      </c>
      <c r="G5579">
        <f>LOG(382/(87+1))</f>
        <v>0.63758069076154011</v>
      </c>
      <c r="H5579">
        <f>0.00769230769230769*1.46808379412836</f>
        <v>1.1292952262525843E-2</v>
      </c>
      <c r="I5579">
        <v>1.1292952262525909E-2</v>
      </c>
    </row>
    <row r="5580" spans="1:9" x14ac:dyDescent="0.25">
      <c r="A5580">
        <v>323</v>
      </c>
      <c r="B5580" t="s">
        <v>2129</v>
      </c>
      <c r="C5580" t="s">
        <v>10</v>
      </c>
      <c r="D5580" t="s">
        <v>133</v>
      </c>
      <c r="E5580">
        <f>2/130</f>
        <v>1.5384615384615385E-2</v>
      </c>
      <c r="F5580">
        <v>142</v>
      </c>
      <c r="G5580">
        <f>LOG(382/(142+1))</f>
        <v>0.42672732544664693</v>
      </c>
      <c r="H5580">
        <f>0.0153846153846153*0.982575978346667</f>
        <v>1.5116553513025563E-2</v>
      </c>
      <c r="I5580">
        <v>1.511655351302566E-2</v>
      </c>
    </row>
    <row r="5581" spans="1:9" x14ac:dyDescent="0.25">
      <c r="A5581">
        <v>323</v>
      </c>
      <c r="B5581" t="s">
        <v>2129</v>
      </c>
      <c r="C5581" t="s">
        <v>10</v>
      </c>
      <c r="D5581" t="s">
        <v>2139</v>
      </c>
      <c r="E5581">
        <f>1/130</f>
        <v>7.6923076923076927E-3</v>
      </c>
      <c r="F5581">
        <v>1</v>
      </c>
      <c r="G5581">
        <f>LOG(382/(1+1))</f>
        <v>2.2810333672477277</v>
      </c>
      <c r="H5581">
        <f>0.00769230769230769*5.25227342804663</f>
        <v>4.0402103292666372E-2</v>
      </c>
      <c r="I5581">
        <v>4.0402103292666393E-2</v>
      </c>
    </row>
    <row r="5582" spans="1:9" x14ac:dyDescent="0.25">
      <c r="A5582">
        <v>323</v>
      </c>
      <c r="B5582" t="s">
        <v>2129</v>
      </c>
      <c r="C5582" t="s">
        <v>10</v>
      </c>
      <c r="D5582" t="s">
        <v>2140</v>
      </c>
      <c r="E5582">
        <f>1/130</f>
        <v>7.6923076923076927E-3</v>
      </c>
      <c r="F5582">
        <v>2</v>
      </c>
      <c r="G5582">
        <f>LOG(382/(2+1))</f>
        <v>2.1049421081920463</v>
      </c>
      <c r="H5582">
        <f>0.00769230769230769*4.84680831993846</f>
        <v>3.7283140922603528E-2</v>
      </c>
      <c r="I5582">
        <v>3.7283140922603583E-2</v>
      </c>
    </row>
    <row r="5583" spans="1:9" x14ac:dyDescent="0.25">
      <c r="A5583">
        <v>323</v>
      </c>
      <c r="B5583" t="s">
        <v>2129</v>
      </c>
      <c r="C5583" t="s">
        <v>10</v>
      </c>
      <c r="D5583" t="s">
        <v>42</v>
      </c>
      <c r="E5583">
        <f>1/130</f>
        <v>7.6923076923076927E-3</v>
      </c>
      <c r="F5583">
        <v>251</v>
      </c>
      <c r="G5583">
        <f>LOG(382/(251+1))</f>
        <v>0.18066282213016463</v>
      </c>
      <c r="H5583">
        <f>0.00769230769230769*0.415991521095151</f>
        <v>3.1999347776550066E-3</v>
      </c>
      <c r="I5583">
        <v>3.1999347776550139E-3</v>
      </c>
    </row>
    <row r="5584" spans="1:9" x14ac:dyDescent="0.25">
      <c r="A5584">
        <v>323</v>
      </c>
      <c r="B5584" t="s">
        <v>2129</v>
      </c>
      <c r="C5584" t="s">
        <v>10</v>
      </c>
      <c r="D5584" t="s">
        <v>17</v>
      </c>
      <c r="E5584">
        <f>2/130</f>
        <v>1.5384615384615385E-2</v>
      </c>
      <c r="F5584">
        <v>169</v>
      </c>
      <c r="G5584">
        <f>LOG(382/(169+1))</f>
        <v>0.3516144415334348</v>
      </c>
      <c r="H5584">
        <f>0.0153846153846153*0.809622171556313</f>
        <v>1.2455725716250901E-2</v>
      </c>
      <c r="I5584">
        <v>1.2455725716250979E-2</v>
      </c>
    </row>
    <row r="5585" spans="1:9" x14ac:dyDescent="0.25">
      <c r="A5585">
        <v>323</v>
      </c>
      <c r="B5585" t="s">
        <v>2129</v>
      </c>
      <c r="C5585" t="s">
        <v>10</v>
      </c>
      <c r="D5585" t="s">
        <v>153</v>
      </c>
      <c r="E5585">
        <f>2/130</f>
        <v>1.5384615384615385E-2</v>
      </c>
      <c r="F5585">
        <v>10</v>
      </c>
      <c r="G5585">
        <f>LOG(382/(10+1))</f>
        <v>1.5406706777534838</v>
      </c>
      <c r="H5585">
        <f>0.0153846153846153*3.5475253358082</f>
        <v>5.4577312858587398E-2</v>
      </c>
      <c r="I5585">
        <v>5.4577312858587773E-2</v>
      </c>
    </row>
    <row r="5586" spans="1:9" x14ac:dyDescent="0.25">
      <c r="A5586">
        <v>323</v>
      </c>
      <c r="B5586" t="s">
        <v>2129</v>
      </c>
      <c r="C5586" t="s">
        <v>10</v>
      </c>
      <c r="D5586" t="s">
        <v>19</v>
      </c>
      <c r="E5586">
        <f>1/130</f>
        <v>7.6923076923076927E-3</v>
      </c>
      <c r="F5586">
        <v>220</v>
      </c>
      <c r="G5586">
        <f>LOG(382/(220+1))</f>
        <v>0.23767108922659805</v>
      </c>
      <c r="H5586">
        <f>0.00769230769230769*0.547257907088822</f>
        <v>4.2096762083755528E-3</v>
      </c>
      <c r="I5586">
        <v>4.2096762083755571E-3</v>
      </c>
    </row>
    <row r="5587" spans="1:9" x14ac:dyDescent="0.25">
      <c r="A5587">
        <v>323</v>
      </c>
      <c r="B5587" t="s">
        <v>2129</v>
      </c>
      <c r="C5587" t="s">
        <v>10</v>
      </c>
      <c r="D5587" t="s">
        <v>485</v>
      </c>
      <c r="E5587">
        <f>1/130</f>
        <v>7.6923076923076927E-3</v>
      </c>
      <c r="F5587">
        <v>74</v>
      </c>
      <c r="G5587">
        <f>LOG(382/(74+1))</f>
        <v>0.7070020995200087</v>
      </c>
      <c r="H5587">
        <f>0.00769230769230769*1.62793249507026</f>
        <v>1.2522557654386613E-2</v>
      </c>
      <c r="I5587">
        <v>1.2522557654386649E-2</v>
      </c>
    </row>
    <row r="5588" spans="1:9" x14ac:dyDescent="0.25">
      <c r="A5588">
        <v>323</v>
      </c>
      <c r="B5588" t="s">
        <v>2129</v>
      </c>
      <c r="C5588" t="s">
        <v>10</v>
      </c>
      <c r="D5588" t="s">
        <v>345</v>
      </c>
      <c r="E5588">
        <f>1/130</f>
        <v>7.6923076923076927E-3</v>
      </c>
      <c r="F5588">
        <v>8</v>
      </c>
      <c r="G5588">
        <f>LOG(382/(8+1))</f>
        <v>1.6278208534723839</v>
      </c>
      <c r="H5588">
        <f>0.00769230769230769*3.74819603127035</f>
        <v>2.8832277163618067E-2</v>
      </c>
      <c r="I5588">
        <v>2.8832277163618119E-2</v>
      </c>
    </row>
    <row r="5589" spans="1:9" x14ac:dyDescent="0.25">
      <c r="A5589">
        <v>323</v>
      </c>
      <c r="B5589" t="s">
        <v>2129</v>
      </c>
      <c r="C5589" t="s">
        <v>10</v>
      </c>
      <c r="D5589" t="s">
        <v>2141</v>
      </c>
      <c r="E5589">
        <f>1/130</f>
        <v>7.6923076923076927E-3</v>
      </c>
      <c r="F5589">
        <v>2</v>
      </c>
      <c r="G5589">
        <f>LOG(382/(2+1))</f>
        <v>2.1049421081920463</v>
      </c>
      <c r="H5589">
        <f>0.00769230769230769*4.84680831993846</f>
        <v>3.7283140922603528E-2</v>
      </c>
      <c r="I5589">
        <v>3.7283140922603583E-2</v>
      </c>
    </row>
    <row r="5590" spans="1:9" x14ac:dyDescent="0.25">
      <c r="A5590">
        <v>323</v>
      </c>
      <c r="B5590" t="s">
        <v>2129</v>
      </c>
      <c r="C5590" t="s">
        <v>10</v>
      </c>
      <c r="D5590" t="s">
        <v>779</v>
      </c>
      <c r="E5590">
        <f>2/130</f>
        <v>1.5384615384615385E-2</v>
      </c>
      <c r="F5590">
        <v>25</v>
      </c>
      <c r="G5590">
        <f>LOG(382/(25+1))</f>
        <v>1.1670900149408907</v>
      </c>
      <c r="H5590">
        <f>0.0153846153846153*2.68732407058509</f>
        <v>4.1343447239770389E-2</v>
      </c>
      <c r="I5590">
        <v>4.1343447239770667E-2</v>
      </c>
    </row>
    <row r="5591" spans="1:9" x14ac:dyDescent="0.25">
      <c r="A5591">
        <v>323</v>
      </c>
      <c r="B5591" t="s">
        <v>2129</v>
      </c>
      <c r="C5591" t="s">
        <v>10</v>
      </c>
      <c r="D5591" t="s">
        <v>2142</v>
      </c>
      <c r="E5591">
        <f t="shared" ref="E5591:E5606" si="249">1/130</f>
        <v>7.6923076923076927E-3</v>
      </c>
      <c r="F5591">
        <v>2</v>
      </c>
      <c r="G5591">
        <f>LOG(382/(2+1))</f>
        <v>2.1049421081920463</v>
      </c>
      <c r="H5591">
        <f>0.00769230769230769*4.84680831993846</f>
        <v>3.7283140922603528E-2</v>
      </c>
      <c r="I5591">
        <v>3.7283140922603583E-2</v>
      </c>
    </row>
    <row r="5592" spans="1:9" x14ac:dyDescent="0.25">
      <c r="A5592">
        <v>323</v>
      </c>
      <c r="B5592" t="s">
        <v>2129</v>
      </c>
      <c r="C5592" t="s">
        <v>10</v>
      </c>
      <c r="D5592" t="s">
        <v>26</v>
      </c>
      <c r="E5592">
        <f t="shared" si="249"/>
        <v>7.6923076923076927E-3</v>
      </c>
      <c r="F5592">
        <v>40</v>
      </c>
      <c r="G5592">
        <f>LOG(382/(40+1))</f>
        <v>0.96927950619197323</v>
      </c>
      <c r="H5592">
        <f>0.00769230769230769*2.23184854190226</f>
        <v>1.7168065706940454E-2</v>
      </c>
      <c r="I5592">
        <v>1.716806570694052E-2</v>
      </c>
    </row>
    <row r="5593" spans="1:9" x14ac:dyDescent="0.25">
      <c r="A5593">
        <v>323</v>
      </c>
      <c r="B5593" t="s">
        <v>2129</v>
      </c>
      <c r="C5593" t="s">
        <v>10</v>
      </c>
      <c r="D5593" t="s">
        <v>2143</v>
      </c>
      <c r="E5593">
        <f t="shared" si="249"/>
        <v>7.6923076923076927E-3</v>
      </c>
      <c r="F5593">
        <v>1</v>
      </c>
      <c r="G5593">
        <f>LOG(382/(1+1))</f>
        <v>2.2810333672477277</v>
      </c>
      <c r="H5593">
        <f>0.00769230769230769*5.25227342804663</f>
        <v>4.0402103292666372E-2</v>
      </c>
      <c r="I5593">
        <v>4.0402103292666393E-2</v>
      </c>
    </row>
    <row r="5594" spans="1:9" x14ac:dyDescent="0.25">
      <c r="A5594">
        <v>323</v>
      </c>
      <c r="B5594" t="s">
        <v>2129</v>
      </c>
      <c r="C5594" t="s">
        <v>10</v>
      </c>
      <c r="D5594" t="s">
        <v>28</v>
      </c>
      <c r="E5594">
        <f t="shared" si="249"/>
        <v>7.6923076923076927E-3</v>
      </c>
      <c r="F5594">
        <v>35</v>
      </c>
      <c r="G5594">
        <f>LOG(382/(35+1))</f>
        <v>1.0257608621444214</v>
      </c>
      <c r="H5594">
        <f>0.00769230769230769*2.36190167015046</f>
        <v>1.8168474385772765E-2</v>
      </c>
      <c r="I5594">
        <v>1.816847438577281E-2</v>
      </c>
    </row>
    <row r="5595" spans="1:9" x14ac:dyDescent="0.25">
      <c r="A5595">
        <v>323</v>
      </c>
      <c r="B5595" t="s">
        <v>2129</v>
      </c>
      <c r="C5595" t="s">
        <v>10</v>
      </c>
      <c r="D5595" t="s">
        <v>476</v>
      </c>
      <c r="E5595">
        <f t="shared" si="249"/>
        <v>7.6923076923076927E-3</v>
      </c>
      <c r="F5595">
        <v>18</v>
      </c>
      <c r="G5595">
        <f>LOG(382/(18+1))</f>
        <v>1.3033097619588798</v>
      </c>
      <c r="H5595">
        <f>0.00769230769230769*3.00098162944013</f>
        <v>2.3084474072616379E-2</v>
      </c>
      <c r="I5595">
        <v>2.308447407261642E-2</v>
      </c>
    </row>
    <row r="5596" spans="1:9" x14ac:dyDescent="0.25">
      <c r="A5596">
        <v>323</v>
      </c>
      <c r="B5596" t="s">
        <v>2129</v>
      </c>
      <c r="C5596" t="s">
        <v>10</v>
      </c>
      <c r="D5596" t="s">
        <v>929</v>
      </c>
      <c r="E5596">
        <f t="shared" si="249"/>
        <v>7.6923076923076927E-3</v>
      </c>
      <c r="F5596">
        <v>32</v>
      </c>
      <c r="G5596">
        <f>LOG(382/(32+1))</f>
        <v>1.0635494230338212</v>
      </c>
      <c r="H5596">
        <f>0.00769230769230769*2.44891304714009</f>
        <v>1.8837792670308381E-2</v>
      </c>
      <c r="I5596">
        <v>1.8837792670308429E-2</v>
      </c>
    </row>
    <row r="5597" spans="1:9" x14ac:dyDescent="0.25">
      <c r="A5597">
        <v>323</v>
      </c>
      <c r="B5597" t="s">
        <v>2129</v>
      </c>
      <c r="C5597" t="s">
        <v>10</v>
      </c>
      <c r="D5597" t="s">
        <v>399</v>
      </c>
      <c r="E5597">
        <f t="shared" si="249"/>
        <v>7.6923076923076927E-3</v>
      </c>
      <c r="F5597">
        <v>27</v>
      </c>
      <c r="G5597">
        <f>LOG(382/(27+1))</f>
        <v>1.1349053315694895</v>
      </c>
      <c r="H5597">
        <f>0.00769230769230769*2.61321609843137</f>
        <v>2.0101662295625919E-2</v>
      </c>
      <c r="I5597">
        <v>2.0101662295625929E-2</v>
      </c>
    </row>
    <row r="5598" spans="1:9" x14ac:dyDescent="0.25">
      <c r="A5598">
        <v>323</v>
      </c>
      <c r="B5598" t="s">
        <v>2129</v>
      </c>
      <c r="C5598" t="s">
        <v>10</v>
      </c>
      <c r="D5598" t="s">
        <v>2144</v>
      </c>
      <c r="E5598">
        <f t="shared" si="249"/>
        <v>7.6923076923076927E-3</v>
      </c>
      <c r="F5598">
        <v>1</v>
      </c>
      <c r="G5598">
        <f>LOG(382/(1+1))</f>
        <v>2.2810333672477277</v>
      </c>
      <c r="H5598">
        <f>0.00769230769230769*5.25227342804663</f>
        <v>4.0402103292666372E-2</v>
      </c>
      <c r="I5598">
        <v>4.0402103292666393E-2</v>
      </c>
    </row>
    <row r="5599" spans="1:9" x14ac:dyDescent="0.25">
      <c r="A5599">
        <v>323</v>
      </c>
      <c r="B5599" t="s">
        <v>2129</v>
      </c>
      <c r="C5599" t="s">
        <v>10</v>
      </c>
      <c r="D5599" t="s">
        <v>711</v>
      </c>
      <c r="E5599">
        <f t="shared" si="249"/>
        <v>7.6923076923076927E-3</v>
      </c>
      <c r="F5599">
        <v>4</v>
      </c>
      <c r="G5599">
        <f>LOG(382/(4+1))</f>
        <v>1.8830933585756899</v>
      </c>
      <c r="H5599">
        <f>0.00769230769230769*4.33598269617247</f>
        <v>3.3353713047480534E-2</v>
      </c>
      <c r="I5599">
        <v>3.3353713047480582E-2</v>
      </c>
    </row>
    <row r="5600" spans="1:9" x14ac:dyDescent="0.25">
      <c r="A5600">
        <v>323</v>
      </c>
      <c r="B5600" t="s">
        <v>2129</v>
      </c>
      <c r="C5600" t="s">
        <v>10</v>
      </c>
      <c r="D5600" t="s">
        <v>1453</v>
      </c>
      <c r="E5600">
        <f t="shared" si="249"/>
        <v>7.6923076923076927E-3</v>
      </c>
      <c r="F5600">
        <v>23</v>
      </c>
      <c r="G5600">
        <f>LOG(382/(23+1))</f>
        <v>1.2018521212001028</v>
      </c>
      <c r="H5600">
        <f>0.00769230769230769*2.76736677825862</f>
        <v>2.1287436755835533E-2</v>
      </c>
      <c r="I5600">
        <v>2.1287436755835609E-2</v>
      </c>
    </row>
    <row r="5601" spans="1:9" x14ac:dyDescent="0.25">
      <c r="A5601">
        <v>323</v>
      </c>
      <c r="B5601" t="s">
        <v>2129</v>
      </c>
      <c r="C5601" t="s">
        <v>10</v>
      </c>
      <c r="D5601" t="s">
        <v>2145</v>
      </c>
      <c r="E5601">
        <f t="shared" si="249"/>
        <v>7.6923076923076927E-3</v>
      </c>
      <c r="F5601">
        <v>1</v>
      </c>
      <c r="G5601">
        <f>LOG(382/(1+1))</f>
        <v>2.2810333672477277</v>
      </c>
      <c r="H5601">
        <f>0.00769230769230769*5.25227342804663</f>
        <v>4.0402103292666372E-2</v>
      </c>
      <c r="I5601">
        <v>4.0402103292666393E-2</v>
      </c>
    </row>
    <row r="5602" spans="1:9" x14ac:dyDescent="0.25">
      <c r="A5602">
        <v>323</v>
      </c>
      <c r="B5602" t="s">
        <v>2129</v>
      </c>
      <c r="C5602" t="s">
        <v>10</v>
      </c>
      <c r="D5602" t="s">
        <v>2146</v>
      </c>
      <c r="E5602">
        <f t="shared" si="249"/>
        <v>7.6923076923076927E-3</v>
      </c>
      <c r="F5602">
        <v>1</v>
      </c>
      <c r="G5602">
        <f>LOG(382/(1+1))</f>
        <v>2.2810333672477277</v>
      </c>
      <c r="H5602">
        <f>0.00769230769230769*5.25227342804663</f>
        <v>4.0402103292666372E-2</v>
      </c>
      <c r="I5602">
        <v>4.0402103292666393E-2</v>
      </c>
    </row>
    <row r="5603" spans="1:9" x14ac:dyDescent="0.25">
      <c r="A5603">
        <v>323</v>
      </c>
      <c r="B5603" t="s">
        <v>2129</v>
      </c>
      <c r="C5603" t="s">
        <v>10</v>
      </c>
      <c r="D5603" t="s">
        <v>1478</v>
      </c>
      <c r="E5603">
        <f t="shared" si="249"/>
        <v>7.6923076923076927E-3</v>
      </c>
      <c r="F5603">
        <v>17</v>
      </c>
      <c r="G5603">
        <f>LOG(382/(17+1))</f>
        <v>1.3267908578084027</v>
      </c>
      <c r="H5603">
        <f>0.00769230769230769*3.05504885071041</f>
        <v>2.3500375774695454E-2</v>
      </c>
      <c r="I5603">
        <v>2.3500375774695461E-2</v>
      </c>
    </row>
    <row r="5604" spans="1:9" x14ac:dyDescent="0.25">
      <c r="A5604">
        <v>323</v>
      </c>
      <c r="B5604" t="s">
        <v>2129</v>
      </c>
      <c r="C5604" t="s">
        <v>10</v>
      </c>
      <c r="D5604" t="s">
        <v>927</v>
      </c>
      <c r="E5604">
        <f t="shared" si="249"/>
        <v>7.6923076923076927E-3</v>
      </c>
      <c r="F5604">
        <v>4</v>
      </c>
      <c r="G5604">
        <f>LOG(382/(4+1))</f>
        <v>1.8830933585756899</v>
      </c>
      <c r="H5604">
        <f>0.00769230769230769*4.33598269617247</f>
        <v>3.3353713047480534E-2</v>
      </c>
      <c r="I5604">
        <v>3.3353713047480582E-2</v>
      </c>
    </row>
    <row r="5605" spans="1:9" x14ac:dyDescent="0.25">
      <c r="A5605">
        <v>323</v>
      </c>
      <c r="B5605" t="s">
        <v>2129</v>
      </c>
      <c r="C5605" t="s">
        <v>10</v>
      </c>
      <c r="D5605" t="s">
        <v>2147</v>
      </c>
      <c r="E5605">
        <f t="shared" si="249"/>
        <v>7.6923076923076927E-3</v>
      </c>
      <c r="F5605">
        <v>2</v>
      </c>
      <c r="G5605">
        <f>LOG(382/(2+1))</f>
        <v>2.1049421081920463</v>
      </c>
      <c r="H5605">
        <f>0.00769230769230769*4.84680831993846</f>
        <v>3.7283140922603528E-2</v>
      </c>
      <c r="I5605">
        <v>3.7283140922603583E-2</v>
      </c>
    </row>
    <row r="5606" spans="1:9" x14ac:dyDescent="0.25">
      <c r="A5606">
        <v>323</v>
      </c>
      <c r="B5606" t="s">
        <v>2129</v>
      </c>
      <c r="C5606" t="s">
        <v>10</v>
      </c>
      <c r="D5606" t="s">
        <v>1859</v>
      </c>
      <c r="E5606">
        <f t="shared" si="249"/>
        <v>7.6923076923076927E-3</v>
      </c>
      <c r="F5606">
        <v>7</v>
      </c>
      <c r="G5606">
        <f>LOG(382/(7+1))</f>
        <v>1.6789733759197651</v>
      </c>
      <c r="H5606">
        <f>0.00769230769230769*3.86597906692673</f>
        <v>2.9738300514820994E-2</v>
      </c>
      <c r="I5606">
        <v>2.973830051482107E-2</v>
      </c>
    </row>
    <row r="5607" spans="1:9" x14ac:dyDescent="0.25">
      <c r="A5607">
        <v>323</v>
      </c>
      <c r="B5607" t="s">
        <v>2129</v>
      </c>
      <c r="C5607" t="s">
        <v>10</v>
      </c>
      <c r="D5607" t="s">
        <v>724</v>
      </c>
      <c r="E5607">
        <f>4/130</f>
        <v>3.0769230769230771E-2</v>
      </c>
      <c r="F5607">
        <v>9</v>
      </c>
      <c r="G5607">
        <f>LOG(382/(9+1))</f>
        <v>1.5820633629117087</v>
      </c>
      <c r="H5607">
        <f>0.0307692307692307*3.64283551561252</f>
        <v>0.11208724663423114</v>
      </c>
      <c r="I5607">
        <v>0.1120872466342317</v>
      </c>
    </row>
    <row r="5608" spans="1:9" x14ac:dyDescent="0.25">
      <c r="A5608">
        <v>323</v>
      </c>
      <c r="B5608" t="s">
        <v>2129</v>
      </c>
      <c r="C5608" t="s">
        <v>10</v>
      </c>
      <c r="D5608" t="s">
        <v>23</v>
      </c>
      <c r="E5608">
        <f t="shared" ref="E5608:E5622" si="250">1/130</f>
        <v>7.6923076923076927E-3</v>
      </c>
      <c r="F5608">
        <v>275</v>
      </c>
      <c r="G5608">
        <f>LOG(382/(275+1))</f>
        <v>0.14115428084649101</v>
      </c>
      <c r="H5608">
        <f>0.00769230769230769*0.325019742889425</f>
        <v>2.5001518683801915E-3</v>
      </c>
      <c r="I5608">
        <v>2.5001518683801941E-3</v>
      </c>
    </row>
    <row r="5609" spans="1:9" x14ac:dyDescent="0.25">
      <c r="A5609">
        <v>323</v>
      </c>
      <c r="B5609" t="s">
        <v>2129</v>
      </c>
      <c r="C5609" t="s">
        <v>10</v>
      </c>
      <c r="D5609" t="s">
        <v>2148</v>
      </c>
      <c r="E5609">
        <f t="shared" si="250"/>
        <v>7.6923076923076927E-3</v>
      </c>
      <c r="F5609">
        <v>2</v>
      </c>
      <c r="G5609">
        <f>LOG(382/(2+1))</f>
        <v>2.1049421081920463</v>
      </c>
      <c r="H5609">
        <f>0.00769230769230769*4.84680831993846</f>
        <v>3.7283140922603528E-2</v>
      </c>
      <c r="I5609">
        <v>3.7283140922603583E-2</v>
      </c>
    </row>
    <row r="5610" spans="1:9" x14ac:dyDescent="0.25">
      <c r="A5610">
        <v>323</v>
      </c>
      <c r="B5610" t="s">
        <v>2129</v>
      </c>
      <c r="C5610" t="s">
        <v>10</v>
      </c>
      <c r="D5610" t="s">
        <v>1477</v>
      </c>
      <c r="E5610">
        <f t="shared" si="250"/>
        <v>7.6923076923076927E-3</v>
      </c>
      <c r="F5610">
        <v>3</v>
      </c>
      <c r="G5610">
        <f>LOG(382/(3+1))</f>
        <v>1.9800033715837464</v>
      </c>
      <c r="H5610">
        <f>0.00769230769230769*4.55912624748668</f>
        <v>3.5070201903743679E-2</v>
      </c>
      <c r="I5610">
        <v>3.5070201903743728E-2</v>
      </c>
    </row>
    <row r="5611" spans="1:9" x14ac:dyDescent="0.25">
      <c r="A5611">
        <v>323</v>
      </c>
      <c r="B5611" t="s">
        <v>2129</v>
      </c>
      <c r="C5611" t="s">
        <v>10</v>
      </c>
      <c r="D5611" t="s">
        <v>2149</v>
      </c>
      <c r="E5611">
        <f t="shared" si="250"/>
        <v>7.6923076923076927E-3</v>
      </c>
      <c r="F5611">
        <v>1</v>
      </c>
      <c r="G5611">
        <f>LOG(382/(1+1))</f>
        <v>2.2810333672477277</v>
      </c>
      <c r="H5611">
        <f>0.00769230769230769*5.25227342804663</f>
        <v>4.0402103292666372E-2</v>
      </c>
      <c r="I5611">
        <v>4.0402103292666393E-2</v>
      </c>
    </row>
    <row r="5612" spans="1:9" x14ac:dyDescent="0.25">
      <c r="A5612">
        <v>323</v>
      </c>
      <c r="B5612" t="s">
        <v>2129</v>
      </c>
      <c r="C5612" t="s">
        <v>10</v>
      </c>
      <c r="D5612" t="s">
        <v>67</v>
      </c>
      <c r="E5612">
        <f t="shared" si="250"/>
        <v>7.6923076923076927E-3</v>
      </c>
      <c r="F5612">
        <v>7</v>
      </c>
      <c r="G5612">
        <f>LOG(382/(7+1))</f>
        <v>1.6789733759197651</v>
      </c>
      <c r="H5612">
        <f>0.00769230769230769*3.86597906692673</f>
        <v>2.9738300514820994E-2</v>
      </c>
      <c r="I5612">
        <v>2.973830051482107E-2</v>
      </c>
    </row>
    <row r="5613" spans="1:9" x14ac:dyDescent="0.25">
      <c r="A5613">
        <v>323</v>
      </c>
      <c r="B5613" t="s">
        <v>2129</v>
      </c>
      <c r="C5613" t="s">
        <v>10</v>
      </c>
      <c r="D5613" t="s">
        <v>2150</v>
      </c>
      <c r="E5613">
        <f t="shared" si="250"/>
        <v>7.6923076923076927E-3</v>
      </c>
      <c r="F5613">
        <v>5</v>
      </c>
      <c r="G5613">
        <f>LOG(382/(5+1))</f>
        <v>1.803912112528065</v>
      </c>
      <c r="H5613">
        <f>0.00769230769230769*4.15366113937852</f>
        <v>3.1951239533680911E-2</v>
      </c>
      <c r="I5613">
        <v>3.1951239533680932E-2</v>
      </c>
    </row>
    <row r="5614" spans="1:9" x14ac:dyDescent="0.25">
      <c r="A5614">
        <v>323</v>
      </c>
      <c r="B5614" t="s">
        <v>2129</v>
      </c>
      <c r="C5614" t="s">
        <v>10</v>
      </c>
      <c r="D5614" t="s">
        <v>1280</v>
      </c>
      <c r="E5614">
        <f t="shared" si="250"/>
        <v>7.6923076923076927E-3</v>
      </c>
      <c r="F5614">
        <v>4</v>
      </c>
      <c r="G5614">
        <f>LOG(382/(4+1))</f>
        <v>1.8830933585756899</v>
      </c>
      <c r="H5614">
        <f>0.00769230769230769*4.33598269617247</f>
        <v>3.3353713047480534E-2</v>
      </c>
      <c r="I5614">
        <v>3.3353713047480582E-2</v>
      </c>
    </row>
    <row r="5615" spans="1:9" x14ac:dyDescent="0.25">
      <c r="A5615">
        <v>323</v>
      </c>
      <c r="B5615" t="s">
        <v>2129</v>
      </c>
      <c r="C5615" t="s">
        <v>10</v>
      </c>
      <c r="D5615" t="s">
        <v>725</v>
      </c>
      <c r="E5615">
        <f t="shared" si="250"/>
        <v>7.6923076923076927E-3</v>
      </c>
      <c r="F5615">
        <v>12</v>
      </c>
      <c r="G5615">
        <f>LOG(382/(12+1))</f>
        <v>1.468120010604872</v>
      </c>
      <c r="H5615">
        <f>0.00769230769230769*3.38047125114503</f>
        <v>2.6003625008807915E-2</v>
      </c>
      <c r="I5615">
        <v>2.6003625008807991E-2</v>
      </c>
    </row>
    <row r="5616" spans="1:9" x14ac:dyDescent="0.25">
      <c r="A5616">
        <v>323</v>
      </c>
      <c r="B5616" t="s">
        <v>2129</v>
      </c>
      <c r="C5616" t="s">
        <v>10</v>
      </c>
      <c r="D5616" t="s">
        <v>204</v>
      </c>
      <c r="E5616">
        <f t="shared" si="250"/>
        <v>7.6923076923076927E-3</v>
      </c>
      <c r="F5616">
        <v>166</v>
      </c>
      <c r="G5616">
        <f>LOG(382/(166+1))</f>
        <v>0.35934689176412549</v>
      </c>
      <c r="H5616">
        <f>0.00769230769230769*0.82742679618982</f>
        <v>6.3648215091524594E-3</v>
      </c>
      <c r="I5616">
        <v>6.3648215091524621E-3</v>
      </c>
    </row>
    <row r="5617" spans="1:9" x14ac:dyDescent="0.25">
      <c r="A5617">
        <v>323</v>
      </c>
      <c r="B5617" t="s">
        <v>2129</v>
      </c>
      <c r="C5617" t="s">
        <v>10</v>
      </c>
      <c r="D5617" t="s">
        <v>602</v>
      </c>
      <c r="E5617">
        <f t="shared" si="250"/>
        <v>7.6923076923076927E-3</v>
      </c>
      <c r="F5617">
        <v>13</v>
      </c>
      <c r="G5617">
        <f>LOG(382/(13+1))</f>
        <v>1.4359353272334707</v>
      </c>
      <c r="H5617">
        <f>0.00769230769230769*3.30636327899131</f>
        <v>2.5433563684548532E-2</v>
      </c>
      <c r="I5617">
        <v>2.5433563684548591E-2</v>
      </c>
    </row>
    <row r="5618" spans="1:9" x14ac:dyDescent="0.25">
      <c r="A5618">
        <v>323</v>
      </c>
      <c r="B5618" t="s">
        <v>2129</v>
      </c>
      <c r="C5618" t="s">
        <v>10</v>
      </c>
      <c r="D5618" t="s">
        <v>939</v>
      </c>
      <c r="E5618">
        <f t="shared" si="250"/>
        <v>7.6923076923076927E-3</v>
      </c>
      <c r="F5618">
        <v>35</v>
      </c>
      <c r="G5618">
        <f>LOG(382/(35+1))</f>
        <v>1.0257608621444214</v>
      </c>
      <c r="H5618">
        <f>0.00769230769230769*2.36190167015046</f>
        <v>1.8168474385772765E-2</v>
      </c>
      <c r="I5618">
        <v>1.816847438577281E-2</v>
      </c>
    </row>
    <row r="5619" spans="1:9" x14ac:dyDescent="0.25">
      <c r="A5619">
        <v>323</v>
      </c>
      <c r="B5619" t="s">
        <v>2129</v>
      </c>
      <c r="C5619" t="s">
        <v>10</v>
      </c>
      <c r="D5619" t="s">
        <v>238</v>
      </c>
      <c r="E5619">
        <f t="shared" si="250"/>
        <v>7.6923076923076927E-3</v>
      </c>
      <c r="F5619">
        <v>10</v>
      </c>
      <c r="G5619">
        <f>LOG(382/(10+1))</f>
        <v>1.5406706777534838</v>
      </c>
      <c r="H5619">
        <f>0.00769230769230769*3.5475253358082</f>
        <v>2.7288656429293841E-2</v>
      </c>
      <c r="I5619">
        <v>2.728865642929388E-2</v>
      </c>
    </row>
    <row r="5620" spans="1:9" x14ac:dyDescent="0.25">
      <c r="A5620">
        <v>323</v>
      </c>
      <c r="B5620" t="s">
        <v>2129</v>
      </c>
      <c r="C5620" t="s">
        <v>10</v>
      </c>
      <c r="D5620" t="s">
        <v>1452</v>
      </c>
      <c r="E5620">
        <f t="shared" si="250"/>
        <v>7.6923076923076927E-3</v>
      </c>
      <c r="F5620">
        <v>8</v>
      </c>
      <c r="G5620">
        <f>LOG(382/(8+1))</f>
        <v>1.6278208534723839</v>
      </c>
      <c r="H5620">
        <f>0.00769230769230769*3.74819603127035</f>
        <v>2.8832277163618067E-2</v>
      </c>
      <c r="I5620">
        <v>2.8832277163618119E-2</v>
      </c>
    </row>
    <row r="5621" spans="1:9" x14ac:dyDescent="0.25">
      <c r="A5621">
        <v>323</v>
      </c>
      <c r="B5621" t="s">
        <v>2129</v>
      </c>
      <c r="C5621" t="s">
        <v>10</v>
      </c>
      <c r="D5621" t="s">
        <v>218</v>
      </c>
      <c r="E5621">
        <f t="shared" si="250"/>
        <v>7.6923076923076927E-3</v>
      </c>
      <c r="F5621">
        <v>35</v>
      </c>
      <c r="G5621">
        <f>LOG(382/(35+1))</f>
        <v>1.0257608621444214</v>
      </c>
      <c r="H5621">
        <f>0.00769230769230769*2.36190167015046</f>
        <v>1.8168474385772765E-2</v>
      </c>
      <c r="I5621">
        <v>1.816847438577281E-2</v>
      </c>
    </row>
    <row r="5622" spans="1:9" x14ac:dyDescent="0.25">
      <c r="A5622">
        <v>323</v>
      </c>
      <c r="B5622" t="s">
        <v>2129</v>
      </c>
      <c r="C5622" t="s">
        <v>10</v>
      </c>
      <c r="D5622" t="s">
        <v>126</v>
      </c>
      <c r="E5622">
        <f t="shared" si="250"/>
        <v>7.6923076923076927E-3</v>
      </c>
      <c r="F5622">
        <v>79</v>
      </c>
      <c r="G5622">
        <f>LOG(382/(79+1))</f>
        <v>0.67897337591976514</v>
      </c>
      <c r="H5622">
        <f>0.00769230769230769*1.56339397393269</f>
        <v>1.2026107491789921E-2</v>
      </c>
      <c r="I5622">
        <v>1.202610749178995E-2</v>
      </c>
    </row>
    <row r="5623" spans="1:9" x14ac:dyDescent="0.25">
      <c r="A5623">
        <v>324</v>
      </c>
      <c r="B5623" t="s">
        <v>2151</v>
      </c>
      <c r="C5623" t="s">
        <v>10</v>
      </c>
      <c r="D5623" t="s">
        <v>315</v>
      </c>
      <c r="E5623">
        <f>4/23</f>
        <v>0.17391304347826086</v>
      </c>
      <c r="F5623">
        <v>55</v>
      </c>
      <c r="G5623">
        <f>LOG(382/(55+1))</f>
        <v>0.83387533590550833</v>
      </c>
      <c r="H5623">
        <f>0.17391304347826*1.92006891787142</f>
        <v>0.33392502919502792</v>
      </c>
      <c r="I5623">
        <v>0.33392502919503059</v>
      </c>
    </row>
    <row r="5624" spans="1:9" x14ac:dyDescent="0.25">
      <c r="A5624">
        <v>324</v>
      </c>
      <c r="B5624" t="s">
        <v>2151</v>
      </c>
      <c r="C5624" t="s">
        <v>10</v>
      </c>
      <c r="D5624" t="s">
        <v>1082</v>
      </c>
      <c r="E5624">
        <f t="shared" ref="E5624:E5634" si="251">1/23</f>
        <v>4.3478260869565216E-2</v>
      </c>
      <c r="F5624">
        <v>8</v>
      </c>
      <c r="G5624">
        <f>LOG(382/(8+1))</f>
        <v>1.6278208534723839</v>
      </c>
      <c r="H5624">
        <f>0.0434782608695652*3.74819603127035</f>
        <v>0.16296504483784124</v>
      </c>
      <c r="I5624">
        <v>0.16296504483784149</v>
      </c>
    </row>
    <row r="5625" spans="1:9" x14ac:dyDescent="0.25">
      <c r="A5625">
        <v>324</v>
      </c>
      <c r="B5625" t="s">
        <v>2151</v>
      </c>
      <c r="C5625" t="s">
        <v>10</v>
      </c>
      <c r="D5625" t="s">
        <v>183</v>
      </c>
      <c r="E5625">
        <f t="shared" si="251"/>
        <v>4.3478260869565216E-2</v>
      </c>
      <c r="F5625">
        <v>46</v>
      </c>
      <c r="G5625">
        <f>LOG(382/(46+1))</f>
        <v>0.90996550497599127</v>
      </c>
      <c r="H5625">
        <f>0.0434782608695652*2.09527300689651</f>
        <v>9.1098826386804763E-2</v>
      </c>
      <c r="I5625">
        <v>9.1098826386805054E-2</v>
      </c>
    </row>
    <row r="5626" spans="1:9" x14ac:dyDescent="0.25">
      <c r="A5626">
        <v>324</v>
      </c>
      <c r="B5626" t="s">
        <v>2151</v>
      </c>
      <c r="C5626" t="s">
        <v>10</v>
      </c>
      <c r="D5626" t="s">
        <v>1081</v>
      </c>
      <c r="E5626">
        <f t="shared" si="251"/>
        <v>4.3478260869565216E-2</v>
      </c>
      <c r="F5626">
        <v>27</v>
      </c>
      <c r="G5626">
        <f>LOG(382/(27+1))</f>
        <v>1.1349053315694895</v>
      </c>
      <c r="H5626">
        <f>0.0434782608695652*2.61321609843137</f>
        <v>0.1136180912361465</v>
      </c>
      <c r="I5626">
        <v>0.11361809123614661</v>
      </c>
    </row>
    <row r="5627" spans="1:9" x14ac:dyDescent="0.25">
      <c r="A5627">
        <v>324</v>
      </c>
      <c r="B5627" t="s">
        <v>2151</v>
      </c>
      <c r="C5627" t="s">
        <v>10</v>
      </c>
      <c r="D5627" t="s">
        <v>151</v>
      </c>
      <c r="E5627">
        <f t="shared" si="251"/>
        <v>4.3478260869565216E-2</v>
      </c>
      <c r="F5627">
        <v>14</v>
      </c>
      <c r="G5627">
        <f>LOG(382/(14+1))</f>
        <v>1.4059721038560276</v>
      </c>
      <c r="H5627">
        <f>0.0434782608695652*3.23737040750436</f>
        <v>0.14075523510888516</v>
      </c>
      <c r="I5627">
        <v>0.14075523510888541</v>
      </c>
    </row>
    <row r="5628" spans="1:9" x14ac:dyDescent="0.25">
      <c r="A5628">
        <v>324</v>
      </c>
      <c r="B5628" t="s">
        <v>2151</v>
      </c>
      <c r="C5628" t="s">
        <v>10</v>
      </c>
      <c r="D5628" t="s">
        <v>152</v>
      </c>
      <c r="E5628">
        <f t="shared" si="251"/>
        <v>4.3478260869565216E-2</v>
      </c>
      <c r="F5628">
        <v>31</v>
      </c>
      <c r="G5628">
        <f>LOG(382/(31+1))</f>
        <v>1.0769133845918029</v>
      </c>
      <c r="H5628">
        <f>0.0434782608695652*2.47968470580684</f>
        <v>0.10781237851334083</v>
      </c>
      <c r="I5628">
        <v>0.1078123785133412</v>
      </c>
    </row>
    <row r="5629" spans="1:9" x14ac:dyDescent="0.25">
      <c r="A5629">
        <v>324</v>
      </c>
      <c r="B5629" t="s">
        <v>2151</v>
      </c>
      <c r="C5629" t="s">
        <v>10</v>
      </c>
      <c r="D5629" t="s">
        <v>763</v>
      </c>
      <c r="E5629">
        <f t="shared" si="251"/>
        <v>4.3478260869565216E-2</v>
      </c>
      <c r="F5629">
        <v>47</v>
      </c>
      <c r="G5629">
        <f>LOG(382/(47+1))</f>
        <v>0.90082212553612151</v>
      </c>
      <c r="H5629">
        <f>0.0434782608695652*2.07421959769868</f>
        <v>9.0183460769507798E-2</v>
      </c>
      <c r="I5629">
        <v>9.0183460769508006E-2</v>
      </c>
    </row>
    <row r="5630" spans="1:9" x14ac:dyDescent="0.25">
      <c r="A5630">
        <v>324</v>
      </c>
      <c r="B5630" t="s">
        <v>2151</v>
      </c>
      <c r="C5630" t="s">
        <v>10</v>
      </c>
      <c r="D5630" t="s">
        <v>487</v>
      </c>
      <c r="E5630">
        <f t="shared" si="251"/>
        <v>4.3478260869565216E-2</v>
      </c>
      <c r="F5630">
        <v>32</v>
      </c>
      <c r="G5630">
        <f>LOG(382/(32+1))</f>
        <v>1.0635494230338212</v>
      </c>
      <c r="H5630">
        <f>0.0434782608695652*2.44891304714009</f>
        <v>0.10647448031043867</v>
      </c>
      <c r="I5630">
        <v>0.10647448031043889</v>
      </c>
    </row>
    <row r="5631" spans="1:9" x14ac:dyDescent="0.25">
      <c r="A5631">
        <v>324</v>
      </c>
      <c r="B5631" t="s">
        <v>2151</v>
      </c>
      <c r="C5631" t="s">
        <v>10</v>
      </c>
      <c r="D5631" t="s">
        <v>77</v>
      </c>
      <c r="E5631">
        <f t="shared" si="251"/>
        <v>4.3478260869565216E-2</v>
      </c>
      <c r="F5631">
        <v>148</v>
      </c>
      <c r="G5631">
        <f>LOG(382/(148+1))</f>
        <v>0.40887709449943471</v>
      </c>
      <c r="H5631">
        <f>0.0434782608695652*0.941474302661116</f>
        <v>4.0933665333091986E-2</v>
      </c>
      <c r="I5631">
        <v>4.0933665333091999E-2</v>
      </c>
    </row>
    <row r="5632" spans="1:9" x14ac:dyDescent="0.25">
      <c r="A5632">
        <v>324</v>
      </c>
      <c r="B5632" t="s">
        <v>2151</v>
      </c>
      <c r="C5632" t="s">
        <v>10</v>
      </c>
      <c r="D5632" t="s">
        <v>936</v>
      </c>
      <c r="E5632">
        <f t="shared" si="251"/>
        <v>4.3478260869565216E-2</v>
      </c>
      <c r="F5632">
        <v>21</v>
      </c>
      <c r="G5632">
        <f>LOG(382/(21+1))</f>
        <v>1.2396406820895025</v>
      </c>
      <c r="H5632">
        <f>0.0434782608695652*2.85437815524825</f>
        <v>0.12410339805427169</v>
      </c>
      <c r="I5632">
        <v>0.1241033980542721</v>
      </c>
    </row>
    <row r="5633" spans="1:9" x14ac:dyDescent="0.25">
      <c r="A5633">
        <v>324</v>
      </c>
      <c r="B5633" t="s">
        <v>2151</v>
      </c>
      <c r="C5633" t="s">
        <v>10</v>
      </c>
      <c r="D5633" t="s">
        <v>937</v>
      </c>
      <c r="E5633">
        <f t="shared" si="251"/>
        <v>4.3478260869565216E-2</v>
      </c>
      <c r="F5633">
        <v>41</v>
      </c>
      <c r="G5633">
        <f>LOG(382/(41+1))</f>
        <v>0.95881407251380824</v>
      </c>
      <c r="H5633">
        <f>0.0434782608695652*2.2077509903232</f>
        <v>9.5989173492313021E-2</v>
      </c>
      <c r="I5633">
        <v>9.598917349231334E-2</v>
      </c>
    </row>
    <row r="5634" spans="1:9" x14ac:dyDescent="0.25">
      <c r="A5634">
        <v>324</v>
      </c>
      <c r="B5634" t="s">
        <v>2151</v>
      </c>
      <c r="C5634" t="s">
        <v>10</v>
      </c>
      <c r="D5634" t="s">
        <v>1951</v>
      </c>
      <c r="E5634">
        <f t="shared" si="251"/>
        <v>4.3478260869565216E-2</v>
      </c>
      <c r="F5634">
        <v>6</v>
      </c>
      <c r="G5634">
        <f>LOG(382/(6+1))</f>
        <v>1.736965322897452</v>
      </c>
      <c r="H5634">
        <f>0.0434782608695652*3.99951045955126</f>
        <v>0.17389175911092428</v>
      </c>
      <c r="I5634">
        <v>0.17389175911092439</v>
      </c>
    </row>
    <row r="5635" spans="1:9" x14ac:dyDescent="0.25">
      <c r="A5635">
        <v>324</v>
      </c>
      <c r="B5635" t="s">
        <v>2151</v>
      </c>
      <c r="C5635" t="s">
        <v>10</v>
      </c>
      <c r="D5635" t="s">
        <v>65</v>
      </c>
      <c r="E5635">
        <f>2/23</f>
        <v>8.6956521739130432E-2</v>
      </c>
      <c r="F5635">
        <v>32</v>
      </c>
      <c r="G5635">
        <f>LOG(382/(32+1))</f>
        <v>1.0635494230338212</v>
      </c>
      <c r="H5635">
        <f>0.0869565217391304*2.44891304714009</f>
        <v>0.21294896062087734</v>
      </c>
      <c r="I5635">
        <v>0.21294896062087779</v>
      </c>
    </row>
    <row r="5636" spans="1:9" x14ac:dyDescent="0.25">
      <c r="A5636">
        <v>324</v>
      </c>
      <c r="B5636" t="s">
        <v>2151</v>
      </c>
      <c r="C5636" t="s">
        <v>10</v>
      </c>
      <c r="D5636" t="s">
        <v>929</v>
      </c>
      <c r="E5636">
        <f t="shared" ref="E5636:E5641" si="252">1/23</f>
        <v>4.3478260869565216E-2</v>
      </c>
      <c r="F5636">
        <v>32</v>
      </c>
      <c r="G5636">
        <f>LOG(382/(32+1))</f>
        <v>1.0635494230338212</v>
      </c>
      <c r="H5636">
        <f>0.0434782608695652*2.44891304714009</f>
        <v>0.10647448031043867</v>
      </c>
      <c r="I5636">
        <v>0.10647448031043889</v>
      </c>
    </row>
    <row r="5637" spans="1:9" x14ac:dyDescent="0.25">
      <c r="A5637">
        <v>324</v>
      </c>
      <c r="B5637" t="s">
        <v>2151</v>
      </c>
      <c r="C5637" t="s">
        <v>10</v>
      </c>
      <c r="D5637" t="s">
        <v>40</v>
      </c>
      <c r="E5637">
        <f t="shared" si="252"/>
        <v>4.3478260869565216E-2</v>
      </c>
      <c r="F5637">
        <v>159</v>
      </c>
      <c r="G5637">
        <f>LOG(382/(159+1))</f>
        <v>0.377943380255784</v>
      </c>
      <c r="H5637">
        <f>0.0434782608695652*0.870246793372748</f>
        <v>3.7836817103162945E-2</v>
      </c>
      <c r="I5637">
        <v>3.7836817103162973E-2</v>
      </c>
    </row>
    <row r="5638" spans="1:9" x14ac:dyDescent="0.25">
      <c r="A5638">
        <v>324</v>
      </c>
      <c r="B5638" t="s">
        <v>2151</v>
      </c>
      <c r="C5638" t="s">
        <v>10</v>
      </c>
      <c r="D5638" t="s">
        <v>41</v>
      </c>
      <c r="E5638">
        <f t="shared" si="252"/>
        <v>4.3478260869565216E-2</v>
      </c>
      <c r="F5638">
        <v>195</v>
      </c>
      <c r="G5638">
        <f>LOG(382/(195+1))</f>
        <v>0.28980729155523272</v>
      </c>
      <c r="H5638">
        <f>0.0434782608695652*0.667305949376058</f>
        <v>2.901330214678512E-2</v>
      </c>
      <c r="I5638">
        <v>2.901330214678513E-2</v>
      </c>
    </row>
    <row r="5639" spans="1:9" x14ac:dyDescent="0.25">
      <c r="A5639">
        <v>324</v>
      </c>
      <c r="B5639" t="s">
        <v>2151</v>
      </c>
      <c r="C5639" t="s">
        <v>10</v>
      </c>
      <c r="D5639" t="s">
        <v>1328</v>
      </c>
      <c r="E5639">
        <f t="shared" si="252"/>
        <v>4.3478260869565216E-2</v>
      </c>
      <c r="F5639">
        <v>22</v>
      </c>
      <c r="G5639">
        <f>LOG(382/(22+1))</f>
        <v>1.2203355268941158</v>
      </c>
      <c r="H5639">
        <f>0.0434782608695652*2.80992639267742</f>
        <v>0.12217071272510517</v>
      </c>
      <c r="I5639">
        <v>0.1221707127251055</v>
      </c>
    </row>
    <row r="5640" spans="1:9" x14ac:dyDescent="0.25">
      <c r="A5640">
        <v>324</v>
      </c>
      <c r="B5640" t="s">
        <v>2151</v>
      </c>
      <c r="C5640" t="s">
        <v>10</v>
      </c>
      <c r="D5640" t="s">
        <v>1397</v>
      </c>
      <c r="E5640">
        <f t="shared" si="252"/>
        <v>4.3478260869565216E-2</v>
      </c>
      <c r="F5640">
        <v>29</v>
      </c>
      <c r="G5640">
        <f>LOG(382/(29+1))</f>
        <v>1.1049421081920463</v>
      </c>
      <c r="H5640">
        <f>0.0434782608695652*2.54422322694442</f>
        <v>0.11061840117149647</v>
      </c>
      <c r="I5640">
        <v>0.1106184011714965</v>
      </c>
    </row>
    <row r="5641" spans="1:9" x14ac:dyDescent="0.25">
      <c r="A5641">
        <v>324</v>
      </c>
      <c r="B5641" t="s">
        <v>2151</v>
      </c>
      <c r="C5641" t="s">
        <v>10</v>
      </c>
      <c r="D5641" t="s">
        <v>79</v>
      </c>
      <c r="E5641">
        <f t="shared" si="252"/>
        <v>4.3478260869565216E-2</v>
      </c>
      <c r="F5641">
        <v>26</v>
      </c>
      <c r="G5641">
        <f>LOG(382/(26+1))</f>
        <v>1.1506995987527215</v>
      </c>
      <c r="H5641">
        <f>0.0434782608695652*2.64958374260224</f>
        <v>0.11519929315661909</v>
      </c>
      <c r="I5641">
        <v>0.11519929315661941</v>
      </c>
    </row>
    <row r="5642" spans="1:9" x14ac:dyDescent="0.25">
      <c r="A5642">
        <v>325</v>
      </c>
      <c r="B5642" t="s">
        <v>2152</v>
      </c>
      <c r="C5642" t="s">
        <v>10</v>
      </c>
      <c r="D5642" t="s">
        <v>36</v>
      </c>
      <c r="E5642">
        <f>3/38</f>
        <v>7.8947368421052627E-2</v>
      </c>
      <c r="F5642">
        <v>58</v>
      </c>
      <c r="G5642">
        <f>LOG(382/(58+1))</f>
        <v>0.81121135126956456</v>
      </c>
      <c r="H5642">
        <f>0.0789473684210526*1.86788316470085</f>
        <v>0.14746446037111968</v>
      </c>
      <c r="I5642">
        <v>0.14746446037112021</v>
      </c>
    </row>
    <row r="5643" spans="1:9" x14ac:dyDescent="0.25">
      <c r="A5643">
        <v>325</v>
      </c>
      <c r="B5643" t="s">
        <v>2152</v>
      </c>
      <c r="C5643" t="s">
        <v>10</v>
      </c>
      <c r="D5643" t="s">
        <v>2153</v>
      </c>
      <c r="E5643">
        <f>1/38</f>
        <v>2.6315789473684209E-2</v>
      </c>
      <c r="F5643">
        <v>2</v>
      </c>
      <c r="G5643">
        <f>LOG(382/(2+1))</f>
        <v>2.1049421081920463</v>
      </c>
      <c r="H5643">
        <f>0.0263157894736842*4.84680831993846</f>
        <v>0.12754758736680152</v>
      </c>
      <c r="I5643">
        <v>0.12754758736680169</v>
      </c>
    </row>
    <row r="5644" spans="1:9" x14ac:dyDescent="0.25">
      <c r="A5644">
        <v>325</v>
      </c>
      <c r="B5644" t="s">
        <v>2152</v>
      </c>
      <c r="C5644" t="s">
        <v>10</v>
      </c>
      <c r="D5644" t="s">
        <v>2148</v>
      </c>
      <c r="E5644">
        <f>2/38</f>
        <v>5.2631578947368418E-2</v>
      </c>
      <c r="F5644">
        <v>2</v>
      </c>
      <c r="G5644">
        <f>LOG(382/(2+1))</f>
        <v>2.1049421081920463</v>
      </c>
      <c r="H5644">
        <f>0.0526315789473684*4.84680831993846</f>
        <v>0.25509517473360305</v>
      </c>
      <c r="I5644">
        <v>0.25509517473360338</v>
      </c>
    </row>
    <row r="5645" spans="1:9" x14ac:dyDescent="0.25">
      <c r="A5645">
        <v>325</v>
      </c>
      <c r="B5645" t="s">
        <v>2152</v>
      </c>
      <c r="C5645" t="s">
        <v>10</v>
      </c>
      <c r="D5645" t="s">
        <v>38</v>
      </c>
      <c r="E5645">
        <f t="shared" ref="E5645:E5658" si="253">1/38</f>
        <v>2.6315789473684209E-2</v>
      </c>
      <c r="F5645">
        <v>86</v>
      </c>
      <c r="G5645">
        <f>LOG(382/(86+1))</f>
        <v>0.64254411029309022</v>
      </c>
      <c r="H5645">
        <f>0.0263157894736842*1.47951248995199</f>
        <v>3.8934539209262875E-2</v>
      </c>
      <c r="I5645">
        <v>3.8934539209262931E-2</v>
      </c>
    </row>
    <row r="5646" spans="1:9" x14ac:dyDescent="0.25">
      <c r="A5646">
        <v>325</v>
      </c>
      <c r="B5646" t="s">
        <v>2152</v>
      </c>
      <c r="C5646" t="s">
        <v>10</v>
      </c>
      <c r="D5646" t="s">
        <v>247</v>
      </c>
      <c r="E5646">
        <f t="shared" si="253"/>
        <v>2.6315789473684209E-2</v>
      </c>
      <c r="F5646">
        <v>121</v>
      </c>
      <c r="G5646">
        <f>LOG(382/(121+1))</f>
        <v>0.49570353223696051</v>
      </c>
      <c r="H5646">
        <f>0.0263157894736842*1.14139956387331</f>
        <v>3.0036830628244988E-2</v>
      </c>
      <c r="I5646">
        <v>3.0036830628245231E-2</v>
      </c>
    </row>
    <row r="5647" spans="1:9" x14ac:dyDescent="0.25">
      <c r="A5647">
        <v>325</v>
      </c>
      <c r="B5647" t="s">
        <v>2152</v>
      </c>
      <c r="C5647" t="s">
        <v>10</v>
      </c>
      <c r="D5647" t="s">
        <v>2154</v>
      </c>
      <c r="E5647">
        <f t="shared" si="253"/>
        <v>2.6315789473684209E-2</v>
      </c>
      <c r="F5647">
        <v>9</v>
      </c>
      <c r="G5647">
        <f>LOG(382/(9+1))</f>
        <v>1.5820633629117087</v>
      </c>
      <c r="H5647">
        <f>0.0263157894736842*3.64283551561252</f>
        <v>9.5864092516118909E-2</v>
      </c>
      <c r="I5647">
        <v>9.5864092516119187E-2</v>
      </c>
    </row>
    <row r="5648" spans="1:9" x14ac:dyDescent="0.25">
      <c r="A5648">
        <v>325</v>
      </c>
      <c r="B5648" t="s">
        <v>2152</v>
      </c>
      <c r="C5648" t="s">
        <v>10</v>
      </c>
      <c r="D5648" t="s">
        <v>2155</v>
      </c>
      <c r="E5648">
        <f t="shared" si="253"/>
        <v>2.6315789473684209E-2</v>
      </c>
      <c r="F5648">
        <v>2</v>
      </c>
      <c r="G5648">
        <f>LOG(382/(2+1))</f>
        <v>2.1049421081920463</v>
      </c>
      <c r="H5648">
        <f>0.0263157894736842*4.84680831993846</f>
        <v>0.12754758736680152</v>
      </c>
      <c r="I5648">
        <v>0.12754758736680169</v>
      </c>
    </row>
    <row r="5649" spans="1:9" x14ac:dyDescent="0.25">
      <c r="A5649">
        <v>325</v>
      </c>
      <c r="B5649" t="s">
        <v>2152</v>
      </c>
      <c r="C5649" t="s">
        <v>10</v>
      </c>
      <c r="D5649" t="s">
        <v>331</v>
      </c>
      <c r="E5649">
        <f t="shared" si="253"/>
        <v>2.6315789473684209E-2</v>
      </c>
      <c r="F5649">
        <v>130</v>
      </c>
      <c r="G5649">
        <f>LOG(382/(130+1))</f>
        <v>0.46479206725594452</v>
      </c>
      <c r="H5649">
        <f>0.0263157894736842*1.07022328540542</f>
        <v>2.8163770668563674E-2</v>
      </c>
      <c r="I5649">
        <v>2.8163770668563778E-2</v>
      </c>
    </row>
    <row r="5650" spans="1:9" x14ac:dyDescent="0.25">
      <c r="A5650">
        <v>325</v>
      </c>
      <c r="B5650" t="s">
        <v>2152</v>
      </c>
      <c r="C5650" t="s">
        <v>10</v>
      </c>
      <c r="D5650" t="s">
        <v>237</v>
      </c>
      <c r="E5650">
        <f t="shared" si="253"/>
        <v>2.6315789473684209E-2</v>
      </c>
      <c r="F5650">
        <v>138</v>
      </c>
      <c r="G5650">
        <f>LOG(382/(138+1))</f>
        <v>0.43904856265761361</v>
      </c>
      <c r="H5650">
        <f>0.0263157894736842*1.01094667547588</f>
        <v>2.66038598809442E-2</v>
      </c>
      <c r="I5650">
        <v>2.6603859880944301E-2</v>
      </c>
    </row>
    <row r="5651" spans="1:9" x14ac:dyDescent="0.25">
      <c r="A5651">
        <v>325</v>
      </c>
      <c r="B5651" t="s">
        <v>2152</v>
      </c>
      <c r="C5651" t="s">
        <v>10</v>
      </c>
      <c r="D5651" t="s">
        <v>2156</v>
      </c>
      <c r="E5651">
        <f t="shared" si="253"/>
        <v>2.6315789473684209E-2</v>
      </c>
      <c r="F5651">
        <v>2</v>
      </c>
      <c r="G5651">
        <f>LOG(382/(2+1))</f>
        <v>2.1049421081920463</v>
      </c>
      <c r="H5651">
        <f>0.0263157894736842*4.84680831993846</f>
        <v>0.12754758736680152</v>
      </c>
      <c r="I5651">
        <v>0.12754758736680169</v>
      </c>
    </row>
    <row r="5652" spans="1:9" x14ac:dyDescent="0.25">
      <c r="A5652">
        <v>325</v>
      </c>
      <c r="B5652" t="s">
        <v>2152</v>
      </c>
      <c r="C5652" t="s">
        <v>10</v>
      </c>
      <c r="D5652" t="s">
        <v>77</v>
      </c>
      <c r="E5652">
        <f t="shared" si="253"/>
        <v>2.6315789473684209E-2</v>
      </c>
      <c r="F5652">
        <v>148</v>
      </c>
      <c r="G5652">
        <f>LOG(382/(148+1))</f>
        <v>0.40887709449943471</v>
      </c>
      <c r="H5652">
        <f>0.0263157894736842*0.941474302661116</f>
        <v>2.4775639543713566E-2</v>
      </c>
      <c r="I5652">
        <v>2.477563954371358E-2</v>
      </c>
    </row>
    <row r="5653" spans="1:9" x14ac:dyDescent="0.25">
      <c r="A5653">
        <v>325</v>
      </c>
      <c r="B5653" t="s">
        <v>2152</v>
      </c>
      <c r="C5653" t="s">
        <v>10</v>
      </c>
      <c r="D5653" t="s">
        <v>2157</v>
      </c>
      <c r="E5653">
        <f t="shared" si="253"/>
        <v>2.6315789473684209E-2</v>
      </c>
      <c r="F5653">
        <v>2</v>
      </c>
      <c r="G5653">
        <f>LOG(382/(2+1))</f>
        <v>2.1049421081920463</v>
      </c>
      <c r="H5653">
        <f>0.0263157894736842*4.84680831993846</f>
        <v>0.12754758736680152</v>
      </c>
      <c r="I5653">
        <v>0.12754758736680169</v>
      </c>
    </row>
    <row r="5654" spans="1:9" x14ac:dyDescent="0.25">
      <c r="A5654">
        <v>325</v>
      </c>
      <c r="B5654" t="s">
        <v>2152</v>
      </c>
      <c r="C5654" t="s">
        <v>10</v>
      </c>
      <c r="D5654" t="s">
        <v>2134</v>
      </c>
      <c r="E5654">
        <f t="shared" si="253"/>
        <v>2.6315789473684209E-2</v>
      </c>
      <c r="F5654">
        <v>2</v>
      </c>
      <c r="G5654">
        <f>LOG(382/(2+1))</f>
        <v>2.1049421081920463</v>
      </c>
      <c r="H5654">
        <f>0.0263157894736842*4.84680831993846</f>
        <v>0.12754758736680152</v>
      </c>
      <c r="I5654">
        <v>0.12754758736680169</v>
      </c>
    </row>
    <row r="5655" spans="1:9" x14ac:dyDescent="0.25">
      <c r="A5655">
        <v>325</v>
      </c>
      <c r="B5655" t="s">
        <v>2152</v>
      </c>
      <c r="C5655" t="s">
        <v>10</v>
      </c>
      <c r="D5655" t="s">
        <v>2158</v>
      </c>
      <c r="E5655">
        <f t="shared" si="253"/>
        <v>2.6315789473684209E-2</v>
      </c>
      <c r="F5655">
        <v>2</v>
      </c>
      <c r="G5655">
        <f>LOG(382/(2+1))</f>
        <v>2.1049421081920463</v>
      </c>
      <c r="H5655">
        <f>0.0263157894736842*4.84680831993846</f>
        <v>0.12754758736680152</v>
      </c>
      <c r="I5655">
        <v>0.12754758736680169</v>
      </c>
    </row>
    <row r="5656" spans="1:9" x14ac:dyDescent="0.25">
      <c r="A5656">
        <v>325</v>
      </c>
      <c r="B5656" t="s">
        <v>2152</v>
      </c>
      <c r="C5656" t="s">
        <v>10</v>
      </c>
      <c r="D5656" t="s">
        <v>2159</v>
      </c>
      <c r="E5656">
        <f t="shared" si="253"/>
        <v>2.6315789473684209E-2</v>
      </c>
      <c r="F5656">
        <v>1</v>
      </c>
      <c r="G5656">
        <f>LOG(382/(1+1))</f>
        <v>2.2810333672477277</v>
      </c>
      <c r="H5656">
        <f>0.0263157894736842*5.25227342804663</f>
        <v>0.13821772179070071</v>
      </c>
      <c r="I5656">
        <v>0.1382177217907008</v>
      </c>
    </row>
    <row r="5657" spans="1:9" x14ac:dyDescent="0.25">
      <c r="A5657">
        <v>325</v>
      </c>
      <c r="B5657" t="s">
        <v>2152</v>
      </c>
      <c r="C5657" t="s">
        <v>10</v>
      </c>
      <c r="D5657" t="s">
        <v>2160</v>
      </c>
      <c r="E5657">
        <f t="shared" si="253"/>
        <v>2.6315789473684209E-2</v>
      </c>
      <c r="F5657">
        <v>1</v>
      </c>
      <c r="G5657">
        <f>LOG(382/(1+1))</f>
        <v>2.2810333672477277</v>
      </c>
      <c r="H5657">
        <f>0.0263157894736842*5.25227342804663</f>
        <v>0.13821772179070071</v>
      </c>
      <c r="I5657">
        <v>0.1382177217907008</v>
      </c>
    </row>
    <row r="5658" spans="1:9" x14ac:dyDescent="0.25">
      <c r="A5658">
        <v>325</v>
      </c>
      <c r="B5658" t="s">
        <v>2152</v>
      </c>
      <c r="C5658" t="s">
        <v>10</v>
      </c>
      <c r="D5658" t="s">
        <v>2161</v>
      </c>
      <c r="E5658">
        <f t="shared" si="253"/>
        <v>2.6315789473684209E-2</v>
      </c>
      <c r="F5658">
        <v>2</v>
      </c>
      <c r="G5658">
        <f>LOG(382/(2+1))</f>
        <v>2.1049421081920463</v>
      </c>
      <c r="H5658">
        <f>0.0263157894736842*4.84680831993846</f>
        <v>0.12754758736680152</v>
      </c>
      <c r="I5658">
        <v>0.12754758736680169</v>
      </c>
    </row>
    <row r="5659" spans="1:9" x14ac:dyDescent="0.25">
      <c r="A5659">
        <v>325</v>
      </c>
      <c r="B5659" t="s">
        <v>2152</v>
      </c>
      <c r="C5659" t="s">
        <v>10</v>
      </c>
      <c r="D5659" t="s">
        <v>40</v>
      </c>
      <c r="E5659">
        <f>3/38</f>
        <v>7.8947368421052627E-2</v>
      </c>
      <c r="F5659">
        <v>159</v>
      </c>
      <c r="G5659">
        <f>LOG(382/(159+1))</f>
        <v>0.377943380255784</v>
      </c>
      <c r="H5659">
        <f>0.0789473684210526*0.870246793372748</f>
        <v>6.8703694213637978E-2</v>
      </c>
      <c r="I5659">
        <v>6.870369421363802E-2</v>
      </c>
    </row>
    <row r="5660" spans="1:9" x14ac:dyDescent="0.25">
      <c r="A5660">
        <v>325</v>
      </c>
      <c r="B5660" t="s">
        <v>2152</v>
      </c>
      <c r="C5660" t="s">
        <v>10</v>
      </c>
      <c r="D5660" t="s">
        <v>41</v>
      </c>
      <c r="E5660">
        <f t="shared" ref="E5660:E5674" si="254">1/38</f>
        <v>2.6315789473684209E-2</v>
      </c>
      <c r="F5660">
        <v>195</v>
      </c>
      <c r="G5660">
        <f>LOG(382/(195+1))</f>
        <v>0.28980729155523272</v>
      </c>
      <c r="H5660">
        <f>0.0263157894736842*0.667305949376058</f>
        <v>1.7560682878317309E-2</v>
      </c>
      <c r="I5660">
        <v>1.7560682878317319E-2</v>
      </c>
    </row>
    <row r="5661" spans="1:9" x14ac:dyDescent="0.25">
      <c r="A5661">
        <v>325</v>
      </c>
      <c r="B5661" t="s">
        <v>2152</v>
      </c>
      <c r="C5661" t="s">
        <v>10</v>
      </c>
      <c r="D5661" t="s">
        <v>39</v>
      </c>
      <c r="E5661">
        <f t="shared" si="254"/>
        <v>2.6315789473684209E-2</v>
      </c>
      <c r="F5661">
        <v>145</v>
      </c>
      <c r="G5661">
        <f>LOG(382/(145+1))</f>
        <v>0.41771050712727159</v>
      </c>
      <c r="H5661">
        <f>0.0263157894736842*0.961813986898238</f>
        <v>2.5310894392058886E-2</v>
      </c>
      <c r="I5661">
        <v>2.531089439205891E-2</v>
      </c>
    </row>
    <row r="5662" spans="1:9" x14ac:dyDescent="0.25">
      <c r="A5662">
        <v>325</v>
      </c>
      <c r="B5662" t="s">
        <v>2152</v>
      </c>
      <c r="C5662" t="s">
        <v>10</v>
      </c>
      <c r="D5662" t="s">
        <v>15</v>
      </c>
      <c r="E5662">
        <f t="shared" si="254"/>
        <v>2.6315789473684209E-2</v>
      </c>
      <c r="F5662">
        <v>112</v>
      </c>
      <c r="G5662">
        <f>LOG(382/(112+1))</f>
        <v>0.52898491942828896</v>
      </c>
      <c r="H5662">
        <f>0.0263157894736842*1.21803278989423</f>
        <v>3.2053494470900779E-2</v>
      </c>
      <c r="I5662">
        <v>3.205349447090091E-2</v>
      </c>
    </row>
    <row r="5663" spans="1:9" x14ac:dyDescent="0.25">
      <c r="A5663">
        <v>325</v>
      </c>
      <c r="B5663" t="s">
        <v>2152</v>
      </c>
      <c r="C5663" t="s">
        <v>10</v>
      </c>
      <c r="D5663" t="s">
        <v>362</v>
      </c>
      <c r="E5663">
        <f t="shared" si="254"/>
        <v>2.6315789473684209E-2</v>
      </c>
      <c r="F5663">
        <v>81</v>
      </c>
      <c r="G5663">
        <f>LOG(382/(81+1))</f>
        <v>0.66824951052799197</v>
      </c>
      <c r="H5663">
        <f>0.0263157894736842*1.53870136134232</f>
        <v>4.049214108795577E-2</v>
      </c>
      <c r="I5663">
        <v>4.0492141087955839E-2</v>
      </c>
    </row>
    <row r="5664" spans="1:9" x14ac:dyDescent="0.25">
      <c r="A5664">
        <v>325</v>
      </c>
      <c r="B5664" t="s">
        <v>2152</v>
      </c>
      <c r="C5664" t="s">
        <v>10</v>
      </c>
      <c r="D5664" t="s">
        <v>76</v>
      </c>
      <c r="E5664">
        <f t="shared" si="254"/>
        <v>2.6315789473684209E-2</v>
      </c>
      <c r="F5664">
        <v>140</v>
      </c>
      <c r="G5664">
        <f>LOG(382/(140+1))</f>
        <v>0.43284425025632883</v>
      </c>
      <c r="H5664">
        <f>0.0263157894736842*0.996660718228407</f>
        <v>2.6227913637589646E-2</v>
      </c>
      <c r="I5664">
        <v>2.622791363758966E-2</v>
      </c>
    </row>
    <row r="5665" spans="1:9" x14ac:dyDescent="0.25">
      <c r="A5665">
        <v>325</v>
      </c>
      <c r="B5665" t="s">
        <v>2152</v>
      </c>
      <c r="C5665" t="s">
        <v>10</v>
      </c>
      <c r="D5665" t="s">
        <v>1529</v>
      </c>
      <c r="E5665">
        <f t="shared" si="254"/>
        <v>2.6315789473684209E-2</v>
      </c>
      <c r="F5665">
        <v>4</v>
      </c>
      <c r="G5665">
        <f>LOG(382/(4+1))</f>
        <v>1.8830933585756899</v>
      </c>
      <c r="H5665">
        <f>0.0263157894736842*4.33598269617247</f>
        <v>0.11410480779401233</v>
      </c>
      <c r="I5665">
        <v>0.1141048077940125</v>
      </c>
    </row>
    <row r="5666" spans="1:9" x14ac:dyDescent="0.25">
      <c r="A5666">
        <v>325</v>
      </c>
      <c r="B5666" t="s">
        <v>2152</v>
      </c>
      <c r="C5666" t="s">
        <v>10</v>
      </c>
      <c r="D5666" t="s">
        <v>487</v>
      </c>
      <c r="E5666">
        <f t="shared" si="254"/>
        <v>2.6315789473684209E-2</v>
      </c>
      <c r="F5666">
        <v>32</v>
      </c>
      <c r="G5666">
        <f>LOG(382/(32+1))</f>
        <v>1.0635494230338212</v>
      </c>
      <c r="H5666">
        <f>0.0263157894736842*2.44891304714009</f>
        <v>6.4445080187897075E-2</v>
      </c>
      <c r="I5666">
        <v>6.4445080187897241E-2</v>
      </c>
    </row>
    <row r="5667" spans="1:9" x14ac:dyDescent="0.25">
      <c r="A5667">
        <v>325</v>
      </c>
      <c r="B5667" t="s">
        <v>2152</v>
      </c>
      <c r="C5667" t="s">
        <v>10</v>
      </c>
      <c r="D5667" t="s">
        <v>2162</v>
      </c>
      <c r="E5667">
        <f t="shared" si="254"/>
        <v>2.6315789473684209E-2</v>
      </c>
      <c r="F5667">
        <v>1</v>
      </c>
      <c r="G5667">
        <f>LOG(382/(1+1))</f>
        <v>2.2810333672477277</v>
      </c>
      <c r="H5667">
        <f>0.0263157894736842*5.25227342804663</f>
        <v>0.13821772179070071</v>
      </c>
      <c r="I5667">
        <v>0.1382177217907008</v>
      </c>
    </row>
    <row r="5668" spans="1:9" x14ac:dyDescent="0.25">
      <c r="A5668">
        <v>325</v>
      </c>
      <c r="B5668" t="s">
        <v>2152</v>
      </c>
      <c r="C5668" t="s">
        <v>10</v>
      </c>
      <c r="D5668" t="s">
        <v>485</v>
      </c>
      <c r="E5668">
        <f t="shared" si="254"/>
        <v>2.6315789473684209E-2</v>
      </c>
      <c r="F5668">
        <v>74</v>
      </c>
      <c r="G5668">
        <f>LOG(382/(74+1))</f>
        <v>0.7070020995200087</v>
      </c>
      <c r="H5668">
        <f>0.0263157894736842*1.62793249507026</f>
        <v>4.2840328817638405E-2</v>
      </c>
      <c r="I5668">
        <v>4.2840328817638537E-2</v>
      </c>
    </row>
    <row r="5669" spans="1:9" x14ac:dyDescent="0.25">
      <c r="A5669">
        <v>325</v>
      </c>
      <c r="B5669" t="s">
        <v>2152</v>
      </c>
      <c r="C5669" t="s">
        <v>10</v>
      </c>
      <c r="D5669" t="s">
        <v>2163</v>
      </c>
      <c r="E5669">
        <f t="shared" si="254"/>
        <v>2.6315789473684209E-2</v>
      </c>
      <c r="F5669">
        <v>6</v>
      </c>
      <c r="G5669">
        <f>LOG(382/(6+1))</f>
        <v>1.736965322897452</v>
      </c>
      <c r="H5669">
        <f>0.0263157894736842*3.99951045955126</f>
        <v>0.1052502752513489</v>
      </c>
      <c r="I5669">
        <v>0.105250275251349</v>
      </c>
    </row>
    <row r="5670" spans="1:9" x14ac:dyDescent="0.25">
      <c r="A5670">
        <v>325</v>
      </c>
      <c r="B5670" t="s">
        <v>2152</v>
      </c>
      <c r="C5670" t="s">
        <v>10</v>
      </c>
      <c r="D5670" t="s">
        <v>752</v>
      </c>
      <c r="E5670">
        <f t="shared" si="254"/>
        <v>2.6315789473684209E-2</v>
      </c>
      <c r="F5670">
        <v>34</v>
      </c>
      <c r="G5670">
        <f>LOG(382/(34+1))</f>
        <v>1.037995318561433</v>
      </c>
      <c r="H5670">
        <f>0.0263157894736842*2.39007254711716</f>
        <v>6.2896645976767335E-2</v>
      </c>
      <c r="I5670">
        <v>6.2896645976767404E-2</v>
      </c>
    </row>
    <row r="5671" spans="1:9" x14ac:dyDescent="0.25">
      <c r="A5671">
        <v>325</v>
      </c>
      <c r="B5671" t="s">
        <v>2152</v>
      </c>
      <c r="C5671" t="s">
        <v>10</v>
      </c>
      <c r="D5671" t="s">
        <v>2164</v>
      </c>
      <c r="E5671">
        <f t="shared" si="254"/>
        <v>2.6315789473684209E-2</v>
      </c>
      <c r="F5671">
        <v>2</v>
      </c>
      <c r="G5671">
        <f>LOG(382/(2+1))</f>
        <v>2.1049421081920463</v>
      </c>
      <c r="H5671">
        <f>0.0263157894736842*4.84680831993846</f>
        <v>0.12754758736680152</v>
      </c>
      <c r="I5671">
        <v>0.12754758736680169</v>
      </c>
    </row>
    <row r="5672" spans="1:9" x14ac:dyDescent="0.25">
      <c r="A5672">
        <v>325</v>
      </c>
      <c r="B5672" t="s">
        <v>2152</v>
      </c>
      <c r="C5672" t="s">
        <v>10</v>
      </c>
      <c r="D5672" t="s">
        <v>1453</v>
      </c>
      <c r="E5672">
        <f t="shared" si="254"/>
        <v>2.6315789473684209E-2</v>
      </c>
      <c r="F5672">
        <v>23</v>
      </c>
      <c r="G5672">
        <f>LOG(382/(23+1))</f>
        <v>1.2018521212001028</v>
      </c>
      <c r="H5672">
        <f>0.0263157894736842*2.76736677825862</f>
        <v>7.2825441533121552E-2</v>
      </c>
      <c r="I5672">
        <v>7.2825441533121829E-2</v>
      </c>
    </row>
    <row r="5673" spans="1:9" x14ac:dyDescent="0.25">
      <c r="A5673">
        <v>325</v>
      </c>
      <c r="B5673" t="s">
        <v>2152</v>
      </c>
      <c r="C5673" t="s">
        <v>10</v>
      </c>
      <c r="D5673" t="s">
        <v>2165</v>
      </c>
      <c r="E5673">
        <f t="shared" si="254"/>
        <v>2.6315789473684209E-2</v>
      </c>
      <c r="F5673">
        <v>3</v>
      </c>
      <c r="G5673">
        <f>LOG(382/(3+1))</f>
        <v>1.9800033715837464</v>
      </c>
      <c r="H5673">
        <f>0.0263157894736842*4.55912624748668</f>
        <v>0.11997700651280732</v>
      </c>
      <c r="I5673">
        <v>0.1199770065128075</v>
      </c>
    </row>
    <row r="5674" spans="1:9" x14ac:dyDescent="0.25">
      <c r="A5674">
        <v>325</v>
      </c>
      <c r="B5674" t="s">
        <v>2152</v>
      </c>
      <c r="C5674" t="s">
        <v>10</v>
      </c>
      <c r="D5674" t="s">
        <v>1230</v>
      </c>
      <c r="E5674">
        <f t="shared" si="254"/>
        <v>2.6315789473684209E-2</v>
      </c>
      <c r="F5674">
        <v>10</v>
      </c>
      <c r="G5674">
        <f>LOG(382/(10+1))</f>
        <v>1.5406706777534838</v>
      </c>
      <c r="H5674">
        <f>0.0263157894736842*3.5475253358082</f>
        <v>9.3355929889689437E-2</v>
      </c>
      <c r="I5674">
        <v>9.335592988968959E-2</v>
      </c>
    </row>
    <row r="5675" spans="1:9" x14ac:dyDescent="0.25">
      <c r="A5675">
        <v>326</v>
      </c>
      <c r="B5675" t="s">
        <v>2166</v>
      </c>
      <c r="C5675" t="s">
        <v>10</v>
      </c>
      <c r="D5675" t="s">
        <v>40</v>
      </c>
      <c r="E5675">
        <f>12/66</f>
        <v>0.18181818181818182</v>
      </c>
      <c r="F5675">
        <v>159</v>
      </c>
      <c r="G5675">
        <f>LOG(382/(159+1))</f>
        <v>0.377943380255784</v>
      </c>
      <c r="H5675">
        <f>0.181818181818181*0.870246793372748</f>
        <v>0.15822668970413528</v>
      </c>
      <c r="I5675">
        <v>0.15822668970413609</v>
      </c>
    </row>
    <row r="5676" spans="1:9" x14ac:dyDescent="0.25">
      <c r="A5676">
        <v>326</v>
      </c>
      <c r="B5676" t="s">
        <v>2166</v>
      </c>
      <c r="C5676" t="s">
        <v>10</v>
      </c>
      <c r="D5676" t="s">
        <v>1255</v>
      </c>
      <c r="E5676">
        <f>5/66</f>
        <v>7.575757575757576E-2</v>
      </c>
      <c r="F5676">
        <v>12</v>
      </c>
      <c r="G5676">
        <f>LOG(382/(12+1))</f>
        <v>1.468120010604872</v>
      </c>
      <c r="H5676">
        <f>0.0757575757575757*3.38047125114503</f>
        <v>0.25609630690492635</v>
      </c>
      <c r="I5676">
        <v>0.25609630690492718</v>
      </c>
    </row>
    <row r="5677" spans="1:9" x14ac:dyDescent="0.25">
      <c r="A5677">
        <v>326</v>
      </c>
      <c r="B5677" t="s">
        <v>2166</v>
      </c>
      <c r="C5677" t="s">
        <v>10</v>
      </c>
      <c r="D5677" t="s">
        <v>2167</v>
      </c>
      <c r="E5677">
        <f>5/66</f>
        <v>7.575757575757576E-2</v>
      </c>
      <c r="F5677">
        <v>1</v>
      </c>
      <c r="G5677">
        <f>LOG(382/(1+1))</f>
        <v>2.2810333672477277</v>
      </c>
      <c r="H5677">
        <f>0.0757575757575757*5.25227342804663</f>
        <v>0.3978995021247444</v>
      </c>
      <c r="I5677">
        <v>0.39789950212474468</v>
      </c>
    </row>
    <row r="5678" spans="1:9" x14ac:dyDescent="0.25">
      <c r="A5678">
        <v>326</v>
      </c>
      <c r="B5678" t="s">
        <v>2166</v>
      </c>
      <c r="C5678" t="s">
        <v>10</v>
      </c>
      <c r="D5678" t="s">
        <v>42</v>
      </c>
      <c r="E5678">
        <f>1/66</f>
        <v>1.5151515151515152E-2</v>
      </c>
      <c r="F5678">
        <v>251</v>
      </c>
      <c r="G5678">
        <f>LOG(382/(251+1))</f>
        <v>0.18066282213016463</v>
      </c>
      <c r="H5678">
        <f>0.0151515151515151*0.415991521095151</f>
        <v>6.3029018347749936E-3</v>
      </c>
      <c r="I5678">
        <v>6.3029018347750283E-3</v>
      </c>
    </row>
    <row r="5679" spans="1:9" x14ac:dyDescent="0.25">
      <c r="A5679">
        <v>326</v>
      </c>
      <c r="B5679" t="s">
        <v>2166</v>
      </c>
      <c r="C5679" t="s">
        <v>10</v>
      </c>
      <c r="D5679" t="s">
        <v>15</v>
      </c>
      <c r="E5679">
        <f>1/66</f>
        <v>1.5151515151515152E-2</v>
      </c>
      <c r="F5679">
        <v>112</v>
      </c>
      <c r="G5679">
        <f>LOG(382/(112+1))</f>
        <v>0.52898491942828896</v>
      </c>
      <c r="H5679">
        <f>0.0151515151515151*1.21803278989423</f>
        <v>1.8455042271124635E-2</v>
      </c>
      <c r="I5679">
        <v>1.845504227112477E-2</v>
      </c>
    </row>
    <row r="5680" spans="1:9" x14ac:dyDescent="0.25">
      <c r="A5680">
        <v>326</v>
      </c>
      <c r="B5680" t="s">
        <v>2166</v>
      </c>
      <c r="C5680" t="s">
        <v>10</v>
      </c>
      <c r="D5680" t="s">
        <v>2168</v>
      </c>
      <c r="E5680">
        <f>1/66</f>
        <v>1.5151515151515152E-2</v>
      </c>
      <c r="F5680">
        <v>2</v>
      </c>
      <c r="G5680">
        <f>LOG(382/(2+1))</f>
        <v>2.1049421081920463</v>
      </c>
      <c r="H5680">
        <f>0.0151515151515151*4.84680831993846</f>
        <v>7.3436489696037027E-2</v>
      </c>
      <c r="I5680">
        <v>7.343648969603736E-2</v>
      </c>
    </row>
    <row r="5681" spans="1:9" x14ac:dyDescent="0.25">
      <c r="A5681">
        <v>326</v>
      </c>
      <c r="B5681" t="s">
        <v>2166</v>
      </c>
      <c r="C5681" t="s">
        <v>10</v>
      </c>
      <c r="D5681" t="s">
        <v>17</v>
      </c>
      <c r="E5681">
        <f>1/66</f>
        <v>1.5151515151515152E-2</v>
      </c>
      <c r="F5681">
        <v>169</v>
      </c>
      <c r="G5681">
        <f>LOG(382/(169+1))</f>
        <v>0.3516144415334348</v>
      </c>
      <c r="H5681">
        <f>0.0151515151515151*0.809622171556313</f>
        <v>1.2267002599338033E-2</v>
      </c>
      <c r="I5681">
        <v>1.226700259933808E-2</v>
      </c>
    </row>
    <row r="5682" spans="1:9" x14ac:dyDescent="0.25">
      <c r="A5682">
        <v>326</v>
      </c>
      <c r="B5682" t="s">
        <v>2166</v>
      </c>
      <c r="C5682" t="s">
        <v>10</v>
      </c>
      <c r="D5682" t="s">
        <v>70</v>
      </c>
      <c r="E5682">
        <f>1/66</f>
        <v>1.5151515151515152E-2</v>
      </c>
      <c r="F5682">
        <v>44</v>
      </c>
      <c r="G5682">
        <f>LOG(382/(44+1))</f>
        <v>0.92885084913636506</v>
      </c>
      <c r="H5682">
        <f>0.0151515151515151*2.13875811883625</f>
        <v>3.2405426042973376E-2</v>
      </c>
      <c r="I5682">
        <v>3.2405426042973563E-2</v>
      </c>
    </row>
    <row r="5683" spans="1:9" x14ac:dyDescent="0.25">
      <c r="A5683">
        <v>326</v>
      </c>
      <c r="B5683" t="s">
        <v>2166</v>
      </c>
      <c r="C5683" t="s">
        <v>10</v>
      </c>
      <c r="D5683" t="s">
        <v>68</v>
      </c>
      <c r="E5683">
        <f>7/66</f>
        <v>0.10606060606060606</v>
      </c>
      <c r="F5683">
        <v>43</v>
      </c>
      <c r="G5683">
        <f>LOG(382/(43+1))</f>
        <v>0.93861068642552126</v>
      </c>
      <c r="H5683">
        <f>0.106060606060606*2.16123097468831</f>
        <v>0.22922146701239635</v>
      </c>
      <c r="I5683">
        <v>0.2292214670123969</v>
      </c>
    </row>
    <row r="5684" spans="1:9" x14ac:dyDescent="0.25">
      <c r="A5684">
        <v>326</v>
      </c>
      <c r="B5684" t="s">
        <v>2166</v>
      </c>
      <c r="C5684" t="s">
        <v>10</v>
      </c>
      <c r="D5684" t="s">
        <v>44</v>
      </c>
      <c r="E5684">
        <f>4/66</f>
        <v>6.0606060606060608E-2</v>
      </c>
      <c r="F5684">
        <v>151</v>
      </c>
      <c r="G5684">
        <f>LOG(382/(151+1))</f>
        <v>0.40021977496693617</v>
      </c>
      <c r="H5684">
        <f>0.0606060606060606*0.921540087760298</f>
        <v>5.5850914409715027E-2</v>
      </c>
      <c r="I5684">
        <v>5.5850914409715083E-2</v>
      </c>
    </row>
    <row r="5685" spans="1:9" x14ac:dyDescent="0.25">
      <c r="A5685">
        <v>326</v>
      </c>
      <c r="B5685" t="s">
        <v>2166</v>
      </c>
      <c r="C5685" t="s">
        <v>10</v>
      </c>
      <c r="D5685" t="s">
        <v>22</v>
      </c>
      <c r="E5685">
        <f>1/66</f>
        <v>1.5151515151515152E-2</v>
      </c>
      <c r="F5685">
        <v>259</v>
      </c>
      <c r="G5685">
        <f>LOG(382/(259+1))</f>
        <v>0.16709001494089079</v>
      </c>
      <c r="H5685">
        <f>0.0151515151515151*0.384738977591047</f>
        <v>5.8293784483491777E-3</v>
      </c>
      <c r="I5685">
        <v>5.8293784483492046E-3</v>
      </c>
    </row>
    <row r="5686" spans="1:9" x14ac:dyDescent="0.25">
      <c r="A5686">
        <v>326</v>
      </c>
      <c r="B5686" t="s">
        <v>2166</v>
      </c>
      <c r="C5686" t="s">
        <v>10</v>
      </c>
      <c r="D5686" t="s">
        <v>23</v>
      </c>
      <c r="E5686">
        <f>1/66</f>
        <v>1.5151515151515152E-2</v>
      </c>
      <c r="F5686">
        <v>275</v>
      </c>
      <c r="G5686">
        <f>LOG(382/(275+1))</f>
        <v>0.14115428084649101</v>
      </c>
      <c r="H5686">
        <f>0.0151515151515151*0.325019742889425</f>
        <v>4.9245415589306649E-3</v>
      </c>
      <c r="I5686">
        <v>4.924541558930684E-3</v>
      </c>
    </row>
    <row r="5687" spans="1:9" x14ac:dyDescent="0.25">
      <c r="A5687">
        <v>326</v>
      </c>
      <c r="B5687" t="s">
        <v>2166</v>
      </c>
      <c r="C5687" t="s">
        <v>10</v>
      </c>
      <c r="D5687" t="s">
        <v>482</v>
      </c>
      <c r="E5687">
        <f>4/66</f>
        <v>6.0606060606060608E-2</v>
      </c>
      <c r="F5687">
        <v>16</v>
      </c>
      <c r="G5687">
        <f>LOG(382/(16+1))</f>
        <v>1.3516144415334348</v>
      </c>
      <c r="H5687">
        <f>0.0606060606060606*3.11220726455035</f>
        <v>0.18861862209396058</v>
      </c>
      <c r="I5687">
        <v>0.18861862209396121</v>
      </c>
    </row>
    <row r="5688" spans="1:9" x14ac:dyDescent="0.25">
      <c r="A5688">
        <v>326</v>
      </c>
      <c r="B5688" t="s">
        <v>2166</v>
      </c>
      <c r="C5688" t="s">
        <v>10</v>
      </c>
      <c r="D5688" t="s">
        <v>41</v>
      </c>
      <c r="E5688">
        <f t="shared" ref="E5688:E5709" si="255">1/66</f>
        <v>1.5151515151515152E-2</v>
      </c>
      <c r="F5688">
        <v>195</v>
      </c>
      <c r="G5688">
        <f>LOG(382/(195+1))</f>
        <v>0.28980729155523272</v>
      </c>
      <c r="H5688">
        <f>0.0151515151515151*0.667305949376058</f>
        <v>1.0110696202667512E-2</v>
      </c>
      <c r="I5688">
        <v>1.011069620266755E-2</v>
      </c>
    </row>
    <row r="5689" spans="1:9" x14ac:dyDescent="0.25">
      <c r="A5689">
        <v>326</v>
      </c>
      <c r="B5689" t="s">
        <v>2166</v>
      </c>
      <c r="C5689" t="s">
        <v>10</v>
      </c>
      <c r="D5689" t="s">
        <v>1398</v>
      </c>
      <c r="E5689">
        <f t="shared" si="255"/>
        <v>1.5151515151515152E-2</v>
      </c>
      <c r="F5689">
        <v>29</v>
      </c>
      <c r="G5689">
        <f>LOG(382/(29+1))</f>
        <v>1.1049421081920463</v>
      </c>
      <c r="H5689">
        <f>0.0151515151515151*2.54422322694442</f>
        <v>3.8548836771885017E-2</v>
      </c>
      <c r="I5689">
        <v>3.8548836771885149E-2</v>
      </c>
    </row>
    <row r="5690" spans="1:9" x14ac:dyDescent="0.25">
      <c r="A5690">
        <v>326</v>
      </c>
      <c r="B5690" t="s">
        <v>2166</v>
      </c>
      <c r="C5690" t="s">
        <v>10</v>
      </c>
      <c r="D5690" t="s">
        <v>485</v>
      </c>
      <c r="E5690">
        <f t="shared" si="255"/>
        <v>1.5151515151515152E-2</v>
      </c>
      <c r="F5690">
        <v>74</v>
      </c>
      <c r="G5690">
        <f>LOG(382/(74+1))</f>
        <v>0.7070020995200087</v>
      </c>
      <c r="H5690">
        <f>0.0151515151515151*1.62793249507026</f>
        <v>2.4665643864700826E-2</v>
      </c>
      <c r="I5690">
        <v>2.4665643864700978E-2</v>
      </c>
    </row>
    <row r="5691" spans="1:9" x14ac:dyDescent="0.25">
      <c r="A5691">
        <v>326</v>
      </c>
      <c r="B5691" t="s">
        <v>2166</v>
      </c>
      <c r="C5691" t="s">
        <v>10</v>
      </c>
      <c r="D5691" t="s">
        <v>2169</v>
      </c>
      <c r="E5691">
        <f t="shared" si="255"/>
        <v>1.5151515151515152E-2</v>
      </c>
      <c r="F5691">
        <v>1</v>
      </c>
      <c r="G5691">
        <f>LOG(382/(1+1))</f>
        <v>2.2810333672477277</v>
      </c>
      <c r="H5691">
        <f>0.0151515151515151*5.25227342804663</f>
        <v>7.9579900424948669E-2</v>
      </c>
      <c r="I5691">
        <v>7.9579900424948946E-2</v>
      </c>
    </row>
    <row r="5692" spans="1:9" x14ac:dyDescent="0.25">
      <c r="A5692">
        <v>326</v>
      </c>
      <c r="B5692" t="s">
        <v>2166</v>
      </c>
      <c r="C5692" t="s">
        <v>10</v>
      </c>
      <c r="D5692" t="s">
        <v>2170</v>
      </c>
      <c r="E5692">
        <f t="shared" si="255"/>
        <v>1.5151515151515152E-2</v>
      </c>
      <c r="F5692">
        <v>5</v>
      </c>
      <c r="G5692">
        <f>LOG(382/(5+1))</f>
        <v>1.803912112528065</v>
      </c>
      <c r="H5692">
        <f>0.0151515151515151*4.15366113937852</f>
        <v>6.2934259687553118E-2</v>
      </c>
      <c r="I5692">
        <v>6.293425968755334E-2</v>
      </c>
    </row>
    <row r="5693" spans="1:9" x14ac:dyDescent="0.25">
      <c r="A5693">
        <v>326</v>
      </c>
      <c r="B5693" t="s">
        <v>2166</v>
      </c>
      <c r="C5693" t="s">
        <v>10</v>
      </c>
      <c r="D5693" t="s">
        <v>2171</v>
      </c>
      <c r="E5693">
        <f t="shared" si="255"/>
        <v>1.5151515151515152E-2</v>
      </c>
      <c r="F5693">
        <v>1</v>
      </c>
      <c r="G5693">
        <f>LOG(382/(1+1))</f>
        <v>2.2810333672477277</v>
      </c>
      <c r="H5693">
        <f>0.0151515151515151*5.25227342804663</f>
        <v>7.9579900424948669E-2</v>
      </c>
      <c r="I5693">
        <v>7.9579900424948946E-2</v>
      </c>
    </row>
    <row r="5694" spans="1:9" x14ac:dyDescent="0.25">
      <c r="A5694">
        <v>326</v>
      </c>
      <c r="B5694" t="s">
        <v>2166</v>
      </c>
      <c r="C5694" t="s">
        <v>10</v>
      </c>
      <c r="D5694" t="s">
        <v>600</v>
      </c>
      <c r="E5694">
        <f t="shared" si="255"/>
        <v>1.5151515151515152E-2</v>
      </c>
      <c r="F5694">
        <v>102</v>
      </c>
      <c r="G5694">
        <f>LOG(382/(102+1))</f>
        <v>0.56922613820653656</v>
      </c>
      <c r="H5694">
        <f>0.0151515151515151*1.31069162037693</f>
        <v>1.9858963945104932E-2</v>
      </c>
      <c r="I5694">
        <v>1.985896394510514E-2</v>
      </c>
    </row>
    <row r="5695" spans="1:9" x14ac:dyDescent="0.25">
      <c r="A5695">
        <v>326</v>
      </c>
      <c r="B5695" t="s">
        <v>2166</v>
      </c>
      <c r="C5695" t="s">
        <v>10</v>
      </c>
      <c r="D5695" t="s">
        <v>2172</v>
      </c>
      <c r="E5695">
        <f t="shared" si="255"/>
        <v>1.5151515151515152E-2</v>
      </c>
      <c r="F5695">
        <v>2</v>
      </c>
      <c r="G5695">
        <f>LOG(382/(2+1))</f>
        <v>2.1049421081920463</v>
      </c>
      <c r="H5695">
        <f>0.0151515151515151*4.84680831993846</f>
        <v>7.3436489696037027E-2</v>
      </c>
      <c r="I5695">
        <v>7.343648969603736E-2</v>
      </c>
    </row>
    <row r="5696" spans="1:9" x14ac:dyDescent="0.25">
      <c r="A5696">
        <v>326</v>
      </c>
      <c r="B5696" t="s">
        <v>2166</v>
      </c>
      <c r="C5696" t="s">
        <v>10</v>
      </c>
      <c r="D5696" t="s">
        <v>2173</v>
      </c>
      <c r="E5696">
        <f t="shared" si="255"/>
        <v>1.5151515151515152E-2</v>
      </c>
      <c r="F5696">
        <v>5</v>
      </c>
      <c r="G5696">
        <f>LOG(382/(5+1))</f>
        <v>1.803912112528065</v>
      </c>
      <c r="H5696">
        <f>0.0151515151515151*4.15366113937852</f>
        <v>6.2934259687553118E-2</v>
      </c>
      <c r="I5696">
        <v>6.293425968755334E-2</v>
      </c>
    </row>
    <row r="5697" spans="1:9" x14ac:dyDescent="0.25">
      <c r="A5697">
        <v>326</v>
      </c>
      <c r="B5697" t="s">
        <v>2166</v>
      </c>
      <c r="C5697" t="s">
        <v>10</v>
      </c>
      <c r="D5697" t="s">
        <v>951</v>
      </c>
      <c r="E5697">
        <f t="shared" si="255"/>
        <v>1.5151515151515152E-2</v>
      </c>
      <c r="F5697">
        <v>2</v>
      </c>
      <c r="G5697">
        <f>LOG(382/(2+1))</f>
        <v>2.1049421081920463</v>
      </c>
      <c r="H5697">
        <f>0.0151515151515151*4.84680831993846</f>
        <v>7.3436489696037027E-2</v>
      </c>
      <c r="I5697">
        <v>7.343648969603736E-2</v>
      </c>
    </row>
    <row r="5698" spans="1:9" x14ac:dyDescent="0.25">
      <c r="A5698">
        <v>326</v>
      </c>
      <c r="B5698" t="s">
        <v>2166</v>
      </c>
      <c r="C5698" t="s">
        <v>10</v>
      </c>
      <c r="D5698" t="s">
        <v>139</v>
      </c>
      <c r="E5698">
        <f t="shared" si="255"/>
        <v>1.5151515151515152E-2</v>
      </c>
      <c r="F5698">
        <v>2</v>
      </c>
      <c r="G5698">
        <f>LOG(382/(2+1))</f>
        <v>2.1049421081920463</v>
      </c>
      <c r="H5698">
        <f>0.0151515151515151*4.84680831993846</f>
        <v>7.3436489696037027E-2</v>
      </c>
      <c r="I5698">
        <v>7.343648969603736E-2</v>
      </c>
    </row>
    <row r="5699" spans="1:9" x14ac:dyDescent="0.25">
      <c r="A5699">
        <v>326</v>
      </c>
      <c r="B5699" t="s">
        <v>2166</v>
      </c>
      <c r="C5699" t="s">
        <v>10</v>
      </c>
      <c r="D5699" t="s">
        <v>2174</v>
      </c>
      <c r="E5699">
        <f t="shared" si="255"/>
        <v>1.5151515151515152E-2</v>
      </c>
      <c r="F5699">
        <v>1</v>
      </c>
      <c r="G5699">
        <f>LOG(382/(1+1))</f>
        <v>2.2810333672477277</v>
      </c>
      <c r="H5699">
        <f>0.0151515151515151*5.25227342804663</f>
        <v>7.9579900424948669E-2</v>
      </c>
      <c r="I5699">
        <v>7.9579900424948946E-2</v>
      </c>
    </row>
    <row r="5700" spans="1:9" x14ac:dyDescent="0.25">
      <c r="A5700">
        <v>326</v>
      </c>
      <c r="B5700" t="s">
        <v>2166</v>
      </c>
      <c r="C5700" t="s">
        <v>10</v>
      </c>
      <c r="D5700" t="s">
        <v>532</v>
      </c>
      <c r="E5700">
        <f t="shared" si="255"/>
        <v>1.5151515151515152E-2</v>
      </c>
      <c r="F5700">
        <v>8</v>
      </c>
      <c r="G5700">
        <f>LOG(382/(8+1))</f>
        <v>1.6278208534723839</v>
      </c>
      <c r="H5700">
        <f>0.0151515151515151*3.74819603127035</f>
        <v>5.679084895864147E-2</v>
      </c>
      <c r="I5700">
        <v>5.6790848958641747E-2</v>
      </c>
    </row>
    <row r="5701" spans="1:9" x14ac:dyDescent="0.25">
      <c r="A5701">
        <v>326</v>
      </c>
      <c r="B5701" t="s">
        <v>2166</v>
      </c>
      <c r="C5701" t="s">
        <v>10</v>
      </c>
      <c r="D5701" t="s">
        <v>236</v>
      </c>
      <c r="E5701">
        <f t="shared" si="255"/>
        <v>1.5151515151515152E-2</v>
      </c>
      <c r="F5701">
        <v>87</v>
      </c>
      <c r="G5701">
        <f>LOG(382/(87+1))</f>
        <v>0.63758069076154011</v>
      </c>
      <c r="H5701">
        <f>0.0151515151515151*1.46808379412836</f>
        <v>2.2243693850429621E-2</v>
      </c>
      <c r="I5701">
        <v>2.2243693850429829E-2</v>
      </c>
    </row>
    <row r="5702" spans="1:9" x14ac:dyDescent="0.25">
      <c r="A5702">
        <v>326</v>
      </c>
      <c r="B5702" t="s">
        <v>2166</v>
      </c>
      <c r="C5702" t="s">
        <v>10</v>
      </c>
      <c r="D5702" t="s">
        <v>119</v>
      </c>
      <c r="E5702">
        <f t="shared" si="255"/>
        <v>1.5151515151515152E-2</v>
      </c>
      <c r="F5702">
        <v>79</v>
      </c>
      <c r="G5702">
        <f>LOG(382/(79+1))</f>
        <v>0.67897337591976514</v>
      </c>
      <c r="H5702">
        <f>0.0151515151515151*1.56339397393269</f>
        <v>2.3687787483828555E-2</v>
      </c>
      <c r="I5702">
        <v>2.3687787483828691E-2</v>
      </c>
    </row>
    <row r="5703" spans="1:9" x14ac:dyDescent="0.25">
      <c r="A5703">
        <v>326</v>
      </c>
      <c r="B5703" t="s">
        <v>2166</v>
      </c>
      <c r="C5703" t="s">
        <v>10</v>
      </c>
      <c r="D5703" t="s">
        <v>2105</v>
      </c>
      <c r="E5703">
        <f t="shared" si="255"/>
        <v>1.5151515151515152E-2</v>
      </c>
      <c r="F5703">
        <v>10</v>
      </c>
      <c r="G5703">
        <f>LOG(382/(10+1))</f>
        <v>1.5406706777534838</v>
      </c>
      <c r="H5703">
        <f>0.0151515151515151*3.5475253358082</f>
        <v>5.3750383875881637E-2</v>
      </c>
      <c r="I5703">
        <v>5.3750383875881887E-2</v>
      </c>
    </row>
    <row r="5704" spans="1:9" x14ac:dyDescent="0.25">
      <c r="A5704">
        <v>326</v>
      </c>
      <c r="B5704" t="s">
        <v>2166</v>
      </c>
      <c r="C5704" t="s">
        <v>10</v>
      </c>
      <c r="D5704" t="s">
        <v>2175</v>
      </c>
      <c r="E5704">
        <f t="shared" si="255"/>
        <v>1.5151515151515152E-2</v>
      </c>
      <c r="F5704">
        <v>2</v>
      </c>
      <c r="G5704">
        <f>LOG(382/(2+1))</f>
        <v>2.1049421081920463</v>
      </c>
      <c r="H5704">
        <f>0.0151515151515151*4.84680831993846</f>
        <v>7.3436489696037027E-2</v>
      </c>
      <c r="I5704">
        <v>7.343648969603736E-2</v>
      </c>
    </row>
    <row r="5705" spans="1:9" x14ac:dyDescent="0.25">
      <c r="A5705">
        <v>326</v>
      </c>
      <c r="B5705" t="s">
        <v>2166</v>
      </c>
      <c r="C5705" t="s">
        <v>10</v>
      </c>
      <c r="D5705" t="s">
        <v>1396</v>
      </c>
      <c r="E5705">
        <f t="shared" si="255"/>
        <v>1.5151515151515152E-2</v>
      </c>
      <c r="F5705">
        <v>18</v>
      </c>
      <c r="G5705">
        <f>LOG(382/(18+1))</f>
        <v>1.3033097619588798</v>
      </c>
      <c r="H5705">
        <f>0.0151515151515151*3.00098162944013</f>
        <v>4.5469418627880606E-2</v>
      </c>
      <c r="I5705">
        <v>4.5469418627880828E-2</v>
      </c>
    </row>
    <row r="5706" spans="1:9" x14ac:dyDescent="0.25">
      <c r="A5706">
        <v>326</v>
      </c>
      <c r="B5706" t="s">
        <v>2166</v>
      </c>
      <c r="C5706" t="s">
        <v>10</v>
      </c>
      <c r="D5706" t="s">
        <v>39</v>
      </c>
      <c r="E5706">
        <f t="shared" si="255"/>
        <v>1.5151515151515152E-2</v>
      </c>
      <c r="F5706">
        <v>145</v>
      </c>
      <c r="G5706">
        <f>LOG(382/(145+1))</f>
        <v>0.41771050712727159</v>
      </c>
      <c r="H5706">
        <f>0.0151515151515151*0.961813986898238</f>
        <v>1.4572939195427799E-2</v>
      </c>
      <c r="I5706">
        <v>1.457293919542786E-2</v>
      </c>
    </row>
    <row r="5707" spans="1:9" x14ac:dyDescent="0.25">
      <c r="A5707">
        <v>326</v>
      </c>
      <c r="B5707" t="s">
        <v>2166</v>
      </c>
      <c r="C5707" t="s">
        <v>10</v>
      </c>
      <c r="D5707" t="s">
        <v>262</v>
      </c>
      <c r="E5707">
        <f t="shared" si="255"/>
        <v>1.5151515151515152E-2</v>
      </c>
      <c r="F5707">
        <v>13</v>
      </c>
      <c r="G5707">
        <f>LOG(382/(13+1))</f>
        <v>1.4359353272334707</v>
      </c>
      <c r="H5707">
        <f>0.0151515151515151*3.30636327899131</f>
        <v>5.0096413318049982E-2</v>
      </c>
      <c r="I5707">
        <v>5.0096413318050252E-2</v>
      </c>
    </row>
    <row r="5708" spans="1:9" x14ac:dyDescent="0.25">
      <c r="A5708">
        <v>326</v>
      </c>
      <c r="B5708" t="s">
        <v>2166</v>
      </c>
      <c r="C5708" t="s">
        <v>10</v>
      </c>
      <c r="D5708" t="s">
        <v>272</v>
      </c>
      <c r="E5708">
        <f t="shared" si="255"/>
        <v>1.5151515151515152E-2</v>
      </c>
      <c r="F5708">
        <v>17</v>
      </c>
      <c r="G5708">
        <f>LOG(382/(17+1))</f>
        <v>1.3267908578084027</v>
      </c>
      <c r="H5708">
        <f>0.0151515151515151*3.05504885071041</f>
        <v>4.6288618950157567E-2</v>
      </c>
      <c r="I5708">
        <v>4.6288618950157727E-2</v>
      </c>
    </row>
    <row r="5709" spans="1:9" x14ac:dyDescent="0.25">
      <c r="A5709">
        <v>326</v>
      </c>
      <c r="B5709" t="s">
        <v>2166</v>
      </c>
      <c r="C5709" t="s">
        <v>10</v>
      </c>
      <c r="D5709" t="s">
        <v>922</v>
      </c>
      <c r="E5709">
        <f t="shared" si="255"/>
        <v>1.5151515151515152E-2</v>
      </c>
      <c r="F5709">
        <v>3</v>
      </c>
      <c r="G5709">
        <f>LOG(382/(3+1))</f>
        <v>1.9800033715837464</v>
      </c>
      <c r="H5709">
        <f>0.0151515151515151*4.55912624748668</f>
        <v>6.907767041646462E-2</v>
      </c>
      <c r="I5709">
        <v>6.9077670416464912E-2</v>
      </c>
    </row>
    <row r="5710" spans="1:9" x14ac:dyDescent="0.25">
      <c r="A5710">
        <v>327</v>
      </c>
      <c r="B5710" t="s">
        <v>2176</v>
      </c>
      <c r="C5710" t="s">
        <v>10</v>
      </c>
      <c r="D5710" t="s">
        <v>315</v>
      </c>
      <c r="E5710">
        <f>3/25</f>
        <v>0.12</v>
      </c>
      <c r="F5710">
        <v>55</v>
      </c>
      <c r="G5710">
        <f>LOG(382/(55+1))</f>
        <v>0.83387533590550833</v>
      </c>
      <c r="H5710">
        <f>0.12*1.92006891787142</f>
        <v>0.23040827014457041</v>
      </c>
      <c r="I5710">
        <v>0.2304082701445711</v>
      </c>
    </row>
    <row r="5711" spans="1:9" x14ac:dyDescent="0.25">
      <c r="A5711">
        <v>327</v>
      </c>
      <c r="B5711" t="s">
        <v>2176</v>
      </c>
      <c r="C5711" t="s">
        <v>10</v>
      </c>
      <c r="D5711" t="s">
        <v>2177</v>
      </c>
      <c r="E5711">
        <f>1/25</f>
        <v>0.04</v>
      </c>
      <c r="F5711">
        <v>1</v>
      </c>
      <c r="G5711">
        <f>LOG(382/(1+1))</f>
        <v>2.2810333672477277</v>
      </c>
      <c r="H5711">
        <f>0.04*5.25227342804663</f>
        <v>0.21009093712186519</v>
      </c>
      <c r="I5711">
        <v>0.21009093712186519</v>
      </c>
    </row>
    <row r="5712" spans="1:9" x14ac:dyDescent="0.25">
      <c r="A5712">
        <v>327</v>
      </c>
      <c r="B5712" t="s">
        <v>2176</v>
      </c>
      <c r="C5712" t="s">
        <v>10</v>
      </c>
      <c r="D5712" t="s">
        <v>25</v>
      </c>
      <c r="E5712">
        <f>2/25</f>
        <v>0.08</v>
      </c>
      <c r="F5712">
        <v>106</v>
      </c>
      <c r="G5712">
        <f>LOG(382/(106+1))</f>
        <v>0.55267958522649907</v>
      </c>
      <c r="H5712">
        <f>0.08*1.27259177414466</f>
        <v>0.1018073419315728</v>
      </c>
      <c r="I5712">
        <v>0.10180734193157349</v>
      </c>
    </row>
    <row r="5713" spans="1:9" x14ac:dyDescent="0.25">
      <c r="A5713">
        <v>327</v>
      </c>
      <c r="B5713" t="s">
        <v>2176</v>
      </c>
      <c r="C5713" t="s">
        <v>10</v>
      </c>
      <c r="D5713" t="s">
        <v>207</v>
      </c>
      <c r="E5713">
        <f>1/25</f>
        <v>0.04</v>
      </c>
      <c r="F5713">
        <v>21</v>
      </c>
      <c r="G5713">
        <f>LOG(382/(21+1))</f>
        <v>1.2396406820895025</v>
      </c>
      <c r="H5713">
        <f>0.04*2.85437815524825</f>
        <v>0.11417512620992999</v>
      </c>
      <c r="I5713">
        <v>0.11417512620993039</v>
      </c>
    </row>
    <row r="5714" spans="1:9" x14ac:dyDescent="0.25">
      <c r="A5714">
        <v>327</v>
      </c>
      <c r="B5714" t="s">
        <v>2176</v>
      </c>
      <c r="C5714" t="s">
        <v>10</v>
      </c>
      <c r="D5714" t="s">
        <v>1081</v>
      </c>
      <c r="E5714">
        <f>2/25</f>
        <v>0.08</v>
      </c>
      <c r="F5714">
        <v>27</v>
      </c>
      <c r="G5714">
        <f>LOG(382/(27+1))</f>
        <v>1.1349053315694895</v>
      </c>
      <c r="H5714">
        <f>0.08*2.61321609843137</f>
        <v>0.20905728787450961</v>
      </c>
      <c r="I5714">
        <v>0.2090572878745097</v>
      </c>
    </row>
    <row r="5715" spans="1:9" x14ac:dyDescent="0.25">
      <c r="A5715">
        <v>327</v>
      </c>
      <c r="B5715" t="s">
        <v>2176</v>
      </c>
      <c r="C5715" t="s">
        <v>10</v>
      </c>
      <c r="D5715" t="s">
        <v>152</v>
      </c>
      <c r="E5715">
        <f>2/25</f>
        <v>0.08</v>
      </c>
      <c r="F5715">
        <v>31</v>
      </c>
      <c r="G5715">
        <f>LOG(382/(31+1))</f>
        <v>1.0769133845918029</v>
      </c>
      <c r="H5715">
        <f>0.08*2.47968470580684</f>
        <v>0.19837477646454718</v>
      </c>
      <c r="I5715">
        <v>0.1983747764645479</v>
      </c>
    </row>
    <row r="5716" spans="1:9" x14ac:dyDescent="0.25">
      <c r="A5716">
        <v>327</v>
      </c>
      <c r="B5716" t="s">
        <v>2176</v>
      </c>
      <c r="C5716" t="s">
        <v>10</v>
      </c>
      <c r="D5716" t="s">
        <v>477</v>
      </c>
      <c r="E5716">
        <f t="shared" ref="E5716:E5729" si="256">1/25</f>
        <v>0.04</v>
      </c>
      <c r="F5716">
        <v>17</v>
      </c>
      <c r="G5716">
        <f>LOG(382/(17+1))</f>
        <v>1.3267908578084027</v>
      </c>
      <c r="H5716">
        <f>0.04*3.05504885071041</f>
        <v>0.1222019540284164</v>
      </c>
      <c r="I5716">
        <v>0.1222019540284164</v>
      </c>
    </row>
    <row r="5717" spans="1:9" x14ac:dyDescent="0.25">
      <c r="A5717">
        <v>327</v>
      </c>
      <c r="B5717" t="s">
        <v>2176</v>
      </c>
      <c r="C5717" t="s">
        <v>10</v>
      </c>
      <c r="D5717" t="s">
        <v>103</v>
      </c>
      <c r="E5717">
        <f t="shared" si="256"/>
        <v>0.04</v>
      </c>
      <c r="F5717">
        <v>38</v>
      </c>
      <c r="G5717">
        <f>LOG(382/(38+1))</f>
        <v>0.99099875588520958</v>
      </c>
      <c r="H5717">
        <f>0.04*2.28185896247692</f>
        <v>9.1274358499076808E-2</v>
      </c>
      <c r="I5717">
        <v>9.1274358499077154E-2</v>
      </c>
    </row>
    <row r="5718" spans="1:9" x14ac:dyDescent="0.25">
      <c r="A5718">
        <v>327</v>
      </c>
      <c r="B5718" t="s">
        <v>2176</v>
      </c>
      <c r="C5718" t="s">
        <v>10</v>
      </c>
      <c r="D5718" t="s">
        <v>38</v>
      </c>
      <c r="E5718">
        <f t="shared" si="256"/>
        <v>0.04</v>
      </c>
      <c r="F5718">
        <v>86</v>
      </c>
      <c r="G5718">
        <f>LOG(382/(86+1))</f>
        <v>0.64254411029309022</v>
      </c>
      <c r="H5718">
        <f>0.04*1.47951248995199</f>
        <v>5.9180499598079604E-2</v>
      </c>
      <c r="I5718">
        <v>5.9180499598079653E-2</v>
      </c>
    </row>
    <row r="5719" spans="1:9" x14ac:dyDescent="0.25">
      <c r="A5719">
        <v>327</v>
      </c>
      <c r="B5719" t="s">
        <v>2176</v>
      </c>
      <c r="C5719" t="s">
        <v>10</v>
      </c>
      <c r="D5719" t="s">
        <v>344</v>
      </c>
      <c r="E5719">
        <f t="shared" si="256"/>
        <v>0.04</v>
      </c>
      <c r="F5719">
        <v>6</v>
      </c>
      <c r="G5719">
        <f>LOG(382/(6+1))</f>
        <v>1.736965322897452</v>
      </c>
      <c r="H5719">
        <f>0.04*3.99951045955126</f>
        <v>0.1599804183820504</v>
      </c>
      <c r="I5719">
        <v>0.15998041838205049</v>
      </c>
    </row>
    <row r="5720" spans="1:9" x14ac:dyDescent="0.25">
      <c r="A5720">
        <v>327</v>
      </c>
      <c r="B5720" t="s">
        <v>2176</v>
      </c>
      <c r="C5720" t="s">
        <v>10</v>
      </c>
      <c r="D5720" t="s">
        <v>39</v>
      </c>
      <c r="E5720">
        <f t="shared" si="256"/>
        <v>0.04</v>
      </c>
      <c r="F5720">
        <v>145</v>
      </c>
      <c r="G5720">
        <f>LOG(382/(145+1))</f>
        <v>0.41771050712727159</v>
      </c>
      <c r="H5720">
        <f>0.04*0.961813986898238</f>
        <v>3.8472559475929521E-2</v>
      </c>
      <c r="I5720">
        <v>3.8472559475929549E-2</v>
      </c>
    </row>
    <row r="5721" spans="1:9" x14ac:dyDescent="0.25">
      <c r="A5721">
        <v>327</v>
      </c>
      <c r="B5721" t="s">
        <v>2176</v>
      </c>
      <c r="C5721" t="s">
        <v>10</v>
      </c>
      <c r="D5721" t="s">
        <v>2178</v>
      </c>
      <c r="E5721">
        <f t="shared" si="256"/>
        <v>0.04</v>
      </c>
      <c r="F5721">
        <v>11</v>
      </c>
      <c r="G5721">
        <f>LOG(382/(11+1))</f>
        <v>1.5028821168640838</v>
      </c>
      <c r="H5721">
        <f>0.04*3.46051395881857</f>
        <v>0.13842055835274281</v>
      </c>
      <c r="I5721">
        <v>0.138420558352743</v>
      </c>
    </row>
    <row r="5722" spans="1:9" x14ac:dyDescent="0.25">
      <c r="A5722">
        <v>327</v>
      </c>
      <c r="B5722" t="s">
        <v>2176</v>
      </c>
      <c r="C5722" t="s">
        <v>10</v>
      </c>
      <c r="D5722" t="s">
        <v>19</v>
      </c>
      <c r="E5722">
        <f t="shared" si="256"/>
        <v>0.04</v>
      </c>
      <c r="F5722">
        <v>220</v>
      </c>
      <c r="G5722">
        <f>LOG(382/(220+1))</f>
        <v>0.23767108922659805</v>
      </c>
      <c r="H5722">
        <f>0.04*0.547257907088822</f>
        <v>2.1890316283552883E-2</v>
      </c>
      <c r="I5722">
        <v>2.18903162835529E-2</v>
      </c>
    </row>
    <row r="5723" spans="1:9" x14ac:dyDescent="0.25">
      <c r="A5723">
        <v>327</v>
      </c>
      <c r="B5723" t="s">
        <v>2176</v>
      </c>
      <c r="C5723" t="s">
        <v>10</v>
      </c>
      <c r="D5723" t="s">
        <v>44</v>
      </c>
      <c r="E5723">
        <f t="shared" si="256"/>
        <v>0.04</v>
      </c>
      <c r="F5723">
        <v>151</v>
      </c>
      <c r="G5723">
        <f>LOG(382/(151+1))</f>
        <v>0.40021977496693617</v>
      </c>
      <c r="H5723">
        <f>0.04*0.921540087760298</f>
        <v>3.6861603510411921E-2</v>
      </c>
      <c r="I5723">
        <v>3.6861603510411949E-2</v>
      </c>
    </row>
    <row r="5724" spans="1:9" x14ac:dyDescent="0.25">
      <c r="A5724">
        <v>327</v>
      </c>
      <c r="B5724" t="s">
        <v>2176</v>
      </c>
      <c r="C5724" t="s">
        <v>10</v>
      </c>
      <c r="D5724" t="s">
        <v>77</v>
      </c>
      <c r="E5724">
        <f t="shared" si="256"/>
        <v>0.04</v>
      </c>
      <c r="F5724">
        <v>148</v>
      </c>
      <c r="G5724">
        <f>LOG(382/(148+1))</f>
        <v>0.40887709449943471</v>
      </c>
      <c r="H5724">
        <f>0.04*0.941474302661116</f>
        <v>3.7658972106444637E-2</v>
      </c>
      <c r="I5724">
        <v>3.7658972106444637E-2</v>
      </c>
    </row>
    <row r="5725" spans="1:9" x14ac:dyDescent="0.25">
      <c r="A5725">
        <v>327</v>
      </c>
      <c r="B5725" t="s">
        <v>2176</v>
      </c>
      <c r="C5725" t="s">
        <v>10</v>
      </c>
      <c r="D5725" t="s">
        <v>485</v>
      </c>
      <c r="E5725">
        <f t="shared" si="256"/>
        <v>0.04</v>
      </c>
      <c r="F5725">
        <v>74</v>
      </c>
      <c r="G5725">
        <f>LOG(382/(74+1))</f>
        <v>0.7070020995200087</v>
      </c>
      <c r="H5725">
        <f>0.04*1.62793249507026</f>
        <v>6.5117299802810405E-2</v>
      </c>
      <c r="I5725">
        <v>6.5117299802810585E-2</v>
      </c>
    </row>
    <row r="5726" spans="1:9" x14ac:dyDescent="0.25">
      <c r="A5726">
        <v>327</v>
      </c>
      <c r="B5726" t="s">
        <v>2176</v>
      </c>
      <c r="C5726" t="s">
        <v>10</v>
      </c>
      <c r="D5726" t="s">
        <v>1868</v>
      </c>
      <c r="E5726">
        <f t="shared" si="256"/>
        <v>0.04</v>
      </c>
      <c r="F5726">
        <v>8</v>
      </c>
      <c r="G5726">
        <f>LOG(382/(8+1))</f>
        <v>1.6278208534723839</v>
      </c>
      <c r="H5726">
        <f>0.04*3.74819603127035</f>
        <v>0.14992784125081401</v>
      </c>
      <c r="I5726">
        <v>0.14992784125081421</v>
      </c>
    </row>
    <row r="5727" spans="1:9" x14ac:dyDescent="0.25">
      <c r="A5727">
        <v>327</v>
      </c>
      <c r="B5727" t="s">
        <v>2176</v>
      </c>
      <c r="C5727" t="s">
        <v>10</v>
      </c>
      <c r="D5727" t="s">
        <v>119</v>
      </c>
      <c r="E5727">
        <f t="shared" si="256"/>
        <v>0.04</v>
      </c>
      <c r="F5727">
        <v>79</v>
      </c>
      <c r="G5727">
        <f>LOG(382/(79+1))</f>
        <v>0.67897337591976514</v>
      </c>
      <c r="H5727">
        <f>0.04*1.56339397393269</f>
        <v>6.2535758957307605E-2</v>
      </c>
      <c r="I5727">
        <v>6.2535758957307744E-2</v>
      </c>
    </row>
    <row r="5728" spans="1:9" x14ac:dyDescent="0.25">
      <c r="A5728">
        <v>327</v>
      </c>
      <c r="B5728" t="s">
        <v>2176</v>
      </c>
      <c r="C5728" t="s">
        <v>10</v>
      </c>
      <c r="D5728" t="s">
        <v>903</v>
      </c>
      <c r="E5728">
        <f t="shared" si="256"/>
        <v>0.04</v>
      </c>
      <c r="F5728">
        <v>3</v>
      </c>
      <c r="G5728">
        <f>LOG(382/(3+1))</f>
        <v>1.9800033715837464</v>
      </c>
      <c r="H5728">
        <f>0.04*4.55912624748668</f>
        <v>0.1823650498994672</v>
      </c>
      <c r="I5728">
        <v>0.18236504989946739</v>
      </c>
    </row>
    <row r="5729" spans="1:9" x14ac:dyDescent="0.25">
      <c r="A5729">
        <v>327</v>
      </c>
      <c r="B5729" t="s">
        <v>2176</v>
      </c>
      <c r="C5729" t="s">
        <v>10</v>
      </c>
      <c r="D5729" t="s">
        <v>731</v>
      </c>
      <c r="E5729">
        <f t="shared" si="256"/>
        <v>0.04</v>
      </c>
      <c r="F5729">
        <v>7</v>
      </c>
      <c r="G5729">
        <f>LOG(382/(7+1))</f>
        <v>1.6789733759197651</v>
      </c>
      <c r="H5729">
        <f>0.04*3.86597906692673</f>
        <v>0.1546391626770692</v>
      </c>
      <c r="I5729">
        <v>0.15463916267706959</v>
      </c>
    </row>
    <row r="5730" spans="1:9" x14ac:dyDescent="0.25">
      <c r="A5730">
        <v>328</v>
      </c>
      <c r="B5730" t="s">
        <v>2179</v>
      </c>
      <c r="C5730" t="s">
        <v>10</v>
      </c>
      <c r="D5730" t="s">
        <v>2180</v>
      </c>
      <c r="E5730">
        <f>3/188</f>
        <v>1.5957446808510637E-2</v>
      </c>
      <c r="F5730">
        <v>7</v>
      </c>
      <c r="G5730">
        <f>LOG(382/(7+1))</f>
        <v>1.6789733759197651</v>
      </c>
      <c r="H5730">
        <f>0.0159574468085106*3.86597906692673</f>
        <v>6.1691155323298733E-2</v>
      </c>
      <c r="I5730">
        <v>6.1691155323299017E-2</v>
      </c>
    </row>
    <row r="5731" spans="1:9" x14ac:dyDescent="0.25">
      <c r="A5731">
        <v>328</v>
      </c>
      <c r="B5731" t="s">
        <v>2179</v>
      </c>
      <c r="C5731" t="s">
        <v>10</v>
      </c>
      <c r="D5731" t="s">
        <v>111</v>
      </c>
      <c r="E5731">
        <f>3/188</f>
        <v>1.5957446808510637E-2</v>
      </c>
      <c r="F5731">
        <v>33</v>
      </c>
      <c r="G5731">
        <f>LOG(382/(33+1))</f>
        <v>1.0505844458694535</v>
      </c>
      <c r="H5731">
        <f>0.0159574468085106*2.41906008399041</f>
        <v>3.8602022616868154E-2</v>
      </c>
      <c r="I5731">
        <v>3.8602022616868299E-2</v>
      </c>
    </row>
    <row r="5732" spans="1:9" x14ac:dyDescent="0.25">
      <c r="A5732">
        <v>328</v>
      </c>
      <c r="B5732" t="s">
        <v>2179</v>
      </c>
      <c r="C5732" t="s">
        <v>10</v>
      </c>
      <c r="D5732" t="s">
        <v>2181</v>
      </c>
      <c r="E5732">
        <f>1/188</f>
        <v>5.3191489361702126E-3</v>
      </c>
      <c r="F5732">
        <v>1</v>
      </c>
      <c r="G5732">
        <f>LOG(382/(1+1))</f>
        <v>2.2810333672477277</v>
      </c>
      <c r="H5732">
        <f>0.00531914893617021*5.25227342804663</f>
        <v>2.7937624617269292E-2</v>
      </c>
      <c r="I5732">
        <v>2.793762461726931E-2</v>
      </c>
    </row>
    <row r="5733" spans="1:9" x14ac:dyDescent="0.25">
      <c r="A5733">
        <v>328</v>
      </c>
      <c r="B5733" t="s">
        <v>2179</v>
      </c>
      <c r="C5733" t="s">
        <v>10</v>
      </c>
      <c r="D5733" t="s">
        <v>2182</v>
      </c>
      <c r="E5733">
        <f>7/188</f>
        <v>3.7234042553191488E-2</v>
      </c>
      <c r="F5733">
        <v>1</v>
      </c>
      <c r="G5733">
        <f>LOG(382/(1+1))</f>
        <v>2.2810333672477277</v>
      </c>
      <c r="H5733">
        <f>0.0372340425531914*5.25227342804663</f>
        <v>0.19556337232088467</v>
      </c>
      <c r="I5733">
        <v>0.19556337232088511</v>
      </c>
    </row>
    <row r="5734" spans="1:9" x14ac:dyDescent="0.25">
      <c r="A5734">
        <v>328</v>
      </c>
      <c r="B5734" t="s">
        <v>2179</v>
      </c>
      <c r="C5734" t="s">
        <v>10</v>
      </c>
      <c r="D5734" t="s">
        <v>105</v>
      </c>
      <c r="E5734">
        <f>1/188</f>
        <v>5.3191489361702126E-3</v>
      </c>
      <c r="F5734">
        <v>122</v>
      </c>
      <c r="G5734">
        <f>LOG(382/(122+1))</f>
        <v>0.49215825147231079</v>
      </c>
      <c r="H5734">
        <f>0.00531914893617021*1.13323625323415</f>
        <v>6.0278524108199434E-3</v>
      </c>
      <c r="I5734">
        <v>6.0278524108199867E-3</v>
      </c>
    </row>
    <row r="5735" spans="1:9" x14ac:dyDescent="0.25">
      <c r="A5735">
        <v>328</v>
      </c>
      <c r="B5735" t="s">
        <v>2179</v>
      </c>
      <c r="C5735" t="s">
        <v>10</v>
      </c>
      <c r="D5735" t="s">
        <v>36</v>
      </c>
      <c r="E5735">
        <f>5/188</f>
        <v>2.6595744680851064E-2</v>
      </c>
      <c r="F5735">
        <v>58</v>
      </c>
      <c r="G5735">
        <f>LOG(382/(58+1))</f>
        <v>0.81121135126956456</v>
      </c>
      <c r="H5735">
        <f>0.026595744680851*1.86788316470085</f>
        <v>4.967774374204377E-2</v>
      </c>
      <c r="I5735">
        <v>4.9677743742044027E-2</v>
      </c>
    </row>
    <row r="5736" spans="1:9" x14ac:dyDescent="0.25">
      <c r="A5736">
        <v>328</v>
      </c>
      <c r="B5736" t="s">
        <v>2179</v>
      </c>
      <c r="C5736" t="s">
        <v>10</v>
      </c>
      <c r="D5736" t="s">
        <v>42</v>
      </c>
      <c r="E5736">
        <f>1/188</f>
        <v>5.3191489361702126E-3</v>
      </c>
      <c r="F5736">
        <v>251</v>
      </c>
      <c r="G5736">
        <f>LOG(382/(251+1))</f>
        <v>0.18066282213016463</v>
      </c>
      <c r="H5736">
        <f>0.00531914893617021*0.415991521095151</f>
        <v>2.2127208568890997E-3</v>
      </c>
      <c r="I5736">
        <v>2.2127208568891062E-3</v>
      </c>
    </row>
    <row r="5737" spans="1:9" x14ac:dyDescent="0.25">
      <c r="A5737">
        <v>328</v>
      </c>
      <c r="B5737" t="s">
        <v>2179</v>
      </c>
      <c r="C5737" t="s">
        <v>10</v>
      </c>
      <c r="D5737" t="s">
        <v>1062</v>
      </c>
      <c r="E5737">
        <f>1/188</f>
        <v>5.3191489361702126E-3</v>
      </c>
      <c r="F5737">
        <v>5</v>
      </c>
      <c r="G5737">
        <f>LOG(382/(5+1))</f>
        <v>1.803912112528065</v>
      </c>
      <c r="H5737">
        <f>0.00531914893617021*4.15366113937852</f>
        <v>2.2093942230736796E-2</v>
      </c>
      <c r="I5737">
        <v>2.209394223073681E-2</v>
      </c>
    </row>
    <row r="5738" spans="1:9" x14ac:dyDescent="0.25">
      <c r="A5738">
        <v>328</v>
      </c>
      <c r="B5738" t="s">
        <v>2179</v>
      </c>
      <c r="C5738" t="s">
        <v>10</v>
      </c>
      <c r="D5738" t="s">
        <v>15</v>
      </c>
      <c r="E5738">
        <f>1/188</f>
        <v>5.3191489361702126E-3</v>
      </c>
      <c r="F5738">
        <v>112</v>
      </c>
      <c r="G5738">
        <f>LOG(382/(112+1))</f>
        <v>0.52898491942828896</v>
      </c>
      <c r="H5738">
        <f>0.00531914893617021*1.21803278989423</f>
        <v>6.4788978185863263E-3</v>
      </c>
      <c r="I5738">
        <v>6.4788978185863549E-3</v>
      </c>
    </row>
    <row r="5739" spans="1:9" x14ac:dyDescent="0.25">
      <c r="A5739">
        <v>328</v>
      </c>
      <c r="B5739" t="s">
        <v>2179</v>
      </c>
      <c r="C5739" t="s">
        <v>10</v>
      </c>
      <c r="D5739" t="s">
        <v>17</v>
      </c>
      <c r="E5739">
        <f>2/188</f>
        <v>1.0638297872340425E-2</v>
      </c>
      <c r="F5739">
        <v>169</v>
      </c>
      <c r="G5739">
        <f>LOG(382/(169+1))</f>
        <v>0.3516144415334348</v>
      </c>
      <c r="H5739">
        <f>0.0106382978723404*0.809622171556313</f>
        <v>8.6130018250671382E-3</v>
      </c>
      <c r="I5739">
        <v>8.6130018250671642E-3</v>
      </c>
    </row>
    <row r="5740" spans="1:9" x14ac:dyDescent="0.25">
      <c r="A5740">
        <v>328</v>
      </c>
      <c r="B5740" t="s">
        <v>2179</v>
      </c>
      <c r="C5740" t="s">
        <v>10</v>
      </c>
      <c r="D5740" t="s">
        <v>2183</v>
      </c>
      <c r="E5740">
        <f>1/188</f>
        <v>5.3191489361702126E-3</v>
      </c>
      <c r="F5740">
        <v>4</v>
      </c>
      <c r="G5740">
        <f>LOG(382/(4+1))</f>
        <v>1.8830933585756899</v>
      </c>
      <c r="H5740">
        <f>0.00531914893617021*4.33598269617247</f>
        <v>2.3063737745598233E-2</v>
      </c>
      <c r="I5740">
        <v>2.3063737745598271E-2</v>
      </c>
    </row>
    <row r="5741" spans="1:9" x14ac:dyDescent="0.25">
      <c r="A5741">
        <v>328</v>
      </c>
      <c r="B5741" t="s">
        <v>2179</v>
      </c>
      <c r="C5741" t="s">
        <v>10</v>
      </c>
      <c r="D5741" t="s">
        <v>2184</v>
      </c>
      <c r="E5741">
        <f>2/188</f>
        <v>1.0638297872340425E-2</v>
      </c>
      <c r="F5741">
        <v>1</v>
      </c>
      <c r="G5741">
        <f>LOG(382/(1+1))</f>
        <v>2.2810333672477277</v>
      </c>
      <c r="H5741">
        <f>0.0106382978723404*5.25227342804663</f>
        <v>5.5875249234538481E-2</v>
      </c>
      <c r="I5741">
        <v>5.5875249234538613E-2</v>
      </c>
    </row>
    <row r="5742" spans="1:9" x14ac:dyDescent="0.25">
      <c r="A5742">
        <v>328</v>
      </c>
      <c r="B5742" t="s">
        <v>2179</v>
      </c>
      <c r="C5742" t="s">
        <v>10</v>
      </c>
      <c r="D5742" t="s">
        <v>19</v>
      </c>
      <c r="E5742">
        <f>2/188</f>
        <v>1.0638297872340425E-2</v>
      </c>
      <c r="F5742">
        <v>220</v>
      </c>
      <c r="G5742">
        <f>LOG(382/(220+1))</f>
        <v>0.23767108922659805</v>
      </c>
      <c r="H5742">
        <f>0.0106382978723404*0.547257907088822</f>
        <v>5.8218926286044753E-3</v>
      </c>
      <c r="I5742">
        <v>5.8218926286044926E-3</v>
      </c>
    </row>
    <row r="5743" spans="1:9" x14ac:dyDescent="0.25">
      <c r="A5743">
        <v>328</v>
      </c>
      <c r="B5743" t="s">
        <v>2179</v>
      </c>
      <c r="C5743" t="s">
        <v>10</v>
      </c>
      <c r="D5743" t="s">
        <v>44</v>
      </c>
      <c r="E5743">
        <f>2/188</f>
        <v>1.0638297872340425E-2</v>
      </c>
      <c r="F5743">
        <v>151</v>
      </c>
      <c r="G5743">
        <f>LOG(382/(151+1))</f>
        <v>0.40021977496693617</v>
      </c>
      <c r="H5743">
        <f>0.0106382978723404*0.921540087760298</f>
        <v>9.8036179548967629E-3</v>
      </c>
      <c r="I5743">
        <v>9.8036179548967942E-3</v>
      </c>
    </row>
    <row r="5744" spans="1:9" x14ac:dyDescent="0.25">
      <c r="A5744">
        <v>328</v>
      </c>
      <c r="B5744" t="s">
        <v>2179</v>
      </c>
      <c r="C5744" t="s">
        <v>10</v>
      </c>
      <c r="D5744" t="s">
        <v>22</v>
      </c>
      <c r="E5744">
        <f>1/188</f>
        <v>5.3191489361702126E-3</v>
      </c>
      <c r="F5744">
        <v>259</v>
      </c>
      <c r="G5744">
        <f>LOG(382/(259+1))</f>
        <v>0.16709001494089079</v>
      </c>
      <c r="H5744">
        <f>0.00531914893617021*0.384738977591047</f>
        <v>2.046483923356632E-3</v>
      </c>
      <c r="I5744">
        <v>2.0464839233566359E-3</v>
      </c>
    </row>
    <row r="5745" spans="1:9" x14ac:dyDescent="0.25">
      <c r="A5745">
        <v>328</v>
      </c>
      <c r="B5745" t="s">
        <v>2179</v>
      </c>
      <c r="C5745" t="s">
        <v>10</v>
      </c>
      <c r="D5745" t="s">
        <v>23</v>
      </c>
      <c r="E5745">
        <f>1/188</f>
        <v>5.3191489361702126E-3</v>
      </c>
      <c r="F5745">
        <v>275</v>
      </c>
      <c r="G5745">
        <f>LOG(382/(275+1))</f>
        <v>0.14115428084649101</v>
      </c>
      <c r="H5745">
        <f>0.00531914893617021*0.325019742889425</f>
        <v>1.7288284196246E-3</v>
      </c>
      <c r="I5745">
        <v>1.728828419624602E-3</v>
      </c>
    </row>
    <row r="5746" spans="1:9" x14ac:dyDescent="0.25">
      <c r="A5746">
        <v>328</v>
      </c>
      <c r="B5746" t="s">
        <v>2179</v>
      </c>
      <c r="C5746" t="s">
        <v>10</v>
      </c>
      <c r="D5746" t="s">
        <v>247</v>
      </c>
      <c r="E5746">
        <f>2/188</f>
        <v>1.0638297872340425E-2</v>
      </c>
      <c r="F5746">
        <v>121</v>
      </c>
      <c r="G5746">
        <f>LOG(382/(121+1))</f>
        <v>0.49570353223696051</v>
      </c>
      <c r="H5746">
        <f>0.0106382978723404*1.14139956387331</f>
        <v>1.2142548551843695E-2</v>
      </c>
      <c r="I5746">
        <v>1.214254855184382E-2</v>
      </c>
    </row>
    <row r="5747" spans="1:9" x14ac:dyDescent="0.25">
      <c r="A5747">
        <v>328</v>
      </c>
      <c r="B5747" t="s">
        <v>2179</v>
      </c>
      <c r="C5747" t="s">
        <v>10</v>
      </c>
      <c r="D5747" t="s">
        <v>39</v>
      </c>
      <c r="E5747">
        <f>1/188</f>
        <v>5.3191489361702126E-3</v>
      </c>
      <c r="F5747">
        <v>145</v>
      </c>
      <c r="G5747">
        <f>LOG(382/(145+1))</f>
        <v>0.41771050712727159</v>
      </c>
      <c r="H5747">
        <f>0.00531914893617021*0.961813986898238</f>
        <v>5.1160318452033908E-3</v>
      </c>
      <c r="I5747">
        <v>5.1160318452033969E-3</v>
      </c>
    </row>
    <row r="5748" spans="1:9" x14ac:dyDescent="0.25">
      <c r="A5748">
        <v>328</v>
      </c>
      <c r="B5748" t="s">
        <v>2179</v>
      </c>
      <c r="C5748" t="s">
        <v>10</v>
      </c>
      <c r="D5748" t="s">
        <v>204</v>
      </c>
      <c r="E5748">
        <f>1/188</f>
        <v>5.3191489361702126E-3</v>
      </c>
      <c r="F5748">
        <v>166</v>
      </c>
      <c r="G5748">
        <f>LOG(382/(166+1))</f>
        <v>0.35934689176412549</v>
      </c>
      <c r="H5748">
        <f>0.00531914893617021*0.82742679618982</f>
        <v>4.4012063627118063E-3</v>
      </c>
      <c r="I5748">
        <v>4.4012063627118089E-3</v>
      </c>
    </row>
    <row r="5749" spans="1:9" x14ac:dyDescent="0.25">
      <c r="A5749">
        <v>328</v>
      </c>
      <c r="B5749" t="s">
        <v>2179</v>
      </c>
      <c r="C5749" t="s">
        <v>10</v>
      </c>
      <c r="D5749" t="s">
        <v>76</v>
      </c>
      <c r="E5749">
        <f>2/188</f>
        <v>1.0638297872340425E-2</v>
      </c>
      <c r="F5749">
        <v>140</v>
      </c>
      <c r="G5749">
        <f>LOG(382/(140+1))</f>
        <v>0.43284425025632883</v>
      </c>
      <c r="H5749">
        <f>0.0106382978723404*0.996660718228407</f>
        <v>1.0602773598174516E-2</v>
      </c>
      <c r="I5749">
        <v>1.0602773598174541E-2</v>
      </c>
    </row>
    <row r="5750" spans="1:9" x14ac:dyDescent="0.25">
      <c r="A5750">
        <v>328</v>
      </c>
      <c r="B5750" t="s">
        <v>2179</v>
      </c>
      <c r="C5750" t="s">
        <v>10</v>
      </c>
      <c r="D5750" t="s">
        <v>2185</v>
      </c>
      <c r="E5750">
        <f>1/188</f>
        <v>5.3191489361702126E-3</v>
      </c>
      <c r="F5750">
        <v>1</v>
      </c>
      <c r="G5750">
        <f>LOG(382/(1+1))</f>
        <v>2.2810333672477277</v>
      </c>
      <c r="H5750">
        <f>0.00531914893617021*5.25227342804663</f>
        <v>2.7937624617269292E-2</v>
      </c>
      <c r="I5750">
        <v>2.793762461726931E-2</v>
      </c>
    </row>
    <row r="5751" spans="1:9" x14ac:dyDescent="0.25">
      <c r="A5751">
        <v>328</v>
      </c>
      <c r="B5751" t="s">
        <v>2179</v>
      </c>
      <c r="C5751" t="s">
        <v>10</v>
      </c>
      <c r="D5751" t="s">
        <v>40</v>
      </c>
      <c r="E5751">
        <f>3/188</f>
        <v>1.5957446808510637E-2</v>
      </c>
      <c r="F5751">
        <v>159</v>
      </c>
      <c r="G5751">
        <f>LOG(382/(159+1))</f>
        <v>0.377943380255784</v>
      </c>
      <c r="H5751">
        <f>0.0159574468085106*0.870246793372748</f>
        <v>1.3886916915522541E-2</v>
      </c>
      <c r="I5751">
        <v>1.3886916915522581E-2</v>
      </c>
    </row>
    <row r="5752" spans="1:9" x14ac:dyDescent="0.25">
      <c r="A5752">
        <v>328</v>
      </c>
      <c r="B5752" t="s">
        <v>2179</v>
      </c>
      <c r="C5752" t="s">
        <v>10</v>
      </c>
      <c r="D5752" t="s">
        <v>41</v>
      </c>
      <c r="E5752">
        <f>2/188</f>
        <v>1.0638297872340425E-2</v>
      </c>
      <c r="F5752">
        <v>195</v>
      </c>
      <c r="G5752">
        <f>LOG(382/(195+1))</f>
        <v>0.28980729155523272</v>
      </c>
      <c r="H5752">
        <f>0.0106382978723404*0.667305949376058</f>
        <v>7.098999461447408E-3</v>
      </c>
      <c r="I5752">
        <v>7.0989994614474253E-3</v>
      </c>
    </row>
    <row r="5753" spans="1:9" x14ac:dyDescent="0.25">
      <c r="A5753">
        <v>328</v>
      </c>
      <c r="B5753" t="s">
        <v>2179</v>
      </c>
      <c r="C5753" t="s">
        <v>10</v>
      </c>
      <c r="D5753" t="s">
        <v>26</v>
      </c>
      <c r="E5753">
        <f>1/188</f>
        <v>5.3191489361702126E-3</v>
      </c>
      <c r="F5753">
        <v>40</v>
      </c>
      <c r="G5753">
        <f>LOG(382/(40+1))</f>
        <v>0.96927950619197323</v>
      </c>
      <c r="H5753">
        <f>0.00531914893617021*2.23184854190226</f>
        <v>1.1871534797352439E-2</v>
      </c>
      <c r="I5753">
        <v>1.1871534797352489E-2</v>
      </c>
    </row>
    <row r="5754" spans="1:9" x14ac:dyDescent="0.25">
      <c r="A5754">
        <v>328</v>
      </c>
      <c r="B5754" t="s">
        <v>2179</v>
      </c>
      <c r="C5754" t="s">
        <v>10</v>
      </c>
      <c r="D5754" t="s">
        <v>994</v>
      </c>
      <c r="E5754">
        <f>2/188</f>
        <v>1.0638297872340425E-2</v>
      </c>
      <c r="F5754">
        <v>37</v>
      </c>
      <c r="G5754">
        <f>LOG(382/(37+1))</f>
        <v>1.0022797662948986</v>
      </c>
      <c r="H5754">
        <f>0.0106382978723404*2.30783444888018</f>
        <v>2.4551430307235896E-2</v>
      </c>
      <c r="I5754">
        <v>2.4551430307236059E-2</v>
      </c>
    </row>
    <row r="5755" spans="1:9" x14ac:dyDescent="0.25">
      <c r="A5755">
        <v>328</v>
      </c>
      <c r="B5755" t="s">
        <v>2179</v>
      </c>
      <c r="C5755" t="s">
        <v>10</v>
      </c>
      <c r="D5755" t="s">
        <v>2186</v>
      </c>
      <c r="E5755">
        <f>1/188</f>
        <v>5.3191489361702126E-3</v>
      </c>
      <c r="F5755">
        <v>2</v>
      </c>
      <c r="G5755">
        <f>LOG(382/(2+1))</f>
        <v>2.1049421081920463</v>
      </c>
      <c r="H5755">
        <f>0.00531914893617021*4.84680831993846</f>
        <v>2.5780895318821582E-2</v>
      </c>
      <c r="I5755">
        <v>2.578089531882162E-2</v>
      </c>
    </row>
    <row r="5756" spans="1:9" x14ac:dyDescent="0.25">
      <c r="A5756">
        <v>328</v>
      </c>
      <c r="B5756" t="s">
        <v>2179</v>
      </c>
      <c r="C5756" t="s">
        <v>10</v>
      </c>
      <c r="D5756" t="s">
        <v>1079</v>
      </c>
      <c r="E5756">
        <f>1/188</f>
        <v>5.3191489361702126E-3</v>
      </c>
      <c r="F5756">
        <v>34</v>
      </c>
      <c r="G5756">
        <f>LOG(382/(34+1))</f>
        <v>1.037995318561433</v>
      </c>
      <c r="H5756">
        <f>0.00531914893617021*2.39007254711716</f>
        <v>1.2713151846367865E-2</v>
      </c>
      <c r="I5756">
        <v>1.2713151846367879E-2</v>
      </c>
    </row>
    <row r="5757" spans="1:9" x14ac:dyDescent="0.25">
      <c r="A5757">
        <v>328</v>
      </c>
      <c r="B5757" t="s">
        <v>2179</v>
      </c>
      <c r="C5757" t="s">
        <v>10</v>
      </c>
      <c r="D5757" t="s">
        <v>119</v>
      </c>
      <c r="E5757">
        <f>1/188</f>
        <v>5.3191489361702126E-3</v>
      </c>
      <c r="F5757">
        <v>79</v>
      </c>
      <c r="G5757">
        <f>LOG(382/(79+1))</f>
        <v>0.67897337591976514</v>
      </c>
      <c r="H5757">
        <f>0.00531914893617021*1.56339397393269</f>
        <v>8.3159253932589862E-3</v>
      </c>
      <c r="I5757">
        <v>8.3159253932590087E-3</v>
      </c>
    </row>
    <row r="5758" spans="1:9" x14ac:dyDescent="0.25">
      <c r="A5758">
        <v>328</v>
      </c>
      <c r="B5758" t="s">
        <v>2179</v>
      </c>
      <c r="C5758" t="s">
        <v>10</v>
      </c>
      <c r="D5758" t="s">
        <v>133</v>
      </c>
      <c r="E5758">
        <f>3/188</f>
        <v>1.5957446808510637E-2</v>
      </c>
      <c r="F5758">
        <v>142</v>
      </c>
      <c r="G5758">
        <f>LOG(382/(142+1))</f>
        <v>0.42672732544664693</v>
      </c>
      <c r="H5758">
        <f>0.0159574468085106*0.982575978346667</f>
        <v>1.5679403909787202E-2</v>
      </c>
      <c r="I5758">
        <v>1.567940390978725E-2</v>
      </c>
    </row>
    <row r="5759" spans="1:9" x14ac:dyDescent="0.25">
      <c r="A5759">
        <v>328</v>
      </c>
      <c r="B5759" t="s">
        <v>2179</v>
      </c>
      <c r="C5759" t="s">
        <v>10</v>
      </c>
      <c r="D5759" t="s">
        <v>77</v>
      </c>
      <c r="E5759">
        <f>2/188</f>
        <v>1.0638297872340425E-2</v>
      </c>
      <c r="F5759">
        <v>148</v>
      </c>
      <c r="G5759">
        <f>LOG(382/(148+1))</f>
        <v>0.40887709449943471</v>
      </c>
      <c r="H5759">
        <f>0.0106382978723404*0.941474302661116</f>
        <v>1.0015684070862911E-2</v>
      </c>
      <c r="I5759">
        <v>1.0015684070862939E-2</v>
      </c>
    </row>
    <row r="5760" spans="1:9" x14ac:dyDescent="0.25">
      <c r="A5760">
        <v>328</v>
      </c>
      <c r="B5760" t="s">
        <v>2179</v>
      </c>
      <c r="C5760" t="s">
        <v>10</v>
      </c>
      <c r="D5760" t="s">
        <v>331</v>
      </c>
      <c r="E5760">
        <f>3/188</f>
        <v>1.5957446808510637E-2</v>
      </c>
      <c r="F5760">
        <v>130</v>
      </c>
      <c r="G5760">
        <f>LOG(382/(130+1))</f>
        <v>0.46479206725594452</v>
      </c>
      <c r="H5760">
        <f>0.0159574468085106*1.07022328540542</f>
        <v>1.7078031150086451E-2</v>
      </c>
      <c r="I5760">
        <v>1.7078031150086551E-2</v>
      </c>
    </row>
    <row r="5761" spans="1:9" x14ac:dyDescent="0.25">
      <c r="A5761">
        <v>328</v>
      </c>
      <c r="B5761" t="s">
        <v>2179</v>
      </c>
      <c r="C5761" t="s">
        <v>10</v>
      </c>
      <c r="D5761" t="s">
        <v>1185</v>
      </c>
      <c r="E5761">
        <f>1/188</f>
        <v>5.3191489361702126E-3</v>
      </c>
      <c r="F5761">
        <v>9</v>
      </c>
      <c r="G5761">
        <f>LOG(382/(9+1))</f>
        <v>1.5820633629117087</v>
      </c>
      <c r="H5761">
        <f>0.00531914893617021*3.64283551561252</f>
        <v>1.9376784657513395E-2</v>
      </c>
      <c r="I5761">
        <v>1.9376784657513451E-2</v>
      </c>
    </row>
    <row r="5762" spans="1:9" x14ac:dyDescent="0.25">
      <c r="A5762">
        <v>328</v>
      </c>
      <c r="B5762" t="s">
        <v>2179</v>
      </c>
      <c r="C5762" t="s">
        <v>10</v>
      </c>
      <c r="D5762" t="s">
        <v>24</v>
      </c>
      <c r="E5762">
        <f>1/188</f>
        <v>5.3191489361702126E-3</v>
      </c>
      <c r="F5762">
        <v>59</v>
      </c>
      <c r="G5762">
        <f>LOG(382/(59+1))</f>
        <v>0.80391211252806505</v>
      </c>
      <c r="H5762">
        <f>0.00531914893617021*1.85107604638447</f>
        <v>9.8461491828961117E-3</v>
      </c>
      <c r="I5762">
        <v>9.8461491828961412E-3</v>
      </c>
    </row>
    <row r="5763" spans="1:9" x14ac:dyDescent="0.25">
      <c r="A5763">
        <v>328</v>
      </c>
      <c r="B5763" t="s">
        <v>2179</v>
      </c>
      <c r="C5763" t="s">
        <v>10</v>
      </c>
      <c r="D5763" t="s">
        <v>2187</v>
      </c>
      <c r="E5763">
        <f>1/188</f>
        <v>5.3191489361702126E-3</v>
      </c>
      <c r="F5763">
        <v>1</v>
      </c>
      <c r="G5763">
        <f>LOG(382/(1+1))</f>
        <v>2.2810333672477277</v>
      </c>
      <c r="H5763">
        <f>0.00531914893617021*5.25227342804663</f>
        <v>2.7937624617269292E-2</v>
      </c>
      <c r="I5763">
        <v>2.793762461726931E-2</v>
      </c>
    </row>
    <row r="5764" spans="1:9" x14ac:dyDescent="0.25">
      <c r="A5764">
        <v>328</v>
      </c>
      <c r="B5764" t="s">
        <v>2179</v>
      </c>
      <c r="C5764" t="s">
        <v>10</v>
      </c>
      <c r="D5764" t="s">
        <v>123</v>
      </c>
      <c r="E5764">
        <f>3/188</f>
        <v>1.5957446808510637E-2</v>
      </c>
      <c r="F5764">
        <v>74</v>
      </c>
      <c r="G5764">
        <f>LOG(382/(74+1))</f>
        <v>0.7070020995200087</v>
      </c>
      <c r="H5764">
        <f>0.0159574468085106*1.62793249507026</f>
        <v>2.5977646197929617E-2</v>
      </c>
      <c r="I5764">
        <v>2.5977646197929749E-2</v>
      </c>
    </row>
    <row r="5765" spans="1:9" x14ac:dyDescent="0.25">
      <c r="A5765">
        <v>328</v>
      </c>
      <c r="B5765" t="s">
        <v>2179</v>
      </c>
      <c r="C5765" t="s">
        <v>10</v>
      </c>
      <c r="D5765" t="s">
        <v>1855</v>
      </c>
      <c r="E5765">
        <f>2/188</f>
        <v>1.0638297872340425E-2</v>
      </c>
      <c r="F5765">
        <v>17</v>
      </c>
      <c r="G5765">
        <f>LOG(382/(17+1))</f>
        <v>1.3267908578084027</v>
      </c>
      <c r="H5765">
        <f>0.0106382978723404*3.05504885071041</f>
        <v>3.2500519688408537E-2</v>
      </c>
      <c r="I5765">
        <v>3.250051968840862E-2</v>
      </c>
    </row>
    <row r="5766" spans="1:9" x14ac:dyDescent="0.25">
      <c r="A5766">
        <v>328</v>
      </c>
      <c r="B5766" t="s">
        <v>2179</v>
      </c>
      <c r="C5766" t="s">
        <v>10</v>
      </c>
      <c r="D5766" t="s">
        <v>144</v>
      </c>
      <c r="E5766">
        <f>2/188</f>
        <v>1.0638297872340425E-2</v>
      </c>
      <c r="F5766">
        <v>105</v>
      </c>
      <c r="G5766">
        <f>LOG(382/(105+1))</f>
        <v>0.55675749764693849</v>
      </c>
      <c r="H5766">
        <f>0.0106382978723404*1.2819815144945</f>
        <v>1.3638101218026562E-2</v>
      </c>
      <c r="I5766">
        <v>1.363810121802668E-2</v>
      </c>
    </row>
    <row r="5767" spans="1:9" x14ac:dyDescent="0.25">
      <c r="A5767">
        <v>328</v>
      </c>
      <c r="B5767" t="s">
        <v>2179</v>
      </c>
      <c r="C5767" t="s">
        <v>10</v>
      </c>
      <c r="D5767" t="s">
        <v>474</v>
      </c>
      <c r="E5767">
        <f>1/188</f>
        <v>5.3191489361702126E-3</v>
      </c>
      <c r="F5767">
        <v>25</v>
      </c>
      <c r="G5767">
        <f>LOG(382/(25+1))</f>
        <v>1.1670900149408907</v>
      </c>
      <c r="H5767">
        <f>0.00531914893617021*2.68732407058509</f>
        <v>1.429427697119728E-2</v>
      </c>
      <c r="I5767">
        <v>1.42942769711973E-2</v>
      </c>
    </row>
    <row r="5768" spans="1:9" x14ac:dyDescent="0.25">
      <c r="A5768">
        <v>328</v>
      </c>
      <c r="B5768" t="s">
        <v>2179</v>
      </c>
      <c r="C5768" t="s">
        <v>10</v>
      </c>
      <c r="D5768" t="s">
        <v>1857</v>
      </c>
      <c r="E5768">
        <f>2/188</f>
        <v>1.0638297872340425E-2</v>
      </c>
      <c r="F5768">
        <v>17</v>
      </c>
      <c r="G5768">
        <f>LOG(382/(17+1))</f>
        <v>1.3267908578084027</v>
      </c>
      <c r="H5768">
        <f>0.0106382978723404*3.05504885071041</f>
        <v>3.2500519688408537E-2</v>
      </c>
      <c r="I5768">
        <v>3.250051968840862E-2</v>
      </c>
    </row>
    <row r="5769" spans="1:9" x14ac:dyDescent="0.25">
      <c r="A5769">
        <v>328</v>
      </c>
      <c r="B5769" t="s">
        <v>2179</v>
      </c>
      <c r="C5769" t="s">
        <v>10</v>
      </c>
      <c r="D5769" t="s">
        <v>2188</v>
      </c>
      <c r="E5769">
        <f>1/188</f>
        <v>5.3191489361702126E-3</v>
      </c>
      <c r="F5769">
        <v>1</v>
      </c>
      <c r="G5769">
        <f>LOG(382/(1+1))</f>
        <v>2.2810333672477277</v>
      </c>
      <c r="H5769">
        <f>0.00531914893617021*5.25227342804663</f>
        <v>2.7937624617269292E-2</v>
      </c>
      <c r="I5769">
        <v>2.793762461726931E-2</v>
      </c>
    </row>
    <row r="5770" spans="1:9" x14ac:dyDescent="0.25">
      <c r="A5770">
        <v>328</v>
      </c>
      <c r="B5770" t="s">
        <v>2179</v>
      </c>
      <c r="C5770" t="s">
        <v>10</v>
      </c>
      <c r="D5770" t="s">
        <v>1866</v>
      </c>
      <c r="E5770">
        <f>1/188</f>
        <v>5.3191489361702126E-3</v>
      </c>
      <c r="F5770">
        <v>18</v>
      </c>
      <c r="G5770">
        <f>LOG(382/(18+1))</f>
        <v>1.3033097619588798</v>
      </c>
      <c r="H5770">
        <f>0.00531914893617021*3.00098162944013</f>
        <v>1.5962668241702813E-2</v>
      </c>
      <c r="I5770">
        <v>1.5962668241702841E-2</v>
      </c>
    </row>
    <row r="5771" spans="1:9" x14ac:dyDescent="0.25">
      <c r="A5771">
        <v>328</v>
      </c>
      <c r="B5771" t="s">
        <v>2179</v>
      </c>
      <c r="C5771" t="s">
        <v>10</v>
      </c>
      <c r="D5771" t="s">
        <v>1931</v>
      </c>
      <c r="E5771">
        <f>1/188</f>
        <v>5.3191489361702126E-3</v>
      </c>
      <c r="F5771">
        <v>5</v>
      </c>
      <c r="G5771">
        <f>LOG(382/(5+1))</f>
        <v>1.803912112528065</v>
      </c>
      <c r="H5771">
        <f>0.00531914893617021*4.15366113937852</f>
        <v>2.2093942230736796E-2</v>
      </c>
      <c r="I5771">
        <v>2.209394223073681E-2</v>
      </c>
    </row>
    <row r="5772" spans="1:9" x14ac:dyDescent="0.25">
      <c r="A5772">
        <v>328</v>
      </c>
      <c r="B5772" t="s">
        <v>2179</v>
      </c>
      <c r="C5772" t="s">
        <v>10</v>
      </c>
      <c r="D5772" t="s">
        <v>1853</v>
      </c>
      <c r="E5772">
        <f>3/188</f>
        <v>1.5957446808510637E-2</v>
      </c>
      <c r="F5772">
        <v>15</v>
      </c>
      <c r="G5772">
        <f>LOG(382/(15+1))</f>
        <v>1.3779433802557839</v>
      </c>
      <c r="H5772">
        <f>0.0159574468085106*3.17283188636679</f>
        <v>5.06302960590444E-2</v>
      </c>
      <c r="I5772">
        <v>5.063029605904458E-2</v>
      </c>
    </row>
    <row r="5773" spans="1:9" x14ac:dyDescent="0.25">
      <c r="A5773">
        <v>328</v>
      </c>
      <c r="B5773" t="s">
        <v>2179</v>
      </c>
      <c r="C5773" t="s">
        <v>10</v>
      </c>
      <c r="D5773" t="s">
        <v>237</v>
      </c>
      <c r="E5773">
        <f>1/188</f>
        <v>5.3191489361702126E-3</v>
      </c>
      <c r="F5773">
        <v>138</v>
      </c>
      <c r="G5773">
        <f>LOG(382/(138+1))</f>
        <v>0.43904856265761361</v>
      </c>
      <c r="H5773">
        <f>0.00531914893617021*1.01094667547588</f>
        <v>5.3773759333823378E-3</v>
      </c>
      <c r="I5773">
        <v>5.3773759333823577E-3</v>
      </c>
    </row>
    <row r="5774" spans="1:9" x14ac:dyDescent="0.25">
      <c r="A5774">
        <v>328</v>
      </c>
      <c r="B5774" t="s">
        <v>2179</v>
      </c>
      <c r="C5774" t="s">
        <v>10</v>
      </c>
      <c r="D5774" t="s">
        <v>78</v>
      </c>
      <c r="E5774">
        <f>2/188</f>
        <v>1.0638297872340425E-2</v>
      </c>
      <c r="F5774">
        <v>122</v>
      </c>
      <c r="G5774">
        <f>LOG(382/(122+1))</f>
        <v>0.49215825147231079</v>
      </c>
      <c r="H5774">
        <f>0.0106382978723404*1.13323625323415</f>
        <v>1.2055704821639864E-2</v>
      </c>
      <c r="I5774">
        <v>1.205570482163997E-2</v>
      </c>
    </row>
    <row r="5775" spans="1:9" x14ac:dyDescent="0.25">
      <c r="A5775">
        <v>328</v>
      </c>
      <c r="B5775" t="s">
        <v>2179</v>
      </c>
      <c r="C5775" t="s">
        <v>10</v>
      </c>
      <c r="D5775" t="s">
        <v>1727</v>
      </c>
      <c r="E5775">
        <f t="shared" ref="E5775:E5787" si="257">1/188</f>
        <v>5.3191489361702126E-3</v>
      </c>
      <c r="F5775">
        <v>27</v>
      </c>
      <c r="G5775">
        <f>LOG(382/(27+1))</f>
        <v>1.1349053315694895</v>
      </c>
      <c r="H5775">
        <f>0.00531914893617021*2.61321609843137</f>
        <v>1.390008562995409E-2</v>
      </c>
      <c r="I5775">
        <v>1.3900085629954101E-2</v>
      </c>
    </row>
    <row r="5776" spans="1:9" x14ac:dyDescent="0.25">
      <c r="A5776">
        <v>328</v>
      </c>
      <c r="B5776" t="s">
        <v>2179</v>
      </c>
      <c r="C5776" t="s">
        <v>10</v>
      </c>
      <c r="D5776" t="s">
        <v>310</v>
      </c>
      <c r="E5776">
        <f t="shared" si="257"/>
        <v>5.3191489361702126E-3</v>
      </c>
      <c r="F5776">
        <v>50</v>
      </c>
      <c r="G5776">
        <f>LOG(382/(50+1))</f>
        <v>0.87449318681377242</v>
      </c>
      <c r="H5776">
        <f>0.00531914893617021*2.01359497588224</f>
        <v>1.0710611573841695E-2</v>
      </c>
      <c r="I5776">
        <v>1.071061157384175E-2</v>
      </c>
    </row>
    <row r="5777" spans="1:9" x14ac:dyDescent="0.25">
      <c r="A5777">
        <v>328</v>
      </c>
      <c r="B5777" t="s">
        <v>2179</v>
      </c>
      <c r="C5777" t="s">
        <v>10</v>
      </c>
      <c r="D5777" t="s">
        <v>2189</v>
      </c>
      <c r="E5777">
        <f t="shared" si="257"/>
        <v>5.3191489361702126E-3</v>
      </c>
      <c r="F5777">
        <v>12</v>
      </c>
      <c r="G5777">
        <f>LOG(382/(12+1))</f>
        <v>1.468120010604872</v>
      </c>
      <c r="H5777">
        <f>0.00531914893617021*3.38047125114503</f>
        <v>1.7981230059282066E-2</v>
      </c>
      <c r="I5777">
        <v>1.7981230059282122E-2</v>
      </c>
    </row>
    <row r="5778" spans="1:9" x14ac:dyDescent="0.25">
      <c r="A5778">
        <v>328</v>
      </c>
      <c r="B5778" t="s">
        <v>2179</v>
      </c>
      <c r="C5778" t="s">
        <v>10</v>
      </c>
      <c r="D5778" t="s">
        <v>752</v>
      </c>
      <c r="E5778">
        <f t="shared" si="257"/>
        <v>5.3191489361702126E-3</v>
      </c>
      <c r="F5778">
        <v>34</v>
      </c>
      <c r="G5778">
        <f>LOG(382/(34+1))</f>
        <v>1.037995318561433</v>
      </c>
      <c r="H5778">
        <f>0.00531914893617021*2.39007254711716</f>
        <v>1.2713151846367865E-2</v>
      </c>
      <c r="I5778">
        <v>1.2713151846367879E-2</v>
      </c>
    </row>
    <row r="5779" spans="1:9" x14ac:dyDescent="0.25">
      <c r="A5779">
        <v>328</v>
      </c>
      <c r="B5779" t="s">
        <v>2179</v>
      </c>
      <c r="C5779" t="s">
        <v>10</v>
      </c>
      <c r="D5779" t="s">
        <v>2190</v>
      </c>
      <c r="E5779">
        <f t="shared" si="257"/>
        <v>5.3191489361702126E-3</v>
      </c>
      <c r="F5779">
        <v>1</v>
      </c>
      <c r="G5779">
        <f>LOG(382/(1+1))</f>
        <v>2.2810333672477277</v>
      </c>
      <c r="H5779">
        <f>0.00531914893617021*5.25227342804663</f>
        <v>2.7937624617269292E-2</v>
      </c>
      <c r="I5779">
        <v>2.793762461726931E-2</v>
      </c>
    </row>
    <row r="5780" spans="1:9" x14ac:dyDescent="0.25">
      <c r="A5780">
        <v>328</v>
      </c>
      <c r="B5780" t="s">
        <v>2179</v>
      </c>
      <c r="C5780" t="s">
        <v>10</v>
      </c>
      <c r="D5780" t="s">
        <v>134</v>
      </c>
      <c r="E5780">
        <f t="shared" si="257"/>
        <v>5.3191489361702126E-3</v>
      </c>
      <c r="F5780">
        <v>21</v>
      </c>
      <c r="G5780">
        <f>LOG(382/(21+1))</f>
        <v>1.2396406820895025</v>
      </c>
      <c r="H5780">
        <f>0.00531914893617021*2.85437815524825</f>
        <v>1.5182862527916214E-2</v>
      </c>
      <c r="I5780">
        <v>1.518286252791627E-2</v>
      </c>
    </row>
    <row r="5781" spans="1:9" x14ac:dyDescent="0.25">
      <c r="A5781">
        <v>328</v>
      </c>
      <c r="B5781" t="s">
        <v>2179</v>
      </c>
      <c r="C5781" t="s">
        <v>10</v>
      </c>
      <c r="D5781" t="s">
        <v>2191</v>
      </c>
      <c r="E5781">
        <f t="shared" si="257"/>
        <v>5.3191489361702126E-3</v>
      </c>
      <c r="F5781">
        <v>1</v>
      </c>
      <c r="G5781">
        <f>LOG(382/(1+1))</f>
        <v>2.2810333672477277</v>
      </c>
      <c r="H5781">
        <f>0.00531914893617021*5.25227342804663</f>
        <v>2.7937624617269292E-2</v>
      </c>
      <c r="I5781">
        <v>2.793762461726931E-2</v>
      </c>
    </row>
    <row r="5782" spans="1:9" x14ac:dyDescent="0.25">
      <c r="A5782">
        <v>328</v>
      </c>
      <c r="B5782" t="s">
        <v>2179</v>
      </c>
      <c r="C5782" t="s">
        <v>10</v>
      </c>
      <c r="D5782" t="s">
        <v>136</v>
      </c>
      <c r="E5782">
        <f t="shared" si="257"/>
        <v>5.3191489361702126E-3</v>
      </c>
      <c r="F5782">
        <v>17</v>
      </c>
      <c r="G5782">
        <f>LOG(382/(17+1))</f>
        <v>1.3267908578084027</v>
      </c>
      <c r="H5782">
        <f>0.00531914893617021*3.05504885071041</f>
        <v>1.62502598442043E-2</v>
      </c>
      <c r="I5782">
        <v>1.625025984420431E-2</v>
      </c>
    </row>
    <row r="5783" spans="1:9" x14ac:dyDescent="0.25">
      <c r="A5783">
        <v>328</v>
      </c>
      <c r="B5783" t="s">
        <v>2179</v>
      </c>
      <c r="C5783" t="s">
        <v>10</v>
      </c>
      <c r="D5783" t="s">
        <v>939</v>
      </c>
      <c r="E5783">
        <f t="shared" si="257"/>
        <v>5.3191489361702126E-3</v>
      </c>
      <c r="F5783">
        <v>35</v>
      </c>
      <c r="G5783">
        <f>LOG(382/(35+1))</f>
        <v>1.0257608621444214</v>
      </c>
      <c r="H5783">
        <f>0.00531914893617021*2.36190167015046</f>
        <v>1.2563306756119462E-2</v>
      </c>
      <c r="I5783">
        <v>1.256330675611949E-2</v>
      </c>
    </row>
    <row r="5784" spans="1:9" x14ac:dyDescent="0.25">
      <c r="A5784">
        <v>328</v>
      </c>
      <c r="B5784" t="s">
        <v>2179</v>
      </c>
      <c r="C5784" t="s">
        <v>10</v>
      </c>
      <c r="D5784" t="s">
        <v>327</v>
      </c>
      <c r="E5784">
        <f t="shared" si="257"/>
        <v>5.3191489361702126E-3</v>
      </c>
      <c r="F5784">
        <v>46</v>
      </c>
      <c r="G5784">
        <f>LOG(382/(46+1))</f>
        <v>0.90996550497599127</v>
      </c>
      <c r="H5784">
        <f>0.00531914893617021*2.09527300689651</f>
        <v>1.114506918561973E-2</v>
      </c>
      <c r="I5784">
        <v>1.114506918561977E-2</v>
      </c>
    </row>
    <row r="5785" spans="1:9" x14ac:dyDescent="0.25">
      <c r="A5785">
        <v>328</v>
      </c>
      <c r="B5785" t="s">
        <v>2179</v>
      </c>
      <c r="C5785" t="s">
        <v>10</v>
      </c>
      <c r="D5785" t="s">
        <v>2192</v>
      </c>
      <c r="E5785">
        <f t="shared" si="257"/>
        <v>5.3191489361702126E-3</v>
      </c>
      <c r="F5785">
        <v>2</v>
      </c>
      <c r="G5785">
        <f>LOG(382/(2+1))</f>
        <v>2.1049421081920463</v>
      </c>
      <c r="H5785">
        <f>0.00531914893617021*4.84680831993846</f>
        <v>2.5780895318821582E-2</v>
      </c>
      <c r="I5785">
        <v>2.578089531882162E-2</v>
      </c>
    </row>
    <row r="5786" spans="1:9" x14ac:dyDescent="0.25">
      <c r="A5786">
        <v>328</v>
      </c>
      <c r="B5786" t="s">
        <v>2179</v>
      </c>
      <c r="C5786" t="s">
        <v>10</v>
      </c>
      <c r="D5786" t="s">
        <v>2193</v>
      </c>
      <c r="E5786">
        <f t="shared" si="257"/>
        <v>5.3191489361702126E-3</v>
      </c>
      <c r="F5786">
        <v>4</v>
      </c>
      <c r="G5786">
        <f>LOG(382/(4+1))</f>
        <v>1.8830933585756899</v>
      </c>
      <c r="H5786">
        <f>0.00531914893617021*4.33598269617247</f>
        <v>2.3063737745598233E-2</v>
      </c>
      <c r="I5786">
        <v>2.3063737745598271E-2</v>
      </c>
    </row>
    <row r="5787" spans="1:9" x14ac:dyDescent="0.25">
      <c r="A5787">
        <v>328</v>
      </c>
      <c r="B5787" t="s">
        <v>2179</v>
      </c>
      <c r="C5787" t="s">
        <v>10</v>
      </c>
      <c r="D5787" t="s">
        <v>2194</v>
      </c>
      <c r="E5787">
        <f t="shared" si="257"/>
        <v>5.3191489361702126E-3</v>
      </c>
      <c r="F5787">
        <v>1</v>
      </c>
      <c r="G5787">
        <f>LOG(382/(1+1))</f>
        <v>2.2810333672477277</v>
      </c>
      <c r="H5787">
        <f>0.00531914893617021*5.25227342804663</f>
        <v>2.7937624617269292E-2</v>
      </c>
      <c r="I5787">
        <v>2.793762461726931E-2</v>
      </c>
    </row>
    <row r="5788" spans="1:9" x14ac:dyDescent="0.25">
      <c r="A5788">
        <v>328</v>
      </c>
      <c r="B5788" t="s">
        <v>2179</v>
      </c>
      <c r="C5788" t="s">
        <v>10</v>
      </c>
      <c r="D5788" t="s">
        <v>132</v>
      </c>
      <c r="E5788">
        <f>2/188</f>
        <v>1.0638297872340425E-2</v>
      </c>
      <c r="F5788">
        <v>8</v>
      </c>
      <c r="G5788">
        <f>LOG(382/(8+1))</f>
        <v>1.6278208534723839</v>
      </c>
      <c r="H5788">
        <f>0.0106382978723404*3.74819603127035</f>
        <v>3.9874425864578095E-2</v>
      </c>
      <c r="I5788">
        <v>3.9874425864578247E-2</v>
      </c>
    </row>
    <row r="5789" spans="1:9" x14ac:dyDescent="0.25">
      <c r="A5789">
        <v>328</v>
      </c>
      <c r="B5789" t="s">
        <v>2179</v>
      </c>
      <c r="C5789" t="s">
        <v>10</v>
      </c>
      <c r="D5789" t="s">
        <v>339</v>
      </c>
      <c r="E5789">
        <f>2/188</f>
        <v>1.0638297872340425E-2</v>
      </c>
      <c r="F5789">
        <v>66</v>
      </c>
      <c r="G5789">
        <f>LOG(382/(66+1))</f>
        <v>0.75598856021088234</v>
      </c>
      <c r="H5789">
        <f>0.0106382978723404*1.7407279892156</f>
        <v>1.8518382863995698E-2</v>
      </c>
      <c r="I5789">
        <v>1.851838286399584E-2</v>
      </c>
    </row>
    <row r="5790" spans="1:9" x14ac:dyDescent="0.25">
      <c r="A5790">
        <v>328</v>
      </c>
      <c r="B5790" t="s">
        <v>2179</v>
      </c>
      <c r="C5790" t="s">
        <v>10</v>
      </c>
      <c r="D5790" t="s">
        <v>2195</v>
      </c>
      <c r="E5790">
        <f t="shared" ref="E5790:E5800" si="258">1/188</f>
        <v>5.3191489361702126E-3</v>
      </c>
      <c r="F5790">
        <v>1</v>
      </c>
      <c r="G5790">
        <f>LOG(382/(1+1))</f>
        <v>2.2810333672477277</v>
      </c>
      <c r="H5790">
        <f>0.00531914893617021*5.25227342804663</f>
        <v>2.7937624617269292E-2</v>
      </c>
      <c r="I5790">
        <v>2.793762461726931E-2</v>
      </c>
    </row>
    <row r="5791" spans="1:9" x14ac:dyDescent="0.25">
      <c r="A5791">
        <v>328</v>
      </c>
      <c r="B5791" t="s">
        <v>2179</v>
      </c>
      <c r="C5791" t="s">
        <v>10</v>
      </c>
      <c r="D5791" t="s">
        <v>230</v>
      </c>
      <c r="E5791">
        <f t="shared" si="258"/>
        <v>5.3191489361702126E-3</v>
      </c>
      <c r="F5791">
        <v>9</v>
      </c>
      <c r="G5791">
        <f>LOG(382/(9+1))</f>
        <v>1.5820633629117087</v>
      </c>
      <c r="H5791">
        <f>0.00531914893617021*3.64283551561252</f>
        <v>1.9376784657513395E-2</v>
      </c>
      <c r="I5791">
        <v>1.9376784657513451E-2</v>
      </c>
    </row>
    <row r="5792" spans="1:9" x14ac:dyDescent="0.25">
      <c r="A5792">
        <v>328</v>
      </c>
      <c r="B5792" t="s">
        <v>2179</v>
      </c>
      <c r="C5792" t="s">
        <v>10</v>
      </c>
      <c r="D5792" t="s">
        <v>2196</v>
      </c>
      <c r="E5792">
        <f t="shared" si="258"/>
        <v>5.3191489361702126E-3</v>
      </c>
      <c r="F5792">
        <v>2</v>
      </c>
      <c r="G5792">
        <f>LOG(382/(2+1))</f>
        <v>2.1049421081920463</v>
      </c>
      <c r="H5792">
        <f>0.00531914893617021*4.84680831993846</f>
        <v>2.5780895318821582E-2</v>
      </c>
      <c r="I5792">
        <v>2.578089531882162E-2</v>
      </c>
    </row>
    <row r="5793" spans="1:9" x14ac:dyDescent="0.25">
      <c r="A5793">
        <v>328</v>
      </c>
      <c r="B5793" t="s">
        <v>2179</v>
      </c>
      <c r="C5793" t="s">
        <v>10</v>
      </c>
      <c r="D5793" t="s">
        <v>591</v>
      </c>
      <c r="E5793">
        <f t="shared" si="258"/>
        <v>5.3191489361702126E-3</v>
      </c>
      <c r="F5793">
        <v>21</v>
      </c>
      <c r="G5793">
        <f>LOG(382/(21+1))</f>
        <v>1.2396406820895025</v>
      </c>
      <c r="H5793">
        <f>0.00531914893617021*2.85437815524825</f>
        <v>1.5182862527916214E-2</v>
      </c>
      <c r="I5793">
        <v>1.518286252791627E-2</v>
      </c>
    </row>
    <row r="5794" spans="1:9" x14ac:dyDescent="0.25">
      <c r="A5794">
        <v>328</v>
      </c>
      <c r="B5794" t="s">
        <v>2179</v>
      </c>
      <c r="C5794" t="s">
        <v>10</v>
      </c>
      <c r="D5794" t="s">
        <v>2091</v>
      </c>
      <c r="E5794">
        <f t="shared" si="258"/>
        <v>5.3191489361702126E-3</v>
      </c>
      <c r="F5794">
        <v>3</v>
      </c>
      <c r="G5794">
        <f>LOG(382/(3+1))</f>
        <v>1.9800033715837464</v>
      </c>
      <c r="H5794">
        <f>0.00531914893617021*4.55912624748668</f>
        <v>2.4250671529184455E-2</v>
      </c>
      <c r="I5794">
        <v>2.4250671529184489E-2</v>
      </c>
    </row>
    <row r="5795" spans="1:9" x14ac:dyDescent="0.25">
      <c r="A5795">
        <v>328</v>
      </c>
      <c r="B5795" t="s">
        <v>2179</v>
      </c>
      <c r="C5795" t="s">
        <v>10</v>
      </c>
      <c r="D5795" t="s">
        <v>932</v>
      </c>
      <c r="E5795">
        <f t="shared" si="258"/>
        <v>5.3191489361702126E-3</v>
      </c>
      <c r="F5795">
        <v>35</v>
      </c>
      <c r="G5795">
        <f>LOG(382/(35+1))</f>
        <v>1.0257608621444214</v>
      </c>
      <c r="H5795">
        <f>0.00531914893617021*2.36190167015046</f>
        <v>1.2563306756119462E-2</v>
      </c>
      <c r="I5795">
        <v>1.256330675611949E-2</v>
      </c>
    </row>
    <row r="5796" spans="1:9" x14ac:dyDescent="0.25">
      <c r="A5796">
        <v>328</v>
      </c>
      <c r="B5796" t="s">
        <v>2179</v>
      </c>
      <c r="C5796" t="s">
        <v>10</v>
      </c>
      <c r="D5796" t="s">
        <v>1328</v>
      </c>
      <c r="E5796">
        <f t="shared" si="258"/>
        <v>5.3191489361702126E-3</v>
      </c>
      <c r="F5796">
        <v>22</v>
      </c>
      <c r="G5796">
        <f>LOG(382/(22+1))</f>
        <v>1.2203355268941158</v>
      </c>
      <c r="H5796">
        <f>0.00531914893617021*2.80992639267742</f>
        <v>1.4946416982326693E-2</v>
      </c>
      <c r="I5796">
        <v>1.4946416982326729E-2</v>
      </c>
    </row>
    <row r="5797" spans="1:9" x14ac:dyDescent="0.25">
      <c r="A5797">
        <v>328</v>
      </c>
      <c r="B5797" t="s">
        <v>2179</v>
      </c>
      <c r="C5797" t="s">
        <v>10</v>
      </c>
      <c r="D5797" t="s">
        <v>764</v>
      </c>
      <c r="E5797">
        <f t="shared" si="258"/>
        <v>5.3191489361702126E-3</v>
      </c>
      <c r="F5797">
        <v>57</v>
      </c>
      <c r="G5797">
        <f>LOG(382/(57+1))</f>
        <v>0.81863536934877146</v>
      </c>
      <c r="H5797">
        <f>0.00531914893617021*1.88497759806015</f>
        <v>1.0026476585426325E-2</v>
      </c>
      <c r="I5797">
        <v>1.002647658542636E-2</v>
      </c>
    </row>
    <row r="5798" spans="1:9" x14ac:dyDescent="0.25">
      <c r="A5798">
        <v>328</v>
      </c>
      <c r="B5798" t="s">
        <v>2179</v>
      </c>
      <c r="C5798" t="s">
        <v>10</v>
      </c>
      <c r="D5798" t="s">
        <v>2093</v>
      </c>
      <c r="E5798">
        <f t="shared" si="258"/>
        <v>5.3191489361702126E-3</v>
      </c>
      <c r="F5798">
        <v>7</v>
      </c>
      <c r="G5798">
        <f>LOG(382/(7+1))</f>
        <v>1.6789733759197651</v>
      </c>
      <c r="H5798">
        <f>0.00531914893617021*3.86597906692673</f>
        <v>2.0563718441099617E-2</v>
      </c>
      <c r="I5798">
        <v>2.0563718441099679E-2</v>
      </c>
    </row>
    <row r="5799" spans="1:9" x14ac:dyDescent="0.25">
      <c r="A5799">
        <v>328</v>
      </c>
      <c r="B5799" t="s">
        <v>2179</v>
      </c>
      <c r="C5799" t="s">
        <v>10</v>
      </c>
      <c r="D5799" t="s">
        <v>1922</v>
      </c>
      <c r="E5799">
        <f t="shared" si="258"/>
        <v>5.3191489361702126E-3</v>
      </c>
      <c r="F5799">
        <v>15</v>
      </c>
      <c r="G5799">
        <f>LOG(382/(15+1))</f>
        <v>1.3779433802557839</v>
      </c>
      <c r="H5799">
        <f>0.00531914893617021*3.17283188636679</f>
        <v>1.6876765353014831E-2</v>
      </c>
      <c r="I5799">
        <v>1.6876765353014859E-2</v>
      </c>
    </row>
    <row r="5800" spans="1:9" x14ac:dyDescent="0.25">
      <c r="A5800">
        <v>328</v>
      </c>
      <c r="B5800" t="s">
        <v>2179</v>
      </c>
      <c r="C5800" t="s">
        <v>10</v>
      </c>
      <c r="D5800" t="s">
        <v>542</v>
      </c>
      <c r="E5800">
        <f t="shared" si="258"/>
        <v>5.3191489361702126E-3</v>
      </c>
      <c r="F5800">
        <v>42</v>
      </c>
      <c r="G5800">
        <f>LOG(382/(42+1))</f>
        <v>0.94859490733212215</v>
      </c>
      <c r="H5800">
        <f>0.00531914893617021*2.18422049291301</f>
        <v>1.1618194111239408E-2</v>
      </c>
      <c r="I5800">
        <v>1.1618194111239429E-2</v>
      </c>
    </row>
    <row r="5801" spans="1:9" x14ac:dyDescent="0.25">
      <c r="A5801">
        <v>328</v>
      </c>
      <c r="B5801" t="s">
        <v>2179</v>
      </c>
      <c r="C5801" t="s">
        <v>10</v>
      </c>
      <c r="D5801" t="s">
        <v>2197</v>
      </c>
      <c r="E5801">
        <f>2/188</f>
        <v>1.0638297872340425E-2</v>
      </c>
      <c r="F5801">
        <v>1</v>
      </c>
      <c r="G5801">
        <f>LOG(382/(1+1))</f>
        <v>2.2810333672477277</v>
      </c>
      <c r="H5801">
        <f>0.0106382978723404*5.25227342804663</f>
        <v>5.5875249234538481E-2</v>
      </c>
      <c r="I5801">
        <v>5.5875249234538613E-2</v>
      </c>
    </row>
    <row r="5802" spans="1:9" x14ac:dyDescent="0.25">
      <c r="A5802">
        <v>328</v>
      </c>
      <c r="B5802" t="s">
        <v>2179</v>
      </c>
      <c r="C5802" t="s">
        <v>10</v>
      </c>
      <c r="D5802" t="s">
        <v>432</v>
      </c>
      <c r="E5802">
        <f>3/188</f>
        <v>1.5957446808510637E-2</v>
      </c>
      <c r="F5802">
        <v>67</v>
      </c>
      <c r="G5802">
        <f>LOG(382/(67+1))</f>
        <v>0.7495544502054724</v>
      </c>
      <c r="H5802">
        <f>0.0159574468085106*1.72591290343046</f>
        <v>2.7541163352613657E-2</v>
      </c>
      <c r="I5802">
        <v>2.7541163352613859E-2</v>
      </c>
    </row>
    <row r="5803" spans="1:9" x14ac:dyDescent="0.25">
      <c r="A5803">
        <v>328</v>
      </c>
      <c r="B5803" t="s">
        <v>2179</v>
      </c>
      <c r="C5803" t="s">
        <v>10</v>
      </c>
      <c r="D5803" t="s">
        <v>1473</v>
      </c>
      <c r="E5803">
        <f>2/188</f>
        <v>1.0638297872340425E-2</v>
      </c>
      <c r="F5803">
        <v>39</v>
      </c>
      <c r="G5803">
        <f>LOG(382/(39+1))</f>
        <v>0.9800033715837464</v>
      </c>
      <c r="H5803">
        <f>0.0106382978723404*2.25654115449263</f>
        <v>2.4005756962687495E-2</v>
      </c>
      <c r="I5803">
        <v>2.4005756962687651E-2</v>
      </c>
    </row>
    <row r="5804" spans="1:9" x14ac:dyDescent="0.25">
      <c r="A5804">
        <v>328</v>
      </c>
      <c r="B5804" t="s">
        <v>2179</v>
      </c>
      <c r="C5804" t="s">
        <v>10</v>
      </c>
      <c r="D5804" t="s">
        <v>2198</v>
      </c>
      <c r="E5804">
        <f>1/188</f>
        <v>5.3191489361702126E-3</v>
      </c>
      <c r="F5804">
        <v>1</v>
      </c>
      <c r="G5804">
        <f>LOG(382/(1+1))</f>
        <v>2.2810333672477277</v>
      </c>
      <c r="H5804">
        <f>0.00531914893617021*5.25227342804663</f>
        <v>2.7937624617269292E-2</v>
      </c>
      <c r="I5804">
        <v>2.793762461726931E-2</v>
      </c>
    </row>
    <row r="5805" spans="1:9" x14ac:dyDescent="0.25">
      <c r="A5805">
        <v>328</v>
      </c>
      <c r="B5805" t="s">
        <v>2179</v>
      </c>
      <c r="C5805" t="s">
        <v>10</v>
      </c>
      <c r="D5805" t="s">
        <v>1405</v>
      </c>
      <c r="E5805">
        <f>1/188</f>
        <v>5.3191489361702126E-3</v>
      </c>
      <c r="F5805">
        <v>14</v>
      </c>
      <c r="G5805">
        <f>LOG(382/(14+1))</f>
        <v>1.4059721038560276</v>
      </c>
      <c r="H5805">
        <f>0.00531914893617021*3.23737040750436</f>
        <v>1.7220055359065737E-2</v>
      </c>
      <c r="I5805">
        <v>1.7220055359065772E-2</v>
      </c>
    </row>
    <row r="5806" spans="1:9" x14ac:dyDescent="0.25">
      <c r="A5806">
        <v>328</v>
      </c>
      <c r="B5806" t="s">
        <v>2179</v>
      </c>
      <c r="C5806" t="s">
        <v>10</v>
      </c>
      <c r="D5806" t="s">
        <v>596</v>
      </c>
      <c r="E5806">
        <f>1/188</f>
        <v>5.3191489361702126E-3</v>
      </c>
      <c r="F5806">
        <v>60</v>
      </c>
      <c r="G5806">
        <f>LOG(382/(60+1))</f>
        <v>0.79673352790094176</v>
      </c>
      <c r="H5806">
        <f>0.00531914893617021*1.83454674443326</f>
        <v>9.7582273640066976E-3</v>
      </c>
      <c r="I5806">
        <v>9.7582273640067236E-3</v>
      </c>
    </row>
    <row r="5807" spans="1:9" x14ac:dyDescent="0.25">
      <c r="A5807">
        <v>328</v>
      </c>
      <c r="B5807" t="s">
        <v>2179</v>
      </c>
      <c r="C5807" t="s">
        <v>10</v>
      </c>
      <c r="D5807" t="s">
        <v>597</v>
      </c>
      <c r="E5807">
        <f>2/188</f>
        <v>1.0638297872340425E-2</v>
      </c>
      <c r="F5807">
        <v>51</v>
      </c>
      <c r="G5807">
        <f>LOG(382/(51+1))</f>
        <v>0.86606001927690957</v>
      </c>
      <c r="H5807">
        <f>0.0106382978723404*1.99417689002514</f>
        <v>2.121464776622484E-2</v>
      </c>
      <c r="I5807">
        <v>2.1214647766224979E-2</v>
      </c>
    </row>
    <row r="5808" spans="1:9" x14ac:dyDescent="0.25">
      <c r="A5808">
        <v>328</v>
      </c>
      <c r="B5808" t="s">
        <v>2179</v>
      </c>
      <c r="C5808" t="s">
        <v>10</v>
      </c>
      <c r="D5808" t="s">
        <v>814</v>
      </c>
      <c r="E5808">
        <f>1/188</f>
        <v>5.3191489361702126E-3</v>
      </c>
      <c r="F5808">
        <v>18</v>
      </c>
      <c r="G5808">
        <f>LOG(382/(18+1))</f>
        <v>1.3033097619588798</v>
      </c>
      <c r="H5808">
        <f>0.00531914893617021*3.00098162944013</f>
        <v>1.5962668241702813E-2</v>
      </c>
      <c r="I5808">
        <v>1.5962668241702841E-2</v>
      </c>
    </row>
    <row r="5809" spans="1:9" x14ac:dyDescent="0.25">
      <c r="A5809">
        <v>328</v>
      </c>
      <c r="B5809" t="s">
        <v>2179</v>
      </c>
      <c r="C5809" t="s">
        <v>10</v>
      </c>
      <c r="D5809" t="s">
        <v>1401</v>
      </c>
      <c r="E5809">
        <f>1/188</f>
        <v>5.3191489361702126E-3</v>
      </c>
      <c r="F5809">
        <v>16</v>
      </c>
      <c r="G5809">
        <f>LOG(382/(16+1))</f>
        <v>1.3516144415334348</v>
      </c>
      <c r="H5809">
        <f>0.00531914893617021*3.11220726455035</f>
        <v>1.6554293960374191E-2</v>
      </c>
      <c r="I5809">
        <v>1.655429396037425E-2</v>
      </c>
    </row>
    <row r="5810" spans="1:9" x14ac:dyDescent="0.25">
      <c r="A5810">
        <v>328</v>
      </c>
      <c r="B5810" t="s">
        <v>2179</v>
      </c>
      <c r="C5810" t="s">
        <v>10</v>
      </c>
      <c r="D5810" t="s">
        <v>2199</v>
      </c>
      <c r="E5810">
        <f>1/188</f>
        <v>5.3191489361702126E-3</v>
      </c>
      <c r="F5810">
        <v>1</v>
      </c>
      <c r="G5810">
        <f>LOG(382/(1+1))</f>
        <v>2.2810333672477277</v>
      </c>
      <c r="H5810">
        <f>0.00531914893617021*5.25227342804663</f>
        <v>2.7937624617269292E-2</v>
      </c>
      <c r="I5810">
        <v>2.793762461726931E-2</v>
      </c>
    </row>
    <row r="5811" spans="1:9" x14ac:dyDescent="0.25">
      <c r="A5811">
        <v>328</v>
      </c>
      <c r="B5811" t="s">
        <v>2179</v>
      </c>
      <c r="C5811" t="s">
        <v>10</v>
      </c>
      <c r="D5811" t="s">
        <v>599</v>
      </c>
      <c r="E5811">
        <f>1/188</f>
        <v>5.3191489361702126E-3</v>
      </c>
      <c r="F5811">
        <v>28</v>
      </c>
      <c r="G5811">
        <f>LOG(382/(28+1))</f>
        <v>1.1196653650127526</v>
      </c>
      <c r="H5811">
        <f>0.00531914893617021*2.5781247786201</f>
        <v>1.3713429673511163E-2</v>
      </c>
      <c r="I5811">
        <v>1.371342967351118E-2</v>
      </c>
    </row>
    <row r="5812" spans="1:9" x14ac:dyDescent="0.25">
      <c r="A5812">
        <v>328</v>
      </c>
      <c r="B5812" t="s">
        <v>2179</v>
      </c>
      <c r="C5812" t="s">
        <v>10</v>
      </c>
      <c r="D5812" t="s">
        <v>600</v>
      </c>
      <c r="E5812">
        <f>2/188</f>
        <v>1.0638297872340425E-2</v>
      </c>
      <c r="F5812">
        <v>102</v>
      </c>
      <c r="G5812">
        <f>LOG(382/(102+1))</f>
        <v>0.56922613820653656</v>
      </c>
      <c r="H5812">
        <f>0.0106382978723404*1.31069162037693</f>
        <v>1.3943527876350286E-2</v>
      </c>
      <c r="I5812">
        <v>1.394352787635042E-2</v>
      </c>
    </row>
    <row r="5813" spans="1:9" x14ac:dyDescent="0.25">
      <c r="A5813">
        <v>328</v>
      </c>
      <c r="B5813" t="s">
        <v>2179</v>
      </c>
      <c r="C5813" t="s">
        <v>10</v>
      </c>
      <c r="D5813" t="s">
        <v>2200</v>
      </c>
      <c r="E5813">
        <f t="shared" ref="E5813:E5819" si="259">1/188</f>
        <v>5.3191489361702126E-3</v>
      </c>
      <c r="F5813">
        <v>2</v>
      </c>
      <c r="G5813">
        <f>LOG(382/(2+1))</f>
        <v>2.1049421081920463</v>
      </c>
      <c r="H5813">
        <f>0.00531914893617021*4.84680831993846</f>
        <v>2.5780895318821582E-2</v>
      </c>
      <c r="I5813">
        <v>2.578089531882162E-2</v>
      </c>
    </row>
    <row r="5814" spans="1:9" x14ac:dyDescent="0.25">
      <c r="A5814">
        <v>328</v>
      </c>
      <c r="B5814" t="s">
        <v>2179</v>
      </c>
      <c r="C5814" t="s">
        <v>10</v>
      </c>
      <c r="D5814" t="s">
        <v>1362</v>
      </c>
      <c r="E5814">
        <f t="shared" si="259"/>
        <v>5.3191489361702126E-3</v>
      </c>
      <c r="F5814">
        <v>12</v>
      </c>
      <c r="G5814">
        <f>LOG(382/(12+1))</f>
        <v>1.468120010604872</v>
      </c>
      <c r="H5814">
        <f>0.00531914893617021*3.38047125114503</f>
        <v>1.7981230059282066E-2</v>
      </c>
      <c r="I5814">
        <v>1.7981230059282122E-2</v>
      </c>
    </row>
    <row r="5815" spans="1:9" x14ac:dyDescent="0.25">
      <c r="A5815">
        <v>328</v>
      </c>
      <c r="B5815" t="s">
        <v>2179</v>
      </c>
      <c r="C5815" t="s">
        <v>10</v>
      </c>
      <c r="D5815" t="s">
        <v>121</v>
      </c>
      <c r="E5815">
        <f t="shared" si="259"/>
        <v>5.3191489361702126E-3</v>
      </c>
      <c r="F5815">
        <v>22</v>
      </c>
      <c r="G5815">
        <f>LOG(382/(22+1))</f>
        <v>1.2203355268941158</v>
      </c>
      <c r="H5815">
        <f>0.00531914893617021*2.80992639267742</f>
        <v>1.4946416982326693E-2</v>
      </c>
      <c r="I5815">
        <v>1.4946416982326729E-2</v>
      </c>
    </row>
    <row r="5816" spans="1:9" x14ac:dyDescent="0.25">
      <c r="A5816">
        <v>328</v>
      </c>
      <c r="B5816" t="s">
        <v>2179</v>
      </c>
      <c r="C5816" t="s">
        <v>10</v>
      </c>
      <c r="D5816" t="s">
        <v>913</v>
      </c>
      <c r="E5816">
        <f t="shared" si="259"/>
        <v>5.3191489361702126E-3</v>
      </c>
      <c r="F5816">
        <v>14</v>
      </c>
      <c r="G5816">
        <f>LOG(382/(14+1))</f>
        <v>1.4059721038560276</v>
      </c>
      <c r="H5816">
        <f>0.00531914893617021*3.23737040750436</f>
        <v>1.7220055359065737E-2</v>
      </c>
      <c r="I5816">
        <v>1.7220055359065772E-2</v>
      </c>
    </row>
    <row r="5817" spans="1:9" x14ac:dyDescent="0.25">
      <c r="A5817">
        <v>328</v>
      </c>
      <c r="B5817" t="s">
        <v>2179</v>
      </c>
      <c r="C5817" t="s">
        <v>10</v>
      </c>
      <c r="D5817" t="s">
        <v>2201</v>
      </c>
      <c r="E5817">
        <f t="shared" si="259"/>
        <v>5.3191489361702126E-3</v>
      </c>
      <c r="F5817">
        <v>1</v>
      </c>
      <c r="G5817">
        <f>LOG(382/(1+1))</f>
        <v>2.2810333672477277</v>
      </c>
      <c r="H5817">
        <f>0.00531914893617021*5.25227342804663</f>
        <v>2.7937624617269292E-2</v>
      </c>
      <c r="I5817">
        <v>2.793762461726931E-2</v>
      </c>
    </row>
    <row r="5818" spans="1:9" x14ac:dyDescent="0.25">
      <c r="A5818">
        <v>328</v>
      </c>
      <c r="B5818" t="s">
        <v>2179</v>
      </c>
      <c r="C5818" t="s">
        <v>10</v>
      </c>
      <c r="D5818" t="s">
        <v>196</v>
      </c>
      <c r="E5818">
        <f t="shared" si="259"/>
        <v>5.3191489361702126E-3</v>
      </c>
      <c r="F5818">
        <v>33</v>
      </c>
      <c r="G5818">
        <f>LOG(382/(33+1))</f>
        <v>1.0505844458694535</v>
      </c>
      <c r="H5818">
        <f>0.00531914893617021*2.41906008399041</f>
        <v>1.2867340872289409E-2</v>
      </c>
      <c r="I5818">
        <v>1.286734087228943E-2</v>
      </c>
    </row>
    <row r="5819" spans="1:9" x14ac:dyDescent="0.25">
      <c r="A5819">
        <v>328</v>
      </c>
      <c r="B5819" t="s">
        <v>2179</v>
      </c>
      <c r="C5819" t="s">
        <v>10</v>
      </c>
      <c r="D5819" t="s">
        <v>2202</v>
      </c>
      <c r="E5819">
        <f t="shared" si="259"/>
        <v>5.3191489361702126E-3</v>
      </c>
      <c r="F5819">
        <v>1</v>
      </c>
      <c r="G5819">
        <f>LOG(382/(1+1))</f>
        <v>2.2810333672477277</v>
      </c>
      <c r="H5819">
        <f>0.00531914893617021*5.25227342804663</f>
        <v>2.7937624617269292E-2</v>
      </c>
      <c r="I5819">
        <v>2.793762461726931E-2</v>
      </c>
    </row>
    <row r="5820" spans="1:9" x14ac:dyDescent="0.25">
      <c r="A5820">
        <v>328</v>
      </c>
      <c r="B5820" t="s">
        <v>2179</v>
      </c>
      <c r="C5820" t="s">
        <v>10</v>
      </c>
      <c r="D5820" t="s">
        <v>82</v>
      </c>
      <c r="E5820">
        <f>2/188</f>
        <v>1.0638297872340425E-2</v>
      </c>
      <c r="F5820">
        <v>92</v>
      </c>
      <c r="G5820">
        <f>LOG(382/(92+1))</f>
        <v>0.61358041435777355</v>
      </c>
      <c r="H5820">
        <f>0.0106382978723404*1.41282111545331</f>
        <v>1.5030011866524536E-2</v>
      </c>
      <c r="I5820">
        <v>1.5030011866524671E-2</v>
      </c>
    </row>
    <row r="5821" spans="1:9" x14ac:dyDescent="0.25">
      <c r="A5821">
        <v>328</v>
      </c>
      <c r="B5821" t="s">
        <v>2179</v>
      </c>
      <c r="C5821" t="s">
        <v>10</v>
      </c>
      <c r="D5821" t="s">
        <v>2070</v>
      </c>
      <c r="E5821">
        <f>1/188</f>
        <v>5.3191489361702126E-3</v>
      </c>
      <c r="F5821">
        <v>5</v>
      </c>
      <c r="G5821">
        <f>LOG(382/(5+1))</f>
        <v>1.803912112528065</v>
      </c>
      <c r="H5821">
        <f>0.00531914893617021*4.15366113937852</f>
        <v>2.2093942230736796E-2</v>
      </c>
      <c r="I5821">
        <v>2.209394223073681E-2</v>
      </c>
    </row>
    <row r="5822" spans="1:9" x14ac:dyDescent="0.25">
      <c r="A5822">
        <v>328</v>
      </c>
      <c r="B5822" t="s">
        <v>2179</v>
      </c>
      <c r="C5822" t="s">
        <v>10</v>
      </c>
      <c r="D5822" t="s">
        <v>361</v>
      </c>
      <c r="E5822">
        <f>2/188</f>
        <v>1.0638297872340425E-2</v>
      </c>
      <c r="F5822">
        <v>118</v>
      </c>
      <c r="G5822">
        <f>LOG(382/(118+1))</f>
        <v>0.50651640151917798</v>
      </c>
      <c r="H5822">
        <f>0.0106382978723404*1.16629711549504</f>
        <v>1.2407416122287627E-2</v>
      </c>
      <c r="I5822">
        <v>1.2407416122287721E-2</v>
      </c>
    </row>
    <row r="5823" spans="1:9" x14ac:dyDescent="0.25">
      <c r="A5823">
        <v>328</v>
      </c>
      <c r="B5823" t="s">
        <v>2179</v>
      </c>
      <c r="C5823" t="s">
        <v>10</v>
      </c>
      <c r="D5823" t="s">
        <v>434</v>
      </c>
      <c r="E5823">
        <f>1/188</f>
        <v>5.3191489361702126E-3</v>
      </c>
      <c r="F5823">
        <v>97</v>
      </c>
      <c r="G5823">
        <f>LOG(382/(97+1))</f>
        <v>0.59083728721921391</v>
      </c>
      <c r="H5823">
        <f>0.00531914893617021*1.360453129936</f>
        <v>7.2364528188085071E-3</v>
      </c>
      <c r="I5823">
        <v>7.2364528188085279E-3</v>
      </c>
    </row>
    <row r="5824" spans="1:9" x14ac:dyDescent="0.25">
      <c r="A5824">
        <v>328</v>
      </c>
      <c r="B5824" t="s">
        <v>2179</v>
      </c>
      <c r="C5824" t="s">
        <v>10</v>
      </c>
      <c r="D5824" t="s">
        <v>444</v>
      </c>
      <c r="E5824">
        <f>1/188</f>
        <v>5.3191489361702126E-3</v>
      </c>
      <c r="F5824">
        <v>28</v>
      </c>
      <c r="G5824">
        <f>LOG(382/(28+1))</f>
        <v>1.1196653650127526</v>
      </c>
      <c r="H5824">
        <f>0.00531914893617021*2.5781247786201</f>
        <v>1.3713429673511163E-2</v>
      </c>
      <c r="I5824">
        <v>1.371342967351118E-2</v>
      </c>
    </row>
    <row r="5825" spans="1:9" x14ac:dyDescent="0.25">
      <c r="A5825">
        <v>328</v>
      </c>
      <c r="B5825" t="s">
        <v>2179</v>
      </c>
      <c r="C5825" t="s">
        <v>10</v>
      </c>
      <c r="D5825" t="s">
        <v>445</v>
      </c>
      <c r="E5825">
        <f>2/188</f>
        <v>1.0638297872340425E-2</v>
      </c>
      <c r="F5825">
        <v>35</v>
      </c>
      <c r="G5825">
        <f>LOG(382/(35+1))</f>
        <v>1.0257608621444214</v>
      </c>
      <c r="H5825">
        <f>0.0106382978723404*2.36190167015046</f>
        <v>2.5126613512238875E-2</v>
      </c>
      <c r="I5825">
        <v>2.512661351223899E-2</v>
      </c>
    </row>
    <row r="5826" spans="1:9" x14ac:dyDescent="0.25">
      <c r="A5826">
        <v>328</v>
      </c>
      <c r="B5826" t="s">
        <v>2179</v>
      </c>
      <c r="C5826" t="s">
        <v>10</v>
      </c>
      <c r="D5826" t="s">
        <v>2203</v>
      </c>
      <c r="E5826">
        <f t="shared" ref="E5826:E5831" si="260">1/188</f>
        <v>5.3191489361702126E-3</v>
      </c>
      <c r="F5826">
        <v>1</v>
      </c>
      <c r="G5826">
        <f>LOG(382/(1+1))</f>
        <v>2.2810333672477277</v>
      </c>
      <c r="H5826">
        <f>0.00531914893617021*5.25227342804663</f>
        <v>2.7937624617269292E-2</v>
      </c>
      <c r="I5826">
        <v>2.793762461726931E-2</v>
      </c>
    </row>
    <row r="5827" spans="1:9" x14ac:dyDescent="0.25">
      <c r="A5827">
        <v>328</v>
      </c>
      <c r="B5827" t="s">
        <v>2179</v>
      </c>
      <c r="C5827" t="s">
        <v>10</v>
      </c>
      <c r="D5827" t="s">
        <v>398</v>
      </c>
      <c r="E5827">
        <f t="shared" si="260"/>
        <v>5.3191489361702126E-3</v>
      </c>
      <c r="F5827">
        <v>14</v>
      </c>
      <c r="G5827">
        <f>LOG(382/(14+1))</f>
        <v>1.4059721038560276</v>
      </c>
      <c r="H5827">
        <f>0.00531914893617021*3.23737040750436</f>
        <v>1.7220055359065737E-2</v>
      </c>
      <c r="I5827">
        <v>1.7220055359065772E-2</v>
      </c>
    </row>
    <row r="5828" spans="1:9" x14ac:dyDescent="0.25">
      <c r="A5828">
        <v>328</v>
      </c>
      <c r="B5828" t="s">
        <v>2179</v>
      </c>
      <c r="C5828" t="s">
        <v>10</v>
      </c>
      <c r="D5828" t="s">
        <v>1073</v>
      </c>
      <c r="E5828">
        <f t="shared" si="260"/>
        <v>5.3191489361702126E-3</v>
      </c>
      <c r="F5828">
        <v>25</v>
      </c>
      <c r="G5828">
        <f>LOG(382/(25+1))</f>
        <v>1.1670900149408907</v>
      </c>
      <c r="H5828">
        <f>0.00531914893617021*2.68732407058509</f>
        <v>1.429427697119728E-2</v>
      </c>
      <c r="I5828">
        <v>1.42942769711973E-2</v>
      </c>
    </row>
    <row r="5829" spans="1:9" x14ac:dyDescent="0.25">
      <c r="A5829">
        <v>328</v>
      </c>
      <c r="B5829" t="s">
        <v>2179</v>
      </c>
      <c r="C5829" t="s">
        <v>10</v>
      </c>
      <c r="D5829" t="s">
        <v>1858</v>
      </c>
      <c r="E5829">
        <f t="shared" si="260"/>
        <v>5.3191489361702126E-3</v>
      </c>
      <c r="F5829">
        <v>6</v>
      </c>
      <c r="G5829">
        <f>LOG(382/(6+1))</f>
        <v>1.736965322897452</v>
      </c>
      <c r="H5829">
        <f>0.00531914893617021*3.99951045955126</f>
        <v>2.1273991806123712E-2</v>
      </c>
      <c r="I5829">
        <v>2.1273991806123729E-2</v>
      </c>
    </row>
    <row r="5830" spans="1:9" x14ac:dyDescent="0.25">
      <c r="A5830">
        <v>328</v>
      </c>
      <c r="B5830" t="s">
        <v>2179</v>
      </c>
      <c r="C5830" t="s">
        <v>10</v>
      </c>
      <c r="D5830" t="s">
        <v>2204</v>
      </c>
      <c r="E5830">
        <f t="shared" si="260"/>
        <v>5.3191489361702126E-3</v>
      </c>
      <c r="F5830">
        <v>7</v>
      </c>
      <c r="G5830">
        <f>LOG(382/(7+1))</f>
        <v>1.6789733759197651</v>
      </c>
      <c r="H5830">
        <f>0.00531914893617021*3.86597906692673</f>
        <v>2.0563718441099617E-2</v>
      </c>
      <c r="I5830">
        <v>2.0563718441099679E-2</v>
      </c>
    </row>
    <row r="5831" spans="1:9" x14ac:dyDescent="0.25">
      <c r="A5831">
        <v>328</v>
      </c>
      <c r="B5831" t="s">
        <v>2179</v>
      </c>
      <c r="C5831" t="s">
        <v>10</v>
      </c>
      <c r="D5831" t="s">
        <v>490</v>
      </c>
      <c r="E5831">
        <f t="shared" si="260"/>
        <v>5.3191489361702126E-3</v>
      </c>
      <c r="F5831">
        <v>31</v>
      </c>
      <c r="G5831">
        <f>LOG(382/(31+1))</f>
        <v>1.0769133845918029</v>
      </c>
      <c r="H5831">
        <f>0.00531914893617021*2.47968470580684</f>
        <v>1.3189812264929993E-2</v>
      </c>
      <c r="I5831">
        <v>1.3189812264930051E-2</v>
      </c>
    </row>
    <row r="5832" spans="1:9" x14ac:dyDescent="0.25">
      <c r="A5832">
        <v>328</v>
      </c>
      <c r="B5832" t="s">
        <v>2179</v>
      </c>
      <c r="C5832" t="s">
        <v>10</v>
      </c>
      <c r="D5832" t="s">
        <v>243</v>
      </c>
      <c r="E5832">
        <f>2/188</f>
        <v>1.0638297872340425E-2</v>
      </c>
      <c r="F5832">
        <v>131</v>
      </c>
      <c r="G5832">
        <f>LOG(382/(131+1))</f>
        <v>0.46148943170585888</v>
      </c>
      <c r="H5832">
        <f>0.0106382978723404*1.0626186860202</f>
        <v>1.1304454106597845E-2</v>
      </c>
      <c r="I5832">
        <v>1.130445410659792E-2</v>
      </c>
    </row>
    <row r="5833" spans="1:9" x14ac:dyDescent="0.25">
      <c r="A5833">
        <v>328</v>
      </c>
      <c r="B5833" t="s">
        <v>2179</v>
      </c>
      <c r="C5833" t="s">
        <v>10</v>
      </c>
      <c r="D5833" t="s">
        <v>2205</v>
      </c>
      <c r="E5833">
        <f t="shared" ref="E5833:E5840" si="261">1/188</f>
        <v>5.3191489361702126E-3</v>
      </c>
      <c r="F5833">
        <v>1</v>
      </c>
      <c r="G5833">
        <f>LOG(382/(1+1))</f>
        <v>2.2810333672477277</v>
      </c>
      <c r="H5833">
        <f>0.00531914893617021*5.25227342804663</f>
        <v>2.7937624617269292E-2</v>
      </c>
      <c r="I5833">
        <v>2.793762461726931E-2</v>
      </c>
    </row>
    <row r="5834" spans="1:9" x14ac:dyDescent="0.25">
      <c r="A5834">
        <v>328</v>
      </c>
      <c r="B5834" t="s">
        <v>2179</v>
      </c>
      <c r="C5834" t="s">
        <v>10</v>
      </c>
      <c r="D5834" t="s">
        <v>263</v>
      </c>
      <c r="E5834">
        <f t="shared" si="261"/>
        <v>5.3191489361702126E-3</v>
      </c>
      <c r="F5834">
        <v>41</v>
      </c>
      <c r="G5834">
        <f>LOG(382/(41+1))</f>
        <v>0.95881407251380824</v>
      </c>
      <c r="H5834">
        <f>0.00531914893617021*2.2077509903232</f>
        <v>1.1743356331506378E-2</v>
      </c>
      <c r="I5834">
        <v>1.1743356331506419E-2</v>
      </c>
    </row>
    <row r="5835" spans="1:9" x14ac:dyDescent="0.25">
      <c r="A5835">
        <v>328</v>
      </c>
      <c r="B5835" t="s">
        <v>2179</v>
      </c>
      <c r="C5835" t="s">
        <v>10</v>
      </c>
      <c r="D5835" t="s">
        <v>438</v>
      </c>
      <c r="E5835">
        <f t="shared" si="261"/>
        <v>5.3191489361702126E-3</v>
      </c>
      <c r="F5835">
        <v>37</v>
      </c>
      <c r="G5835">
        <f>LOG(382/(37+1))</f>
        <v>1.0022797662948986</v>
      </c>
      <c r="H5835">
        <f>0.00531914893617021*2.30783444888018</f>
        <v>1.2275715153617972E-2</v>
      </c>
      <c r="I5835">
        <v>1.2275715153618029E-2</v>
      </c>
    </row>
    <row r="5836" spans="1:9" x14ac:dyDescent="0.25">
      <c r="A5836">
        <v>328</v>
      </c>
      <c r="B5836" t="s">
        <v>2179</v>
      </c>
      <c r="C5836" t="s">
        <v>10</v>
      </c>
      <c r="D5836" t="s">
        <v>2206</v>
      </c>
      <c r="E5836">
        <f t="shared" si="261"/>
        <v>5.3191489361702126E-3</v>
      </c>
      <c r="F5836">
        <v>1</v>
      </c>
      <c r="G5836">
        <f>LOG(382/(1+1))</f>
        <v>2.2810333672477277</v>
      </c>
      <c r="H5836">
        <f>0.00531914893617021*5.25227342804663</f>
        <v>2.7937624617269292E-2</v>
      </c>
      <c r="I5836">
        <v>2.793762461726931E-2</v>
      </c>
    </row>
    <row r="5837" spans="1:9" x14ac:dyDescent="0.25">
      <c r="A5837">
        <v>328</v>
      </c>
      <c r="B5837" t="s">
        <v>2179</v>
      </c>
      <c r="C5837" t="s">
        <v>10</v>
      </c>
      <c r="D5837" t="s">
        <v>2050</v>
      </c>
      <c r="E5837">
        <f t="shared" si="261"/>
        <v>5.3191489361702126E-3</v>
      </c>
      <c r="F5837">
        <v>4</v>
      </c>
      <c r="G5837">
        <f>LOG(382/(4+1))</f>
        <v>1.8830933585756899</v>
      </c>
      <c r="H5837">
        <f>0.00531914893617021*4.33598269617247</f>
        <v>2.3063737745598233E-2</v>
      </c>
      <c r="I5837">
        <v>2.3063737745598271E-2</v>
      </c>
    </row>
    <row r="5838" spans="1:9" x14ac:dyDescent="0.25">
      <c r="A5838">
        <v>328</v>
      </c>
      <c r="B5838" t="s">
        <v>2179</v>
      </c>
      <c r="C5838" t="s">
        <v>10</v>
      </c>
      <c r="D5838" t="s">
        <v>2099</v>
      </c>
      <c r="E5838">
        <f t="shared" si="261"/>
        <v>5.3191489361702126E-3</v>
      </c>
      <c r="F5838">
        <v>6</v>
      </c>
      <c r="G5838">
        <f>LOG(382/(6+1))</f>
        <v>1.736965322897452</v>
      </c>
      <c r="H5838">
        <f>0.00531914893617021*3.99951045955126</f>
        <v>2.1273991806123712E-2</v>
      </c>
      <c r="I5838">
        <v>2.1273991806123729E-2</v>
      </c>
    </row>
    <row r="5839" spans="1:9" x14ac:dyDescent="0.25">
      <c r="A5839">
        <v>328</v>
      </c>
      <c r="B5839" t="s">
        <v>2179</v>
      </c>
      <c r="C5839" t="s">
        <v>10</v>
      </c>
      <c r="D5839" t="s">
        <v>439</v>
      </c>
      <c r="E5839">
        <f t="shared" si="261"/>
        <v>5.3191489361702126E-3</v>
      </c>
      <c r="F5839">
        <v>28</v>
      </c>
      <c r="G5839">
        <f>LOG(382/(28+1))</f>
        <v>1.1196653650127526</v>
      </c>
      <c r="H5839">
        <f>0.00531914893617021*2.5781247786201</f>
        <v>1.3713429673511163E-2</v>
      </c>
      <c r="I5839">
        <v>1.371342967351118E-2</v>
      </c>
    </row>
    <row r="5840" spans="1:9" x14ac:dyDescent="0.25">
      <c r="A5840">
        <v>328</v>
      </c>
      <c r="B5840" t="s">
        <v>2179</v>
      </c>
      <c r="C5840" t="s">
        <v>10</v>
      </c>
      <c r="D5840" t="s">
        <v>521</v>
      </c>
      <c r="E5840">
        <f t="shared" si="261"/>
        <v>5.3191489361702126E-3</v>
      </c>
      <c r="F5840">
        <v>7</v>
      </c>
      <c r="G5840">
        <f>LOG(382/(7+1))</f>
        <v>1.6789733759197651</v>
      </c>
      <c r="H5840">
        <f>0.00531914893617021*3.86597906692673</f>
        <v>2.0563718441099617E-2</v>
      </c>
      <c r="I5840">
        <v>2.0563718441099679E-2</v>
      </c>
    </row>
    <row r="5841" spans="1:9" x14ac:dyDescent="0.25">
      <c r="A5841">
        <v>328</v>
      </c>
      <c r="B5841" t="s">
        <v>2179</v>
      </c>
      <c r="C5841" t="s">
        <v>10</v>
      </c>
      <c r="D5841" t="s">
        <v>236</v>
      </c>
      <c r="E5841">
        <f>2/188</f>
        <v>1.0638297872340425E-2</v>
      </c>
      <c r="F5841">
        <v>87</v>
      </c>
      <c r="G5841">
        <f>LOG(382/(87+1))</f>
        <v>0.63758069076154011</v>
      </c>
      <c r="H5841">
        <f>0.0106382978723404*1.46808379412836</f>
        <v>1.5617912703493152E-2</v>
      </c>
      <c r="I5841">
        <v>1.561791270349328E-2</v>
      </c>
    </row>
    <row r="5842" spans="1:9" x14ac:dyDescent="0.25">
      <c r="A5842">
        <v>328</v>
      </c>
      <c r="B5842" t="s">
        <v>2179</v>
      </c>
      <c r="C5842" t="s">
        <v>10</v>
      </c>
      <c r="D5842" t="s">
        <v>1626</v>
      </c>
      <c r="E5842">
        <f t="shared" ref="E5842:E5857" si="262">1/188</f>
        <v>5.3191489361702126E-3</v>
      </c>
      <c r="F5842">
        <v>32</v>
      </c>
      <c r="G5842">
        <f>LOG(382/(32+1))</f>
        <v>1.0635494230338212</v>
      </c>
      <c r="H5842">
        <f>0.00531914893617021*2.44891304714009</f>
        <v>1.3026133229468558E-2</v>
      </c>
      <c r="I5842">
        <v>1.302613322946859E-2</v>
      </c>
    </row>
    <row r="5843" spans="1:9" x14ac:dyDescent="0.25">
      <c r="A5843">
        <v>328</v>
      </c>
      <c r="B5843" t="s">
        <v>2179</v>
      </c>
      <c r="C5843" t="s">
        <v>10</v>
      </c>
      <c r="D5843" t="s">
        <v>2207</v>
      </c>
      <c r="E5843">
        <f t="shared" si="262"/>
        <v>5.3191489361702126E-3</v>
      </c>
      <c r="F5843">
        <v>1</v>
      </c>
      <c r="G5843">
        <f>LOG(382/(1+1))</f>
        <v>2.2810333672477277</v>
      </c>
      <c r="H5843">
        <f>0.00531914893617021*5.25227342804663</f>
        <v>2.7937624617269292E-2</v>
      </c>
      <c r="I5843">
        <v>2.793762461726931E-2</v>
      </c>
    </row>
    <row r="5844" spans="1:9" x14ac:dyDescent="0.25">
      <c r="A5844">
        <v>328</v>
      </c>
      <c r="B5844" t="s">
        <v>2179</v>
      </c>
      <c r="C5844" t="s">
        <v>10</v>
      </c>
      <c r="D5844" t="s">
        <v>2208</v>
      </c>
      <c r="E5844">
        <f t="shared" si="262"/>
        <v>5.3191489361702126E-3</v>
      </c>
      <c r="F5844">
        <v>1</v>
      </c>
      <c r="G5844">
        <f>LOG(382/(1+1))</f>
        <v>2.2810333672477277</v>
      </c>
      <c r="H5844">
        <f>0.00531914893617021*5.25227342804663</f>
        <v>2.7937624617269292E-2</v>
      </c>
      <c r="I5844">
        <v>2.793762461726931E-2</v>
      </c>
    </row>
    <row r="5845" spans="1:9" x14ac:dyDescent="0.25">
      <c r="A5845">
        <v>328</v>
      </c>
      <c r="B5845" t="s">
        <v>2179</v>
      </c>
      <c r="C5845" t="s">
        <v>10</v>
      </c>
      <c r="D5845" t="s">
        <v>775</v>
      </c>
      <c r="E5845">
        <f t="shared" si="262"/>
        <v>5.3191489361702126E-3</v>
      </c>
      <c r="F5845">
        <v>20</v>
      </c>
      <c r="G5845">
        <f>LOG(382/(20+1))</f>
        <v>1.2598440681777894</v>
      </c>
      <c r="H5845">
        <f>0.00531914893617021*2.90089817088315</f>
        <v>1.5430309419591216E-2</v>
      </c>
      <c r="I5845">
        <v>1.543030941959123E-2</v>
      </c>
    </row>
    <row r="5846" spans="1:9" x14ac:dyDescent="0.25">
      <c r="A5846">
        <v>328</v>
      </c>
      <c r="B5846" t="s">
        <v>2179</v>
      </c>
      <c r="C5846" t="s">
        <v>10</v>
      </c>
      <c r="D5846" t="s">
        <v>388</v>
      </c>
      <c r="E5846">
        <f t="shared" si="262"/>
        <v>5.3191489361702126E-3</v>
      </c>
      <c r="F5846">
        <v>44</v>
      </c>
      <c r="G5846">
        <f>LOG(382/(44+1))</f>
        <v>0.92885084913636506</v>
      </c>
      <c r="H5846">
        <f>0.00531914893617021*2.13875811883625</f>
        <v>1.1376372972533239E-2</v>
      </c>
      <c r="I5846">
        <v>1.137637297253327E-2</v>
      </c>
    </row>
    <row r="5847" spans="1:9" x14ac:dyDescent="0.25">
      <c r="A5847">
        <v>328</v>
      </c>
      <c r="B5847" t="s">
        <v>2179</v>
      </c>
      <c r="C5847" t="s">
        <v>10</v>
      </c>
      <c r="D5847" t="s">
        <v>1918</v>
      </c>
      <c r="E5847">
        <f t="shared" si="262"/>
        <v>5.3191489361702126E-3</v>
      </c>
      <c r="F5847">
        <v>25</v>
      </c>
      <c r="G5847">
        <f>LOG(382/(25+1))</f>
        <v>1.1670900149408907</v>
      </c>
      <c r="H5847">
        <f>0.00531914893617021*2.68732407058509</f>
        <v>1.429427697119728E-2</v>
      </c>
      <c r="I5847">
        <v>1.42942769711973E-2</v>
      </c>
    </row>
    <row r="5848" spans="1:9" x14ac:dyDescent="0.25">
      <c r="A5848">
        <v>328</v>
      </c>
      <c r="B5848" t="s">
        <v>2179</v>
      </c>
      <c r="C5848" t="s">
        <v>10</v>
      </c>
      <c r="D5848" t="s">
        <v>1831</v>
      </c>
      <c r="E5848">
        <f t="shared" si="262"/>
        <v>5.3191489361702126E-3</v>
      </c>
      <c r="F5848">
        <v>28</v>
      </c>
      <c r="G5848">
        <f>LOG(382/(28+1))</f>
        <v>1.1196653650127526</v>
      </c>
      <c r="H5848">
        <f>0.00531914893617021*2.5781247786201</f>
        <v>1.3713429673511163E-2</v>
      </c>
      <c r="I5848">
        <v>1.371342967351118E-2</v>
      </c>
    </row>
    <row r="5849" spans="1:9" x14ac:dyDescent="0.25">
      <c r="A5849">
        <v>328</v>
      </c>
      <c r="B5849" t="s">
        <v>2179</v>
      </c>
      <c r="C5849" t="s">
        <v>10</v>
      </c>
      <c r="D5849" t="s">
        <v>763</v>
      </c>
      <c r="E5849">
        <f t="shared" si="262"/>
        <v>5.3191489361702126E-3</v>
      </c>
      <c r="F5849">
        <v>47</v>
      </c>
      <c r="G5849">
        <f>LOG(382/(47+1))</f>
        <v>0.90082212553612151</v>
      </c>
      <c r="H5849">
        <f>0.00531914893617021*2.07421959769868</f>
        <v>1.1033082966482335E-2</v>
      </c>
      <c r="I5849">
        <v>1.1033082966482361E-2</v>
      </c>
    </row>
    <row r="5850" spans="1:9" x14ac:dyDescent="0.25">
      <c r="A5850">
        <v>328</v>
      </c>
      <c r="B5850" t="s">
        <v>2179</v>
      </c>
      <c r="C5850" t="s">
        <v>10</v>
      </c>
      <c r="D5850" t="s">
        <v>1098</v>
      </c>
      <c r="E5850">
        <f t="shared" si="262"/>
        <v>5.3191489361702126E-3</v>
      </c>
      <c r="F5850">
        <v>19</v>
      </c>
      <c r="G5850">
        <f>LOG(382/(19+1))</f>
        <v>1.2810333672477277</v>
      </c>
      <c r="H5850">
        <f>0.00531914893617021*2.94968833505258</f>
        <v>1.568983156942861E-2</v>
      </c>
      <c r="I5850">
        <v>1.5689831569428641E-2</v>
      </c>
    </row>
    <row r="5851" spans="1:9" x14ac:dyDescent="0.25">
      <c r="A5851">
        <v>328</v>
      </c>
      <c r="B5851" t="s">
        <v>2179</v>
      </c>
      <c r="C5851" t="s">
        <v>10</v>
      </c>
      <c r="D5851" t="s">
        <v>2209</v>
      </c>
      <c r="E5851">
        <f t="shared" si="262"/>
        <v>5.3191489361702126E-3</v>
      </c>
      <c r="F5851">
        <v>2</v>
      </c>
      <c r="G5851">
        <f>LOG(382/(2+1))</f>
        <v>2.1049421081920463</v>
      </c>
      <c r="H5851">
        <f>0.00531914893617021*4.84680831993846</f>
        <v>2.5780895318821582E-2</v>
      </c>
      <c r="I5851">
        <v>2.578089531882162E-2</v>
      </c>
    </row>
    <row r="5852" spans="1:9" x14ac:dyDescent="0.25">
      <c r="A5852">
        <v>328</v>
      </c>
      <c r="B5852" t="s">
        <v>2179</v>
      </c>
      <c r="C5852" t="s">
        <v>10</v>
      </c>
      <c r="D5852" t="s">
        <v>2210</v>
      </c>
      <c r="E5852">
        <f t="shared" si="262"/>
        <v>5.3191489361702126E-3</v>
      </c>
      <c r="F5852">
        <v>1</v>
      </c>
      <c r="G5852">
        <f>LOG(382/(1+1))</f>
        <v>2.2810333672477277</v>
      </c>
      <c r="H5852">
        <f>0.00531914893617021*5.25227342804663</f>
        <v>2.7937624617269292E-2</v>
      </c>
      <c r="I5852">
        <v>2.793762461726931E-2</v>
      </c>
    </row>
    <row r="5853" spans="1:9" x14ac:dyDescent="0.25">
      <c r="A5853">
        <v>328</v>
      </c>
      <c r="B5853" t="s">
        <v>2179</v>
      </c>
      <c r="C5853" t="s">
        <v>10</v>
      </c>
      <c r="D5853" t="s">
        <v>2211</v>
      </c>
      <c r="E5853">
        <f t="shared" si="262"/>
        <v>5.3191489361702126E-3</v>
      </c>
      <c r="F5853">
        <v>9</v>
      </c>
      <c r="G5853">
        <f>LOG(382/(9+1))</f>
        <v>1.5820633629117087</v>
      </c>
      <c r="H5853">
        <f>0.00531914893617021*3.64283551561252</f>
        <v>1.9376784657513395E-2</v>
      </c>
      <c r="I5853">
        <v>1.9376784657513451E-2</v>
      </c>
    </row>
    <row r="5854" spans="1:9" x14ac:dyDescent="0.25">
      <c r="A5854">
        <v>328</v>
      </c>
      <c r="B5854" t="s">
        <v>2179</v>
      </c>
      <c r="C5854" t="s">
        <v>10</v>
      </c>
      <c r="D5854" t="s">
        <v>2212</v>
      </c>
      <c r="E5854">
        <f t="shared" si="262"/>
        <v>5.3191489361702126E-3</v>
      </c>
      <c r="F5854">
        <v>1</v>
      </c>
      <c r="G5854">
        <f>LOG(382/(1+1))</f>
        <v>2.2810333672477277</v>
      </c>
      <c r="H5854">
        <f>0.00531914893617021*5.25227342804663</f>
        <v>2.7937624617269292E-2</v>
      </c>
      <c r="I5854">
        <v>2.793762461726931E-2</v>
      </c>
    </row>
    <row r="5855" spans="1:9" x14ac:dyDescent="0.25">
      <c r="A5855">
        <v>328</v>
      </c>
      <c r="B5855" t="s">
        <v>2179</v>
      </c>
      <c r="C5855" t="s">
        <v>10</v>
      </c>
      <c r="D5855" t="s">
        <v>2213</v>
      </c>
      <c r="E5855">
        <f t="shared" si="262"/>
        <v>5.3191489361702126E-3</v>
      </c>
      <c r="F5855">
        <v>1</v>
      </c>
      <c r="G5855">
        <f>LOG(382/(1+1))</f>
        <v>2.2810333672477277</v>
      </c>
      <c r="H5855">
        <f>0.00531914893617021*5.25227342804663</f>
        <v>2.7937624617269292E-2</v>
      </c>
      <c r="I5855">
        <v>2.793762461726931E-2</v>
      </c>
    </row>
    <row r="5856" spans="1:9" x14ac:dyDescent="0.25">
      <c r="A5856">
        <v>328</v>
      </c>
      <c r="B5856" t="s">
        <v>2179</v>
      </c>
      <c r="C5856" t="s">
        <v>10</v>
      </c>
      <c r="D5856" t="s">
        <v>1921</v>
      </c>
      <c r="E5856">
        <f t="shared" si="262"/>
        <v>5.3191489361702126E-3</v>
      </c>
      <c r="F5856">
        <v>37</v>
      </c>
      <c r="G5856">
        <f>LOG(382/(37+1))</f>
        <v>1.0022797662948986</v>
      </c>
      <c r="H5856">
        <f>0.00531914893617021*2.30783444888018</f>
        <v>1.2275715153617972E-2</v>
      </c>
      <c r="I5856">
        <v>1.2275715153618029E-2</v>
      </c>
    </row>
    <row r="5857" spans="1:9" x14ac:dyDescent="0.25">
      <c r="A5857">
        <v>328</v>
      </c>
      <c r="B5857" t="s">
        <v>2179</v>
      </c>
      <c r="C5857" t="s">
        <v>10</v>
      </c>
      <c r="D5857" t="s">
        <v>2105</v>
      </c>
      <c r="E5857">
        <f t="shared" si="262"/>
        <v>5.3191489361702126E-3</v>
      </c>
      <c r="F5857">
        <v>10</v>
      </c>
      <c r="G5857">
        <f>LOG(382/(10+1))</f>
        <v>1.5406706777534838</v>
      </c>
      <c r="H5857">
        <f>0.00531914893617021*3.5475253358082</f>
        <v>1.8869815616001054E-2</v>
      </c>
      <c r="I5857">
        <v>1.8869815616001089E-2</v>
      </c>
    </row>
    <row r="5858" spans="1:9" x14ac:dyDescent="0.25">
      <c r="A5858">
        <v>328</v>
      </c>
      <c r="B5858" t="s">
        <v>2179</v>
      </c>
      <c r="C5858" t="s">
        <v>10</v>
      </c>
      <c r="D5858" t="s">
        <v>1469</v>
      </c>
      <c r="E5858">
        <f>2/188</f>
        <v>1.0638297872340425E-2</v>
      </c>
      <c r="F5858">
        <v>24</v>
      </c>
      <c r="G5858">
        <f>LOG(382/(24+1))</f>
        <v>1.1841233542396712</v>
      </c>
      <c r="H5858">
        <f>0.0106382978723404*2.72654478373837</f>
        <v>2.9005795571684714E-2</v>
      </c>
      <c r="I5858">
        <v>2.9005795571684829E-2</v>
      </c>
    </row>
    <row r="5859" spans="1:9" x14ac:dyDescent="0.25">
      <c r="A5859">
        <v>328</v>
      </c>
      <c r="B5859" t="s">
        <v>2179</v>
      </c>
      <c r="C5859" t="s">
        <v>10</v>
      </c>
      <c r="D5859" t="s">
        <v>2214</v>
      </c>
      <c r="E5859">
        <f t="shared" ref="E5859:E5866" si="263">1/188</f>
        <v>5.3191489361702126E-3</v>
      </c>
      <c r="F5859">
        <v>1</v>
      </c>
      <c r="G5859">
        <f>LOG(382/(1+1))</f>
        <v>2.2810333672477277</v>
      </c>
      <c r="H5859">
        <f>0.00531914893617021*5.25227342804663</f>
        <v>2.7937624617269292E-2</v>
      </c>
      <c r="I5859">
        <v>2.793762461726931E-2</v>
      </c>
    </row>
    <row r="5860" spans="1:9" x14ac:dyDescent="0.25">
      <c r="A5860">
        <v>328</v>
      </c>
      <c r="B5860" t="s">
        <v>2179</v>
      </c>
      <c r="C5860" t="s">
        <v>10</v>
      </c>
      <c r="D5860" t="s">
        <v>688</v>
      </c>
      <c r="E5860">
        <f t="shared" si="263"/>
        <v>5.3191489361702126E-3</v>
      </c>
      <c r="F5860">
        <v>23</v>
      </c>
      <c r="G5860">
        <f>LOG(382/(23+1))</f>
        <v>1.2018521212001028</v>
      </c>
      <c r="H5860">
        <f>0.00531914893617021*2.76736677825862</f>
        <v>1.472003605456712E-2</v>
      </c>
      <c r="I5860">
        <v>1.4720036054567179E-2</v>
      </c>
    </row>
    <row r="5861" spans="1:9" x14ac:dyDescent="0.25">
      <c r="A5861">
        <v>328</v>
      </c>
      <c r="B5861" t="s">
        <v>2179</v>
      </c>
      <c r="C5861" t="s">
        <v>10</v>
      </c>
      <c r="D5861" t="s">
        <v>754</v>
      </c>
      <c r="E5861">
        <f t="shared" si="263"/>
        <v>5.3191489361702126E-3</v>
      </c>
      <c r="F5861">
        <v>111</v>
      </c>
      <c r="G5861">
        <f>LOG(382/(111+1))</f>
        <v>0.53284534024152708</v>
      </c>
      <c r="H5861">
        <f>0.00531914893617021*1.22692173731148</f>
        <v>6.5261794537844649E-3</v>
      </c>
      <c r="I5861">
        <v>6.5261794537844718E-3</v>
      </c>
    </row>
    <row r="5862" spans="1:9" x14ac:dyDescent="0.25">
      <c r="A5862">
        <v>328</v>
      </c>
      <c r="B5862" t="s">
        <v>2179</v>
      </c>
      <c r="C5862" t="s">
        <v>10</v>
      </c>
      <c r="D5862" t="s">
        <v>804</v>
      </c>
      <c r="E5862">
        <f t="shared" si="263"/>
        <v>5.3191489361702126E-3</v>
      </c>
      <c r="F5862">
        <v>4</v>
      </c>
      <c r="G5862">
        <f>LOG(382/(4+1))</f>
        <v>1.8830933585756899</v>
      </c>
      <c r="H5862">
        <f>0.00531914893617021*4.33598269617247</f>
        <v>2.3063737745598233E-2</v>
      </c>
      <c r="I5862">
        <v>2.3063737745598271E-2</v>
      </c>
    </row>
    <row r="5863" spans="1:9" x14ac:dyDescent="0.25">
      <c r="A5863">
        <v>328</v>
      </c>
      <c r="B5863" t="s">
        <v>2179</v>
      </c>
      <c r="C5863" t="s">
        <v>10</v>
      </c>
      <c r="D5863" t="s">
        <v>2215</v>
      </c>
      <c r="E5863">
        <f t="shared" si="263"/>
        <v>5.3191489361702126E-3</v>
      </c>
      <c r="F5863">
        <v>1</v>
      </c>
      <c r="G5863">
        <f>LOG(382/(1+1))</f>
        <v>2.2810333672477277</v>
      </c>
      <c r="H5863">
        <f>0.00531914893617021*5.25227342804663</f>
        <v>2.7937624617269292E-2</v>
      </c>
      <c r="I5863">
        <v>2.793762461726931E-2</v>
      </c>
    </row>
    <row r="5864" spans="1:9" x14ac:dyDescent="0.25">
      <c r="A5864">
        <v>328</v>
      </c>
      <c r="B5864" t="s">
        <v>2179</v>
      </c>
      <c r="C5864" t="s">
        <v>10</v>
      </c>
      <c r="D5864" t="s">
        <v>483</v>
      </c>
      <c r="E5864">
        <f t="shared" si="263"/>
        <v>5.3191489361702126E-3</v>
      </c>
      <c r="F5864">
        <v>61</v>
      </c>
      <c r="G5864">
        <f>LOG(382/(61+1))</f>
        <v>0.7896716734134549</v>
      </c>
      <c r="H5864">
        <f>0.00531914893617021*1.81828622356148</f>
        <v>9.6717352317099957E-3</v>
      </c>
      <c r="I5864">
        <v>9.6717352317100182E-3</v>
      </c>
    </row>
    <row r="5865" spans="1:9" x14ac:dyDescent="0.25">
      <c r="A5865">
        <v>328</v>
      </c>
      <c r="B5865" t="s">
        <v>2179</v>
      </c>
      <c r="C5865" t="s">
        <v>10</v>
      </c>
      <c r="D5865" t="s">
        <v>322</v>
      </c>
      <c r="E5865">
        <f t="shared" si="263"/>
        <v>5.3191489361702126E-3</v>
      </c>
      <c r="F5865">
        <v>128</v>
      </c>
      <c r="G5865">
        <f>LOG(382/(128+1))</f>
        <v>0.47147365261245977</v>
      </c>
      <c r="H5865">
        <f>0.00531914893617021*1.0856082042449</f>
        <v>5.7745117247069121E-3</v>
      </c>
      <c r="I5865">
        <v>5.7745117247069312E-3</v>
      </c>
    </row>
    <row r="5866" spans="1:9" x14ac:dyDescent="0.25">
      <c r="A5866">
        <v>328</v>
      </c>
      <c r="B5866" t="s">
        <v>2179</v>
      </c>
      <c r="C5866" t="s">
        <v>10</v>
      </c>
      <c r="D5866" t="s">
        <v>753</v>
      </c>
      <c r="E5866">
        <f t="shared" si="263"/>
        <v>5.3191489361702126E-3</v>
      </c>
      <c r="F5866">
        <v>19</v>
      </c>
      <c r="G5866">
        <f>LOG(382/(19+1))</f>
        <v>1.2810333672477277</v>
      </c>
      <c r="H5866">
        <f>0.00531914893617021*2.94968833505258</f>
        <v>1.568983156942861E-2</v>
      </c>
      <c r="I5866">
        <v>1.5689831569428641E-2</v>
      </c>
    </row>
    <row r="5867" spans="1:9" x14ac:dyDescent="0.25">
      <c r="A5867">
        <v>330</v>
      </c>
      <c r="B5867" t="s">
        <v>2216</v>
      </c>
      <c r="C5867" t="s">
        <v>10</v>
      </c>
      <c r="D5867" t="s">
        <v>570</v>
      </c>
      <c r="E5867">
        <f>2/26</f>
        <v>7.6923076923076927E-2</v>
      </c>
      <c r="F5867">
        <v>27</v>
      </c>
      <c r="G5867">
        <f>LOG(382/(27+1))</f>
        <v>1.1349053315694895</v>
      </c>
      <c r="H5867">
        <f>0.0769230769230769*2.61321609843137</f>
        <v>0.20101662295625919</v>
      </c>
      <c r="I5867">
        <v>0.2010166229562593</v>
      </c>
    </row>
    <row r="5868" spans="1:9" x14ac:dyDescent="0.25">
      <c r="A5868">
        <v>330</v>
      </c>
      <c r="B5868" t="s">
        <v>2216</v>
      </c>
      <c r="C5868" t="s">
        <v>10</v>
      </c>
      <c r="D5868" t="s">
        <v>2217</v>
      </c>
      <c r="E5868">
        <f>3/26</f>
        <v>0.11538461538461539</v>
      </c>
      <c r="F5868">
        <v>4</v>
      </c>
      <c r="G5868">
        <f>LOG(382/(4+1))</f>
        <v>1.8830933585756899</v>
      </c>
      <c r="H5868">
        <f>0.115384615384615*4.33598269617247</f>
        <v>0.50030569571220651</v>
      </c>
      <c r="I5868">
        <v>0.50030569571220862</v>
      </c>
    </row>
    <row r="5869" spans="1:9" x14ac:dyDescent="0.25">
      <c r="A5869">
        <v>330</v>
      </c>
      <c r="B5869" t="s">
        <v>2216</v>
      </c>
      <c r="C5869" t="s">
        <v>10</v>
      </c>
      <c r="D5869" t="s">
        <v>2218</v>
      </c>
      <c r="E5869">
        <f>2/26</f>
        <v>7.6923076923076927E-2</v>
      </c>
      <c r="F5869">
        <v>3</v>
      </c>
      <c r="G5869">
        <f>LOG(382/(3+1))</f>
        <v>1.9800033715837464</v>
      </c>
      <c r="H5869">
        <f>0.0769230769230769*4.55912624748668</f>
        <v>0.35070201903743681</v>
      </c>
      <c r="I5869">
        <v>0.35070201903743731</v>
      </c>
    </row>
    <row r="5870" spans="1:9" x14ac:dyDescent="0.25">
      <c r="A5870">
        <v>330</v>
      </c>
      <c r="B5870" t="s">
        <v>2216</v>
      </c>
      <c r="C5870" t="s">
        <v>10</v>
      </c>
      <c r="D5870" t="s">
        <v>2219</v>
      </c>
      <c r="E5870">
        <f>2/26</f>
        <v>7.6923076923076927E-2</v>
      </c>
      <c r="F5870">
        <v>3</v>
      </c>
      <c r="G5870">
        <f>LOG(382/(3+1))</f>
        <v>1.9800033715837464</v>
      </c>
      <c r="H5870">
        <f>0.0769230769230769*4.55912624748668</f>
        <v>0.35070201903743681</v>
      </c>
      <c r="I5870">
        <v>0.35070201903743731</v>
      </c>
    </row>
    <row r="5871" spans="1:9" x14ac:dyDescent="0.25">
      <c r="A5871">
        <v>330</v>
      </c>
      <c r="B5871" t="s">
        <v>2216</v>
      </c>
      <c r="C5871" t="s">
        <v>10</v>
      </c>
      <c r="D5871" t="s">
        <v>42</v>
      </c>
      <c r="E5871">
        <f t="shared" ref="E5871:E5887" si="264">1/26</f>
        <v>3.8461538461538464E-2</v>
      </c>
      <c r="F5871">
        <v>251</v>
      </c>
      <c r="G5871">
        <f>LOG(382/(251+1))</f>
        <v>0.18066282213016463</v>
      </c>
      <c r="H5871">
        <f>0.0384615384615384*0.415991521095151</f>
        <v>1.5999673888275012E-2</v>
      </c>
      <c r="I5871">
        <v>1.5999673888275071E-2</v>
      </c>
    </row>
    <row r="5872" spans="1:9" x14ac:dyDescent="0.25">
      <c r="A5872">
        <v>330</v>
      </c>
      <c r="B5872" t="s">
        <v>2216</v>
      </c>
      <c r="C5872" t="s">
        <v>10</v>
      </c>
      <c r="D5872" t="s">
        <v>16</v>
      </c>
      <c r="E5872">
        <f t="shared" si="264"/>
        <v>3.8461538461538464E-2</v>
      </c>
      <c r="F5872">
        <v>8</v>
      </c>
      <c r="G5872">
        <f>LOG(382/(8+1))</f>
        <v>1.6278208534723839</v>
      </c>
      <c r="H5872">
        <f>0.0384615384615384*3.74819603127035</f>
        <v>0.14416138581809015</v>
      </c>
      <c r="I5872">
        <v>0.1441613858180906</v>
      </c>
    </row>
    <row r="5873" spans="1:9" x14ac:dyDescent="0.25">
      <c r="A5873">
        <v>330</v>
      </c>
      <c r="B5873" t="s">
        <v>2216</v>
      </c>
      <c r="C5873" t="s">
        <v>10</v>
      </c>
      <c r="D5873" t="s">
        <v>18</v>
      </c>
      <c r="E5873">
        <f t="shared" si="264"/>
        <v>3.8461538461538464E-2</v>
      </c>
      <c r="F5873">
        <v>7</v>
      </c>
      <c r="G5873">
        <f>LOG(382/(7+1))</f>
        <v>1.6789733759197651</v>
      </c>
      <c r="H5873">
        <f>0.0384615384615384*3.86597906692673</f>
        <v>0.14869150257410477</v>
      </c>
      <c r="I5873">
        <v>0.14869150257410529</v>
      </c>
    </row>
    <row r="5874" spans="1:9" x14ac:dyDescent="0.25">
      <c r="A5874">
        <v>330</v>
      </c>
      <c r="B5874" t="s">
        <v>2216</v>
      </c>
      <c r="C5874" t="s">
        <v>10</v>
      </c>
      <c r="D5874" t="s">
        <v>19</v>
      </c>
      <c r="E5874">
        <f t="shared" si="264"/>
        <v>3.8461538461538464E-2</v>
      </c>
      <c r="F5874">
        <v>220</v>
      </c>
      <c r="G5874">
        <f>LOG(382/(220+1))</f>
        <v>0.23767108922659805</v>
      </c>
      <c r="H5874">
        <f>0.0384615384615384*0.547257907088822</f>
        <v>2.1048381041877739E-2</v>
      </c>
      <c r="I5874">
        <v>2.104838104187778E-2</v>
      </c>
    </row>
    <row r="5875" spans="1:9" x14ac:dyDescent="0.25">
      <c r="A5875">
        <v>330</v>
      </c>
      <c r="B5875" t="s">
        <v>2216</v>
      </c>
      <c r="C5875" t="s">
        <v>10</v>
      </c>
      <c r="D5875" t="s">
        <v>20</v>
      </c>
      <c r="E5875">
        <f t="shared" si="264"/>
        <v>3.8461538461538464E-2</v>
      </c>
      <c r="F5875">
        <v>19</v>
      </c>
      <c r="G5875">
        <f>LOG(382/(19+1))</f>
        <v>1.2810333672477277</v>
      </c>
      <c r="H5875">
        <f>0.0384615384615384*2.94968833505258</f>
        <v>0.11344955134817597</v>
      </c>
      <c r="I5875">
        <v>0.1134495513481763</v>
      </c>
    </row>
    <row r="5876" spans="1:9" x14ac:dyDescent="0.25">
      <c r="A5876">
        <v>330</v>
      </c>
      <c r="B5876" t="s">
        <v>2216</v>
      </c>
      <c r="C5876" t="s">
        <v>10</v>
      </c>
      <c r="D5876" t="s">
        <v>22</v>
      </c>
      <c r="E5876">
        <f t="shared" si="264"/>
        <v>3.8461538461538464E-2</v>
      </c>
      <c r="F5876">
        <v>259</v>
      </c>
      <c r="G5876">
        <f>LOG(382/(259+1))</f>
        <v>0.16709001494089079</v>
      </c>
      <c r="H5876">
        <f>0.0384615384615384*0.384738977591047</f>
        <v>1.4797652984271017E-2</v>
      </c>
      <c r="I5876">
        <v>1.479765298427106E-2</v>
      </c>
    </row>
    <row r="5877" spans="1:9" x14ac:dyDescent="0.25">
      <c r="A5877">
        <v>330</v>
      </c>
      <c r="B5877" t="s">
        <v>2216</v>
      </c>
      <c r="C5877" t="s">
        <v>10</v>
      </c>
      <c r="D5877" t="s">
        <v>23</v>
      </c>
      <c r="E5877">
        <f t="shared" si="264"/>
        <v>3.8461538461538464E-2</v>
      </c>
      <c r="F5877">
        <v>275</v>
      </c>
      <c r="G5877">
        <f>LOG(382/(275+1))</f>
        <v>0.14115428084649101</v>
      </c>
      <c r="H5877">
        <f>0.0384615384615384*0.325019742889425</f>
        <v>1.2500759341900942E-2</v>
      </c>
      <c r="I5877">
        <v>1.250075934190097E-2</v>
      </c>
    </row>
    <row r="5878" spans="1:9" x14ac:dyDescent="0.25">
      <c r="A5878">
        <v>330</v>
      </c>
      <c r="B5878" t="s">
        <v>2216</v>
      </c>
      <c r="C5878" t="s">
        <v>10</v>
      </c>
      <c r="D5878" t="s">
        <v>204</v>
      </c>
      <c r="E5878">
        <f t="shared" si="264"/>
        <v>3.8461538461538464E-2</v>
      </c>
      <c r="F5878">
        <v>166</v>
      </c>
      <c r="G5878">
        <f>LOG(382/(166+1))</f>
        <v>0.35934689176412549</v>
      </c>
      <c r="H5878">
        <f>0.0384615384615384*0.82742679618982</f>
        <v>3.1824107545762259E-2</v>
      </c>
      <c r="I5878">
        <v>3.1824107545762308E-2</v>
      </c>
    </row>
    <row r="5879" spans="1:9" x14ac:dyDescent="0.25">
      <c r="A5879">
        <v>330</v>
      </c>
      <c r="B5879" t="s">
        <v>2216</v>
      </c>
      <c r="C5879" t="s">
        <v>10</v>
      </c>
      <c r="D5879" t="s">
        <v>77</v>
      </c>
      <c r="E5879">
        <f t="shared" si="264"/>
        <v>3.8461538461538464E-2</v>
      </c>
      <c r="F5879">
        <v>148</v>
      </c>
      <c r="G5879">
        <f>LOG(382/(148+1))</f>
        <v>0.40887709449943471</v>
      </c>
      <c r="H5879">
        <f>0.0384615384615384*0.941474302661116</f>
        <v>3.621055010235056E-2</v>
      </c>
      <c r="I5879">
        <v>3.6210550102350622E-2</v>
      </c>
    </row>
    <row r="5880" spans="1:9" x14ac:dyDescent="0.25">
      <c r="A5880">
        <v>330</v>
      </c>
      <c r="B5880" t="s">
        <v>2216</v>
      </c>
      <c r="C5880" t="s">
        <v>10</v>
      </c>
      <c r="D5880" t="s">
        <v>477</v>
      </c>
      <c r="E5880">
        <f t="shared" si="264"/>
        <v>3.8461538461538464E-2</v>
      </c>
      <c r="F5880">
        <v>17</v>
      </c>
      <c r="G5880">
        <f>LOG(382/(17+1))</f>
        <v>1.3267908578084027</v>
      </c>
      <c r="H5880">
        <f>0.0384615384615384*3.05504885071041</f>
        <v>0.11750187887347711</v>
      </c>
      <c r="I5880">
        <v>0.11750187887347729</v>
      </c>
    </row>
    <row r="5881" spans="1:9" x14ac:dyDescent="0.25">
      <c r="A5881">
        <v>330</v>
      </c>
      <c r="B5881" t="s">
        <v>2216</v>
      </c>
      <c r="C5881" t="s">
        <v>10</v>
      </c>
      <c r="D5881" t="s">
        <v>79</v>
      </c>
      <c r="E5881">
        <f t="shared" si="264"/>
        <v>3.8461538461538464E-2</v>
      </c>
      <c r="F5881">
        <v>26</v>
      </c>
      <c r="G5881">
        <f>LOG(382/(26+1))</f>
        <v>1.1506995987527215</v>
      </c>
      <c r="H5881">
        <f>0.0384615384615384*2.64958374260224</f>
        <v>0.10190706702316292</v>
      </c>
      <c r="I5881">
        <v>0.10190706702316329</v>
      </c>
    </row>
    <row r="5882" spans="1:9" x14ac:dyDescent="0.25">
      <c r="A5882">
        <v>330</v>
      </c>
      <c r="B5882" t="s">
        <v>2216</v>
      </c>
      <c r="C5882" t="s">
        <v>10</v>
      </c>
      <c r="D5882" t="s">
        <v>911</v>
      </c>
      <c r="E5882">
        <f t="shared" si="264"/>
        <v>3.8461538461538464E-2</v>
      </c>
      <c r="F5882">
        <v>22</v>
      </c>
      <c r="G5882">
        <f>LOG(382/(22+1))</f>
        <v>1.2203355268941158</v>
      </c>
      <c r="H5882">
        <f>0.0384615384615384*2.80992639267742</f>
        <v>0.10807409202605443</v>
      </c>
      <c r="I5882">
        <v>0.10807409202605479</v>
      </c>
    </row>
    <row r="5883" spans="1:9" x14ac:dyDescent="0.25">
      <c r="A5883">
        <v>330</v>
      </c>
      <c r="B5883" t="s">
        <v>2216</v>
      </c>
      <c r="C5883" t="s">
        <v>10</v>
      </c>
      <c r="D5883" t="s">
        <v>39</v>
      </c>
      <c r="E5883">
        <f t="shared" si="264"/>
        <v>3.8461538461538464E-2</v>
      </c>
      <c r="F5883">
        <v>145</v>
      </c>
      <c r="G5883">
        <f>LOG(382/(145+1))</f>
        <v>0.41771050712727159</v>
      </c>
      <c r="H5883">
        <f>0.0384615384615384*0.961813986898238</f>
        <v>3.6992845649932174E-2</v>
      </c>
      <c r="I5883">
        <v>3.6992845649932257E-2</v>
      </c>
    </row>
    <row r="5884" spans="1:9" x14ac:dyDescent="0.25">
      <c r="A5884">
        <v>330</v>
      </c>
      <c r="B5884" t="s">
        <v>2216</v>
      </c>
      <c r="C5884" t="s">
        <v>10</v>
      </c>
      <c r="D5884" t="s">
        <v>942</v>
      </c>
      <c r="E5884">
        <f t="shared" si="264"/>
        <v>3.8461538461538464E-2</v>
      </c>
      <c r="F5884">
        <v>10</v>
      </c>
      <c r="G5884">
        <f>LOG(382/(10+1))</f>
        <v>1.5406706777534838</v>
      </c>
      <c r="H5884">
        <f>0.0384615384615384*3.5475253358082</f>
        <v>0.13644328214646903</v>
      </c>
      <c r="I5884">
        <v>0.13644328214646939</v>
      </c>
    </row>
    <row r="5885" spans="1:9" x14ac:dyDescent="0.25">
      <c r="A5885">
        <v>330</v>
      </c>
      <c r="B5885" t="s">
        <v>2216</v>
      </c>
      <c r="C5885" t="s">
        <v>10</v>
      </c>
      <c r="D5885" t="s">
        <v>1633</v>
      </c>
      <c r="E5885">
        <f t="shared" si="264"/>
        <v>3.8461538461538464E-2</v>
      </c>
      <c r="F5885">
        <v>18</v>
      </c>
      <c r="G5885">
        <f>LOG(382/(18+1))</f>
        <v>1.3033097619588798</v>
      </c>
      <c r="H5885">
        <f>0.0384615384615384*3.00098162944013</f>
        <v>0.11542237036308174</v>
      </c>
      <c r="I5885">
        <v>0.1154223703630821</v>
      </c>
    </row>
    <row r="5886" spans="1:9" x14ac:dyDescent="0.25">
      <c r="A5886">
        <v>330</v>
      </c>
      <c r="B5886" t="s">
        <v>2216</v>
      </c>
      <c r="C5886" t="s">
        <v>10</v>
      </c>
      <c r="D5886" t="s">
        <v>765</v>
      </c>
      <c r="E5886">
        <f t="shared" si="264"/>
        <v>3.8461538461538464E-2</v>
      </c>
      <c r="F5886">
        <v>44</v>
      </c>
      <c r="G5886">
        <f>LOG(382/(44+1))</f>
        <v>0.92885084913636506</v>
      </c>
      <c r="H5886">
        <f>0.0384615384615384*2.13875811883625</f>
        <v>8.2259927647547942E-2</v>
      </c>
      <c r="I5886">
        <v>8.2259927647548275E-2</v>
      </c>
    </row>
    <row r="5887" spans="1:9" x14ac:dyDescent="0.25">
      <c r="A5887">
        <v>330</v>
      </c>
      <c r="B5887" t="s">
        <v>2216</v>
      </c>
      <c r="C5887" t="s">
        <v>10</v>
      </c>
      <c r="D5887" t="s">
        <v>2220</v>
      </c>
      <c r="E5887">
        <f t="shared" si="264"/>
        <v>3.8461538461538464E-2</v>
      </c>
      <c r="F5887">
        <v>21</v>
      </c>
      <c r="G5887">
        <f>LOG(382/(21+1))</f>
        <v>1.2396406820895025</v>
      </c>
      <c r="H5887">
        <f>0.0384615384615384*2.85437815524825</f>
        <v>0.10978377520185559</v>
      </c>
      <c r="I5887">
        <v>0.1097837752018561</v>
      </c>
    </row>
    <row r="5888" spans="1:9" x14ac:dyDescent="0.25">
      <c r="A5888">
        <v>331</v>
      </c>
      <c r="B5888" t="s">
        <v>2221</v>
      </c>
      <c r="C5888" t="s">
        <v>10</v>
      </c>
      <c r="D5888" t="s">
        <v>315</v>
      </c>
      <c r="E5888">
        <f>2/29</f>
        <v>6.8965517241379309E-2</v>
      </c>
      <c r="F5888">
        <v>55</v>
      </c>
      <c r="G5888">
        <f>LOG(382/(55+1))</f>
        <v>0.83387533590550833</v>
      </c>
      <c r="H5888">
        <f>0.0689655172413793*1.92006891787142</f>
        <v>0.1324185460600979</v>
      </c>
      <c r="I5888">
        <v>0.13241854606009831</v>
      </c>
    </row>
    <row r="5889" spans="1:9" x14ac:dyDescent="0.25">
      <c r="A5889">
        <v>331</v>
      </c>
      <c r="B5889" t="s">
        <v>2221</v>
      </c>
      <c r="C5889" t="s">
        <v>10</v>
      </c>
      <c r="D5889" t="s">
        <v>2222</v>
      </c>
      <c r="E5889">
        <f t="shared" ref="E5889:E5915" si="265">1/29</f>
        <v>3.4482758620689655E-2</v>
      </c>
      <c r="F5889">
        <v>1</v>
      </c>
      <c r="G5889">
        <f>LOG(382/(1+1))</f>
        <v>2.2810333672477277</v>
      </c>
      <c r="H5889">
        <f>0.0344827586206896*5.25227342804663</f>
        <v>0.18111287682919383</v>
      </c>
      <c r="I5889">
        <v>0.18111287682919411</v>
      </c>
    </row>
    <row r="5890" spans="1:9" x14ac:dyDescent="0.25">
      <c r="A5890">
        <v>331</v>
      </c>
      <c r="B5890" t="s">
        <v>2221</v>
      </c>
      <c r="C5890" t="s">
        <v>10</v>
      </c>
      <c r="D5890" t="s">
        <v>16</v>
      </c>
      <c r="E5890">
        <f t="shared" si="265"/>
        <v>3.4482758620689655E-2</v>
      </c>
      <c r="F5890">
        <v>8</v>
      </c>
      <c r="G5890">
        <f>LOG(382/(8+1))</f>
        <v>1.6278208534723839</v>
      </c>
      <c r="H5890">
        <f>0.0344827586206896*3.74819603127035</f>
        <v>0.12924813900932219</v>
      </c>
      <c r="I5890">
        <v>0.12924813900932261</v>
      </c>
    </row>
    <row r="5891" spans="1:9" x14ac:dyDescent="0.25">
      <c r="A5891">
        <v>331</v>
      </c>
      <c r="B5891" t="s">
        <v>2221</v>
      </c>
      <c r="C5891" t="s">
        <v>10</v>
      </c>
      <c r="D5891" t="s">
        <v>2223</v>
      </c>
      <c r="E5891">
        <f t="shared" si="265"/>
        <v>3.4482758620689655E-2</v>
      </c>
      <c r="F5891">
        <v>2</v>
      </c>
      <c r="G5891">
        <f>LOG(382/(2+1))</f>
        <v>2.1049421081920463</v>
      </c>
      <c r="H5891">
        <f>0.0344827586206896*4.84680831993846</f>
        <v>0.167131321377188</v>
      </c>
      <c r="I5891">
        <v>0.16713132137718839</v>
      </c>
    </row>
    <row r="5892" spans="1:9" x14ac:dyDescent="0.25">
      <c r="A5892">
        <v>331</v>
      </c>
      <c r="B5892" t="s">
        <v>2221</v>
      </c>
      <c r="C5892" t="s">
        <v>10</v>
      </c>
      <c r="D5892" t="s">
        <v>1849</v>
      </c>
      <c r="E5892">
        <f t="shared" si="265"/>
        <v>3.4482758620689655E-2</v>
      </c>
      <c r="F5892">
        <v>4</v>
      </c>
      <c r="G5892">
        <f>LOG(382/(4+1))</f>
        <v>1.8830933585756899</v>
      </c>
      <c r="H5892">
        <f>0.0344827586206896*4.33598269617247</f>
        <v>0.14951664469560219</v>
      </c>
      <c r="I5892">
        <v>0.14951664469560261</v>
      </c>
    </row>
    <row r="5893" spans="1:9" x14ac:dyDescent="0.25">
      <c r="A5893">
        <v>331</v>
      </c>
      <c r="B5893" t="s">
        <v>2221</v>
      </c>
      <c r="C5893" t="s">
        <v>10</v>
      </c>
      <c r="D5893" t="s">
        <v>19</v>
      </c>
      <c r="E5893">
        <f t="shared" si="265"/>
        <v>3.4482758620689655E-2</v>
      </c>
      <c r="F5893">
        <v>220</v>
      </c>
      <c r="G5893">
        <f>LOG(382/(220+1))</f>
        <v>0.23767108922659805</v>
      </c>
      <c r="H5893">
        <f>0.0344827586206896*0.547257907088822</f>
        <v>1.8870962313407628E-2</v>
      </c>
      <c r="I5893">
        <v>1.8870962313407669E-2</v>
      </c>
    </row>
    <row r="5894" spans="1:9" x14ac:dyDescent="0.25">
      <c r="A5894">
        <v>331</v>
      </c>
      <c r="B5894" t="s">
        <v>2221</v>
      </c>
      <c r="C5894" t="s">
        <v>10</v>
      </c>
      <c r="D5894" t="s">
        <v>20</v>
      </c>
      <c r="E5894">
        <f t="shared" si="265"/>
        <v>3.4482758620689655E-2</v>
      </c>
      <c r="F5894">
        <v>19</v>
      </c>
      <c r="G5894">
        <f>LOG(382/(19+1))</f>
        <v>1.2810333672477277</v>
      </c>
      <c r="H5894">
        <f>0.0344827586206896*2.94968833505258</f>
        <v>0.1017133908638819</v>
      </c>
      <c r="I5894">
        <v>0.1017133908638822</v>
      </c>
    </row>
    <row r="5895" spans="1:9" x14ac:dyDescent="0.25">
      <c r="A5895">
        <v>331</v>
      </c>
      <c r="B5895" t="s">
        <v>2221</v>
      </c>
      <c r="C5895" t="s">
        <v>10</v>
      </c>
      <c r="D5895" t="s">
        <v>22</v>
      </c>
      <c r="E5895">
        <f t="shared" si="265"/>
        <v>3.4482758620689655E-2</v>
      </c>
      <c r="F5895">
        <v>259</v>
      </c>
      <c r="G5895">
        <f>LOG(382/(259+1))</f>
        <v>0.16709001494089079</v>
      </c>
      <c r="H5895">
        <f>0.0344827586206896*0.384738977591047</f>
        <v>1.3266861296242979E-2</v>
      </c>
      <c r="I5895">
        <v>1.3266861296243019E-2</v>
      </c>
    </row>
    <row r="5896" spans="1:9" x14ac:dyDescent="0.25">
      <c r="A5896">
        <v>331</v>
      </c>
      <c r="B5896" t="s">
        <v>2221</v>
      </c>
      <c r="C5896" t="s">
        <v>10</v>
      </c>
      <c r="D5896" t="s">
        <v>23</v>
      </c>
      <c r="E5896">
        <f t="shared" si="265"/>
        <v>3.4482758620689655E-2</v>
      </c>
      <c r="F5896">
        <v>275</v>
      </c>
      <c r="G5896">
        <f>LOG(382/(275+1))</f>
        <v>0.14115428084649101</v>
      </c>
      <c r="H5896">
        <f>0.0344827586206896*0.325019742889425</f>
        <v>1.1207577341014636E-2</v>
      </c>
      <c r="I5896">
        <v>1.1207577341014661E-2</v>
      </c>
    </row>
    <row r="5897" spans="1:9" x14ac:dyDescent="0.25">
      <c r="A5897">
        <v>331</v>
      </c>
      <c r="B5897" t="s">
        <v>2221</v>
      </c>
      <c r="C5897" t="s">
        <v>10</v>
      </c>
      <c r="D5897" t="s">
        <v>42</v>
      </c>
      <c r="E5897">
        <f t="shared" si="265"/>
        <v>3.4482758620689655E-2</v>
      </c>
      <c r="F5897">
        <v>251</v>
      </c>
      <c r="G5897">
        <f>LOG(382/(251+1))</f>
        <v>0.18066282213016463</v>
      </c>
      <c r="H5897">
        <f>0.0344827586206896*0.415991521095151</f>
        <v>1.4344535210177596E-2</v>
      </c>
      <c r="I5897">
        <v>1.434453521017765E-2</v>
      </c>
    </row>
    <row r="5898" spans="1:9" x14ac:dyDescent="0.25">
      <c r="A5898">
        <v>331</v>
      </c>
      <c r="B5898" t="s">
        <v>2221</v>
      </c>
      <c r="C5898" t="s">
        <v>10</v>
      </c>
      <c r="D5898" t="s">
        <v>17</v>
      </c>
      <c r="E5898">
        <f t="shared" si="265"/>
        <v>3.4482758620689655E-2</v>
      </c>
      <c r="F5898">
        <v>169</v>
      </c>
      <c r="G5898">
        <f>LOG(382/(169+1))</f>
        <v>0.3516144415334348</v>
      </c>
      <c r="H5898">
        <f>0.0344827586206896*0.809622171556313</f>
        <v>2.7918005915734886E-2</v>
      </c>
      <c r="I5898">
        <v>2.7918005915734949E-2</v>
      </c>
    </row>
    <row r="5899" spans="1:9" x14ac:dyDescent="0.25">
      <c r="A5899">
        <v>331</v>
      </c>
      <c r="B5899" t="s">
        <v>2221</v>
      </c>
      <c r="C5899" t="s">
        <v>10</v>
      </c>
      <c r="D5899" t="s">
        <v>18</v>
      </c>
      <c r="E5899">
        <f t="shared" si="265"/>
        <v>3.4482758620689655E-2</v>
      </c>
      <c r="F5899">
        <v>7</v>
      </c>
      <c r="G5899">
        <f>LOG(382/(7+1))</f>
        <v>1.6789733759197651</v>
      </c>
      <c r="H5899">
        <f>0.0344827586206896*3.86597906692673</f>
        <v>0.13330962299747323</v>
      </c>
      <c r="I5899">
        <v>0.13330962299747379</v>
      </c>
    </row>
    <row r="5900" spans="1:9" x14ac:dyDescent="0.25">
      <c r="A5900">
        <v>331</v>
      </c>
      <c r="B5900" t="s">
        <v>2221</v>
      </c>
      <c r="C5900" t="s">
        <v>10</v>
      </c>
      <c r="D5900" t="s">
        <v>589</v>
      </c>
      <c r="E5900">
        <f t="shared" si="265"/>
        <v>3.4482758620689655E-2</v>
      </c>
      <c r="F5900">
        <v>12</v>
      </c>
      <c r="G5900">
        <f>LOG(382/(12+1))</f>
        <v>1.468120010604872</v>
      </c>
      <c r="H5900">
        <f>0.0344827586206896*3.38047125114503</f>
        <v>0.11656797417741464</v>
      </c>
      <c r="I5900">
        <v>0.1165679741774151</v>
      </c>
    </row>
    <row r="5901" spans="1:9" x14ac:dyDescent="0.25">
      <c r="A5901">
        <v>331</v>
      </c>
      <c r="B5901" t="s">
        <v>2221</v>
      </c>
      <c r="C5901" t="s">
        <v>10</v>
      </c>
      <c r="D5901" t="s">
        <v>779</v>
      </c>
      <c r="E5901">
        <f t="shared" si="265"/>
        <v>3.4482758620689655E-2</v>
      </c>
      <c r="F5901">
        <v>25</v>
      </c>
      <c r="G5901">
        <f>LOG(382/(25+1))</f>
        <v>1.1670900149408907</v>
      </c>
      <c r="H5901">
        <f>0.0344827586206896*2.68732407058509</f>
        <v>9.2666347261554677E-2</v>
      </c>
      <c r="I5901">
        <v>9.2666347261554941E-2</v>
      </c>
    </row>
    <row r="5902" spans="1:9" x14ac:dyDescent="0.25">
      <c r="A5902">
        <v>331</v>
      </c>
      <c r="B5902" t="s">
        <v>2221</v>
      </c>
      <c r="C5902" t="s">
        <v>10</v>
      </c>
      <c r="D5902" t="s">
        <v>432</v>
      </c>
      <c r="E5902">
        <f t="shared" si="265"/>
        <v>3.4482758620689655E-2</v>
      </c>
      <c r="F5902">
        <v>67</v>
      </c>
      <c r="G5902">
        <f>LOG(382/(67+1))</f>
        <v>0.7495544502054724</v>
      </c>
      <c r="H5902">
        <f>0.0344827586206896*1.72591290343046</f>
        <v>5.9514238049326117E-2</v>
      </c>
      <c r="I5902">
        <v>5.9514238049326491E-2</v>
      </c>
    </row>
    <row r="5903" spans="1:9" x14ac:dyDescent="0.25">
      <c r="A5903">
        <v>331</v>
      </c>
      <c r="B5903" t="s">
        <v>2221</v>
      </c>
      <c r="C5903" t="s">
        <v>10</v>
      </c>
      <c r="D5903" t="s">
        <v>1473</v>
      </c>
      <c r="E5903">
        <f t="shared" si="265"/>
        <v>3.4482758620689655E-2</v>
      </c>
      <c r="F5903">
        <v>39</v>
      </c>
      <c r="G5903">
        <f>LOG(382/(39+1))</f>
        <v>0.9800033715837464</v>
      </c>
      <c r="H5903">
        <f>0.0344827586206896*2.25654115449263</f>
        <v>7.7811763948021598E-2</v>
      </c>
      <c r="I5903">
        <v>7.7811763948022028E-2</v>
      </c>
    </row>
    <row r="5904" spans="1:9" x14ac:dyDescent="0.25">
      <c r="A5904">
        <v>331</v>
      </c>
      <c r="B5904" t="s">
        <v>2221</v>
      </c>
      <c r="C5904" t="s">
        <v>10</v>
      </c>
      <c r="D5904" t="s">
        <v>204</v>
      </c>
      <c r="E5904">
        <f t="shared" si="265"/>
        <v>3.4482758620689655E-2</v>
      </c>
      <c r="F5904">
        <v>166</v>
      </c>
      <c r="G5904">
        <f>LOG(382/(166+1))</f>
        <v>0.35934689176412549</v>
      </c>
      <c r="H5904">
        <f>0.0344827586206896*0.82742679618982</f>
        <v>2.853195848930409E-2</v>
      </c>
      <c r="I5904">
        <v>2.8531958489304138E-2</v>
      </c>
    </row>
    <row r="5905" spans="1:9" x14ac:dyDescent="0.25">
      <c r="A5905">
        <v>331</v>
      </c>
      <c r="B5905" t="s">
        <v>2221</v>
      </c>
      <c r="C5905" t="s">
        <v>10</v>
      </c>
      <c r="D5905" t="s">
        <v>77</v>
      </c>
      <c r="E5905">
        <f t="shared" si="265"/>
        <v>3.4482758620689655E-2</v>
      </c>
      <c r="F5905">
        <v>148</v>
      </c>
      <c r="G5905">
        <f>LOG(382/(148+1))</f>
        <v>0.40887709449943471</v>
      </c>
      <c r="H5905">
        <f>0.0344827586206896*0.941474302661116</f>
        <v>3.2464631126245327E-2</v>
      </c>
      <c r="I5905">
        <v>3.2464631126245383E-2</v>
      </c>
    </row>
    <row r="5906" spans="1:9" x14ac:dyDescent="0.25">
      <c r="A5906">
        <v>331</v>
      </c>
      <c r="B5906" t="s">
        <v>2221</v>
      </c>
      <c r="C5906" t="s">
        <v>10</v>
      </c>
      <c r="D5906" t="s">
        <v>331</v>
      </c>
      <c r="E5906">
        <f t="shared" si="265"/>
        <v>3.4482758620689655E-2</v>
      </c>
      <c r="F5906">
        <v>130</v>
      </c>
      <c r="G5906">
        <f>LOG(382/(130+1))</f>
        <v>0.46479206725594452</v>
      </c>
      <c r="H5906">
        <f>0.0344827586206896*1.07022328540542</f>
        <v>3.6904251220876497E-2</v>
      </c>
      <c r="I5906">
        <v>3.6904251220876677E-2</v>
      </c>
    </row>
    <row r="5907" spans="1:9" x14ac:dyDescent="0.25">
      <c r="A5907">
        <v>331</v>
      </c>
      <c r="B5907" t="s">
        <v>2221</v>
      </c>
      <c r="C5907" t="s">
        <v>10</v>
      </c>
      <c r="D5907" t="s">
        <v>939</v>
      </c>
      <c r="E5907">
        <f t="shared" si="265"/>
        <v>3.4482758620689655E-2</v>
      </c>
      <c r="F5907">
        <v>35</v>
      </c>
      <c r="G5907">
        <f>LOG(382/(35+1))</f>
        <v>1.0257608621444214</v>
      </c>
      <c r="H5907">
        <f>0.0344827586206896*2.36190167015046</f>
        <v>8.1444885177601942E-2</v>
      </c>
      <c r="I5907">
        <v>8.1444885177602233E-2</v>
      </c>
    </row>
    <row r="5908" spans="1:9" x14ac:dyDescent="0.25">
      <c r="A5908">
        <v>331</v>
      </c>
      <c r="B5908" t="s">
        <v>2221</v>
      </c>
      <c r="C5908" t="s">
        <v>10</v>
      </c>
      <c r="D5908" t="s">
        <v>1081</v>
      </c>
      <c r="E5908">
        <f t="shared" si="265"/>
        <v>3.4482758620689655E-2</v>
      </c>
      <c r="F5908">
        <v>27</v>
      </c>
      <c r="G5908">
        <f>LOG(382/(27+1))</f>
        <v>1.1349053315694895</v>
      </c>
      <c r="H5908">
        <f>0.0344827586206896*2.61321609843137</f>
        <v>9.0110899945909165E-2</v>
      </c>
      <c r="I5908">
        <v>9.0110899945909345E-2</v>
      </c>
    </row>
    <row r="5909" spans="1:9" x14ac:dyDescent="0.25">
      <c r="A5909">
        <v>331</v>
      </c>
      <c r="B5909" t="s">
        <v>2221</v>
      </c>
      <c r="C5909" t="s">
        <v>10</v>
      </c>
      <c r="D5909" t="s">
        <v>152</v>
      </c>
      <c r="E5909">
        <f t="shared" si="265"/>
        <v>3.4482758620689655E-2</v>
      </c>
      <c r="F5909">
        <v>31</v>
      </c>
      <c r="G5909">
        <f>LOG(382/(31+1))</f>
        <v>1.0769133845918029</v>
      </c>
      <c r="H5909">
        <f>0.0344827586206896*2.47968470580684</f>
        <v>8.5506369165752966E-2</v>
      </c>
      <c r="I5909">
        <v>8.550636916575341E-2</v>
      </c>
    </row>
    <row r="5910" spans="1:9" x14ac:dyDescent="0.25">
      <c r="A5910">
        <v>331</v>
      </c>
      <c r="B5910" t="s">
        <v>2221</v>
      </c>
      <c r="C5910" t="s">
        <v>10</v>
      </c>
      <c r="D5910" t="s">
        <v>1868</v>
      </c>
      <c r="E5910">
        <f t="shared" si="265"/>
        <v>3.4482758620689655E-2</v>
      </c>
      <c r="F5910">
        <v>8</v>
      </c>
      <c r="G5910">
        <f>LOG(382/(8+1))</f>
        <v>1.6278208534723839</v>
      </c>
      <c r="H5910">
        <f>0.0344827586206896*3.74819603127035</f>
        <v>0.12924813900932219</v>
      </c>
      <c r="I5910">
        <v>0.12924813900932261</v>
      </c>
    </row>
    <row r="5911" spans="1:9" x14ac:dyDescent="0.25">
      <c r="A5911">
        <v>331</v>
      </c>
      <c r="B5911" t="s">
        <v>2221</v>
      </c>
      <c r="C5911" t="s">
        <v>10</v>
      </c>
      <c r="D5911" t="s">
        <v>11</v>
      </c>
      <c r="E5911">
        <f t="shared" si="265"/>
        <v>3.4482758620689655E-2</v>
      </c>
      <c r="F5911">
        <v>83</v>
      </c>
      <c r="G5911">
        <f>LOG(382/(83+1))</f>
        <v>0.65778407684982709</v>
      </c>
      <c r="H5911">
        <f>0.0344827586206896*1.51460380976326</f>
        <v>5.2227717578043363E-2</v>
      </c>
      <c r="I5911">
        <v>5.2227717578043502E-2</v>
      </c>
    </row>
    <row r="5912" spans="1:9" x14ac:dyDescent="0.25">
      <c r="A5912">
        <v>331</v>
      </c>
      <c r="B5912" t="s">
        <v>2221</v>
      </c>
      <c r="C5912" t="s">
        <v>10</v>
      </c>
      <c r="D5912" t="s">
        <v>1534</v>
      </c>
      <c r="E5912">
        <f t="shared" si="265"/>
        <v>3.4482758620689655E-2</v>
      </c>
      <c r="F5912">
        <v>25</v>
      </c>
      <c r="G5912">
        <f>LOG(382/(25+1))</f>
        <v>1.1670900149408907</v>
      </c>
      <c r="H5912">
        <f>0.0344827586206896*2.68732407058509</f>
        <v>9.2666347261554677E-2</v>
      </c>
      <c r="I5912">
        <v>9.2666347261554941E-2</v>
      </c>
    </row>
    <row r="5913" spans="1:9" x14ac:dyDescent="0.25">
      <c r="A5913">
        <v>331</v>
      </c>
      <c r="B5913" t="s">
        <v>2221</v>
      </c>
      <c r="C5913" t="s">
        <v>10</v>
      </c>
      <c r="D5913" t="s">
        <v>151</v>
      </c>
      <c r="E5913">
        <f t="shared" si="265"/>
        <v>3.4482758620689655E-2</v>
      </c>
      <c r="F5913">
        <v>14</v>
      </c>
      <c r="G5913">
        <f>LOG(382/(14+1))</f>
        <v>1.4059721038560276</v>
      </c>
      <c r="H5913">
        <f>0.0344827586206896*3.23737040750436</f>
        <v>0.11163346232773637</v>
      </c>
      <c r="I5913">
        <v>0.1116334623277367</v>
      </c>
    </row>
    <row r="5914" spans="1:9" x14ac:dyDescent="0.25">
      <c r="A5914">
        <v>331</v>
      </c>
      <c r="B5914" t="s">
        <v>2221</v>
      </c>
      <c r="C5914" t="s">
        <v>10</v>
      </c>
      <c r="D5914" t="s">
        <v>2224</v>
      </c>
      <c r="E5914">
        <f t="shared" si="265"/>
        <v>3.4482758620689655E-2</v>
      </c>
      <c r="F5914">
        <v>6</v>
      </c>
      <c r="G5914">
        <f>LOG(382/(6+1))</f>
        <v>1.736965322897452</v>
      </c>
      <c r="H5914">
        <f>0.0344827586206896*3.99951045955126</f>
        <v>0.13791415377762944</v>
      </c>
      <c r="I5914">
        <v>0.13791415377762969</v>
      </c>
    </row>
    <row r="5915" spans="1:9" x14ac:dyDescent="0.25">
      <c r="A5915">
        <v>331</v>
      </c>
      <c r="B5915" t="s">
        <v>2221</v>
      </c>
      <c r="C5915" t="s">
        <v>10</v>
      </c>
      <c r="D5915" t="s">
        <v>161</v>
      </c>
      <c r="E5915">
        <f t="shared" si="265"/>
        <v>3.4482758620689655E-2</v>
      </c>
      <c r="F5915">
        <v>33</v>
      </c>
      <c r="G5915">
        <f>LOG(382/(33+1))</f>
        <v>1.0505844458694535</v>
      </c>
      <c r="H5915">
        <f>0.0344827586206896*2.41906008399041</f>
        <v>8.3415864965186423E-2</v>
      </c>
      <c r="I5915">
        <v>8.3415864965186673E-2</v>
      </c>
    </row>
    <row r="5916" spans="1:9" x14ac:dyDescent="0.25">
      <c r="A5916">
        <v>332</v>
      </c>
      <c r="B5916" t="s">
        <v>2225</v>
      </c>
      <c r="C5916" t="s">
        <v>10</v>
      </c>
      <c r="D5916" t="s">
        <v>315</v>
      </c>
      <c r="E5916">
        <f t="shared" ref="E5916:E5926" si="266">1/18</f>
        <v>5.5555555555555552E-2</v>
      </c>
      <c r="F5916">
        <v>55</v>
      </c>
      <c r="G5916">
        <f>LOG(382/(55+1))</f>
        <v>0.83387533590550833</v>
      </c>
      <c r="H5916">
        <f>0.0555555555555555*1.92006891787142</f>
        <v>0.10667049543730101</v>
      </c>
      <c r="I5916">
        <v>0.10667049543730139</v>
      </c>
    </row>
    <row r="5917" spans="1:9" x14ac:dyDescent="0.25">
      <c r="A5917">
        <v>332</v>
      </c>
      <c r="B5917" t="s">
        <v>2225</v>
      </c>
      <c r="C5917" t="s">
        <v>10</v>
      </c>
      <c r="D5917" t="s">
        <v>784</v>
      </c>
      <c r="E5917">
        <f t="shared" si="266"/>
        <v>5.5555555555555552E-2</v>
      </c>
      <c r="F5917">
        <v>6</v>
      </c>
      <c r="G5917">
        <f>LOG(382/(6+1))</f>
        <v>1.736965322897452</v>
      </c>
      <c r="H5917">
        <f>0.0555555555555555*3.99951045955126</f>
        <v>0.22219502553062531</v>
      </c>
      <c r="I5917">
        <v>0.22219502553062559</v>
      </c>
    </row>
    <row r="5918" spans="1:9" x14ac:dyDescent="0.25">
      <c r="A5918">
        <v>332</v>
      </c>
      <c r="B5918" t="s">
        <v>2225</v>
      </c>
      <c r="C5918" t="s">
        <v>10</v>
      </c>
      <c r="D5918" t="s">
        <v>38</v>
      </c>
      <c r="E5918">
        <f t="shared" si="266"/>
        <v>5.5555555555555552E-2</v>
      </c>
      <c r="F5918">
        <v>86</v>
      </c>
      <c r="G5918">
        <f>LOG(382/(86+1))</f>
        <v>0.64254411029309022</v>
      </c>
      <c r="H5918">
        <f>0.0555555555555555*1.47951248995199</f>
        <v>8.2195138330666023E-2</v>
      </c>
      <c r="I5918">
        <v>8.2195138330666176E-2</v>
      </c>
    </row>
    <row r="5919" spans="1:9" x14ac:dyDescent="0.25">
      <c r="A5919">
        <v>332</v>
      </c>
      <c r="B5919" t="s">
        <v>2225</v>
      </c>
      <c r="C5919" t="s">
        <v>10</v>
      </c>
      <c r="D5919" t="s">
        <v>404</v>
      </c>
      <c r="E5919">
        <f t="shared" si="266"/>
        <v>5.5555555555555552E-2</v>
      </c>
      <c r="F5919">
        <v>22</v>
      </c>
      <c r="G5919">
        <f>LOG(382/(22+1))</f>
        <v>1.2203355268941158</v>
      </c>
      <c r="H5919">
        <f>0.0555555555555555*2.80992639267742</f>
        <v>0.15610702181541206</v>
      </c>
      <c r="I5919">
        <v>0.1561070218154125</v>
      </c>
    </row>
    <row r="5920" spans="1:9" x14ac:dyDescent="0.25">
      <c r="A5920">
        <v>332</v>
      </c>
      <c r="B5920" t="s">
        <v>2225</v>
      </c>
      <c r="C5920" t="s">
        <v>10</v>
      </c>
      <c r="D5920" t="s">
        <v>39</v>
      </c>
      <c r="E5920">
        <f t="shared" si="266"/>
        <v>5.5555555555555552E-2</v>
      </c>
      <c r="F5920">
        <v>145</v>
      </c>
      <c r="G5920">
        <f>LOG(382/(145+1))</f>
        <v>0.41771050712727159</v>
      </c>
      <c r="H5920">
        <f>0.0555555555555555*0.961813986898238</f>
        <v>5.3434110383235388E-2</v>
      </c>
      <c r="I5920">
        <v>5.3434110383235478E-2</v>
      </c>
    </row>
    <row r="5921" spans="1:9" x14ac:dyDescent="0.25">
      <c r="A5921">
        <v>332</v>
      </c>
      <c r="B5921" t="s">
        <v>2225</v>
      </c>
      <c r="C5921" t="s">
        <v>10</v>
      </c>
      <c r="D5921" t="s">
        <v>42</v>
      </c>
      <c r="E5921">
        <f t="shared" si="266"/>
        <v>5.5555555555555552E-2</v>
      </c>
      <c r="F5921">
        <v>251</v>
      </c>
      <c r="G5921">
        <f>LOG(382/(251+1))</f>
        <v>0.18066282213016463</v>
      </c>
      <c r="H5921">
        <f>0.0555555555555555*0.415991521095151</f>
        <v>2.3110640060841698E-2</v>
      </c>
      <c r="I5921">
        <v>2.3110640060841771E-2</v>
      </c>
    </row>
    <row r="5922" spans="1:9" x14ac:dyDescent="0.25">
      <c r="A5922">
        <v>332</v>
      </c>
      <c r="B5922" t="s">
        <v>2225</v>
      </c>
      <c r="C5922" t="s">
        <v>10</v>
      </c>
      <c r="D5922" t="s">
        <v>2226</v>
      </c>
      <c r="E5922">
        <f t="shared" si="266"/>
        <v>5.5555555555555552E-2</v>
      </c>
      <c r="F5922">
        <v>4</v>
      </c>
      <c r="G5922">
        <f>LOG(382/(4+1))</f>
        <v>1.8830933585756899</v>
      </c>
      <c r="H5922">
        <f>0.0555555555555555*4.33598269617247</f>
        <v>0.24088792756513699</v>
      </c>
      <c r="I5922">
        <v>0.24088792756513749</v>
      </c>
    </row>
    <row r="5923" spans="1:9" x14ac:dyDescent="0.25">
      <c r="A5923">
        <v>332</v>
      </c>
      <c r="B5923" t="s">
        <v>2225</v>
      </c>
      <c r="C5923" t="s">
        <v>10</v>
      </c>
      <c r="D5923" t="s">
        <v>40</v>
      </c>
      <c r="E5923">
        <f t="shared" si="266"/>
        <v>5.5555555555555552E-2</v>
      </c>
      <c r="F5923">
        <v>159</v>
      </c>
      <c r="G5923">
        <f>LOG(382/(159+1))</f>
        <v>0.377943380255784</v>
      </c>
      <c r="H5923">
        <f>0.0555555555555555*0.870246793372748</f>
        <v>4.834704407626373E-2</v>
      </c>
      <c r="I5923">
        <v>4.8347044076263793E-2</v>
      </c>
    </row>
    <row r="5924" spans="1:9" x14ac:dyDescent="0.25">
      <c r="A5924">
        <v>332</v>
      </c>
      <c r="B5924" t="s">
        <v>2225</v>
      </c>
      <c r="C5924" t="s">
        <v>10</v>
      </c>
      <c r="D5924" t="s">
        <v>41</v>
      </c>
      <c r="E5924">
        <f t="shared" si="266"/>
        <v>5.5555555555555552E-2</v>
      </c>
      <c r="F5924">
        <v>195</v>
      </c>
      <c r="G5924">
        <f>LOG(382/(195+1))</f>
        <v>0.28980729155523272</v>
      </c>
      <c r="H5924">
        <f>0.0555555555555555*0.667305949376058</f>
        <v>3.7072552743114294E-2</v>
      </c>
      <c r="I5924">
        <v>3.7072552743114343E-2</v>
      </c>
    </row>
    <row r="5925" spans="1:9" x14ac:dyDescent="0.25">
      <c r="A5925">
        <v>332</v>
      </c>
      <c r="B5925" t="s">
        <v>2225</v>
      </c>
      <c r="C5925" t="s">
        <v>10</v>
      </c>
      <c r="D5925" t="s">
        <v>764</v>
      </c>
      <c r="E5925">
        <f t="shared" si="266"/>
        <v>5.5555555555555552E-2</v>
      </c>
      <c r="F5925">
        <v>57</v>
      </c>
      <c r="G5925">
        <f>LOG(382/(57+1))</f>
        <v>0.81863536934877146</v>
      </c>
      <c r="H5925">
        <f>0.0555555555555555*1.88497759806015</f>
        <v>0.10472097767000822</v>
      </c>
      <c r="I5925">
        <v>0.10472097767000869</v>
      </c>
    </row>
    <row r="5926" spans="1:9" x14ac:dyDescent="0.25">
      <c r="A5926">
        <v>332</v>
      </c>
      <c r="B5926" t="s">
        <v>2225</v>
      </c>
      <c r="C5926" t="s">
        <v>10</v>
      </c>
      <c r="D5926" t="s">
        <v>1633</v>
      </c>
      <c r="E5926">
        <f t="shared" si="266"/>
        <v>5.5555555555555552E-2</v>
      </c>
      <c r="F5926">
        <v>18</v>
      </c>
      <c r="G5926">
        <f>LOG(382/(18+1))</f>
        <v>1.3033097619588798</v>
      </c>
      <c r="H5926">
        <f>0.0555555555555555*3.00098162944013</f>
        <v>0.16672120163556262</v>
      </c>
      <c r="I5926">
        <v>0.166721201635563</v>
      </c>
    </row>
    <row r="5927" spans="1:9" x14ac:dyDescent="0.25">
      <c r="A5927">
        <v>332</v>
      </c>
      <c r="B5927" t="s">
        <v>2225</v>
      </c>
      <c r="C5927" t="s">
        <v>10</v>
      </c>
      <c r="D5927" t="s">
        <v>183</v>
      </c>
      <c r="E5927">
        <f>2/18</f>
        <v>0.1111111111111111</v>
      </c>
      <c r="F5927">
        <v>46</v>
      </c>
      <c r="G5927">
        <f>LOG(382/(46+1))</f>
        <v>0.90996550497599127</v>
      </c>
      <c r="H5927">
        <f>0.111111111111111*2.09527300689651</f>
        <v>0.23280811187738978</v>
      </c>
      <c r="I5927">
        <v>0.2328081118773907</v>
      </c>
    </row>
    <row r="5928" spans="1:9" x14ac:dyDescent="0.25">
      <c r="A5928">
        <v>332</v>
      </c>
      <c r="B5928" t="s">
        <v>2225</v>
      </c>
      <c r="C5928" t="s">
        <v>10</v>
      </c>
      <c r="D5928" t="s">
        <v>765</v>
      </c>
      <c r="E5928">
        <f>1/18</f>
        <v>5.5555555555555552E-2</v>
      </c>
      <c r="F5928">
        <v>44</v>
      </c>
      <c r="G5928">
        <f>LOG(382/(44+1))</f>
        <v>0.92885084913636506</v>
      </c>
      <c r="H5928">
        <f>0.0555555555555555*2.13875811883625</f>
        <v>0.11881989549090265</v>
      </c>
      <c r="I5928">
        <v>0.1188198954909031</v>
      </c>
    </row>
    <row r="5929" spans="1:9" x14ac:dyDescent="0.25">
      <c r="A5929">
        <v>332</v>
      </c>
      <c r="B5929" t="s">
        <v>2225</v>
      </c>
      <c r="C5929" t="s">
        <v>10</v>
      </c>
      <c r="D5929" t="s">
        <v>2227</v>
      </c>
      <c r="E5929">
        <f>1/18</f>
        <v>5.5555555555555552E-2</v>
      </c>
      <c r="F5929">
        <v>1</v>
      </c>
      <c r="G5929">
        <f>LOG(382/(1+1))</f>
        <v>2.2810333672477277</v>
      </c>
      <c r="H5929">
        <f>0.0555555555555555*5.25227342804663</f>
        <v>0.29179296822481249</v>
      </c>
      <c r="I5929">
        <v>0.29179296822481282</v>
      </c>
    </row>
    <row r="5930" spans="1:9" x14ac:dyDescent="0.25">
      <c r="A5930">
        <v>332</v>
      </c>
      <c r="B5930" t="s">
        <v>2225</v>
      </c>
      <c r="C5930" t="s">
        <v>10</v>
      </c>
      <c r="D5930" t="s">
        <v>78</v>
      </c>
      <c r="E5930">
        <f>1/18</f>
        <v>5.5555555555555552E-2</v>
      </c>
      <c r="F5930">
        <v>122</v>
      </c>
      <c r="G5930">
        <f>LOG(382/(122+1))</f>
        <v>0.49215825147231079</v>
      </c>
      <c r="H5930">
        <f>0.0555555555555555*1.13323625323415</f>
        <v>6.2957569624119372E-2</v>
      </c>
      <c r="I5930">
        <v>6.2957569624119858E-2</v>
      </c>
    </row>
    <row r="5931" spans="1:9" x14ac:dyDescent="0.25">
      <c r="A5931">
        <v>332</v>
      </c>
      <c r="B5931" t="s">
        <v>2225</v>
      </c>
      <c r="C5931" t="s">
        <v>10</v>
      </c>
      <c r="D5931" t="s">
        <v>754</v>
      </c>
      <c r="E5931">
        <f>1/18</f>
        <v>5.5555555555555552E-2</v>
      </c>
      <c r="F5931">
        <v>111</v>
      </c>
      <c r="G5931">
        <f>LOG(382/(111+1))</f>
        <v>0.53284534024152708</v>
      </c>
      <c r="H5931">
        <f>0.0555555555555555*1.22692173731148</f>
        <v>6.8162318739526592E-2</v>
      </c>
      <c r="I5931">
        <v>6.8162318739526703E-2</v>
      </c>
    </row>
    <row r="5932" spans="1:9" x14ac:dyDescent="0.25">
      <c r="A5932">
        <v>332</v>
      </c>
      <c r="B5932" t="s">
        <v>2225</v>
      </c>
      <c r="C5932" t="s">
        <v>10</v>
      </c>
      <c r="D5932" t="s">
        <v>898</v>
      </c>
      <c r="E5932">
        <f>1/18</f>
        <v>5.5555555555555552E-2</v>
      </c>
      <c r="F5932">
        <v>22</v>
      </c>
      <c r="G5932">
        <f>LOG(382/(22+1))</f>
        <v>1.2203355268941158</v>
      </c>
      <c r="H5932">
        <f>0.0555555555555555*2.80992639267742</f>
        <v>0.15610702181541206</v>
      </c>
      <c r="I5932">
        <v>0.1561070218154125</v>
      </c>
    </row>
    <row r="5933" spans="1:9" x14ac:dyDescent="0.25">
      <c r="A5933">
        <v>333</v>
      </c>
      <c r="B5933" t="s">
        <v>2228</v>
      </c>
      <c r="C5933" t="s">
        <v>10</v>
      </c>
      <c r="D5933" t="s">
        <v>2229</v>
      </c>
      <c r="E5933">
        <f>6/159</f>
        <v>3.7735849056603772E-2</v>
      </c>
      <c r="F5933">
        <v>2</v>
      </c>
      <c r="G5933">
        <f>LOG(382/(2+1))</f>
        <v>2.1049421081920463</v>
      </c>
      <c r="H5933">
        <f>0.0377358490566037*4.84680831993846</f>
        <v>0.18289842716748872</v>
      </c>
      <c r="I5933">
        <v>0.18289842716748919</v>
      </c>
    </row>
    <row r="5934" spans="1:9" x14ac:dyDescent="0.25">
      <c r="A5934">
        <v>333</v>
      </c>
      <c r="B5934" t="s">
        <v>2228</v>
      </c>
      <c r="C5934" t="s">
        <v>10</v>
      </c>
      <c r="D5934" t="s">
        <v>2230</v>
      </c>
      <c r="E5934">
        <f>6/159</f>
        <v>3.7735849056603772E-2</v>
      </c>
      <c r="F5934">
        <v>7</v>
      </c>
      <c r="G5934">
        <f>LOG(382/(7+1))</f>
        <v>1.6789733759197651</v>
      </c>
      <c r="H5934">
        <f>0.0377358490566037*3.86597906692673</f>
        <v>0.14588600252553671</v>
      </c>
      <c r="I5934">
        <v>0.14588600252553729</v>
      </c>
    </row>
    <row r="5935" spans="1:9" x14ac:dyDescent="0.25">
      <c r="A5935">
        <v>333</v>
      </c>
      <c r="B5935" t="s">
        <v>2228</v>
      </c>
      <c r="C5935" t="s">
        <v>10</v>
      </c>
      <c r="D5935" t="s">
        <v>408</v>
      </c>
      <c r="E5935">
        <f>5/159</f>
        <v>3.1446540880503145E-2</v>
      </c>
      <c r="F5935">
        <v>27</v>
      </c>
      <c r="G5935">
        <f>LOG(382/(27+1))</f>
        <v>1.1349053315694895</v>
      </c>
      <c r="H5935">
        <f>0.0314465408805031*2.61321609843137</f>
        <v>8.2176606868910901E-2</v>
      </c>
      <c r="I5935">
        <v>8.217660686891104E-2</v>
      </c>
    </row>
    <row r="5936" spans="1:9" x14ac:dyDescent="0.25">
      <c r="A5936">
        <v>333</v>
      </c>
      <c r="B5936" t="s">
        <v>2228</v>
      </c>
      <c r="C5936" t="s">
        <v>10</v>
      </c>
      <c r="D5936" t="s">
        <v>2231</v>
      </c>
      <c r="E5936">
        <f>5/159</f>
        <v>3.1446540880503145E-2</v>
      </c>
      <c r="F5936">
        <v>23</v>
      </c>
      <c r="G5936">
        <f>LOG(382/(23+1))</f>
        <v>1.2018521212001028</v>
      </c>
      <c r="H5936">
        <f>0.0314465408805031*2.76736677825862</f>
        <v>8.7024112523855862E-2</v>
      </c>
      <c r="I5936">
        <v>8.7024112523856278E-2</v>
      </c>
    </row>
    <row r="5937" spans="1:9" x14ac:dyDescent="0.25">
      <c r="A5937">
        <v>333</v>
      </c>
      <c r="B5937" t="s">
        <v>2228</v>
      </c>
      <c r="C5937" t="s">
        <v>10</v>
      </c>
      <c r="D5937" t="s">
        <v>247</v>
      </c>
      <c r="E5937">
        <f>2/159</f>
        <v>1.2578616352201259E-2</v>
      </c>
      <c r="F5937">
        <v>121</v>
      </c>
      <c r="G5937">
        <f>LOG(382/(121+1))</f>
        <v>0.49570353223696051</v>
      </c>
      <c r="H5937">
        <f>0.0125786163522012*1.14139956387331</f>
        <v>1.4357227218532135E-2</v>
      </c>
      <c r="I5937">
        <v>1.435722721853231E-2</v>
      </c>
    </row>
    <row r="5938" spans="1:9" x14ac:dyDescent="0.25">
      <c r="A5938">
        <v>333</v>
      </c>
      <c r="B5938" t="s">
        <v>2228</v>
      </c>
      <c r="C5938" t="s">
        <v>10</v>
      </c>
      <c r="D5938" t="s">
        <v>39</v>
      </c>
      <c r="E5938">
        <f>2/159</f>
        <v>1.2578616352201259E-2</v>
      </c>
      <c r="F5938">
        <v>145</v>
      </c>
      <c r="G5938">
        <f>LOG(382/(145+1))</f>
        <v>0.41771050712727159</v>
      </c>
      <c r="H5938">
        <f>0.0125786163522012*0.961813986898238</f>
        <v>1.2098289143374007E-2</v>
      </c>
      <c r="I5938">
        <v>1.2098289143374069E-2</v>
      </c>
    </row>
    <row r="5939" spans="1:9" x14ac:dyDescent="0.25">
      <c r="A5939">
        <v>333</v>
      </c>
      <c r="B5939" t="s">
        <v>2228</v>
      </c>
      <c r="C5939" t="s">
        <v>10</v>
      </c>
      <c r="D5939" t="s">
        <v>42</v>
      </c>
      <c r="E5939">
        <f>1/159</f>
        <v>6.2893081761006293E-3</v>
      </c>
      <c r="F5939">
        <v>251</v>
      </c>
      <c r="G5939">
        <f>LOG(382/(251+1))</f>
        <v>0.18066282213016463</v>
      </c>
      <c r="H5939">
        <f>0.00628930817610062*0.415991521095151</f>
        <v>2.6162988748122664E-3</v>
      </c>
      <c r="I5939">
        <v>2.616298874812276E-3</v>
      </c>
    </row>
    <row r="5940" spans="1:9" x14ac:dyDescent="0.25">
      <c r="A5940">
        <v>333</v>
      </c>
      <c r="B5940" t="s">
        <v>2228</v>
      </c>
      <c r="C5940" t="s">
        <v>10</v>
      </c>
      <c r="D5940" t="s">
        <v>19</v>
      </c>
      <c r="E5940">
        <f>1/159</f>
        <v>6.2893081761006293E-3</v>
      </c>
      <c r="F5940">
        <v>220</v>
      </c>
      <c r="G5940">
        <f>LOG(382/(220+1))</f>
        <v>0.23767108922659805</v>
      </c>
      <c r="H5940">
        <f>0.00628930817610062*0.547257907088822</f>
        <v>3.4418736294894417E-3</v>
      </c>
      <c r="I5940">
        <v>3.4418736294894491E-3</v>
      </c>
    </row>
    <row r="5941" spans="1:9" x14ac:dyDescent="0.25">
      <c r="A5941">
        <v>333</v>
      </c>
      <c r="B5941" t="s">
        <v>2228</v>
      </c>
      <c r="C5941" t="s">
        <v>10</v>
      </c>
      <c r="D5941" t="s">
        <v>44</v>
      </c>
      <c r="E5941">
        <f>4/159</f>
        <v>2.5157232704402517E-2</v>
      </c>
      <c r="F5941">
        <v>151</v>
      </c>
      <c r="G5941">
        <f>LOG(382/(151+1))</f>
        <v>0.40021977496693617</v>
      </c>
      <c r="H5941">
        <f>0.0251572327044025*0.921540087760298</f>
        <v>2.318339843422132E-2</v>
      </c>
      <c r="I5941">
        <v>2.3183398434221351E-2</v>
      </c>
    </row>
    <row r="5942" spans="1:9" x14ac:dyDescent="0.25">
      <c r="A5942">
        <v>333</v>
      </c>
      <c r="B5942" t="s">
        <v>2228</v>
      </c>
      <c r="C5942" t="s">
        <v>10</v>
      </c>
      <c r="D5942" t="s">
        <v>22</v>
      </c>
      <c r="E5942">
        <f>1/159</f>
        <v>6.2893081761006293E-3</v>
      </c>
      <c r="F5942">
        <v>259</v>
      </c>
      <c r="G5942">
        <f>LOG(382/(259+1))</f>
        <v>0.16709001494089079</v>
      </c>
      <c r="H5942">
        <f>0.00628930817610062*0.384738977591047</f>
        <v>2.4197419974279653E-3</v>
      </c>
      <c r="I5942">
        <v>2.4197419974279718E-3</v>
      </c>
    </row>
    <row r="5943" spans="1:9" x14ac:dyDescent="0.25">
      <c r="A5943">
        <v>333</v>
      </c>
      <c r="B5943" t="s">
        <v>2228</v>
      </c>
      <c r="C5943" t="s">
        <v>10</v>
      </c>
      <c r="D5943" t="s">
        <v>23</v>
      </c>
      <c r="E5943">
        <f>2/159</f>
        <v>1.2578616352201259E-2</v>
      </c>
      <c r="F5943">
        <v>275</v>
      </c>
      <c r="G5943">
        <f>LOG(382/(275+1))</f>
        <v>0.14115428084649101</v>
      </c>
      <c r="H5943">
        <f>0.0125786163522012*0.325019742889425</f>
        <v>4.0882986526971504E-3</v>
      </c>
      <c r="I5943">
        <v>4.0882986526971721E-3</v>
      </c>
    </row>
    <row r="5944" spans="1:9" x14ac:dyDescent="0.25">
      <c r="A5944">
        <v>333</v>
      </c>
      <c r="B5944" t="s">
        <v>2228</v>
      </c>
      <c r="C5944" t="s">
        <v>10</v>
      </c>
      <c r="D5944" t="s">
        <v>24</v>
      </c>
      <c r="E5944">
        <f>1/159</f>
        <v>6.2893081761006293E-3</v>
      </c>
      <c r="F5944">
        <v>59</v>
      </c>
      <c r="G5944">
        <f>LOG(382/(59+1))</f>
        <v>0.80391211252806505</v>
      </c>
      <c r="H5944">
        <f>0.00628930817610062*1.85107604638447</f>
        <v>1.1641987713109857E-2</v>
      </c>
      <c r="I5944">
        <v>1.16419877131099E-2</v>
      </c>
    </row>
    <row r="5945" spans="1:9" x14ac:dyDescent="0.25">
      <c r="A5945">
        <v>333</v>
      </c>
      <c r="B5945" t="s">
        <v>2228</v>
      </c>
      <c r="C5945" t="s">
        <v>10</v>
      </c>
      <c r="D5945" t="s">
        <v>315</v>
      </c>
      <c r="E5945">
        <f>3/159</f>
        <v>1.8867924528301886E-2</v>
      </c>
      <c r="F5945">
        <v>55</v>
      </c>
      <c r="G5945">
        <f>LOG(382/(55+1))</f>
        <v>0.83387533590550833</v>
      </c>
      <c r="H5945">
        <f>0.0188679245283018*1.92006891787142</f>
        <v>3.6227715431536057E-2</v>
      </c>
      <c r="I5945">
        <v>3.6227715431536342E-2</v>
      </c>
    </row>
    <row r="5946" spans="1:9" x14ac:dyDescent="0.25">
      <c r="A5946">
        <v>333</v>
      </c>
      <c r="B5946" t="s">
        <v>2228</v>
      </c>
      <c r="C5946" t="s">
        <v>10</v>
      </c>
      <c r="D5946" t="s">
        <v>204</v>
      </c>
      <c r="E5946">
        <f>2/159</f>
        <v>1.2578616352201259E-2</v>
      </c>
      <c r="F5946">
        <v>166</v>
      </c>
      <c r="G5946">
        <f>LOG(382/(166+1))</f>
        <v>0.35934689176412549</v>
      </c>
      <c r="H5946">
        <f>0.0125786163522012*0.82742679618982</f>
        <v>1.0407884228802719E-2</v>
      </c>
      <c r="I5946">
        <v>1.0407884228802769E-2</v>
      </c>
    </row>
    <row r="5947" spans="1:9" x14ac:dyDescent="0.25">
      <c r="A5947">
        <v>333</v>
      </c>
      <c r="B5947" t="s">
        <v>2228</v>
      </c>
      <c r="C5947" t="s">
        <v>10</v>
      </c>
      <c r="D5947" t="s">
        <v>76</v>
      </c>
      <c r="E5947">
        <f>1/159</f>
        <v>6.2893081761006293E-3</v>
      </c>
      <c r="F5947">
        <v>140</v>
      </c>
      <c r="G5947">
        <f>LOG(382/(140+1))</f>
        <v>0.43284425025632883</v>
      </c>
      <c r="H5947">
        <f>0.00628930817610062*0.996660718228407</f>
        <v>6.2683064039522358E-3</v>
      </c>
      <c r="I5947">
        <v>6.2683064039522453E-3</v>
      </c>
    </row>
    <row r="5948" spans="1:9" x14ac:dyDescent="0.25">
      <c r="A5948">
        <v>333</v>
      </c>
      <c r="B5948" t="s">
        <v>2228</v>
      </c>
      <c r="C5948" t="s">
        <v>10</v>
      </c>
      <c r="D5948" t="s">
        <v>40</v>
      </c>
      <c r="E5948">
        <f>3/159</f>
        <v>1.8867924528301886E-2</v>
      </c>
      <c r="F5948">
        <v>159</v>
      </c>
      <c r="G5948">
        <f>LOG(382/(159+1))</f>
        <v>0.377943380255784</v>
      </c>
      <c r="H5948">
        <f>0.0188679245283018*0.870246793372748</f>
        <v>1.6419750818353659E-2</v>
      </c>
      <c r="I5948">
        <v>1.6419750818353739E-2</v>
      </c>
    </row>
    <row r="5949" spans="1:9" x14ac:dyDescent="0.25">
      <c r="A5949">
        <v>333</v>
      </c>
      <c r="B5949" t="s">
        <v>2228</v>
      </c>
      <c r="C5949" t="s">
        <v>10</v>
      </c>
      <c r="D5949" t="s">
        <v>41</v>
      </c>
      <c r="E5949">
        <f>2/159</f>
        <v>1.2578616352201259E-2</v>
      </c>
      <c r="F5949">
        <v>195</v>
      </c>
      <c r="G5949">
        <f>LOG(382/(195+1))</f>
        <v>0.28980729155523272</v>
      </c>
      <c r="H5949">
        <f>0.0125786163522012*0.667305949376058</f>
        <v>8.393785526742829E-3</v>
      </c>
      <c r="I5949">
        <v>8.3937855267428689E-3</v>
      </c>
    </row>
    <row r="5950" spans="1:9" x14ac:dyDescent="0.25">
      <c r="A5950">
        <v>333</v>
      </c>
      <c r="B5950" t="s">
        <v>2228</v>
      </c>
      <c r="C5950" t="s">
        <v>10</v>
      </c>
      <c r="D5950" t="s">
        <v>1000</v>
      </c>
      <c r="E5950">
        <f>1/159</f>
        <v>6.2893081761006293E-3</v>
      </c>
      <c r="F5950">
        <v>3</v>
      </c>
      <c r="G5950">
        <f>LOG(382/(3+1))</f>
        <v>1.9800033715837464</v>
      </c>
      <c r="H5950">
        <f>0.00628930817610062*4.55912624748668</f>
        <v>2.8673749984192913E-2</v>
      </c>
      <c r="I5950">
        <v>2.8673749984192989E-2</v>
      </c>
    </row>
    <row r="5951" spans="1:9" x14ac:dyDescent="0.25">
      <c r="A5951">
        <v>333</v>
      </c>
      <c r="B5951" t="s">
        <v>2228</v>
      </c>
      <c r="C5951" t="s">
        <v>10</v>
      </c>
      <c r="D5951" t="s">
        <v>1081</v>
      </c>
      <c r="E5951">
        <f>2/159</f>
        <v>1.2578616352201259E-2</v>
      </c>
      <c r="F5951">
        <v>27</v>
      </c>
      <c r="G5951">
        <f>LOG(382/(27+1))</f>
        <v>1.1349053315694895</v>
      </c>
      <c r="H5951">
        <f>0.0125786163522012*2.61321609843137</f>
        <v>3.2870642747564252E-2</v>
      </c>
      <c r="I5951">
        <v>3.2870642747564419E-2</v>
      </c>
    </row>
    <row r="5952" spans="1:9" x14ac:dyDescent="0.25">
      <c r="A5952">
        <v>333</v>
      </c>
      <c r="B5952" t="s">
        <v>2228</v>
      </c>
      <c r="C5952" t="s">
        <v>10</v>
      </c>
      <c r="D5952" t="s">
        <v>152</v>
      </c>
      <c r="E5952">
        <f>2/159</f>
        <v>1.2578616352201259E-2</v>
      </c>
      <c r="F5952">
        <v>31</v>
      </c>
      <c r="G5952">
        <f>LOG(382/(31+1))</f>
        <v>1.0769133845918029</v>
      </c>
      <c r="H5952">
        <f>0.0125786163522012*2.47968470580684</f>
        <v>3.1191002588765136E-2</v>
      </c>
      <c r="I5952">
        <v>3.119100258876539E-2</v>
      </c>
    </row>
    <row r="5953" spans="1:9" x14ac:dyDescent="0.25">
      <c r="A5953">
        <v>333</v>
      </c>
      <c r="B5953" t="s">
        <v>2228</v>
      </c>
      <c r="C5953" t="s">
        <v>10</v>
      </c>
      <c r="D5953" t="s">
        <v>1868</v>
      </c>
      <c r="E5953">
        <f>1/159</f>
        <v>6.2893081761006293E-3</v>
      </c>
      <c r="F5953">
        <v>8</v>
      </c>
      <c r="G5953">
        <f>LOG(382/(8+1))</f>
        <v>1.6278208534723839</v>
      </c>
      <c r="H5953">
        <f>0.00628930817610062*3.74819603127035</f>
        <v>2.3573559945096505E-2</v>
      </c>
      <c r="I5953">
        <v>2.3573559945096582E-2</v>
      </c>
    </row>
    <row r="5954" spans="1:9" x14ac:dyDescent="0.25">
      <c r="A5954">
        <v>333</v>
      </c>
      <c r="B5954" t="s">
        <v>2228</v>
      </c>
      <c r="C5954" t="s">
        <v>10</v>
      </c>
      <c r="D5954" t="s">
        <v>2232</v>
      </c>
      <c r="E5954">
        <f>1/159</f>
        <v>6.2893081761006293E-3</v>
      </c>
      <c r="F5954">
        <v>1</v>
      </c>
      <c r="G5954">
        <f>LOG(382/(1+1))</f>
        <v>2.2810333672477277</v>
      </c>
      <c r="H5954">
        <f>0.00628930817610062*5.25227342804663</f>
        <v>3.3033166214129703E-2</v>
      </c>
      <c r="I5954">
        <v>3.3033166214129751E-2</v>
      </c>
    </row>
    <row r="5955" spans="1:9" x14ac:dyDescent="0.25">
      <c r="A5955">
        <v>333</v>
      </c>
      <c r="B5955" t="s">
        <v>2228</v>
      </c>
      <c r="C5955" t="s">
        <v>10</v>
      </c>
      <c r="D5955" t="s">
        <v>483</v>
      </c>
      <c r="E5955">
        <f>1/159</f>
        <v>6.2893081761006293E-3</v>
      </c>
      <c r="F5955">
        <v>61</v>
      </c>
      <c r="G5955">
        <f>LOG(382/(61+1))</f>
        <v>0.7896716734134549</v>
      </c>
      <c r="H5955">
        <f>0.00628930817610062*1.81828622356148</f>
        <v>1.1435762412336336E-2</v>
      </c>
      <c r="I5955">
        <v>1.1435762412336381E-2</v>
      </c>
    </row>
    <row r="5956" spans="1:9" x14ac:dyDescent="0.25">
      <c r="A5956">
        <v>333</v>
      </c>
      <c r="B5956" t="s">
        <v>2228</v>
      </c>
      <c r="C5956" t="s">
        <v>10</v>
      </c>
      <c r="D5956" t="s">
        <v>994</v>
      </c>
      <c r="E5956">
        <f>1/159</f>
        <v>6.2893081761006293E-3</v>
      </c>
      <c r="F5956">
        <v>37</v>
      </c>
      <c r="G5956">
        <f>LOG(382/(37+1))</f>
        <v>1.0022797662948986</v>
      </c>
      <c r="H5956">
        <f>0.00628930817610062*2.30783444888018</f>
        <v>1.4514682068428783E-2</v>
      </c>
      <c r="I5956">
        <v>1.4514682068428861E-2</v>
      </c>
    </row>
    <row r="5957" spans="1:9" x14ac:dyDescent="0.25">
      <c r="A5957">
        <v>333</v>
      </c>
      <c r="B5957" t="s">
        <v>2228</v>
      </c>
      <c r="C5957" t="s">
        <v>10</v>
      </c>
      <c r="D5957" t="s">
        <v>327</v>
      </c>
      <c r="E5957">
        <f>1/159</f>
        <v>6.2893081761006293E-3</v>
      </c>
      <c r="F5957">
        <v>46</v>
      </c>
      <c r="G5957">
        <f>LOG(382/(46+1))</f>
        <v>0.90996550497599127</v>
      </c>
      <c r="H5957">
        <f>0.00628930817610062*2.09527300689651</f>
        <v>1.3177817653437151E-2</v>
      </c>
      <c r="I5957">
        <v>1.317781765343721E-2</v>
      </c>
    </row>
    <row r="5958" spans="1:9" x14ac:dyDescent="0.25">
      <c r="A5958">
        <v>333</v>
      </c>
      <c r="B5958" t="s">
        <v>2228</v>
      </c>
      <c r="C5958" t="s">
        <v>10</v>
      </c>
      <c r="D5958" t="s">
        <v>1083</v>
      </c>
      <c r="E5958">
        <f>2/159</f>
        <v>1.2578616352201259E-2</v>
      </c>
      <c r="F5958">
        <v>51</v>
      </c>
      <c r="G5958">
        <f>LOG(382/(51+1))</f>
        <v>0.86606001927690957</v>
      </c>
      <c r="H5958">
        <f>0.0125786163522012*1.99417689002514</f>
        <v>2.508398603805196E-2</v>
      </c>
      <c r="I5958">
        <v>2.5083986038052179E-2</v>
      </c>
    </row>
    <row r="5959" spans="1:9" x14ac:dyDescent="0.25">
      <c r="A5959">
        <v>333</v>
      </c>
      <c r="B5959" t="s">
        <v>2228</v>
      </c>
      <c r="C5959" t="s">
        <v>10</v>
      </c>
      <c r="D5959" t="s">
        <v>133</v>
      </c>
      <c r="E5959">
        <f>3/159</f>
        <v>1.8867924528301886E-2</v>
      </c>
      <c r="F5959">
        <v>142</v>
      </c>
      <c r="G5959">
        <f>LOG(382/(142+1))</f>
        <v>0.42672732544664693</v>
      </c>
      <c r="H5959">
        <f>0.0188679245283018*0.982575978346667</f>
        <v>1.8539169402767217E-2</v>
      </c>
      <c r="I5959">
        <v>1.8539169402767321E-2</v>
      </c>
    </row>
    <row r="5960" spans="1:9" x14ac:dyDescent="0.25">
      <c r="A5960">
        <v>333</v>
      </c>
      <c r="B5960" t="s">
        <v>2228</v>
      </c>
      <c r="C5960" t="s">
        <v>10</v>
      </c>
      <c r="D5960" t="s">
        <v>77</v>
      </c>
      <c r="E5960">
        <f>2/159</f>
        <v>1.2578616352201259E-2</v>
      </c>
      <c r="F5960">
        <v>148</v>
      </c>
      <c r="G5960">
        <f>LOG(382/(148+1))</f>
        <v>0.40887709449943471</v>
      </c>
      <c r="H5960">
        <f>0.0125786163522012*0.941474302661116</f>
        <v>1.1842444058630336E-2</v>
      </c>
      <c r="I5960">
        <v>1.1842444058630389E-2</v>
      </c>
    </row>
    <row r="5961" spans="1:9" x14ac:dyDescent="0.25">
      <c r="A5961">
        <v>333</v>
      </c>
      <c r="B5961" t="s">
        <v>2228</v>
      </c>
      <c r="C5961" t="s">
        <v>10</v>
      </c>
      <c r="D5961" t="s">
        <v>2233</v>
      </c>
      <c r="E5961">
        <f>1/159</f>
        <v>6.2893081761006293E-3</v>
      </c>
      <c r="F5961">
        <v>1</v>
      </c>
      <c r="G5961">
        <f>LOG(382/(1+1))</f>
        <v>2.2810333672477277</v>
      </c>
      <c r="H5961">
        <f>0.00628930817610062*5.25227342804663</f>
        <v>3.3033166214129703E-2</v>
      </c>
      <c r="I5961">
        <v>3.3033166214129751E-2</v>
      </c>
    </row>
    <row r="5962" spans="1:9" x14ac:dyDescent="0.25">
      <c r="A5962">
        <v>333</v>
      </c>
      <c r="B5962" t="s">
        <v>2228</v>
      </c>
      <c r="C5962" t="s">
        <v>10</v>
      </c>
      <c r="D5962" t="s">
        <v>2234</v>
      </c>
      <c r="E5962">
        <f>1/159</f>
        <v>6.2893081761006293E-3</v>
      </c>
      <c r="F5962">
        <v>1</v>
      </c>
      <c r="G5962">
        <f>LOG(382/(1+1))</f>
        <v>2.2810333672477277</v>
      </c>
      <c r="H5962">
        <f>0.00628930817610062*5.25227342804663</f>
        <v>3.3033166214129703E-2</v>
      </c>
      <c r="I5962">
        <v>3.3033166214129751E-2</v>
      </c>
    </row>
    <row r="5963" spans="1:9" x14ac:dyDescent="0.25">
      <c r="A5963">
        <v>333</v>
      </c>
      <c r="B5963" t="s">
        <v>2228</v>
      </c>
      <c r="C5963" t="s">
        <v>10</v>
      </c>
      <c r="D5963" t="s">
        <v>237</v>
      </c>
      <c r="E5963">
        <f>4/159</f>
        <v>2.5157232704402517E-2</v>
      </c>
      <c r="F5963">
        <v>138</v>
      </c>
      <c r="G5963">
        <f>LOG(382/(138+1))</f>
        <v>0.43904856265761361</v>
      </c>
      <c r="H5963">
        <f>0.0251572327044025*1.01094667547588</f>
        <v>2.5432620766688788E-2</v>
      </c>
      <c r="I5963">
        <v>2.5432620766688889E-2</v>
      </c>
    </row>
    <row r="5964" spans="1:9" x14ac:dyDescent="0.25">
      <c r="A5964">
        <v>333</v>
      </c>
      <c r="B5964" t="s">
        <v>2228</v>
      </c>
      <c r="C5964" t="s">
        <v>10</v>
      </c>
      <c r="D5964" t="s">
        <v>1533</v>
      </c>
      <c r="E5964">
        <f>1/159</f>
        <v>6.2893081761006293E-3</v>
      </c>
      <c r="F5964">
        <v>33</v>
      </c>
      <c r="G5964">
        <f>LOG(382/(33+1))</f>
        <v>1.0505844458694535</v>
      </c>
      <c r="H5964">
        <f>0.00628930817610062*2.41906008399041</f>
        <v>1.5214214364719538E-2</v>
      </c>
      <c r="I5964">
        <v>1.5214214364719579E-2</v>
      </c>
    </row>
    <row r="5965" spans="1:9" x14ac:dyDescent="0.25">
      <c r="A5965">
        <v>333</v>
      </c>
      <c r="B5965" t="s">
        <v>2228</v>
      </c>
      <c r="C5965" t="s">
        <v>10</v>
      </c>
      <c r="D5965" t="s">
        <v>600</v>
      </c>
      <c r="E5965">
        <f>2/159</f>
        <v>1.2578616352201259E-2</v>
      </c>
      <c r="F5965">
        <v>102</v>
      </c>
      <c r="G5965">
        <f>LOG(382/(102+1))</f>
        <v>0.56922613820653656</v>
      </c>
      <c r="H5965">
        <f>0.0125786163522012*1.31069162037693</f>
        <v>1.6486687048766342E-2</v>
      </c>
      <c r="I5965">
        <v>1.6486687048766539E-2</v>
      </c>
    </row>
    <row r="5966" spans="1:9" x14ac:dyDescent="0.25">
      <c r="A5966">
        <v>333</v>
      </c>
      <c r="B5966" t="s">
        <v>2228</v>
      </c>
      <c r="C5966" t="s">
        <v>10</v>
      </c>
      <c r="D5966" t="s">
        <v>2235</v>
      </c>
      <c r="E5966">
        <f>1/159</f>
        <v>6.2893081761006293E-3</v>
      </c>
      <c r="F5966">
        <v>1</v>
      </c>
      <c r="G5966">
        <f>LOG(382/(1+1))</f>
        <v>2.2810333672477277</v>
      </c>
      <c r="H5966">
        <f>0.00628930817610062*5.25227342804663</f>
        <v>3.3033166214129703E-2</v>
      </c>
      <c r="I5966">
        <v>3.3033166214129751E-2</v>
      </c>
    </row>
    <row r="5967" spans="1:9" x14ac:dyDescent="0.25">
      <c r="A5967">
        <v>333</v>
      </c>
      <c r="B5967" t="s">
        <v>2228</v>
      </c>
      <c r="C5967" t="s">
        <v>10</v>
      </c>
      <c r="D5967" t="s">
        <v>1537</v>
      </c>
      <c r="E5967">
        <f>2/159</f>
        <v>1.2578616352201259E-2</v>
      </c>
      <c r="F5967">
        <v>80</v>
      </c>
      <c r="G5967">
        <f>LOG(382/(80+1))</f>
        <v>0.67357834403305894</v>
      </c>
      <c r="H5967">
        <f>0.0125786163522012*1.55097145393413</f>
        <v>1.9509074892253116E-2</v>
      </c>
      <c r="I5967">
        <v>1.950907489225329E-2</v>
      </c>
    </row>
    <row r="5968" spans="1:9" x14ac:dyDescent="0.25">
      <c r="A5968">
        <v>333</v>
      </c>
      <c r="B5968" t="s">
        <v>2228</v>
      </c>
      <c r="C5968" t="s">
        <v>10</v>
      </c>
      <c r="D5968" t="s">
        <v>362</v>
      </c>
      <c r="E5968">
        <f>1/159</f>
        <v>6.2893081761006293E-3</v>
      </c>
      <c r="F5968">
        <v>81</v>
      </c>
      <c r="G5968">
        <f>LOG(382/(81+1))</f>
        <v>0.66824951052799197</v>
      </c>
      <c r="H5968">
        <f>0.00628930817610062*1.53870136134232</f>
        <v>9.6773670524674064E-3</v>
      </c>
      <c r="I5968">
        <v>9.6773670524674341E-3</v>
      </c>
    </row>
    <row r="5969" spans="1:9" x14ac:dyDescent="0.25">
      <c r="A5969">
        <v>333</v>
      </c>
      <c r="B5969" t="s">
        <v>2228</v>
      </c>
      <c r="C5969" t="s">
        <v>10</v>
      </c>
      <c r="D5969" t="s">
        <v>1762</v>
      </c>
      <c r="E5969">
        <f>2/159</f>
        <v>1.2578616352201259E-2</v>
      </c>
      <c r="F5969">
        <v>60</v>
      </c>
      <c r="G5969">
        <f>LOG(382/(60+1))</f>
        <v>0.79673352790094176</v>
      </c>
      <c r="H5969">
        <f>0.0125786163522012*1.83454674443326</f>
        <v>2.3076059678405678E-2</v>
      </c>
      <c r="I5969">
        <v>2.3076059678405841E-2</v>
      </c>
    </row>
    <row r="5970" spans="1:9" x14ac:dyDescent="0.25">
      <c r="A5970">
        <v>333</v>
      </c>
      <c r="B5970" t="s">
        <v>2228</v>
      </c>
      <c r="C5970" t="s">
        <v>10</v>
      </c>
      <c r="D5970" t="s">
        <v>2236</v>
      </c>
      <c r="E5970">
        <f>1/159</f>
        <v>6.2893081761006293E-3</v>
      </c>
      <c r="F5970">
        <v>1</v>
      </c>
      <c r="G5970">
        <f>LOG(382/(1+1))</f>
        <v>2.2810333672477277</v>
      </c>
      <c r="H5970">
        <f>0.00628930817610062*5.25227342804663</f>
        <v>3.3033166214129703E-2</v>
      </c>
      <c r="I5970">
        <v>3.3033166214129751E-2</v>
      </c>
    </row>
    <row r="5971" spans="1:9" x14ac:dyDescent="0.25">
      <c r="A5971">
        <v>333</v>
      </c>
      <c r="B5971" t="s">
        <v>2228</v>
      </c>
      <c r="C5971" t="s">
        <v>10</v>
      </c>
      <c r="D5971" t="s">
        <v>2237</v>
      </c>
      <c r="E5971">
        <f>1/159</f>
        <v>6.2893081761006293E-3</v>
      </c>
      <c r="F5971">
        <v>1</v>
      </c>
      <c r="G5971">
        <f>LOG(382/(1+1))</f>
        <v>2.2810333672477277</v>
      </c>
      <c r="H5971">
        <f>0.00628930817610062*5.25227342804663</f>
        <v>3.3033166214129703E-2</v>
      </c>
      <c r="I5971">
        <v>3.3033166214129751E-2</v>
      </c>
    </row>
    <row r="5972" spans="1:9" x14ac:dyDescent="0.25">
      <c r="A5972">
        <v>333</v>
      </c>
      <c r="B5972" t="s">
        <v>2228</v>
      </c>
      <c r="C5972" t="s">
        <v>10</v>
      </c>
      <c r="D5972" t="s">
        <v>1257</v>
      </c>
      <c r="E5972">
        <f>1/159</f>
        <v>6.2893081761006293E-3</v>
      </c>
      <c r="F5972">
        <v>10</v>
      </c>
      <c r="G5972">
        <f>LOG(382/(10+1))</f>
        <v>1.5406706777534838</v>
      </c>
      <c r="H5972">
        <f>0.00628930817610062*3.5475253358082</f>
        <v>2.2311480099422611E-2</v>
      </c>
      <c r="I5972">
        <v>2.231148009942267E-2</v>
      </c>
    </row>
    <row r="5973" spans="1:9" x14ac:dyDescent="0.25">
      <c r="A5973">
        <v>333</v>
      </c>
      <c r="B5973" t="s">
        <v>2228</v>
      </c>
      <c r="C5973" t="s">
        <v>10</v>
      </c>
      <c r="D5973" t="s">
        <v>201</v>
      </c>
      <c r="E5973">
        <f>2/159</f>
        <v>1.2578616352201259E-2</v>
      </c>
      <c r="F5973">
        <v>72</v>
      </c>
      <c r="G5973">
        <f>LOG(382/(72+1))</f>
        <v>0.71874050279125279</v>
      </c>
      <c r="H5973">
        <f>0.0125786163522012*1.65496116745818</f>
        <v>2.0817121603247449E-2</v>
      </c>
      <c r="I5973">
        <v>2.0817121603247599E-2</v>
      </c>
    </row>
    <row r="5974" spans="1:9" x14ac:dyDescent="0.25">
      <c r="A5974">
        <v>333</v>
      </c>
      <c r="B5974" t="s">
        <v>2228</v>
      </c>
      <c r="C5974" t="s">
        <v>10</v>
      </c>
      <c r="D5974" t="s">
        <v>675</v>
      </c>
      <c r="E5974">
        <f t="shared" ref="E5974:E5988" si="267">1/159</f>
        <v>6.2893081761006293E-3</v>
      </c>
      <c r="F5974">
        <v>10</v>
      </c>
      <c r="G5974">
        <f>LOG(382/(10+1))</f>
        <v>1.5406706777534838</v>
      </c>
      <c r="H5974">
        <f>0.00628930817610062*3.5475253358082</f>
        <v>2.2311480099422611E-2</v>
      </c>
      <c r="I5974">
        <v>2.231148009942267E-2</v>
      </c>
    </row>
    <row r="5975" spans="1:9" x14ac:dyDescent="0.25">
      <c r="A5975">
        <v>333</v>
      </c>
      <c r="B5975" t="s">
        <v>2228</v>
      </c>
      <c r="C5975" t="s">
        <v>10</v>
      </c>
      <c r="D5975" t="s">
        <v>937</v>
      </c>
      <c r="E5975">
        <f t="shared" si="267"/>
        <v>6.2893081761006293E-3</v>
      </c>
      <c r="F5975">
        <v>41</v>
      </c>
      <c r="G5975">
        <f>LOG(382/(41+1))</f>
        <v>0.95881407251380824</v>
      </c>
      <c r="H5975">
        <f>0.00628930817610062*2.2077509903232</f>
        <v>1.3885226354233943E-2</v>
      </c>
      <c r="I5975">
        <v>1.3885226354234011E-2</v>
      </c>
    </row>
    <row r="5976" spans="1:9" x14ac:dyDescent="0.25">
      <c r="A5976">
        <v>333</v>
      </c>
      <c r="B5976" t="s">
        <v>2228</v>
      </c>
      <c r="C5976" t="s">
        <v>10</v>
      </c>
      <c r="D5976" t="s">
        <v>2238</v>
      </c>
      <c r="E5976">
        <f t="shared" si="267"/>
        <v>6.2893081761006293E-3</v>
      </c>
      <c r="F5976">
        <v>68</v>
      </c>
      <c r="G5976">
        <f>LOG(382/(68+1))</f>
        <v>0.74321427217445335</v>
      </c>
      <c r="H5976">
        <f>0.00628930817610062*1.71131410400931</f>
        <v>1.0762981786222059E-2</v>
      </c>
      <c r="I5976">
        <v>1.076298178622211E-2</v>
      </c>
    </row>
    <row r="5977" spans="1:9" x14ac:dyDescent="0.25">
      <c r="A5977">
        <v>333</v>
      </c>
      <c r="B5977" t="s">
        <v>2228</v>
      </c>
      <c r="C5977" t="s">
        <v>10</v>
      </c>
      <c r="D5977" t="s">
        <v>716</v>
      </c>
      <c r="E5977">
        <f t="shared" si="267"/>
        <v>6.2893081761006293E-3</v>
      </c>
      <c r="F5977">
        <v>13</v>
      </c>
      <c r="G5977">
        <f>LOG(382/(13+1))</f>
        <v>1.4359353272334707</v>
      </c>
      <c r="H5977">
        <f>0.00628930817610062*3.30636327899131</f>
        <v>2.0794737603718902E-2</v>
      </c>
      <c r="I5977">
        <v>2.0794737603718971E-2</v>
      </c>
    </row>
    <row r="5978" spans="1:9" x14ac:dyDescent="0.25">
      <c r="A5978">
        <v>333</v>
      </c>
      <c r="B5978" t="s">
        <v>2228</v>
      </c>
      <c r="C5978" t="s">
        <v>10</v>
      </c>
      <c r="D5978" t="s">
        <v>1769</v>
      </c>
      <c r="E5978">
        <f t="shared" si="267"/>
        <v>6.2893081761006293E-3</v>
      </c>
      <c r="F5978">
        <v>84</v>
      </c>
      <c r="G5978">
        <f>LOG(382/(84+1))</f>
        <v>0.65264443719741605</v>
      </c>
      <c r="H5978">
        <f>0.00628930817610062*1.50276935211625</f>
        <v>9.4513795730581628E-3</v>
      </c>
      <c r="I5978">
        <v>9.4513795730582321E-3</v>
      </c>
    </row>
    <row r="5979" spans="1:9" x14ac:dyDescent="0.25">
      <c r="A5979">
        <v>333</v>
      </c>
      <c r="B5979" t="s">
        <v>2228</v>
      </c>
      <c r="C5979" t="s">
        <v>10</v>
      </c>
      <c r="D5979" t="s">
        <v>2239</v>
      </c>
      <c r="E5979">
        <f t="shared" si="267"/>
        <v>6.2893081761006293E-3</v>
      </c>
      <c r="F5979">
        <v>1</v>
      </c>
      <c r="G5979">
        <f>LOG(382/(1+1))</f>
        <v>2.2810333672477277</v>
      </c>
      <c r="H5979">
        <f>0.00628930817610062*5.25227342804663</f>
        <v>3.3033166214129703E-2</v>
      </c>
      <c r="I5979">
        <v>3.3033166214129751E-2</v>
      </c>
    </row>
    <row r="5980" spans="1:9" x14ac:dyDescent="0.25">
      <c r="A5980">
        <v>333</v>
      </c>
      <c r="B5980" t="s">
        <v>2228</v>
      </c>
      <c r="C5980" t="s">
        <v>10</v>
      </c>
      <c r="D5980" t="s">
        <v>126</v>
      </c>
      <c r="E5980">
        <f t="shared" si="267"/>
        <v>6.2893081761006293E-3</v>
      </c>
      <c r="F5980">
        <v>79</v>
      </c>
      <c r="G5980">
        <f>LOG(382/(79+1))</f>
        <v>0.67897337591976514</v>
      </c>
      <c r="H5980">
        <f>0.00628930817610062*1.56339397393269</f>
        <v>9.8326665027213076E-3</v>
      </c>
      <c r="I5980">
        <v>9.832666502721344E-3</v>
      </c>
    </row>
    <row r="5981" spans="1:9" x14ac:dyDescent="0.25">
      <c r="A5981">
        <v>333</v>
      </c>
      <c r="B5981" t="s">
        <v>2228</v>
      </c>
      <c r="C5981" t="s">
        <v>10</v>
      </c>
      <c r="D5981" t="s">
        <v>2240</v>
      </c>
      <c r="E5981">
        <f t="shared" si="267"/>
        <v>6.2893081761006293E-3</v>
      </c>
      <c r="F5981">
        <v>1</v>
      </c>
      <c r="G5981">
        <f>LOG(382/(1+1))</f>
        <v>2.2810333672477277</v>
      </c>
      <c r="H5981">
        <f>0.00628930817610062*5.25227342804663</f>
        <v>3.3033166214129703E-2</v>
      </c>
      <c r="I5981">
        <v>3.3033166214129751E-2</v>
      </c>
    </row>
    <row r="5982" spans="1:9" x14ac:dyDescent="0.25">
      <c r="A5982">
        <v>333</v>
      </c>
      <c r="B5982" t="s">
        <v>2228</v>
      </c>
      <c r="C5982" t="s">
        <v>10</v>
      </c>
      <c r="D5982" t="s">
        <v>361</v>
      </c>
      <c r="E5982">
        <f t="shared" si="267"/>
        <v>6.2893081761006293E-3</v>
      </c>
      <c r="F5982">
        <v>118</v>
      </c>
      <c r="G5982">
        <f>LOG(382/(118+1))</f>
        <v>0.50651640151917798</v>
      </c>
      <c r="H5982">
        <f>0.00628930817610062*1.16629711549504</f>
        <v>7.3352019842455232E-3</v>
      </c>
      <c r="I5982">
        <v>7.3352019842455717E-3</v>
      </c>
    </row>
    <row r="5983" spans="1:9" x14ac:dyDescent="0.25">
      <c r="A5983">
        <v>333</v>
      </c>
      <c r="B5983" t="s">
        <v>2228</v>
      </c>
      <c r="C5983" t="s">
        <v>10</v>
      </c>
      <c r="D5983" t="s">
        <v>434</v>
      </c>
      <c r="E5983">
        <f t="shared" si="267"/>
        <v>6.2893081761006293E-3</v>
      </c>
      <c r="F5983">
        <v>97</v>
      </c>
      <c r="G5983">
        <f>LOG(382/(97+1))</f>
        <v>0.59083728721921391</v>
      </c>
      <c r="H5983">
        <f>0.00628930817610062*1.360453129936</f>
        <v>8.5563089933081635E-3</v>
      </c>
      <c r="I5983">
        <v>8.5563089933081964E-3</v>
      </c>
    </row>
    <row r="5984" spans="1:9" x14ac:dyDescent="0.25">
      <c r="A5984">
        <v>333</v>
      </c>
      <c r="B5984" t="s">
        <v>2228</v>
      </c>
      <c r="C5984" t="s">
        <v>10</v>
      </c>
      <c r="D5984" t="s">
        <v>310</v>
      </c>
      <c r="E5984">
        <f t="shared" si="267"/>
        <v>6.2893081761006293E-3</v>
      </c>
      <c r="F5984">
        <v>50</v>
      </c>
      <c r="G5984">
        <f>LOG(382/(50+1))</f>
        <v>0.87449318681377242</v>
      </c>
      <c r="H5984">
        <f>0.00628930817610062*2.01359497588224</f>
        <v>1.2664119345171301E-2</v>
      </c>
      <c r="I5984">
        <v>1.2664119345171381E-2</v>
      </c>
    </row>
    <row r="5985" spans="1:9" x14ac:dyDescent="0.25">
      <c r="A5985">
        <v>333</v>
      </c>
      <c r="B5985" t="s">
        <v>2228</v>
      </c>
      <c r="C5985" t="s">
        <v>10</v>
      </c>
      <c r="D5985" t="s">
        <v>2241</v>
      </c>
      <c r="E5985">
        <f t="shared" si="267"/>
        <v>6.2893081761006293E-3</v>
      </c>
      <c r="F5985">
        <v>12</v>
      </c>
      <c r="G5985">
        <f>LOG(382/(12+1))</f>
        <v>1.468120010604872</v>
      </c>
      <c r="H5985">
        <f>0.00628930817610062*3.38047125114503</f>
        <v>2.1260825478899528E-2</v>
      </c>
      <c r="I5985">
        <v>2.1260825478899611E-2</v>
      </c>
    </row>
    <row r="5986" spans="1:9" x14ac:dyDescent="0.25">
      <c r="A5986">
        <v>333</v>
      </c>
      <c r="B5986" t="s">
        <v>2228</v>
      </c>
      <c r="C5986" t="s">
        <v>10</v>
      </c>
      <c r="D5986" t="s">
        <v>2242</v>
      </c>
      <c r="E5986">
        <f t="shared" si="267"/>
        <v>6.2893081761006293E-3</v>
      </c>
      <c r="F5986">
        <v>18</v>
      </c>
      <c r="G5986">
        <f>LOG(382/(18+1))</f>
        <v>1.3033097619588798</v>
      </c>
      <c r="H5986">
        <f>0.00628930817610062*3.00098162944013</f>
        <v>1.8874098298365571E-2</v>
      </c>
      <c r="I5986">
        <v>1.887409829836563E-2</v>
      </c>
    </row>
    <row r="5987" spans="1:9" x14ac:dyDescent="0.25">
      <c r="A5987">
        <v>333</v>
      </c>
      <c r="B5987" t="s">
        <v>2228</v>
      </c>
      <c r="C5987" t="s">
        <v>10</v>
      </c>
      <c r="D5987" t="s">
        <v>214</v>
      </c>
      <c r="E5987">
        <f t="shared" si="267"/>
        <v>6.2893081761006293E-3</v>
      </c>
      <c r="F5987">
        <v>68</v>
      </c>
      <c r="G5987">
        <f>LOG(382/(68+1))</f>
        <v>0.74321427217445335</v>
      </c>
      <c r="H5987">
        <f>0.00628930817610062*1.71131410400931</f>
        <v>1.0762981786222059E-2</v>
      </c>
      <c r="I5987">
        <v>1.076298178622211E-2</v>
      </c>
    </row>
    <row r="5988" spans="1:9" x14ac:dyDescent="0.25">
      <c r="A5988">
        <v>333</v>
      </c>
      <c r="B5988" t="s">
        <v>2228</v>
      </c>
      <c r="C5988" t="s">
        <v>10</v>
      </c>
      <c r="D5988" t="s">
        <v>676</v>
      </c>
      <c r="E5988">
        <f t="shared" si="267"/>
        <v>6.2893081761006293E-3</v>
      </c>
      <c r="F5988">
        <v>20</v>
      </c>
      <c r="G5988">
        <f>LOG(382/(20+1))</f>
        <v>1.2598440681777894</v>
      </c>
      <c r="H5988">
        <f>0.00628930817610062*2.90089817088315</f>
        <v>1.8244642584170728E-2</v>
      </c>
      <c r="I5988">
        <v>1.8244642584170769E-2</v>
      </c>
    </row>
    <row r="5989" spans="1:9" x14ac:dyDescent="0.25">
      <c r="A5989">
        <v>333</v>
      </c>
      <c r="B5989" t="s">
        <v>2228</v>
      </c>
      <c r="C5989" t="s">
        <v>10</v>
      </c>
      <c r="D5989" t="s">
        <v>144</v>
      </c>
      <c r="E5989">
        <f>2/159</f>
        <v>1.2578616352201259E-2</v>
      </c>
      <c r="F5989">
        <v>105</v>
      </c>
      <c r="G5989">
        <f>LOG(382/(105+1))</f>
        <v>0.55675749764693849</v>
      </c>
      <c r="H5989">
        <f>0.0125786163522012*1.2819815144945</f>
        <v>1.6125553641440176E-2</v>
      </c>
      <c r="I5989">
        <v>1.612555364144035E-2</v>
      </c>
    </row>
    <row r="5990" spans="1:9" x14ac:dyDescent="0.25">
      <c r="A5990">
        <v>333</v>
      </c>
      <c r="B5990" t="s">
        <v>2228</v>
      </c>
      <c r="C5990" t="s">
        <v>10</v>
      </c>
      <c r="D5990" t="s">
        <v>2243</v>
      </c>
      <c r="E5990">
        <f t="shared" ref="E5990:E6023" si="268">1/159</f>
        <v>6.2893081761006293E-3</v>
      </c>
      <c r="F5990">
        <v>1</v>
      </c>
      <c r="G5990">
        <f>LOG(382/(1+1))</f>
        <v>2.2810333672477277</v>
      </c>
      <c r="H5990">
        <f>0.00628930817610062*5.25227342804663</f>
        <v>3.3033166214129703E-2</v>
      </c>
      <c r="I5990">
        <v>3.3033166214129751E-2</v>
      </c>
    </row>
    <row r="5991" spans="1:9" x14ac:dyDescent="0.25">
      <c r="A5991">
        <v>333</v>
      </c>
      <c r="B5991" t="s">
        <v>2228</v>
      </c>
      <c r="C5991" t="s">
        <v>10</v>
      </c>
      <c r="D5991" t="s">
        <v>1309</v>
      </c>
      <c r="E5991">
        <f t="shared" si="268"/>
        <v>6.2893081761006293E-3</v>
      </c>
      <c r="F5991">
        <v>2</v>
      </c>
      <c r="G5991">
        <f>LOG(382/(2+1))</f>
        <v>2.1049421081920463</v>
      </c>
      <c r="H5991">
        <f>0.00628930817610062*4.84680831993846</f>
        <v>3.0483071194581466E-2</v>
      </c>
      <c r="I5991">
        <v>3.0483071194581549E-2</v>
      </c>
    </row>
    <row r="5992" spans="1:9" x14ac:dyDescent="0.25">
      <c r="A5992">
        <v>333</v>
      </c>
      <c r="B5992" t="s">
        <v>2228</v>
      </c>
      <c r="C5992" t="s">
        <v>10</v>
      </c>
      <c r="D5992" t="s">
        <v>70</v>
      </c>
      <c r="E5992">
        <f t="shared" si="268"/>
        <v>6.2893081761006293E-3</v>
      </c>
      <c r="F5992">
        <v>44</v>
      </c>
      <c r="G5992">
        <f>LOG(382/(44+1))</f>
        <v>0.92885084913636506</v>
      </c>
      <c r="H5992">
        <f>0.00628930817610062*2.13875811883625</f>
        <v>1.3451308923498407E-2</v>
      </c>
      <c r="I5992">
        <v>1.345130892349846E-2</v>
      </c>
    </row>
    <row r="5993" spans="1:9" x14ac:dyDescent="0.25">
      <c r="A5993">
        <v>333</v>
      </c>
      <c r="B5993" t="s">
        <v>2228</v>
      </c>
      <c r="C5993" t="s">
        <v>10</v>
      </c>
      <c r="D5993" t="s">
        <v>2244</v>
      </c>
      <c r="E5993">
        <f t="shared" si="268"/>
        <v>6.2893081761006293E-3</v>
      </c>
      <c r="F5993">
        <v>1</v>
      </c>
      <c r="G5993">
        <f>LOG(382/(1+1))</f>
        <v>2.2810333672477277</v>
      </c>
      <c r="H5993">
        <f>0.00628930817610062*5.25227342804663</f>
        <v>3.3033166214129703E-2</v>
      </c>
      <c r="I5993">
        <v>3.3033166214129751E-2</v>
      </c>
    </row>
    <row r="5994" spans="1:9" x14ac:dyDescent="0.25">
      <c r="A5994">
        <v>333</v>
      </c>
      <c r="B5994" t="s">
        <v>2228</v>
      </c>
      <c r="C5994" t="s">
        <v>10</v>
      </c>
      <c r="D5994" t="s">
        <v>2245</v>
      </c>
      <c r="E5994">
        <f t="shared" si="268"/>
        <v>6.2893081761006293E-3</v>
      </c>
      <c r="F5994">
        <v>1</v>
      </c>
      <c r="G5994">
        <f>LOG(382/(1+1))</f>
        <v>2.2810333672477277</v>
      </c>
      <c r="H5994">
        <f>0.00628930817610062*5.25227342804663</f>
        <v>3.3033166214129703E-2</v>
      </c>
      <c r="I5994">
        <v>3.3033166214129751E-2</v>
      </c>
    </row>
    <row r="5995" spans="1:9" x14ac:dyDescent="0.25">
      <c r="A5995">
        <v>333</v>
      </c>
      <c r="B5995" t="s">
        <v>2228</v>
      </c>
      <c r="C5995" t="s">
        <v>10</v>
      </c>
      <c r="D5995" t="s">
        <v>1785</v>
      </c>
      <c r="E5995">
        <f t="shared" si="268"/>
        <v>6.2893081761006293E-3</v>
      </c>
      <c r="F5995">
        <v>21</v>
      </c>
      <c r="G5995">
        <f>LOG(382/(21+1))</f>
        <v>1.2396406820895025</v>
      </c>
      <c r="H5995">
        <f>0.00628930817610062*2.85437815524825</f>
        <v>1.7952063869485821E-2</v>
      </c>
      <c r="I5995">
        <v>1.7952063869485911E-2</v>
      </c>
    </row>
    <row r="5996" spans="1:9" x14ac:dyDescent="0.25">
      <c r="A5996">
        <v>333</v>
      </c>
      <c r="B5996" t="s">
        <v>2228</v>
      </c>
      <c r="C5996" t="s">
        <v>10</v>
      </c>
      <c r="D5996" t="s">
        <v>2246</v>
      </c>
      <c r="E5996">
        <f t="shared" si="268"/>
        <v>6.2893081761006293E-3</v>
      </c>
      <c r="F5996">
        <v>1</v>
      </c>
      <c r="G5996">
        <f>LOG(382/(1+1))</f>
        <v>2.2810333672477277</v>
      </c>
      <c r="H5996">
        <f>0.00628930817610062*5.25227342804663</f>
        <v>3.3033166214129703E-2</v>
      </c>
      <c r="I5996">
        <v>3.3033166214129751E-2</v>
      </c>
    </row>
    <row r="5997" spans="1:9" x14ac:dyDescent="0.25">
      <c r="A5997">
        <v>333</v>
      </c>
      <c r="B5997" t="s">
        <v>2228</v>
      </c>
      <c r="C5997" t="s">
        <v>10</v>
      </c>
      <c r="D5997" t="s">
        <v>2247</v>
      </c>
      <c r="E5997">
        <f t="shared" si="268"/>
        <v>6.2893081761006293E-3</v>
      </c>
      <c r="F5997">
        <v>1</v>
      </c>
      <c r="G5997">
        <f>LOG(382/(1+1))</f>
        <v>2.2810333672477277</v>
      </c>
      <c r="H5997">
        <f>0.00628930817610062*5.25227342804663</f>
        <v>3.3033166214129703E-2</v>
      </c>
      <c r="I5997">
        <v>3.3033166214129751E-2</v>
      </c>
    </row>
    <row r="5998" spans="1:9" x14ac:dyDescent="0.25">
      <c r="A5998">
        <v>333</v>
      </c>
      <c r="B5998" t="s">
        <v>2228</v>
      </c>
      <c r="C5998" t="s">
        <v>10</v>
      </c>
      <c r="D5998" t="s">
        <v>2248</v>
      </c>
      <c r="E5998">
        <f t="shared" si="268"/>
        <v>6.2893081761006293E-3</v>
      </c>
      <c r="F5998">
        <v>1</v>
      </c>
      <c r="G5998">
        <f>LOG(382/(1+1))</f>
        <v>2.2810333672477277</v>
      </c>
      <c r="H5998">
        <f>0.00628930817610062*5.25227342804663</f>
        <v>3.3033166214129703E-2</v>
      </c>
      <c r="I5998">
        <v>3.3033166214129751E-2</v>
      </c>
    </row>
    <row r="5999" spans="1:9" x14ac:dyDescent="0.25">
      <c r="A5999">
        <v>333</v>
      </c>
      <c r="B5999" t="s">
        <v>2228</v>
      </c>
      <c r="C5999" t="s">
        <v>10</v>
      </c>
      <c r="D5999" t="s">
        <v>596</v>
      </c>
      <c r="E5999">
        <f t="shared" si="268"/>
        <v>6.2893081761006293E-3</v>
      </c>
      <c r="F5999">
        <v>60</v>
      </c>
      <c r="G5999">
        <f>LOG(382/(60+1))</f>
        <v>0.79673352790094176</v>
      </c>
      <c r="H5999">
        <f>0.00628930817610062*1.83454674443326</f>
        <v>1.1538029839202876E-2</v>
      </c>
      <c r="I5999">
        <v>1.1538029839202921E-2</v>
      </c>
    </row>
    <row r="6000" spans="1:9" x14ac:dyDescent="0.25">
      <c r="A6000">
        <v>333</v>
      </c>
      <c r="B6000" t="s">
        <v>2228</v>
      </c>
      <c r="C6000" t="s">
        <v>10</v>
      </c>
      <c r="D6000" t="s">
        <v>597</v>
      </c>
      <c r="E6000">
        <f t="shared" si="268"/>
        <v>6.2893081761006293E-3</v>
      </c>
      <c r="F6000">
        <v>51</v>
      </c>
      <c r="G6000">
        <f>LOG(382/(51+1))</f>
        <v>0.86606001927690957</v>
      </c>
      <c r="H6000">
        <f>0.00628930817610062*1.99417689002514</f>
        <v>1.254199301902602E-2</v>
      </c>
      <c r="I6000">
        <v>1.2541993019026089E-2</v>
      </c>
    </row>
    <row r="6001" spans="1:9" x14ac:dyDescent="0.25">
      <c r="A6001">
        <v>333</v>
      </c>
      <c r="B6001" t="s">
        <v>2228</v>
      </c>
      <c r="C6001" t="s">
        <v>10</v>
      </c>
      <c r="D6001" t="s">
        <v>2249</v>
      </c>
      <c r="E6001">
        <f t="shared" si="268"/>
        <v>6.2893081761006293E-3</v>
      </c>
      <c r="F6001">
        <v>2</v>
      </c>
      <c r="G6001">
        <f>LOG(382/(2+1))</f>
        <v>2.1049421081920463</v>
      </c>
      <c r="H6001">
        <f>0.00628930817610062*4.84680831993846</f>
        <v>3.0483071194581466E-2</v>
      </c>
      <c r="I6001">
        <v>3.0483071194581549E-2</v>
      </c>
    </row>
    <row r="6002" spans="1:9" x14ac:dyDescent="0.25">
      <c r="A6002">
        <v>333</v>
      </c>
      <c r="B6002" t="s">
        <v>2228</v>
      </c>
      <c r="C6002" t="s">
        <v>10</v>
      </c>
      <c r="D6002" t="s">
        <v>432</v>
      </c>
      <c r="E6002">
        <f t="shared" si="268"/>
        <v>6.2893081761006293E-3</v>
      </c>
      <c r="F6002">
        <v>67</v>
      </c>
      <c r="G6002">
        <f>LOG(382/(67+1))</f>
        <v>0.7495544502054724</v>
      </c>
      <c r="H6002">
        <f>0.00628930817610062*1.72591290343046</f>
        <v>1.0854798134782752E-2</v>
      </c>
      <c r="I6002">
        <v>1.0854798134782819E-2</v>
      </c>
    </row>
    <row r="6003" spans="1:9" x14ac:dyDescent="0.25">
      <c r="A6003">
        <v>333</v>
      </c>
      <c r="B6003" t="s">
        <v>2228</v>
      </c>
      <c r="C6003" t="s">
        <v>10</v>
      </c>
      <c r="D6003" t="s">
        <v>1473</v>
      </c>
      <c r="E6003">
        <f t="shared" si="268"/>
        <v>6.2893081761006293E-3</v>
      </c>
      <c r="F6003">
        <v>39</v>
      </c>
      <c r="G6003">
        <f>LOG(382/(39+1))</f>
        <v>0.9800033715837464</v>
      </c>
      <c r="H6003">
        <f>0.00628930817610062*2.25654115449263</f>
        <v>1.419208273265803E-2</v>
      </c>
      <c r="I6003">
        <v>1.4192082732658109E-2</v>
      </c>
    </row>
    <row r="6004" spans="1:9" x14ac:dyDescent="0.25">
      <c r="A6004">
        <v>333</v>
      </c>
      <c r="B6004" t="s">
        <v>2228</v>
      </c>
      <c r="C6004" t="s">
        <v>10</v>
      </c>
      <c r="D6004" t="s">
        <v>157</v>
      </c>
      <c r="E6004">
        <f t="shared" si="268"/>
        <v>6.2893081761006293E-3</v>
      </c>
      <c r="F6004">
        <v>16</v>
      </c>
      <c r="G6004">
        <f>LOG(382/(16+1))</f>
        <v>1.3516144415334348</v>
      </c>
      <c r="H6004">
        <f>0.00628930817610062*3.11220726455035</f>
        <v>1.957363059465626E-2</v>
      </c>
      <c r="I6004">
        <v>1.957363059465635E-2</v>
      </c>
    </row>
    <row r="6005" spans="1:9" x14ac:dyDescent="0.25">
      <c r="A6005">
        <v>333</v>
      </c>
      <c r="B6005" t="s">
        <v>2228</v>
      </c>
      <c r="C6005" t="s">
        <v>10</v>
      </c>
      <c r="D6005" t="s">
        <v>153</v>
      </c>
      <c r="E6005">
        <f t="shared" si="268"/>
        <v>6.2893081761006293E-3</v>
      </c>
      <c r="F6005">
        <v>10</v>
      </c>
      <c r="G6005">
        <f>LOG(382/(10+1))</f>
        <v>1.5406706777534838</v>
      </c>
      <c r="H6005">
        <f>0.00628930817610062*3.5475253358082</f>
        <v>2.2311480099422611E-2</v>
      </c>
      <c r="I6005">
        <v>2.231148009942267E-2</v>
      </c>
    </row>
    <row r="6006" spans="1:9" x14ac:dyDescent="0.25">
      <c r="A6006">
        <v>333</v>
      </c>
      <c r="B6006" t="s">
        <v>2228</v>
      </c>
      <c r="C6006" t="s">
        <v>10</v>
      </c>
      <c r="D6006" t="s">
        <v>599</v>
      </c>
      <c r="E6006">
        <f t="shared" si="268"/>
        <v>6.2893081761006293E-3</v>
      </c>
      <c r="F6006">
        <v>28</v>
      </c>
      <c r="G6006">
        <f>LOG(382/(28+1))</f>
        <v>1.1196653650127526</v>
      </c>
      <c r="H6006">
        <f>0.00628930817610062*2.5781247786201</f>
        <v>1.6214621249182996E-2</v>
      </c>
      <c r="I6006">
        <v>1.621462124918303E-2</v>
      </c>
    </row>
    <row r="6007" spans="1:9" x14ac:dyDescent="0.25">
      <c r="A6007">
        <v>333</v>
      </c>
      <c r="B6007" t="s">
        <v>2228</v>
      </c>
      <c r="C6007" t="s">
        <v>10</v>
      </c>
      <c r="D6007" t="s">
        <v>335</v>
      </c>
      <c r="E6007">
        <f t="shared" si="268"/>
        <v>6.2893081761006293E-3</v>
      </c>
      <c r="F6007">
        <v>7</v>
      </c>
      <c r="G6007">
        <f>LOG(382/(7+1))</f>
        <v>1.6789733759197651</v>
      </c>
      <c r="H6007">
        <f>0.00628930817610062*3.86597906692673</f>
        <v>2.431433375425613E-2</v>
      </c>
      <c r="I6007">
        <v>2.431433375425622E-2</v>
      </c>
    </row>
    <row r="6008" spans="1:9" x14ac:dyDescent="0.25">
      <c r="A6008">
        <v>333</v>
      </c>
      <c r="B6008" t="s">
        <v>2228</v>
      </c>
      <c r="C6008" t="s">
        <v>10</v>
      </c>
      <c r="D6008" t="s">
        <v>2250</v>
      </c>
      <c r="E6008">
        <f t="shared" si="268"/>
        <v>6.2893081761006293E-3</v>
      </c>
      <c r="F6008">
        <v>3</v>
      </c>
      <c r="G6008">
        <f>LOG(382/(3+1))</f>
        <v>1.9800033715837464</v>
      </c>
      <c r="H6008">
        <f>0.00628930817610062*4.55912624748668</f>
        <v>2.8673749984192913E-2</v>
      </c>
      <c r="I6008">
        <v>2.8673749984192989E-2</v>
      </c>
    </row>
    <row r="6009" spans="1:9" x14ac:dyDescent="0.25">
      <c r="A6009">
        <v>333</v>
      </c>
      <c r="B6009" t="s">
        <v>2228</v>
      </c>
      <c r="C6009" t="s">
        <v>10</v>
      </c>
      <c r="D6009" t="s">
        <v>2251</v>
      </c>
      <c r="E6009">
        <f t="shared" si="268"/>
        <v>6.2893081761006293E-3</v>
      </c>
      <c r="F6009">
        <v>1</v>
      </c>
      <c r="G6009">
        <f>LOG(382/(1+1))</f>
        <v>2.2810333672477277</v>
      </c>
      <c r="H6009">
        <f>0.00628930817610062*5.25227342804663</f>
        <v>3.3033166214129703E-2</v>
      </c>
      <c r="I6009">
        <v>3.3033166214129751E-2</v>
      </c>
    </row>
    <row r="6010" spans="1:9" x14ac:dyDescent="0.25">
      <c r="A6010">
        <v>333</v>
      </c>
      <c r="B6010" t="s">
        <v>2228</v>
      </c>
      <c r="C6010" t="s">
        <v>10</v>
      </c>
      <c r="D6010" t="s">
        <v>453</v>
      </c>
      <c r="E6010">
        <f t="shared" si="268"/>
        <v>6.2893081761006293E-3</v>
      </c>
      <c r="F6010">
        <v>68</v>
      </c>
      <c r="G6010">
        <f>LOG(382/(68+1))</f>
        <v>0.74321427217445335</v>
      </c>
      <c r="H6010">
        <f>0.00628930817610062*1.71131410400931</f>
        <v>1.0762981786222059E-2</v>
      </c>
      <c r="I6010">
        <v>1.076298178622211E-2</v>
      </c>
    </row>
    <row r="6011" spans="1:9" x14ac:dyDescent="0.25">
      <c r="A6011">
        <v>333</v>
      </c>
      <c r="B6011" t="s">
        <v>2228</v>
      </c>
      <c r="C6011" t="s">
        <v>10</v>
      </c>
      <c r="D6011" t="s">
        <v>456</v>
      </c>
      <c r="E6011">
        <f t="shared" si="268"/>
        <v>6.2893081761006293E-3</v>
      </c>
      <c r="F6011">
        <v>71</v>
      </c>
      <c r="G6011">
        <f>LOG(382/(71+1))</f>
        <v>0.72473086648044027</v>
      </c>
      <c r="H6011">
        <f>0.00628930817610062*1.66875448959051</f>
        <v>1.0495311255286211E-2</v>
      </c>
      <c r="I6011">
        <v>1.0495311255286291E-2</v>
      </c>
    </row>
    <row r="6012" spans="1:9" x14ac:dyDescent="0.25">
      <c r="A6012">
        <v>333</v>
      </c>
      <c r="B6012" t="s">
        <v>2228</v>
      </c>
      <c r="C6012" t="s">
        <v>10</v>
      </c>
      <c r="D6012" t="s">
        <v>1779</v>
      </c>
      <c r="E6012">
        <f t="shared" si="268"/>
        <v>6.2893081761006293E-3</v>
      </c>
      <c r="F6012">
        <v>41</v>
      </c>
      <c r="G6012">
        <f>LOG(382/(41+1))</f>
        <v>0.95881407251380824</v>
      </c>
      <c r="H6012">
        <f>0.00628930817610062*2.2077509903232</f>
        <v>1.3885226354233943E-2</v>
      </c>
      <c r="I6012">
        <v>1.3885226354234011E-2</v>
      </c>
    </row>
    <row r="6013" spans="1:9" x14ac:dyDescent="0.25">
      <c r="A6013">
        <v>333</v>
      </c>
      <c r="B6013" t="s">
        <v>2228</v>
      </c>
      <c r="C6013" t="s">
        <v>10</v>
      </c>
      <c r="D6013" t="s">
        <v>2252</v>
      </c>
      <c r="E6013">
        <f t="shared" si="268"/>
        <v>6.2893081761006293E-3</v>
      </c>
      <c r="F6013">
        <v>1</v>
      </c>
      <c r="G6013">
        <f>LOG(382/(1+1))</f>
        <v>2.2810333672477277</v>
      </c>
      <c r="H6013">
        <f>0.00628930817610062*5.25227342804663</f>
        <v>3.3033166214129703E-2</v>
      </c>
      <c r="I6013">
        <v>3.3033166214129751E-2</v>
      </c>
    </row>
    <row r="6014" spans="1:9" x14ac:dyDescent="0.25">
      <c r="A6014">
        <v>333</v>
      </c>
      <c r="B6014" t="s">
        <v>2228</v>
      </c>
      <c r="C6014" t="s">
        <v>10</v>
      </c>
      <c r="D6014" t="s">
        <v>2253</v>
      </c>
      <c r="E6014">
        <f t="shared" si="268"/>
        <v>6.2893081761006293E-3</v>
      </c>
      <c r="F6014">
        <v>1</v>
      </c>
      <c r="G6014">
        <f>LOG(382/(1+1))</f>
        <v>2.2810333672477277</v>
      </c>
      <c r="H6014">
        <f>0.00628930817610062*5.25227342804663</f>
        <v>3.3033166214129703E-2</v>
      </c>
      <c r="I6014">
        <v>3.3033166214129751E-2</v>
      </c>
    </row>
    <row r="6015" spans="1:9" x14ac:dyDescent="0.25">
      <c r="A6015">
        <v>333</v>
      </c>
      <c r="B6015" t="s">
        <v>2228</v>
      </c>
      <c r="C6015" t="s">
        <v>10</v>
      </c>
      <c r="D6015" t="s">
        <v>457</v>
      </c>
      <c r="E6015">
        <f t="shared" si="268"/>
        <v>6.2893081761006293E-3</v>
      </c>
      <c r="F6015">
        <v>6</v>
      </c>
      <c r="G6015">
        <f>LOG(382/(6+1))</f>
        <v>1.736965322897452</v>
      </c>
      <c r="H6015">
        <f>0.00628930817610062*3.99951045955126</f>
        <v>2.5154153833655688E-2</v>
      </c>
      <c r="I6015">
        <v>2.515415383365574E-2</v>
      </c>
    </row>
    <row r="6016" spans="1:9" x14ac:dyDescent="0.25">
      <c r="A6016">
        <v>333</v>
      </c>
      <c r="B6016" t="s">
        <v>2228</v>
      </c>
      <c r="C6016" t="s">
        <v>10</v>
      </c>
      <c r="D6016" t="s">
        <v>2254</v>
      </c>
      <c r="E6016">
        <f t="shared" si="268"/>
        <v>6.2893081761006293E-3</v>
      </c>
      <c r="F6016">
        <v>1</v>
      </c>
      <c r="G6016">
        <f>LOG(382/(1+1))</f>
        <v>2.2810333672477277</v>
      </c>
      <c r="H6016">
        <f>0.00628930817610062*5.25227342804663</f>
        <v>3.3033166214129703E-2</v>
      </c>
      <c r="I6016">
        <v>3.3033166214129751E-2</v>
      </c>
    </row>
    <row r="6017" spans="1:9" x14ac:dyDescent="0.25">
      <c r="A6017">
        <v>333</v>
      </c>
      <c r="B6017" t="s">
        <v>2228</v>
      </c>
      <c r="C6017" t="s">
        <v>10</v>
      </c>
      <c r="D6017" t="s">
        <v>2255</v>
      </c>
      <c r="E6017">
        <f t="shared" si="268"/>
        <v>6.2893081761006293E-3</v>
      </c>
      <c r="F6017">
        <v>2</v>
      </c>
      <c r="G6017">
        <f>LOG(382/(2+1))</f>
        <v>2.1049421081920463</v>
      </c>
      <c r="H6017">
        <f>0.00628930817610062*4.84680831993846</f>
        <v>3.0483071194581466E-2</v>
      </c>
      <c r="I6017">
        <v>3.0483071194581549E-2</v>
      </c>
    </row>
    <row r="6018" spans="1:9" x14ac:dyDescent="0.25">
      <c r="A6018">
        <v>333</v>
      </c>
      <c r="B6018" t="s">
        <v>2228</v>
      </c>
      <c r="C6018" t="s">
        <v>10</v>
      </c>
      <c r="D6018" t="s">
        <v>1448</v>
      </c>
      <c r="E6018">
        <f t="shared" si="268"/>
        <v>6.2893081761006293E-3</v>
      </c>
      <c r="F6018">
        <v>11</v>
      </c>
      <c r="G6018">
        <f>LOG(382/(11+1))</f>
        <v>1.5028821168640838</v>
      </c>
      <c r="H6018">
        <f>0.00628930817610062*3.46051395881857</f>
        <v>2.1764238734707956E-2</v>
      </c>
      <c r="I6018">
        <v>2.1764238734708018E-2</v>
      </c>
    </row>
    <row r="6019" spans="1:9" x14ac:dyDescent="0.25">
      <c r="A6019">
        <v>333</v>
      </c>
      <c r="B6019" t="s">
        <v>2228</v>
      </c>
      <c r="C6019" t="s">
        <v>10</v>
      </c>
      <c r="D6019" t="s">
        <v>236</v>
      </c>
      <c r="E6019">
        <f t="shared" si="268"/>
        <v>6.2893081761006293E-3</v>
      </c>
      <c r="F6019">
        <v>87</v>
      </c>
      <c r="G6019">
        <f>LOG(382/(87+1))</f>
        <v>0.63758069076154011</v>
      </c>
      <c r="H6019">
        <f>0.00628930817610062*1.46808379412836</f>
        <v>9.2332314096123143E-3</v>
      </c>
      <c r="I6019">
        <v>9.2332314096123819E-3</v>
      </c>
    </row>
    <row r="6020" spans="1:9" x14ac:dyDescent="0.25">
      <c r="A6020">
        <v>333</v>
      </c>
      <c r="B6020" t="s">
        <v>2228</v>
      </c>
      <c r="C6020" t="s">
        <v>10</v>
      </c>
      <c r="D6020" t="s">
        <v>2256</v>
      </c>
      <c r="E6020">
        <f t="shared" si="268"/>
        <v>6.2893081761006293E-3</v>
      </c>
      <c r="F6020">
        <v>1</v>
      </c>
      <c r="G6020">
        <f>LOG(382/(1+1))</f>
        <v>2.2810333672477277</v>
      </c>
      <c r="H6020">
        <f>0.00628930817610062*5.25227342804663</f>
        <v>3.3033166214129703E-2</v>
      </c>
      <c r="I6020">
        <v>3.3033166214129751E-2</v>
      </c>
    </row>
    <row r="6021" spans="1:9" x14ac:dyDescent="0.25">
      <c r="A6021">
        <v>333</v>
      </c>
      <c r="B6021" t="s">
        <v>2228</v>
      </c>
      <c r="C6021" t="s">
        <v>10</v>
      </c>
      <c r="D6021" t="s">
        <v>437</v>
      </c>
      <c r="E6021">
        <f t="shared" si="268"/>
        <v>6.2893081761006293E-3</v>
      </c>
      <c r="F6021">
        <v>18</v>
      </c>
      <c r="G6021">
        <f>LOG(382/(18+1))</f>
        <v>1.3033097619588798</v>
      </c>
      <c r="H6021">
        <f>0.00628930817610062*3.00098162944013</f>
        <v>1.8874098298365571E-2</v>
      </c>
      <c r="I6021">
        <v>1.887409829836563E-2</v>
      </c>
    </row>
    <row r="6022" spans="1:9" x14ac:dyDescent="0.25">
      <c r="A6022">
        <v>333</v>
      </c>
      <c r="B6022" t="s">
        <v>2228</v>
      </c>
      <c r="C6022" t="s">
        <v>10</v>
      </c>
      <c r="D6022" t="s">
        <v>134</v>
      </c>
      <c r="E6022">
        <f t="shared" si="268"/>
        <v>6.2893081761006293E-3</v>
      </c>
      <c r="F6022">
        <v>21</v>
      </c>
      <c r="G6022">
        <f>LOG(382/(21+1))</f>
        <v>1.2396406820895025</v>
      </c>
      <c r="H6022">
        <f>0.00628930817610062*2.85437815524825</f>
        <v>1.7952063869485821E-2</v>
      </c>
      <c r="I6022">
        <v>1.7952063869485911E-2</v>
      </c>
    </row>
    <row r="6023" spans="1:9" x14ac:dyDescent="0.25">
      <c r="A6023">
        <v>333</v>
      </c>
      <c r="B6023" t="s">
        <v>2228</v>
      </c>
      <c r="C6023" t="s">
        <v>10</v>
      </c>
      <c r="D6023" t="s">
        <v>136</v>
      </c>
      <c r="E6023">
        <f t="shared" si="268"/>
        <v>6.2893081761006293E-3</v>
      </c>
      <c r="F6023">
        <v>17</v>
      </c>
      <c r="G6023">
        <f>LOG(382/(17+1))</f>
        <v>1.3267908578084027</v>
      </c>
      <c r="H6023">
        <f>0.00628930817610062*3.05504885071041</f>
        <v>1.9214143715159782E-2</v>
      </c>
      <c r="I6023">
        <v>1.9214143715159809E-2</v>
      </c>
    </row>
    <row r="6024" spans="1:9" x14ac:dyDescent="0.25">
      <c r="A6024">
        <v>333</v>
      </c>
      <c r="B6024" t="s">
        <v>2228</v>
      </c>
      <c r="C6024" t="s">
        <v>10</v>
      </c>
      <c r="D6024" t="s">
        <v>123</v>
      </c>
      <c r="E6024">
        <f>2/159</f>
        <v>1.2578616352201259E-2</v>
      </c>
      <c r="F6024">
        <v>74</v>
      </c>
      <c r="G6024">
        <f>LOG(382/(74+1))</f>
        <v>0.7070020995200087</v>
      </c>
      <c r="H6024">
        <f>0.0125786163522012*1.62793249507026</f>
        <v>2.0477138302770471E-2</v>
      </c>
      <c r="I6024">
        <v>2.047713830277063E-2</v>
      </c>
    </row>
    <row r="6025" spans="1:9" x14ac:dyDescent="0.25">
      <c r="A6025">
        <v>333</v>
      </c>
      <c r="B6025" t="s">
        <v>2228</v>
      </c>
      <c r="C6025" t="s">
        <v>10</v>
      </c>
      <c r="D6025" t="s">
        <v>1397</v>
      </c>
      <c r="E6025">
        <f t="shared" ref="E6025:E6046" si="269">1/159</f>
        <v>6.2893081761006293E-3</v>
      </c>
      <c r="F6025">
        <v>29</v>
      </c>
      <c r="G6025">
        <f>LOG(382/(29+1))</f>
        <v>1.1049421081920463</v>
      </c>
      <c r="H6025">
        <f>0.00628930817610062*2.54422322694442</f>
        <v>1.6001403943046642E-2</v>
      </c>
      <c r="I6025">
        <v>1.6001403943046669E-2</v>
      </c>
    </row>
    <row r="6026" spans="1:9" x14ac:dyDescent="0.25">
      <c r="A6026">
        <v>333</v>
      </c>
      <c r="B6026" t="s">
        <v>2228</v>
      </c>
      <c r="C6026" t="s">
        <v>10</v>
      </c>
      <c r="D6026" t="s">
        <v>1974</v>
      </c>
      <c r="E6026">
        <f t="shared" si="269"/>
        <v>6.2893081761006293E-3</v>
      </c>
      <c r="F6026">
        <v>9</v>
      </c>
      <c r="G6026">
        <f>LOG(382/(9+1))</f>
        <v>1.5820633629117087</v>
      </c>
      <c r="H6026">
        <f>0.00628930817610062*3.64283551561252</f>
        <v>2.291091519253154E-2</v>
      </c>
      <c r="I6026">
        <v>2.291091519253163E-2</v>
      </c>
    </row>
    <row r="6027" spans="1:9" x14ac:dyDescent="0.25">
      <c r="A6027">
        <v>333</v>
      </c>
      <c r="B6027" t="s">
        <v>2228</v>
      </c>
      <c r="C6027" t="s">
        <v>10</v>
      </c>
      <c r="D6027" t="s">
        <v>932</v>
      </c>
      <c r="E6027">
        <f t="shared" si="269"/>
        <v>6.2893081761006293E-3</v>
      </c>
      <c r="F6027">
        <v>35</v>
      </c>
      <c r="G6027">
        <f>LOG(382/(35+1))</f>
        <v>1.0257608621444214</v>
      </c>
      <c r="H6027">
        <f>0.00628930817610062*2.36190167015046</f>
        <v>1.4854727485222997E-2</v>
      </c>
      <c r="I6027">
        <v>1.4854727485223051E-2</v>
      </c>
    </row>
    <row r="6028" spans="1:9" x14ac:dyDescent="0.25">
      <c r="A6028">
        <v>333</v>
      </c>
      <c r="B6028" t="s">
        <v>2228</v>
      </c>
      <c r="C6028" t="s">
        <v>10</v>
      </c>
      <c r="D6028" t="s">
        <v>15</v>
      </c>
      <c r="E6028">
        <f t="shared" si="269"/>
        <v>6.2893081761006293E-3</v>
      </c>
      <c r="F6028">
        <v>112</v>
      </c>
      <c r="G6028">
        <f>LOG(382/(112+1))</f>
        <v>0.52898491942828896</v>
      </c>
      <c r="H6028">
        <f>0.00628930817610062*1.21803278989423</f>
        <v>7.6605835842404289E-3</v>
      </c>
      <c r="I6028">
        <v>7.6605835842404714E-3</v>
      </c>
    </row>
    <row r="6029" spans="1:9" x14ac:dyDescent="0.25">
      <c r="A6029">
        <v>333</v>
      </c>
      <c r="B6029" t="s">
        <v>2228</v>
      </c>
      <c r="C6029" t="s">
        <v>10</v>
      </c>
      <c r="D6029" t="s">
        <v>1452</v>
      </c>
      <c r="E6029">
        <f t="shared" si="269"/>
        <v>6.2893081761006293E-3</v>
      </c>
      <c r="F6029">
        <v>8</v>
      </c>
      <c r="G6029">
        <f>LOG(382/(8+1))</f>
        <v>1.6278208534723839</v>
      </c>
      <c r="H6029">
        <f>0.00628930817610062*3.74819603127035</f>
        <v>2.3573559945096505E-2</v>
      </c>
      <c r="I6029">
        <v>2.3573559945096582E-2</v>
      </c>
    </row>
    <row r="6030" spans="1:9" x14ac:dyDescent="0.25">
      <c r="A6030">
        <v>333</v>
      </c>
      <c r="B6030" t="s">
        <v>2228</v>
      </c>
      <c r="C6030" t="s">
        <v>10</v>
      </c>
      <c r="D6030" t="s">
        <v>1453</v>
      </c>
      <c r="E6030">
        <f t="shared" si="269"/>
        <v>6.2893081761006293E-3</v>
      </c>
      <c r="F6030">
        <v>23</v>
      </c>
      <c r="G6030">
        <f>LOG(382/(23+1))</f>
        <v>1.2018521212001028</v>
      </c>
      <c r="H6030">
        <f>0.00628930817610062*2.76736677825862</f>
        <v>1.740482250477117E-2</v>
      </c>
      <c r="I6030">
        <v>1.740482250477126E-2</v>
      </c>
    </row>
    <row r="6031" spans="1:9" x14ac:dyDescent="0.25">
      <c r="A6031">
        <v>333</v>
      </c>
      <c r="B6031" t="s">
        <v>2228</v>
      </c>
      <c r="C6031" t="s">
        <v>10</v>
      </c>
      <c r="D6031" t="s">
        <v>405</v>
      </c>
      <c r="E6031">
        <f t="shared" si="269"/>
        <v>6.2893081761006293E-3</v>
      </c>
      <c r="F6031">
        <v>10</v>
      </c>
      <c r="G6031">
        <f>LOG(382/(10+1))</f>
        <v>1.5406706777534838</v>
      </c>
      <c r="H6031">
        <f>0.00628930817610062*3.5475253358082</f>
        <v>2.2311480099422611E-2</v>
      </c>
      <c r="I6031">
        <v>2.231148009942267E-2</v>
      </c>
    </row>
    <row r="6032" spans="1:9" x14ac:dyDescent="0.25">
      <c r="A6032">
        <v>333</v>
      </c>
      <c r="B6032" t="s">
        <v>2228</v>
      </c>
      <c r="C6032" t="s">
        <v>10</v>
      </c>
      <c r="D6032" t="s">
        <v>53</v>
      </c>
      <c r="E6032">
        <f t="shared" si="269"/>
        <v>6.2893081761006293E-3</v>
      </c>
      <c r="F6032">
        <v>57</v>
      </c>
      <c r="G6032">
        <f>LOG(382/(57+1))</f>
        <v>0.81863536934877146</v>
      </c>
      <c r="H6032">
        <f>0.00628930817610062*1.88497759806015</f>
        <v>1.1855205019246209E-2</v>
      </c>
      <c r="I6032">
        <v>1.185520501924626E-2</v>
      </c>
    </row>
    <row r="6033" spans="1:9" x14ac:dyDescent="0.25">
      <c r="A6033">
        <v>333</v>
      </c>
      <c r="B6033" t="s">
        <v>2228</v>
      </c>
      <c r="C6033" t="s">
        <v>10</v>
      </c>
      <c r="D6033" t="s">
        <v>50</v>
      </c>
      <c r="E6033">
        <f t="shared" si="269"/>
        <v>6.2893081761006293E-3</v>
      </c>
      <c r="F6033">
        <v>109</v>
      </c>
      <c r="G6033">
        <f>LOG(382/(109+1))</f>
        <v>0.54067067775348365</v>
      </c>
      <c r="H6033">
        <f>0.00628930817610062*1.24494024281415</f>
        <v>7.8298128478877255E-3</v>
      </c>
      <c r="I6033">
        <v>7.8298128478877932E-3</v>
      </c>
    </row>
    <row r="6034" spans="1:9" x14ac:dyDescent="0.25">
      <c r="A6034">
        <v>333</v>
      </c>
      <c r="B6034" t="s">
        <v>2228</v>
      </c>
      <c r="C6034" t="s">
        <v>10</v>
      </c>
      <c r="D6034" t="s">
        <v>714</v>
      </c>
      <c r="E6034">
        <f t="shared" si="269"/>
        <v>6.2893081761006293E-3</v>
      </c>
      <c r="F6034">
        <v>12</v>
      </c>
      <c r="G6034">
        <f>LOG(382/(12+1))</f>
        <v>1.468120010604872</v>
      </c>
      <c r="H6034">
        <f>0.00628930817610062*3.38047125114503</f>
        <v>2.1260825478899528E-2</v>
      </c>
      <c r="I6034">
        <v>2.1260825478899611E-2</v>
      </c>
    </row>
    <row r="6035" spans="1:9" x14ac:dyDescent="0.25">
      <c r="A6035">
        <v>333</v>
      </c>
      <c r="B6035" t="s">
        <v>2228</v>
      </c>
      <c r="C6035" t="s">
        <v>10</v>
      </c>
      <c r="D6035" t="s">
        <v>36</v>
      </c>
      <c r="E6035">
        <f t="shared" si="269"/>
        <v>6.2893081761006293E-3</v>
      </c>
      <c r="F6035">
        <v>58</v>
      </c>
      <c r="G6035">
        <f>LOG(382/(58+1))</f>
        <v>0.81121135126956456</v>
      </c>
      <c r="H6035">
        <f>0.00628930817610062*1.86788316470085</f>
        <v>1.1747692859753757E-2</v>
      </c>
      <c r="I6035">
        <v>1.174769285975381E-2</v>
      </c>
    </row>
    <row r="6036" spans="1:9" x14ac:dyDescent="0.25">
      <c r="A6036">
        <v>333</v>
      </c>
      <c r="B6036" t="s">
        <v>2228</v>
      </c>
      <c r="C6036" t="s">
        <v>10</v>
      </c>
      <c r="D6036" t="s">
        <v>37</v>
      </c>
      <c r="E6036">
        <f t="shared" si="269"/>
        <v>6.2893081761006293E-3</v>
      </c>
      <c r="F6036">
        <v>2</v>
      </c>
      <c r="G6036">
        <f>LOG(382/(2+1))</f>
        <v>2.1049421081920463</v>
      </c>
      <c r="H6036">
        <f>0.00628930817610062*4.84680831993846</f>
        <v>3.0483071194581466E-2</v>
      </c>
      <c r="I6036">
        <v>3.0483071194581549E-2</v>
      </c>
    </row>
    <row r="6037" spans="1:9" x14ac:dyDescent="0.25">
      <c r="A6037">
        <v>333</v>
      </c>
      <c r="B6037" t="s">
        <v>2228</v>
      </c>
      <c r="C6037" t="s">
        <v>10</v>
      </c>
      <c r="D6037" t="s">
        <v>11</v>
      </c>
      <c r="E6037">
        <f t="shared" si="269"/>
        <v>6.2893081761006293E-3</v>
      </c>
      <c r="F6037">
        <v>83</v>
      </c>
      <c r="G6037">
        <f>LOG(382/(83+1))</f>
        <v>0.65778407684982709</v>
      </c>
      <c r="H6037">
        <f>0.00628930817610062*1.51460380976326</f>
        <v>9.5258101242972175E-3</v>
      </c>
      <c r="I6037">
        <v>9.5258101242972418E-3</v>
      </c>
    </row>
    <row r="6038" spans="1:9" x14ac:dyDescent="0.25">
      <c r="A6038">
        <v>333</v>
      </c>
      <c r="B6038" t="s">
        <v>2228</v>
      </c>
      <c r="C6038" t="s">
        <v>10</v>
      </c>
      <c r="D6038" t="s">
        <v>12</v>
      </c>
      <c r="E6038">
        <f t="shared" si="269"/>
        <v>6.2893081761006293E-3</v>
      </c>
      <c r="F6038">
        <v>28</v>
      </c>
      <c r="G6038">
        <f>LOG(382/(28+1))</f>
        <v>1.1196653650127526</v>
      </c>
      <c r="H6038">
        <f>0.00628930817610062*2.5781247786201</f>
        <v>1.6214621249182996E-2</v>
      </c>
      <c r="I6038">
        <v>1.621462124918303E-2</v>
      </c>
    </row>
    <row r="6039" spans="1:9" x14ac:dyDescent="0.25">
      <c r="A6039">
        <v>333</v>
      </c>
      <c r="B6039" t="s">
        <v>2228</v>
      </c>
      <c r="C6039" t="s">
        <v>10</v>
      </c>
      <c r="D6039" t="s">
        <v>999</v>
      </c>
      <c r="E6039">
        <f t="shared" si="269"/>
        <v>6.2893081761006293E-3</v>
      </c>
      <c r="F6039">
        <v>3</v>
      </c>
      <c r="G6039">
        <f>LOG(382/(3+1))</f>
        <v>1.9800033715837464</v>
      </c>
      <c r="H6039">
        <f>0.00628930817610062*4.55912624748668</f>
        <v>2.8673749984192913E-2</v>
      </c>
      <c r="I6039">
        <v>2.8673749984192989E-2</v>
      </c>
    </row>
    <row r="6040" spans="1:9" x14ac:dyDescent="0.25">
      <c r="A6040">
        <v>333</v>
      </c>
      <c r="B6040" t="s">
        <v>2228</v>
      </c>
      <c r="C6040" t="s">
        <v>10</v>
      </c>
      <c r="D6040" t="s">
        <v>1296</v>
      </c>
      <c r="E6040">
        <f t="shared" si="269"/>
        <v>6.2893081761006293E-3</v>
      </c>
      <c r="F6040">
        <v>14</v>
      </c>
      <c r="G6040">
        <f>LOG(382/(14+1))</f>
        <v>1.4059721038560276</v>
      </c>
      <c r="H6040">
        <f>0.00628930817610062*3.23737040750436</f>
        <v>2.0360820172983365E-2</v>
      </c>
      <c r="I6040">
        <v>2.0360820172983431E-2</v>
      </c>
    </row>
    <row r="6041" spans="1:9" x14ac:dyDescent="0.25">
      <c r="A6041">
        <v>333</v>
      </c>
      <c r="B6041" t="s">
        <v>2228</v>
      </c>
      <c r="C6041" t="s">
        <v>10</v>
      </c>
      <c r="D6041" t="s">
        <v>78</v>
      </c>
      <c r="E6041">
        <f t="shared" si="269"/>
        <v>6.2893081761006293E-3</v>
      </c>
      <c r="F6041">
        <v>122</v>
      </c>
      <c r="G6041">
        <f>LOG(382/(122+1))</f>
        <v>0.49215825147231079</v>
      </c>
      <c r="H6041">
        <f>0.00628930817610062*1.13323625323415</f>
        <v>7.1272720329191722E-3</v>
      </c>
      <c r="I6041">
        <v>7.1272720329192303E-3</v>
      </c>
    </row>
    <row r="6042" spans="1:9" x14ac:dyDescent="0.25">
      <c r="A6042">
        <v>333</v>
      </c>
      <c r="B6042" t="s">
        <v>2228</v>
      </c>
      <c r="C6042" t="s">
        <v>10</v>
      </c>
      <c r="D6042" t="s">
        <v>342</v>
      </c>
      <c r="E6042">
        <f t="shared" si="269"/>
        <v>6.2893081761006293E-3</v>
      </c>
      <c r="F6042">
        <v>35</v>
      </c>
      <c r="G6042">
        <f>LOG(382/(35+1))</f>
        <v>1.0257608621444214</v>
      </c>
      <c r="H6042">
        <f>0.00628930817610062*2.36190167015046</f>
        <v>1.4854727485222997E-2</v>
      </c>
      <c r="I6042">
        <v>1.4854727485223051E-2</v>
      </c>
    </row>
    <row r="6043" spans="1:9" x14ac:dyDescent="0.25">
      <c r="A6043">
        <v>333</v>
      </c>
      <c r="B6043" t="s">
        <v>2228</v>
      </c>
      <c r="C6043" t="s">
        <v>10</v>
      </c>
      <c r="D6043" t="s">
        <v>124</v>
      </c>
      <c r="E6043">
        <f t="shared" si="269"/>
        <v>6.2893081761006293E-3</v>
      </c>
      <c r="F6043">
        <v>9</v>
      </c>
      <c r="G6043">
        <f>LOG(382/(9+1))</f>
        <v>1.5820633629117087</v>
      </c>
      <c r="H6043">
        <f>0.00628930817610062*3.64283551561252</f>
        <v>2.291091519253154E-2</v>
      </c>
      <c r="I6043">
        <v>2.291091519253163E-2</v>
      </c>
    </row>
    <row r="6044" spans="1:9" x14ac:dyDescent="0.25">
      <c r="A6044">
        <v>333</v>
      </c>
      <c r="B6044" t="s">
        <v>2228</v>
      </c>
      <c r="C6044" t="s">
        <v>10</v>
      </c>
      <c r="D6044" t="s">
        <v>1765</v>
      </c>
      <c r="E6044">
        <f t="shared" si="269"/>
        <v>6.2893081761006293E-3</v>
      </c>
      <c r="F6044">
        <v>14</v>
      </c>
      <c r="G6044">
        <f>LOG(382/(14+1))</f>
        <v>1.4059721038560276</v>
      </c>
      <c r="H6044">
        <f>0.00628930817610062*3.23737040750436</f>
        <v>2.0360820172983365E-2</v>
      </c>
      <c r="I6044">
        <v>2.0360820172983431E-2</v>
      </c>
    </row>
    <row r="6045" spans="1:9" x14ac:dyDescent="0.25">
      <c r="A6045">
        <v>333</v>
      </c>
      <c r="B6045" t="s">
        <v>2228</v>
      </c>
      <c r="C6045" t="s">
        <v>10</v>
      </c>
      <c r="D6045" t="s">
        <v>418</v>
      </c>
      <c r="E6045">
        <f t="shared" si="269"/>
        <v>6.2893081761006293E-3</v>
      </c>
      <c r="F6045">
        <v>11</v>
      </c>
      <c r="G6045">
        <f>LOG(382/(11+1))</f>
        <v>1.5028821168640838</v>
      </c>
      <c r="H6045">
        <f>0.00628930817610062*3.46051395881857</f>
        <v>2.1764238734707956E-2</v>
      </c>
      <c r="I6045">
        <v>2.1764238734708018E-2</v>
      </c>
    </row>
    <row r="6046" spans="1:9" x14ac:dyDescent="0.25">
      <c r="A6046">
        <v>333</v>
      </c>
      <c r="B6046" t="s">
        <v>2228</v>
      </c>
      <c r="C6046" t="s">
        <v>10</v>
      </c>
      <c r="D6046" t="s">
        <v>2257</v>
      </c>
      <c r="E6046">
        <f t="shared" si="269"/>
        <v>6.2893081761006293E-3</v>
      </c>
      <c r="F6046">
        <v>11</v>
      </c>
      <c r="G6046">
        <f>LOG(382/(11+1))</f>
        <v>1.5028821168640838</v>
      </c>
      <c r="H6046">
        <f>0.00628930817610062*3.46051395881857</f>
        <v>2.1764238734707956E-2</v>
      </c>
      <c r="I6046">
        <v>2.1764238734708018E-2</v>
      </c>
    </row>
    <row r="6047" spans="1:9" x14ac:dyDescent="0.25">
      <c r="A6047">
        <v>334</v>
      </c>
      <c r="B6047" t="s">
        <v>2258</v>
      </c>
      <c r="C6047" t="s">
        <v>10</v>
      </c>
      <c r="D6047" t="s">
        <v>11</v>
      </c>
      <c r="E6047">
        <f>3/28</f>
        <v>0.10714285714285714</v>
      </c>
      <c r="F6047">
        <v>83</v>
      </c>
      <c r="G6047">
        <f>LOG(382/(83+1))</f>
        <v>0.65778407684982709</v>
      </c>
      <c r="H6047">
        <f>0.107142857142857*1.51460380976326</f>
        <v>0.16227897961749191</v>
      </c>
      <c r="I6047">
        <v>0.1622789796174923</v>
      </c>
    </row>
    <row r="6048" spans="1:9" x14ac:dyDescent="0.25">
      <c r="A6048">
        <v>334</v>
      </c>
      <c r="B6048" t="s">
        <v>2258</v>
      </c>
      <c r="C6048" t="s">
        <v>10</v>
      </c>
      <c r="D6048" t="s">
        <v>12</v>
      </c>
      <c r="E6048">
        <f>2/28</f>
        <v>7.1428571428571425E-2</v>
      </c>
      <c r="F6048">
        <v>28</v>
      </c>
      <c r="G6048">
        <f>LOG(382/(28+1))</f>
        <v>1.1196653650127526</v>
      </c>
      <c r="H6048">
        <f>0.0714285714285714*2.5781247786201</f>
        <v>0.18415176990143561</v>
      </c>
      <c r="I6048">
        <v>0.18415176990143581</v>
      </c>
    </row>
    <row r="6049" spans="1:9" x14ac:dyDescent="0.25">
      <c r="A6049">
        <v>334</v>
      </c>
      <c r="B6049" t="s">
        <v>2258</v>
      </c>
      <c r="C6049" t="s">
        <v>10</v>
      </c>
      <c r="D6049" t="s">
        <v>2259</v>
      </c>
      <c r="E6049">
        <f t="shared" ref="E6049:E6071" si="270">1/28</f>
        <v>3.5714285714285712E-2</v>
      </c>
      <c r="F6049">
        <v>3</v>
      </c>
      <c r="G6049">
        <f>LOG(382/(3+1))</f>
        <v>1.9800033715837464</v>
      </c>
      <c r="H6049">
        <f>0.0357142857142857*4.55912624748668</f>
        <v>0.16282593741023851</v>
      </c>
      <c r="I6049">
        <v>0.16282593741023871</v>
      </c>
    </row>
    <row r="6050" spans="1:9" x14ac:dyDescent="0.25">
      <c r="A6050">
        <v>334</v>
      </c>
      <c r="B6050" t="s">
        <v>2258</v>
      </c>
      <c r="C6050" t="s">
        <v>10</v>
      </c>
      <c r="D6050" t="s">
        <v>91</v>
      </c>
      <c r="E6050">
        <f t="shared" si="270"/>
        <v>3.5714285714285712E-2</v>
      </c>
      <c r="F6050">
        <v>33</v>
      </c>
      <c r="G6050">
        <f>LOG(382/(33+1))</f>
        <v>1.0505844458694535</v>
      </c>
      <c r="H6050">
        <f>0.0357142857142857*2.41906008399041</f>
        <v>8.6395002999657466E-2</v>
      </c>
      <c r="I6050">
        <v>8.6395002999657633E-2</v>
      </c>
    </row>
    <row r="6051" spans="1:9" x14ac:dyDescent="0.25">
      <c r="A6051">
        <v>334</v>
      </c>
      <c r="B6051" t="s">
        <v>2258</v>
      </c>
      <c r="C6051" t="s">
        <v>10</v>
      </c>
      <c r="D6051" t="s">
        <v>42</v>
      </c>
      <c r="E6051">
        <f t="shared" si="270"/>
        <v>3.5714285714285712E-2</v>
      </c>
      <c r="F6051">
        <v>251</v>
      </c>
      <c r="G6051">
        <f>LOG(382/(251+1))</f>
        <v>0.18066282213016463</v>
      </c>
      <c r="H6051">
        <f>0.0357142857142857*0.415991521095151</f>
        <v>1.4856840039112529E-2</v>
      </c>
      <c r="I6051">
        <v>1.485684003911257E-2</v>
      </c>
    </row>
    <row r="6052" spans="1:9" x14ac:dyDescent="0.25">
      <c r="A6052">
        <v>334</v>
      </c>
      <c r="B6052" t="s">
        <v>2258</v>
      </c>
      <c r="C6052" t="s">
        <v>10</v>
      </c>
      <c r="D6052" t="s">
        <v>17</v>
      </c>
      <c r="E6052">
        <f t="shared" si="270"/>
        <v>3.5714285714285712E-2</v>
      </c>
      <c r="F6052">
        <v>169</v>
      </c>
      <c r="G6052">
        <f>LOG(382/(169+1))</f>
        <v>0.3516144415334348</v>
      </c>
      <c r="H6052">
        <f>0.0357142857142857*0.809622171556313</f>
        <v>2.8915077555582595E-2</v>
      </c>
      <c r="I6052">
        <v>2.8915077555582619E-2</v>
      </c>
    </row>
    <row r="6053" spans="1:9" x14ac:dyDescent="0.25">
      <c r="A6053">
        <v>334</v>
      </c>
      <c r="B6053" t="s">
        <v>2258</v>
      </c>
      <c r="C6053" t="s">
        <v>10</v>
      </c>
      <c r="D6053" t="s">
        <v>920</v>
      </c>
      <c r="E6053">
        <f t="shared" si="270"/>
        <v>3.5714285714285712E-2</v>
      </c>
      <c r="F6053">
        <v>30</v>
      </c>
      <c r="G6053">
        <f>LOG(382/(30+1))</f>
        <v>1.090701669077436</v>
      </c>
      <c r="H6053">
        <f>0.0357142857142857*2.51143340412142</f>
        <v>8.9694050147193533E-2</v>
      </c>
      <c r="I6053">
        <v>8.9694050147193893E-2</v>
      </c>
    </row>
    <row r="6054" spans="1:9" x14ac:dyDescent="0.25">
      <c r="A6054">
        <v>334</v>
      </c>
      <c r="B6054" t="s">
        <v>2258</v>
      </c>
      <c r="C6054" t="s">
        <v>10</v>
      </c>
      <c r="D6054" t="s">
        <v>44</v>
      </c>
      <c r="E6054">
        <f t="shared" si="270"/>
        <v>3.5714285714285712E-2</v>
      </c>
      <c r="F6054">
        <v>151</v>
      </c>
      <c r="G6054">
        <f>LOG(382/(151+1))</f>
        <v>0.40021977496693617</v>
      </c>
      <c r="H6054">
        <f>0.0357142857142857*0.921540087760298</f>
        <v>3.2912145991439198E-2</v>
      </c>
      <c r="I6054">
        <v>3.291214599143924E-2</v>
      </c>
    </row>
    <row r="6055" spans="1:9" x14ac:dyDescent="0.25">
      <c r="A6055">
        <v>334</v>
      </c>
      <c r="B6055" t="s">
        <v>2258</v>
      </c>
      <c r="C6055" t="s">
        <v>10</v>
      </c>
      <c r="D6055" t="s">
        <v>25</v>
      </c>
      <c r="E6055">
        <f t="shared" si="270"/>
        <v>3.5714285714285712E-2</v>
      </c>
      <c r="F6055">
        <v>106</v>
      </c>
      <c r="G6055">
        <f>LOG(382/(106+1))</f>
        <v>0.55267958522649907</v>
      </c>
      <c r="H6055">
        <f>0.0357142857142857*1.27259177414466</f>
        <v>4.5449706219452123E-2</v>
      </c>
      <c r="I6055">
        <v>4.5449706219452463E-2</v>
      </c>
    </row>
    <row r="6056" spans="1:9" x14ac:dyDescent="0.25">
      <c r="A6056">
        <v>334</v>
      </c>
      <c r="B6056" t="s">
        <v>2258</v>
      </c>
      <c r="C6056" t="s">
        <v>10</v>
      </c>
      <c r="D6056" t="s">
        <v>77</v>
      </c>
      <c r="E6056">
        <f t="shared" si="270"/>
        <v>3.5714285714285712E-2</v>
      </c>
      <c r="F6056">
        <v>148</v>
      </c>
      <c r="G6056">
        <f>LOG(382/(148+1))</f>
        <v>0.40887709449943471</v>
      </c>
      <c r="H6056">
        <f>0.0357142857142857*0.941474302661116</f>
        <v>3.3624082237896986E-2</v>
      </c>
      <c r="I6056">
        <v>3.3624082237897E-2</v>
      </c>
    </row>
    <row r="6057" spans="1:9" x14ac:dyDescent="0.25">
      <c r="A6057">
        <v>334</v>
      </c>
      <c r="B6057" t="s">
        <v>2258</v>
      </c>
      <c r="C6057" t="s">
        <v>10</v>
      </c>
      <c r="D6057" t="s">
        <v>331</v>
      </c>
      <c r="E6057">
        <f t="shared" si="270"/>
        <v>3.5714285714285712E-2</v>
      </c>
      <c r="F6057">
        <v>130</v>
      </c>
      <c r="G6057">
        <f>LOG(382/(130+1))</f>
        <v>0.46479206725594452</v>
      </c>
      <c r="H6057">
        <f>0.0357142857142857*1.07022328540542</f>
        <v>3.8222260193050701E-2</v>
      </c>
      <c r="I6057">
        <v>3.822226019305084E-2</v>
      </c>
    </row>
    <row r="6058" spans="1:9" x14ac:dyDescent="0.25">
      <c r="A6058">
        <v>334</v>
      </c>
      <c r="B6058" t="s">
        <v>2258</v>
      </c>
      <c r="C6058" t="s">
        <v>10</v>
      </c>
      <c r="D6058" t="s">
        <v>602</v>
      </c>
      <c r="E6058">
        <f t="shared" si="270"/>
        <v>3.5714285714285712E-2</v>
      </c>
      <c r="F6058">
        <v>13</v>
      </c>
      <c r="G6058">
        <f>LOG(382/(13+1))</f>
        <v>1.4359353272334707</v>
      </c>
      <c r="H6058">
        <f>0.0357142857142857*3.30636327899131</f>
        <v>0.11808440282111816</v>
      </c>
      <c r="I6058">
        <v>0.1180844028211184</v>
      </c>
    </row>
    <row r="6059" spans="1:9" x14ac:dyDescent="0.25">
      <c r="A6059">
        <v>334</v>
      </c>
      <c r="B6059" t="s">
        <v>2258</v>
      </c>
      <c r="C6059" t="s">
        <v>10</v>
      </c>
      <c r="D6059" t="s">
        <v>932</v>
      </c>
      <c r="E6059">
        <f t="shared" si="270"/>
        <v>3.5714285714285712E-2</v>
      </c>
      <c r="F6059">
        <v>35</v>
      </c>
      <c r="G6059">
        <f>LOG(382/(35+1))</f>
        <v>1.0257608621444214</v>
      </c>
      <c r="H6059">
        <f>0.0357142857142857*2.36190167015046</f>
        <v>8.4353631076802105E-2</v>
      </c>
      <c r="I6059">
        <v>8.4353631076802313E-2</v>
      </c>
    </row>
    <row r="6060" spans="1:9" x14ac:dyDescent="0.25">
      <c r="A6060">
        <v>334</v>
      </c>
      <c r="B6060" t="s">
        <v>2258</v>
      </c>
      <c r="C6060" t="s">
        <v>10</v>
      </c>
      <c r="D6060" t="s">
        <v>1396</v>
      </c>
      <c r="E6060">
        <f t="shared" si="270"/>
        <v>3.5714285714285712E-2</v>
      </c>
      <c r="F6060">
        <v>18</v>
      </c>
      <c r="G6060">
        <f>LOG(382/(18+1))</f>
        <v>1.3033097619588798</v>
      </c>
      <c r="H6060">
        <f>0.0357142857142857*3.00098162944013</f>
        <v>0.10717791533714746</v>
      </c>
      <c r="I6060">
        <v>0.1071779153371477</v>
      </c>
    </row>
    <row r="6061" spans="1:9" x14ac:dyDescent="0.25">
      <c r="A6061">
        <v>334</v>
      </c>
      <c r="B6061" t="s">
        <v>2258</v>
      </c>
      <c r="C6061" t="s">
        <v>10</v>
      </c>
      <c r="D6061" t="s">
        <v>161</v>
      </c>
      <c r="E6061">
        <f t="shared" si="270"/>
        <v>3.5714285714285712E-2</v>
      </c>
      <c r="F6061">
        <v>33</v>
      </c>
      <c r="G6061">
        <f>LOG(382/(33+1))</f>
        <v>1.0505844458694535</v>
      </c>
      <c r="H6061">
        <f>0.0357142857142857*2.41906008399041</f>
        <v>8.6395002999657466E-2</v>
      </c>
      <c r="I6061">
        <v>8.6395002999657633E-2</v>
      </c>
    </row>
    <row r="6062" spans="1:9" x14ac:dyDescent="0.25">
      <c r="A6062">
        <v>334</v>
      </c>
      <c r="B6062" t="s">
        <v>2258</v>
      </c>
      <c r="C6062" t="s">
        <v>10</v>
      </c>
      <c r="D6062" t="s">
        <v>2260</v>
      </c>
      <c r="E6062">
        <f t="shared" si="270"/>
        <v>3.5714285714285712E-2</v>
      </c>
      <c r="F6062">
        <v>3</v>
      </c>
      <c r="G6062">
        <f>LOG(382/(3+1))</f>
        <v>1.9800033715837464</v>
      </c>
      <c r="H6062">
        <f>0.0357142857142857*4.55912624748668</f>
        <v>0.16282593741023851</v>
      </c>
      <c r="I6062">
        <v>0.16282593741023871</v>
      </c>
    </row>
    <row r="6063" spans="1:9" x14ac:dyDescent="0.25">
      <c r="A6063">
        <v>334</v>
      </c>
      <c r="B6063" t="s">
        <v>2258</v>
      </c>
      <c r="C6063" t="s">
        <v>10</v>
      </c>
      <c r="D6063" t="s">
        <v>1950</v>
      </c>
      <c r="E6063">
        <f t="shared" si="270"/>
        <v>3.5714285714285712E-2</v>
      </c>
      <c r="F6063">
        <v>3</v>
      </c>
      <c r="G6063">
        <f>LOG(382/(3+1))</f>
        <v>1.9800033715837464</v>
      </c>
      <c r="H6063">
        <f>0.0357142857142857*4.55912624748668</f>
        <v>0.16282593741023851</v>
      </c>
      <c r="I6063">
        <v>0.16282593741023871</v>
      </c>
    </row>
    <row r="6064" spans="1:9" x14ac:dyDescent="0.25">
      <c r="A6064">
        <v>334</v>
      </c>
      <c r="B6064" t="s">
        <v>2258</v>
      </c>
      <c r="C6064" t="s">
        <v>10</v>
      </c>
      <c r="D6064" t="s">
        <v>2261</v>
      </c>
      <c r="E6064">
        <f t="shared" si="270"/>
        <v>3.5714285714285712E-2</v>
      </c>
      <c r="F6064">
        <v>1</v>
      </c>
      <c r="G6064">
        <f>LOG(382/(1+1))</f>
        <v>2.2810333672477277</v>
      </c>
      <c r="H6064">
        <f>0.0357142857142857*5.25227342804663</f>
        <v>0.18758119385880812</v>
      </c>
      <c r="I6064">
        <v>0.1875811938588082</v>
      </c>
    </row>
    <row r="6065" spans="1:9" x14ac:dyDescent="0.25">
      <c r="A6065">
        <v>334</v>
      </c>
      <c r="B6065" t="s">
        <v>2258</v>
      </c>
      <c r="C6065" t="s">
        <v>10</v>
      </c>
      <c r="D6065" t="s">
        <v>1535</v>
      </c>
      <c r="E6065">
        <f t="shared" si="270"/>
        <v>3.5714285714285712E-2</v>
      </c>
      <c r="F6065">
        <v>3</v>
      </c>
      <c r="G6065">
        <f>LOG(382/(3+1))</f>
        <v>1.9800033715837464</v>
      </c>
      <c r="H6065">
        <f>0.0357142857142857*4.55912624748668</f>
        <v>0.16282593741023851</v>
      </c>
      <c r="I6065">
        <v>0.16282593741023871</v>
      </c>
    </row>
    <row r="6066" spans="1:9" x14ac:dyDescent="0.25">
      <c r="A6066">
        <v>334</v>
      </c>
      <c r="B6066" t="s">
        <v>2258</v>
      </c>
      <c r="C6066" t="s">
        <v>10</v>
      </c>
      <c r="D6066" t="s">
        <v>76</v>
      </c>
      <c r="E6066">
        <f t="shared" si="270"/>
        <v>3.5714285714285712E-2</v>
      </c>
      <c r="F6066">
        <v>140</v>
      </c>
      <c r="G6066">
        <f>LOG(382/(140+1))</f>
        <v>0.43284425025632883</v>
      </c>
      <c r="H6066">
        <f>0.0357142857142857*0.996660718228407</f>
        <v>3.5595025651014515E-2</v>
      </c>
      <c r="I6066">
        <v>3.5595025651014529E-2</v>
      </c>
    </row>
    <row r="6067" spans="1:9" x14ac:dyDescent="0.25">
      <c r="A6067">
        <v>334</v>
      </c>
      <c r="B6067" t="s">
        <v>2258</v>
      </c>
      <c r="C6067" t="s">
        <v>10</v>
      </c>
      <c r="D6067" t="s">
        <v>1745</v>
      </c>
      <c r="E6067">
        <f t="shared" si="270"/>
        <v>3.5714285714285712E-2</v>
      </c>
      <c r="F6067">
        <v>12</v>
      </c>
      <c r="G6067">
        <f>LOG(382/(12+1))</f>
        <v>1.468120010604872</v>
      </c>
      <c r="H6067">
        <f>0.0357142857142857*3.38047125114503</f>
        <v>0.12073111611232246</v>
      </c>
      <c r="I6067">
        <v>0.1207311161123228</v>
      </c>
    </row>
    <row r="6068" spans="1:9" x14ac:dyDescent="0.25">
      <c r="A6068">
        <v>334</v>
      </c>
      <c r="B6068" t="s">
        <v>2258</v>
      </c>
      <c r="C6068" t="s">
        <v>10</v>
      </c>
      <c r="D6068" t="s">
        <v>78</v>
      </c>
      <c r="E6068">
        <f t="shared" si="270"/>
        <v>3.5714285714285712E-2</v>
      </c>
      <c r="F6068">
        <v>122</v>
      </c>
      <c r="G6068">
        <f>LOG(382/(122+1))</f>
        <v>0.49215825147231079</v>
      </c>
      <c r="H6068">
        <f>0.0357142857142857*1.13323625323415</f>
        <v>4.0472723329791051E-2</v>
      </c>
      <c r="I6068">
        <v>4.0472723329791342E-2</v>
      </c>
    </row>
    <row r="6069" spans="1:9" x14ac:dyDescent="0.25">
      <c r="A6069">
        <v>334</v>
      </c>
      <c r="B6069" t="s">
        <v>2258</v>
      </c>
      <c r="C6069" t="s">
        <v>10</v>
      </c>
      <c r="D6069" t="s">
        <v>79</v>
      </c>
      <c r="E6069">
        <f t="shared" si="270"/>
        <v>3.5714285714285712E-2</v>
      </c>
      <c r="F6069">
        <v>26</v>
      </c>
      <c r="G6069">
        <f>LOG(382/(26+1))</f>
        <v>1.1506995987527215</v>
      </c>
      <c r="H6069">
        <f>0.0357142857142857*2.64958374260224</f>
        <v>9.4627990807222812E-2</v>
      </c>
      <c r="I6069">
        <v>9.4627990807223075E-2</v>
      </c>
    </row>
    <row r="6070" spans="1:9" x14ac:dyDescent="0.25">
      <c r="A6070">
        <v>334</v>
      </c>
      <c r="B6070" t="s">
        <v>2258</v>
      </c>
      <c r="C6070" t="s">
        <v>10</v>
      </c>
      <c r="D6070" t="s">
        <v>483</v>
      </c>
      <c r="E6070">
        <f t="shared" si="270"/>
        <v>3.5714285714285712E-2</v>
      </c>
      <c r="F6070">
        <v>61</v>
      </c>
      <c r="G6070">
        <f>LOG(382/(61+1))</f>
        <v>0.7896716734134549</v>
      </c>
      <c r="H6070">
        <f>0.0357142857142857*1.81828622356148</f>
        <v>6.4938793698624264E-2</v>
      </c>
      <c r="I6070">
        <v>6.4938793698624417E-2</v>
      </c>
    </row>
    <row r="6071" spans="1:9" x14ac:dyDescent="0.25">
      <c r="A6071">
        <v>334</v>
      </c>
      <c r="B6071" t="s">
        <v>2258</v>
      </c>
      <c r="C6071" t="s">
        <v>10</v>
      </c>
      <c r="D6071" t="s">
        <v>237</v>
      </c>
      <c r="E6071">
        <f t="shared" si="270"/>
        <v>3.5714285714285712E-2</v>
      </c>
      <c r="F6071">
        <v>138</v>
      </c>
      <c r="G6071">
        <f>LOG(382/(138+1))</f>
        <v>0.43904856265761361</v>
      </c>
      <c r="H6071">
        <f>0.0357142857142857*1.01094667547588</f>
        <v>3.6105238409852844E-2</v>
      </c>
      <c r="I6071">
        <v>3.6105238409852983E-2</v>
      </c>
    </row>
    <row r="6072" spans="1:9" x14ac:dyDescent="0.25">
      <c r="A6072">
        <v>335</v>
      </c>
      <c r="B6072" t="s">
        <v>2262</v>
      </c>
      <c r="C6072" t="s">
        <v>10</v>
      </c>
      <c r="D6072" t="s">
        <v>612</v>
      </c>
      <c r="E6072">
        <f>8/158</f>
        <v>5.0632911392405063E-2</v>
      </c>
      <c r="F6072">
        <v>5</v>
      </c>
      <c r="G6072">
        <f>LOG(382/(5+1))</f>
        <v>1.803912112528065</v>
      </c>
      <c r="H6072">
        <f>0.050632911392405*4.15366113937852</f>
        <v>0.21031195642422859</v>
      </c>
      <c r="I6072">
        <v>0.21031195642422881</v>
      </c>
    </row>
    <row r="6073" spans="1:9" x14ac:dyDescent="0.25">
      <c r="A6073">
        <v>335</v>
      </c>
      <c r="B6073" t="s">
        <v>2262</v>
      </c>
      <c r="C6073" t="s">
        <v>10</v>
      </c>
      <c r="D6073" t="s">
        <v>2263</v>
      </c>
      <c r="E6073">
        <f>10/158</f>
        <v>6.3291139240506333E-2</v>
      </c>
      <c r="F6073">
        <v>2</v>
      </c>
      <c r="G6073">
        <f>LOG(382/(2+1))</f>
        <v>2.1049421081920463</v>
      </c>
      <c r="H6073">
        <f>0.0632911392405063*4.84680831993846</f>
        <v>0.30676002024926952</v>
      </c>
      <c r="I6073">
        <v>0.30676002024927002</v>
      </c>
    </row>
    <row r="6074" spans="1:9" x14ac:dyDescent="0.25">
      <c r="A6074">
        <v>335</v>
      </c>
      <c r="B6074" t="s">
        <v>2262</v>
      </c>
      <c r="C6074" t="s">
        <v>10</v>
      </c>
      <c r="D6074" t="s">
        <v>2264</v>
      </c>
      <c r="E6074">
        <f>1/158</f>
        <v>6.3291139240506328E-3</v>
      </c>
      <c r="F6074">
        <v>2</v>
      </c>
      <c r="G6074">
        <f>LOG(382/(2+1))</f>
        <v>2.1049421081920463</v>
      </c>
      <c r="H6074">
        <f>0.00632911392405063*4.84680831993846</f>
        <v>3.067600202492695E-2</v>
      </c>
      <c r="I6074">
        <v>3.0676002024926999E-2</v>
      </c>
    </row>
    <row r="6075" spans="1:9" x14ac:dyDescent="0.25">
      <c r="A6075">
        <v>335</v>
      </c>
      <c r="B6075" t="s">
        <v>2262</v>
      </c>
      <c r="C6075" t="s">
        <v>10</v>
      </c>
      <c r="D6075" t="s">
        <v>144</v>
      </c>
      <c r="E6075">
        <f t="shared" ref="E6075:E6080" si="271">4/158</f>
        <v>2.5316455696202531E-2</v>
      </c>
      <c r="F6075">
        <v>105</v>
      </c>
      <c r="G6075">
        <f>LOG(382/(105+1))</f>
        <v>0.55675749764693849</v>
      </c>
      <c r="H6075">
        <f>0.0253164556962025*1.2819815144945</f>
        <v>3.2455228215050591E-2</v>
      </c>
      <c r="I6075">
        <v>3.2455228215050827E-2</v>
      </c>
    </row>
    <row r="6076" spans="1:9" x14ac:dyDescent="0.25">
      <c r="A6076">
        <v>335</v>
      </c>
      <c r="B6076" t="s">
        <v>2262</v>
      </c>
      <c r="C6076" t="s">
        <v>10</v>
      </c>
      <c r="D6076" t="s">
        <v>2265</v>
      </c>
      <c r="E6076">
        <f t="shared" si="271"/>
        <v>2.5316455696202531E-2</v>
      </c>
      <c r="F6076">
        <v>1</v>
      </c>
      <c r="G6076">
        <f>LOG(382/(1+1))</f>
        <v>2.2810333672477277</v>
      </c>
      <c r="H6076">
        <f>0.0253164556962025*5.25227342804663</f>
        <v>0.13296894754548413</v>
      </c>
      <c r="I6076">
        <v>0.1329689475454843</v>
      </c>
    </row>
    <row r="6077" spans="1:9" x14ac:dyDescent="0.25">
      <c r="A6077">
        <v>335</v>
      </c>
      <c r="B6077" t="s">
        <v>2262</v>
      </c>
      <c r="C6077" t="s">
        <v>10</v>
      </c>
      <c r="D6077" t="s">
        <v>2266</v>
      </c>
      <c r="E6077">
        <f t="shared" si="271"/>
        <v>2.5316455696202531E-2</v>
      </c>
      <c r="F6077">
        <v>1</v>
      </c>
      <c r="G6077">
        <f>LOG(382/(1+1))</f>
        <v>2.2810333672477277</v>
      </c>
      <c r="H6077">
        <f>0.0253164556962025*5.25227342804663</f>
        <v>0.13296894754548413</v>
      </c>
      <c r="I6077">
        <v>0.1329689475454843</v>
      </c>
    </row>
    <row r="6078" spans="1:9" x14ac:dyDescent="0.25">
      <c r="A6078">
        <v>335</v>
      </c>
      <c r="B6078" t="s">
        <v>2262</v>
      </c>
      <c r="C6078" t="s">
        <v>10</v>
      </c>
      <c r="D6078" t="s">
        <v>2267</v>
      </c>
      <c r="E6078">
        <f t="shared" si="271"/>
        <v>2.5316455696202531E-2</v>
      </c>
      <c r="F6078">
        <v>9</v>
      </c>
      <c r="G6078">
        <f>LOG(382/(9+1))</f>
        <v>1.5820633629117087</v>
      </c>
      <c r="H6078">
        <f>0.0253164556962025*3.64283551561252</f>
        <v>9.2223683939557349E-2</v>
      </c>
      <c r="I6078">
        <v>9.222368393955771E-2</v>
      </c>
    </row>
    <row r="6079" spans="1:9" x14ac:dyDescent="0.25">
      <c r="A6079">
        <v>335</v>
      </c>
      <c r="B6079" t="s">
        <v>2262</v>
      </c>
      <c r="C6079" t="s">
        <v>10</v>
      </c>
      <c r="D6079" t="s">
        <v>2268</v>
      </c>
      <c r="E6079">
        <f t="shared" si="271"/>
        <v>2.5316455696202531E-2</v>
      </c>
      <c r="F6079">
        <v>1</v>
      </c>
      <c r="G6079">
        <f>LOG(382/(1+1))</f>
        <v>2.2810333672477277</v>
      </c>
      <c r="H6079">
        <f>0.0253164556962025*5.25227342804663</f>
        <v>0.13296894754548413</v>
      </c>
      <c r="I6079">
        <v>0.1329689475454843</v>
      </c>
    </row>
    <row r="6080" spans="1:9" x14ac:dyDescent="0.25">
      <c r="A6080">
        <v>335</v>
      </c>
      <c r="B6080" t="s">
        <v>2262</v>
      </c>
      <c r="C6080" t="s">
        <v>10</v>
      </c>
      <c r="D6080" t="s">
        <v>2269</v>
      </c>
      <c r="E6080">
        <f t="shared" si="271"/>
        <v>2.5316455696202531E-2</v>
      </c>
      <c r="F6080">
        <v>1</v>
      </c>
      <c r="G6080">
        <f>LOG(382/(1+1))</f>
        <v>2.2810333672477277</v>
      </c>
      <c r="H6080">
        <f>0.0253164556962025*5.25227342804663</f>
        <v>0.13296894754548413</v>
      </c>
      <c r="I6080">
        <v>0.1329689475454843</v>
      </c>
    </row>
    <row r="6081" spans="1:9" x14ac:dyDescent="0.25">
      <c r="A6081">
        <v>335</v>
      </c>
      <c r="B6081" t="s">
        <v>2262</v>
      </c>
      <c r="C6081" t="s">
        <v>10</v>
      </c>
      <c r="D6081" t="s">
        <v>112</v>
      </c>
      <c r="E6081">
        <f>13/158</f>
        <v>8.2278481012658222E-2</v>
      </c>
      <c r="F6081">
        <v>52</v>
      </c>
      <c r="G6081">
        <f>LOG(382/(52+1))</f>
        <v>0.85778749331091964</v>
      </c>
      <c r="H6081">
        <f>0.0822784810126582*1.97512869505445</f>
        <v>0.16251058883359393</v>
      </c>
      <c r="I6081">
        <v>0.16251058883359429</v>
      </c>
    </row>
    <row r="6082" spans="1:9" x14ac:dyDescent="0.25">
      <c r="A6082">
        <v>335</v>
      </c>
      <c r="B6082" t="s">
        <v>2262</v>
      </c>
      <c r="C6082" t="s">
        <v>10</v>
      </c>
      <c r="D6082" t="s">
        <v>600</v>
      </c>
      <c r="E6082">
        <f>1/158</f>
        <v>6.3291139240506328E-3</v>
      </c>
      <c r="F6082">
        <v>102</v>
      </c>
      <c r="G6082">
        <f>LOG(382/(102+1))</f>
        <v>0.56922613820653656</v>
      </c>
      <c r="H6082">
        <f>0.00632911392405063*1.31069162037693</f>
        <v>8.2955165846641116E-3</v>
      </c>
      <c r="I6082">
        <v>8.295516584664174E-3</v>
      </c>
    </row>
    <row r="6083" spans="1:9" x14ac:dyDescent="0.25">
      <c r="A6083">
        <v>335</v>
      </c>
      <c r="B6083" t="s">
        <v>2262</v>
      </c>
      <c r="C6083" t="s">
        <v>10</v>
      </c>
      <c r="D6083" t="s">
        <v>2270</v>
      </c>
      <c r="E6083">
        <f>1/158</f>
        <v>6.3291139240506328E-3</v>
      </c>
      <c r="F6083">
        <v>1</v>
      </c>
      <c r="G6083">
        <f>LOG(382/(1+1))</f>
        <v>2.2810333672477277</v>
      </c>
      <c r="H6083">
        <f>0.00632911392405063*5.25227342804663</f>
        <v>3.3242236886371061E-2</v>
      </c>
      <c r="I6083">
        <v>3.3242236886371082E-2</v>
      </c>
    </row>
    <row r="6084" spans="1:9" x14ac:dyDescent="0.25">
      <c r="A6084">
        <v>335</v>
      </c>
      <c r="B6084" t="s">
        <v>2262</v>
      </c>
      <c r="C6084" t="s">
        <v>10</v>
      </c>
      <c r="D6084" t="s">
        <v>1015</v>
      </c>
      <c r="E6084">
        <f>1/158</f>
        <v>6.3291139240506328E-3</v>
      </c>
      <c r="F6084">
        <v>8</v>
      </c>
      <c r="G6084">
        <f>LOG(382/(8+1))</f>
        <v>1.6278208534723839</v>
      </c>
      <c r="H6084">
        <f>0.00632911392405063*3.74819603127035</f>
        <v>2.3722759691584484E-2</v>
      </c>
      <c r="I6084">
        <v>2.3722759691584529E-2</v>
      </c>
    </row>
    <row r="6085" spans="1:9" x14ac:dyDescent="0.25">
      <c r="A6085">
        <v>335</v>
      </c>
      <c r="B6085" t="s">
        <v>2262</v>
      </c>
      <c r="C6085" t="s">
        <v>10</v>
      </c>
      <c r="D6085" t="s">
        <v>2271</v>
      </c>
      <c r="E6085">
        <f>1/158</f>
        <v>6.3291139240506328E-3</v>
      </c>
      <c r="F6085">
        <v>1</v>
      </c>
      <c r="G6085">
        <f>LOG(382/(1+1))</f>
        <v>2.2810333672477277</v>
      </c>
      <c r="H6085">
        <f>0.00632911392405063*5.25227342804663</f>
        <v>3.3242236886371061E-2</v>
      </c>
      <c r="I6085">
        <v>3.3242236886371082E-2</v>
      </c>
    </row>
    <row r="6086" spans="1:9" x14ac:dyDescent="0.25">
      <c r="A6086">
        <v>335</v>
      </c>
      <c r="B6086" t="s">
        <v>2262</v>
      </c>
      <c r="C6086" t="s">
        <v>10</v>
      </c>
      <c r="D6086" t="s">
        <v>17</v>
      </c>
      <c r="E6086">
        <f>2/158</f>
        <v>1.2658227848101266E-2</v>
      </c>
      <c r="F6086">
        <v>169</v>
      </c>
      <c r="G6086">
        <f>LOG(382/(169+1))</f>
        <v>0.3516144415334348</v>
      </c>
      <c r="H6086">
        <f>0.0126582278481012*0.809622171556313</f>
        <v>1.0248381918434288E-2</v>
      </c>
      <c r="I6086">
        <v>1.024838191843435E-2</v>
      </c>
    </row>
    <row r="6087" spans="1:9" x14ac:dyDescent="0.25">
      <c r="A6087">
        <v>335</v>
      </c>
      <c r="B6087" t="s">
        <v>2262</v>
      </c>
      <c r="C6087" t="s">
        <v>10</v>
      </c>
      <c r="D6087" t="s">
        <v>2272</v>
      </c>
      <c r="E6087">
        <f>1/158</f>
        <v>6.3291139240506328E-3</v>
      </c>
      <c r="F6087">
        <v>2</v>
      </c>
      <c r="G6087">
        <f>LOG(382/(2+1))</f>
        <v>2.1049421081920463</v>
      </c>
      <c r="H6087">
        <f>0.00632911392405063*4.84680831993846</f>
        <v>3.067600202492695E-2</v>
      </c>
      <c r="I6087">
        <v>3.0676002024926999E-2</v>
      </c>
    </row>
    <row r="6088" spans="1:9" x14ac:dyDescent="0.25">
      <c r="A6088">
        <v>335</v>
      </c>
      <c r="B6088" t="s">
        <v>2262</v>
      </c>
      <c r="C6088" t="s">
        <v>10</v>
      </c>
      <c r="D6088" t="s">
        <v>2273</v>
      </c>
      <c r="E6088">
        <f>1/158</f>
        <v>6.3291139240506328E-3</v>
      </c>
      <c r="F6088">
        <v>1</v>
      </c>
      <c r="G6088">
        <f>LOG(382/(1+1))</f>
        <v>2.2810333672477277</v>
      </c>
      <c r="H6088">
        <f>0.00632911392405063*5.25227342804663</f>
        <v>3.3242236886371061E-2</v>
      </c>
      <c r="I6088">
        <v>3.3242236886371082E-2</v>
      </c>
    </row>
    <row r="6089" spans="1:9" x14ac:dyDescent="0.25">
      <c r="A6089">
        <v>335</v>
      </c>
      <c r="B6089" t="s">
        <v>2262</v>
      </c>
      <c r="C6089" t="s">
        <v>10</v>
      </c>
      <c r="D6089" t="s">
        <v>60</v>
      </c>
      <c r="E6089">
        <f>2/158</f>
        <v>1.2658227848101266E-2</v>
      </c>
      <c r="F6089">
        <v>24</v>
      </c>
      <c r="G6089">
        <f>LOG(382/(24+1))</f>
        <v>1.1841233542396712</v>
      </c>
      <c r="H6089">
        <f>0.0126582278481012*2.72654478373837</f>
        <v>3.4513225110612097E-2</v>
      </c>
      <c r="I6089">
        <v>3.4513225110612333E-2</v>
      </c>
    </row>
    <row r="6090" spans="1:9" x14ac:dyDescent="0.25">
      <c r="A6090">
        <v>335</v>
      </c>
      <c r="B6090" t="s">
        <v>2262</v>
      </c>
      <c r="C6090" t="s">
        <v>10</v>
      </c>
      <c r="D6090" t="s">
        <v>1365</v>
      </c>
      <c r="E6090">
        <f>2/158</f>
        <v>1.2658227848101266E-2</v>
      </c>
      <c r="F6090">
        <v>4</v>
      </c>
      <c r="G6090">
        <f>LOG(382/(4+1))</f>
        <v>1.8830933585756899</v>
      </c>
      <c r="H6090">
        <f>0.0126582278481012*4.33598269617247</f>
        <v>5.4885856913575289E-2</v>
      </c>
      <c r="I6090">
        <v>5.4885856913575629E-2</v>
      </c>
    </row>
    <row r="6091" spans="1:9" x14ac:dyDescent="0.25">
      <c r="A6091">
        <v>335</v>
      </c>
      <c r="B6091" t="s">
        <v>2262</v>
      </c>
      <c r="C6091" t="s">
        <v>10</v>
      </c>
      <c r="D6091" t="s">
        <v>53</v>
      </c>
      <c r="E6091">
        <f>2/158</f>
        <v>1.2658227848101266E-2</v>
      </c>
      <c r="F6091">
        <v>57</v>
      </c>
      <c r="G6091">
        <f>LOG(382/(57+1))</f>
        <v>0.81863536934877146</v>
      </c>
      <c r="H6091">
        <f>0.0126582278481012*1.88497759806015</f>
        <v>2.38604759248119E-2</v>
      </c>
      <c r="I6091">
        <v>2.3860475924812101E-2</v>
      </c>
    </row>
    <row r="6092" spans="1:9" x14ac:dyDescent="0.25">
      <c r="A6092">
        <v>335</v>
      </c>
      <c r="B6092" t="s">
        <v>2262</v>
      </c>
      <c r="C6092" t="s">
        <v>10</v>
      </c>
      <c r="D6092" t="s">
        <v>2274</v>
      </c>
      <c r="E6092">
        <f>2/158</f>
        <v>1.2658227848101266E-2</v>
      </c>
      <c r="F6092">
        <v>4</v>
      </c>
      <c r="G6092">
        <f>LOG(382/(4+1))</f>
        <v>1.8830933585756899</v>
      </c>
      <c r="H6092">
        <f>0.0126582278481012*4.33598269617247</f>
        <v>5.4885856913575289E-2</v>
      </c>
      <c r="I6092">
        <v>5.4885856913575629E-2</v>
      </c>
    </row>
    <row r="6093" spans="1:9" x14ac:dyDescent="0.25">
      <c r="A6093">
        <v>335</v>
      </c>
      <c r="B6093" t="s">
        <v>2262</v>
      </c>
      <c r="C6093" t="s">
        <v>10</v>
      </c>
      <c r="D6093" t="s">
        <v>831</v>
      </c>
      <c r="E6093">
        <f>1/158</f>
        <v>6.3291139240506328E-3</v>
      </c>
      <c r="F6093">
        <v>4</v>
      </c>
      <c r="G6093">
        <f>LOG(382/(4+1))</f>
        <v>1.8830933585756899</v>
      </c>
      <c r="H6093">
        <f>0.00632911392405063*4.33598269617247</f>
        <v>2.7442928456787776E-2</v>
      </c>
      <c r="I6093">
        <v>2.7442928456787811E-2</v>
      </c>
    </row>
    <row r="6094" spans="1:9" x14ac:dyDescent="0.25">
      <c r="A6094">
        <v>335</v>
      </c>
      <c r="B6094" t="s">
        <v>2262</v>
      </c>
      <c r="C6094" t="s">
        <v>10</v>
      </c>
      <c r="D6094" t="s">
        <v>2275</v>
      </c>
      <c r="E6094">
        <f>1/158</f>
        <v>6.3291139240506328E-3</v>
      </c>
      <c r="F6094">
        <v>1</v>
      </c>
      <c r="G6094">
        <f>LOG(382/(1+1))</f>
        <v>2.2810333672477277</v>
      </c>
      <c r="H6094">
        <f>0.00632911392405063*5.25227342804663</f>
        <v>3.3242236886371061E-2</v>
      </c>
      <c r="I6094">
        <v>3.3242236886371082E-2</v>
      </c>
    </row>
    <row r="6095" spans="1:9" x14ac:dyDescent="0.25">
      <c r="A6095">
        <v>335</v>
      </c>
      <c r="B6095" t="s">
        <v>2262</v>
      </c>
      <c r="C6095" t="s">
        <v>10</v>
      </c>
      <c r="D6095" t="s">
        <v>932</v>
      </c>
      <c r="E6095">
        <f>1/158</f>
        <v>6.3291139240506328E-3</v>
      </c>
      <c r="F6095">
        <v>35</v>
      </c>
      <c r="G6095">
        <f>LOG(382/(35+1))</f>
        <v>1.0257608621444214</v>
      </c>
      <c r="H6095">
        <f>0.00632911392405063*2.36190167015046</f>
        <v>1.4948744747787715E-2</v>
      </c>
      <c r="I6095">
        <v>1.494874474778775E-2</v>
      </c>
    </row>
    <row r="6096" spans="1:9" x14ac:dyDescent="0.25">
      <c r="A6096">
        <v>335</v>
      </c>
      <c r="B6096" t="s">
        <v>2262</v>
      </c>
      <c r="C6096" t="s">
        <v>10</v>
      </c>
      <c r="D6096" t="s">
        <v>1331</v>
      </c>
      <c r="E6096">
        <f>1/158</f>
        <v>6.3291139240506328E-3</v>
      </c>
      <c r="F6096">
        <v>4</v>
      </c>
      <c r="G6096">
        <f>LOG(382/(4+1))</f>
        <v>1.8830933585756899</v>
      </c>
      <c r="H6096">
        <f>0.00632911392405063*4.33598269617247</f>
        <v>2.7442928456787776E-2</v>
      </c>
      <c r="I6096">
        <v>2.7442928456787811E-2</v>
      </c>
    </row>
    <row r="6097" spans="1:9" x14ac:dyDescent="0.25">
      <c r="A6097">
        <v>335</v>
      </c>
      <c r="B6097" t="s">
        <v>2262</v>
      </c>
      <c r="C6097" t="s">
        <v>10</v>
      </c>
      <c r="D6097" t="s">
        <v>1332</v>
      </c>
      <c r="E6097">
        <f>1/158</f>
        <v>6.3291139240506328E-3</v>
      </c>
      <c r="F6097">
        <v>2</v>
      </c>
      <c r="G6097">
        <f>LOG(382/(2+1))</f>
        <v>2.1049421081920463</v>
      </c>
      <c r="H6097">
        <f>0.00632911392405063*4.84680831993846</f>
        <v>3.067600202492695E-2</v>
      </c>
      <c r="I6097">
        <v>3.0676002024926999E-2</v>
      </c>
    </row>
    <row r="6098" spans="1:9" x14ac:dyDescent="0.25">
      <c r="A6098">
        <v>335</v>
      </c>
      <c r="B6098" t="s">
        <v>2262</v>
      </c>
      <c r="C6098" t="s">
        <v>10</v>
      </c>
      <c r="D6098" t="s">
        <v>1349</v>
      </c>
      <c r="E6098">
        <f>3/158</f>
        <v>1.8987341772151899E-2</v>
      </c>
      <c r="F6098">
        <v>7</v>
      </c>
      <c r="G6098">
        <f>LOG(382/(7+1))</f>
        <v>1.6789733759197651</v>
      </c>
      <c r="H6098">
        <f>0.0189873417721519*3.86597906692673</f>
        <v>7.3404665827722732E-2</v>
      </c>
      <c r="I6098">
        <v>7.3404665827722898E-2</v>
      </c>
    </row>
    <row r="6099" spans="1:9" x14ac:dyDescent="0.25">
      <c r="A6099">
        <v>335</v>
      </c>
      <c r="B6099" t="s">
        <v>2262</v>
      </c>
      <c r="C6099" t="s">
        <v>10</v>
      </c>
      <c r="D6099" t="s">
        <v>2276</v>
      </c>
      <c r="E6099">
        <f>2/158</f>
        <v>1.2658227848101266E-2</v>
      </c>
      <c r="F6099">
        <v>1</v>
      </c>
      <c r="G6099">
        <f>LOG(382/(1+1))</f>
        <v>2.2810333672477277</v>
      </c>
      <c r="H6099">
        <f>0.0126582278481012*5.25227342804663</f>
        <v>6.6484473772741803E-2</v>
      </c>
      <c r="I6099">
        <v>6.648447377274215E-2</v>
      </c>
    </row>
    <row r="6100" spans="1:9" x14ac:dyDescent="0.25">
      <c r="A6100">
        <v>335</v>
      </c>
      <c r="B6100" t="s">
        <v>2262</v>
      </c>
      <c r="C6100" t="s">
        <v>10</v>
      </c>
      <c r="D6100" t="s">
        <v>2277</v>
      </c>
      <c r="E6100">
        <f t="shared" ref="E6100:E6111" si="272">1/158</f>
        <v>6.3291139240506328E-3</v>
      </c>
      <c r="F6100">
        <v>1</v>
      </c>
      <c r="G6100">
        <f>LOG(382/(1+1))</f>
        <v>2.2810333672477277</v>
      </c>
      <c r="H6100">
        <f>0.00632911392405063*5.25227342804663</f>
        <v>3.3242236886371061E-2</v>
      </c>
      <c r="I6100">
        <v>3.3242236886371082E-2</v>
      </c>
    </row>
    <row r="6101" spans="1:9" x14ac:dyDescent="0.25">
      <c r="A6101">
        <v>335</v>
      </c>
      <c r="B6101" t="s">
        <v>2262</v>
      </c>
      <c r="C6101" t="s">
        <v>10</v>
      </c>
      <c r="D6101" t="s">
        <v>1453</v>
      </c>
      <c r="E6101">
        <f t="shared" si="272"/>
        <v>6.3291139240506328E-3</v>
      </c>
      <c r="F6101">
        <v>23</v>
      </c>
      <c r="G6101">
        <f>LOG(382/(23+1))</f>
        <v>1.2018521212001028</v>
      </c>
      <c r="H6101">
        <f>0.00632911392405063*2.76736677825862</f>
        <v>1.7514979609231766E-2</v>
      </c>
      <c r="I6101">
        <v>1.7514979609231832E-2</v>
      </c>
    </row>
    <row r="6102" spans="1:9" x14ac:dyDescent="0.25">
      <c r="A6102">
        <v>335</v>
      </c>
      <c r="B6102" t="s">
        <v>2262</v>
      </c>
      <c r="C6102" t="s">
        <v>10</v>
      </c>
      <c r="D6102" t="s">
        <v>25</v>
      </c>
      <c r="E6102">
        <f t="shared" si="272"/>
        <v>6.3291139240506328E-3</v>
      </c>
      <c r="F6102">
        <v>106</v>
      </c>
      <c r="G6102">
        <f>LOG(382/(106+1))</f>
        <v>0.55267958522649907</v>
      </c>
      <c r="H6102">
        <f>0.00632911392405063*1.27259177414466</f>
        <v>8.0543783173712621E-3</v>
      </c>
      <c r="I6102">
        <v>8.0543783173713229E-3</v>
      </c>
    </row>
    <row r="6103" spans="1:9" x14ac:dyDescent="0.25">
      <c r="A6103">
        <v>335</v>
      </c>
      <c r="B6103" t="s">
        <v>2262</v>
      </c>
      <c r="C6103" t="s">
        <v>10</v>
      </c>
      <c r="D6103" t="s">
        <v>2278</v>
      </c>
      <c r="E6103">
        <f t="shared" si="272"/>
        <v>6.3291139240506328E-3</v>
      </c>
      <c r="F6103">
        <v>1</v>
      </c>
      <c r="G6103">
        <f>LOG(382/(1+1))</f>
        <v>2.2810333672477277</v>
      </c>
      <c r="H6103">
        <f>0.00632911392405063*5.25227342804663</f>
        <v>3.3242236886371061E-2</v>
      </c>
      <c r="I6103">
        <v>3.3242236886371082E-2</v>
      </c>
    </row>
    <row r="6104" spans="1:9" x14ac:dyDescent="0.25">
      <c r="A6104">
        <v>335</v>
      </c>
      <c r="B6104" t="s">
        <v>2262</v>
      </c>
      <c r="C6104" t="s">
        <v>10</v>
      </c>
      <c r="D6104" t="s">
        <v>2279</v>
      </c>
      <c r="E6104">
        <f t="shared" si="272"/>
        <v>6.3291139240506328E-3</v>
      </c>
      <c r="F6104">
        <v>1</v>
      </c>
      <c r="G6104">
        <f>LOG(382/(1+1))</f>
        <v>2.2810333672477277</v>
      </c>
      <c r="H6104">
        <f>0.00632911392405063*5.25227342804663</f>
        <v>3.3242236886371061E-2</v>
      </c>
      <c r="I6104">
        <v>3.3242236886371082E-2</v>
      </c>
    </row>
    <row r="6105" spans="1:9" x14ac:dyDescent="0.25">
      <c r="A6105">
        <v>335</v>
      </c>
      <c r="B6105" t="s">
        <v>2262</v>
      </c>
      <c r="C6105" t="s">
        <v>10</v>
      </c>
      <c r="D6105" t="s">
        <v>2280</v>
      </c>
      <c r="E6105">
        <f t="shared" si="272"/>
        <v>6.3291139240506328E-3</v>
      </c>
      <c r="F6105">
        <v>1</v>
      </c>
      <c r="G6105">
        <f>LOG(382/(1+1))</f>
        <v>2.2810333672477277</v>
      </c>
      <c r="H6105">
        <f>0.00632911392405063*5.25227342804663</f>
        <v>3.3242236886371061E-2</v>
      </c>
      <c r="I6105">
        <v>3.3242236886371082E-2</v>
      </c>
    </row>
    <row r="6106" spans="1:9" x14ac:dyDescent="0.25">
      <c r="A6106">
        <v>335</v>
      </c>
      <c r="B6106" t="s">
        <v>2262</v>
      </c>
      <c r="C6106" t="s">
        <v>10</v>
      </c>
      <c r="D6106" t="s">
        <v>848</v>
      </c>
      <c r="E6106">
        <f t="shared" si="272"/>
        <v>6.3291139240506328E-3</v>
      </c>
      <c r="F6106">
        <v>6</v>
      </c>
      <c r="G6106">
        <f>LOG(382/(6+1))</f>
        <v>1.736965322897452</v>
      </c>
      <c r="H6106">
        <f>0.00632911392405063*3.99951045955126</f>
        <v>2.5313357338932016E-2</v>
      </c>
      <c r="I6106">
        <v>2.531335733893204E-2</v>
      </c>
    </row>
    <row r="6107" spans="1:9" x14ac:dyDescent="0.25">
      <c r="A6107">
        <v>335</v>
      </c>
      <c r="B6107" t="s">
        <v>2262</v>
      </c>
      <c r="C6107" t="s">
        <v>10</v>
      </c>
      <c r="D6107" t="s">
        <v>2281</v>
      </c>
      <c r="E6107">
        <f t="shared" si="272"/>
        <v>6.3291139240506328E-3</v>
      </c>
      <c r="F6107">
        <v>1</v>
      </c>
      <c r="G6107">
        <f>LOG(382/(1+1))</f>
        <v>2.2810333672477277</v>
      </c>
      <c r="H6107">
        <f>0.00632911392405063*5.25227342804663</f>
        <v>3.3242236886371061E-2</v>
      </c>
      <c r="I6107">
        <v>3.3242236886371082E-2</v>
      </c>
    </row>
    <row r="6108" spans="1:9" x14ac:dyDescent="0.25">
      <c r="A6108">
        <v>335</v>
      </c>
      <c r="B6108" t="s">
        <v>2262</v>
      </c>
      <c r="C6108" t="s">
        <v>10</v>
      </c>
      <c r="D6108" t="s">
        <v>2282</v>
      </c>
      <c r="E6108">
        <f t="shared" si="272"/>
        <v>6.3291139240506328E-3</v>
      </c>
      <c r="F6108">
        <v>1</v>
      </c>
      <c r="G6108">
        <f>LOG(382/(1+1))</f>
        <v>2.2810333672477277</v>
      </c>
      <c r="H6108">
        <f>0.00632911392405063*5.25227342804663</f>
        <v>3.3242236886371061E-2</v>
      </c>
      <c r="I6108">
        <v>3.3242236886371082E-2</v>
      </c>
    </row>
    <row r="6109" spans="1:9" x14ac:dyDescent="0.25">
      <c r="A6109">
        <v>335</v>
      </c>
      <c r="B6109" t="s">
        <v>2262</v>
      </c>
      <c r="C6109" t="s">
        <v>10</v>
      </c>
      <c r="D6109" t="s">
        <v>15</v>
      </c>
      <c r="E6109">
        <f t="shared" si="272"/>
        <v>6.3291139240506328E-3</v>
      </c>
      <c r="F6109">
        <v>112</v>
      </c>
      <c r="G6109">
        <f>LOG(382/(112+1))</f>
        <v>0.52898491942828896</v>
      </c>
      <c r="H6109">
        <f>0.00632911392405063*1.21803278989423</f>
        <v>7.7090682904698074E-3</v>
      </c>
      <c r="I6109">
        <v>7.7090682904698386E-3</v>
      </c>
    </row>
    <row r="6110" spans="1:9" x14ac:dyDescent="0.25">
      <c r="A6110">
        <v>335</v>
      </c>
      <c r="B6110" t="s">
        <v>2262</v>
      </c>
      <c r="C6110" t="s">
        <v>10</v>
      </c>
      <c r="D6110" t="s">
        <v>768</v>
      </c>
      <c r="E6110">
        <f t="shared" si="272"/>
        <v>6.3291139240506328E-3</v>
      </c>
      <c r="F6110">
        <v>4</v>
      </c>
      <c r="G6110">
        <f>LOG(382/(4+1))</f>
        <v>1.8830933585756899</v>
      </c>
      <c r="H6110">
        <f>0.00632911392405063*4.33598269617247</f>
        <v>2.7442928456787776E-2</v>
      </c>
      <c r="I6110">
        <v>2.7442928456787811E-2</v>
      </c>
    </row>
    <row r="6111" spans="1:9" x14ac:dyDescent="0.25">
      <c r="A6111">
        <v>335</v>
      </c>
      <c r="B6111" t="s">
        <v>2262</v>
      </c>
      <c r="C6111" t="s">
        <v>10</v>
      </c>
      <c r="D6111" t="s">
        <v>2283</v>
      </c>
      <c r="E6111">
        <f t="shared" si="272"/>
        <v>6.3291139240506328E-3</v>
      </c>
      <c r="F6111">
        <v>1</v>
      </c>
      <c r="G6111">
        <f>LOG(382/(1+1))</f>
        <v>2.2810333672477277</v>
      </c>
      <c r="H6111">
        <f>0.00632911392405063*5.25227342804663</f>
        <v>3.3242236886371061E-2</v>
      </c>
      <c r="I6111">
        <v>3.3242236886371082E-2</v>
      </c>
    </row>
    <row r="6112" spans="1:9" x14ac:dyDescent="0.25">
      <c r="A6112">
        <v>335</v>
      </c>
      <c r="B6112" t="s">
        <v>2262</v>
      </c>
      <c r="C6112" t="s">
        <v>10</v>
      </c>
      <c r="D6112" t="s">
        <v>19</v>
      </c>
      <c r="E6112">
        <f>2/158</f>
        <v>1.2658227848101266E-2</v>
      </c>
      <c r="F6112">
        <v>220</v>
      </c>
      <c r="G6112">
        <f>LOG(382/(220+1))</f>
        <v>0.23767108922659805</v>
      </c>
      <c r="H6112">
        <f>0.0126582278481012*0.547257907088822</f>
        <v>6.9273152796053058E-3</v>
      </c>
      <c r="I6112">
        <v>6.9273152796053474E-3</v>
      </c>
    </row>
    <row r="6113" spans="1:9" x14ac:dyDescent="0.25">
      <c r="A6113">
        <v>335</v>
      </c>
      <c r="B6113" t="s">
        <v>2262</v>
      </c>
      <c r="C6113" t="s">
        <v>10</v>
      </c>
      <c r="D6113" t="s">
        <v>20</v>
      </c>
      <c r="E6113">
        <f t="shared" ref="E6113:E6128" si="273">1/158</f>
        <v>6.3291139240506328E-3</v>
      </c>
      <c r="F6113">
        <v>19</v>
      </c>
      <c r="G6113">
        <f>LOG(382/(19+1))</f>
        <v>1.2810333672477277</v>
      </c>
      <c r="H6113">
        <f>0.00632911392405063*2.94968833505258</f>
        <v>1.8668913512991006E-2</v>
      </c>
      <c r="I6113">
        <v>1.8668913512991041E-2</v>
      </c>
    </row>
    <row r="6114" spans="1:9" x14ac:dyDescent="0.25">
      <c r="A6114">
        <v>335</v>
      </c>
      <c r="B6114" t="s">
        <v>2262</v>
      </c>
      <c r="C6114" t="s">
        <v>10</v>
      </c>
      <c r="D6114" t="s">
        <v>755</v>
      </c>
      <c r="E6114">
        <f t="shared" si="273"/>
        <v>6.3291139240506328E-3</v>
      </c>
      <c r="F6114">
        <v>19</v>
      </c>
      <c r="G6114">
        <f>LOG(382/(19+1))</f>
        <v>1.2810333672477277</v>
      </c>
      <c r="H6114">
        <f>0.00632911392405063*2.94968833505258</f>
        <v>1.8668913512991006E-2</v>
      </c>
      <c r="I6114">
        <v>1.8668913512991041E-2</v>
      </c>
    </row>
    <row r="6115" spans="1:9" x14ac:dyDescent="0.25">
      <c r="A6115">
        <v>335</v>
      </c>
      <c r="B6115" t="s">
        <v>2262</v>
      </c>
      <c r="C6115" t="s">
        <v>10</v>
      </c>
      <c r="D6115" t="s">
        <v>2284</v>
      </c>
      <c r="E6115">
        <f t="shared" si="273"/>
        <v>6.3291139240506328E-3</v>
      </c>
      <c r="F6115">
        <v>4</v>
      </c>
      <c r="G6115">
        <f>LOG(382/(4+1))</f>
        <v>1.8830933585756899</v>
      </c>
      <c r="H6115">
        <f>0.00632911392405063*4.33598269617247</f>
        <v>2.7442928456787776E-2</v>
      </c>
      <c r="I6115">
        <v>2.7442928456787811E-2</v>
      </c>
    </row>
    <row r="6116" spans="1:9" x14ac:dyDescent="0.25">
      <c r="A6116">
        <v>335</v>
      </c>
      <c r="B6116" t="s">
        <v>2262</v>
      </c>
      <c r="C6116" t="s">
        <v>10</v>
      </c>
      <c r="D6116" t="s">
        <v>1044</v>
      </c>
      <c r="E6116">
        <f t="shared" si="273"/>
        <v>6.3291139240506328E-3</v>
      </c>
      <c r="F6116">
        <v>3</v>
      </c>
      <c r="G6116">
        <f>LOG(382/(3+1))</f>
        <v>1.9800033715837464</v>
      </c>
      <c r="H6116">
        <f>0.00632911392405063*4.55912624748668</f>
        <v>2.8855229414472647E-2</v>
      </c>
      <c r="I6116">
        <v>2.8855229414472681E-2</v>
      </c>
    </row>
    <row r="6117" spans="1:9" x14ac:dyDescent="0.25">
      <c r="A6117">
        <v>335</v>
      </c>
      <c r="B6117" t="s">
        <v>2262</v>
      </c>
      <c r="C6117" t="s">
        <v>10</v>
      </c>
      <c r="D6117" t="s">
        <v>2285</v>
      </c>
      <c r="E6117">
        <f t="shared" si="273"/>
        <v>6.3291139240506328E-3</v>
      </c>
      <c r="F6117">
        <v>1</v>
      </c>
      <c r="G6117">
        <f>LOG(382/(1+1))</f>
        <v>2.2810333672477277</v>
      </c>
      <c r="H6117">
        <f>0.00632911392405063*5.25227342804663</f>
        <v>3.3242236886371061E-2</v>
      </c>
      <c r="I6117">
        <v>3.3242236886371082E-2</v>
      </c>
    </row>
    <row r="6118" spans="1:9" x14ac:dyDescent="0.25">
      <c r="A6118">
        <v>335</v>
      </c>
      <c r="B6118" t="s">
        <v>2262</v>
      </c>
      <c r="C6118" t="s">
        <v>10</v>
      </c>
      <c r="D6118" t="s">
        <v>1787</v>
      </c>
      <c r="E6118">
        <f t="shared" si="273"/>
        <v>6.3291139240506328E-3</v>
      </c>
      <c r="F6118">
        <v>3</v>
      </c>
      <c r="G6118">
        <f>LOG(382/(3+1))</f>
        <v>1.9800033715837464</v>
      </c>
      <c r="H6118">
        <f>0.00632911392405063*4.55912624748668</f>
        <v>2.8855229414472647E-2</v>
      </c>
      <c r="I6118">
        <v>2.8855229414472681E-2</v>
      </c>
    </row>
    <row r="6119" spans="1:9" x14ac:dyDescent="0.25">
      <c r="A6119">
        <v>335</v>
      </c>
      <c r="B6119" t="s">
        <v>2262</v>
      </c>
      <c r="C6119" t="s">
        <v>10</v>
      </c>
      <c r="D6119" t="s">
        <v>635</v>
      </c>
      <c r="E6119">
        <f t="shared" si="273"/>
        <v>6.3291139240506328E-3</v>
      </c>
      <c r="F6119">
        <v>4</v>
      </c>
      <c r="G6119">
        <f>LOG(382/(4+1))</f>
        <v>1.8830933585756899</v>
      </c>
      <c r="H6119">
        <f>0.00632911392405063*4.33598269617247</f>
        <v>2.7442928456787776E-2</v>
      </c>
      <c r="I6119">
        <v>2.7442928456787811E-2</v>
      </c>
    </row>
    <row r="6120" spans="1:9" x14ac:dyDescent="0.25">
      <c r="A6120">
        <v>335</v>
      </c>
      <c r="B6120" t="s">
        <v>2262</v>
      </c>
      <c r="C6120" t="s">
        <v>10</v>
      </c>
      <c r="D6120" t="s">
        <v>2286</v>
      </c>
      <c r="E6120">
        <f t="shared" si="273"/>
        <v>6.3291139240506328E-3</v>
      </c>
      <c r="F6120">
        <v>1</v>
      </c>
      <c r="G6120">
        <f>LOG(382/(1+1))</f>
        <v>2.2810333672477277</v>
      </c>
      <c r="H6120">
        <f>0.00632911392405063*5.25227342804663</f>
        <v>3.3242236886371061E-2</v>
      </c>
      <c r="I6120">
        <v>3.3242236886371082E-2</v>
      </c>
    </row>
    <row r="6121" spans="1:9" x14ac:dyDescent="0.25">
      <c r="A6121">
        <v>335</v>
      </c>
      <c r="B6121" t="s">
        <v>2262</v>
      </c>
      <c r="C6121" t="s">
        <v>10</v>
      </c>
      <c r="D6121" t="s">
        <v>1264</v>
      </c>
      <c r="E6121">
        <f t="shared" si="273"/>
        <v>6.3291139240506328E-3</v>
      </c>
      <c r="F6121">
        <v>5</v>
      </c>
      <c r="G6121">
        <f>LOG(382/(5+1))</f>
        <v>1.803912112528065</v>
      </c>
      <c r="H6121">
        <f>0.00632911392405063*4.15366113937852</f>
        <v>2.6288994553028595E-2</v>
      </c>
      <c r="I6121">
        <v>2.6288994553028609E-2</v>
      </c>
    </row>
    <row r="6122" spans="1:9" x14ac:dyDescent="0.25">
      <c r="A6122">
        <v>335</v>
      </c>
      <c r="B6122" t="s">
        <v>2262</v>
      </c>
      <c r="C6122" t="s">
        <v>10</v>
      </c>
      <c r="D6122" t="s">
        <v>2287</v>
      </c>
      <c r="E6122">
        <f t="shared" si="273"/>
        <v>6.3291139240506328E-3</v>
      </c>
      <c r="F6122">
        <v>1</v>
      </c>
      <c r="G6122">
        <f>LOG(382/(1+1))</f>
        <v>2.2810333672477277</v>
      </c>
      <c r="H6122">
        <f>0.00632911392405063*5.25227342804663</f>
        <v>3.3242236886371061E-2</v>
      </c>
      <c r="I6122">
        <v>3.3242236886371082E-2</v>
      </c>
    </row>
    <row r="6123" spans="1:9" x14ac:dyDescent="0.25">
      <c r="A6123">
        <v>335</v>
      </c>
      <c r="B6123" t="s">
        <v>2262</v>
      </c>
      <c r="C6123" t="s">
        <v>10</v>
      </c>
      <c r="D6123" t="s">
        <v>24</v>
      </c>
      <c r="E6123">
        <f t="shared" si="273"/>
        <v>6.3291139240506328E-3</v>
      </c>
      <c r="F6123">
        <v>59</v>
      </c>
      <c r="G6123">
        <f>LOG(382/(59+1))</f>
        <v>0.80391211252806505</v>
      </c>
      <c r="H6123">
        <f>0.00632911392405063*1.85107604638447</f>
        <v>1.171567117964854E-2</v>
      </c>
      <c r="I6123">
        <v>1.1715671179648571E-2</v>
      </c>
    </row>
    <row r="6124" spans="1:9" x14ac:dyDescent="0.25">
      <c r="A6124">
        <v>335</v>
      </c>
      <c r="B6124" t="s">
        <v>2262</v>
      </c>
      <c r="C6124" t="s">
        <v>10</v>
      </c>
      <c r="D6124" t="s">
        <v>2288</v>
      </c>
      <c r="E6124">
        <f t="shared" si="273"/>
        <v>6.3291139240506328E-3</v>
      </c>
      <c r="F6124">
        <v>1</v>
      </c>
      <c r="G6124">
        <f>LOG(382/(1+1))</f>
        <v>2.2810333672477277</v>
      </c>
      <c r="H6124">
        <f>0.00632911392405063*5.25227342804663</f>
        <v>3.3242236886371061E-2</v>
      </c>
      <c r="I6124">
        <v>3.3242236886371082E-2</v>
      </c>
    </row>
    <row r="6125" spans="1:9" x14ac:dyDescent="0.25">
      <c r="A6125">
        <v>335</v>
      </c>
      <c r="B6125" t="s">
        <v>2262</v>
      </c>
      <c r="C6125" t="s">
        <v>10</v>
      </c>
      <c r="D6125" t="s">
        <v>183</v>
      </c>
      <c r="E6125">
        <f t="shared" si="273"/>
        <v>6.3291139240506328E-3</v>
      </c>
      <c r="F6125">
        <v>46</v>
      </c>
      <c r="G6125">
        <f>LOG(382/(46+1))</f>
        <v>0.90996550497599127</v>
      </c>
      <c r="H6125">
        <f>0.00632911392405063*2.09527300689651</f>
        <v>1.3261221562636134E-2</v>
      </c>
      <c r="I6125">
        <v>1.3261221562636181E-2</v>
      </c>
    </row>
    <row r="6126" spans="1:9" x14ac:dyDescent="0.25">
      <c r="A6126">
        <v>335</v>
      </c>
      <c r="B6126" t="s">
        <v>2262</v>
      </c>
      <c r="C6126" t="s">
        <v>10</v>
      </c>
      <c r="D6126" t="s">
        <v>147</v>
      </c>
      <c r="E6126">
        <f t="shared" si="273"/>
        <v>6.3291139240506328E-3</v>
      </c>
      <c r="F6126">
        <v>48</v>
      </c>
      <c r="G6126">
        <f>LOG(382/(48+1))</f>
        <v>0.89186728288319506</v>
      </c>
      <c r="H6126">
        <f>0.00632911392405063*2.05360031049594</f>
        <v>1.2997470319594551E-2</v>
      </c>
      <c r="I6126">
        <v>1.299747031959461E-2</v>
      </c>
    </row>
    <row r="6127" spans="1:9" x14ac:dyDescent="0.25">
      <c r="A6127">
        <v>335</v>
      </c>
      <c r="B6127" t="s">
        <v>2262</v>
      </c>
      <c r="C6127" t="s">
        <v>10</v>
      </c>
      <c r="D6127" t="s">
        <v>42</v>
      </c>
      <c r="E6127">
        <f t="shared" si="273"/>
        <v>6.3291139240506328E-3</v>
      </c>
      <c r="F6127">
        <v>251</v>
      </c>
      <c r="G6127">
        <f>LOG(382/(251+1))</f>
        <v>0.18066282213016463</v>
      </c>
      <c r="H6127">
        <f>0.00632911392405063*0.415991521095151</f>
        <v>2.6328577284503215E-3</v>
      </c>
      <c r="I6127">
        <v>2.632857728450328E-3</v>
      </c>
    </row>
    <row r="6128" spans="1:9" x14ac:dyDescent="0.25">
      <c r="A6128">
        <v>335</v>
      </c>
      <c r="B6128" t="s">
        <v>2262</v>
      </c>
      <c r="C6128" t="s">
        <v>10</v>
      </c>
      <c r="D6128" t="s">
        <v>65</v>
      </c>
      <c r="E6128">
        <f t="shared" si="273"/>
        <v>6.3291139240506328E-3</v>
      </c>
      <c r="F6128">
        <v>32</v>
      </c>
      <c r="G6128">
        <f>LOG(382/(32+1))</f>
        <v>1.0635494230338212</v>
      </c>
      <c r="H6128">
        <f>0.00632911392405063*2.44891304714009</f>
        <v>1.5499449665443601E-2</v>
      </c>
      <c r="I6128">
        <v>1.549944966544364E-2</v>
      </c>
    </row>
    <row r="6129" spans="1:9" x14ac:dyDescent="0.25">
      <c r="A6129">
        <v>335</v>
      </c>
      <c r="B6129" t="s">
        <v>2262</v>
      </c>
      <c r="C6129" t="s">
        <v>10</v>
      </c>
      <c r="D6129" t="s">
        <v>40</v>
      </c>
      <c r="E6129">
        <f>2/158</f>
        <v>1.2658227848101266E-2</v>
      </c>
      <c r="F6129">
        <v>159</v>
      </c>
      <c r="G6129">
        <f>LOG(382/(159+1))</f>
        <v>0.377943380255784</v>
      </c>
      <c r="H6129">
        <f>0.0126582278481012*0.870246793372748</f>
        <v>1.101578219459169E-2</v>
      </c>
      <c r="I6129">
        <v>1.1015782194591751E-2</v>
      </c>
    </row>
    <row r="6130" spans="1:9" x14ac:dyDescent="0.25">
      <c r="A6130">
        <v>335</v>
      </c>
      <c r="B6130" t="s">
        <v>2262</v>
      </c>
      <c r="C6130" t="s">
        <v>10</v>
      </c>
      <c r="D6130" t="s">
        <v>41</v>
      </c>
      <c r="E6130">
        <f>2/158</f>
        <v>1.2658227848101266E-2</v>
      </c>
      <c r="F6130">
        <v>195</v>
      </c>
      <c r="G6130">
        <f>LOG(382/(195+1))</f>
        <v>0.28980729155523272</v>
      </c>
      <c r="H6130">
        <f>0.0126582278481012*0.667305949376058</f>
        <v>8.4469107515956279E-3</v>
      </c>
      <c r="I6130">
        <v>8.4469107515956713E-3</v>
      </c>
    </row>
    <row r="6131" spans="1:9" x14ac:dyDescent="0.25">
      <c r="A6131">
        <v>335</v>
      </c>
      <c r="B6131" t="s">
        <v>2262</v>
      </c>
      <c r="C6131" t="s">
        <v>10</v>
      </c>
      <c r="D6131" t="s">
        <v>69</v>
      </c>
      <c r="E6131">
        <f>1/158</f>
        <v>6.3291139240506328E-3</v>
      </c>
      <c r="F6131">
        <v>13</v>
      </c>
      <c r="G6131">
        <f>LOG(382/(13+1))</f>
        <v>1.4359353272334707</v>
      </c>
      <c r="H6131">
        <f>0.00632911392405063*3.30636327899131</f>
        <v>2.0926349867033602E-2</v>
      </c>
      <c r="I6131">
        <v>2.092634986703365E-2</v>
      </c>
    </row>
    <row r="6132" spans="1:9" x14ac:dyDescent="0.25">
      <c r="A6132">
        <v>335</v>
      </c>
      <c r="B6132" t="s">
        <v>2262</v>
      </c>
      <c r="C6132" t="s">
        <v>10</v>
      </c>
      <c r="D6132" t="s">
        <v>315</v>
      </c>
      <c r="E6132">
        <f>1/158</f>
        <v>6.3291139240506328E-3</v>
      </c>
      <c r="F6132">
        <v>55</v>
      </c>
      <c r="G6132">
        <f>LOG(382/(55+1))</f>
        <v>0.83387533590550833</v>
      </c>
      <c r="H6132">
        <f>0.00632911392405063*1.92006891787142</f>
        <v>1.2152334923236831E-2</v>
      </c>
      <c r="I6132">
        <v>1.215233492323687E-2</v>
      </c>
    </row>
    <row r="6133" spans="1:9" x14ac:dyDescent="0.25">
      <c r="A6133">
        <v>335</v>
      </c>
      <c r="B6133" t="s">
        <v>2262</v>
      </c>
      <c r="C6133" t="s">
        <v>10</v>
      </c>
      <c r="D6133" t="s">
        <v>316</v>
      </c>
      <c r="E6133">
        <f>1/158</f>
        <v>6.3291139240506328E-3</v>
      </c>
      <c r="F6133">
        <v>6</v>
      </c>
      <c r="G6133">
        <f>LOG(382/(6+1))</f>
        <v>1.736965322897452</v>
      </c>
      <c r="H6133">
        <f>0.00632911392405063*3.99951045955126</f>
        <v>2.5313357338932016E-2</v>
      </c>
      <c r="I6133">
        <v>2.531335733893204E-2</v>
      </c>
    </row>
    <row r="6134" spans="1:9" x14ac:dyDescent="0.25">
      <c r="A6134">
        <v>335</v>
      </c>
      <c r="B6134" t="s">
        <v>2262</v>
      </c>
      <c r="C6134" t="s">
        <v>10</v>
      </c>
      <c r="D6134" t="s">
        <v>2289</v>
      </c>
      <c r="E6134">
        <f>1/158</f>
        <v>6.3291139240506328E-3</v>
      </c>
      <c r="F6134">
        <v>2</v>
      </c>
      <c r="G6134">
        <f>LOG(382/(2+1))</f>
        <v>2.1049421081920463</v>
      </c>
      <c r="H6134">
        <f>0.00632911392405063*4.84680831993846</f>
        <v>3.067600202492695E-2</v>
      </c>
      <c r="I6134">
        <v>3.0676002024926999E-2</v>
      </c>
    </row>
    <row r="6135" spans="1:9" x14ac:dyDescent="0.25">
      <c r="A6135">
        <v>335</v>
      </c>
      <c r="B6135" t="s">
        <v>2262</v>
      </c>
      <c r="C6135" t="s">
        <v>10</v>
      </c>
      <c r="D6135" t="s">
        <v>1907</v>
      </c>
      <c r="E6135">
        <f>2/158</f>
        <v>1.2658227848101266E-2</v>
      </c>
      <c r="F6135">
        <v>20</v>
      </c>
      <c r="G6135">
        <f>LOG(382/(20+1))</f>
        <v>1.2598440681777894</v>
      </c>
      <c r="H6135">
        <f>0.0126582278481012*2.90089817088315</f>
        <v>3.6720230011178925E-2</v>
      </c>
      <c r="I6135">
        <v>3.672023001117914E-2</v>
      </c>
    </row>
    <row r="6136" spans="1:9" x14ac:dyDescent="0.25">
      <c r="A6136">
        <v>335</v>
      </c>
      <c r="B6136" t="s">
        <v>2262</v>
      </c>
      <c r="C6136" t="s">
        <v>10</v>
      </c>
      <c r="D6136" t="s">
        <v>2290</v>
      </c>
      <c r="E6136">
        <f>1/158</f>
        <v>6.3291139240506328E-3</v>
      </c>
      <c r="F6136">
        <v>1</v>
      </c>
      <c r="G6136">
        <f>LOG(382/(1+1))</f>
        <v>2.2810333672477277</v>
      </c>
      <c r="H6136">
        <f>0.00632911392405063*5.25227342804663</f>
        <v>3.3242236886371061E-2</v>
      </c>
      <c r="I6136">
        <v>3.3242236886371082E-2</v>
      </c>
    </row>
    <row r="6137" spans="1:9" x14ac:dyDescent="0.25">
      <c r="A6137">
        <v>335</v>
      </c>
      <c r="B6137" t="s">
        <v>2262</v>
      </c>
      <c r="C6137" t="s">
        <v>10</v>
      </c>
      <c r="D6137" t="s">
        <v>104</v>
      </c>
      <c r="E6137">
        <f>1/158</f>
        <v>6.3291139240506328E-3</v>
      </c>
      <c r="F6137">
        <v>49</v>
      </c>
      <c r="G6137">
        <f>LOG(382/(49+1))</f>
        <v>0.88309335857568994</v>
      </c>
      <c r="H6137">
        <f>0.00632911392405063*2.03339760317842</f>
        <v>1.2869605083407716E-2</v>
      </c>
      <c r="I6137">
        <v>1.286960508340778E-2</v>
      </c>
    </row>
    <row r="6138" spans="1:9" x14ac:dyDescent="0.25">
      <c r="A6138">
        <v>335</v>
      </c>
      <c r="B6138" t="s">
        <v>2262</v>
      </c>
      <c r="C6138" t="s">
        <v>10</v>
      </c>
      <c r="D6138" t="s">
        <v>1908</v>
      </c>
      <c r="E6138">
        <f>1/158</f>
        <v>6.3291139240506328E-3</v>
      </c>
      <c r="F6138">
        <v>20</v>
      </c>
      <c r="G6138">
        <f>LOG(382/(20+1))</f>
        <v>1.2598440681777894</v>
      </c>
      <c r="H6138">
        <f>0.00632911392405063*2.90089817088315</f>
        <v>1.8360115005589549E-2</v>
      </c>
      <c r="I6138">
        <v>1.836011500558957E-2</v>
      </c>
    </row>
    <row r="6139" spans="1:9" x14ac:dyDescent="0.25">
      <c r="A6139">
        <v>335</v>
      </c>
      <c r="B6139" t="s">
        <v>2262</v>
      </c>
      <c r="C6139" t="s">
        <v>10</v>
      </c>
      <c r="D6139" t="s">
        <v>91</v>
      </c>
      <c r="E6139">
        <f>1/158</f>
        <v>6.3291139240506328E-3</v>
      </c>
      <c r="F6139">
        <v>33</v>
      </c>
      <c r="G6139">
        <f>LOG(382/(33+1))</f>
        <v>1.0505844458694535</v>
      </c>
      <c r="H6139">
        <f>0.00632911392405063*2.41906008399041</f>
        <v>1.5310506860698792E-2</v>
      </c>
      <c r="I6139">
        <v>1.5310506860698819E-2</v>
      </c>
    </row>
    <row r="6140" spans="1:9" x14ac:dyDescent="0.25">
      <c r="A6140">
        <v>335</v>
      </c>
      <c r="B6140" t="s">
        <v>2262</v>
      </c>
      <c r="C6140" t="s">
        <v>10</v>
      </c>
      <c r="D6140" t="s">
        <v>195</v>
      </c>
      <c r="E6140">
        <f>1/158</f>
        <v>6.3291139240506328E-3</v>
      </c>
      <c r="F6140">
        <v>55</v>
      </c>
      <c r="G6140">
        <f>LOG(382/(55+1))</f>
        <v>0.83387533590550833</v>
      </c>
      <c r="H6140">
        <f>0.00632911392405063*1.92006891787142</f>
        <v>1.2152334923236831E-2</v>
      </c>
      <c r="I6140">
        <v>1.215233492323687E-2</v>
      </c>
    </row>
    <row r="6141" spans="1:9" x14ac:dyDescent="0.25">
      <c r="A6141">
        <v>335</v>
      </c>
      <c r="B6141" t="s">
        <v>2262</v>
      </c>
      <c r="C6141" t="s">
        <v>10</v>
      </c>
      <c r="D6141" t="s">
        <v>22</v>
      </c>
      <c r="E6141">
        <f>2/158</f>
        <v>1.2658227848101266E-2</v>
      </c>
      <c r="F6141">
        <v>259</v>
      </c>
      <c r="G6141">
        <f>LOG(382/(259+1))</f>
        <v>0.16709001494089079</v>
      </c>
      <c r="H6141">
        <f>0.0126582278481012*0.384738977591047</f>
        <v>4.8701136403929753E-3</v>
      </c>
      <c r="I6141">
        <v>4.8701136403930074E-3</v>
      </c>
    </row>
    <row r="6142" spans="1:9" x14ac:dyDescent="0.25">
      <c r="A6142">
        <v>335</v>
      </c>
      <c r="B6142" t="s">
        <v>2262</v>
      </c>
      <c r="C6142" t="s">
        <v>10</v>
      </c>
      <c r="D6142" t="s">
        <v>23</v>
      </c>
      <c r="E6142">
        <f>2/158</f>
        <v>1.2658227848101266E-2</v>
      </c>
      <c r="F6142">
        <v>275</v>
      </c>
      <c r="G6142">
        <f>LOG(382/(275+1))</f>
        <v>0.14115428084649101</v>
      </c>
      <c r="H6142">
        <f>0.0126582278481012*0.325019742889425</f>
        <v>4.1141739606256108E-3</v>
      </c>
      <c r="I6142">
        <v>4.1141739606256351E-3</v>
      </c>
    </row>
    <row r="6143" spans="1:9" x14ac:dyDescent="0.25">
      <c r="A6143">
        <v>335</v>
      </c>
      <c r="B6143" t="s">
        <v>2262</v>
      </c>
      <c r="C6143" t="s">
        <v>10</v>
      </c>
      <c r="D6143" t="s">
        <v>2291</v>
      </c>
      <c r="E6143">
        <f t="shared" ref="E6143:E6169" si="274">1/158</f>
        <v>6.3291139240506328E-3</v>
      </c>
      <c r="F6143">
        <v>17</v>
      </c>
      <c r="G6143">
        <f>LOG(382/(17+1))</f>
        <v>1.3267908578084027</v>
      </c>
      <c r="H6143">
        <f>0.00632911392405063*3.05504885071041</f>
        <v>1.9335752219686132E-2</v>
      </c>
      <c r="I6143">
        <v>1.9335752219686139E-2</v>
      </c>
    </row>
    <row r="6144" spans="1:9" x14ac:dyDescent="0.25">
      <c r="A6144">
        <v>335</v>
      </c>
      <c r="B6144" t="s">
        <v>2262</v>
      </c>
      <c r="C6144" t="s">
        <v>10</v>
      </c>
      <c r="D6144" t="s">
        <v>2292</v>
      </c>
      <c r="E6144">
        <f t="shared" si="274"/>
        <v>6.3291139240506328E-3</v>
      </c>
      <c r="F6144">
        <v>1</v>
      </c>
      <c r="G6144">
        <f>LOG(382/(1+1))</f>
        <v>2.2810333672477277</v>
      </c>
      <c r="H6144">
        <f>0.00632911392405063*5.25227342804663</f>
        <v>3.3242236886371061E-2</v>
      </c>
      <c r="I6144">
        <v>3.3242236886371082E-2</v>
      </c>
    </row>
    <row r="6145" spans="1:9" x14ac:dyDescent="0.25">
      <c r="A6145">
        <v>335</v>
      </c>
      <c r="B6145" t="s">
        <v>2262</v>
      </c>
      <c r="C6145" t="s">
        <v>10</v>
      </c>
      <c r="D6145" t="s">
        <v>2293</v>
      </c>
      <c r="E6145">
        <f t="shared" si="274"/>
        <v>6.3291139240506328E-3</v>
      </c>
      <c r="F6145">
        <v>1</v>
      </c>
      <c r="G6145">
        <f>LOG(382/(1+1))</f>
        <v>2.2810333672477277</v>
      </c>
      <c r="H6145">
        <f>0.00632911392405063*5.25227342804663</f>
        <v>3.3242236886371061E-2</v>
      </c>
      <c r="I6145">
        <v>3.3242236886371082E-2</v>
      </c>
    </row>
    <row r="6146" spans="1:9" x14ac:dyDescent="0.25">
      <c r="A6146">
        <v>335</v>
      </c>
      <c r="B6146" t="s">
        <v>2262</v>
      </c>
      <c r="C6146" t="s">
        <v>10</v>
      </c>
      <c r="D6146" t="s">
        <v>2294</v>
      </c>
      <c r="E6146">
        <f t="shared" si="274"/>
        <v>6.3291139240506328E-3</v>
      </c>
      <c r="F6146">
        <v>1</v>
      </c>
      <c r="G6146">
        <f>LOG(382/(1+1))</f>
        <v>2.2810333672477277</v>
      </c>
      <c r="H6146">
        <f>0.00632911392405063*5.25227342804663</f>
        <v>3.3242236886371061E-2</v>
      </c>
      <c r="I6146">
        <v>3.3242236886371082E-2</v>
      </c>
    </row>
    <row r="6147" spans="1:9" x14ac:dyDescent="0.25">
      <c r="A6147">
        <v>335</v>
      </c>
      <c r="B6147" t="s">
        <v>2262</v>
      </c>
      <c r="C6147" t="s">
        <v>10</v>
      </c>
      <c r="D6147" t="s">
        <v>533</v>
      </c>
      <c r="E6147">
        <f t="shared" si="274"/>
        <v>6.3291139240506328E-3</v>
      </c>
      <c r="F6147">
        <v>8</v>
      </c>
      <c r="G6147">
        <f>LOG(382/(8+1))</f>
        <v>1.6278208534723839</v>
      </c>
      <c r="H6147">
        <f>0.00632911392405063*3.74819603127035</f>
        <v>2.3722759691584484E-2</v>
      </c>
      <c r="I6147">
        <v>2.3722759691584529E-2</v>
      </c>
    </row>
    <row r="6148" spans="1:9" x14ac:dyDescent="0.25">
      <c r="A6148">
        <v>335</v>
      </c>
      <c r="B6148" t="s">
        <v>2262</v>
      </c>
      <c r="C6148" t="s">
        <v>10</v>
      </c>
      <c r="D6148" t="s">
        <v>1199</v>
      </c>
      <c r="E6148">
        <f t="shared" si="274"/>
        <v>6.3291139240506328E-3</v>
      </c>
      <c r="F6148">
        <v>8</v>
      </c>
      <c r="G6148">
        <f>LOG(382/(8+1))</f>
        <v>1.6278208534723839</v>
      </c>
      <c r="H6148">
        <f>0.00632911392405063*3.74819603127035</f>
        <v>2.3722759691584484E-2</v>
      </c>
      <c r="I6148">
        <v>2.3722759691584529E-2</v>
      </c>
    </row>
    <row r="6149" spans="1:9" x14ac:dyDescent="0.25">
      <c r="A6149">
        <v>335</v>
      </c>
      <c r="B6149" t="s">
        <v>2262</v>
      </c>
      <c r="C6149" t="s">
        <v>10</v>
      </c>
      <c r="D6149" t="s">
        <v>2295</v>
      </c>
      <c r="E6149">
        <f t="shared" si="274"/>
        <v>6.3291139240506328E-3</v>
      </c>
      <c r="F6149">
        <v>1</v>
      </c>
      <c r="G6149">
        <f>LOG(382/(1+1))</f>
        <v>2.2810333672477277</v>
      </c>
      <c r="H6149">
        <f>0.00632911392405063*5.25227342804663</f>
        <v>3.3242236886371061E-2</v>
      </c>
      <c r="I6149">
        <v>3.3242236886371082E-2</v>
      </c>
    </row>
    <row r="6150" spans="1:9" x14ac:dyDescent="0.25">
      <c r="A6150">
        <v>335</v>
      </c>
      <c r="B6150" t="s">
        <v>2262</v>
      </c>
      <c r="C6150" t="s">
        <v>10</v>
      </c>
      <c r="D6150" t="s">
        <v>470</v>
      </c>
      <c r="E6150">
        <f t="shared" si="274"/>
        <v>6.3291139240506328E-3</v>
      </c>
      <c r="F6150">
        <v>4</v>
      </c>
      <c r="G6150">
        <f>LOG(382/(4+1))</f>
        <v>1.8830933585756899</v>
      </c>
      <c r="H6150">
        <f>0.00632911392405063*4.33598269617247</f>
        <v>2.7442928456787776E-2</v>
      </c>
      <c r="I6150">
        <v>2.7442928456787811E-2</v>
      </c>
    </row>
    <row r="6151" spans="1:9" x14ac:dyDescent="0.25">
      <c r="A6151">
        <v>335</v>
      </c>
      <c r="B6151" t="s">
        <v>2262</v>
      </c>
      <c r="C6151" t="s">
        <v>10</v>
      </c>
      <c r="D6151" t="s">
        <v>2296</v>
      </c>
      <c r="E6151">
        <f t="shared" si="274"/>
        <v>6.3291139240506328E-3</v>
      </c>
      <c r="F6151">
        <v>5</v>
      </c>
      <c r="G6151">
        <f>LOG(382/(5+1))</f>
        <v>1.803912112528065</v>
      </c>
      <c r="H6151">
        <f>0.00632911392405063*4.15366113937852</f>
        <v>2.6288994553028595E-2</v>
      </c>
      <c r="I6151">
        <v>2.6288994553028609E-2</v>
      </c>
    </row>
    <row r="6152" spans="1:9" x14ac:dyDescent="0.25">
      <c r="A6152">
        <v>335</v>
      </c>
      <c r="B6152" t="s">
        <v>2262</v>
      </c>
      <c r="C6152" t="s">
        <v>10</v>
      </c>
      <c r="D6152" t="s">
        <v>2297</v>
      </c>
      <c r="E6152">
        <f t="shared" si="274"/>
        <v>6.3291139240506328E-3</v>
      </c>
      <c r="F6152">
        <v>1</v>
      </c>
      <c r="G6152">
        <f>LOG(382/(1+1))</f>
        <v>2.2810333672477277</v>
      </c>
      <c r="H6152">
        <f>0.00632911392405063*5.25227342804663</f>
        <v>3.3242236886371061E-2</v>
      </c>
      <c r="I6152">
        <v>3.3242236886371082E-2</v>
      </c>
    </row>
    <row r="6153" spans="1:9" x14ac:dyDescent="0.25">
      <c r="A6153">
        <v>335</v>
      </c>
      <c r="B6153" t="s">
        <v>2262</v>
      </c>
      <c r="C6153" t="s">
        <v>10</v>
      </c>
      <c r="D6153" t="s">
        <v>360</v>
      </c>
      <c r="E6153">
        <f t="shared" si="274"/>
        <v>6.3291139240506328E-3</v>
      </c>
      <c r="F6153">
        <v>15</v>
      </c>
      <c r="G6153">
        <f>LOG(382/(15+1))</f>
        <v>1.3779433802557839</v>
      </c>
      <c r="H6153">
        <f>0.00632911392405063*3.17283188636679</f>
        <v>2.0081214470675877E-2</v>
      </c>
      <c r="I6153">
        <v>2.0081214470675911E-2</v>
      </c>
    </row>
    <row r="6154" spans="1:9" x14ac:dyDescent="0.25">
      <c r="A6154">
        <v>335</v>
      </c>
      <c r="B6154" t="s">
        <v>2262</v>
      </c>
      <c r="C6154" t="s">
        <v>10</v>
      </c>
      <c r="D6154" t="s">
        <v>2298</v>
      </c>
      <c r="E6154">
        <f t="shared" si="274"/>
        <v>6.3291139240506328E-3</v>
      </c>
      <c r="F6154">
        <v>1</v>
      </c>
      <c r="G6154">
        <f>LOG(382/(1+1))</f>
        <v>2.2810333672477277</v>
      </c>
      <c r="H6154">
        <f>0.00632911392405063*5.25227342804663</f>
        <v>3.3242236886371061E-2</v>
      </c>
      <c r="I6154">
        <v>3.3242236886371082E-2</v>
      </c>
    </row>
    <row r="6155" spans="1:9" x14ac:dyDescent="0.25">
      <c r="A6155">
        <v>335</v>
      </c>
      <c r="B6155" t="s">
        <v>2262</v>
      </c>
      <c r="C6155" t="s">
        <v>10</v>
      </c>
      <c r="D6155" t="s">
        <v>2299</v>
      </c>
      <c r="E6155">
        <f t="shared" si="274"/>
        <v>6.3291139240506328E-3</v>
      </c>
      <c r="F6155">
        <v>1</v>
      </c>
      <c r="G6155">
        <f>LOG(382/(1+1))</f>
        <v>2.2810333672477277</v>
      </c>
      <c r="H6155">
        <f>0.00632911392405063*5.25227342804663</f>
        <v>3.3242236886371061E-2</v>
      </c>
      <c r="I6155">
        <v>3.3242236886371082E-2</v>
      </c>
    </row>
    <row r="6156" spans="1:9" x14ac:dyDescent="0.25">
      <c r="A6156">
        <v>335</v>
      </c>
      <c r="B6156" t="s">
        <v>2262</v>
      </c>
      <c r="C6156" t="s">
        <v>10</v>
      </c>
      <c r="D6156" t="s">
        <v>2300</v>
      </c>
      <c r="E6156">
        <f t="shared" si="274"/>
        <v>6.3291139240506328E-3</v>
      </c>
      <c r="F6156">
        <v>1</v>
      </c>
      <c r="G6156">
        <f>LOG(382/(1+1))</f>
        <v>2.2810333672477277</v>
      </c>
      <c r="H6156">
        <f>0.00632911392405063*5.25227342804663</f>
        <v>3.3242236886371061E-2</v>
      </c>
      <c r="I6156">
        <v>3.3242236886371082E-2</v>
      </c>
    </row>
    <row r="6157" spans="1:9" x14ac:dyDescent="0.25">
      <c r="A6157">
        <v>335</v>
      </c>
      <c r="B6157" t="s">
        <v>2262</v>
      </c>
      <c r="C6157" t="s">
        <v>10</v>
      </c>
      <c r="D6157" t="s">
        <v>1139</v>
      </c>
      <c r="E6157">
        <f t="shared" si="274"/>
        <v>6.3291139240506328E-3</v>
      </c>
      <c r="F6157">
        <v>2</v>
      </c>
      <c r="G6157">
        <f>LOG(382/(2+1))</f>
        <v>2.1049421081920463</v>
      </c>
      <c r="H6157">
        <f>0.00632911392405063*4.84680831993846</f>
        <v>3.067600202492695E-2</v>
      </c>
      <c r="I6157">
        <v>3.0676002024926999E-2</v>
      </c>
    </row>
    <row r="6158" spans="1:9" x14ac:dyDescent="0.25">
      <c r="A6158">
        <v>335</v>
      </c>
      <c r="B6158" t="s">
        <v>2262</v>
      </c>
      <c r="C6158" t="s">
        <v>10</v>
      </c>
      <c r="D6158" t="s">
        <v>2301</v>
      </c>
      <c r="E6158">
        <f t="shared" si="274"/>
        <v>6.3291139240506328E-3</v>
      </c>
      <c r="F6158">
        <v>6</v>
      </c>
      <c r="G6158">
        <f>LOG(382/(6+1))</f>
        <v>1.736965322897452</v>
      </c>
      <c r="H6158">
        <f>0.00632911392405063*3.99951045955126</f>
        <v>2.5313357338932016E-2</v>
      </c>
      <c r="I6158">
        <v>2.531335733893204E-2</v>
      </c>
    </row>
    <row r="6159" spans="1:9" x14ac:dyDescent="0.25">
      <c r="A6159">
        <v>335</v>
      </c>
      <c r="B6159" t="s">
        <v>2262</v>
      </c>
      <c r="C6159" t="s">
        <v>10</v>
      </c>
      <c r="D6159" t="s">
        <v>1345</v>
      </c>
      <c r="E6159">
        <f t="shared" si="274"/>
        <v>6.3291139240506328E-3</v>
      </c>
      <c r="F6159">
        <v>8</v>
      </c>
      <c r="G6159">
        <f>LOG(382/(8+1))</f>
        <v>1.6278208534723839</v>
      </c>
      <c r="H6159">
        <f>0.00632911392405063*3.74819603127035</f>
        <v>2.3722759691584484E-2</v>
      </c>
      <c r="I6159">
        <v>2.3722759691584529E-2</v>
      </c>
    </row>
    <row r="6160" spans="1:9" x14ac:dyDescent="0.25">
      <c r="A6160">
        <v>335</v>
      </c>
      <c r="B6160" t="s">
        <v>2262</v>
      </c>
      <c r="C6160" t="s">
        <v>10</v>
      </c>
      <c r="D6160" t="s">
        <v>1775</v>
      </c>
      <c r="E6160">
        <f t="shared" si="274"/>
        <v>6.3291139240506328E-3</v>
      </c>
      <c r="F6160">
        <v>10</v>
      </c>
      <c r="G6160">
        <f>LOG(382/(10+1))</f>
        <v>1.5406706777534838</v>
      </c>
      <c r="H6160">
        <f>0.00632911392405063*3.5475253358082</f>
        <v>2.2452691998786068E-2</v>
      </c>
      <c r="I6160">
        <v>2.245269199878611E-2</v>
      </c>
    </row>
    <row r="6161" spans="1:9" x14ac:dyDescent="0.25">
      <c r="A6161">
        <v>335</v>
      </c>
      <c r="B6161" t="s">
        <v>2262</v>
      </c>
      <c r="C6161" t="s">
        <v>10</v>
      </c>
      <c r="D6161" t="s">
        <v>1021</v>
      </c>
      <c r="E6161">
        <f t="shared" si="274"/>
        <v>6.3291139240506328E-3</v>
      </c>
      <c r="F6161">
        <v>6</v>
      </c>
      <c r="G6161">
        <f>LOG(382/(6+1))</f>
        <v>1.736965322897452</v>
      </c>
      <c r="H6161">
        <f>0.00632911392405063*3.99951045955126</f>
        <v>2.5313357338932016E-2</v>
      </c>
      <c r="I6161">
        <v>2.531335733893204E-2</v>
      </c>
    </row>
    <row r="6162" spans="1:9" x14ac:dyDescent="0.25">
      <c r="A6162">
        <v>335</v>
      </c>
      <c r="B6162" t="s">
        <v>2262</v>
      </c>
      <c r="C6162" t="s">
        <v>10</v>
      </c>
      <c r="D6162" t="s">
        <v>2302</v>
      </c>
      <c r="E6162">
        <f t="shared" si="274"/>
        <v>6.3291139240506328E-3</v>
      </c>
      <c r="F6162">
        <v>1</v>
      </c>
      <c r="G6162">
        <f>LOG(382/(1+1))</f>
        <v>2.2810333672477277</v>
      </c>
      <c r="H6162">
        <f>0.00632911392405063*5.25227342804663</f>
        <v>3.3242236886371061E-2</v>
      </c>
      <c r="I6162">
        <v>3.3242236886371082E-2</v>
      </c>
    </row>
    <row r="6163" spans="1:9" x14ac:dyDescent="0.25">
      <c r="A6163">
        <v>335</v>
      </c>
      <c r="B6163" t="s">
        <v>2262</v>
      </c>
      <c r="C6163" t="s">
        <v>10</v>
      </c>
      <c r="D6163" t="s">
        <v>2303</v>
      </c>
      <c r="E6163">
        <f t="shared" si="274"/>
        <v>6.3291139240506328E-3</v>
      </c>
      <c r="F6163">
        <v>1</v>
      </c>
      <c r="G6163">
        <f>LOG(382/(1+1))</f>
        <v>2.2810333672477277</v>
      </c>
      <c r="H6163">
        <f>0.00632911392405063*5.25227342804663</f>
        <v>3.3242236886371061E-2</v>
      </c>
      <c r="I6163">
        <v>3.3242236886371082E-2</v>
      </c>
    </row>
    <row r="6164" spans="1:9" x14ac:dyDescent="0.25">
      <c r="A6164">
        <v>335</v>
      </c>
      <c r="B6164" t="s">
        <v>2262</v>
      </c>
      <c r="C6164" t="s">
        <v>10</v>
      </c>
      <c r="D6164" t="s">
        <v>310</v>
      </c>
      <c r="E6164">
        <f t="shared" si="274"/>
        <v>6.3291139240506328E-3</v>
      </c>
      <c r="F6164">
        <v>50</v>
      </c>
      <c r="G6164">
        <f>LOG(382/(50+1))</f>
        <v>0.87449318681377242</v>
      </c>
      <c r="H6164">
        <f>0.00632911392405063*2.01359497588224</f>
        <v>1.2744271999254677E-2</v>
      </c>
      <c r="I6164">
        <v>1.2744271999254739E-2</v>
      </c>
    </row>
    <row r="6165" spans="1:9" x14ac:dyDescent="0.25">
      <c r="A6165">
        <v>335</v>
      </c>
      <c r="B6165" t="s">
        <v>2262</v>
      </c>
      <c r="C6165" t="s">
        <v>10</v>
      </c>
      <c r="D6165" t="s">
        <v>2304</v>
      </c>
      <c r="E6165">
        <f t="shared" si="274"/>
        <v>6.3291139240506328E-3</v>
      </c>
      <c r="F6165">
        <v>1</v>
      </c>
      <c r="G6165">
        <f>LOG(382/(1+1))</f>
        <v>2.2810333672477277</v>
      </c>
      <c r="H6165">
        <f>0.00632911392405063*5.25227342804663</f>
        <v>3.3242236886371061E-2</v>
      </c>
      <c r="I6165">
        <v>3.3242236886371082E-2</v>
      </c>
    </row>
    <row r="6166" spans="1:9" x14ac:dyDescent="0.25">
      <c r="A6166">
        <v>335</v>
      </c>
      <c r="B6166" t="s">
        <v>2262</v>
      </c>
      <c r="C6166" t="s">
        <v>10</v>
      </c>
      <c r="D6166" t="s">
        <v>237</v>
      </c>
      <c r="E6166">
        <f t="shared" si="274"/>
        <v>6.3291139240506328E-3</v>
      </c>
      <c r="F6166">
        <v>138</v>
      </c>
      <c r="G6166">
        <f>LOG(382/(138+1))</f>
        <v>0.43904856265761361</v>
      </c>
      <c r="H6166">
        <f>0.00632911392405063*1.01094667547588</f>
        <v>6.3983966802270862E-3</v>
      </c>
      <c r="I6166">
        <v>6.3983966802271097E-3</v>
      </c>
    </row>
    <row r="6167" spans="1:9" x14ac:dyDescent="0.25">
      <c r="A6167">
        <v>335</v>
      </c>
      <c r="B6167" t="s">
        <v>2262</v>
      </c>
      <c r="C6167" t="s">
        <v>10</v>
      </c>
      <c r="D6167" t="s">
        <v>133</v>
      </c>
      <c r="E6167">
        <f t="shared" si="274"/>
        <v>6.3291139240506328E-3</v>
      </c>
      <c r="F6167">
        <v>142</v>
      </c>
      <c r="G6167">
        <f>LOG(382/(142+1))</f>
        <v>0.42672732544664693</v>
      </c>
      <c r="H6167">
        <f>0.00632911392405063*0.982575978346667</f>
        <v>6.2188353059915609E-3</v>
      </c>
      <c r="I6167">
        <v>6.2188353059915687E-3</v>
      </c>
    </row>
    <row r="6168" spans="1:9" x14ac:dyDescent="0.25">
      <c r="A6168">
        <v>335</v>
      </c>
      <c r="B6168" t="s">
        <v>2262</v>
      </c>
      <c r="C6168" t="s">
        <v>10</v>
      </c>
      <c r="D6168" t="s">
        <v>76</v>
      </c>
      <c r="E6168">
        <f t="shared" si="274"/>
        <v>6.3291139240506328E-3</v>
      </c>
      <c r="F6168">
        <v>140</v>
      </c>
      <c r="G6168">
        <f>LOG(382/(140+1))</f>
        <v>0.43284425025632883</v>
      </c>
      <c r="H6168">
        <f>0.00632911392405063*0.996660718228407</f>
        <v>6.3079792292937125E-3</v>
      </c>
      <c r="I6168">
        <v>6.3079792292937151E-3</v>
      </c>
    </row>
    <row r="6169" spans="1:9" x14ac:dyDescent="0.25">
      <c r="A6169">
        <v>335</v>
      </c>
      <c r="B6169" t="s">
        <v>2262</v>
      </c>
      <c r="C6169" t="s">
        <v>10</v>
      </c>
      <c r="D6169" t="s">
        <v>77</v>
      </c>
      <c r="E6169">
        <f t="shared" si="274"/>
        <v>6.3291139240506328E-3</v>
      </c>
      <c r="F6169">
        <v>148</v>
      </c>
      <c r="G6169">
        <f>LOG(382/(148+1))</f>
        <v>0.40887709449943471</v>
      </c>
      <c r="H6169">
        <f>0.00632911392405063*0.941474302661116</f>
        <v>5.9586981181083262E-3</v>
      </c>
      <c r="I6169">
        <v>5.9586981181083297E-3</v>
      </c>
    </row>
    <row r="6170" spans="1:9" x14ac:dyDescent="0.25">
      <c r="A6170">
        <v>336</v>
      </c>
      <c r="B6170" t="s">
        <v>2305</v>
      </c>
      <c r="C6170" t="s">
        <v>10</v>
      </c>
      <c r="D6170" t="s">
        <v>39</v>
      </c>
      <c r="E6170">
        <f>2/193</f>
        <v>1.0362694300518135E-2</v>
      </c>
      <c r="F6170">
        <v>145</v>
      </c>
      <c r="G6170">
        <f>LOG(382/(145+1))</f>
        <v>0.41771050712727159</v>
      </c>
      <c r="H6170">
        <f>0.0103626943005181*0.961813986898238</f>
        <v>9.9669843201889621E-3</v>
      </c>
      <c r="I6170">
        <v>9.966984320189002E-3</v>
      </c>
    </row>
    <row r="6171" spans="1:9" x14ac:dyDescent="0.25">
      <c r="A6171">
        <v>336</v>
      </c>
      <c r="B6171" t="s">
        <v>2305</v>
      </c>
      <c r="C6171" t="s">
        <v>10</v>
      </c>
      <c r="D6171" t="s">
        <v>331</v>
      </c>
      <c r="E6171">
        <f>4/193</f>
        <v>2.072538860103627E-2</v>
      </c>
      <c r="F6171">
        <v>130</v>
      </c>
      <c r="G6171">
        <f>LOG(382/(130+1))</f>
        <v>0.46479206725594452</v>
      </c>
      <c r="H6171">
        <f>0.0207253886010362*1.07022328540542</f>
        <v>2.2180793479905005E-2</v>
      </c>
      <c r="I6171">
        <v>2.2180793479905151E-2</v>
      </c>
    </row>
    <row r="6172" spans="1:9" x14ac:dyDescent="0.25">
      <c r="A6172">
        <v>336</v>
      </c>
      <c r="B6172" t="s">
        <v>2305</v>
      </c>
      <c r="C6172" t="s">
        <v>10</v>
      </c>
      <c r="D6172" t="s">
        <v>2306</v>
      </c>
      <c r="E6172">
        <f>1/193</f>
        <v>5.1813471502590676E-3</v>
      </c>
      <c r="F6172">
        <v>1</v>
      </c>
      <c r="G6172">
        <f>LOG(382/(1+1))</f>
        <v>2.2810333672477277</v>
      </c>
      <c r="H6172">
        <f>0.00518134715025906*5.25227342804663</f>
        <v>2.7213851958790787E-2</v>
      </c>
      <c r="I6172">
        <v>2.7213851958790829E-2</v>
      </c>
    </row>
    <row r="6173" spans="1:9" x14ac:dyDescent="0.25">
      <c r="A6173">
        <v>336</v>
      </c>
      <c r="B6173" t="s">
        <v>2305</v>
      </c>
      <c r="C6173" t="s">
        <v>10</v>
      </c>
      <c r="D6173" t="s">
        <v>2307</v>
      </c>
      <c r="E6173">
        <f>3/193</f>
        <v>1.5544041450777202E-2</v>
      </c>
      <c r="F6173">
        <v>1</v>
      </c>
      <c r="G6173">
        <f>LOG(382/(1+1))</f>
        <v>2.2810333672477277</v>
      </c>
      <c r="H6173">
        <f>0.0155440414507772*5.25227342804663</f>
        <v>8.1641555876372479E-2</v>
      </c>
      <c r="I6173">
        <v>8.1641555876372479E-2</v>
      </c>
    </row>
    <row r="6174" spans="1:9" x14ac:dyDescent="0.25">
      <c r="A6174">
        <v>336</v>
      </c>
      <c r="B6174" t="s">
        <v>2305</v>
      </c>
      <c r="C6174" t="s">
        <v>10</v>
      </c>
      <c r="D6174" t="s">
        <v>42</v>
      </c>
      <c r="E6174">
        <f>1/193</f>
        <v>5.1813471502590676E-3</v>
      </c>
      <c r="F6174">
        <v>251</v>
      </c>
      <c r="G6174">
        <f>LOG(382/(251+1))</f>
        <v>0.18066282213016463</v>
      </c>
      <c r="H6174">
        <f>0.00518134715025906*0.415991521095151</f>
        <v>2.1553964823582922E-3</v>
      </c>
      <c r="I6174">
        <v>2.1553964823583E-3</v>
      </c>
    </row>
    <row r="6175" spans="1:9" x14ac:dyDescent="0.25">
      <c r="A6175">
        <v>336</v>
      </c>
      <c r="B6175" t="s">
        <v>2305</v>
      </c>
      <c r="C6175" t="s">
        <v>10</v>
      </c>
      <c r="D6175" t="s">
        <v>15</v>
      </c>
      <c r="E6175">
        <f>2/193</f>
        <v>1.0362694300518135E-2</v>
      </c>
      <c r="F6175">
        <v>112</v>
      </c>
      <c r="G6175">
        <f>LOG(382/(112+1))</f>
        <v>0.52898491942828896</v>
      </c>
      <c r="H6175">
        <f>0.0103626943005181*1.21803278989423</f>
        <v>1.2622101449681098E-2</v>
      </c>
      <c r="I6175">
        <v>1.262210144968119E-2</v>
      </c>
    </row>
    <row r="6176" spans="1:9" x14ac:dyDescent="0.25">
      <c r="A6176">
        <v>336</v>
      </c>
      <c r="B6176" t="s">
        <v>2305</v>
      </c>
      <c r="C6176" t="s">
        <v>10</v>
      </c>
      <c r="D6176" t="s">
        <v>2308</v>
      </c>
      <c r="E6176">
        <f>1/193</f>
        <v>5.1813471502590676E-3</v>
      </c>
      <c r="F6176">
        <v>3</v>
      </c>
      <c r="G6176">
        <f>LOG(382/(3+1))</f>
        <v>1.9800033715837464</v>
      </c>
      <c r="H6176">
        <f>0.00518134715025906*4.55912624748668</f>
        <v>2.3622415790086389E-2</v>
      </c>
      <c r="I6176">
        <v>2.3622415790086448E-2</v>
      </c>
    </row>
    <row r="6177" spans="1:9" x14ac:dyDescent="0.25">
      <c r="A6177">
        <v>336</v>
      </c>
      <c r="B6177" t="s">
        <v>2305</v>
      </c>
      <c r="C6177" t="s">
        <v>10</v>
      </c>
      <c r="D6177" t="s">
        <v>2309</v>
      </c>
      <c r="E6177">
        <f>2/193</f>
        <v>1.0362694300518135E-2</v>
      </c>
      <c r="F6177">
        <v>2</v>
      </c>
      <c r="G6177">
        <f>LOG(382/(2+1))</f>
        <v>2.1049421081920463</v>
      </c>
      <c r="H6177">
        <f>0.0103626943005181*4.84680831993846</f>
        <v>5.0225992952729989E-2</v>
      </c>
      <c r="I6177">
        <v>5.0225992952730211E-2</v>
      </c>
    </row>
    <row r="6178" spans="1:9" x14ac:dyDescent="0.25">
      <c r="A6178">
        <v>336</v>
      </c>
      <c r="B6178" t="s">
        <v>2305</v>
      </c>
      <c r="C6178" t="s">
        <v>10</v>
      </c>
      <c r="D6178" t="s">
        <v>17</v>
      </c>
      <c r="E6178">
        <f>1/193</f>
        <v>5.1813471502590676E-3</v>
      </c>
      <c r="F6178">
        <v>169</v>
      </c>
      <c r="G6178">
        <f>LOG(382/(169+1))</f>
        <v>0.3516144415334348</v>
      </c>
      <c r="H6178">
        <f>0.00518134715025906*0.809622171556313</f>
        <v>4.1949335313798538E-3</v>
      </c>
      <c r="I6178">
        <v>4.1949335313798634E-3</v>
      </c>
    </row>
    <row r="6179" spans="1:9" x14ac:dyDescent="0.25">
      <c r="A6179">
        <v>336</v>
      </c>
      <c r="B6179" t="s">
        <v>2305</v>
      </c>
      <c r="C6179" t="s">
        <v>10</v>
      </c>
      <c r="D6179" t="s">
        <v>573</v>
      </c>
      <c r="E6179">
        <f>1/193</f>
        <v>5.1813471502590676E-3</v>
      </c>
      <c r="F6179">
        <v>14</v>
      </c>
      <c r="G6179">
        <f>LOG(382/(14+1))</f>
        <v>1.4059721038560276</v>
      </c>
      <c r="H6179">
        <f>0.00518134715025906*3.23737040750436</f>
        <v>1.6773939935255725E-2</v>
      </c>
      <c r="I6179">
        <v>1.6773939935255781E-2</v>
      </c>
    </row>
    <row r="6180" spans="1:9" x14ac:dyDescent="0.25">
      <c r="A6180">
        <v>336</v>
      </c>
      <c r="B6180" t="s">
        <v>2305</v>
      </c>
      <c r="C6180" t="s">
        <v>10</v>
      </c>
      <c r="D6180" t="s">
        <v>19</v>
      </c>
      <c r="E6180">
        <f>2/193</f>
        <v>1.0362694300518135E-2</v>
      </c>
      <c r="F6180">
        <v>220</v>
      </c>
      <c r="G6180">
        <f>LOG(382/(220+1))</f>
        <v>0.23767108922659805</v>
      </c>
      <c r="H6180">
        <f>0.0103626943005181*0.547257907088822</f>
        <v>5.6710663947028006E-3</v>
      </c>
      <c r="I6180">
        <v>5.6710663947028232E-3</v>
      </c>
    </row>
    <row r="6181" spans="1:9" x14ac:dyDescent="0.25">
      <c r="A6181">
        <v>336</v>
      </c>
      <c r="B6181" t="s">
        <v>2305</v>
      </c>
      <c r="C6181" t="s">
        <v>10</v>
      </c>
      <c r="D6181" t="s">
        <v>44</v>
      </c>
      <c r="E6181">
        <f>2/193</f>
        <v>1.0362694300518135E-2</v>
      </c>
      <c r="F6181">
        <v>151</v>
      </c>
      <c r="G6181">
        <f>LOG(382/(151+1))</f>
        <v>0.40021977496693617</v>
      </c>
      <c r="H6181">
        <f>0.0103626943005181*0.921540087760298</f>
        <v>9.5496382151325915E-3</v>
      </c>
      <c r="I6181">
        <v>9.5496382151326296E-3</v>
      </c>
    </row>
    <row r="6182" spans="1:9" x14ac:dyDescent="0.25">
      <c r="A6182">
        <v>336</v>
      </c>
      <c r="B6182" t="s">
        <v>2305</v>
      </c>
      <c r="C6182" t="s">
        <v>10</v>
      </c>
      <c r="D6182" t="s">
        <v>22</v>
      </c>
      <c r="E6182">
        <f>1/193</f>
        <v>5.1813471502590676E-3</v>
      </c>
      <c r="F6182">
        <v>259</v>
      </c>
      <c r="G6182">
        <f>LOG(382/(259+1))</f>
        <v>0.16709001494089079</v>
      </c>
      <c r="H6182">
        <f>0.00518134715025906*0.384738977591047</f>
        <v>1.9934662051349556E-3</v>
      </c>
      <c r="I6182">
        <v>1.9934662051349608E-3</v>
      </c>
    </row>
    <row r="6183" spans="1:9" x14ac:dyDescent="0.25">
      <c r="A6183">
        <v>336</v>
      </c>
      <c r="B6183" t="s">
        <v>2305</v>
      </c>
      <c r="C6183" t="s">
        <v>10</v>
      </c>
      <c r="D6183" t="s">
        <v>23</v>
      </c>
      <c r="E6183">
        <f>2/193</f>
        <v>1.0362694300518135E-2</v>
      </c>
      <c r="F6183">
        <v>275</v>
      </c>
      <c r="G6183">
        <f>LOG(382/(275+1))</f>
        <v>0.14115428084649101</v>
      </c>
      <c r="H6183">
        <f>0.0103626943005181*0.325019742889425</f>
        <v>3.3680802371961025E-3</v>
      </c>
      <c r="I6183">
        <v>3.368080237196115E-3</v>
      </c>
    </row>
    <row r="6184" spans="1:9" x14ac:dyDescent="0.25">
      <c r="A6184">
        <v>336</v>
      </c>
      <c r="B6184" t="s">
        <v>2305</v>
      </c>
      <c r="C6184" t="s">
        <v>10</v>
      </c>
      <c r="D6184" t="s">
        <v>2310</v>
      </c>
      <c r="E6184">
        <f>1/193</f>
        <v>5.1813471502590676E-3</v>
      </c>
      <c r="F6184">
        <v>1</v>
      </c>
      <c r="G6184">
        <f>LOG(382/(1+1))</f>
        <v>2.2810333672477277</v>
      </c>
      <c r="H6184">
        <f>0.00518134715025906*5.25227342804663</f>
        <v>2.7213851958790787E-2</v>
      </c>
      <c r="I6184">
        <v>2.7213851958790829E-2</v>
      </c>
    </row>
    <row r="6185" spans="1:9" x14ac:dyDescent="0.25">
      <c r="A6185">
        <v>336</v>
      </c>
      <c r="B6185" t="s">
        <v>2305</v>
      </c>
      <c r="C6185" t="s">
        <v>10</v>
      </c>
      <c r="D6185" t="s">
        <v>1857</v>
      </c>
      <c r="E6185">
        <f>4/193</f>
        <v>2.072538860103627E-2</v>
      </c>
      <c r="F6185">
        <v>17</v>
      </c>
      <c r="G6185">
        <f>LOG(382/(17+1))</f>
        <v>1.3267908578084027</v>
      </c>
      <c r="H6185">
        <f>0.0207253886010362*3.05504885071041</f>
        <v>6.331707462612228E-2</v>
      </c>
      <c r="I6185">
        <v>6.3317074626122502E-2</v>
      </c>
    </row>
    <row r="6186" spans="1:9" x14ac:dyDescent="0.25">
      <c r="A6186">
        <v>336</v>
      </c>
      <c r="B6186" t="s">
        <v>2305</v>
      </c>
      <c r="C6186" t="s">
        <v>10</v>
      </c>
      <c r="D6186" t="s">
        <v>65</v>
      </c>
      <c r="E6186">
        <f>1/193</f>
        <v>5.1813471502590676E-3</v>
      </c>
      <c r="F6186">
        <v>32</v>
      </c>
      <c r="G6186">
        <f>LOG(382/(32+1))</f>
        <v>1.0635494230338212</v>
      </c>
      <c r="H6186">
        <f>0.00518134715025906*2.44891304714009</f>
        <v>1.2688668638031537E-2</v>
      </c>
      <c r="I6186">
        <v>1.2688668638031581E-2</v>
      </c>
    </row>
    <row r="6187" spans="1:9" x14ac:dyDescent="0.25">
      <c r="A6187">
        <v>336</v>
      </c>
      <c r="B6187" t="s">
        <v>2305</v>
      </c>
      <c r="C6187" t="s">
        <v>10</v>
      </c>
      <c r="D6187" t="s">
        <v>40</v>
      </c>
      <c r="E6187">
        <f>3/193</f>
        <v>1.5544041450777202E-2</v>
      </c>
      <c r="F6187">
        <v>159</v>
      </c>
      <c r="G6187">
        <f>LOG(382/(159+1))</f>
        <v>0.377943380255784</v>
      </c>
      <c r="H6187">
        <f>0.0155440414507772*0.870246793372748</f>
        <v>1.3527152228591936E-2</v>
      </c>
      <c r="I6187">
        <v>1.3527152228591939E-2</v>
      </c>
    </row>
    <row r="6188" spans="1:9" x14ac:dyDescent="0.25">
      <c r="A6188">
        <v>336</v>
      </c>
      <c r="B6188" t="s">
        <v>2305</v>
      </c>
      <c r="C6188" t="s">
        <v>10</v>
      </c>
      <c r="D6188" t="s">
        <v>41</v>
      </c>
      <c r="E6188">
        <f>3/193</f>
        <v>1.5544041450777202E-2</v>
      </c>
      <c r="F6188">
        <v>195</v>
      </c>
      <c r="G6188">
        <f>LOG(382/(195+1))</f>
        <v>0.28980729155523272</v>
      </c>
      <c r="H6188">
        <f>0.0155440414507772*0.667305949376058</f>
        <v>1.0372631337451678E-2</v>
      </c>
      <c r="I6188">
        <v>1.037263133745168E-2</v>
      </c>
    </row>
    <row r="6189" spans="1:9" x14ac:dyDescent="0.25">
      <c r="A6189">
        <v>336</v>
      </c>
      <c r="B6189" t="s">
        <v>2305</v>
      </c>
      <c r="C6189" t="s">
        <v>10</v>
      </c>
      <c r="D6189" t="s">
        <v>1952</v>
      </c>
      <c r="E6189">
        <f>6/193</f>
        <v>3.1088082901554404E-2</v>
      </c>
      <c r="F6189">
        <v>8</v>
      </c>
      <c r="G6189">
        <f>LOG(382/(8+1))</f>
        <v>1.6278208534723839</v>
      </c>
      <c r="H6189">
        <f>0.0310880829015544*3.74819603127035</f>
        <v>0.11652422895140983</v>
      </c>
      <c r="I6189">
        <v>0.11652422895141</v>
      </c>
    </row>
    <row r="6190" spans="1:9" x14ac:dyDescent="0.25">
      <c r="A6190">
        <v>336</v>
      </c>
      <c r="B6190" t="s">
        <v>2305</v>
      </c>
      <c r="C6190" t="s">
        <v>10</v>
      </c>
      <c r="D6190" t="s">
        <v>1730</v>
      </c>
      <c r="E6190">
        <f>3/193</f>
        <v>1.5544041450777202E-2</v>
      </c>
      <c r="F6190">
        <v>35</v>
      </c>
      <c r="G6190">
        <f>LOG(382/(35+1))</f>
        <v>1.0257608621444214</v>
      </c>
      <c r="H6190">
        <f>0.0155440414507772*2.36190167015046</f>
        <v>3.6713497463478649E-2</v>
      </c>
      <c r="I6190">
        <v>3.6713497463478732E-2</v>
      </c>
    </row>
    <row r="6191" spans="1:9" x14ac:dyDescent="0.25">
      <c r="A6191">
        <v>336</v>
      </c>
      <c r="B6191" t="s">
        <v>2305</v>
      </c>
      <c r="C6191" t="s">
        <v>10</v>
      </c>
      <c r="D6191" t="s">
        <v>2311</v>
      </c>
      <c r="E6191">
        <f t="shared" ref="E6191:E6199" si="275">1/193</f>
        <v>5.1813471502590676E-3</v>
      </c>
      <c r="F6191">
        <v>3</v>
      </c>
      <c r="G6191">
        <f>LOG(382/(3+1))</f>
        <v>1.9800033715837464</v>
      </c>
      <c r="H6191">
        <f>0.00518134715025906*4.55912624748668</f>
        <v>2.3622415790086389E-2</v>
      </c>
      <c r="I6191">
        <v>2.3622415790086448E-2</v>
      </c>
    </row>
    <row r="6192" spans="1:9" x14ac:dyDescent="0.25">
      <c r="A6192">
        <v>336</v>
      </c>
      <c r="B6192" t="s">
        <v>2305</v>
      </c>
      <c r="C6192" t="s">
        <v>10</v>
      </c>
      <c r="D6192" t="s">
        <v>2312</v>
      </c>
      <c r="E6192">
        <f t="shared" si="275"/>
        <v>5.1813471502590676E-3</v>
      </c>
      <c r="F6192">
        <v>1</v>
      </c>
      <c r="G6192">
        <f>LOG(382/(1+1))</f>
        <v>2.2810333672477277</v>
      </c>
      <c r="H6192">
        <f>0.00518134715025906*5.25227342804663</f>
        <v>2.7213851958790787E-2</v>
      </c>
      <c r="I6192">
        <v>2.7213851958790829E-2</v>
      </c>
    </row>
    <row r="6193" spans="1:9" x14ac:dyDescent="0.25">
      <c r="A6193">
        <v>336</v>
      </c>
      <c r="B6193" t="s">
        <v>2305</v>
      </c>
      <c r="C6193" t="s">
        <v>10</v>
      </c>
      <c r="D6193" t="s">
        <v>1665</v>
      </c>
      <c r="E6193">
        <f t="shared" si="275"/>
        <v>5.1813471502590676E-3</v>
      </c>
      <c r="F6193">
        <v>17</v>
      </c>
      <c r="G6193">
        <f>LOG(382/(17+1))</f>
        <v>1.3267908578084027</v>
      </c>
      <c r="H6193">
        <f>0.00518134715025906*3.05504885071041</f>
        <v>1.5829268656530598E-2</v>
      </c>
      <c r="I6193">
        <v>1.5829268656530629E-2</v>
      </c>
    </row>
    <row r="6194" spans="1:9" x14ac:dyDescent="0.25">
      <c r="A6194">
        <v>336</v>
      </c>
      <c r="B6194" t="s">
        <v>2305</v>
      </c>
      <c r="C6194" t="s">
        <v>10</v>
      </c>
      <c r="D6194" t="s">
        <v>1812</v>
      </c>
      <c r="E6194">
        <f t="shared" si="275"/>
        <v>5.1813471502590676E-3</v>
      </c>
      <c r="F6194">
        <v>10</v>
      </c>
      <c r="G6194">
        <f>LOG(382/(10+1))</f>
        <v>1.5406706777534838</v>
      </c>
      <c r="H6194">
        <f>0.00518134715025906*3.5475253358082</f>
        <v>1.838096028916163E-2</v>
      </c>
      <c r="I6194">
        <v>1.8380960289161679E-2</v>
      </c>
    </row>
    <row r="6195" spans="1:9" x14ac:dyDescent="0.25">
      <c r="A6195">
        <v>336</v>
      </c>
      <c r="B6195" t="s">
        <v>2305</v>
      </c>
      <c r="C6195" t="s">
        <v>10</v>
      </c>
      <c r="D6195" t="s">
        <v>916</v>
      </c>
      <c r="E6195">
        <f t="shared" si="275"/>
        <v>5.1813471502590676E-3</v>
      </c>
      <c r="F6195">
        <v>4</v>
      </c>
      <c r="G6195">
        <f>LOG(382/(4+1))</f>
        <v>1.8830933585756899</v>
      </c>
      <c r="H6195">
        <f>0.00518134715025906*4.33598269617247</f>
        <v>2.2466231586385825E-2</v>
      </c>
      <c r="I6195">
        <v>2.2466231586385881E-2</v>
      </c>
    </row>
    <row r="6196" spans="1:9" x14ac:dyDescent="0.25">
      <c r="A6196">
        <v>336</v>
      </c>
      <c r="B6196" t="s">
        <v>2305</v>
      </c>
      <c r="C6196" t="s">
        <v>10</v>
      </c>
      <c r="D6196" t="s">
        <v>528</v>
      </c>
      <c r="E6196">
        <f t="shared" si="275"/>
        <v>5.1813471502590676E-3</v>
      </c>
      <c r="F6196">
        <v>9</v>
      </c>
      <c r="G6196">
        <f>LOG(382/(9+1))</f>
        <v>1.5820633629117087</v>
      </c>
      <c r="H6196">
        <f>0.00518134715025906*3.64283551561252</f>
        <v>1.8874795417681424E-2</v>
      </c>
      <c r="I6196">
        <v>1.88747954176815E-2</v>
      </c>
    </row>
    <row r="6197" spans="1:9" x14ac:dyDescent="0.25">
      <c r="A6197">
        <v>336</v>
      </c>
      <c r="B6197" t="s">
        <v>2305</v>
      </c>
      <c r="C6197" t="s">
        <v>10</v>
      </c>
      <c r="D6197" t="s">
        <v>25</v>
      </c>
      <c r="E6197">
        <f t="shared" si="275"/>
        <v>5.1813471502590676E-3</v>
      </c>
      <c r="F6197">
        <v>106</v>
      </c>
      <c r="G6197">
        <f>LOG(382/(106+1))</f>
        <v>0.55267958522649907</v>
      </c>
      <c r="H6197">
        <f>0.00518134715025906*1.27259177414466</f>
        <v>6.593739762407555E-3</v>
      </c>
      <c r="I6197">
        <v>6.5937397624076122E-3</v>
      </c>
    </row>
    <row r="6198" spans="1:9" x14ac:dyDescent="0.25">
      <c r="A6198">
        <v>336</v>
      </c>
      <c r="B6198" t="s">
        <v>2305</v>
      </c>
      <c r="C6198" t="s">
        <v>10</v>
      </c>
      <c r="D6198" t="s">
        <v>2313</v>
      </c>
      <c r="E6198">
        <f t="shared" si="275"/>
        <v>5.1813471502590676E-3</v>
      </c>
      <c r="F6198">
        <v>1</v>
      </c>
      <c r="G6198">
        <f>LOG(382/(1+1))</f>
        <v>2.2810333672477277</v>
      </c>
      <c r="H6198">
        <f>0.00518134715025906*5.25227342804663</f>
        <v>2.7213851958790787E-2</v>
      </c>
      <c r="I6198">
        <v>2.7213851958790829E-2</v>
      </c>
    </row>
    <row r="6199" spans="1:9" x14ac:dyDescent="0.25">
      <c r="A6199">
        <v>336</v>
      </c>
      <c r="B6199" t="s">
        <v>2305</v>
      </c>
      <c r="C6199" t="s">
        <v>10</v>
      </c>
      <c r="D6199" t="s">
        <v>237</v>
      </c>
      <c r="E6199">
        <f t="shared" si="275"/>
        <v>5.1813471502590676E-3</v>
      </c>
      <c r="F6199">
        <v>138</v>
      </c>
      <c r="G6199">
        <f>LOG(382/(138+1))</f>
        <v>0.43904856265761361</v>
      </c>
      <c r="H6199">
        <f>0.00518134715025906*1.01094667547588</f>
        <v>5.2380656760408215E-3</v>
      </c>
      <c r="I6199">
        <v>5.2380656760408466E-3</v>
      </c>
    </row>
    <row r="6200" spans="1:9" x14ac:dyDescent="0.25">
      <c r="A6200">
        <v>336</v>
      </c>
      <c r="B6200" t="s">
        <v>2305</v>
      </c>
      <c r="C6200" t="s">
        <v>10</v>
      </c>
      <c r="D6200" t="s">
        <v>133</v>
      </c>
      <c r="E6200">
        <f>2/193</f>
        <v>1.0362694300518135E-2</v>
      </c>
      <c r="F6200">
        <v>142</v>
      </c>
      <c r="G6200">
        <f>LOG(382/(142+1))</f>
        <v>0.42672732544664693</v>
      </c>
      <c r="H6200">
        <f>0.0103626943005181*0.982575978346667</f>
        <v>1.0182134490639002E-2</v>
      </c>
      <c r="I6200">
        <v>1.0182134490639049E-2</v>
      </c>
    </row>
    <row r="6201" spans="1:9" x14ac:dyDescent="0.25">
      <c r="A6201">
        <v>336</v>
      </c>
      <c r="B6201" t="s">
        <v>2305</v>
      </c>
      <c r="C6201" t="s">
        <v>10</v>
      </c>
      <c r="D6201" t="s">
        <v>2314</v>
      </c>
      <c r="E6201">
        <f>1/193</f>
        <v>5.1813471502590676E-3</v>
      </c>
      <c r="F6201">
        <v>1</v>
      </c>
      <c r="G6201">
        <f>LOG(382/(1+1))</f>
        <v>2.2810333672477277</v>
      </c>
      <c r="H6201">
        <f>0.00518134715025906*5.25227342804663</f>
        <v>2.7213851958790787E-2</v>
      </c>
      <c r="I6201">
        <v>2.7213851958790829E-2</v>
      </c>
    </row>
    <row r="6202" spans="1:9" x14ac:dyDescent="0.25">
      <c r="A6202">
        <v>336</v>
      </c>
      <c r="B6202" t="s">
        <v>2305</v>
      </c>
      <c r="C6202" t="s">
        <v>10</v>
      </c>
      <c r="D6202" t="s">
        <v>2211</v>
      </c>
      <c r="E6202">
        <f>2/193</f>
        <v>1.0362694300518135E-2</v>
      </c>
      <c r="F6202">
        <v>9</v>
      </c>
      <c r="G6202">
        <f>LOG(382/(9+1))</f>
        <v>1.5820633629117087</v>
      </c>
      <c r="H6202">
        <f>0.0103626943005181*3.64283551561252</f>
        <v>3.7749590835362778E-2</v>
      </c>
      <c r="I6202">
        <v>3.7749590835363001E-2</v>
      </c>
    </row>
    <row r="6203" spans="1:9" x14ac:dyDescent="0.25">
      <c r="A6203">
        <v>336</v>
      </c>
      <c r="B6203" t="s">
        <v>2305</v>
      </c>
      <c r="C6203" t="s">
        <v>10</v>
      </c>
      <c r="D6203" t="s">
        <v>2315</v>
      </c>
      <c r="E6203">
        <f>2/193</f>
        <v>1.0362694300518135E-2</v>
      </c>
      <c r="F6203">
        <v>1</v>
      </c>
      <c r="G6203">
        <f>LOG(382/(1+1))</f>
        <v>2.2810333672477277</v>
      </c>
      <c r="H6203">
        <f>0.0103626943005181*5.25227342804663</f>
        <v>5.4427703917581477E-2</v>
      </c>
      <c r="I6203">
        <v>5.4427703917581657E-2</v>
      </c>
    </row>
    <row r="6204" spans="1:9" x14ac:dyDescent="0.25">
      <c r="A6204">
        <v>336</v>
      </c>
      <c r="B6204" t="s">
        <v>2305</v>
      </c>
      <c r="C6204" t="s">
        <v>10</v>
      </c>
      <c r="D6204" t="s">
        <v>2316</v>
      </c>
      <c r="E6204">
        <f t="shared" ref="E6204:E6210" si="276">1/193</f>
        <v>5.1813471502590676E-3</v>
      </c>
      <c r="F6204">
        <v>1</v>
      </c>
      <c r="G6204">
        <f>LOG(382/(1+1))</f>
        <v>2.2810333672477277</v>
      </c>
      <c r="H6204">
        <f>0.00518134715025906*5.25227342804663</f>
        <v>2.7213851958790787E-2</v>
      </c>
      <c r="I6204">
        <v>2.7213851958790829E-2</v>
      </c>
    </row>
    <row r="6205" spans="1:9" x14ac:dyDescent="0.25">
      <c r="A6205">
        <v>336</v>
      </c>
      <c r="B6205" t="s">
        <v>2305</v>
      </c>
      <c r="C6205" t="s">
        <v>10</v>
      </c>
      <c r="D6205" t="s">
        <v>2317</v>
      </c>
      <c r="E6205">
        <f t="shared" si="276"/>
        <v>5.1813471502590676E-3</v>
      </c>
      <c r="F6205">
        <v>2</v>
      </c>
      <c r="G6205">
        <f>LOG(382/(2+1))</f>
        <v>2.1049421081920463</v>
      </c>
      <c r="H6205">
        <f>0.00518134715025906*4.84680831993846</f>
        <v>2.511299647636504E-2</v>
      </c>
      <c r="I6205">
        <v>2.5112996476365109E-2</v>
      </c>
    </row>
    <row r="6206" spans="1:9" x14ac:dyDescent="0.25">
      <c r="A6206">
        <v>336</v>
      </c>
      <c r="B6206" t="s">
        <v>2305</v>
      </c>
      <c r="C6206" t="s">
        <v>10</v>
      </c>
      <c r="D6206" t="s">
        <v>1743</v>
      </c>
      <c r="E6206">
        <f t="shared" si="276"/>
        <v>5.1813471502590676E-3</v>
      </c>
      <c r="F6206">
        <v>3</v>
      </c>
      <c r="G6206">
        <f>LOG(382/(3+1))</f>
        <v>1.9800033715837464</v>
      </c>
      <c r="H6206">
        <f>0.00518134715025906*4.55912624748668</f>
        <v>2.3622415790086389E-2</v>
      </c>
      <c r="I6206">
        <v>2.3622415790086448E-2</v>
      </c>
    </row>
    <row r="6207" spans="1:9" x14ac:dyDescent="0.25">
      <c r="A6207">
        <v>336</v>
      </c>
      <c r="B6207" t="s">
        <v>2305</v>
      </c>
      <c r="C6207" t="s">
        <v>10</v>
      </c>
      <c r="D6207" t="s">
        <v>2318</v>
      </c>
      <c r="E6207">
        <f t="shared" si="276"/>
        <v>5.1813471502590676E-3</v>
      </c>
      <c r="F6207">
        <v>2</v>
      </c>
      <c r="G6207">
        <f>LOG(382/(2+1))</f>
        <v>2.1049421081920463</v>
      </c>
      <c r="H6207">
        <f>0.00518134715025906*4.84680831993846</f>
        <v>2.511299647636504E-2</v>
      </c>
      <c r="I6207">
        <v>2.5112996476365109E-2</v>
      </c>
    </row>
    <row r="6208" spans="1:9" x14ac:dyDescent="0.25">
      <c r="A6208">
        <v>336</v>
      </c>
      <c r="B6208" t="s">
        <v>2305</v>
      </c>
      <c r="C6208" t="s">
        <v>10</v>
      </c>
      <c r="D6208" t="s">
        <v>417</v>
      </c>
      <c r="E6208">
        <f t="shared" si="276"/>
        <v>5.1813471502590676E-3</v>
      </c>
      <c r="F6208">
        <v>7</v>
      </c>
      <c r="G6208">
        <f>LOG(382/(7+1))</f>
        <v>1.6789733759197651</v>
      </c>
      <c r="H6208">
        <f>0.00518134715025906*3.86597906692673</f>
        <v>2.0030979621381992E-2</v>
      </c>
      <c r="I6208">
        <v>2.0030979621382072E-2</v>
      </c>
    </row>
    <row r="6209" spans="1:9" x14ac:dyDescent="0.25">
      <c r="A6209">
        <v>336</v>
      </c>
      <c r="B6209" t="s">
        <v>2305</v>
      </c>
      <c r="C6209" t="s">
        <v>10</v>
      </c>
      <c r="D6209" t="s">
        <v>2319</v>
      </c>
      <c r="E6209">
        <f t="shared" si="276"/>
        <v>5.1813471502590676E-3</v>
      </c>
      <c r="F6209">
        <v>1</v>
      </c>
      <c r="G6209">
        <f>LOG(382/(1+1))</f>
        <v>2.2810333672477277</v>
      </c>
      <c r="H6209">
        <f>0.00518134715025906*5.25227342804663</f>
        <v>2.7213851958790787E-2</v>
      </c>
      <c r="I6209">
        <v>2.7213851958790829E-2</v>
      </c>
    </row>
    <row r="6210" spans="1:9" x14ac:dyDescent="0.25">
      <c r="A6210">
        <v>336</v>
      </c>
      <c r="B6210" t="s">
        <v>2305</v>
      </c>
      <c r="C6210" t="s">
        <v>10</v>
      </c>
      <c r="D6210" t="s">
        <v>2320</v>
      </c>
      <c r="E6210">
        <f t="shared" si="276"/>
        <v>5.1813471502590676E-3</v>
      </c>
      <c r="F6210">
        <v>2</v>
      </c>
      <c r="G6210">
        <f>LOG(382/(2+1))</f>
        <v>2.1049421081920463</v>
      </c>
      <c r="H6210">
        <f>0.00518134715025906*4.84680831993846</f>
        <v>2.511299647636504E-2</v>
      </c>
      <c r="I6210">
        <v>2.5112996476365109E-2</v>
      </c>
    </row>
    <row r="6211" spans="1:9" x14ac:dyDescent="0.25">
      <c r="A6211">
        <v>336</v>
      </c>
      <c r="B6211" t="s">
        <v>2305</v>
      </c>
      <c r="C6211" t="s">
        <v>10</v>
      </c>
      <c r="D6211" t="s">
        <v>81</v>
      </c>
      <c r="E6211">
        <f>2/193</f>
        <v>1.0362694300518135E-2</v>
      </c>
      <c r="F6211">
        <v>114</v>
      </c>
      <c r="G6211">
        <f>LOG(382/(114+1))</f>
        <v>0.52136552255809698</v>
      </c>
      <c r="H6211">
        <f>0.0103626943005181*1.20048848024332</f>
        <v>1.2440295132055088E-2</v>
      </c>
      <c r="I6211">
        <v>1.244029513205518E-2</v>
      </c>
    </row>
    <row r="6212" spans="1:9" x14ac:dyDescent="0.25">
      <c r="A6212">
        <v>336</v>
      </c>
      <c r="B6212" t="s">
        <v>2305</v>
      </c>
      <c r="C6212" t="s">
        <v>10</v>
      </c>
      <c r="D6212" t="s">
        <v>767</v>
      </c>
      <c r="E6212">
        <f>2/193</f>
        <v>1.0362694300518135E-2</v>
      </c>
      <c r="F6212">
        <v>47</v>
      </c>
      <c r="G6212">
        <f>LOG(382/(47+1))</f>
        <v>0.90082212553612151</v>
      </c>
      <c r="H6212">
        <f>0.0103626943005181*2.07421959769868</f>
        <v>2.1494503603095058E-2</v>
      </c>
      <c r="I6212">
        <v>2.1494503603095169E-2</v>
      </c>
    </row>
    <row r="6213" spans="1:9" x14ac:dyDescent="0.25">
      <c r="A6213">
        <v>336</v>
      </c>
      <c r="B6213" t="s">
        <v>2305</v>
      </c>
      <c r="C6213" t="s">
        <v>10</v>
      </c>
      <c r="D6213" t="s">
        <v>88</v>
      </c>
      <c r="E6213">
        <f>3/193</f>
        <v>1.5544041450777202E-2</v>
      </c>
      <c r="F6213">
        <v>13</v>
      </c>
      <c r="G6213">
        <f>LOG(382/(13+1))</f>
        <v>1.4359353272334707</v>
      </c>
      <c r="H6213">
        <f>0.0155440414507772*3.30636327899131</f>
        <v>5.1394247859968545E-2</v>
      </c>
      <c r="I6213">
        <v>5.1394247859968649E-2</v>
      </c>
    </row>
    <row r="6214" spans="1:9" x14ac:dyDescent="0.25">
      <c r="A6214">
        <v>336</v>
      </c>
      <c r="B6214" t="s">
        <v>2305</v>
      </c>
      <c r="C6214" t="s">
        <v>10</v>
      </c>
      <c r="D6214" t="s">
        <v>2321</v>
      </c>
      <c r="E6214">
        <f>2/193</f>
        <v>1.0362694300518135E-2</v>
      </c>
      <c r="F6214">
        <v>1</v>
      </c>
      <c r="G6214">
        <f>LOG(382/(1+1))</f>
        <v>2.2810333672477277</v>
      </c>
      <c r="H6214">
        <f>0.0103626943005181*5.25227342804663</f>
        <v>5.4427703917581477E-2</v>
      </c>
      <c r="I6214">
        <v>5.4427703917581657E-2</v>
      </c>
    </row>
    <row r="6215" spans="1:9" x14ac:dyDescent="0.25">
      <c r="A6215">
        <v>336</v>
      </c>
      <c r="B6215" t="s">
        <v>2305</v>
      </c>
      <c r="C6215" t="s">
        <v>10</v>
      </c>
      <c r="D6215" t="s">
        <v>1899</v>
      </c>
      <c r="E6215">
        <f>1/193</f>
        <v>5.1813471502590676E-3</v>
      </c>
      <c r="F6215">
        <v>2</v>
      </c>
      <c r="G6215">
        <f>LOG(382/(2+1))</f>
        <v>2.1049421081920463</v>
      </c>
      <c r="H6215">
        <f>0.00518134715025906*4.84680831993846</f>
        <v>2.511299647636504E-2</v>
      </c>
      <c r="I6215">
        <v>2.5112996476365109E-2</v>
      </c>
    </row>
    <row r="6216" spans="1:9" x14ac:dyDescent="0.25">
      <c r="A6216">
        <v>336</v>
      </c>
      <c r="B6216" t="s">
        <v>2305</v>
      </c>
      <c r="C6216" t="s">
        <v>10</v>
      </c>
      <c r="D6216" t="s">
        <v>1418</v>
      </c>
      <c r="E6216">
        <f>1/193</f>
        <v>5.1813471502590676E-3</v>
      </c>
      <c r="F6216">
        <v>6</v>
      </c>
      <c r="G6216">
        <f>LOG(382/(6+1))</f>
        <v>1.736965322897452</v>
      </c>
      <c r="H6216">
        <f>0.00518134715025906*3.99951045955126</f>
        <v>2.0722852122027225E-2</v>
      </c>
      <c r="I6216">
        <v>2.072285212202726E-2</v>
      </c>
    </row>
    <row r="6217" spans="1:9" x14ac:dyDescent="0.25">
      <c r="A6217">
        <v>336</v>
      </c>
      <c r="B6217" t="s">
        <v>2305</v>
      </c>
      <c r="C6217" t="s">
        <v>10</v>
      </c>
      <c r="D6217" t="s">
        <v>1727</v>
      </c>
      <c r="E6217">
        <f>2/193</f>
        <v>1.0362694300518135E-2</v>
      </c>
      <c r="F6217">
        <v>27</v>
      </c>
      <c r="G6217">
        <f>LOG(382/(27+1))</f>
        <v>1.1349053315694895</v>
      </c>
      <c r="H6217">
        <f>0.0103626943005181*2.61321609843137</f>
        <v>2.7079959569236908E-2</v>
      </c>
      <c r="I6217">
        <v>2.7079959569237009E-2</v>
      </c>
    </row>
    <row r="6218" spans="1:9" x14ac:dyDescent="0.25">
      <c r="A6218">
        <v>336</v>
      </c>
      <c r="B6218" t="s">
        <v>2305</v>
      </c>
      <c r="C6218" t="s">
        <v>10</v>
      </c>
      <c r="D6218" t="s">
        <v>1384</v>
      </c>
      <c r="E6218">
        <f>2/193</f>
        <v>1.0362694300518135E-2</v>
      </c>
      <c r="F6218">
        <v>3</v>
      </c>
      <c r="G6218">
        <f>LOG(382/(3+1))</f>
        <v>1.9800033715837464</v>
      </c>
      <c r="H6218">
        <f>0.0103626943005181*4.55912624748668</f>
        <v>4.7244831580172696E-2</v>
      </c>
      <c r="I6218">
        <v>4.7244831580172897E-2</v>
      </c>
    </row>
    <row r="6219" spans="1:9" x14ac:dyDescent="0.25">
      <c r="A6219">
        <v>336</v>
      </c>
      <c r="B6219" t="s">
        <v>2305</v>
      </c>
      <c r="C6219" t="s">
        <v>10</v>
      </c>
      <c r="D6219" t="s">
        <v>322</v>
      </c>
      <c r="E6219">
        <f>3/193</f>
        <v>1.5544041450777202E-2</v>
      </c>
      <c r="F6219">
        <v>128</v>
      </c>
      <c r="G6219">
        <f>LOG(382/(128+1))</f>
        <v>0.47147365261245977</v>
      </c>
      <c r="H6219">
        <f>0.0155440414507772*1.0856082042449</f>
        <v>1.6874738926086527E-2</v>
      </c>
      <c r="I6219">
        <v>1.6874738926086579E-2</v>
      </c>
    </row>
    <row r="6220" spans="1:9" x14ac:dyDescent="0.25">
      <c r="A6220">
        <v>336</v>
      </c>
      <c r="B6220" t="s">
        <v>2305</v>
      </c>
      <c r="C6220" t="s">
        <v>10</v>
      </c>
      <c r="D6220" t="s">
        <v>123</v>
      </c>
      <c r="E6220">
        <f>1/193</f>
        <v>5.1813471502590676E-3</v>
      </c>
      <c r="F6220">
        <v>74</v>
      </c>
      <c r="G6220">
        <f>LOG(382/(74+1))</f>
        <v>0.7070020995200087</v>
      </c>
      <c r="H6220">
        <f>0.00518134715025906*1.62793249507026</f>
        <v>8.4348833941464123E-3</v>
      </c>
      <c r="I6220">
        <v>8.4348833941464488E-3</v>
      </c>
    </row>
    <row r="6221" spans="1:9" x14ac:dyDescent="0.25">
      <c r="A6221">
        <v>336</v>
      </c>
      <c r="B6221" t="s">
        <v>2305</v>
      </c>
      <c r="C6221" t="s">
        <v>10</v>
      </c>
      <c r="D6221" t="s">
        <v>2322</v>
      </c>
      <c r="E6221">
        <f>1/193</f>
        <v>5.1813471502590676E-3</v>
      </c>
      <c r="F6221">
        <v>1</v>
      </c>
      <c r="G6221">
        <f>LOG(382/(1+1))</f>
        <v>2.2810333672477277</v>
      </c>
      <c r="H6221">
        <f>0.00518134715025906*5.25227342804663</f>
        <v>2.7213851958790787E-2</v>
      </c>
      <c r="I6221">
        <v>2.7213851958790829E-2</v>
      </c>
    </row>
    <row r="6222" spans="1:9" x14ac:dyDescent="0.25">
      <c r="A6222">
        <v>336</v>
      </c>
      <c r="B6222" t="s">
        <v>2305</v>
      </c>
      <c r="C6222" t="s">
        <v>10</v>
      </c>
      <c r="D6222" t="s">
        <v>2323</v>
      </c>
      <c r="E6222">
        <f>1/193</f>
        <v>5.1813471502590676E-3</v>
      </c>
      <c r="F6222">
        <v>1</v>
      </c>
      <c r="G6222">
        <f>LOG(382/(1+1))</f>
        <v>2.2810333672477277</v>
      </c>
      <c r="H6222">
        <f>0.00518134715025906*5.25227342804663</f>
        <v>2.7213851958790787E-2</v>
      </c>
      <c r="I6222">
        <v>2.7213851958790829E-2</v>
      </c>
    </row>
    <row r="6223" spans="1:9" x14ac:dyDescent="0.25">
      <c r="A6223">
        <v>336</v>
      </c>
      <c r="B6223" t="s">
        <v>2305</v>
      </c>
      <c r="C6223" t="s">
        <v>10</v>
      </c>
      <c r="D6223" t="s">
        <v>865</v>
      </c>
      <c r="E6223">
        <f>2/193</f>
        <v>1.0362694300518135E-2</v>
      </c>
      <c r="F6223">
        <v>13</v>
      </c>
      <c r="G6223">
        <f>LOG(382/(13+1))</f>
        <v>1.4359353272334707</v>
      </c>
      <c r="H6223">
        <f>0.0103626943005181*3.30636327899131</f>
        <v>3.4262831906645586E-2</v>
      </c>
      <c r="I6223">
        <v>3.4262831906645773E-2</v>
      </c>
    </row>
    <row r="6224" spans="1:9" x14ac:dyDescent="0.25">
      <c r="A6224">
        <v>336</v>
      </c>
      <c r="B6224" t="s">
        <v>2305</v>
      </c>
      <c r="C6224" t="s">
        <v>10</v>
      </c>
      <c r="D6224" t="s">
        <v>863</v>
      </c>
      <c r="E6224">
        <f>1/193</f>
        <v>5.1813471502590676E-3</v>
      </c>
      <c r="F6224">
        <v>14</v>
      </c>
      <c r="G6224">
        <f>LOG(382/(14+1))</f>
        <v>1.4059721038560276</v>
      </c>
      <c r="H6224">
        <f>0.00518134715025906*3.23737040750436</f>
        <v>1.6773939935255725E-2</v>
      </c>
      <c r="I6224">
        <v>1.6773939935255781E-2</v>
      </c>
    </row>
    <row r="6225" spans="1:9" x14ac:dyDescent="0.25">
      <c r="A6225">
        <v>336</v>
      </c>
      <c r="B6225" t="s">
        <v>2305</v>
      </c>
      <c r="C6225" t="s">
        <v>10</v>
      </c>
      <c r="D6225" t="s">
        <v>490</v>
      </c>
      <c r="E6225">
        <f>1/193</f>
        <v>5.1813471502590676E-3</v>
      </c>
      <c r="F6225">
        <v>31</v>
      </c>
      <c r="G6225">
        <f>LOG(382/(31+1))</f>
        <v>1.0769133845918029</v>
      </c>
      <c r="H6225">
        <f>0.00518134715025906*2.47968470580684</f>
        <v>1.2848107283973245E-2</v>
      </c>
      <c r="I6225">
        <v>1.2848107283973309E-2</v>
      </c>
    </row>
    <row r="6226" spans="1:9" x14ac:dyDescent="0.25">
      <c r="A6226">
        <v>336</v>
      </c>
      <c r="B6226" t="s">
        <v>2305</v>
      </c>
      <c r="C6226" t="s">
        <v>10</v>
      </c>
      <c r="D6226" t="s">
        <v>338</v>
      </c>
      <c r="E6226">
        <f>5/193</f>
        <v>2.5906735751295335E-2</v>
      </c>
      <c r="F6226">
        <v>54</v>
      </c>
      <c r="G6226">
        <f>LOG(382/(54+1))</f>
        <v>0.84170067341746491</v>
      </c>
      <c r="H6226">
        <f>0.0259067357512953*1.9380874233741</f>
        <v>5.0209518740261583E-2</v>
      </c>
      <c r="I6226">
        <v>5.020951874026177E-2</v>
      </c>
    </row>
    <row r="6227" spans="1:9" x14ac:dyDescent="0.25">
      <c r="A6227">
        <v>336</v>
      </c>
      <c r="B6227" t="s">
        <v>2305</v>
      </c>
      <c r="C6227" t="s">
        <v>10</v>
      </c>
      <c r="D6227" t="s">
        <v>1809</v>
      </c>
      <c r="E6227">
        <f>2/193</f>
        <v>1.0362694300518135E-2</v>
      </c>
      <c r="F6227">
        <v>3</v>
      </c>
      <c r="G6227">
        <f>LOG(382/(3+1))</f>
        <v>1.9800033715837464</v>
      </c>
      <c r="H6227">
        <f>0.0103626943005181*4.55912624748668</f>
        <v>4.7244831580172696E-2</v>
      </c>
      <c r="I6227">
        <v>4.7244831580172897E-2</v>
      </c>
    </row>
    <row r="6228" spans="1:9" x14ac:dyDescent="0.25">
      <c r="A6228">
        <v>336</v>
      </c>
      <c r="B6228" t="s">
        <v>2305</v>
      </c>
      <c r="C6228" t="s">
        <v>10</v>
      </c>
      <c r="D6228" t="s">
        <v>320</v>
      </c>
      <c r="E6228">
        <f t="shared" ref="E6228:E6233" si="277">1/193</f>
        <v>5.1813471502590676E-3</v>
      </c>
      <c r="F6228">
        <v>2</v>
      </c>
      <c r="G6228">
        <f>LOG(382/(2+1))</f>
        <v>2.1049421081920463</v>
      </c>
      <c r="H6228">
        <f>0.00518134715025906*4.84680831993846</f>
        <v>2.511299647636504E-2</v>
      </c>
      <c r="I6228">
        <v>2.5112996476365109E-2</v>
      </c>
    </row>
    <row r="6229" spans="1:9" x14ac:dyDescent="0.25">
      <c r="A6229">
        <v>336</v>
      </c>
      <c r="B6229" t="s">
        <v>2305</v>
      </c>
      <c r="C6229" t="s">
        <v>10</v>
      </c>
      <c r="D6229" t="s">
        <v>2324</v>
      </c>
      <c r="E6229">
        <f t="shared" si="277"/>
        <v>5.1813471502590676E-3</v>
      </c>
      <c r="F6229">
        <v>1</v>
      </c>
      <c r="G6229">
        <f>LOG(382/(1+1))</f>
        <v>2.2810333672477277</v>
      </c>
      <c r="H6229">
        <f>0.00518134715025906*5.25227342804663</f>
        <v>2.7213851958790787E-2</v>
      </c>
      <c r="I6229">
        <v>2.7213851958790829E-2</v>
      </c>
    </row>
    <row r="6230" spans="1:9" x14ac:dyDescent="0.25">
      <c r="A6230">
        <v>336</v>
      </c>
      <c r="B6230" t="s">
        <v>2305</v>
      </c>
      <c r="C6230" t="s">
        <v>10</v>
      </c>
      <c r="D6230" t="s">
        <v>2325</v>
      </c>
      <c r="E6230">
        <f t="shared" si="277"/>
        <v>5.1813471502590676E-3</v>
      </c>
      <c r="F6230">
        <v>1</v>
      </c>
      <c r="G6230">
        <f>LOG(382/(1+1))</f>
        <v>2.2810333672477277</v>
      </c>
      <c r="H6230">
        <f>0.00518134715025906*5.25227342804663</f>
        <v>2.7213851958790787E-2</v>
      </c>
      <c r="I6230">
        <v>2.7213851958790829E-2</v>
      </c>
    </row>
    <row r="6231" spans="1:9" x14ac:dyDescent="0.25">
      <c r="A6231">
        <v>336</v>
      </c>
      <c r="B6231" t="s">
        <v>2305</v>
      </c>
      <c r="C6231" t="s">
        <v>10</v>
      </c>
      <c r="D6231" t="s">
        <v>2326</v>
      </c>
      <c r="E6231">
        <f t="shared" si="277"/>
        <v>5.1813471502590676E-3</v>
      </c>
      <c r="F6231">
        <v>1</v>
      </c>
      <c r="G6231">
        <f>LOG(382/(1+1))</f>
        <v>2.2810333672477277</v>
      </c>
      <c r="H6231">
        <f>0.00518134715025906*5.25227342804663</f>
        <v>2.7213851958790787E-2</v>
      </c>
      <c r="I6231">
        <v>2.7213851958790829E-2</v>
      </c>
    </row>
    <row r="6232" spans="1:9" x14ac:dyDescent="0.25">
      <c r="A6232">
        <v>336</v>
      </c>
      <c r="B6232" t="s">
        <v>2305</v>
      </c>
      <c r="C6232" t="s">
        <v>10</v>
      </c>
      <c r="D6232" t="s">
        <v>2193</v>
      </c>
      <c r="E6232">
        <f t="shared" si="277"/>
        <v>5.1813471502590676E-3</v>
      </c>
      <c r="F6232">
        <v>4</v>
      </c>
      <c r="G6232">
        <f>LOG(382/(4+1))</f>
        <v>1.8830933585756899</v>
      </c>
      <c r="H6232">
        <f>0.00518134715025906*4.33598269617247</f>
        <v>2.2466231586385825E-2</v>
      </c>
      <c r="I6232">
        <v>2.2466231586385881E-2</v>
      </c>
    </row>
    <row r="6233" spans="1:9" x14ac:dyDescent="0.25">
      <c r="A6233">
        <v>336</v>
      </c>
      <c r="B6233" t="s">
        <v>2305</v>
      </c>
      <c r="C6233" t="s">
        <v>10</v>
      </c>
      <c r="D6233" t="s">
        <v>2327</v>
      </c>
      <c r="E6233">
        <f t="shared" si="277"/>
        <v>5.1813471502590676E-3</v>
      </c>
      <c r="F6233">
        <v>1</v>
      </c>
      <c r="G6233">
        <f>LOG(382/(1+1))</f>
        <v>2.2810333672477277</v>
      </c>
      <c r="H6233">
        <f>0.00518134715025906*5.25227342804663</f>
        <v>2.7213851958790787E-2</v>
      </c>
      <c r="I6233">
        <v>2.7213851958790829E-2</v>
      </c>
    </row>
    <row r="6234" spans="1:9" x14ac:dyDescent="0.25">
      <c r="A6234">
        <v>336</v>
      </c>
      <c r="B6234" t="s">
        <v>2305</v>
      </c>
      <c r="C6234" t="s">
        <v>10</v>
      </c>
      <c r="D6234" t="s">
        <v>1397</v>
      </c>
      <c r="E6234">
        <f>3/193</f>
        <v>1.5544041450777202E-2</v>
      </c>
      <c r="F6234">
        <v>29</v>
      </c>
      <c r="G6234">
        <f>LOG(382/(29+1))</f>
        <v>1.1049421081920463</v>
      </c>
      <c r="H6234">
        <f>0.0155440414507772*2.54422322694442</f>
        <v>3.9547511299654191E-2</v>
      </c>
      <c r="I6234">
        <v>3.9547511299654191E-2</v>
      </c>
    </row>
    <row r="6235" spans="1:9" x14ac:dyDescent="0.25">
      <c r="A6235">
        <v>336</v>
      </c>
      <c r="B6235" t="s">
        <v>2305</v>
      </c>
      <c r="C6235" t="s">
        <v>10</v>
      </c>
      <c r="D6235" t="s">
        <v>78</v>
      </c>
      <c r="E6235">
        <f>2/193</f>
        <v>1.0362694300518135E-2</v>
      </c>
      <c r="F6235">
        <v>122</v>
      </c>
      <c r="G6235">
        <f>LOG(382/(122+1))</f>
        <v>0.49215825147231079</v>
      </c>
      <c r="H6235">
        <f>0.0103626943005181*1.13323625323415</f>
        <v>1.1743380862530012E-2</v>
      </c>
      <c r="I6235">
        <v>1.174338086253013E-2</v>
      </c>
    </row>
    <row r="6236" spans="1:9" x14ac:dyDescent="0.25">
      <c r="A6236">
        <v>336</v>
      </c>
      <c r="B6236" t="s">
        <v>2305</v>
      </c>
      <c r="C6236" t="s">
        <v>10</v>
      </c>
      <c r="D6236" t="s">
        <v>339</v>
      </c>
      <c r="E6236">
        <f>1/193</f>
        <v>5.1813471502590676E-3</v>
      </c>
      <c r="F6236">
        <v>66</v>
      </c>
      <c r="G6236">
        <f>LOG(382/(66+1))</f>
        <v>0.75598856021088234</v>
      </c>
      <c r="H6236">
        <f>0.00518134715025906*1.7407279892156</f>
        <v>9.0193160062984317E-3</v>
      </c>
      <c r="I6236">
        <v>9.0193160062984924E-3</v>
      </c>
    </row>
    <row r="6237" spans="1:9" x14ac:dyDescent="0.25">
      <c r="A6237">
        <v>336</v>
      </c>
      <c r="B6237" t="s">
        <v>2305</v>
      </c>
      <c r="C6237" t="s">
        <v>10</v>
      </c>
      <c r="D6237" t="s">
        <v>144</v>
      </c>
      <c r="E6237">
        <f>2/193</f>
        <v>1.0362694300518135E-2</v>
      </c>
      <c r="F6237">
        <v>105</v>
      </c>
      <c r="G6237">
        <f>LOG(382/(105+1))</f>
        <v>0.55675749764693849</v>
      </c>
      <c r="H6237">
        <f>0.0103626943005181*1.2819815144945</f>
        <v>1.3284782533621716E-2</v>
      </c>
      <c r="I6237">
        <v>1.328478253362184E-2</v>
      </c>
    </row>
    <row r="6238" spans="1:9" x14ac:dyDescent="0.25">
      <c r="A6238">
        <v>336</v>
      </c>
      <c r="B6238" t="s">
        <v>2305</v>
      </c>
      <c r="C6238" t="s">
        <v>10</v>
      </c>
      <c r="D6238" t="s">
        <v>2328</v>
      </c>
      <c r="E6238">
        <f>2/193</f>
        <v>1.0362694300518135E-2</v>
      </c>
      <c r="F6238">
        <v>1</v>
      </c>
      <c r="G6238">
        <f>LOG(382/(1+1))</f>
        <v>2.2810333672477277</v>
      </c>
      <c r="H6238">
        <f>0.0103626943005181*5.25227342804663</f>
        <v>5.4427703917581477E-2</v>
      </c>
      <c r="I6238">
        <v>5.4427703917581657E-2</v>
      </c>
    </row>
    <row r="6239" spans="1:9" x14ac:dyDescent="0.25">
      <c r="A6239">
        <v>336</v>
      </c>
      <c r="B6239" t="s">
        <v>2305</v>
      </c>
      <c r="C6239" t="s">
        <v>10</v>
      </c>
      <c r="D6239" t="s">
        <v>2329</v>
      </c>
      <c r="E6239">
        <f t="shared" ref="E6239:E6260" si="278">1/193</f>
        <v>5.1813471502590676E-3</v>
      </c>
      <c r="F6239">
        <v>1</v>
      </c>
      <c r="G6239">
        <f>LOG(382/(1+1))</f>
        <v>2.2810333672477277</v>
      </c>
      <c r="H6239">
        <f>0.00518134715025906*5.25227342804663</f>
        <v>2.7213851958790787E-2</v>
      </c>
      <c r="I6239">
        <v>2.7213851958790829E-2</v>
      </c>
    </row>
    <row r="6240" spans="1:9" x14ac:dyDescent="0.25">
      <c r="A6240">
        <v>336</v>
      </c>
      <c r="B6240" t="s">
        <v>2305</v>
      </c>
      <c r="C6240" t="s">
        <v>10</v>
      </c>
      <c r="D6240" t="s">
        <v>1478</v>
      </c>
      <c r="E6240">
        <f t="shared" si="278"/>
        <v>5.1813471502590676E-3</v>
      </c>
      <c r="F6240">
        <v>17</v>
      </c>
      <c r="G6240">
        <f>LOG(382/(17+1))</f>
        <v>1.3267908578084027</v>
      </c>
      <c r="H6240">
        <f>0.00518134715025906*3.05504885071041</f>
        <v>1.5829268656530598E-2</v>
      </c>
      <c r="I6240">
        <v>1.5829268656530629E-2</v>
      </c>
    </row>
    <row r="6241" spans="1:9" x14ac:dyDescent="0.25">
      <c r="A6241">
        <v>336</v>
      </c>
      <c r="B6241" t="s">
        <v>2305</v>
      </c>
      <c r="C6241" t="s">
        <v>10</v>
      </c>
      <c r="D6241" t="s">
        <v>2330</v>
      </c>
      <c r="E6241">
        <f t="shared" si="278"/>
        <v>5.1813471502590676E-3</v>
      </c>
      <c r="F6241">
        <v>1</v>
      </c>
      <c r="G6241">
        <f>LOG(382/(1+1))</f>
        <v>2.2810333672477277</v>
      </c>
      <c r="H6241">
        <f>0.00518134715025906*5.25227342804663</f>
        <v>2.7213851958790787E-2</v>
      </c>
      <c r="I6241">
        <v>2.7213851958790829E-2</v>
      </c>
    </row>
    <row r="6242" spans="1:9" x14ac:dyDescent="0.25">
      <c r="A6242">
        <v>336</v>
      </c>
      <c r="B6242" t="s">
        <v>2305</v>
      </c>
      <c r="C6242" t="s">
        <v>10</v>
      </c>
      <c r="D6242" t="s">
        <v>1407</v>
      </c>
      <c r="E6242">
        <f t="shared" si="278"/>
        <v>5.1813471502590676E-3</v>
      </c>
      <c r="F6242">
        <v>16</v>
      </c>
      <c r="G6242">
        <f>LOG(382/(16+1))</f>
        <v>1.3516144415334348</v>
      </c>
      <c r="H6242">
        <f>0.00518134715025906*3.11220726455035</f>
        <v>1.6125426241193497E-2</v>
      </c>
      <c r="I6242">
        <v>1.612542624119357E-2</v>
      </c>
    </row>
    <row r="6243" spans="1:9" x14ac:dyDescent="0.25">
      <c r="A6243">
        <v>336</v>
      </c>
      <c r="B6243" t="s">
        <v>2305</v>
      </c>
      <c r="C6243" t="s">
        <v>10</v>
      </c>
      <c r="D6243" t="s">
        <v>432</v>
      </c>
      <c r="E6243">
        <f t="shared" si="278"/>
        <v>5.1813471502590676E-3</v>
      </c>
      <c r="F6243">
        <v>67</v>
      </c>
      <c r="G6243">
        <f>LOG(382/(67+1))</f>
        <v>0.7495544502054724</v>
      </c>
      <c r="H6243">
        <f>0.00518134715025906*1.72591290343046</f>
        <v>8.9425539037847543E-3</v>
      </c>
      <c r="I6243">
        <v>8.9425539037848098E-3</v>
      </c>
    </row>
    <row r="6244" spans="1:9" x14ac:dyDescent="0.25">
      <c r="A6244">
        <v>336</v>
      </c>
      <c r="B6244" t="s">
        <v>2305</v>
      </c>
      <c r="C6244" t="s">
        <v>10</v>
      </c>
      <c r="D6244" t="s">
        <v>2331</v>
      </c>
      <c r="E6244">
        <f t="shared" si="278"/>
        <v>5.1813471502590676E-3</v>
      </c>
      <c r="F6244">
        <v>1</v>
      </c>
      <c r="G6244">
        <f>LOG(382/(1+1))</f>
        <v>2.2810333672477277</v>
      </c>
      <c r="H6244">
        <f>0.00518134715025906*5.25227342804663</f>
        <v>2.7213851958790787E-2</v>
      </c>
      <c r="I6244">
        <v>2.7213851958790829E-2</v>
      </c>
    </row>
    <row r="6245" spans="1:9" x14ac:dyDescent="0.25">
      <c r="A6245">
        <v>336</v>
      </c>
      <c r="B6245" t="s">
        <v>2305</v>
      </c>
      <c r="C6245" t="s">
        <v>10</v>
      </c>
      <c r="D6245" t="s">
        <v>779</v>
      </c>
      <c r="E6245">
        <f t="shared" si="278"/>
        <v>5.1813471502590676E-3</v>
      </c>
      <c r="F6245">
        <v>25</v>
      </c>
      <c r="G6245">
        <f>LOG(382/(25+1))</f>
        <v>1.1670900149408907</v>
      </c>
      <c r="H6245">
        <f>0.00518134715025906*2.68732407058509</f>
        <v>1.3923958914948633E-2</v>
      </c>
      <c r="I6245">
        <v>1.3923958914948671E-2</v>
      </c>
    </row>
    <row r="6246" spans="1:9" x14ac:dyDescent="0.25">
      <c r="A6246">
        <v>336</v>
      </c>
      <c r="B6246" t="s">
        <v>2305</v>
      </c>
      <c r="C6246" t="s">
        <v>10</v>
      </c>
      <c r="D6246" t="s">
        <v>36</v>
      </c>
      <c r="E6246">
        <f t="shared" si="278"/>
        <v>5.1813471502590676E-3</v>
      </c>
      <c r="F6246">
        <v>58</v>
      </c>
      <c r="G6246">
        <f>LOG(382/(58+1))</f>
        <v>0.81121135126956456</v>
      </c>
      <c r="H6246">
        <f>0.00518134715025906*1.86788316470085</f>
        <v>9.678151112439623E-3</v>
      </c>
      <c r="I6246">
        <v>9.6781511124396664E-3</v>
      </c>
    </row>
    <row r="6247" spans="1:9" x14ac:dyDescent="0.25">
      <c r="A6247">
        <v>336</v>
      </c>
      <c r="B6247" t="s">
        <v>2305</v>
      </c>
      <c r="C6247" t="s">
        <v>10</v>
      </c>
      <c r="D6247" t="s">
        <v>2332</v>
      </c>
      <c r="E6247">
        <f t="shared" si="278"/>
        <v>5.1813471502590676E-3</v>
      </c>
      <c r="F6247">
        <v>1</v>
      </c>
      <c r="G6247">
        <f>LOG(382/(1+1))</f>
        <v>2.2810333672477277</v>
      </c>
      <c r="H6247">
        <f>0.00518134715025906*5.25227342804663</f>
        <v>2.7213851958790787E-2</v>
      </c>
      <c r="I6247">
        <v>2.7213851958790829E-2</v>
      </c>
    </row>
    <row r="6248" spans="1:9" x14ac:dyDescent="0.25">
      <c r="A6248">
        <v>336</v>
      </c>
      <c r="B6248" t="s">
        <v>2305</v>
      </c>
      <c r="C6248" t="s">
        <v>10</v>
      </c>
      <c r="D6248" t="s">
        <v>105</v>
      </c>
      <c r="E6248">
        <f t="shared" si="278"/>
        <v>5.1813471502590676E-3</v>
      </c>
      <c r="F6248">
        <v>122</v>
      </c>
      <c r="G6248">
        <f>LOG(382/(122+1))</f>
        <v>0.49215825147231079</v>
      </c>
      <c r="H6248">
        <f>0.00518134715025906*1.13323625323415</f>
        <v>5.8716904312650173E-3</v>
      </c>
      <c r="I6248">
        <v>5.871690431265065E-3</v>
      </c>
    </row>
    <row r="6249" spans="1:9" x14ac:dyDescent="0.25">
      <c r="A6249">
        <v>336</v>
      </c>
      <c r="B6249" t="s">
        <v>2305</v>
      </c>
      <c r="C6249" t="s">
        <v>10</v>
      </c>
      <c r="D6249" t="s">
        <v>2333</v>
      </c>
      <c r="E6249">
        <f t="shared" si="278"/>
        <v>5.1813471502590676E-3</v>
      </c>
      <c r="F6249">
        <v>1</v>
      </c>
      <c r="G6249">
        <f>LOG(382/(1+1))</f>
        <v>2.2810333672477277</v>
      </c>
      <c r="H6249">
        <f>0.00518134715025906*5.25227342804663</f>
        <v>2.7213851958790787E-2</v>
      </c>
      <c r="I6249">
        <v>2.7213851958790829E-2</v>
      </c>
    </row>
    <row r="6250" spans="1:9" x14ac:dyDescent="0.25">
      <c r="A6250">
        <v>336</v>
      </c>
      <c r="B6250" t="s">
        <v>2305</v>
      </c>
      <c r="C6250" t="s">
        <v>10</v>
      </c>
      <c r="D6250" t="s">
        <v>2334</v>
      </c>
      <c r="E6250">
        <f t="shared" si="278"/>
        <v>5.1813471502590676E-3</v>
      </c>
      <c r="F6250">
        <v>1</v>
      </c>
      <c r="G6250">
        <f>LOG(382/(1+1))</f>
        <v>2.2810333672477277</v>
      </c>
      <c r="H6250">
        <f>0.00518134715025906*5.25227342804663</f>
        <v>2.7213851958790787E-2</v>
      </c>
      <c r="I6250">
        <v>2.7213851958790829E-2</v>
      </c>
    </row>
    <row r="6251" spans="1:9" x14ac:dyDescent="0.25">
      <c r="A6251">
        <v>336</v>
      </c>
      <c r="B6251" t="s">
        <v>2305</v>
      </c>
      <c r="C6251" t="s">
        <v>10</v>
      </c>
      <c r="D6251" t="s">
        <v>371</v>
      </c>
      <c r="E6251">
        <f t="shared" si="278"/>
        <v>5.1813471502590676E-3</v>
      </c>
      <c r="F6251">
        <v>3</v>
      </c>
      <c r="G6251">
        <f>LOG(382/(3+1))</f>
        <v>1.9800033715837464</v>
      </c>
      <c r="H6251">
        <f>0.00518134715025906*4.55912624748668</f>
        <v>2.3622415790086389E-2</v>
      </c>
      <c r="I6251">
        <v>2.3622415790086448E-2</v>
      </c>
    </row>
    <row r="6252" spans="1:9" x14ac:dyDescent="0.25">
      <c r="A6252">
        <v>336</v>
      </c>
      <c r="B6252" t="s">
        <v>2305</v>
      </c>
      <c r="C6252" t="s">
        <v>10</v>
      </c>
      <c r="D6252" t="s">
        <v>2335</v>
      </c>
      <c r="E6252">
        <f t="shared" si="278"/>
        <v>5.1813471502590676E-3</v>
      </c>
      <c r="F6252">
        <v>1</v>
      </c>
      <c r="G6252">
        <f>LOG(382/(1+1))</f>
        <v>2.2810333672477277</v>
      </c>
      <c r="H6252">
        <f>0.00518134715025906*5.25227342804663</f>
        <v>2.7213851958790787E-2</v>
      </c>
      <c r="I6252">
        <v>2.7213851958790829E-2</v>
      </c>
    </row>
    <row r="6253" spans="1:9" x14ac:dyDescent="0.25">
      <c r="A6253">
        <v>336</v>
      </c>
      <c r="B6253" t="s">
        <v>2305</v>
      </c>
      <c r="C6253" t="s">
        <v>10</v>
      </c>
      <c r="D6253" t="s">
        <v>836</v>
      </c>
      <c r="E6253">
        <f t="shared" si="278"/>
        <v>5.1813471502590676E-3</v>
      </c>
      <c r="F6253">
        <v>21</v>
      </c>
      <c r="G6253">
        <f>LOG(382/(21+1))</f>
        <v>1.2396406820895025</v>
      </c>
      <c r="H6253">
        <f>0.00518134715025906*2.85437815524825</f>
        <v>1.4789524120457231E-2</v>
      </c>
      <c r="I6253">
        <v>1.47895241204573E-2</v>
      </c>
    </row>
    <row r="6254" spans="1:9" x14ac:dyDescent="0.25">
      <c r="A6254">
        <v>336</v>
      </c>
      <c r="B6254" t="s">
        <v>2305</v>
      </c>
      <c r="C6254" t="s">
        <v>10</v>
      </c>
      <c r="D6254" t="s">
        <v>2336</v>
      </c>
      <c r="E6254">
        <f t="shared" si="278"/>
        <v>5.1813471502590676E-3</v>
      </c>
      <c r="F6254">
        <v>1</v>
      </c>
      <c r="G6254">
        <f>LOG(382/(1+1))</f>
        <v>2.2810333672477277</v>
      </c>
      <c r="H6254">
        <f>0.00518134715025906*5.25227342804663</f>
        <v>2.7213851958790787E-2</v>
      </c>
      <c r="I6254">
        <v>2.7213851958790829E-2</v>
      </c>
    </row>
    <row r="6255" spans="1:9" x14ac:dyDescent="0.25">
      <c r="A6255">
        <v>336</v>
      </c>
      <c r="B6255" t="s">
        <v>2305</v>
      </c>
      <c r="C6255" t="s">
        <v>10</v>
      </c>
      <c r="D6255" t="s">
        <v>2337</v>
      </c>
      <c r="E6255">
        <f t="shared" si="278"/>
        <v>5.1813471502590676E-3</v>
      </c>
      <c r="F6255">
        <v>1</v>
      </c>
      <c r="G6255">
        <f>LOG(382/(1+1))</f>
        <v>2.2810333672477277</v>
      </c>
      <c r="H6255">
        <f>0.00518134715025906*5.25227342804663</f>
        <v>2.7213851958790787E-2</v>
      </c>
      <c r="I6255">
        <v>2.7213851958790829E-2</v>
      </c>
    </row>
    <row r="6256" spans="1:9" x14ac:dyDescent="0.25">
      <c r="A6256">
        <v>336</v>
      </c>
      <c r="B6256" t="s">
        <v>2305</v>
      </c>
      <c r="C6256" t="s">
        <v>10</v>
      </c>
      <c r="D6256" t="s">
        <v>453</v>
      </c>
      <c r="E6256">
        <f t="shared" si="278"/>
        <v>5.1813471502590676E-3</v>
      </c>
      <c r="F6256">
        <v>68</v>
      </c>
      <c r="G6256">
        <f>LOG(382/(68+1))</f>
        <v>0.74321427217445335</v>
      </c>
      <c r="H6256">
        <f>0.00518134715025906*1.71131410400931</f>
        <v>8.8669124560067751E-3</v>
      </c>
      <c r="I6256">
        <v>8.8669124560068185E-3</v>
      </c>
    </row>
    <row r="6257" spans="1:9" x14ac:dyDescent="0.25">
      <c r="A6257">
        <v>336</v>
      </c>
      <c r="B6257" t="s">
        <v>2305</v>
      </c>
      <c r="C6257" t="s">
        <v>10</v>
      </c>
      <c r="D6257" t="s">
        <v>2338</v>
      </c>
      <c r="E6257">
        <f t="shared" si="278"/>
        <v>5.1813471502590676E-3</v>
      </c>
      <c r="F6257">
        <v>1</v>
      </c>
      <c r="G6257">
        <f>LOG(382/(1+1))</f>
        <v>2.2810333672477277</v>
      </c>
      <c r="H6257">
        <f>0.00518134715025906*5.25227342804663</f>
        <v>2.7213851958790787E-2</v>
      </c>
      <c r="I6257">
        <v>2.7213851958790829E-2</v>
      </c>
    </row>
    <row r="6258" spans="1:9" x14ac:dyDescent="0.25">
      <c r="A6258">
        <v>336</v>
      </c>
      <c r="B6258" t="s">
        <v>2305</v>
      </c>
      <c r="C6258" t="s">
        <v>10</v>
      </c>
      <c r="D6258" t="s">
        <v>396</v>
      </c>
      <c r="E6258">
        <f t="shared" si="278"/>
        <v>5.1813471502590676E-3</v>
      </c>
      <c r="F6258">
        <v>2</v>
      </c>
      <c r="G6258">
        <f>LOG(382/(2+1))</f>
        <v>2.1049421081920463</v>
      </c>
      <c r="H6258">
        <f>0.00518134715025906*4.84680831993846</f>
        <v>2.511299647636504E-2</v>
      </c>
      <c r="I6258">
        <v>2.5112996476365109E-2</v>
      </c>
    </row>
    <row r="6259" spans="1:9" x14ac:dyDescent="0.25">
      <c r="A6259">
        <v>336</v>
      </c>
      <c r="B6259" t="s">
        <v>2305</v>
      </c>
      <c r="C6259" t="s">
        <v>10</v>
      </c>
      <c r="D6259" t="s">
        <v>2339</v>
      </c>
      <c r="E6259">
        <f t="shared" si="278"/>
        <v>5.1813471502590676E-3</v>
      </c>
      <c r="F6259">
        <v>1</v>
      </c>
      <c r="G6259">
        <f>LOG(382/(1+1))</f>
        <v>2.2810333672477277</v>
      </c>
      <c r="H6259">
        <f>0.00518134715025906*5.25227342804663</f>
        <v>2.7213851958790787E-2</v>
      </c>
      <c r="I6259">
        <v>2.7213851958790829E-2</v>
      </c>
    </row>
    <row r="6260" spans="1:9" x14ac:dyDescent="0.25">
      <c r="A6260">
        <v>336</v>
      </c>
      <c r="B6260" t="s">
        <v>2305</v>
      </c>
      <c r="C6260" t="s">
        <v>10</v>
      </c>
      <c r="D6260" t="s">
        <v>2340</v>
      </c>
      <c r="E6260">
        <f t="shared" si="278"/>
        <v>5.1813471502590676E-3</v>
      </c>
      <c r="F6260">
        <v>1</v>
      </c>
      <c r="G6260">
        <f>LOG(382/(1+1))</f>
        <v>2.2810333672477277</v>
      </c>
      <c r="H6260">
        <f>0.00518134715025906*5.25227342804663</f>
        <v>2.7213851958790787E-2</v>
      </c>
      <c r="I6260">
        <v>2.7213851958790829E-2</v>
      </c>
    </row>
    <row r="6261" spans="1:9" x14ac:dyDescent="0.25">
      <c r="A6261">
        <v>336</v>
      </c>
      <c r="B6261" t="s">
        <v>2305</v>
      </c>
      <c r="C6261" t="s">
        <v>10</v>
      </c>
      <c r="D6261" t="s">
        <v>429</v>
      </c>
      <c r="E6261">
        <f>3/193</f>
        <v>1.5544041450777202E-2</v>
      </c>
      <c r="F6261">
        <v>11</v>
      </c>
      <c r="G6261">
        <f>LOG(382/(11+1))</f>
        <v>1.5028821168640838</v>
      </c>
      <c r="H6261">
        <f>0.0155440414507772*3.46051395881857</f>
        <v>5.3790372416868959E-2</v>
      </c>
      <c r="I6261">
        <v>5.3790372416869042E-2</v>
      </c>
    </row>
    <row r="6262" spans="1:9" x14ac:dyDescent="0.25">
      <c r="A6262">
        <v>336</v>
      </c>
      <c r="B6262" t="s">
        <v>2305</v>
      </c>
      <c r="C6262" t="s">
        <v>10</v>
      </c>
      <c r="D6262" t="s">
        <v>2341</v>
      </c>
      <c r="E6262">
        <f>1/193</f>
        <v>5.1813471502590676E-3</v>
      </c>
      <c r="F6262">
        <v>2</v>
      </c>
      <c r="G6262">
        <f>LOG(382/(2+1))</f>
        <v>2.1049421081920463</v>
      </c>
      <c r="H6262">
        <f>0.00518134715025906*4.84680831993846</f>
        <v>2.511299647636504E-2</v>
      </c>
      <c r="I6262">
        <v>2.5112996476365109E-2</v>
      </c>
    </row>
    <row r="6263" spans="1:9" x14ac:dyDescent="0.25">
      <c r="A6263">
        <v>336</v>
      </c>
      <c r="B6263" t="s">
        <v>2305</v>
      </c>
      <c r="C6263" t="s">
        <v>10</v>
      </c>
      <c r="D6263" t="s">
        <v>307</v>
      </c>
      <c r="E6263">
        <f>1/193</f>
        <v>5.1813471502590676E-3</v>
      </c>
      <c r="F6263">
        <v>67</v>
      </c>
      <c r="G6263">
        <f>LOG(382/(67+1))</f>
        <v>0.7495544502054724</v>
      </c>
      <c r="H6263">
        <f>0.00518134715025906*1.72591290343046</f>
        <v>8.9425539037847543E-3</v>
      </c>
      <c r="I6263">
        <v>8.9425539037848098E-3</v>
      </c>
    </row>
    <row r="6264" spans="1:9" x14ac:dyDescent="0.25">
      <c r="A6264">
        <v>336</v>
      </c>
      <c r="B6264" t="s">
        <v>2305</v>
      </c>
      <c r="C6264" t="s">
        <v>10</v>
      </c>
      <c r="D6264" t="s">
        <v>2342</v>
      </c>
      <c r="E6264">
        <f>1/193</f>
        <v>5.1813471502590676E-3</v>
      </c>
      <c r="F6264">
        <v>1</v>
      </c>
      <c r="G6264">
        <f>LOG(382/(1+1))</f>
        <v>2.2810333672477277</v>
      </c>
      <c r="H6264">
        <f>0.00518134715025906*5.25227342804663</f>
        <v>2.7213851958790787E-2</v>
      </c>
      <c r="I6264">
        <v>2.7213851958790829E-2</v>
      </c>
    </row>
    <row r="6265" spans="1:9" x14ac:dyDescent="0.25">
      <c r="A6265">
        <v>336</v>
      </c>
      <c r="B6265" t="s">
        <v>2305</v>
      </c>
      <c r="C6265" t="s">
        <v>10</v>
      </c>
      <c r="D6265" t="s">
        <v>2343</v>
      </c>
      <c r="E6265">
        <f>1/193</f>
        <v>5.1813471502590676E-3</v>
      </c>
      <c r="F6265">
        <v>1</v>
      </c>
      <c r="G6265">
        <f>LOG(382/(1+1))</f>
        <v>2.2810333672477277</v>
      </c>
      <c r="H6265">
        <f>0.00518134715025906*5.25227342804663</f>
        <v>2.7213851958790787E-2</v>
      </c>
      <c r="I6265">
        <v>2.7213851958790829E-2</v>
      </c>
    </row>
    <row r="6266" spans="1:9" x14ac:dyDescent="0.25">
      <c r="A6266">
        <v>336</v>
      </c>
      <c r="B6266" t="s">
        <v>2305</v>
      </c>
      <c r="C6266" t="s">
        <v>10</v>
      </c>
      <c r="D6266" t="s">
        <v>438</v>
      </c>
      <c r="E6266">
        <f>2/193</f>
        <v>1.0362694300518135E-2</v>
      </c>
      <c r="F6266">
        <v>37</v>
      </c>
      <c r="G6266">
        <f>LOG(382/(37+1))</f>
        <v>1.0022797662948986</v>
      </c>
      <c r="H6266">
        <f>0.0103626943005181*2.30783444888018</f>
        <v>2.391538288994997E-2</v>
      </c>
      <c r="I6266">
        <v>2.3915382889950151E-2</v>
      </c>
    </row>
    <row r="6267" spans="1:9" x14ac:dyDescent="0.25">
      <c r="A6267">
        <v>336</v>
      </c>
      <c r="B6267" t="s">
        <v>2305</v>
      </c>
      <c r="C6267" t="s">
        <v>10</v>
      </c>
      <c r="D6267" t="s">
        <v>408</v>
      </c>
      <c r="E6267">
        <f t="shared" ref="E6267:E6275" si="279">1/193</f>
        <v>5.1813471502590676E-3</v>
      </c>
      <c r="F6267">
        <v>27</v>
      </c>
      <c r="G6267">
        <f>LOG(382/(27+1))</f>
        <v>1.1349053315694895</v>
      </c>
      <c r="H6267">
        <f>0.00518134715025906*2.61321609843137</f>
        <v>1.3539979784618478E-2</v>
      </c>
      <c r="I6267">
        <v>1.3539979784618499E-2</v>
      </c>
    </row>
    <row r="6268" spans="1:9" x14ac:dyDescent="0.25">
      <c r="A6268">
        <v>336</v>
      </c>
      <c r="B6268" t="s">
        <v>2305</v>
      </c>
      <c r="C6268" t="s">
        <v>10</v>
      </c>
      <c r="D6268" t="s">
        <v>2344</v>
      </c>
      <c r="E6268">
        <f t="shared" si="279"/>
        <v>5.1813471502590676E-3</v>
      </c>
      <c r="F6268">
        <v>1</v>
      </c>
      <c r="G6268">
        <f>LOG(382/(1+1))</f>
        <v>2.2810333672477277</v>
      </c>
      <c r="H6268">
        <f>0.00518134715025906*5.25227342804663</f>
        <v>2.7213851958790787E-2</v>
      </c>
      <c r="I6268">
        <v>2.7213851958790829E-2</v>
      </c>
    </row>
    <row r="6269" spans="1:9" x14ac:dyDescent="0.25">
      <c r="A6269">
        <v>336</v>
      </c>
      <c r="B6269" t="s">
        <v>2305</v>
      </c>
      <c r="C6269" t="s">
        <v>10</v>
      </c>
      <c r="D6269" t="s">
        <v>2345</v>
      </c>
      <c r="E6269">
        <f t="shared" si="279"/>
        <v>5.1813471502590676E-3</v>
      </c>
      <c r="F6269">
        <v>1</v>
      </c>
      <c r="G6269">
        <f>LOG(382/(1+1))</f>
        <v>2.2810333672477277</v>
      </c>
      <c r="H6269">
        <f>0.00518134715025906*5.25227342804663</f>
        <v>2.7213851958790787E-2</v>
      </c>
      <c r="I6269">
        <v>2.7213851958790829E-2</v>
      </c>
    </row>
    <row r="6270" spans="1:9" x14ac:dyDescent="0.25">
      <c r="A6270">
        <v>336</v>
      </c>
      <c r="B6270" t="s">
        <v>2305</v>
      </c>
      <c r="C6270" t="s">
        <v>10</v>
      </c>
      <c r="D6270" t="s">
        <v>1095</v>
      </c>
      <c r="E6270">
        <f t="shared" si="279"/>
        <v>5.1813471502590676E-3</v>
      </c>
      <c r="F6270">
        <v>4</v>
      </c>
      <c r="G6270">
        <f>LOG(382/(4+1))</f>
        <v>1.8830933585756899</v>
      </c>
      <c r="H6270">
        <f>0.00518134715025906*4.33598269617247</f>
        <v>2.2466231586385825E-2</v>
      </c>
      <c r="I6270">
        <v>2.2466231586385881E-2</v>
      </c>
    </row>
    <row r="6271" spans="1:9" x14ac:dyDescent="0.25">
      <c r="A6271">
        <v>336</v>
      </c>
      <c r="B6271" t="s">
        <v>2305</v>
      </c>
      <c r="C6271" t="s">
        <v>10</v>
      </c>
      <c r="D6271" t="s">
        <v>739</v>
      </c>
      <c r="E6271">
        <f t="shared" si="279"/>
        <v>5.1813471502590676E-3</v>
      </c>
      <c r="F6271">
        <v>24</v>
      </c>
      <c r="G6271">
        <f>LOG(382/(24+1))</f>
        <v>1.1841233542396712</v>
      </c>
      <c r="H6271">
        <f>0.00518134715025906*2.72654478373837</f>
        <v>1.4127175045276507E-2</v>
      </c>
      <c r="I6271">
        <v>1.412717504527655E-2</v>
      </c>
    </row>
    <row r="6272" spans="1:9" x14ac:dyDescent="0.25">
      <c r="A6272">
        <v>336</v>
      </c>
      <c r="B6272" t="s">
        <v>2305</v>
      </c>
      <c r="C6272" t="s">
        <v>10</v>
      </c>
      <c r="D6272" t="s">
        <v>887</v>
      </c>
      <c r="E6272">
        <f t="shared" si="279"/>
        <v>5.1813471502590676E-3</v>
      </c>
      <c r="F6272">
        <v>12</v>
      </c>
      <c r="G6272">
        <f>LOG(382/(12+1))</f>
        <v>1.468120010604872</v>
      </c>
      <c r="H6272">
        <f>0.00518134715025906*3.38047125114503</f>
        <v>1.751539508365298E-2</v>
      </c>
      <c r="I6272">
        <v>1.7515395083653049E-2</v>
      </c>
    </row>
    <row r="6273" spans="1:9" x14ac:dyDescent="0.25">
      <c r="A6273">
        <v>336</v>
      </c>
      <c r="B6273" t="s">
        <v>2305</v>
      </c>
      <c r="C6273" t="s">
        <v>10</v>
      </c>
      <c r="D6273" t="s">
        <v>1802</v>
      </c>
      <c r="E6273">
        <f t="shared" si="279"/>
        <v>5.1813471502590676E-3</v>
      </c>
      <c r="F6273">
        <v>2</v>
      </c>
      <c r="G6273">
        <f>LOG(382/(2+1))</f>
        <v>2.1049421081920463</v>
      </c>
      <c r="H6273">
        <f>0.00518134715025906*4.84680831993846</f>
        <v>2.511299647636504E-2</v>
      </c>
      <c r="I6273">
        <v>2.5112996476365109E-2</v>
      </c>
    </row>
    <row r="6274" spans="1:9" x14ac:dyDescent="0.25">
      <c r="A6274">
        <v>336</v>
      </c>
      <c r="B6274" t="s">
        <v>2305</v>
      </c>
      <c r="C6274" t="s">
        <v>10</v>
      </c>
      <c r="D6274" t="s">
        <v>263</v>
      </c>
      <c r="E6274">
        <f t="shared" si="279"/>
        <v>5.1813471502590676E-3</v>
      </c>
      <c r="F6274">
        <v>41</v>
      </c>
      <c r="G6274">
        <f>LOG(382/(41+1))</f>
        <v>0.95881407251380824</v>
      </c>
      <c r="H6274">
        <f>0.00518134715025906*2.2077509903232</f>
        <v>1.1439124302192731E-2</v>
      </c>
      <c r="I6274">
        <v>1.143912430219278E-2</v>
      </c>
    </row>
    <row r="6275" spans="1:9" x14ac:dyDescent="0.25">
      <c r="A6275">
        <v>336</v>
      </c>
      <c r="B6275" t="s">
        <v>2305</v>
      </c>
      <c r="C6275" t="s">
        <v>10</v>
      </c>
      <c r="D6275" t="s">
        <v>676</v>
      </c>
      <c r="E6275">
        <f t="shared" si="279"/>
        <v>5.1813471502590676E-3</v>
      </c>
      <c r="F6275">
        <v>20</v>
      </c>
      <c r="G6275">
        <f>LOG(382/(20+1))</f>
        <v>1.2598440681777894</v>
      </c>
      <c r="H6275">
        <f>0.00518134715025906*2.90089817088315</f>
        <v>1.5030560470897129E-2</v>
      </c>
      <c r="I6275">
        <v>1.503056047089716E-2</v>
      </c>
    </row>
    <row r="6276" spans="1:9" x14ac:dyDescent="0.25">
      <c r="A6276">
        <v>336</v>
      </c>
      <c r="B6276" t="s">
        <v>2305</v>
      </c>
      <c r="C6276" t="s">
        <v>10</v>
      </c>
      <c r="D6276" t="s">
        <v>239</v>
      </c>
      <c r="E6276">
        <f>2/193</f>
        <v>1.0362694300518135E-2</v>
      </c>
      <c r="F6276">
        <v>40</v>
      </c>
      <c r="G6276">
        <f>LOG(382/(40+1))</f>
        <v>0.96927950619197323</v>
      </c>
      <c r="H6276">
        <f>0.0103626943005181*2.23184854190226</f>
        <v>2.3127964164790179E-2</v>
      </c>
      <c r="I6276">
        <v>2.3127964164790338E-2</v>
      </c>
    </row>
    <row r="6277" spans="1:9" x14ac:dyDescent="0.25">
      <c r="A6277">
        <v>336</v>
      </c>
      <c r="B6277" t="s">
        <v>2305</v>
      </c>
      <c r="C6277" t="s">
        <v>10</v>
      </c>
      <c r="D6277" t="s">
        <v>2346</v>
      </c>
      <c r="E6277">
        <f>1/193</f>
        <v>5.1813471502590676E-3</v>
      </c>
      <c r="F6277">
        <v>1</v>
      </c>
      <c r="G6277">
        <f>LOG(382/(1+1))</f>
        <v>2.2810333672477277</v>
      </c>
      <c r="H6277">
        <f>0.00518134715025906*5.25227342804663</f>
        <v>2.7213851958790787E-2</v>
      </c>
      <c r="I6277">
        <v>2.7213851958790829E-2</v>
      </c>
    </row>
    <row r="6278" spans="1:9" x14ac:dyDescent="0.25">
      <c r="A6278">
        <v>336</v>
      </c>
      <c r="B6278" t="s">
        <v>2305</v>
      </c>
      <c r="C6278" t="s">
        <v>10</v>
      </c>
      <c r="D6278" t="s">
        <v>746</v>
      </c>
      <c r="E6278">
        <f>1/193</f>
        <v>5.1813471502590676E-3</v>
      </c>
      <c r="F6278">
        <v>58</v>
      </c>
      <c r="G6278">
        <f>LOG(382/(58+1))</f>
        <v>0.81121135126956456</v>
      </c>
      <c r="H6278">
        <f>0.00518134715025906*1.86788316470085</f>
        <v>9.678151112439623E-3</v>
      </c>
      <c r="I6278">
        <v>9.6781511124396664E-3</v>
      </c>
    </row>
    <row r="6279" spans="1:9" x14ac:dyDescent="0.25">
      <c r="A6279">
        <v>336</v>
      </c>
      <c r="B6279" t="s">
        <v>2305</v>
      </c>
      <c r="C6279" t="s">
        <v>10</v>
      </c>
      <c r="D6279" t="s">
        <v>2347</v>
      </c>
      <c r="E6279">
        <f>3/193</f>
        <v>1.5544041450777202E-2</v>
      </c>
      <c r="F6279">
        <v>2</v>
      </c>
      <c r="G6279">
        <f>LOG(382/(2+1))</f>
        <v>2.1049421081920463</v>
      </c>
      <c r="H6279">
        <f>0.0155440414507772*4.84680831993846</f>
        <v>7.5338989429095227E-2</v>
      </c>
      <c r="I6279">
        <v>7.533898942909531E-2</v>
      </c>
    </row>
    <row r="6280" spans="1:9" x14ac:dyDescent="0.25">
      <c r="A6280">
        <v>336</v>
      </c>
      <c r="B6280" t="s">
        <v>2305</v>
      </c>
      <c r="C6280" t="s">
        <v>10</v>
      </c>
      <c r="D6280" t="s">
        <v>2348</v>
      </c>
      <c r="E6280">
        <f t="shared" ref="E6280:E6285" si="280">1/193</f>
        <v>5.1813471502590676E-3</v>
      </c>
      <c r="F6280">
        <v>1</v>
      </c>
      <c r="G6280">
        <f>LOG(382/(1+1))</f>
        <v>2.2810333672477277</v>
      </c>
      <c r="H6280">
        <f>0.00518134715025906*5.25227342804663</f>
        <v>2.7213851958790787E-2</v>
      </c>
      <c r="I6280">
        <v>2.7213851958790829E-2</v>
      </c>
    </row>
    <row r="6281" spans="1:9" x14ac:dyDescent="0.25">
      <c r="A6281">
        <v>336</v>
      </c>
      <c r="B6281" t="s">
        <v>2305</v>
      </c>
      <c r="C6281" t="s">
        <v>10</v>
      </c>
      <c r="D6281" t="s">
        <v>1497</v>
      </c>
      <c r="E6281">
        <f t="shared" si="280"/>
        <v>5.1813471502590676E-3</v>
      </c>
      <c r="F6281">
        <v>3</v>
      </c>
      <c r="G6281">
        <f>LOG(382/(3+1))</f>
        <v>1.9800033715837464</v>
      </c>
      <c r="H6281">
        <f>0.00518134715025906*4.55912624748668</f>
        <v>2.3622415790086389E-2</v>
      </c>
      <c r="I6281">
        <v>2.3622415790086448E-2</v>
      </c>
    </row>
    <row r="6282" spans="1:9" x14ac:dyDescent="0.25">
      <c r="A6282">
        <v>336</v>
      </c>
      <c r="B6282" t="s">
        <v>2305</v>
      </c>
      <c r="C6282" t="s">
        <v>10</v>
      </c>
      <c r="D6282" t="s">
        <v>1177</v>
      </c>
      <c r="E6282">
        <f t="shared" si="280"/>
        <v>5.1813471502590676E-3</v>
      </c>
      <c r="F6282">
        <v>2</v>
      </c>
      <c r="G6282">
        <f>LOG(382/(2+1))</f>
        <v>2.1049421081920463</v>
      </c>
      <c r="H6282">
        <f>0.00518134715025906*4.84680831993846</f>
        <v>2.511299647636504E-2</v>
      </c>
      <c r="I6282">
        <v>2.5112996476365109E-2</v>
      </c>
    </row>
    <row r="6283" spans="1:9" x14ac:dyDescent="0.25">
      <c r="A6283">
        <v>336</v>
      </c>
      <c r="B6283" t="s">
        <v>2305</v>
      </c>
      <c r="C6283" t="s">
        <v>10</v>
      </c>
      <c r="D6283" t="s">
        <v>2349</v>
      </c>
      <c r="E6283">
        <f t="shared" si="280"/>
        <v>5.1813471502590676E-3</v>
      </c>
      <c r="F6283">
        <v>1</v>
      </c>
      <c r="G6283">
        <f>LOG(382/(1+1))</f>
        <v>2.2810333672477277</v>
      </c>
      <c r="H6283">
        <f>0.00518134715025906*5.25227342804663</f>
        <v>2.7213851958790787E-2</v>
      </c>
      <c r="I6283">
        <v>2.7213851958790829E-2</v>
      </c>
    </row>
    <row r="6284" spans="1:9" x14ac:dyDescent="0.25">
      <c r="A6284">
        <v>336</v>
      </c>
      <c r="B6284" t="s">
        <v>2305</v>
      </c>
      <c r="C6284" t="s">
        <v>10</v>
      </c>
      <c r="D6284" t="s">
        <v>2350</v>
      </c>
      <c r="E6284">
        <f t="shared" si="280"/>
        <v>5.1813471502590676E-3</v>
      </c>
      <c r="F6284">
        <v>1</v>
      </c>
      <c r="G6284">
        <f>LOG(382/(1+1))</f>
        <v>2.2810333672477277</v>
      </c>
      <c r="H6284">
        <f>0.00518134715025906*5.25227342804663</f>
        <v>2.7213851958790787E-2</v>
      </c>
      <c r="I6284">
        <v>2.7213851958790829E-2</v>
      </c>
    </row>
    <row r="6285" spans="1:9" x14ac:dyDescent="0.25">
      <c r="A6285">
        <v>336</v>
      </c>
      <c r="B6285" t="s">
        <v>2305</v>
      </c>
      <c r="C6285" t="s">
        <v>10</v>
      </c>
      <c r="D6285" t="s">
        <v>1626</v>
      </c>
      <c r="E6285">
        <f t="shared" si="280"/>
        <v>5.1813471502590676E-3</v>
      </c>
      <c r="F6285">
        <v>32</v>
      </c>
      <c r="G6285">
        <f>LOG(382/(32+1))</f>
        <v>1.0635494230338212</v>
      </c>
      <c r="H6285">
        <f>0.00518134715025906*2.44891304714009</f>
        <v>1.2688668638031537E-2</v>
      </c>
      <c r="I6285">
        <v>1.2688668638031581E-2</v>
      </c>
    </row>
    <row r="6286" spans="1:9" x14ac:dyDescent="0.25">
      <c r="A6286">
        <v>336</v>
      </c>
      <c r="B6286" t="s">
        <v>2305</v>
      </c>
      <c r="C6286" t="s">
        <v>10</v>
      </c>
      <c r="D6286" t="s">
        <v>236</v>
      </c>
      <c r="E6286">
        <f>2/193</f>
        <v>1.0362694300518135E-2</v>
      </c>
      <c r="F6286">
        <v>87</v>
      </c>
      <c r="G6286">
        <f>LOG(382/(87+1))</f>
        <v>0.63758069076154011</v>
      </c>
      <c r="H6286">
        <f>0.0103626943005181*1.46808379412836</f>
        <v>1.5213303566096945E-2</v>
      </c>
      <c r="I6286">
        <v>1.521330356609709E-2</v>
      </c>
    </row>
    <row r="6287" spans="1:9" x14ac:dyDescent="0.25">
      <c r="A6287">
        <v>336</v>
      </c>
      <c r="B6287" t="s">
        <v>2305</v>
      </c>
      <c r="C6287" t="s">
        <v>10</v>
      </c>
      <c r="D6287" t="s">
        <v>388</v>
      </c>
      <c r="E6287">
        <f>2/193</f>
        <v>1.0362694300518135E-2</v>
      </c>
      <c r="F6287">
        <v>44</v>
      </c>
      <c r="G6287">
        <f>LOG(382/(44+1))</f>
        <v>0.92885084913636506</v>
      </c>
      <c r="H6287">
        <f>0.0103626943005181*2.13875811883625</f>
        <v>2.2163296568251219E-2</v>
      </c>
      <c r="I6287">
        <v>2.2163296568251351E-2</v>
      </c>
    </row>
    <row r="6288" spans="1:9" x14ac:dyDescent="0.25">
      <c r="A6288">
        <v>336</v>
      </c>
      <c r="B6288" t="s">
        <v>2305</v>
      </c>
      <c r="C6288" t="s">
        <v>10</v>
      </c>
      <c r="D6288" t="s">
        <v>2351</v>
      </c>
      <c r="E6288">
        <f>1/193</f>
        <v>5.1813471502590676E-3</v>
      </c>
      <c r="F6288">
        <v>1</v>
      </c>
      <c r="G6288">
        <f>LOG(382/(1+1))</f>
        <v>2.2810333672477277</v>
      </c>
      <c r="H6288">
        <f>0.00518134715025906*5.25227342804663</f>
        <v>2.7213851958790787E-2</v>
      </c>
      <c r="I6288">
        <v>2.7213851958790829E-2</v>
      </c>
    </row>
    <row r="6289" spans="1:9" x14ac:dyDescent="0.25">
      <c r="A6289">
        <v>336</v>
      </c>
      <c r="B6289" t="s">
        <v>2305</v>
      </c>
      <c r="C6289" t="s">
        <v>10</v>
      </c>
      <c r="D6289" t="s">
        <v>754</v>
      </c>
      <c r="E6289">
        <f>2/193</f>
        <v>1.0362694300518135E-2</v>
      </c>
      <c r="F6289">
        <v>111</v>
      </c>
      <c r="G6289">
        <f>LOG(382/(111+1))</f>
        <v>0.53284534024152708</v>
      </c>
      <c r="H6289">
        <f>0.0103626943005181*1.22692173731148</f>
        <v>1.2714214894419439E-2</v>
      </c>
      <c r="I6289">
        <v>1.271421489441949E-2</v>
      </c>
    </row>
    <row r="6290" spans="1:9" x14ac:dyDescent="0.25">
      <c r="A6290">
        <v>336</v>
      </c>
      <c r="B6290" t="s">
        <v>2305</v>
      </c>
      <c r="C6290" t="s">
        <v>10</v>
      </c>
      <c r="D6290" t="s">
        <v>1469</v>
      </c>
      <c r="E6290">
        <f>2/193</f>
        <v>1.0362694300518135E-2</v>
      </c>
      <c r="F6290">
        <v>24</v>
      </c>
      <c r="G6290">
        <f>LOG(382/(24+1))</f>
        <v>1.1841233542396712</v>
      </c>
      <c r="H6290">
        <f>0.0103626943005181*2.72654478373837</f>
        <v>2.8254350090552962E-2</v>
      </c>
      <c r="I6290">
        <v>2.8254350090553101E-2</v>
      </c>
    </row>
    <row r="6291" spans="1:9" x14ac:dyDescent="0.25">
      <c r="A6291">
        <v>336</v>
      </c>
      <c r="B6291" t="s">
        <v>2305</v>
      </c>
      <c r="C6291" t="s">
        <v>10</v>
      </c>
      <c r="D6291" t="s">
        <v>439</v>
      </c>
      <c r="E6291">
        <f>1/193</f>
        <v>5.1813471502590676E-3</v>
      </c>
      <c r="F6291">
        <v>28</v>
      </c>
      <c r="G6291">
        <f>LOG(382/(28+1))</f>
        <v>1.1196653650127526</v>
      </c>
      <c r="H6291">
        <f>0.00518134715025906*2.5781247786201</f>
        <v>1.3358159474715523E-2</v>
      </c>
      <c r="I6291">
        <v>1.335815947471555E-2</v>
      </c>
    </row>
    <row r="6292" spans="1:9" x14ac:dyDescent="0.25">
      <c r="A6292">
        <v>336</v>
      </c>
      <c r="B6292" t="s">
        <v>2305</v>
      </c>
      <c r="C6292" t="s">
        <v>10</v>
      </c>
      <c r="D6292" t="s">
        <v>688</v>
      </c>
      <c r="E6292">
        <f>1/193</f>
        <v>5.1813471502590676E-3</v>
      </c>
      <c r="F6292">
        <v>23</v>
      </c>
      <c r="G6292">
        <f>LOG(382/(23+1))</f>
        <v>1.2018521212001028</v>
      </c>
      <c r="H6292">
        <f>0.00518134715025906*2.76736677825862</f>
        <v>1.4338687970251897E-2</v>
      </c>
      <c r="I6292">
        <v>1.433868797025197E-2</v>
      </c>
    </row>
    <row r="6293" spans="1:9" x14ac:dyDescent="0.25">
      <c r="A6293">
        <v>336</v>
      </c>
      <c r="B6293" t="s">
        <v>2305</v>
      </c>
      <c r="C6293" t="s">
        <v>10</v>
      </c>
      <c r="D6293" t="s">
        <v>763</v>
      </c>
      <c r="E6293">
        <f>2/193</f>
        <v>1.0362694300518135E-2</v>
      </c>
      <c r="F6293">
        <v>47</v>
      </c>
      <c r="G6293">
        <f>LOG(382/(47+1))</f>
        <v>0.90082212553612151</v>
      </c>
      <c r="H6293">
        <f>0.0103626943005181*2.07421959769868</f>
        <v>2.1494503603095058E-2</v>
      </c>
      <c r="I6293">
        <v>2.1494503603095169E-2</v>
      </c>
    </row>
    <row r="6294" spans="1:9" x14ac:dyDescent="0.25">
      <c r="A6294">
        <v>336</v>
      </c>
      <c r="B6294" t="s">
        <v>2305</v>
      </c>
      <c r="C6294" t="s">
        <v>10</v>
      </c>
      <c r="D6294" t="s">
        <v>775</v>
      </c>
      <c r="E6294">
        <f t="shared" ref="E6294:E6303" si="281">1/193</f>
        <v>5.1813471502590676E-3</v>
      </c>
      <c r="F6294">
        <v>20</v>
      </c>
      <c r="G6294">
        <f>LOG(382/(20+1))</f>
        <v>1.2598440681777894</v>
      </c>
      <c r="H6294">
        <f>0.00518134715025906*2.90089817088315</f>
        <v>1.5030560470897129E-2</v>
      </c>
      <c r="I6294">
        <v>1.503056047089716E-2</v>
      </c>
    </row>
    <row r="6295" spans="1:9" x14ac:dyDescent="0.25">
      <c r="A6295">
        <v>336</v>
      </c>
      <c r="B6295" t="s">
        <v>2305</v>
      </c>
      <c r="C6295" t="s">
        <v>10</v>
      </c>
      <c r="D6295" t="s">
        <v>1831</v>
      </c>
      <c r="E6295">
        <f t="shared" si="281"/>
        <v>5.1813471502590676E-3</v>
      </c>
      <c r="F6295">
        <v>28</v>
      </c>
      <c r="G6295">
        <f>LOG(382/(28+1))</f>
        <v>1.1196653650127526</v>
      </c>
      <c r="H6295">
        <f>0.00518134715025906*2.5781247786201</f>
        <v>1.3358159474715523E-2</v>
      </c>
      <c r="I6295">
        <v>1.335815947471555E-2</v>
      </c>
    </row>
    <row r="6296" spans="1:9" x14ac:dyDescent="0.25">
      <c r="A6296">
        <v>336</v>
      </c>
      <c r="B6296" t="s">
        <v>2305</v>
      </c>
      <c r="C6296" t="s">
        <v>10</v>
      </c>
      <c r="D6296" t="s">
        <v>1098</v>
      </c>
      <c r="E6296">
        <f t="shared" si="281"/>
        <v>5.1813471502590676E-3</v>
      </c>
      <c r="F6296">
        <v>19</v>
      </c>
      <c r="G6296">
        <f>LOG(382/(19+1))</f>
        <v>1.2810333672477277</v>
      </c>
      <c r="H6296">
        <f>0.00518134715025906*2.94968833505258</f>
        <v>1.5283359248977077E-2</v>
      </c>
      <c r="I6296">
        <v>1.528335924897712E-2</v>
      </c>
    </row>
    <row r="6297" spans="1:9" x14ac:dyDescent="0.25">
      <c r="A6297">
        <v>336</v>
      </c>
      <c r="B6297" t="s">
        <v>2305</v>
      </c>
      <c r="C6297" t="s">
        <v>10</v>
      </c>
      <c r="D6297" t="s">
        <v>1918</v>
      </c>
      <c r="E6297">
        <f t="shared" si="281"/>
        <v>5.1813471502590676E-3</v>
      </c>
      <c r="F6297">
        <v>25</v>
      </c>
      <c r="G6297">
        <f>LOG(382/(25+1))</f>
        <v>1.1670900149408907</v>
      </c>
      <c r="H6297">
        <f>0.00518134715025906*2.68732407058509</f>
        <v>1.3923958914948633E-2</v>
      </c>
      <c r="I6297">
        <v>1.3923958914948671E-2</v>
      </c>
    </row>
    <row r="6298" spans="1:9" x14ac:dyDescent="0.25">
      <c r="A6298">
        <v>336</v>
      </c>
      <c r="B6298" t="s">
        <v>2305</v>
      </c>
      <c r="C6298" t="s">
        <v>10</v>
      </c>
      <c r="D6298" t="s">
        <v>204</v>
      </c>
      <c r="E6298">
        <f t="shared" si="281"/>
        <v>5.1813471502590676E-3</v>
      </c>
      <c r="F6298">
        <v>166</v>
      </c>
      <c r="G6298">
        <f>LOG(382/(166+1))</f>
        <v>0.35934689176412549</v>
      </c>
      <c r="H6298">
        <f>0.00518134715025906*0.82742679618982</f>
        <v>4.2871854724861073E-3</v>
      </c>
      <c r="I6298">
        <v>4.2871854724861143E-3</v>
      </c>
    </row>
    <row r="6299" spans="1:9" x14ac:dyDescent="0.25">
      <c r="A6299">
        <v>336</v>
      </c>
      <c r="B6299" t="s">
        <v>2305</v>
      </c>
      <c r="C6299" t="s">
        <v>10</v>
      </c>
      <c r="D6299" t="s">
        <v>363</v>
      </c>
      <c r="E6299">
        <f t="shared" si="281"/>
        <v>5.1813471502590676E-3</v>
      </c>
      <c r="F6299">
        <v>36</v>
      </c>
      <c r="G6299">
        <f>LOG(382/(36+1))</f>
        <v>1.0138616388447137</v>
      </c>
      <c r="H6299">
        <f>0.00518134715025906*2.33450269596235</f>
        <v>1.2095868890996614E-2</v>
      </c>
      <c r="I6299">
        <v>1.209586889099664E-2</v>
      </c>
    </row>
    <row r="6300" spans="1:9" x14ac:dyDescent="0.25">
      <c r="A6300">
        <v>336</v>
      </c>
      <c r="B6300" t="s">
        <v>2305</v>
      </c>
      <c r="C6300" t="s">
        <v>10</v>
      </c>
      <c r="D6300" t="s">
        <v>1866</v>
      </c>
      <c r="E6300">
        <f t="shared" si="281"/>
        <v>5.1813471502590676E-3</v>
      </c>
      <c r="F6300">
        <v>18</v>
      </c>
      <c r="G6300">
        <f>LOG(382/(18+1))</f>
        <v>1.3033097619588798</v>
      </c>
      <c r="H6300">
        <f>0.00518134715025906*3.00098162944013</f>
        <v>1.5549127613679409E-2</v>
      </c>
      <c r="I6300">
        <v>1.554912761367945E-2</v>
      </c>
    </row>
    <row r="6301" spans="1:9" x14ac:dyDescent="0.25">
      <c r="A6301">
        <v>336</v>
      </c>
      <c r="B6301" t="s">
        <v>2305</v>
      </c>
      <c r="C6301" t="s">
        <v>10</v>
      </c>
      <c r="D6301" t="s">
        <v>77</v>
      </c>
      <c r="E6301">
        <f t="shared" si="281"/>
        <v>5.1813471502590676E-3</v>
      </c>
      <c r="F6301">
        <v>148</v>
      </c>
      <c r="G6301">
        <f>LOG(382/(148+1))</f>
        <v>0.40887709449943471</v>
      </c>
      <c r="H6301">
        <f>0.00518134715025906*0.941474302661116</f>
        <v>4.8781051951353087E-3</v>
      </c>
      <c r="I6301">
        <v>4.8781051951353174E-3</v>
      </c>
    </row>
    <row r="6302" spans="1:9" x14ac:dyDescent="0.25">
      <c r="A6302">
        <v>336</v>
      </c>
      <c r="B6302" t="s">
        <v>2305</v>
      </c>
      <c r="C6302" t="s">
        <v>10</v>
      </c>
      <c r="D6302" t="s">
        <v>483</v>
      </c>
      <c r="E6302">
        <f t="shared" si="281"/>
        <v>5.1813471502590676E-3</v>
      </c>
      <c r="F6302">
        <v>61</v>
      </c>
      <c r="G6302">
        <f>LOG(382/(61+1))</f>
        <v>0.7896716734134549</v>
      </c>
      <c r="H6302">
        <f>0.00518134715025906*1.81828622356148</f>
        <v>9.4211721428055818E-3</v>
      </c>
      <c r="I6302">
        <v>9.4211721428056148E-3</v>
      </c>
    </row>
    <row r="6303" spans="1:9" x14ac:dyDescent="0.25">
      <c r="A6303">
        <v>336</v>
      </c>
      <c r="B6303" t="s">
        <v>2305</v>
      </c>
      <c r="C6303" t="s">
        <v>10</v>
      </c>
      <c r="D6303" t="s">
        <v>753</v>
      </c>
      <c r="E6303">
        <f t="shared" si="281"/>
        <v>5.1813471502590676E-3</v>
      </c>
      <c r="F6303">
        <v>19</v>
      </c>
      <c r="G6303">
        <f>LOG(382/(19+1))</f>
        <v>1.2810333672477277</v>
      </c>
      <c r="H6303">
        <f>0.00518134715025906*2.94968833505258</f>
        <v>1.5283359248977077E-2</v>
      </c>
      <c r="I6303">
        <v>1.528335924897712E-2</v>
      </c>
    </row>
    <row r="6304" spans="1:9" x14ac:dyDescent="0.25">
      <c r="A6304">
        <v>337</v>
      </c>
      <c r="B6304" t="s">
        <v>2352</v>
      </c>
      <c r="C6304" t="s">
        <v>10</v>
      </c>
      <c r="D6304" t="s">
        <v>1255</v>
      </c>
      <c r="E6304">
        <f>1/30</f>
        <v>3.3333333333333333E-2</v>
      </c>
      <c r="F6304">
        <v>12</v>
      </c>
      <c r="G6304">
        <f>LOG(382/(12+1))</f>
        <v>1.468120010604872</v>
      </c>
      <c r="H6304">
        <f>0.0333333333333333*3.38047125114503</f>
        <v>0.11268237503816755</v>
      </c>
      <c r="I6304">
        <v>0.112682375038168</v>
      </c>
    </row>
    <row r="6305" spans="1:9" x14ac:dyDescent="0.25">
      <c r="A6305">
        <v>337</v>
      </c>
      <c r="B6305" t="s">
        <v>2352</v>
      </c>
      <c r="C6305" t="s">
        <v>10</v>
      </c>
      <c r="D6305" t="s">
        <v>2353</v>
      </c>
      <c r="E6305">
        <f>1/30</f>
        <v>3.3333333333333333E-2</v>
      </c>
      <c r="F6305">
        <v>2</v>
      </c>
      <c r="G6305">
        <f>LOG(382/(2+1))</f>
        <v>2.1049421081920463</v>
      </c>
      <c r="H6305">
        <f>0.0333333333333333*4.84680831993846</f>
        <v>0.16156027733128184</v>
      </c>
      <c r="I6305">
        <v>0.1615602773312822</v>
      </c>
    </row>
    <row r="6306" spans="1:9" x14ac:dyDescent="0.25">
      <c r="A6306">
        <v>337</v>
      </c>
      <c r="B6306" t="s">
        <v>2352</v>
      </c>
      <c r="C6306" t="s">
        <v>10</v>
      </c>
      <c r="D6306" t="s">
        <v>920</v>
      </c>
      <c r="E6306">
        <f>2/30</f>
        <v>6.6666666666666666E-2</v>
      </c>
      <c r="F6306">
        <v>30</v>
      </c>
      <c r="G6306">
        <f>LOG(382/(30+1))</f>
        <v>1.090701669077436</v>
      </c>
      <c r="H6306">
        <f>0.0666666666666666*2.51143340412142</f>
        <v>0.16742889360809449</v>
      </c>
      <c r="I6306">
        <v>0.16742889360809529</v>
      </c>
    </row>
    <row r="6307" spans="1:9" x14ac:dyDescent="0.25">
      <c r="A6307">
        <v>337</v>
      </c>
      <c r="B6307" t="s">
        <v>2352</v>
      </c>
      <c r="C6307" t="s">
        <v>10</v>
      </c>
      <c r="D6307" t="s">
        <v>183</v>
      </c>
      <c r="E6307">
        <f>1/30</f>
        <v>3.3333333333333333E-2</v>
      </c>
      <c r="F6307">
        <v>46</v>
      </c>
      <c r="G6307">
        <f>LOG(382/(46+1))</f>
        <v>0.90996550497599127</v>
      </c>
      <c r="H6307">
        <f>0.0333333333333333*2.09527300689651</f>
        <v>6.9842433563216927E-2</v>
      </c>
      <c r="I6307">
        <v>6.9842433563217218E-2</v>
      </c>
    </row>
    <row r="6308" spans="1:9" x14ac:dyDescent="0.25">
      <c r="A6308">
        <v>337</v>
      </c>
      <c r="B6308" t="s">
        <v>2352</v>
      </c>
      <c r="C6308" t="s">
        <v>10</v>
      </c>
      <c r="D6308" t="s">
        <v>465</v>
      </c>
      <c r="E6308">
        <f>1/30</f>
        <v>3.3333333333333333E-2</v>
      </c>
      <c r="F6308">
        <v>36</v>
      </c>
      <c r="G6308">
        <f>LOG(382/(36+1))</f>
        <v>1.0138616388447137</v>
      </c>
      <c r="H6308">
        <f>0.0333333333333333*2.33450269596235</f>
        <v>7.7816756532078257E-2</v>
      </c>
      <c r="I6308">
        <v>7.7816756532078368E-2</v>
      </c>
    </row>
    <row r="6309" spans="1:9" x14ac:dyDescent="0.25">
      <c r="A6309">
        <v>337</v>
      </c>
      <c r="B6309" t="s">
        <v>2352</v>
      </c>
      <c r="C6309" t="s">
        <v>10</v>
      </c>
      <c r="D6309" t="s">
        <v>931</v>
      </c>
      <c r="E6309">
        <f>2/30</f>
        <v>6.6666666666666666E-2</v>
      </c>
      <c r="F6309">
        <v>22</v>
      </c>
      <c r="G6309">
        <f>LOG(382/(22+1))</f>
        <v>1.2203355268941158</v>
      </c>
      <c r="H6309">
        <f>0.0666666666666666*2.80992639267742</f>
        <v>0.18732842617849446</v>
      </c>
      <c r="I6309">
        <v>0.18732842617849499</v>
      </c>
    </row>
    <row r="6310" spans="1:9" x14ac:dyDescent="0.25">
      <c r="A6310">
        <v>337</v>
      </c>
      <c r="B6310" t="s">
        <v>2352</v>
      </c>
      <c r="C6310" t="s">
        <v>10</v>
      </c>
      <c r="D6310" t="s">
        <v>11</v>
      </c>
      <c r="E6310">
        <f t="shared" ref="E6310:E6331" si="282">1/30</f>
        <v>3.3333333333333333E-2</v>
      </c>
      <c r="F6310">
        <v>83</v>
      </c>
      <c r="G6310">
        <f>LOG(382/(83+1))</f>
        <v>0.65778407684982709</v>
      </c>
      <c r="H6310">
        <f>0.0333333333333333*1.51460380976326</f>
        <v>5.0486793658775279E-2</v>
      </c>
      <c r="I6310">
        <v>5.0486793658775377E-2</v>
      </c>
    </row>
    <row r="6311" spans="1:9" x14ac:dyDescent="0.25">
      <c r="A6311">
        <v>337</v>
      </c>
      <c r="B6311" t="s">
        <v>2352</v>
      </c>
      <c r="C6311" t="s">
        <v>10</v>
      </c>
      <c r="D6311" t="s">
        <v>1832</v>
      </c>
      <c r="E6311">
        <f t="shared" si="282"/>
        <v>3.3333333333333333E-2</v>
      </c>
      <c r="F6311">
        <v>9</v>
      </c>
      <c r="G6311">
        <f>LOG(382/(9+1))</f>
        <v>1.5820633629117087</v>
      </c>
      <c r="H6311">
        <f>0.0333333333333333*3.64283551561252</f>
        <v>0.12142785052041721</v>
      </c>
      <c r="I6311">
        <v>0.1214278505204176</v>
      </c>
    </row>
    <row r="6312" spans="1:9" x14ac:dyDescent="0.25">
      <c r="A6312">
        <v>337</v>
      </c>
      <c r="B6312" t="s">
        <v>2352</v>
      </c>
      <c r="C6312" t="s">
        <v>10</v>
      </c>
      <c r="D6312" t="s">
        <v>21</v>
      </c>
      <c r="E6312">
        <f t="shared" si="282"/>
        <v>3.3333333333333333E-2</v>
      </c>
      <c r="F6312">
        <v>14</v>
      </c>
      <c r="G6312">
        <f>LOG(382/(14+1))</f>
        <v>1.4059721038560276</v>
      </c>
      <c r="H6312">
        <f>0.0333333333333333*3.23737040750436</f>
        <v>0.10791234691681188</v>
      </c>
      <c r="I6312">
        <v>0.1079123469168122</v>
      </c>
    </row>
    <row r="6313" spans="1:9" x14ac:dyDescent="0.25">
      <c r="A6313">
        <v>337</v>
      </c>
      <c r="B6313" t="s">
        <v>2352</v>
      </c>
      <c r="C6313" t="s">
        <v>10</v>
      </c>
      <c r="D6313" t="s">
        <v>22</v>
      </c>
      <c r="E6313">
        <f t="shared" si="282"/>
        <v>3.3333333333333333E-2</v>
      </c>
      <c r="F6313">
        <v>259</v>
      </c>
      <c r="G6313">
        <f>LOG(382/(259+1))</f>
        <v>0.16709001494089079</v>
      </c>
      <c r="H6313">
        <f>0.0333333333333333*0.384738977591047</f>
        <v>1.282463258636822E-2</v>
      </c>
      <c r="I6313">
        <v>1.282463258636825E-2</v>
      </c>
    </row>
    <row r="6314" spans="1:9" x14ac:dyDescent="0.25">
      <c r="A6314">
        <v>337</v>
      </c>
      <c r="B6314" t="s">
        <v>2352</v>
      </c>
      <c r="C6314" t="s">
        <v>10</v>
      </c>
      <c r="D6314" t="s">
        <v>23</v>
      </c>
      <c r="E6314">
        <f t="shared" si="282"/>
        <v>3.3333333333333333E-2</v>
      </c>
      <c r="F6314">
        <v>275</v>
      </c>
      <c r="G6314">
        <f>LOG(382/(275+1))</f>
        <v>0.14115428084649101</v>
      </c>
      <c r="H6314">
        <f>0.0333333333333333*0.325019742889425</f>
        <v>1.0833991429647487E-2</v>
      </c>
      <c r="I6314">
        <v>1.0833991429647499E-2</v>
      </c>
    </row>
    <row r="6315" spans="1:9" x14ac:dyDescent="0.25">
      <c r="A6315">
        <v>337</v>
      </c>
      <c r="B6315" t="s">
        <v>2352</v>
      </c>
      <c r="C6315" t="s">
        <v>10</v>
      </c>
      <c r="D6315" t="s">
        <v>24</v>
      </c>
      <c r="E6315">
        <f t="shared" si="282"/>
        <v>3.3333333333333333E-2</v>
      </c>
      <c r="F6315">
        <v>59</v>
      </c>
      <c r="G6315">
        <f>LOG(382/(59+1))</f>
        <v>0.80391211252806505</v>
      </c>
      <c r="H6315">
        <f>0.0333333333333333*1.85107604638447</f>
        <v>6.1702534879482268E-2</v>
      </c>
      <c r="I6315">
        <v>6.1702534879482483E-2</v>
      </c>
    </row>
    <row r="6316" spans="1:9" x14ac:dyDescent="0.25">
      <c r="A6316">
        <v>337</v>
      </c>
      <c r="B6316" t="s">
        <v>2352</v>
      </c>
      <c r="C6316" t="s">
        <v>10</v>
      </c>
      <c r="D6316" t="s">
        <v>42</v>
      </c>
      <c r="E6316">
        <f t="shared" si="282"/>
        <v>3.3333333333333333E-2</v>
      </c>
      <c r="F6316">
        <v>251</v>
      </c>
      <c r="G6316">
        <f>LOG(382/(251+1))</f>
        <v>0.18066282213016463</v>
      </c>
      <c r="H6316">
        <f>0.0333333333333333*0.415991521095151</f>
        <v>1.3866384036505018E-2</v>
      </c>
      <c r="I6316">
        <v>1.386638403650506E-2</v>
      </c>
    </row>
    <row r="6317" spans="1:9" x14ac:dyDescent="0.25">
      <c r="A6317">
        <v>337</v>
      </c>
      <c r="B6317" t="s">
        <v>2352</v>
      </c>
      <c r="C6317" t="s">
        <v>10</v>
      </c>
      <c r="D6317" t="s">
        <v>2354</v>
      </c>
      <c r="E6317">
        <f t="shared" si="282"/>
        <v>3.3333333333333333E-2</v>
      </c>
      <c r="F6317">
        <v>4</v>
      </c>
      <c r="G6317">
        <f>LOG(382/(4+1))</f>
        <v>1.8830933585756899</v>
      </c>
      <c r="H6317">
        <f>0.0333333333333333*4.33598269617247</f>
        <v>0.14453275653908218</v>
      </c>
      <c r="I6317">
        <v>0.14453275653908251</v>
      </c>
    </row>
    <row r="6318" spans="1:9" x14ac:dyDescent="0.25">
      <c r="A6318">
        <v>337</v>
      </c>
      <c r="B6318" t="s">
        <v>2352</v>
      </c>
      <c r="C6318" t="s">
        <v>10</v>
      </c>
      <c r="D6318" t="s">
        <v>726</v>
      </c>
      <c r="E6318">
        <f t="shared" si="282"/>
        <v>3.3333333333333333E-2</v>
      </c>
      <c r="F6318">
        <v>37</v>
      </c>
      <c r="G6318">
        <f>LOG(382/(37+1))</f>
        <v>1.0022797662948986</v>
      </c>
      <c r="H6318">
        <f>0.0333333333333333*2.30783444888018</f>
        <v>7.6927814962672578E-2</v>
      </c>
      <c r="I6318">
        <v>7.6927814962672966E-2</v>
      </c>
    </row>
    <row r="6319" spans="1:9" x14ac:dyDescent="0.25">
      <c r="A6319">
        <v>337</v>
      </c>
      <c r="B6319" t="s">
        <v>2352</v>
      </c>
      <c r="C6319" t="s">
        <v>10</v>
      </c>
      <c r="D6319" t="s">
        <v>727</v>
      </c>
      <c r="E6319">
        <f t="shared" si="282"/>
        <v>3.3333333333333333E-2</v>
      </c>
      <c r="F6319">
        <v>9</v>
      </c>
      <c r="G6319">
        <f>LOG(382/(9+1))</f>
        <v>1.5820633629117087</v>
      </c>
      <c r="H6319">
        <f>0.0333333333333333*3.64283551561252</f>
        <v>0.12142785052041721</v>
      </c>
      <c r="I6319">
        <v>0.1214278505204176</v>
      </c>
    </row>
    <row r="6320" spans="1:9" x14ac:dyDescent="0.25">
      <c r="A6320">
        <v>337</v>
      </c>
      <c r="B6320" t="s">
        <v>2352</v>
      </c>
      <c r="C6320" t="s">
        <v>10</v>
      </c>
      <c r="D6320" t="s">
        <v>728</v>
      </c>
      <c r="E6320">
        <f t="shared" si="282"/>
        <v>3.3333333333333333E-2</v>
      </c>
      <c r="F6320">
        <v>9</v>
      </c>
      <c r="G6320">
        <f>LOG(382/(9+1))</f>
        <v>1.5820633629117087</v>
      </c>
      <c r="H6320">
        <f>0.0333333333333333*3.64283551561252</f>
        <v>0.12142785052041721</v>
      </c>
      <c r="I6320">
        <v>0.1214278505204176</v>
      </c>
    </row>
    <row r="6321" spans="1:9" x14ac:dyDescent="0.25">
      <c r="A6321">
        <v>337</v>
      </c>
      <c r="B6321" t="s">
        <v>2352</v>
      </c>
      <c r="C6321" t="s">
        <v>10</v>
      </c>
      <c r="D6321" t="s">
        <v>1015</v>
      </c>
      <c r="E6321">
        <f t="shared" si="282"/>
        <v>3.3333333333333333E-2</v>
      </c>
      <c r="F6321">
        <v>8</v>
      </c>
      <c r="G6321">
        <f>LOG(382/(8+1))</f>
        <v>1.6278208534723839</v>
      </c>
      <c r="H6321">
        <f>0.0333333333333333*3.74819603127035</f>
        <v>0.12493986770901154</v>
      </c>
      <c r="I6321">
        <v>0.1249398677090119</v>
      </c>
    </row>
    <row r="6322" spans="1:9" x14ac:dyDescent="0.25">
      <c r="A6322">
        <v>337</v>
      </c>
      <c r="B6322" t="s">
        <v>2352</v>
      </c>
      <c r="C6322" t="s">
        <v>10</v>
      </c>
      <c r="D6322" t="s">
        <v>2355</v>
      </c>
      <c r="E6322">
        <f t="shared" si="282"/>
        <v>3.3333333333333333E-2</v>
      </c>
      <c r="F6322">
        <v>1</v>
      </c>
      <c r="G6322">
        <f>LOG(382/(1+1))</f>
        <v>2.2810333672477277</v>
      </c>
      <c r="H6322">
        <f>0.0333333333333333*5.25227342804663</f>
        <v>0.17507578093488749</v>
      </c>
      <c r="I6322">
        <v>0.17507578093488771</v>
      </c>
    </row>
    <row r="6323" spans="1:9" x14ac:dyDescent="0.25">
      <c r="A6323">
        <v>337</v>
      </c>
      <c r="B6323" t="s">
        <v>2352</v>
      </c>
      <c r="C6323" t="s">
        <v>10</v>
      </c>
      <c r="D6323" t="s">
        <v>2356</v>
      </c>
      <c r="E6323">
        <f t="shared" si="282"/>
        <v>3.3333333333333333E-2</v>
      </c>
      <c r="F6323">
        <v>1</v>
      </c>
      <c r="G6323">
        <f>LOG(382/(1+1))</f>
        <v>2.2810333672477277</v>
      </c>
      <c r="H6323">
        <f>0.0333333333333333*5.25227342804663</f>
        <v>0.17507578093488749</v>
      </c>
      <c r="I6323">
        <v>0.17507578093488771</v>
      </c>
    </row>
    <row r="6324" spans="1:9" x14ac:dyDescent="0.25">
      <c r="A6324">
        <v>337</v>
      </c>
      <c r="B6324" t="s">
        <v>2352</v>
      </c>
      <c r="C6324" t="s">
        <v>10</v>
      </c>
      <c r="D6324" t="s">
        <v>17</v>
      </c>
      <c r="E6324">
        <f t="shared" si="282"/>
        <v>3.3333333333333333E-2</v>
      </c>
      <c r="F6324">
        <v>169</v>
      </c>
      <c r="G6324">
        <f>LOG(382/(169+1))</f>
        <v>0.3516144415334348</v>
      </c>
      <c r="H6324">
        <f>0.0333333333333333*0.809622171556313</f>
        <v>2.6987405718543737E-2</v>
      </c>
      <c r="I6324">
        <v>2.6987405718543779E-2</v>
      </c>
    </row>
    <row r="6325" spans="1:9" x14ac:dyDescent="0.25">
      <c r="A6325">
        <v>337</v>
      </c>
      <c r="B6325" t="s">
        <v>2352</v>
      </c>
      <c r="C6325" t="s">
        <v>10</v>
      </c>
      <c r="D6325" t="s">
        <v>19</v>
      </c>
      <c r="E6325">
        <f t="shared" si="282"/>
        <v>3.3333333333333333E-2</v>
      </c>
      <c r="F6325">
        <v>220</v>
      </c>
      <c r="G6325">
        <f>LOG(382/(220+1))</f>
        <v>0.23767108922659805</v>
      </c>
      <c r="H6325">
        <f>0.0333333333333333*0.547257907088822</f>
        <v>1.824193023629405E-2</v>
      </c>
      <c r="I6325">
        <v>1.8241930236294081E-2</v>
      </c>
    </row>
    <row r="6326" spans="1:9" x14ac:dyDescent="0.25">
      <c r="A6326">
        <v>337</v>
      </c>
      <c r="B6326" t="s">
        <v>2352</v>
      </c>
      <c r="C6326" t="s">
        <v>10</v>
      </c>
      <c r="D6326" t="s">
        <v>44</v>
      </c>
      <c r="E6326">
        <f t="shared" si="282"/>
        <v>3.3333333333333333E-2</v>
      </c>
      <c r="F6326">
        <v>151</v>
      </c>
      <c r="G6326">
        <f>LOG(382/(151+1))</f>
        <v>0.40021977496693617</v>
      </c>
      <c r="H6326">
        <f>0.0333333333333333*0.921540087760298</f>
        <v>3.0718002925343237E-2</v>
      </c>
      <c r="I6326">
        <v>3.0718002925343289E-2</v>
      </c>
    </row>
    <row r="6327" spans="1:9" x14ac:dyDescent="0.25">
      <c r="A6327">
        <v>337</v>
      </c>
      <c r="B6327" t="s">
        <v>2352</v>
      </c>
      <c r="C6327" t="s">
        <v>10</v>
      </c>
      <c r="D6327" t="s">
        <v>2357</v>
      </c>
      <c r="E6327">
        <f t="shared" si="282"/>
        <v>3.3333333333333333E-2</v>
      </c>
      <c r="F6327">
        <v>1</v>
      </c>
      <c r="G6327">
        <f>LOG(382/(1+1))</f>
        <v>2.2810333672477277</v>
      </c>
      <c r="H6327">
        <f>0.0333333333333333*5.25227342804663</f>
        <v>0.17507578093488749</v>
      </c>
      <c r="I6327">
        <v>0.17507578093488771</v>
      </c>
    </row>
    <row r="6328" spans="1:9" x14ac:dyDescent="0.25">
      <c r="A6328">
        <v>337</v>
      </c>
      <c r="B6328" t="s">
        <v>2352</v>
      </c>
      <c r="C6328" t="s">
        <v>10</v>
      </c>
      <c r="D6328" t="s">
        <v>779</v>
      </c>
      <c r="E6328">
        <f t="shared" si="282"/>
        <v>3.3333333333333333E-2</v>
      </c>
      <c r="F6328">
        <v>25</v>
      </c>
      <c r="G6328">
        <f>LOG(382/(25+1))</f>
        <v>1.1670900149408907</v>
      </c>
      <c r="H6328">
        <f>0.0333333333333333*2.68732407058509</f>
        <v>8.9577469019502906E-2</v>
      </c>
      <c r="I6328">
        <v>8.95774690195031E-2</v>
      </c>
    </row>
    <row r="6329" spans="1:9" x14ac:dyDescent="0.25">
      <c r="A6329">
        <v>337</v>
      </c>
      <c r="B6329" t="s">
        <v>2352</v>
      </c>
      <c r="C6329" t="s">
        <v>10</v>
      </c>
      <c r="D6329" t="s">
        <v>196</v>
      </c>
      <c r="E6329">
        <f t="shared" si="282"/>
        <v>3.3333333333333333E-2</v>
      </c>
      <c r="F6329">
        <v>33</v>
      </c>
      <c r="G6329">
        <f>LOG(382/(33+1))</f>
        <v>1.0505844458694535</v>
      </c>
      <c r="H6329">
        <f>0.0333333333333333*2.41906008399041</f>
        <v>8.0635336133013588E-2</v>
      </c>
      <c r="I6329">
        <v>8.0635336133013796E-2</v>
      </c>
    </row>
    <row r="6330" spans="1:9" x14ac:dyDescent="0.25">
      <c r="A6330">
        <v>337</v>
      </c>
      <c r="B6330" t="s">
        <v>2352</v>
      </c>
      <c r="C6330" t="s">
        <v>10</v>
      </c>
      <c r="D6330" t="s">
        <v>432</v>
      </c>
      <c r="E6330">
        <f t="shared" si="282"/>
        <v>3.3333333333333333E-2</v>
      </c>
      <c r="F6330">
        <v>67</v>
      </c>
      <c r="G6330">
        <f>LOG(382/(67+1))</f>
        <v>0.7495544502054724</v>
      </c>
      <c r="H6330">
        <f>0.0333333333333333*1.72591290343046</f>
        <v>5.7530430114348607E-2</v>
      </c>
      <c r="I6330">
        <v>5.753043011434894E-2</v>
      </c>
    </row>
    <row r="6331" spans="1:9" x14ac:dyDescent="0.25">
      <c r="A6331">
        <v>337</v>
      </c>
      <c r="B6331" t="s">
        <v>2352</v>
      </c>
      <c r="C6331" t="s">
        <v>10</v>
      </c>
      <c r="D6331" t="s">
        <v>1473</v>
      </c>
      <c r="E6331">
        <f t="shared" si="282"/>
        <v>3.3333333333333333E-2</v>
      </c>
      <c r="F6331">
        <v>39</v>
      </c>
      <c r="G6331">
        <f>LOG(382/(39+1))</f>
        <v>0.9800033715837464</v>
      </c>
      <c r="H6331">
        <f>0.0333333333333333*2.25654115449263</f>
        <v>7.5218038483087599E-2</v>
      </c>
      <c r="I6331">
        <v>7.5218038483087973E-2</v>
      </c>
    </row>
    <row r="6332" spans="1:9" x14ac:dyDescent="0.25">
      <c r="A6332">
        <v>338</v>
      </c>
      <c r="B6332" t="s">
        <v>2358</v>
      </c>
      <c r="C6332" t="s">
        <v>10</v>
      </c>
      <c r="D6332" t="s">
        <v>36</v>
      </c>
      <c r="E6332">
        <f>2/176</f>
        <v>1.1363636363636364E-2</v>
      </c>
      <c r="F6332">
        <v>58</v>
      </c>
      <c r="G6332">
        <f>LOG(382/(58+1))</f>
        <v>0.81121135126956456</v>
      </c>
      <c r="H6332">
        <f>0.0113636363636363*1.86788316470085</f>
        <v>2.122594505341863E-2</v>
      </c>
      <c r="I6332">
        <v>2.1225945053418811E-2</v>
      </c>
    </row>
    <row r="6333" spans="1:9" x14ac:dyDescent="0.25">
      <c r="A6333">
        <v>338</v>
      </c>
      <c r="B6333" t="s">
        <v>2358</v>
      </c>
      <c r="C6333" t="s">
        <v>10</v>
      </c>
      <c r="D6333" t="s">
        <v>2168</v>
      </c>
      <c r="E6333">
        <f>7/176</f>
        <v>3.9772727272727272E-2</v>
      </c>
      <c r="F6333">
        <v>2</v>
      </c>
      <c r="G6333">
        <f>LOG(382/(2+1))</f>
        <v>2.1049421081920463</v>
      </c>
      <c r="H6333">
        <f>0.0397727272727272*4.84680831993846</f>
        <v>0.1927707854520975</v>
      </c>
      <c r="I6333">
        <v>0.19277078545209811</v>
      </c>
    </row>
    <row r="6334" spans="1:9" x14ac:dyDescent="0.25">
      <c r="A6334">
        <v>338</v>
      </c>
      <c r="B6334" t="s">
        <v>2358</v>
      </c>
      <c r="C6334" t="s">
        <v>10</v>
      </c>
      <c r="D6334" t="s">
        <v>2359</v>
      </c>
      <c r="E6334">
        <f>6/176</f>
        <v>3.4090909090909088E-2</v>
      </c>
      <c r="F6334">
        <v>1</v>
      </c>
      <c r="G6334">
        <f>LOG(382/(1+1))</f>
        <v>2.2810333672477277</v>
      </c>
      <c r="H6334">
        <f>0.034090909090909*5.25227342804663</f>
        <v>0.17905477595613462</v>
      </c>
      <c r="I6334">
        <v>0.17905477595613509</v>
      </c>
    </row>
    <row r="6335" spans="1:9" x14ac:dyDescent="0.25">
      <c r="A6335">
        <v>338</v>
      </c>
      <c r="B6335" t="s">
        <v>2358</v>
      </c>
      <c r="C6335" t="s">
        <v>10</v>
      </c>
      <c r="D6335" t="s">
        <v>42</v>
      </c>
      <c r="E6335">
        <f>1/176</f>
        <v>5.681818181818182E-3</v>
      </c>
      <c r="F6335">
        <v>251</v>
      </c>
      <c r="G6335">
        <f>LOG(382/(251+1))</f>
        <v>0.18066282213016463</v>
      </c>
      <c r="H6335">
        <f>0.00568181818181818*0.415991521095151</f>
        <v>2.3635881880406297E-3</v>
      </c>
      <c r="I6335">
        <v>2.3635881880406358E-3</v>
      </c>
    </row>
    <row r="6336" spans="1:9" x14ac:dyDescent="0.25">
      <c r="A6336">
        <v>338</v>
      </c>
      <c r="B6336" t="s">
        <v>2358</v>
      </c>
      <c r="C6336" t="s">
        <v>10</v>
      </c>
      <c r="D6336" t="s">
        <v>40</v>
      </c>
      <c r="E6336">
        <f>9/176</f>
        <v>5.113636363636364E-2</v>
      </c>
      <c r="F6336">
        <v>159</v>
      </c>
      <c r="G6336">
        <f>LOG(382/(159+1))</f>
        <v>0.377943380255784</v>
      </c>
      <c r="H6336">
        <f>0.0511363636363636*0.870246793372748</f>
        <v>4.4501256479288216E-2</v>
      </c>
      <c r="I6336">
        <v>4.4501256479288272E-2</v>
      </c>
    </row>
    <row r="6337" spans="1:9" x14ac:dyDescent="0.25">
      <c r="A6337">
        <v>338</v>
      </c>
      <c r="B6337" t="s">
        <v>2358</v>
      </c>
      <c r="C6337" t="s">
        <v>10</v>
      </c>
      <c r="D6337" t="s">
        <v>41</v>
      </c>
      <c r="E6337">
        <f>8/176</f>
        <v>4.5454545454545456E-2</v>
      </c>
      <c r="F6337">
        <v>195</v>
      </c>
      <c r="G6337">
        <f>LOG(382/(195+1))</f>
        <v>0.28980729155523272</v>
      </c>
      <c r="H6337">
        <f>0.0454545454545454*0.667305949376058</f>
        <v>3.03320886080026E-2</v>
      </c>
      <c r="I6337">
        <v>3.0332088608002641E-2</v>
      </c>
    </row>
    <row r="6338" spans="1:9" x14ac:dyDescent="0.25">
      <c r="A6338">
        <v>338</v>
      </c>
      <c r="B6338" t="s">
        <v>2358</v>
      </c>
      <c r="C6338" t="s">
        <v>10</v>
      </c>
      <c r="D6338" t="s">
        <v>272</v>
      </c>
      <c r="E6338">
        <f>3/176</f>
        <v>1.7045454545454544E-2</v>
      </c>
      <c r="F6338">
        <v>17</v>
      </c>
      <c r="G6338">
        <f>LOG(382/(17+1))</f>
        <v>1.3267908578084027</v>
      </c>
      <c r="H6338">
        <f>0.0170454545454545*3.05504885071041</f>
        <v>5.2074696318927298E-2</v>
      </c>
      <c r="I6338">
        <v>5.2074696318927437E-2</v>
      </c>
    </row>
    <row r="6339" spans="1:9" x14ac:dyDescent="0.25">
      <c r="A6339">
        <v>338</v>
      </c>
      <c r="B6339" t="s">
        <v>2358</v>
      </c>
      <c r="C6339" t="s">
        <v>10</v>
      </c>
      <c r="D6339" t="s">
        <v>105</v>
      </c>
      <c r="E6339">
        <f>2/176</f>
        <v>1.1363636363636364E-2</v>
      </c>
      <c r="F6339">
        <v>122</v>
      </c>
      <c r="G6339">
        <f>LOG(382/(122+1))</f>
        <v>0.49215825147231079</v>
      </c>
      <c r="H6339">
        <f>0.0113636363636363*1.13323625323415</f>
        <v>1.2877684695842542E-2</v>
      </c>
      <c r="I6339">
        <v>1.28776846958427E-2</v>
      </c>
    </row>
    <row r="6340" spans="1:9" x14ac:dyDescent="0.25">
      <c r="A6340">
        <v>338</v>
      </c>
      <c r="B6340" t="s">
        <v>2358</v>
      </c>
      <c r="C6340" t="s">
        <v>10</v>
      </c>
      <c r="D6340" t="s">
        <v>38</v>
      </c>
      <c r="E6340">
        <f>1/176</f>
        <v>5.681818181818182E-3</v>
      </c>
      <c r="F6340">
        <v>86</v>
      </c>
      <c r="G6340">
        <f>LOG(382/(86+1))</f>
        <v>0.64254411029309022</v>
      </c>
      <c r="H6340">
        <f>0.00568181818181818*1.47951248995199</f>
        <v>8.4063209656363054E-3</v>
      </c>
      <c r="I6340">
        <v>8.4063209656363141E-3</v>
      </c>
    </row>
    <row r="6341" spans="1:9" x14ac:dyDescent="0.25">
      <c r="A6341">
        <v>338</v>
      </c>
      <c r="B6341" t="s">
        <v>2358</v>
      </c>
      <c r="C6341" t="s">
        <v>10</v>
      </c>
      <c r="D6341" t="s">
        <v>2360</v>
      </c>
      <c r="E6341">
        <f>1/176</f>
        <v>5.681818181818182E-3</v>
      </c>
      <c r="F6341">
        <v>1</v>
      </c>
      <c r="G6341">
        <f>LOG(382/(1+1))</f>
        <v>2.2810333672477277</v>
      </c>
      <c r="H6341">
        <f>0.00568181818181818*5.25227342804663</f>
        <v>2.9842462659355844E-2</v>
      </c>
      <c r="I6341">
        <v>2.9842462659355851E-2</v>
      </c>
    </row>
    <row r="6342" spans="1:9" x14ac:dyDescent="0.25">
      <c r="A6342">
        <v>338</v>
      </c>
      <c r="B6342" t="s">
        <v>2358</v>
      </c>
      <c r="C6342" t="s">
        <v>10</v>
      </c>
      <c r="D6342" t="s">
        <v>24</v>
      </c>
      <c r="E6342">
        <f>1/176</f>
        <v>5.681818181818182E-3</v>
      </c>
      <c r="F6342">
        <v>59</v>
      </c>
      <c r="G6342">
        <f>LOG(382/(59+1))</f>
        <v>0.80391211252806505</v>
      </c>
      <c r="H6342">
        <f>0.00568181818181818*1.85107604638447</f>
        <v>1.0517477536275395E-2</v>
      </c>
      <c r="I6342">
        <v>1.0517477536275421E-2</v>
      </c>
    </row>
    <row r="6343" spans="1:9" x14ac:dyDescent="0.25">
      <c r="A6343">
        <v>338</v>
      </c>
      <c r="B6343" t="s">
        <v>2358</v>
      </c>
      <c r="C6343" t="s">
        <v>10</v>
      </c>
      <c r="D6343" t="s">
        <v>2361</v>
      </c>
      <c r="E6343">
        <f>1/176</f>
        <v>5.681818181818182E-3</v>
      </c>
      <c r="F6343">
        <v>1</v>
      </c>
      <c r="G6343">
        <f>LOG(382/(1+1))</f>
        <v>2.2810333672477277</v>
      </c>
      <c r="H6343">
        <f>0.00568181818181818*5.25227342804663</f>
        <v>2.9842462659355844E-2</v>
      </c>
      <c r="I6343">
        <v>2.9842462659355851E-2</v>
      </c>
    </row>
    <row r="6344" spans="1:9" x14ac:dyDescent="0.25">
      <c r="A6344">
        <v>338</v>
      </c>
      <c r="B6344" t="s">
        <v>2358</v>
      </c>
      <c r="C6344" t="s">
        <v>10</v>
      </c>
      <c r="D6344" t="s">
        <v>2362</v>
      </c>
      <c r="E6344">
        <f>2/176</f>
        <v>1.1363636363636364E-2</v>
      </c>
      <c r="F6344">
        <v>1</v>
      </c>
      <c r="G6344">
        <f>LOG(382/(1+1))</f>
        <v>2.2810333672477277</v>
      </c>
      <c r="H6344">
        <f>0.0113636363636363*5.25227342804663</f>
        <v>5.968492531871137E-2</v>
      </c>
      <c r="I6344">
        <v>5.9684925318711703E-2</v>
      </c>
    </row>
    <row r="6345" spans="1:9" x14ac:dyDescent="0.25">
      <c r="A6345">
        <v>338</v>
      </c>
      <c r="B6345" t="s">
        <v>2358</v>
      </c>
      <c r="C6345" t="s">
        <v>10</v>
      </c>
      <c r="D6345" t="s">
        <v>902</v>
      </c>
      <c r="E6345">
        <f>2/176</f>
        <v>1.1363636363636364E-2</v>
      </c>
      <c r="F6345">
        <v>5</v>
      </c>
      <c r="G6345">
        <f>LOG(382/(5+1))</f>
        <v>1.803912112528065</v>
      </c>
      <c r="H6345">
        <f>0.0113636363636363*4.15366113937852</f>
        <v>4.7200694765664734E-2</v>
      </c>
      <c r="I6345">
        <v>4.7200694765664998E-2</v>
      </c>
    </row>
    <row r="6346" spans="1:9" x14ac:dyDescent="0.25">
      <c r="A6346">
        <v>338</v>
      </c>
      <c r="B6346" t="s">
        <v>2358</v>
      </c>
      <c r="C6346" t="s">
        <v>10</v>
      </c>
      <c r="D6346" t="s">
        <v>2363</v>
      </c>
      <c r="E6346">
        <f>1/176</f>
        <v>5.681818181818182E-3</v>
      </c>
      <c r="F6346">
        <v>1</v>
      </c>
      <c r="G6346">
        <f>LOG(382/(1+1))</f>
        <v>2.2810333672477277</v>
      </c>
      <c r="H6346">
        <f>0.00568181818181818*5.25227342804663</f>
        <v>2.9842462659355844E-2</v>
      </c>
      <c r="I6346">
        <v>2.9842462659355851E-2</v>
      </c>
    </row>
    <row r="6347" spans="1:9" x14ac:dyDescent="0.25">
      <c r="A6347">
        <v>338</v>
      </c>
      <c r="B6347" t="s">
        <v>2358</v>
      </c>
      <c r="C6347" t="s">
        <v>10</v>
      </c>
      <c r="D6347" t="s">
        <v>236</v>
      </c>
      <c r="E6347">
        <f>1/176</f>
        <v>5.681818181818182E-3</v>
      </c>
      <c r="F6347">
        <v>87</v>
      </c>
      <c r="G6347">
        <f>LOG(382/(87+1))</f>
        <v>0.63758069076154011</v>
      </c>
      <c r="H6347">
        <f>0.00568181818181818*1.46808379412836</f>
        <v>8.3413851939111334E-3</v>
      </c>
      <c r="I6347">
        <v>8.3413851939111855E-3</v>
      </c>
    </row>
    <row r="6348" spans="1:9" x14ac:dyDescent="0.25">
      <c r="A6348">
        <v>338</v>
      </c>
      <c r="B6348" t="s">
        <v>2358</v>
      </c>
      <c r="C6348" t="s">
        <v>10</v>
      </c>
      <c r="D6348" t="s">
        <v>2364</v>
      </c>
      <c r="E6348">
        <f>2/176</f>
        <v>1.1363636363636364E-2</v>
      </c>
      <c r="F6348">
        <v>2</v>
      </c>
      <c r="G6348">
        <f>LOG(382/(2+1))</f>
        <v>2.1049421081920463</v>
      </c>
      <c r="H6348">
        <f>0.0113636363636363*4.84680831993846</f>
        <v>5.5077367272027646E-2</v>
      </c>
      <c r="I6348">
        <v>5.5077367272028013E-2</v>
      </c>
    </row>
    <row r="6349" spans="1:9" x14ac:dyDescent="0.25">
      <c r="A6349">
        <v>338</v>
      </c>
      <c r="B6349" t="s">
        <v>2358</v>
      </c>
      <c r="C6349" t="s">
        <v>10</v>
      </c>
      <c r="D6349" t="s">
        <v>31</v>
      </c>
      <c r="E6349">
        <f>1/176</f>
        <v>5.681818181818182E-3</v>
      </c>
      <c r="F6349">
        <v>31</v>
      </c>
      <c r="G6349">
        <f>LOG(382/(31+1))</f>
        <v>1.0769133845918029</v>
      </c>
      <c r="H6349">
        <f>0.00568181818181818*2.47968470580684</f>
        <v>1.4089117646629769E-2</v>
      </c>
      <c r="I6349">
        <v>1.4089117646629821E-2</v>
      </c>
    </row>
    <row r="6350" spans="1:9" x14ac:dyDescent="0.25">
      <c r="A6350">
        <v>338</v>
      </c>
      <c r="B6350" t="s">
        <v>2358</v>
      </c>
      <c r="C6350" t="s">
        <v>10</v>
      </c>
      <c r="D6350" t="s">
        <v>2365</v>
      </c>
      <c r="E6350">
        <f>1/176</f>
        <v>5.681818181818182E-3</v>
      </c>
      <c r="F6350">
        <v>2</v>
      </c>
      <c r="G6350">
        <f>LOG(382/(2+1))</f>
        <v>2.1049421081920463</v>
      </c>
      <c r="H6350">
        <f>0.00568181818181818*4.84680831993846</f>
        <v>2.7538683636013968E-2</v>
      </c>
      <c r="I6350">
        <v>2.753868363601401E-2</v>
      </c>
    </row>
    <row r="6351" spans="1:9" x14ac:dyDescent="0.25">
      <c r="A6351">
        <v>338</v>
      </c>
      <c r="B6351" t="s">
        <v>2358</v>
      </c>
      <c r="C6351" t="s">
        <v>10</v>
      </c>
      <c r="D6351" t="s">
        <v>1289</v>
      </c>
      <c r="E6351">
        <f>1/176</f>
        <v>5.681818181818182E-3</v>
      </c>
      <c r="F6351">
        <v>8</v>
      </c>
      <c r="G6351">
        <f>LOG(382/(8+1))</f>
        <v>1.6278208534723839</v>
      </c>
      <c r="H6351">
        <f>0.00568181818181818*3.74819603127035</f>
        <v>2.129656835949062E-2</v>
      </c>
      <c r="I6351">
        <v>2.1296568359490661E-2</v>
      </c>
    </row>
    <row r="6352" spans="1:9" x14ac:dyDescent="0.25">
      <c r="A6352">
        <v>338</v>
      </c>
      <c r="B6352" t="s">
        <v>2358</v>
      </c>
      <c r="C6352" t="s">
        <v>10</v>
      </c>
      <c r="D6352" t="s">
        <v>345</v>
      </c>
      <c r="E6352">
        <f>1/176</f>
        <v>5.681818181818182E-3</v>
      </c>
      <c r="F6352">
        <v>8</v>
      </c>
      <c r="G6352">
        <f>LOG(382/(8+1))</f>
        <v>1.6278208534723839</v>
      </c>
      <c r="H6352">
        <f>0.00568181818181818*3.74819603127035</f>
        <v>2.129656835949062E-2</v>
      </c>
      <c r="I6352">
        <v>2.1296568359490661E-2</v>
      </c>
    </row>
    <row r="6353" spans="1:9" x14ac:dyDescent="0.25">
      <c r="A6353">
        <v>338</v>
      </c>
      <c r="B6353" t="s">
        <v>2358</v>
      </c>
      <c r="C6353" t="s">
        <v>10</v>
      </c>
      <c r="D6353" t="s">
        <v>814</v>
      </c>
      <c r="E6353">
        <f>3/176</f>
        <v>1.7045454545454544E-2</v>
      </c>
      <c r="F6353">
        <v>18</v>
      </c>
      <c r="G6353">
        <f>LOG(382/(18+1))</f>
        <v>1.3033097619588798</v>
      </c>
      <c r="H6353">
        <f>0.0170454545454545*3.00098162944013</f>
        <v>5.1153095956365718E-2</v>
      </c>
      <c r="I6353">
        <v>5.1153095956365927E-2</v>
      </c>
    </row>
    <row r="6354" spans="1:9" x14ac:dyDescent="0.25">
      <c r="A6354">
        <v>338</v>
      </c>
      <c r="B6354" t="s">
        <v>2358</v>
      </c>
      <c r="C6354" t="s">
        <v>10</v>
      </c>
      <c r="D6354" t="s">
        <v>514</v>
      </c>
      <c r="E6354">
        <f>1/176</f>
        <v>5.681818181818182E-3</v>
      </c>
      <c r="F6354">
        <v>6</v>
      </c>
      <c r="G6354">
        <f>LOG(382/(6+1))</f>
        <v>1.736965322897452</v>
      </c>
      <c r="H6354">
        <f>0.00568181818181818*3.99951045955126</f>
        <v>2.2724491247450334E-2</v>
      </c>
      <c r="I6354">
        <v>2.2724491247450351E-2</v>
      </c>
    </row>
    <row r="6355" spans="1:9" x14ac:dyDescent="0.25">
      <c r="A6355">
        <v>338</v>
      </c>
      <c r="B6355" t="s">
        <v>2358</v>
      </c>
      <c r="C6355" t="s">
        <v>10</v>
      </c>
      <c r="D6355" t="s">
        <v>19</v>
      </c>
      <c r="E6355">
        <f>1/176</f>
        <v>5.681818181818182E-3</v>
      </c>
      <c r="F6355">
        <v>220</v>
      </c>
      <c r="G6355">
        <f>LOG(382/(220+1))</f>
        <v>0.23767108922659805</v>
      </c>
      <c r="H6355">
        <f>0.00568181818181818*0.547257907088822</f>
        <v>3.1094199266410334E-3</v>
      </c>
      <c r="I6355">
        <v>3.109419926641036E-3</v>
      </c>
    </row>
    <row r="6356" spans="1:9" x14ac:dyDescent="0.25">
      <c r="A6356">
        <v>338</v>
      </c>
      <c r="B6356" t="s">
        <v>2358</v>
      </c>
      <c r="C6356" t="s">
        <v>10</v>
      </c>
      <c r="D6356" t="s">
        <v>195</v>
      </c>
      <c r="E6356">
        <f>1/176</f>
        <v>5.681818181818182E-3</v>
      </c>
      <c r="F6356">
        <v>55</v>
      </c>
      <c r="G6356">
        <f>LOG(382/(55+1))</f>
        <v>0.83387533590550833</v>
      </c>
      <c r="H6356">
        <f>0.00568181818181818*1.92006891787142</f>
        <v>1.0909482487905794E-2</v>
      </c>
      <c r="I6356">
        <v>1.090948248790583E-2</v>
      </c>
    </row>
    <row r="6357" spans="1:9" x14ac:dyDescent="0.25">
      <c r="A6357">
        <v>338</v>
      </c>
      <c r="B6357" t="s">
        <v>2358</v>
      </c>
      <c r="C6357" t="s">
        <v>10</v>
      </c>
      <c r="D6357" t="s">
        <v>2366</v>
      </c>
      <c r="E6357">
        <f>1/176</f>
        <v>5.681818181818182E-3</v>
      </c>
      <c r="F6357">
        <v>2</v>
      </c>
      <c r="G6357">
        <f>LOG(382/(2+1))</f>
        <v>2.1049421081920463</v>
      </c>
      <c r="H6357">
        <f>0.00568181818181818*4.84680831993846</f>
        <v>2.7538683636013968E-2</v>
      </c>
      <c r="I6357">
        <v>2.753868363601401E-2</v>
      </c>
    </row>
    <row r="6358" spans="1:9" x14ac:dyDescent="0.25">
      <c r="A6358">
        <v>338</v>
      </c>
      <c r="B6358" t="s">
        <v>2358</v>
      </c>
      <c r="C6358" t="s">
        <v>10</v>
      </c>
      <c r="D6358" t="s">
        <v>779</v>
      </c>
      <c r="E6358">
        <f>2/176</f>
        <v>1.1363636363636364E-2</v>
      </c>
      <c r="F6358">
        <v>25</v>
      </c>
      <c r="G6358">
        <f>LOG(382/(25+1))</f>
        <v>1.1670900149408907</v>
      </c>
      <c r="H6358">
        <f>0.0113636363636363*2.68732407058509</f>
        <v>3.0537773529375853E-2</v>
      </c>
      <c r="I6358">
        <v>3.0537773529376061E-2</v>
      </c>
    </row>
    <row r="6359" spans="1:9" x14ac:dyDescent="0.25">
      <c r="A6359">
        <v>338</v>
      </c>
      <c r="B6359" t="s">
        <v>2358</v>
      </c>
      <c r="C6359" t="s">
        <v>10</v>
      </c>
      <c r="D6359" t="s">
        <v>1401</v>
      </c>
      <c r="E6359">
        <f t="shared" ref="E6359:E6364" si="283">1/176</f>
        <v>5.681818181818182E-3</v>
      </c>
      <c r="F6359">
        <v>16</v>
      </c>
      <c r="G6359">
        <f>LOG(382/(16+1))</f>
        <v>1.3516144415334348</v>
      </c>
      <c r="H6359">
        <f>0.00568181818181818*3.11220726455035</f>
        <v>1.7682995821308802E-2</v>
      </c>
      <c r="I6359">
        <v>1.7682995821308861E-2</v>
      </c>
    </row>
    <row r="6360" spans="1:9" x14ac:dyDescent="0.25">
      <c r="A6360">
        <v>338</v>
      </c>
      <c r="B6360" t="s">
        <v>2358</v>
      </c>
      <c r="C6360" t="s">
        <v>10</v>
      </c>
      <c r="D6360" t="s">
        <v>2367</v>
      </c>
      <c r="E6360">
        <f t="shared" si="283"/>
        <v>5.681818181818182E-3</v>
      </c>
      <c r="F6360">
        <v>1</v>
      </c>
      <c r="G6360">
        <f>LOG(382/(1+1))</f>
        <v>2.2810333672477277</v>
      </c>
      <c r="H6360">
        <f>0.00568181818181818*5.25227342804663</f>
        <v>2.9842462659355844E-2</v>
      </c>
      <c r="I6360">
        <v>2.9842462659355851E-2</v>
      </c>
    </row>
    <row r="6361" spans="1:9" x14ac:dyDescent="0.25">
      <c r="A6361">
        <v>338</v>
      </c>
      <c r="B6361" t="s">
        <v>2358</v>
      </c>
      <c r="C6361" t="s">
        <v>10</v>
      </c>
      <c r="D6361" t="s">
        <v>432</v>
      </c>
      <c r="E6361">
        <f t="shared" si="283"/>
        <v>5.681818181818182E-3</v>
      </c>
      <c r="F6361">
        <v>67</v>
      </c>
      <c r="G6361">
        <f>LOG(382/(67+1))</f>
        <v>0.7495544502054724</v>
      </c>
      <c r="H6361">
        <f>0.00568181818181818*1.72591290343046</f>
        <v>9.8063233149457939E-3</v>
      </c>
      <c r="I6361">
        <v>9.8063233149458424E-3</v>
      </c>
    </row>
    <row r="6362" spans="1:9" x14ac:dyDescent="0.25">
      <c r="A6362">
        <v>338</v>
      </c>
      <c r="B6362" t="s">
        <v>2358</v>
      </c>
      <c r="C6362" t="s">
        <v>10</v>
      </c>
      <c r="D6362" t="s">
        <v>1473</v>
      </c>
      <c r="E6362">
        <f t="shared" si="283"/>
        <v>5.681818181818182E-3</v>
      </c>
      <c r="F6362">
        <v>39</v>
      </c>
      <c r="G6362">
        <f>LOG(382/(39+1))</f>
        <v>0.9800033715837464</v>
      </c>
      <c r="H6362">
        <f>0.00568181818181818*2.25654115449263</f>
        <v>1.2821256559617213E-2</v>
      </c>
      <c r="I6362">
        <v>1.2821256559617271E-2</v>
      </c>
    </row>
    <row r="6363" spans="1:9" x14ac:dyDescent="0.25">
      <c r="A6363">
        <v>338</v>
      </c>
      <c r="B6363" t="s">
        <v>2358</v>
      </c>
      <c r="C6363" t="s">
        <v>10</v>
      </c>
      <c r="D6363" t="s">
        <v>542</v>
      </c>
      <c r="E6363">
        <f t="shared" si="283"/>
        <v>5.681818181818182E-3</v>
      </c>
      <c r="F6363">
        <v>42</v>
      </c>
      <c r="G6363">
        <f>LOG(382/(42+1))</f>
        <v>0.94859490733212215</v>
      </c>
      <c r="H6363">
        <f>0.00568181818181818*2.18422049291301</f>
        <v>1.2410343709733008E-2</v>
      </c>
      <c r="I6363">
        <v>1.241034370973303E-2</v>
      </c>
    </row>
    <row r="6364" spans="1:9" x14ac:dyDescent="0.25">
      <c r="A6364">
        <v>338</v>
      </c>
      <c r="B6364" t="s">
        <v>2358</v>
      </c>
      <c r="C6364" t="s">
        <v>10</v>
      </c>
      <c r="D6364" t="s">
        <v>1405</v>
      </c>
      <c r="E6364">
        <f t="shared" si="283"/>
        <v>5.681818181818182E-3</v>
      </c>
      <c r="F6364">
        <v>14</v>
      </c>
      <c r="G6364">
        <f>LOG(382/(14+1))</f>
        <v>1.4059721038560276</v>
      </c>
      <c r="H6364">
        <f>0.00568181818181818*3.23737040750436</f>
        <v>1.8394150042638405E-2</v>
      </c>
      <c r="I6364">
        <v>1.8394150042638439E-2</v>
      </c>
    </row>
    <row r="6365" spans="1:9" x14ac:dyDescent="0.25">
      <c r="A6365">
        <v>338</v>
      </c>
      <c r="B6365" t="s">
        <v>2358</v>
      </c>
      <c r="C6365" t="s">
        <v>10</v>
      </c>
      <c r="D6365" t="s">
        <v>596</v>
      </c>
      <c r="E6365">
        <f>3/176</f>
        <v>1.7045454545454544E-2</v>
      </c>
      <c r="F6365">
        <v>60</v>
      </c>
      <c r="G6365">
        <f>LOG(382/(60+1))</f>
        <v>0.79673352790094176</v>
      </c>
      <c r="H6365">
        <f>0.0170454545454545*1.83454674443326</f>
        <v>3.1270683143748666E-2</v>
      </c>
      <c r="I6365">
        <v>3.1270683143748812E-2</v>
      </c>
    </row>
    <row r="6366" spans="1:9" x14ac:dyDescent="0.25">
      <c r="A6366">
        <v>338</v>
      </c>
      <c r="B6366" t="s">
        <v>2358</v>
      </c>
      <c r="C6366" t="s">
        <v>10</v>
      </c>
      <c r="D6366" t="s">
        <v>1399</v>
      </c>
      <c r="E6366">
        <f>2/176</f>
        <v>1.1363636363636364E-2</v>
      </c>
      <c r="F6366">
        <v>7</v>
      </c>
      <c r="G6366">
        <f>LOG(382/(7+1))</f>
        <v>1.6789733759197651</v>
      </c>
      <c r="H6366">
        <f>0.0113636363636363*3.86597906692673</f>
        <v>4.3931580305985325E-2</v>
      </c>
      <c r="I6366">
        <v>4.3931580305985672E-2</v>
      </c>
    </row>
    <row r="6367" spans="1:9" x14ac:dyDescent="0.25">
      <c r="A6367">
        <v>338</v>
      </c>
      <c r="B6367" t="s">
        <v>2358</v>
      </c>
      <c r="C6367" t="s">
        <v>10</v>
      </c>
      <c r="D6367" t="s">
        <v>25</v>
      </c>
      <c r="E6367">
        <f>1/176</f>
        <v>5.681818181818182E-3</v>
      </c>
      <c r="F6367">
        <v>106</v>
      </c>
      <c r="G6367">
        <f>LOG(382/(106+1))</f>
        <v>0.55267958522649907</v>
      </c>
      <c r="H6367">
        <f>0.00568181818181818*1.27259177414466</f>
        <v>7.2306350803673838E-3</v>
      </c>
      <c r="I6367">
        <v>7.2306350803674384E-3</v>
      </c>
    </row>
    <row r="6368" spans="1:9" x14ac:dyDescent="0.25">
      <c r="A6368">
        <v>338</v>
      </c>
      <c r="B6368" t="s">
        <v>2358</v>
      </c>
      <c r="C6368" t="s">
        <v>10</v>
      </c>
      <c r="D6368" t="s">
        <v>2368</v>
      </c>
      <c r="E6368">
        <f>1/176</f>
        <v>5.681818181818182E-3</v>
      </c>
      <c r="F6368">
        <v>2</v>
      </c>
      <c r="G6368">
        <f>LOG(382/(2+1))</f>
        <v>2.1049421081920463</v>
      </c>
      <c r="H6368">
        <f>0.00568181818181818*4.84680831993846</f>
        <v>2.7538683636013968E-2</v>
      </c>
      <c r="I6368">
        <v>2.753868363601401E-2</v>
      </c>
    </row>
    <row r="6369" spans="1:9" x14ac:dyDescent="0.25">
      <c r="A6369">
        <v>338</v>
      </c>
      <c r="B6369" t="s">
        <v>2358</v>
      </c>
      <c r="C6369" t="s">
        <v>10</v>
      </c>
      <c r="D6369" t="s">
        <v>144</v>
      </c>
      <c r="E6369">
        <f>3/176</f>
        <v>1.7045454545454544E-2</v>
      </c>
      <c r="F6369">
        <v>105</v>
      </c>
      <c r="G6369">
        <f>LOG(382/(105+1))</f>
        <v>0.55675749764693849</v>
      </c>
      <c r="H6369">
        <f>0.0170454545454545*1.2819815144945</f>
        <v>2.1851957633428915E-2</v>
      </c>
      <c r="I6369">
        <v>2.1851957633429109E-2</v>
      </c>
    </row>
    <row r="6370" spans="1:9" x14ac:dyDescent="0.25">
      <c r="A6370">
        <v>338</v>
      </c>
      <c r="B6370" t="s">
        <v>2358</v>
      </c>
      <c r="C6370" t="s">
        <v>10</v>
      </c>
      <c r="D6370" t="s">
        <v>793</v>
      </c>
      <c r="E6370">
        <f>1/176</f>
        <v>5.681818181818182E-3</v>
      </c>
      <c r="F6370">
        <v>2</v>
      </c>
      <c r="G6370">
        <f>LOG(382/(2+1))</f>
        <v>2.1049421081920463</v>
      </c>
      <c r="H6370">
        <f>0.00568181818181818*4.84680831993846</f>
        <v>2.7538683636013968E-2</v>
      </c>
      <c r="I6370">
        <v>2.753868363601401E-2</v>
      </c>
    </row>
    <row r="6371" spans="1:9" x14ac:dyDescent="0.25">
      <c r="A6371">
        <v>338</v>
      </c>
      <c r="B6371" t="s">
        <v>2358</v>
      </c>
      <c r="C6371" t="s">
        <v>10</v>
      </c>
      <c r="D6371" t="s">
        <v>81</v>
      </c>
      <c r="E6371">
        <f>1/176</f>
        <v>5.681818181818182E-3</v>
      </c>
      <c r="F6371">
        <v>114</v>
      </c>
      <c r="G6371">
        <f>LOG(382/(114+1))</f>
        <v>0.52136552255809698</v>
      </c>
      <c r="H6371">
        <f>0.00568181818181818*1.20048848024332</f>
        <v>6.8209572741097712E-3</v>
      </c>
      <c r="I6371">
        <v>6.8209572741098016E-3</v>
      </c>
    </row>
    <row r="6372" spans="1:9" x14ac:dyDescent="0.25">
      <c r="A6372">
        <v>338</v>
      </c>
      <c r="B6372" t="s">
        <v>2358</v>
      </c>
      <c r="C6372" t="s">
        <v>10</v>
      </c>
      <c r="D6372" t="s">
        <v>600</v>
      </c>
      <c r="E6372">
        <f>1/176</f>
        <v>5.681818181818182E-3</v>
      </c>
      <c r="F6372">
        <v>102</v>
      </c>
      <c r="G6372">
        <f>LOG(382/(102+1))</f>
        <v>0.56922613820653656</v>
      </c>
      <c r="H6372">
        <f>0.00568181818181818*1.31069162037693</f>
        <v>7.4471114794143738E-3</v>
      </c>
      <c r="I6372">
        <v>7.4471114794144276E-3</v>
      </c>
    </row>
    <row r="6373" spans="1:9" x14ac:dyDescent="0.25">
      <c r="A6373">
        <v>338</v>
      </c>
      <c r="B6373" t="s">
        <v>2358</v>
      </c>
      <c r="C6373" t="s">
        <v>10</v>
      </c>
      <c r="D6373" t="s">
        <v>133</v>
      </c>
      <c r="E6373">
        <f>5/176</f>
        <v>2.8409090909090908E-2</v>
      </c>
      <c r="F6373">
        <v>142</v>
      </c>
      <c r="G6373">
        <f>LOG(382/(142+1))</f>
        <v>0.42672732544664693</v>
      </c>
      <c r="H6373">
        <f>0.0284090909090909*0.982575978346667</f>
        <v>2.7914090293939396E-2</v>
      </c>
      <c r="I6373">
        <v>2.7914090293939431E-2</v>
      </c>
    </row>
    <row r="6374" spans="1:9" x14ac:dyDescent="0.25">
      <c r="A6374">
        <v>338</v>
      </c>
      <c r="B6374" t="s">
        <v>2358</v>
      </c>
      <c r="C6374" t="s">
        <v>10</v>
      </c>
      <c r="D6374" t="s">
        <v>76</v>
      </c>
      <c r="E6374">
        <f>6/176</f>
        <v>3.4090909090909088E-2</v>
      </c>
      <c r="F6374">
        <v>140</v>
      </c>
      <c r="G6374">
        <f>LOG(382/(140+1))</f>
        <v>0.43284425025632883</v>
      </c>
      <c r="H6374">
        <f>0.034090909090909*0.996660718228407</f>
        <v>3.3977069939604691E-2</v>
      </c>
      <c r="I6374">
        <v>3.3977069939604782E-2</v>
      </c>
    </row>
    <row r="6375" spans="1:9" x14ac:dyDescent="0.25">
      <c r="A6375">
        <v>338</v>
      </c>
      <c r="B6375" t="s">
        <v>2358</v>
      </c>
      <c r="C6375" t="s">
        <v>10</v>
      </c>
      <c r="D6375" t="s">
        <v>260</v>
      </c>
      <c r="E6375">
        <f>1/176</f>
        <v>5.681818181818182E-3</v>
      </c>
      <c r="F6375">
        <v>31</v>
      </c>
      <c r="G6375">
        <f>LOG(382/(31+1))</f>
        <v>1.0769133845918029</v>
      </c>
      <c r="H6375">
        <f>0.00568181818181818*2.47968470580684</f>
        <v>1.4089117646629769E-2</v>
      </c>
      <c r="I6375">
        <v>1.4089117646629821E-2</v>
      </c>
    </row>
    <row r="6376" spans="1:9" x14ac:dyDescent="0.25">
      <c r="A6376">
        <v>338</v>
      </c>
      <c r="B6376" t="s">
        <v>2358</v>
      </c>
      <c r="C6376" t="s">
        <v>10</v>
      </c>
      <c r="D6376" t="s">
        <v>913</v>
      </c>
      <c r="E6376">
        <f>1/176</f>
        <v>5.681818181818182E-3</v>
      </c>
      <c r="F6376">
        <v>14</v>
      </c>
      <c r="G6376">
        <f>LOG(382/(14+1))</f>
        <v>1.4059721038560276</v>
      </c>
      <c r="H6376">
        <f>0.00568181818181818*3.23737040750436</f>
        <v>1.8394150042638405E-2</v>
      </c>
      <c r="I6376">
        <v>1.8394150042638439E-2</v>
      </c>
    </row>
    <row r="6377" spans="1:9" x14ac:dyDescent="0.25">
      <c r="A6377">
        <v>338</v>
      </c>
      <c r="B6377" t="s">
        <v>2358</v>
      </c>
      <c r="C6377" t="s">
        <v>10</v>
      </c>
      <c r="D6377" t="s">
        <v>898</v>
      </c>
      <c r="E6377">
        <f>3/176</f>
        <v>1.7045454545454544E-2</v>
      </c>
      <c r="F6377">
        <v>22</v>
      </c>
      <c r="G6377">
        <f>LOG(382/(22+1))</f>
        <v>1.2203355268941158</v>
      </c>
      <c r="H6377">
        <f>0.0170454545454545*2.80992639267742</f>
        <v>4.7896472602455886E-2</v>
      </c>
      <c r="I6377">
        <v>4.7896472602456122E-2</v>
      </c>
    </row>
    <row r="6378" spans="1:9" x14ac:dyDescent="0.25">
      <c r="A6378">
        <v>338</v>
      </c>
      <c r="B6378" t="s">
        <v>2358</v>
      </c>
      <c r="C6378" t="s">
        <v>10</v>
      </c>
      <c r="D6378" t="s">
        <v>1853</v>
      </c>
      <c r="E6378">
        <f t="shared" ref="E6378:E6385" si="284">1/176</f>
        <v>5.681818181818182E-3</v>
      </c>
      <c r="F6378">
        <v>15</v>
      </c>
      <c r="G6378">
        <f>LOG(382/(15+1))</f>
        <v>1.3779433802557839</v>
      </c>
      <c r="H6378">
        <f>0.00568181818181818*3.17283188636679</f>
        <v>1.8027453899811304E-2</v>
      </c>
      <c r="I6378">
        <v>1.8027453899811328E-2</v>
      </c>
    </row>
    <row r="6379" spans="1:9" x14ac:dyDescent="0.25">
      <c r="A6379">
        <v>338</v>
      </c>
      <c r="B6379" t="s">
        <v>2358</v>
      </c>
      <c r="C6379" t="s">
        <v>10</v>
      </c>
      <c r="D6379" t="s">
        <v>1303</v>
      </c>
      <c r="E6379">
        <f t="shared" si="284"/>
        <v>5.681818181818182E-3</v>
      </c>
      <c r="F6379">
        <v>17</v>
      </c>
      <c r="G6379">
        <f>LOG(382/(17+1))</f>
        <v>1.3267908578084027</v>
      </c>
      <c r="H6379">
        <f>0.00568181818181818*3.05504885071041</f>
        <v>1.7358232106309143E-2</v>
      </c>
      <c r="I6379">
        <v>1.735823210630915E-2</v>
      </c>
    </row>
    <row r="6380" spans="1:9" x14ac:dyDescent="0.25">
      <c r="A6380">
        <v>338</v>
      </c>
      <c r="B6380" t="s">
        <v>2358</v>
      </c>
      <c r="C6380" t="s">
        <v>10</v>
      </c>
      <c r="D6380" t="s">
        <v>2173</v>
      </c>
      <c r="E6380">
        <f t="shared" si="284"/>
        <v>5.681818181818182E-3</v>
      </c>
      <c r="F6380">
        <v>5</v>
      </c>
      <c r="G6380">
        <f>LOG(382/(5+1))</f>
        <v>1.803912112528065</v>
      </c>
      <c r="H6380">
        <f>0.00568181818181818*4.15366113937852</f>
        <v>2.3600347382832492E-2</v>
      </c>
      <c r="I6380">
        <v>2.3600347382832499E-2</v>
      </c>
    </row>
    <row r="6381" spans="1:9" x14ac:dyDescent="0.25">
      <c r="A6381">
        <v>338</v>
      </c>
      <c r="B6381" t="s">
        <v>2358</v>
      </c>
      <c r="C6381" t="s">
        <v>10</v>
      </c>
      <c r="D6381" t="s">
        <v>2369</v>
      </c>
      <c r="E6381">
        <f t="shared" si="284"/>
        <v>5.681818181818182E-3</v>
      </c>
      <c r="F6381">
        <v>15</v>
      </c>
      <c r="G6381">
        <f>LOG(382/(15+1))</f>
        <v>1.3779433802557839</v>
      </c>
      <c r="H6381">
        <f>0.00568181818181818*3.17283188636679</f>
        <v>1.8027453899811304E-2</v>
      </c>
      <c r="I6381">
        <v>1.8027453899811328E-2</v>
      </c>
    </row>
    <row r="6382" spans="1:9" x14ac:dyDescent="0.25">
      <c r="A6382">
        <v>338</v>
      </c>
      <c r="B6382" t="s">
        <v>2358</v>
      </c>
      <c r="C6382" t="s">
        <v>10</v>
      </c>
      <c r="D6382" t="s">
        <v>2370</v>
      </c>
      <c r="E6382">
        <f t="shared" si="284"/>
        <v>5.681818181818182E-3</v>
      </c>
      <c r="F6382">
        <v>3</v>
      </c>
      <c r="G6382">
        <f>LOG(382/(3+1))</f>
        <v>1.9800033715837464</v>
      </c>
      <c r="H6382">
        <f>0.00568181818181818*4.55912624748668</f>
        <v>2.5904126406174312E-2</v>
      </c>
      <c r="I6382">
        <v>2.590412640617434E-2</v>
      </c>
    </row>
    <row r="6383" spans="1:9" x14ac:dyDescent="0.25">
      <c r="A6383">
        <v>338</v>
      </c>
      <c r="B6383" t="s">
        <v>2358</v>
      </c>
      <c r="C6383" t="s">
        <v>10</v>
      </c>
      <c r="D6383" t="s">
        <v>134</v>
      </c>
      <c r="E6383">
        <f t="shared" si="284"/>
        <v>5.681818181818182E-3</v>
      </c>
      <c r="F6383">
        <v>21</v>
      </c>
      <c r="G6383">
        <f>LOG(382/(21+1))</f>
        <v>1.2396406820895025</v>
      </c>
      <c r="H6383">
        <f>0.00568181818181818*2.85437815524825</f>
        <v>1.6218057700274142E-2</v>
      </c>
      <c r="I6383">
        <v>1.6218057700274201E-2</v>
      </c>
    </row>
    <row r="6384" spans="1:9" x14ac:dyDescent="0.25">
      <c r="A6384">
        <v>338</v>
      </c>
      <c r="B6384" t="s">
        <v>2358</v>
      </c>
      <c r="C6384" t="s">
        <v>10</v>
      </c>
      <c r="D6384" t="s">
        <v>620</v>
      </c>
      <c r="E6384">
        <f t="shared" si="284"/>
        <v>5.681818181818182E-3</v>
      </c>
      <c r="F6384">
        <v>5</v>
      </c>
      <c r="G6384">
        <f>LOG(382/(5+1))</f>
        <v>1.803912112528065</v>
      </c>
      <c r="H6384">
        <f>0.00568181818181818*4.15366113937852</f>
        <v>2.3600347382832492E-2</v>
      </c>
      <c r="I6384">
        <v>2.3600347382832499E-2</v>
      </c>
    </row>
    <row r="6385" spans="1:9" x14ac:dyDescent="0.25">
      <c r="A6385">
        <v>338</v>
      </c>
      <c r="B6385" t="s">
        <v>2358</v>
      </c>
      <c r="C6385" t="s">
        <v>10</v>
      </c>
      <c r="D6385" t="s">
        <v>2371</v>
      </c>
      <c r="E6385">
        <f t="shared" si="284"/>
        <v>5.681818181818182E-3</v>
      </c>
      <c r="F6385">
        <v>4</v>
      </c>
      <c r="G6385">
        <f>LOG(382/(4+1))</f>
        <v>1.8830933585756899</v>
      </c>
      <c r="H6385">
        <f>0.00568181818181818*4.33598269617247</f>
        <v>2.4636265319161757E-2</v>
      </c>
      <c r="I6385">
        <v>2.4636265319161792E-2</v>
      </c>
    </row>
    <row r="6386" spans="1:9" x14ac:dyDescent="0.25">
      <c r="A6386">
        <v>338</v>
      </c>
      <c r="B6386" t="s">
        <v>2358</v>
      </c>
      <c r="C6386" t="s">
        <v>10</v>
      </c>
      <c r="D6386" t="s">
        <v>2155</v>
      </c>
      <c r="E6386">
        <f>2/176</f>
        <v>1.1363636363636364E-2</v>
      </c>
      <c r="F6386">
        <v>2</v>
      </c>
      <c r="G6386">
        <f>LOG(382/(2+1))</f>
        <v>2.1049421081920463</v>
      </c>
      <c r="H6386">
        <f>0.0113636363636363*4.84680831993846</f>
        <v>5.5077367272027646E-2</v>
      </c>
      <c r="I6386">
        <v>5.5077367272028013E-2</v>
      </c>
    </row>
    <row r="6387" spans="1:9" x14ac:dyDescent="0.25">
      <c r="A6387">
        <v>338</v>
      </c>
      <c r="B6387" t="s">
        <v>2358</v>
      </c>
      <c r="C6387" t="s">
        <v>10</v>
      </c>
      <c r="D6387" t="s">
        <v>2163</v>
      </c>
      <c r="E6387">
        <f>1/176</f>
        <v>5.681818181818182E-3</v>
      </c>
      <c r="F6387">
        <v>6</v>
      </c>
      <c r="G6387">
        <f>LOG(382/(6+1))</f>
        <v>1.736965322897452</v>
      </c>
      <c r="H6387">
        <f>0.00568181818181818*3.99951045955126</f>
        <v>2.2724491247450334E-2</v>
      </c>
      <c r="I6387">
        <v>2.2724491247450351E-2</v>
      </c>
    </row>
    <row r="6388" spans="1:9" x14ac:dyDescent="0.25">
      <c r="A6388">
        <v>338</v>
      </c>
      <c r="B6388" t="s">
        <v>2358</v>
      </c>
      <c r="C6388" t="s">
        <v>10</v>
      </c>
      <c r="D6388" t="s">
        <v>2372</v>
      </c>
      <c r="E6388">
        <f>1/176</f>
        <v>5.681818181818182E-3</v>
      </c>
      <c r="F6388">
        <v>1</v>
      </c>
      <c r="G6388">
        <f>LOG(382/(1+1))</f>
        <v>2.2810333672477277</v>
      </c>
      <c r="H6388">
        <f>0.00568181818181818*5.25227342804663</f>
        <v>2.9842462659355844E-2</v>
      </c>
      <c r="I6388">
        <v>2.9842462659355851E-2</v>
      </c>
    </row>
    <row r="6389" spans="1:9" x14ac:dyDescent="0.25">
      <c r="A6389">
        <v>338</v>
      </c>
      <c r="B6389" t="s">
        <v>2358</v>
      </c>
      <c r="C6389" t="s">
        <v>10</v>
      </c>
      <c r="D6389" t="s">
        <v>187</v>
      </c>
      <c r="E6389">
        <f>1/176</f>
        <v>5.681818181818182E-3</v>
      </c>
      <c r="F6389">
        <v>21</v>
      </c>
      <c r="G6389">
        <f>LOG(382/(21+1))</f>
        <v>1.2396406820895025</v>
      </c>
      <c r="H6389">
        <f>0.00568181818181818*2.85437815524825</f>
        <v>1.6218057700274142E-2</v>
      </c>
      <c r="I6389">
        <v>1.6218057700274201E-2</v>
      </c>
    </row>
    <row r="6390" spans="1:9" x14ac:dyDescent="0.25">
      <c r="A6390">
        <v>338</v>
      </c>
      <c r="B6390" t="s">
        <v>2358</v>
      </c>
      <c r="C6390" t="s">
        <v>10</v>
      </c>
      <c r="D6390" t="s">
        <v>2373</v>
      </c>
      <c r="E6390">
        <f>1/176</f>
        <v>5.681818181818182E-3</v>
      </c>
      <c r="F6390">
        <v>1</v>
      </c>
      <c r="G6390">
        <f>LOG(382/(1+1))</f>
        <v>2.2810333672477277</v>
      </c>
      <c r="H6390">
        <f>0.00568181818181818*5.25227342804663</f>
        <v>2.9842462659355844E-2</v>
      </c>
      <c r="I6390">
        <v>2.9842462659355851E-2</v>
      </c>
    </row>
    <row r="6391" spans="1:9" x14ac:dyDescent="0.25">
      <c r="A6391">
        <v>338</v>
      </c>
      <c r="B6391" t="s">
        <v>2358</v>
      </c>
      <c r="C6391" t="s">
        <v>10</v>
      </c>
      <c r="D6391" t="s">
        <v>216</v>
      </c>
      <c r="E6391">
        <f>2/176</f>
        <v>1.1363636363636364E-2</v>
      </c>
      <c r="F6391">
        <v>63</v>
      </c>
      <c r="G6391">
        <f>LOG(382/(63+1))</f>
        <v>0.7758833889278216</v>
      </c>
      <c r="H6391">
        <f>0.0113636363636363*1.7865375252469</f>
        <v>2.0301562786896477E-2</v>
      </c>
      <c r="I6391">
        <v>2.030156278689663E-2</v>
      </c>
    </row>
    <row r="6392" spans="1:9" x14ac:dyDescent="0.25">
      <c r="A6392">
        <v>338</v>
      </c>
      <c r="B6392" t="s">
        <v>2358</v>
      </c>
      <c r="C6392" t="s">
        <v>10</v>
      </c>
      <c r="D6392" t="s">
        <v>222</v>
      </c>
      <c r="E6392">
        <f>3/176</f>
        <v>1.7045454545454544E-2</v>
      </c>
      <c r="F6392">
        <v>22</v>
      </c>
      <c r="G6392">
        <f>LOG(382/(22+1))</f>
        <v>1.2203355268941158</v>
      </c>
      <c r="H6392">
        <f>0.0170454545454545*2.80992639267742</f>
        <v>4.7896472602455886E-2</v>
      </c>
      <c r="I6392">
        <v>4.7896472602456122E-2</v>
      </c>
    </row>
    <row r="6393" spans="1:9" x14ac:dyDescent="0.25">
      <c r="A6393">
        <v>338</v>
      </c>
      <c r="B6393" t="s">
        <v>2358</v>
      </c>
      <c r="C6393" t="s">
        <v>10</v>
      </c>
      <c r="D6393" t="s">
        <v>217</v>
      </c>
      <c r="E6393">
        <f t="shared" ref="E6393:E6408" si="285">1/176</f>
        <v>5.681818181818182E-3</v>
      </c>
      <c r="F6393">
        <v>12</v>
      </c>
      <c r="G6393">
        <f>LOG(382/(12+1))</f>
        <v>1.468120010604872</v>
      </c>
      <c r="H6393">
        <f>0.00568181818181818*3.38047125114503</f>
        <v>1.9207223017869483E-2</v>
      </c>
      <c r="I6393">
        <v>1.9207223017869542E-2</v>
      </c>
    </row>
    <row r="6394" spans="1:9" x14ac:dyDescent="0.25">
      <c r="A6394">
        <v>338</v>
      </c>
      <c r="B6394" t="s">
        <v>2358</v>
      </c>
      <c r="C6394" t="s">
        <v>10</v>
      </c>
      <c r="D6394" t="s">
        <v>79</v>
      </c>
      <c r="E6394">
        <f t="shared" si="285"/>
        <v>5.681818181818182E-3</v>
      </c>
      <c r="F6394">
        <v>26</v>
      </c>
      <c r="G6394">
        <f>LOG(382/(26+1))</f>
        <v>1.1506995987527215</v>
      </c>
      <c r="H6394">
        <f>0.00568181818181818*2.64958374260224</f>
        <v>1.5054453082967269E-2</v>
      </c>
      <c r="I6394">
        <v>1.5054453082967311E-2</v>
      </c>
    </row>
    <row r="6395" spans="1:9" x14ac:dyDescent="0.25">
      <c r="A6395">
        <v>338</v>
      </c>
      <c r="B6395" t="s">
        <v>2358</v>
      </c>
      <c r="C6395" t="s">
        <v>10</v>
      </c>
      <c r="D6395" t="s">
        <v>936</v>
      </c>
      <c r="E6395">
        <f t="shared" si="285"/>
        <v>5.681818181818182E-3</v>
      </c>
      <c r="F6395">
        <v>21</v>
      </c>
      <c r="G6395">
        <f>LOG(382/(21+1))</f>
        <v>1.2396406820895025</v>
      </c>
      <c r="H6395">
        <f>0.00568181818181818*2.85437815524825</f>
        <v>1.6218057700274142E-2</v>
      </c>
      <c r="I6395">
        <v>1.6218057700274201E-2</v>
      </c>
    </row>
    <row r="6396" spans="1:9" x14ac:dyDescent="0.25">
      <c r="A6396">
        <v>338</v>
      </c>
      <c r="B6396" t="s">
        <v>2358</v>
      </c>
      <c r="C6396" t="s">
        <v>10</v>
      </c>
      <c r="D6396" t="s">
        <v>726</v>
      </c>
      <c r="E6396">
        <f t="shared" si="285"/>
        <v>5.681818181818182E-3</v>
      </c>
      <c r="F6396">
        <v>37</v>
      </c>
      <c r="G6396">
        <f>LOG(382/(37+1))</f>
        <v>1.0022797662948986</v>
      </c>
      <c r="H6396">
        <f>0.00568181818181818*2.30783444888018</f>
        <v>1.3112695732273746E-2</v>
      </c>
      <c r="I6396">
        <v>1.3112695732273799E-2</v>
      </c>
    </row>
    <row r="6397" spans="1:9" x14ac:dyDescent="0.25">
      <c r="A6397">
        <v>338</v>
      </c>
      <c r="B6397" t="s">
        <v>2358</v>
      </c>
      <c r="C6397" t="s">
        <v>10</v>
      </c>
      <c r="D6397" t="s">
        <v>2374</v>
      </c>
      <c r="E6397">
        <f t="shared" si="285"/>
        <v>5.681818181818182E-3</v>
      </c>
      <c r="F6397">
        <v>1</v>
      </c>
      <c r="G6397">
        <f>LOG(382/(1+1))</f>
        <v>2.2810333672477277</v>
      </c>
      <c r="H6397">
        <f>0.00568181818181818*5.25227342804663</f>
        <v>2.9842462659355844E-2</v>
      </c>
      <c r="I6397">
        <v>2.9842462659355851E-2</v>
      </c>
    </row>
    <row r="6398" spans="1:9" x14ac:dyDescent="0.25">
      <c r="A6398">
        <v>338</v>
      </c>
      <c r="B6398" t="s">
        <v>2358</v>
      </c>
      <c r="C6398" t="s">
        <v>10</v>
      </c>
      <c r="D6398" t="s">
        <v>2375</v>
      </c>
      <c r="E6398">
        <f t="shared" si="285"/>
        <v>5.681818181818182E-3</v>
      </c>
      <c r="F6398">
        <v>2</v>
      </c>
      <c r="G6398">
        <f>LOG(382/(2+1))</f>
        <v>2.1049421081920463</v>
      </c>
      <c r="H6398">
        <f>0.00568181818181818*4.84680831993846</f>
        <v>2.7538683636013968E-2</v>
      </c>
      <c r="I6398">
        <v>2.753868363601401E-2</v>
      </c>
    </row>
    <row r="6399" spans="1:9" x14ac:dyDescent="0.25">
      <c r="A6399">
        <v>338</v>
      </c>
      <c r="B6399" t="s">
        <v>2358</v>
      </c>
      <c r="C6399" t="s">
        <v>10</v>
      </c>
      <c r="D6399" t="s">
        <v>1855</v>
      </c>
      <c r="E6399">
        <f t="shared" si="285"/>
        <v>5.681818181818182E-3</v>
      </c>
      <c r="F6399">
        <v>17</v>
      </c>
      <c r="G6399">
        <f>LOG(382/(17+1))</f>
        <v>1.3267908578084027</v>
      </c>
      <c r="H6399">
        <f>0.00568181818181818*3.05504885071041</f>
        <v>1.7358232106309143E-2</v>
      </c>
      <c r="I6399">
        <v>1.735823210630915E-2</v>
      </c>
    </row>
    <row r="6400" spans="1:9" x14ac:dyDescent="0.25">
      <c r="A6400">
        <v>338</v>
      </c>
      <c r="B6400" t="s">
        <v>2358</v>
      </c>
      <c r="C6400" t="s">
        <v>10</v>
      </c>
      <c r="D6400" t="s">
        <v>401</v>
      </c>
      <c r="E6400">
        <f t="shared" si="285"/>
        <v>5.681818181818182E-3</v>
      </c>
      <c r="F6400">
        <v>5</v>
      </c>
      <c r="G6400">
        <f>LOG(382/(5+1))</f>
        <v>1.803912112528065</v>
      </c>
      <c r="H6400">
        <f>0.00568181818181818*4.15366113937852</f>
        <v>2.3600347382832492E-2</v>
      </c>
      <c r="I6400">
        <v>2.3600347382832499E-2</v>
      </c>
    </row>
    <row r="6401" spans="1:9" x14ac:dyDescent="0.25">
      <c r="A6401">
        <v>338</v>
      </c>
      <c r="B6401" t="s">
        <v>2358</v>
      </c>
      <c r="C6401" t="s">
        <v>10</v>
      </c>
      <c r="D6401" t="s">
        <v>2211</v>
      </c>
      <c r="E6401">
        <f t="shared" si="285"/>
        <v>5.681818181818182E-3</v>
      </c>
      <c r="F6401">
        <v>9</v>
      </c>
      <c r="G6401">
        <f>LOG(382/(9+1))</f>
        <v>1.5820633629117087</v>
      </c>
      <c r="H6401">
        <f>0.00568181818181818*3.64283551561252</f>
        <v>2.0697929065980222E-2</v>
      </c>
      <c r="I6401">
        <v>2.0697929065980281E-2</v>
      </c>
    </row>
    <row r="6402" spans="1:9" x14ac:dyDescent="0.25">
      <c r="A6402">
        <v>338</v>
      </c>
      <c r="B6402" t="s">
        <v>2358</v>
      </c>
      <c r="C6402" t="s">
        <v>10</v>
      </c>
      <c r="D6402" t="s">
        <v>1727</v>
      </c>
      <c r="E6402">
        <f t="shared" si="285"/>
        <v>5.681818181818182E-3</v>
      </c>
      <c r="F6402">
        <v>27</v>
      </c>
      <c r="G6402">
        <f>LOG(382/(27+1))</f>
        <v>1.1349053315694895</v>
      </c>
      <c r="H6402">
        <f>0.00568181818181818*2.61321609843137</f>
        <v>1.4847818741087326E-2</v>
      </c>
      <c r="I6402">
        <v>1.484781874108734E-2</v>
      </c>
    </row>
    <row r="6403" spans="1:9" x14ac:dyDescent="0.25">
      <c r="A6403">
        <v>338</v>
      </c>
      <c r="B6403" t="s">
        <v>2358</v>
      </c>
      <c r="C6403" t="s">
        <v>10</v>
      </c>
      <c r="D6403" t="s">
        <v>1130</v>
      </c>
      <c r="E6403">
        <f t="shared" si="285"/>
        <v>5.681818181818182E-3</v>
      </c>
      <c r="F6403">
        <v>12</v>
      </c>
      <c r="G6403">
        <f>LOG(382/(12+1))</f>
        <v>1.468120010604872</v>
      </c>
      <c r="H6403">
        <f>0.00568181818181818*3.38047125114503</f>
        <v>1.9207223017869483E-2</v>
      </c>
      <c r="I6403">
        <v>1.9207223017869542E-2</v>
      </c>
    </row>
    <row r="6404" spans="1:9" x14ac:dyDescent="0.25">
      <c r="A6404">
        <v>338</v>
      </c>
      <c r="B6404" t="s">
        <v>2358</v>
      </c>
      <c r="C6404" t="s">
        <v>10</v>
      </c>
      <c r="D6404" t="s">
        <v>2189</v>
      </c>
      <c r="E6404">
        <f t="shared" si="285"/>
        <v>5.681818181818182E-3</v>
      </c>
      <c r="F6404">
        <v>12</v>
      </c>
      <c r="G6404">
        <f>LOG(382/(12+1))</f>
        <v>1.468120010604872</v>
      </c>
      <c r="H6404">
        <f>0.00568181818181818*3.38047125114503</f>
        <v>1.9207223017869483E-2</v>
      </c>
      <c r="I6404">
        <v>1.9207223017869542E-2</v>
      </c>
    </row>
    <row r="6405" spans="1:9" x14ac:dyDescent="0.25">
      <c r="A6405">
        <v>338</v>
      </c>
      <c r="B6405" t="s">
        <v>2358</v>
      </c>
      <c r="C6405" t="s">
        <v>10</v>
      </c>
      <c r="D6405" t="s">
        <v>2376</v>
      </c>
      <c r="E6405">
        <f t="shared" si="285"/>
        <v>5.681818181818182E-3</v>
      </c>
      <c r="F6405">
        <v>2</v>
      </c>
      <c r="G6405">
        <f>LOG(382/(2+1))</f>
        <v>2.1049421081920463</v>
      </c>
      <c r="H6405">
        <f>0.00568181818181818*4.84680831993846</f>
        <v>2.7538683636013968E-2</v>
      </c>
      <c r="I6405">
        <v>2.753868363601401E-2</v>
      </c>
    </row>
    <row r="6406" spans="1:9" x14ac:dyDescent="0.25">
      <c r="A6406">
        <v>338</v>
      </c>
      <c r="B6406" t="s">
        <v>2358</v>
      </c>
      <c r="C6406" t="s">
        <v>10</v>
      </c>
      <c r="D6406" t="s">
        <v>2377</v>
      </c>
      <c r="E6406">
        <f t="shared" si="285"/>
        <v>5.681818181818182E-3</v>
      </c>
      <c r="F6406">
        <v>1</v>
      </c>
      <c r="G6406">
        <f>LOG(382/(1+1))</f>
        <v>2.2810333672477277</v>
      </c>
      <c r="H6406">
        <f>0.00568181818181818*5.25227342804663</f>
        <v>2.9842462659355844E-2</v>
      </c>
      <c r="I6406">
        <v>2.9842462659355851E-2</v>
      </c>
    </row>
    <row r="6407" spans="1:9" x14ac:dyDescent="0.25">
      <c r="A6407">
        <v>338</v>
      </c>
      <c r="B6407" t="s">
        <v>2358</v>
      </c>
      <c r="C6407" t="s">
        <v>10</v>
      </c>
      <c r="D6407" t="s">
        <v>65</v>
      </c>
      <c r="E6407">
        <f t="shared" si="285"/>
        <v>5.681818181818182E-3</v>
      </c>
      <c r="F6407">
        <v>32</v>
      </c>
      <c r="G6407">
        <f>LOG(382/(32+1))</f>
        <v>1.0635494230338212</v>
      </c>
      <c r="H6407">
        <f>0.00568181818181818*2.44891304714009</f>
        <v>1.3914278676932327E-2</v>
      </c>
      <c r="I6407">
        <v>1.391427867693236E-2</v>
      </c>
    </row>
    <row r="6408" spans="1:9" x14ac:dyDescent="0.25">
      <c r="A6408">
        <v>338</v>
      </c>
      <c r="B6408" t="s">
        <v>2358</v>
      </c>
      <c r="C6408" t="s">
        <v>10</v>
      </c>
      <c r="D6408" t="s">
        <v>2378</v>
      </c>
      <c r="E6408">
        <f t="shared" si="285"/>
        <v>5.681818181818182E-3</v>
      </c>
      <c r="F6408">
        <v>1</v>
      </c>
      <c r="G6408">
        <f>LOG(382/(1+1))</f>
        <v>2.2810333672477277</v>
      </c>
      <c r="H6408">
        <f>0.00568181818181818*5.25227342804663</f>
        <v>2.9842462659355844E-2</v>
      </c>
      <c r="I6408">
        <v>2.9842462659355851E-2</v>
      </c>
    </row>
    <row r="6409" spans="1:9" x14ac:dyDescent="0.25">
      <c r="A6409">
        <v>338</v>
      </c>
      <c r="B6409" t="s">
        <v>2358</v>
      </c>
      <c r="C6409" t="s">
        <v>10</v>
      </c>
      <c r="D6409" t="s">
        <v>123</v>
      </c>
      <c r="E6409">
        <f>3/176</f>
        <v>1.7045454545454544E-2</v>
      </c>
      <c r="F6409">
        <v>74</v>
      </c>
      <c r="G6409">
        <f>LOG(382/(74+1))</f>
        <v>0.7070020995200087</v>
      </c>
      <c r="H6409">
        <f>0.0170454545454545*1.62793249507026</f>
        <v>2.774884934778845E-2</v>
      </c>
      <c r="I6409">
        <v>2.7748849347788599E-2</v>
      </c>
    </row>
    <row r="6410" spans="1:9" x14ac:dyDescent="0.25">
      <c r="A6410">
        <v>338</v>
      </c>
      <c r="B6410" t="s">
        <v>2358</v>
      </c>
      <c r="C6410" t="s">
        <v>10</v>
      </c>
      <c r="D6410" t="s">
        <v>11</v>
      </c>
      <c r="E6410">
        <f>3/176</f>
        <v>1.7045454545454544E-2</v>
      </c>
      <c r="F6410">
        <v>83</v>
      </c>
      <c r="G6410">
        <f>LOG(382/(83+1))</f>
        <v>0.65778407684982709</v>
      </c>
      <c r="H6410">
        <f>0.0170454545454545*1.51460380976326</f>
        <v>2.5817110393691861E-2</v>
      </c>
      <c r="I6410">
        <v>2.5817110393691951E-2</v>
      </c>
    </row>
    <row r="6411" spans="1:9" x14ac:dyDescent="0.25">
      <c r="A6411">
        <v>338</v>
      </c>
      <c r="B6411" t="s">
        <v>2358</v>
      </c>
      <c r="C6411" t="s">
        <v>10</v>
      </c>
      <c r="D6411" t="s">
        <v>1952</v>
      </c>
      <c r="E6411">
        <f t="shared" ref="E6411:E6432" si="286">1/176</f>
        <v>5.681818181818182E-3</v>
      </c>
      <c r="F6411">
        <v>8</v>
      </c>
      <c r="G6411">
        <f>LOG(382/(8+1))</f>
        <v>1.6278208534723839</v>
      </c>
      <c r="H6411">
        <f>0.00568181818181818*3.74819603127035</f>
        <v>2.129656835949062E-2</v>
      </c>
      <c r="I6411">
        <v>2.1296568359490661E-2</v>
      </c>
    </row>
    <row r="6412" spans="1:9" x14ac:dyDescent="0.25">
      <c r="A6412">
        <v>338</v>
      </c>
      <c r="B6412" t="s">
        <v>2358</v>
      </c>
      <c r="C6412" t="s">
        <v>10</v>
      </c>
      <c r="D6412" t="s">
        <v>1730</v>
      </c>
      <c r="E6412">
        <f t="shared" si="286"/>
        <v>5.681818181818182E-3</v>
      </c>
      <c r="F6412">
        <v>35</v>
      </c>
      <c r="G6412">
        <f>LOG(382/(35+1))</f>
        <v>1.0257608621444214</v>
      </c>
      <c r="H6412">
        <f>0.00568181818181818*2.36190167015046</f>
        <v>1.341989585312761E-2</v>
      </c>
      <c r="I6412">
        <v>1.3419895853127641E-2</v>
      </c>
    </row>
    <row r="6413" spans="1:9" x14ac:dyDescent="0.25">
      <c r="A6413">
        <v>338</v>
      </c>
      <c r="B6413" t="s">
        <v>2358</v>
      </c>
      <c r="C6413" t="s">
        <v>10</v>
      </c>
      <c r="D6413" t="s">
        <v>1834</v>
      </c>
      <c r="E6413">
        <f t="shared" si="286"/>
        <v>5.681818181818182E-3</v>
      </c>
      <c r="F6413">
        <v>12</v>
      </c>
      <c r="G6413">
        <f>LOG(382/(12+1))</f>
        <v>1.468120010604872</v>
      </c>
      <c r="H6413">
        <f>0.00568181818181818*3.38047125114503</f>
        <v>1.9207223017869483E-2</v>
      </c>
      <c r="I6413">
        <v>1.9207223017869542E-2</v>
      </c>
    </row>
    <row r="6414" spans="1:9" x14ac:dyDescent="0.25">
      <c r="A6414">
        <v>338</v>
      </c>
      <c r="B6414" t="s">
        <v>2358</v>
      </c>
      <c r="C6414" t="s">
        <v>10</v>
      </c>
      <c r="D6414" t="s">
        <v>2379</v>
      </c>
      <c r="E6414">
        <f t="shared" si="286"/>
        <v>5.681818181818182E-3</v>
      </c>
      <c r="F6414">
        <v>2</v>
      </c>
      <c r="G6414">
        <f>LOG(382/(2+1))</f>
        <v>2.1049421081920463</v>
      </c>
      <c r="H6414">
        <f>0.00568181818181818*4.84680831993846</f>
        <v>2.7538683636013968E-2</v>
      </c>
      <c r="I6414">
        <v>2.753868363601401E-2</v>
      </c>
    </row>
    <row r="6415" spans="1:9" x14ac:dyDescent="0.25">
      <c r="A6415">
        <v>338</v>
      </c>
      <c r="B6415" t="s">
        <v>2358</v>
      </c>
      <c r="C6415" t="s">
        <v>10</v>
      </c>
      <c r="D6415" t="s">
        <v>932</v>
      </c>
      <c r="E6415">
        <f t="shared" si="286"/>
        <v>5.681818181818182E-3</v>
      </c>
      <c r="F6415">
        <v>35</v>
      </c>
      <c r="G6415">
        <f>LOG(382/(35+1))</f>
        <v>1.0257608621444214</v>
      </c>
      <c r="H6415">
        <f>0.00568181818181818*2.36190167015046</f>
        <v>1.341989585312761E-2</v>
      </c>
      <c r="I6415">
        <v>1.3419895853127641E-2</v>
      </c>
    </row>
    <row r="6416" spans="1:9" x14ac:dyDescent="0.25">
      <c r="A6416">
        <v>338</v>
      </c>
      <c r="B6416" t="s">
        <v>2358</v>
      </c>
      <c r="C6416" t="s">
        <v>10</v>
      </c>
      <c r="D6416" t="s">
        <v>97</v>
      </c>
      <c r="E6416">
        <f t="shared" si="286"/>
        <v>5.681818181818182E-3</v>
      </c>
      <c r="F6416">
        <v>19</v>
      </c>
      <c r="G6416">
        <f>LOG(382/(19+1))</f>
        <v>1.2810333672477277</v>
      </c>
      <c r="H6416">
        <f>0.00568181818181818*2.94968833505258</f>
        <v>1.6759592812798745E-2</v>
      </c>
      <c r="I6416">
        <v>1.675959281279878E-2</v>
      </c>
    </row>
    <row r="6417" spans="1:9" x14ac:dyDescent="0.25">
      <c r="A6417">
        <v>338</v>
      </c>
      <c r="B6417" t="s">
        <v>2358</v>
      </c>
      <c r="C6417" t="s">
        <v>10</v>
      </c>
      <c r="D6417" t="s">
        <v>2380</v>
      </c>
      <c r="E6417">
        <f t="shared" si="286"/>
        <v>5.681818181818182E-3</v>
      </c>
      <c r="F6417">
        <v>1</v>
      </c>
      <c r="G6417">
        <f>LOG(382/(1+1))</f>
        <v>2.2810333672477277</v>
      </c>
      <c r="H6417">
        <f>0.00568181818181818*5.25227342804663</f>
        <v>2.9842462659355844E-2</v>
      </c>
      <c r="I6417">
        <v>2.9842462659355851E-2</v>
      </c>
    </row>
    <row r="6418" spans="1:9" x14ac:dyDescent="0.25">
      <c r="A6418">
        <v>338</v>
      </c>
      <c r="B6418" t="s">
        <v>2358</v>
      </c>
      <c r="C6418" t="s">
        <v>10</v>
      </c>
      <c r="D6418" t="s">
        <v>2381</v>
      </c>
      <c r="E6418">
        <f t="shared" si="286"/>
        <v>5.681818181818182E-3</v>
      </c>
      <c r="F6418">
        <v>1</v>
      </c>
      <c r="G6418">
        <f>LOG(382/(1+1))</f>
        <v>2.2810333672477277</v>
      </c>
      <c r="H6418">
        <f>0.00568181818181818*5.25227342804663</f>
        <v>2.9842462659355844E-2</v>
      </c>
      <c r="I6418">
        <v>2.9842462659355851E-2</v>
      </c>
    </row>
    <row r="6419" spans="1:9" x14ac:dyDescent="0.25">
      <c r="A6419">
        <v>338</v>
      </c>
      <c r="B6419" t="s">
        <v>2358</v>
      </c>
      <c r="C6419" t="s">
        <v>10</v>
      </c>
      <c r="D6419" t="s">
        <v>1182</v>
      </c>
      <c r="E6419">
        <f t="shared" si="286"/>
        <v>5.681818181818182E-3</v>
      </c>
      <c r="F6419">
        <v>3</v>
      </c>
      <c r="G6419">
        <f>LOG(382/(3+1))</f>
        <v>1.9800033715837464</v>
      </c>
      <c r="H6419">
        <f>0.00568181818181818*4.55912624748668</f>
        <v>2.5904126406174312E-2</v>
      </c>
      <c r="I6419">
        <v>2.590412640617434E-2</v>
      </c>
    </row>
    <row r="6420" spans="1:9" x14ac:dyDescent="0.25">
      <c r="A6420">
        <v>338</v>
      </c>
      <c r="B6420" t="s">
        <v>2358</v>
      </c>
      <c r="C6420" t="s">
        <v>10</v>
      </c>
      <c r="D6420" t="s">
        <v>2382</v>
      </c>
      <c r="E6420">
        <f t="shared" si="286"/>
        <v>5.681818181818182E-3</v>
      </c>
      <c r="F6420">
        <v>1</v>
      </c>
      <c r="G6420">
        <f>LOG(382/(1+1))</f>
        <v>2.2810333672477277</v>
      </c>
      <c r="H6420">
        <f>0.00568181818181818*5.25227342804663</f>
        <v>2.9842462659355844E-2</v>
      </c>
      <c r="I6420">
        <v>2.9842462659355851E-2</v>
      </c>
    </row>
    <row r="6421" spans="1:9" x14ac:dyDescent="0.25">
      <c r="A6421">
        <v>338</v>
      </c>
      <c r="B6421" t="s">
        <v>2358</v>
      </c>
      <c r="C6421" t="s">
        <v>10</v>
      </c>
      <c r="D6421" t="s">
        <v>2383</v>
      </c>
      <c r="E6421">
        <f t="shared" si="286"/>
        <v>5.681818181818182E-3</v>
      </c>
      <c r="F6421">
        <v>3</v>
      </c>
      <c r="G6421">
        <f>LOG(382/(3+1))</f>
        <v>1.9800033715837464</v>
      </c>
      <c r="H6421">
        <f>0.00568181818181818*4.55912624748668</f>
        <v>2.5904126406174312E-2</v>
      </c>
      <c r="I6421">
        <v>2.590412640617434E-2</v>
      </c>
    </row>
    <row r="6422" spans="1:9" x14ac:dyDescent="0.25">
      <c r="A6422">
        <v>338</v>
      </c>
      <c r="B6422" t="s">
        <v>2358</v>
      </c>
      <c r="C6422" t="s">
        <v>10</v>
      </c>
      <c r="D6422" t="s">
        <v>1534</v>
      </c>
      <c r="E6422">
        <f t="shared" si="286"/>
        <v>5.681818181818182E-3</v>
      </c>
      <c r="F6422">
        <v>25</v>
      </c>
      <c r="G6422">
        <f>LOG(382/(25+1))</f>
        <v>1.1670900149408907</v>
      </c>
      <c r="H6422">
        <f>0.00568181818181818*2.68732407058509</f>
        <v>1.5268886764688008E-2</v>
      </c>
      <c r="I6422">
        <v>1.5268886764688031E-2</v>
      </c>
    </row>
    <row r="6423" spans="1:9" x14ac:dyDescent="0.25">
      <c r="A6423">
        <v>338</v>
      </c>
      <c r="B6423" t="s">
        <v>2358</v>
      </c>
      <c r="C6423" t="s">
        <v>10</v>
      </c>
      <c r="D6423" t="s">
        <v>752</v>
      </c>
      <c r="E6423">
        <f t="shared" si="286"/>
        <v>5.681818181818182E-3</v>
      </c>
      <c r="F6423">
        <v>34</v>
      </c>
      <c r="G6423">
        <f>LOG(382/(34+1))</f>
        <v>1.037995318561433</v>
      </c>
      <c r="H6423">
        <f>0.00568181818181818*2.39007254711716</f>
        <v>1.3579957654074768E-2</v>
      </c>
      <c r="I6423">
        <v>1.3579957654074781E-2</v>
      </c>
    </row>
    <row r="6424" spans="1:9" x14ac:dyDescent="0.25">
      <c r="A6424">
        <v>338</v>
      </c>
      <c r="B6424" t="s">
        <v>2358</v>
      </c>
      <c r="C6424" t="s">
        <v>10</v>
      </c>
      <c r="D6424" t="s">
        <v>2354</v>
      </c>
      <c r="E6424">
        <f t="shared" si="286"/>
        <v>5.681818181818182E-3</v>
      </c>
      <c r="F6424">
        <v>4</v>
      </c>
      <c r="G6424">
        <f>LOG(382/(4+1))</f>
        <v>1.8830933585756899</v>
      </c>
      <c r="H6424">
        <f>0.00568181818181818*4.33598269617247</f>
        <v>2.4636265319161757E-2</v>
      </c>
      <c r="I6424">
        <v>2.4636265319161792E-2</v>
      </c>
    </row>
    <row r="6425" spans="1:9" x14ac:dyDescent="0.25">
      <c r="A6425">
        <v>338</v>
      </c>
      <c r="B6425" t="s">
        <v>2358</v>
      </c>
      <c r="C6425" t="s">
        <v>10</v>
      </c>
      <c r="D6425" t="s">
        <v>1230</v>
      </c>
      <c r="E6425">
        <f t="shared" si="286"/>
        <v>5.681818181818182E-3</v>
      </c>
      <c r="F6425">
        <v>10</v>
      </c>
      <c r="G6425">
        <f>LOG(382/(10+1))</f>
        <v>1.5406706777534838</v>
      </c>
      <c r="H6425">
        <f>0.00568181818181818*3.5475253358082</f>
        <v>2.0156393953455677E-2</v>
      </c>
      <c r="I6425">
        <v>2.0156393953455708E-2</v>
      </c>
    </row>
    <row r="6426" spans="1:9" x14ac:dyDescent="0.25">
      <c r="A6426">
        <v>338</v>
      </c>
      <c r="B6426" t="s">
        <v>2358</v>
      </c>
      <c r="C6426" t="s">
        <v>10</v>
      </c>
      <c r="D6426" t="s">
        <v>566</v>
      </c>
      <c r="E6426">
        <f t="shared" si="286"/>
        <v>5.681818181818182E-3</v>
      </c>
      <c r="F6426">
        <v>8</v>
      </c>
      <c r="G6426">
        <f>LOG(382/(8+1))</f>
        <v>1.6278208534723839</v>
      </c>
      <c r="H6426">
        <f>0.00568181818181818*3.74819603127035</f>
        <v>2.129656835949062E-2</v>
      </c>
      <c r="I6426">
        <v>2.1296568359490661E-2</v>
      </c>
    </row>
    <row r="6427" spans="1:9" x14ac:dyDescent="0.25">
      <c r="A6427">
        <v>338</v>
      </c>
      <c r="B6427" t="s">
        <v>2358</v>
      </c>
      <c r="C6427" t="s">
        <v>10</v>
      </c>
      <c r="D6427" t="s">
        <v>1396</v>
      </c>
      <c r="E6427">
        <f t="shared" si="286"/>
        <v>5.681818181818182E-3</v>
      </c>
      <c r="F6427">
        <v>18</v>
      </c>
      <c r="G6427">
        <f>LOG(382/(18+1))</f>
        <v>1.3033097619588798</v>
      </c>
      <c r="H6427">
        <f>0.00568181818181818*3.00098162944013</f>
        <v>1.7051031985455281E-2</v>
      </c>
      <c r="I6427">
        <v>1.7051031985455309E-2</v>
      </c>
    </row>
    <row r="6428" spans="1:9" x14ac:dyDescent="0.25">
      <c r="A6428">
        <v>338</v>
      </c>
      <c r="B6428" t="s">
        <v>2358</v>
      </c>
      <c r="C6428" t="s">
        <v>10</v>
      </c>
      <c r="D6428" t="s">
        <v>1328</v>
      </c>
      <c r="E6428">
        <f t="shared" si="286"/>
        <v>5.681818181818182E-3</v>
      </c>
      <c r="F6428">
        <v>22</v>
      </c>
      <c r="G6428">
        <f>LOG(382/(22+1))</f>
        <v>1.2203355268941158</v>
      </c>
      <c r="H6428">
        <f>0.00568181818181818*2.80992639267742</f>
        <v>1.5965490867485336E-2</v>
      </c>
      <c r="I6428">
        <v>1.5965490867485371E-2</v>
      </c>
    </row>
    <row r="6429" spans="1:9" x14ac:dyDescent="0.25">
      <c r="A6429">
        <v>338</v>
      </c>
      <c r="B6429" t="s">
        <v>2358</v>
      </c>
      <c r="C6429" t="s">
        <v>10</v>
      </c>
      <c r="D6429" t="s">
        <v>2384</v>
      </c>
      <c r="E6429">
        <f t="shared" si="286"/>
        <v>5.681818181818182E-3</v>
      </c>
      <c r="F6429">
        <v>5</v>
      </c>
      <c r="G6429">
        <f>LOG(382/(5+1))</f>
        <v>1.803912112528065</v>
      </c>
      <c r="H6429">
        <f>0.00568181818181818*4.15366113937852</f>
        <v>2.3600347382832492E-2</v>
      </c>
      <c r="I6429">
        <v>2.3600347382832499E-2</v>
      </c>
    </row>
    <row r="6430" spans="1:9" x14ac:dyDescent="0.25">
      <c r="A6430">
        <v>338</v>
      </c>
      <c r="B6430" t="s">
        <v>2358</v>
      </c>
      <c r="C6430" t="s">
        <v>10</v>
      </c>
      <c r="D6430" t="s">
        <v>161</v>
      </c>
      <c r="E6430">
        <f t="shared" si="286"/>
        <v>5.681818181818182E-3</v>
      </c>
      <c r="F6430">
        <v>33</v>
      </c>
      <c r="G6430">
        <f>LOG(382/(33+1))</f>
        <v>1.0505844458694535</v>
      </c>
      <c r="H6430">
        <f>0.00568181818181818*2.41906008399041</f>
        <v>1.3744659568127328E-2</v>
      </c>
      <c r="I6430">
        <v>1.374465956812735E-2</v>
      </c>
    </row>
    <row r="6431" spans="1:9" x14ac:dyDescent="0.25">
      <c r="A6431">
        <v>338</v>
      </c>
      <c r="B6431" t="s">
        <v>2358</v>
      </c>
      <c r="C6431" t="s">
        <v>10</v>
      </c>
      <c r="D6431" t="s">
        <v>1633</v>
      </c>
      <c r="E6431">
        <f t="shared" si="286"/>
        <v>5.681818181818182E-3</v>
      </c>
      <c r="F6431">
        <v>18</v>
      </c>
      <c r="G6431">
        <f>LOG(382/(18+1))</f>
        <v>1.3033097619588798</v>
      </c>
      <c r="H6431">
        <f>0.00568181818181818*3.00098162944013</f>
        <v>1.7051031985455281E-2</v>
      </c>
      <c r="I6431">
        <v>1.7051031985455309E-2</v>
      </c>
    </row>
    <row r="6432" spans="1:9" x14ac:dyDescent="0.25">
      <c r="A6432">
        <v>338</v>
      </c>
      <c r="B6432" t="s">
        <v>2358</v>
      </c>
      <c r="C6432" t="s">
        <v>10</v>
      </c>
      <c r="D6432" t="s">
        <v>404</v>
      </c>
      <c r="E6432">
        <f t="shared" si="286"/>
        <v>5.681818181818182E-3</v>
      </c>
      <c r="F6432">
        <v>22</v>
      </c>
      <c r="G6432">
        <f>LOG(382/(22+1))</f>
        <v>1.2203355268941158</v>
      </c>
      <c r="H6432">
        <f>0.00568181818181818*2.80992639267742</f>
        <v>1.5965490867485336E-2</v>
      </c>
      <c r="I6432">
        <v>1.5965490867485371E-2</v>
      </c>
    </row>
    <row r="6433" spans="1:9" x14ac:dyDescent="0.25">
      <c r="A6433">
        <v>338</v>
      </c>
      <c r="B6433" t="s">
        <v>2358</v>
      </c>
      <c r="C6433" t="s">
        <v>10</v>
      </c>
      <c r="D6433" t="s">
        <v>39</v>
      </c>
      <c r="E6433">
        <f>3/176</f>
        <v>1.7045454545454544E-2</v>
      </c>
      <c r="F6433">
        <v>145</v>
      </c>
      <c r="G6433">
        <f>LOG(382/(145+1))</f>
        <v>0.41771050712727159</v>
      </c>
      <c r="H6433">
        <f>0.0170454545454545*0.961813986898238</f>
        <v>1.6394556594856287E-2</v>
      </c>
      <c r="I6433">
        <v>1.6394556594856339E-2</v>
      </c>
    </row>
    <row r="6434" spans="1:9" x14ac:dyDescent="0.25">
      <c r="A6434">
        <v>338</v>
      </c>
      <c r="B6434" t="s">
        <v>2358</v>
      </c>
      <c r="C6434" t="s">
        <v>10</v>
      </c>
      <c r="D6434" t="s">
        <v>764</v>
      </c>
      <c r="E6434">
        <f t="shared" ref="E6434:E6445" si="287">1/176</f>
        <v>5.681818181818182E-3</v>
      </c>
      <c r="F6434">
        <v>57</v>
      </c>
      <c r="G6434">
        <f>LOG(382/(57+1))</f>
        <v>0.81863536934877146</v>
      </c>
      <c r="H6434">
        <f>0.00568181818181818*1.88497759806015</f>
        <v>1.0710099988978122E-2</v>
      </c>
      <c r="I6434">
        <v>1.071009998897816E-2</v>
      </c>
    </row>
    <row r="6435" spans="1:9" x14ac:dyDescent="0.25">
      <c r="A6435">
        <v>338</v>
      </c>
      <c r="B6435" t="s">
        <v>2358</v>
      </c>
      <c r="C6435" t="s">
        <v>10</v>
      </c>
      <c r="D6435" t="s">
        <v>765</v>
      </c>
      <c r="E6435">
        <f t="shared" si="287"/>
        <v>5.681818181818182E-3</v>
      </c>
      <c r="F6435">
        <v>44</v>
      </c>
      <c r="G6435">
        <f>LOG(382/(44+1))</f>
        <v>0.92885084913636506</v>
      </c>
      <c r="H6435">
        <f>0.00568181818181818*2.13875811883625</f>
        <v>1.2152034766115052E-2</v>
      </c>
      <c r="I6435">
        <v>1.2152034766115091E-2</v>
      </c>
    </row>
    <row r="6436" spans="1:9" x14ac:dyDescent="0.25">
      <c r="A6436">
        <v>338</v>
      </c>
      <c r="B6436" t="s">
        <v>2358</v>
      </c>
      <c r="C6436" t="s">
        <v>10</v>
      </c>
      <c r="D6436" t="s">
        <v>855</v>
      </c>
      <c r="E6436">
        <f t="shared" si="287"/>
        <v>5.681818181818182E-3</v>
      </c>
      <c r="F6436">
        <v>2</v>
      </c>
      <c r="G6436">
        <f>LOG(382/(2+1))</f>
        <v>2.1049421081920463</v>
      </c>
      <c r="H6436">
        <f>0.00568181818181818*4.84680831993846</f>
        <v>2.7538683636013968E-2</v>
      </c>
      <c r="I6436">
        <v>2.753868363601401E-2</v>
      </c>
    </row>
    <row r="6437" spans="1:9" x14ac:dyDescent="0.25">
      <c r="A6437">
        <v>338</v>
      </c>
      <c r="B6437" t="s">
        <v>2358</v>
      </c>
      <c r="C6437" t="s">
        <v>10</v>
      </c>
      <c r="D6437" t="s">
        <v>2220</v>
      </c>
      <c r="E6437">
        <f t="shared" si="287"/>
        <v>5.681818181818182E-3</v>
      </c>
      <c r="F6437">
        <v>21</v>
      </c>
      <c r="G6437">
        <f>LOG(382/(21+1))</f>
        <v>1.2396406820895025</v>
      </c>
      <c r="H6437">
        <f>0.00568181818181818*2.85437815524825</f>
        <v>1.6218057700274142E-2</v>
      </c>
      <c r="I6437">
        <v>1.6218057700274201E-2</v>
      </c>
    </row>
    <row r="6438" spans="1:9" x14ac:dyDescent="0.25">
      <c r="A6438">
        <v>338</v>
      </c>
      <c r="B6438" t="s">
        <v>2358</v>
      </c>
      <c r="C6438" t="s">
        <v>10</v>
      </c>
      <c r="D6438" t="s">
        <v>2385</v>
      </c>
      <c r="E6438">
        <f t="shared" si="287"/>
        <v>5.681818181818182E-3</v>
      </c>
      <c r="F6438">
        <v>1</v>
      </c>
      <c r="G6438">
        <f>LOG(382/(1+1))</f>
        <v>2.2810333672477277</v>
      </c>
      <c r="H6438">
        <f>0.00568181818181818*5.25227342804663</f>
        <v>2.9842462659355844E-2</v>
      </c>
      <c r="I6438">
        <v>2.9842462659355851E-2</v>
      </c>
    </row>
    <row r="6439" spans="1:9" x14ac:dyDescent="0.25">
      <c r="A6439">
        <v>338</v>
      </c>
      <c r="B6439" t="s">
        <v>2358</v>
      </c>
      <c r="C6439" t="s">
        <v>10</v>
      </c>
      <c r="D6439" t="s">
        <v>601</v>
      </c>
      <c r="E6439">
        <f t="shared" si="287"/>
        <v>5.681818181818182E-3</v>
      </c>
      <c r="F6439">
        <v>7</v>
      </c>
      <c r="G6439">
        <f>LOG(382/(7+1))</f>
        <v>1.6789733759197651</v>
      </c>
      <c r="H6439">
        <f>0.00568181818181818*3.86597906692673</f>
        <v>2.1965790152992781E-2</v>
      </c>
      <c r="I6439">
        <v>2.196579015299284E-2</v>
      </c>
    </row>
    <row r="6440" spans="1:9" x14ac:dyDescent="0.25">
      <c r="A6440">
        <v>338</v>
      </c>
      <c r="B6440" t="s">
        <v>2358</v>
      </c>
      <c r="C6440" t="s">
        <v>10</v>
      </c>
      <c r="D6440" t="s">
        <v>77</v>
      </c>
      <c r="E6440">
        <f t="shared" si="287"/>
        <v>5.681818181818182E-3</v>
      </c>
      <c r="F6440">
        <v>148</v>
      </c>
      <c r="G6440">
        <f>LOG(382/(148+1))</f>
        <v>0.40887709449943471</v>
      </c>
      <c r="H6440">
        <f>0.00568181818181818*0.941474302661116</f>
        <v>5.3492858105745212E-3</v>
      </c>
      <c r="I6440">
        <v>5.3492858105745238E-3</v>
      </c>
    </row>
    <row r="6441" spans="1:9" x14ac:dyDescent="0.25">
      <c r="A6441">
        <v>338</v>
      </c>
      <c r="B6441" t="s">
        <v>2358</v>
      </c>
      <c r="C6441" t="s">
        <v>10</v>
      </c>
      <c r="D6441" t="s">
        <v>714</v>
      </c>
      <c r="E6441">
        <f t="shared" si="287"/>
        <v>5.681818181818182E-3</v>
      </c>
      <c r="F6441">
        <v>12</v>
      </c>
      <c r="G6441">
        <f>LOG(382/(12+1))</f>
        <v>1.468120010604872</v>
      </c>
      <c r="H6441">
        <f>0.00568181818181818*3.38047125114503</f>
        <v>1.9207223017869483E-2</v>
      </c>
      <c r="I6441">
        <v>1.9207223017869542E-2</v>
      </c>
    </row>
    <row r="6442" spans="1:9" x14ac:dyDescent="0.25">
      <c r="A6442">
        <v>338</v>
      </c>
      <c r="B6442" t="s">
        <v>2358</v>
      </c>
      <c r="C6442" t="s">
        <v>10</v>
      </c>
      <c r="D6442" t="s">
        <v>750</v>
      </c>
      <c r="E6442">
        <f t="shared" si="287"/>
        <v>5.681818181818182E-3</v>
      </c>
      <c r="F6442">
        <v>9</v>
      </c>
      <c r="G6442">
        <f>LOG(382/(9+1))</f>
        <v>1.5820633629117087</v>
      </c>
      <c r="H6442">
        <f>0.00568181818181818*3.64283551561252</f>
        <v>2.0697929065980222E-2</v>
      </c>
      <c r="I6442">
        <v>2.0697929065980281E-2</v>
      </c>
    </row>
    <row r="6443" spans="1:9" x14ac:dyDescent="0.25">
      <c r="A6443">
        <v>338</v>
      </c>
      <c r="B6443" t="s">
        <v>2358</v>
      </c>
      <c r="C6443" t="s">
        <v>10</v>
      </c>
      <c r="D6443" t="s">
        <v>103</v>
      </c>
      <c r="E6443">
        <f t="shared" si="287"/>
        <v>5.681818181818182E-3</v>
      </c>
      <c r="F6443">
        <v>38</v>
      </c>
      <c r="G6443">
        <f>LOG(382/(38+1))</f>
        <v>0.99099875588520958</v>
      </c>
      <c r="H6443">
        <f>0.00568181818181818*2.28185896247692</f>
        <v>1.2965107741346134E-2</v>
      </c>
      <c r="I6443">
        <v>1.2965107741346189E-2</v>
      </c>
    </row>
    <row r="6444" spans="1:9" x14ac:dyDescent="0.25">
      <c r="A6444">
        <v>338</v>
      </c>
      <c r="B6444" t="s">
        <v>2358</v>
      </c>
      <c r="C6444" t="s">
        <v>10</v>
      </c>
      <c r="D6444" t="s">
        <v>1865</v>
      </c>
      <c r="E6444">
        <f t="shared" si="287"/>
        <v>5.681818181818182E-3</v>
      </c>
      <c r="F6444">
        <v>3</v>
      </c>
      <c r="G6444">
        <f>LOG(382/(3+1))</f>
        <v>1.9800033715837464</v>
      </c>
      <c r="H6444">
        <f>0.00568181818181818*4.55912624748668</f>
        <v>2.5904126406174312E-2</v>
      </c>
      <c r="I6444">
        <v>2.590412640617434E-2</v>
      </c>
    </row>
    <row r="6445" spans="1:9" x14ac:dyDescent="0.25">
      <c r="A6445">
        <v>338</v>
      </c>
      <c r="B6445" t="s">
        <v>2358</v>
      </c>
      <c r="C6445" t="s">
        <v>10</v>
      </c>
      <c r="D6445" t="s">
        <v>169</v>
      </c>
      <c r="E6445">
        <f t="shared" si="287"/>
        <v>5.681818181818182E-3</v>
      </c>
      <c r="F6445">
        <v>8</v>
      </c>
      <c r="G6445">
        <f>LOG(382/(8+1))</f>
        <v>1.6278208534723839</v>
      </c>
      <c r="H6445">
        <f>0.00568181818181818*3.74819603127035</f>
        <v>2.129656835949062E-2</v>
      </c>
      <c r="I6445">
        <v>2.1296568359490661E-2</v>
      </c>
    </row>
    <row r="6446" spans="1:9" x14ac:dyDescent="0.25">
      <c r="A6446">
        <v>339</v>
      </c>
      <c r="B6446" t="s">
        <v>2386</v>
      </c>
      <c r="C6446" t="s">
        <v>10</v>
      </c>
      <c r="D6446" t="s">
        <v>40</v>
      </c>
      <c r="E6446">
        <f>3/50</f>
        <v>0.06</v>
      </c>
      <c r="F6446">
        <v>159</v>
      </c>
      <c r="G6446">
        <f>LOG(382/(159+1))</f>
        <v>0.377943380255784</v>
      </c>
      <c r="H6446">
        <f>0.06*0.870246793372748</f>
        <v>5.2214807602364882E-2</v>
      </c>
      <c r="I6446">
        <v>5.2214807602364903E-2</v>
      </c>
    </row>
    <row r="6447" spans="1:9" x14ac:dyDescent="0.25">
      <c r="A6447">
        <v>339</v>
      </c>
      <c r="B6447" t="s">
        <v>2386</v>
      </c>
      <c r="C6447" t="s">
        <v>10</v>
      </c>
      <c r="D6447" t="s">
        <v>41</v>
      </c>
      <c r="E6447">
        <f>5/50</f>
        <v>0.1</v>
      </c>
      <c r="F6447">
        <v>195</v>
      </c>
      <c r="G6447">
        <f>LOG(382/(195+1))</f>
        <v>0.28980729155523272</v>
      </c>
      <c r="H6447">
        <f>0.1*0.667305949376058</f>
        <v>6.6730594937605803E-2</v>
      </c>
      <c r="I6447">
        <v>6.6730594937605803E-2</v>
      </c>
    </row>
    <row r="6448" spans="1:9" x14ac:dyDescent="0.25">
      <c r="A6448">
        <v>339</v>
      </c>
      <c r="B6448" t="s">
        <v>2386</v>
      </c>
      <c r="C6448" t="s">
        <v>10</v>
      </c>
      <c r="D6448" t="s">
        <v>2387</v>
      </c>
      <c r="E6448">
        <f>1/50</f>
        <v>0.02</v>
      </c>
      <c r="F6448">
        <v>1</v>
      </c>
      <c r="G6448">
        <f>LOG(382/(1+1))</f>
        <v>2.2810333672477277</v>
      </c>
      <c r="H6448">
        <f>0.02*5.25227342804663</f>
        <v>0.10504546856093259</v>
      </c>
      <c r="I6448">
        <v>0.10504546856093259</v>
      </c>
    </row>
    <row r="6449" spans="1:9" x14ac:dyDescent="0.25">
      <c r="A6449">
        <v>339</v>
      </c>
      <c r="B6449" t="s">
        <v>2386</v>
      </c>
      <c r="C6449" t="s">
        <v>10</v>
      </c>
      <c r="D6449" t="s">
        <v>2388</v>
      </c>
      <c r="E6449">
        <f>1/50</f>
        <v>0.02</v>
      </c>
      <c r="F6449">
        <v>1</v>
      </c>
      <c r="G6449">
        <f>LOG(382/(1+1))</f>
        <v>2.2810333672477277</v>
      </c>
      <c r="H6449">
        <f>0.02*5.25227342804663</f>
        <v>0.10504546856093259</v>
      </c>
      <c r="I6449">
        <v>0.10504546856093259</v>
      </c>
    </row>
    <row r="6450" spans="1:9" x14ac:dyDescent="0.25">
      <c r="A6450">
        <v>339</v>
      </c>
      <c r="B6450" t="s">
        <v>2386</v>
      </c>
      <c r="C6450" t="s">
        <v>10</v>
      </c>
      <c r="D6450" t="s">
        <v>2389</v>
      </c>
      <c r="E6450">
        <f>4/50</f>
        <v>0.08</v>
      </c>
      <c r="F6450">
        <v>1</v>
      </c>
      <c r="G6450">
        <f>LOG(382/(1+1))</f>
        <v>2.2810333672477277</v>
      </c>
      <c r="H6450">
        <f>0.08*5.25227342804663</f>
        <v>0.42018187424373038</v>
      </c>
      <c r="I6450">
        <v>0.42018187424373038</v>
      </c>
    </row>
    <row r="6451" spans="1:9" x14ac:dyDescent="0.25">
      <c r="A6451">
        <v>339</v>
      </c>
      <c r="B6451" t="s">
        <v>2386</v>
      </c>
      <c r="C6451" t="s">
        <v>10</v>
      </c>
      <c r="D6451" t="s">
        <v>2154</v>
      </c>
      <c r="E6451">
        <f>1/50</f>
        <v>0.02</v>
      </c>
      <c r="F6451">
        <v>9</v>
      </c>
      <c r="G6451">
        <f>LOG(382/(9+1))</f>
        <v>1.5820633629117087</v>
      </c>
      <c r="H6451">
        <f>0.02*3.64283551561252</f>
        <v>7.2856710312250397E-2</v>
      </c>
      <c r="I6451">
        <v>7.2856710312250592E-2</v>
      </c>
    </row>
    <row r="6452" spans="1:9" x14ac:dyDescent="0.25">
      <c r="A6452">
        <v>339</v>
      </c>
      <c r="B6452" t="s">
        <v>2386</v>
      </c>
      <c r="C6452" t="s">
        <v>10</v>
      </c>
      <c r="D6452" t="s">
        <v>77</v>
      </c>
      <c r="E6452">
        <f>2/50</f>
        <v>0.04</v>
      </c>
      <c r="F6452">
        <v>148</v>
      </c>
      <c r="G6452">
        <f>LOG(382/(148+1))</f>
        <v>0.40887709449943471</v>
      </c>
      <c r="H6452">
        <f>0.04*0.941474302661116</f>
        <v>3.7658972106444637E-2</v>
      </c>
      <c r="I6452">
        <v>3.7658972106444637E-2</v>
      </c>
    </row>
    <row r="6453" spans="1:9" x14ac:dyDescent="0.25">
      <c r="A6453">
        <v>339</v>
      </c>
      <c r="B6453" t="s">
        <v>2386</v>
      </c>
      <c r="C6453" t="s">
        <v>10</v>
      </c>
      <c r="D6453" t="s">
        <v>42</v>
      </c>
      <c r="E6453">
        <f>1/50</f>
        <v>0.02</v>
      </c>
      <c r="F6453">
        <v>251</v>
      </c>
      <c r="G6453">
        <f>LOG(382/(251+1))</f>
        <v>0.18066282213016463</v>
      </c>
      <c r="H6453">
        <f>0.02*0.415991521095151</f>
        <v>8.3198304219030197E-3</v>
      </c>
      <c r="I6453">
        <v>8.3198304219030371E-3</v>
      </c>
    </row>
    <row r="6454" spans="1:9" x14ac:dyDescent="0.25">
      <c r="A6454">
        <v>339</v>
      </c>
      <c r="B6454" t="s">
        <v>2386</v>
      </c>
      <c r="C6454" t="s">
        <v>10</v>
      </c>
      <c r="D6454" t="s">
        <v>76</v>
      </c>
      <c r="E6454">
        <f>3/50</f>
        <v>0.06</v>
      </c>
      <c r="F6454">
        <v>140</v>
      </c>
      <c r="G6454">
        <f>LOG(382/(140+1))</f>
        <v>0.43284425025632883</v>
      </c>
      <c r="H6454">
        <f>0.06*0.996660718228407</f>
        <v>5.9799643093704419E-2</v>
      </c>
      <c r="I6454">
        <v>5.9799643093704419E-2</v>
      </c>
    </row>
    <row r="6455" spans="1:9" x14ac:dyDescent="0.25">
      <c r="A6455">
        <v>339</v>
      </c>
      <c r="B6455" t="s">
        <v>2386</v>
      </c>
      <c r="C6455" t="s">
        <v>10</v>
      </c>
      <c r="D6455" t="s">
        <v>897</v>
      </c>
      <c r="E6455">
        <f t="shared" ref="E6455:E6465" si="288">1/50</f>
        <v>0.02</v>
      </c>
      <c r="F6455">
        <v>4</v>
      </c>
      <c r="G6455">
        <f>LOG(382/(4+1))</f>
        <v>1.8830933585756899</v>
      </c>
      <c r="H6455">
        <f>0.02*4.33598269617247</f>
        <v>8.6719653923449408E-2</v>
      </c>
      <c r="I6455">
        <v>8.6719653923449491E-2</v>
      </c>
    </row>
    <row r="6456" spans="1:9" x14ac:dyDescent="0.25">
      <c r="A6456">
        <v>339</v>
      </c>
      <c r="B6456" t="s">
        <v>2386</v>
      </c>
      <c r="C6456" t="s">
        <v>10</v>
      </c>
      <c r="D6456" t="s">
        <v>1127</v>
      </c>
      <c r="E6456">
        <f t="shared" si="288"/>
        <v>0.02</v>
      </c>
      <c r="F6456">
        <v>18</v>
      </c>
      <c r="G6456">
        <f>LOG(382/(18+1))</f>
        <v>1.3033097619588798</v>
      </c>
      <c r="H6456">
        <f>0.02*3.00098162944013</f>
        <v>6.0019632588802607E-2</v>
      </c>
      <c r="I6456">
        <v>6.001963258880269E-2</v>
      </c>
    </row>
    <row r="6457" spans="1:9" x14ac:dyDescent="0.25">
      <c r="A6457">
        <v>339</v>
      </c>
      <c r="B6457" t="s">
        <v>2386</v>
      </c>
      <c r="C6457" t="s">
        <v>10</v>
      </c>
      <c r="D6457" t="s">
        <v>1130</v>
      </c>
      <c r="E6457">
        <f t="shared" si="288"/>
        <v>0.02</v>
      </c>
      <c r="F6457">
        <v>12</v>
      </c>
      <c r="G6457">
        <f>LOG(382/(12+1))</f>
        <v>1.468120010604872</v>
      </c>
      <c r="H6457">
        <f>0.02*3.38047125114503</f>
        <v>6.7609425022900599E-2</v>
      </c>
      <c r="I6457">
        <v>6.7609425022900779E-2</v>
      </c>
    </row>
    <row r="6458" spans="1:9" x14ac:dyDescent="0.25">
      <c r="A6458">
        <v>339</v>
      </c>
      <c r="B6458" t="s">
        <v>2386</v>
      </c>
      <c r="C6458" t="s">
        <v>10</v>
      </c>
      <c r="D6458" t="s">
        <v>2390</v>
      </c>
      <c r="E6458">
        <f t="shared" si="288"/>
        <v>0.02</v>
      </c>
      <c r="F6458">
        <v>1</v>
      </c>
      <c r="G6458">
        <f>LOG(382/(1+1))</f>
        <v>2.2810333672477277</v>
      </c>
      <c r="H6458">
        <f>0.02*5.25227342804663</f>
        <v>0.10504546856093259</v>
      </c>
      <c r="I6458">
        <v>0.10504546856093259</v>
      </c>
    </row>
    <row r="6459" spans="1:9" x14ac:dyDescent="0.25">
      <c r="A6459">
        <v>339</v>
      </c>
      <c r="B6459" t="s">
        <v>2386</v>
      </c>
      <c r="C6459" t="s">
        <v>10</v>
      </c>
      <c r="D6459" t="s">
        <v>2391</v>
      </c>
      <c r="E6459">
        <f t="shared" si="288"/>
        <v>0.02</v>
      </c>
      <c r="F6459">
        <v>1</v>
      </c>
      <c r="G6459">
        <f>LOG(382/(1+1))</f>
        <v>2.2810333672477277</v>
      </c>
      <c r="H6459">
        <f>0.02*5.25227342804663</f>
        <v>0.10504546856093259</v>
      </c>
      <c r="I6459">
        <v>0.10504546856093259</v>
      </c>
    </row>
    <row r="6460" spans="1:9" x14ac:dyDescent="0.25">
      <c r="A6460">
        <v>339</v>
      </c>
      <c r="B6460" t="s">
        <v>2386</v>
      </c>
      <c r="C6460" t="s">
        <v>10</v>
      </c>
      <c r="D6460" t="s">
        <v>2392</v>
      </c>
      <c r="E6460">
        <f t="shared" si="288"/>
        <v>0.02</v>
      </c>
      <c r="F6460">
        <v>1</v>
      </c>
      <c r="G6460">
        <f>LOG(382/(1+1))</f>
        <v>2.2810333672477277</v>
      </c>
      <c r="H6460">
        <f>0.02*5.25227342804663</f>
        <v>0.10504546856093259</v>
      </c>
      <c r="I6460">
        <v>0.10504546856093259</v>
      </c>
    </row>
    <row r="6461" spans="1:9" x14ac:dyDescent="0.25">
      <c r="A6461">
        <v>339</v>
      </c>
      <c r="B6461" t="s">
        <v>2386</v>
      </c>
      <c r="C6461" t="s">
        <v>10</v>
      </c>
      <c r="D6461" t="s">
        <v>911</v>
      </c>
      <c r="E6461">
        <f t="shared" si="288"/>
        <v>0.02</v>
      </c>
      <c r="F6461">
        <v>22</v>
      </c>
      <c r="G6461">
        <f>LOG(382/(22+1))</f>
        <v>1.2203355268941158</v>
      </c>
      <c r="H6461">
        <f>0.02*2.80992639267742</f>
        <v>5.6198527853548397E-2</v>
      </c>
      <c r="I6461">
        <v>5.6198527853548508E-2</v>
      </c>
    </row>
    <row r="6462" spans="1:9" x14ac:dyDescent="0.25">
      <c r="A6462">
        <v>339</v>
      </c>
      <c r="B6462" t="s">
        <v>2386</v>
      </c>
      <c r="C6462" t="s">
        <v>10</v>
      </c>
      <c r="D6462" t="s">
        <v>2156</v>
      </c>
      <c r="E6462">
        <f t="shared" si="288"/>
        <v>0.02</v>
      </c>
      <c r="F6462">
        <v>2</v>
      </c>
      <c r="G6462">
        <f>LOG(382/(2+1))</f>
        <v>2.1049421081920463</v>
      </c>
      <c r="H6462">
        <f>0.02*4.84680831993846</f>
        <v>9.6936166398769202E-2</v>
      </c>
      <c r="I6462">
        <v>9.6936166398769313E-2</v>
      </c>
    </row>
    <row r="6463" spans="1:9" x14ac:dyDescent="0.25">
      <c r="A6463">
        <v>339</v>
      </c>
      <c r="B6463" t="s">
        <v>2386</v>
      </c>
      <c r="C6463" t="s">
        <v>10</v>
      </c>
      <c r="D6463" t="s">
        <v>913</v>
      </c>
      <c r="E6463">
        <f t="shared" si="288"/>
        <v>0.02</v>
      </c>
      <c r="F6463">
        <v>14</v>
      </c>
      <c r="G6463">
        <f>LOG(382/(14+1))</f>
        <v>1.4059721038560276</v>
      </c>
      <c r="H6463">
        <f>0.02*3.23737040750436</f>
        <v>6.4747408150087199E-2</v>
      </c>
      <c r="I6463">
        <v>6.474740815008731E-2</v>
      </c>
    </row>
    <row r="6464" spans="1:9" x14ac:dyDescent="0.25">
      <c r="A6464">
        <v>339</v>
      </c>
      <c r="B6464" t="s">
        <v>2386</v>
      </c>
      <c r="C6464" t="s">
        <v>10</v>
      </c>
      <c r="D6464" t="s">
        <v>38</v>
      </c>
      <c r="E6464">
        <f t="shared" si="288"/>
        <v>0.02</v>
      </c>
      <c r="F6464">
        <v>86</v>
      </c>
      <c r="G6464">
        <f>LOG(382/(86+1))</f>
        <v>0.64254411029309022</v>
      </c>
      <c r="H6464">
        <f>0.02*1.47951248995199</f>
        <v>2.9590249799039802E-2</v>
      </c>
      <c r="I6464">
        <v>2.959024979903983E-2</v>
      </c>
    </row>
    <row r="6465" spans="1:9" x14ac:dyDescent="0.25">
      <c r="A6465">
        <v>339</v>
      </c>
      <c r="B6465" t="s">
        <v>2386</v>
      </c>
      <c r="C6465" t="s">
        <v>10</v>
      </c>
      <c r="D6465" t="s">
        <v>262</v>
      </c>
      <c r="E6465">
        <f t="shared" si="288"/>
        <v>0.02</v>
      </c>
      <c r="F6465">
        <v>13</v>
      </c>
      <c r="G6465">
        <f>LOG(382/(13+1))</f>
        <v>1.4359353272334707</v>
      </c>
      <c r="H6465">
        <f>0.02*3.30636327899131</f>
        <v>6.6127265579826205E-2</v>
      </c>
      <c r="I6465">
        <v>6.612726557982633E-2</v>
      </c>
    </row>
    <row r="6466" spans="1:9" x14ac:dyDescent="0.25">
      <c r="A6466">
        <v>339</v>
      </c>
      <c r="B6466" t="s">
        <v>2386</v>
      </c>
      <c r="C6466" t="s">
        <v>10</v>
      </c>
      <c r="D6466" t="s">
        <v>36</v>
      </c>
      <c r="E6466">
        <f>3/50</f>
        <v>0.06</v>
      </c>
      <c r="F6466">
        <v>58</v>
      </c>
      <c r="G6466">
        <f>LOG(382/(58+1))</f>
        <v>0.81121135126956456</v>
      </c>
      <c r="H6466">
        <f>0.06*1.86788316470085</f>
        <v>0.112072989882051</v>
      </c>
      <c r="I6466">
        <v>0.1120729898820513</v>
      </c>
    </row>
    <row r="6467" spans="1:9" x14ac:dyDescent="0.25">
      <c r="A6467">
        <v>339</v>
      </c>
      <c r="B6467" t="s">
        <v>2386</v>
      </c>
      <c r="C6467" t="s">
        <v>10</v>
      </c>
      <c r="D6467" t="s">
        <v>2393</v>
      </c>
      <c r="E6467">
        <f>1/50</f>
        <v>0.02</v>
      </c>
      <c r="F6467">
        <v>1</v>
      </c>
      <c r="G6467">
        <f>LOG(382/(1+1))</f>
        <v>2.2810333672477277</v>
      </c>
      <c r="H6467">
        <f>0.02*5.25227342804663</f>
        <v>0.10504546856093259</v>
      </c>
      <c r="I6467">
        <v>0.10504546856093259</v>
      </c>
    </row>
    <row r="6468" spans="1:9" x14ac:dyDescent="0.25">
      <c r="A6468">
        <v>339</v>
      </c>
      <c r="B6468" t="s">
        <v>2386</v>
      </c>
      <c r="C6468" t="s">
        <v>10</v>
      </c>
      <c r="D6468" t="s">
        <v>2394</v>
      </c>
      <c r="E6468">
        <f>1/50</f>
        <v>0.02</v>
      </c>
      <c r="F6468">
        <v>8</v>
      </c>
      <c r="G6468">
        <f>LOG(382/(8+1))</f>
        <v>1.6278208534723839</v>
      </c>
      <c r="H6468">
        <f>0.02*3.74819603127035</f>
        <v>7.4963920625407007E-2</v>
      </c>
      <c r="I6468">
        <v>7.4963920625407118E-2</v>
      </c>
    </row>
    <row r="6469" spans="1:9" x14ac:dyDescent="0.25">
      <c r="A6469">
        <v>339</v>
      </c>
      <c r="B6469" t="s">
        <v>2386</v>
      </c>
      <c r="C6469" t="s">
        <v>10</v>
      </c>
      <c r="D6469" t="s">
        <v>168</v>
      </c>
      <c r="E6469">
        <f>2/50</f>
        <v>0.04</v>
      </c>
      <c r="F6469">
        <v>34</v>
      </c>
      <c r="G6469">
        <f>LOG(382/(34+1))</f>
        <v>1.037995318561433</v>
      </c>
      <c r="H6469">
        <f>0.04*2.39007254711716</f>
        <v>9.5602901884686398E-2</v>
      </c>
      <c r="I6469">
        <v>9.5602901884686453E-2</v>
      </c>
    </row>
    <row r="6470" spans="1:9" x14ac:dyDescent="0.25">
      <c r="A6470">
        <v>339</v>
      </c>
      <c r="B6470" t="s">
        <v>2386</v>
      </c>
      <c r="C6470" t="s">
        <v>10</v>
      </c>
      <c r="D6470" t="s">
        <v>2395</v>
      </c>
      <c r="E6470">
        <f>2/50</f>
        <v>0.04</v>
      </c>
      <c r="F6470">
        <v>1</v>
      </c>
      <c r="G6470">
        <f>LOG(382/(1+1))</f>
        <v>2.2810333672477277</v>
      </c>
      <c r="H6470">
        <f>0.04*5.25227342804663</f>
        <v>0.21009093712186519</v>
      </c>
      <c r="I6470">
        <v>0.21009093712186519</v>
      </c>
    </row>
    <row r="6471" spans="1:9" x14ac:dyDescent="0.25">
      <c r="A6471">
        <v>339</v>
      </c>
      <c r="B6471" t="s">
        <v>2386</v>
      </c>
      <c r="C6471" t="s">
        <v>10</v>
      </c>
      <c r="D6471" t="s">
        <v>2396</v>
      </c>
      <c r="E6471">
        <f t="shared" ref="E6471:E6479" si="289">1/50</f>
        <v>0.02</v>
      </c>
      <c r="F6471">
        <v>1</v>
      </c>
      <c r="G6471">
        <f>LOG(382/(1+1))</f>
        <v>2.2810333672477277</v>
      </c>
      <c r="H6471">
        <f>0.02*5.25227342804663</f>
        <v>0.10504546856093259</v>
      </c>
      <c r="I6471">
        <v>0.10504546856093259</v>
      </c>
    </row>
    <row r="6472" spans="1:9" x14ac:dyDescent="0.25">
      <c r="A6472">
        <v>339</v>
      </c>
      <c r="B6472" t="s">
        <v>2386</v>
      </c>
      <c r="C6472" t="s">
        <v>10</v>
      </c>
      <c r="D6472" t="s">
        <v>2397</v>
      </c>
      <c r="E6472">
        <f t="shared" si="289"/>
        <v>0.02</v>
      </c>
      <c r="F6472">
        <v>1</v>
      </c>
      <c r="G6472">
        <f>LOG(382/(1+1))</f>
        <v>2.2810333672477277</v>
      </c>
      <c r="H6472">
        <f>0.02*5.25227342804663</f>
        <v>0.10504546856093259</v>
      </c>
      <c r="I6472">
        <v>0.10504546856093259</v>
      </c>
    </row>
    <row r="6473" spans="1:9" x14ac:dyDescent="0.25">
      <c r="A6473">
        <v>339</v>
      </c>
      <c r="B6473" t="s">
        <v>2386</v>
      </c>
      <c r="C6473" t="s">
        <v>10</v>
      </c>
      <c r="D6473" t="s">
        <v>1601</v>
      </c>
      <c r="E6473">
        <f t="shared" si="289"/>
        <v>0.02</v>
      </c>
      <c r="F6473">
        <v>2</v>
      </c>
      <c r="G6473">
        <f>LOG(382/(2+1))</f>
        <v>2.1049421081920463</v>
      </c>
      <c r="H6473">
        <f>0.02*4.84680831993846</f>
        <v>9.6936166398769202E-2</v>
      </c>
      <c r="I6473">
        <v>9.6936166398769313E-2</v>
      </c>
    </row>
    <row r="6474" spans="1:9" x14ac:dyDescent="0.25">
      <c r="A6474">
        <v>339</v>
      </c>
      <c r="B6474" t="s">
        <v>2386</v>
      </c>
      <c r="C6474" t="s">
        <v>10</v>
      </c>
      <c r="D6474" t="s">
        <v>2398</v>
      </c>
      <c r="E6474">
        <f t="shared" si="289"/>
        <v>0.02</v>
      </c>
      <c r="F6474">
        <v>1</v>
      </c>
      <c r="G6474">
        <f>LOG(382/(1+1))</f>
        <v>2.2810333672477277</v>
      </c>
      <c r="H6474">
        <f>0.02*5.25227342804663</f>
        <v>0.10504546856093259</v>
      </c>
      <c r="I6474">
        <v>0.10504546856093259</v>
      </c>
    </row>
    <row r="6475" spans="1:9" x14ac:dyDescent="0.25">
      <c r="A6475">
        <v>339</v>
      </c>
      <c r="B6475" t="s">
        <v>2386</v>
      </c>
      <c r="C6475" t="s">
        <v>10</v>
      </c>
      <c r="D6475" t="s">
        <v>15</v>
      </c>
      <c r="E6475">
        <f t="shared" si="289"/>
        <v>0.02</v>
      </c>
      <c r="F6475">
        <v>112</v>
      </c>
      <c r="G6475">
        <f>LOG(382/(112+1))</f>
        <v>0.52898491942828896</v>
      </c>
      <c r="H6475">
        <f>0.02*1.21803278989423</f>
        <v>2.4360655797884601E-2</v>
      </c>
      <c r="I6475">
        <v>2.4360655797884691E-2</v>
      </c>
    </row>
    <row r="6476" spans="1:9" x14ac:dyDescent="0.25">
      <c r="A6476">
        <v>339</v>
      </c>
      <c r="B6476" t="s">
        <v>2386</v>
      </c>
      <c r="C6476" t="s">
        <v>10</v>
      </c>
      <c r="D6476" t="s">
        <v>115</v>
      </c>
      <c r="E6476">
        <f t="shared" si="289"/>
        <v>0.02</v>
      </c>
      <c r="F6476">
        <v>17</v>
      </c>
      <c r="G6476">
        <f>LOG(382/(17+1))</f>
        <v>1.3267908578084027</v>
      </c>
      <c r="H6476">
        <f>0.02*3.05504885071041</f>
        <v>6.1100977014208198E-2</v>
      </c>
      <c r="I6476">
        <v>6.1100977014208198E-2</v>
      </c>
    </row>
    <row r="6477" spans="1:9" x14ac:dyDescent="0.25">
      <c r="A6477">
        <v>339</v>
      </c>
      <c r="B6477" t="s">
        <v>2386</v>
      </c>
      <c r="C6477" t="s">
        <v>10</v>
      </c>
      <c r="D6477" t="s">
        <v>2399</v>
      </c>
      <c r="E6477">
        <f t="shared" si="289"/>
        <v>0.02</v>
      </c>
      <c r="F6477">
        <v>2</v>
      </c>
      <c r="G6477">
        <f>LOG(382/(2+1))</f>
        <v>2.1049421081920463</v>
      </c>
      <c r="H6477">
        <f>0.02*4.84680831993846</f>
        <v>9.6936166398769202E-2</v>
      </c>
      <c r="I6477">
        <v>9.6936166398769313E-2</v>
      </c>
    </row>
    <row r="6478" spans="1:9" x14ac:dyDescent="0.25">
      <c r="A6478">
        <v>339</v>
      </c>
      <c r="B6478" t="s">
        <v>2386</v>
      </c>
      <c r="C6478" t="s">
        <v>10</v>
      </c>
      <c r="D6478" t="s">
        <v>2157</v>
      </c>
      <c r="E6478">
        <f t="shared" si="289"/>
        <v>0.02</v>
      </c>
      <c r="F6478">
        <v>2</v>
      </c>
      <c r="G6478">
        <f>LOG(382/(2+1))</f>
        <v>2.1049421081920463</v>
      </c>
      <c r="H6478">
        <f>0.02*4.84680831993846</f>
        <v>9.6936166398769202E-2</v>
      </c>
      <c r="I6478">
        <v>9.6936166398769313E-2</v>
      </c>
    </row>
    <row r="6479" spans="1:9" x14ac:dyDescent="0.25">
      <c r="A6479">
        <v>339</v>
      </c>
      <c r="B6479" t="s">
        <v>2386</v>
      </c>
      <c r="C6479" t="s">
        <v>10</v>
      </c>
      <c r="D6479" t="s">
        <v>2400</v>
      </c>
      <c r="E6479">
        <f t="shared" si="289"/>
        <v>0.02</v>
      </c>
      <c r="F6479">
        <v>1</v>
      </c>
      <c r="G6479">
        <f>LOG(382/(1+1))</f>
        <v>2.2810333672477277</v>
      </c>
      <c r="H6479">
        <f>0.02*5.25227342804663</f>
        <v>0.10504546856093259</v>
      </c>
      <c r="I6479">
        <v>0.10504546856093259</v>
      </c>
    </row>
    <row r="6480" spans="1:9" x14ac:dyDescent="0.25">
      <c r="A6480">
        <v>340</v>
      </c>
      <c r="B6480" t="s">
        <v>2401</v>
      </c>
      <c r="C6480" t="s">
        <v>10</v>
      </c>
      <c r="D6480" t="s">
        <v>183</v>
      </c>
      <c r="E6480">
        <f>3/89</f>
        <v>3.3707865168539325E-2</v>
      </c>
      <c r="F6480">
        <v>46</v>
      </c>
      <c r="G6480">
        <f>LOG(382/(46+1))</f>
        <v>0.90996550497599127</v>
      </c>
      <c r="H6480">
        <f>0.0337078651685393*2.09527300689651</f>
        <v>7.0627180007747481E-2</v>
      </c>
      <c r="I6480">
        <v>7.0627180007747745E-2</v>
      </c>
    </row>
    <row r="6481" spans="1:9" x14ac:dyDescent="0.25">
      <c r="A6481">
        <v>340</v>
      </c>
      <c r="B6481" t="s">
        <v>2401</v>
      </c>
      <c r="C6481" t="s">
        <v>10</v>
      </c>
      <c r="D6481" t="s">
        <v>11</v>
      </c>
      <c r="E6481">
        <f>7/89</f>
        <v>7.8651685393258425E-2</v>
      </c>
      <c r="F6481">
        <v>83</v>
      </c>
      <c r="G6481">
        <f>LOG(382/(83+1))</f>
        <v>0.65778407684982709</v>
      </c>
      <c r="H6481">
        <f>0.0786516853932584*1.51460380976326</f>
        <v>0.11912614234093051</v>
      </c>
      <c r="I6481">
        <v>0.1191261423409307</v>
      </c>
    </row>
    <row r="6482" spans="1:9" x14ac:dyDescent="0.25">
      <c r="A6482">
        <v>340</v>
      </c>
      <c r="B6482" t="s">
        <v>2401</v>
      </c>
      <c r="C6482" t="s">
        <v>10</v>
      </c>
      <c r="D6482" t="s">
        <v>12</v>
      </c>
      <c r="E6482">
        <f>7/89</f>
        <v>7.8651685393258425E-2</v>
      </c>
      <c r="F6482">
        <v>28</v>
      </c>
      <c r="G6482">
        <f>LOG(382/(28+1))</f>
        <v>1.1196653650127526</v>
      </c>
      <c r="H6482">
        <f>0.0786516853932584*2.5781247786201</f>
        <v>0.20277385899259204</v>
      </c>
      <c r="I6482">
        <v>0.2027738589925922</v>
      </c>
    </row>
    <row r="6483" spans="1:9" x14ac:dyDescent="0.25">
      <c r="A6483">
        <v>340</v>
      </c>
      <c r="B6483" t="s">
        <v>2401</v>
      </c>
      <c r="C6483" t="s">
        <v>10</v>
      </c>
      <c r="D6483" t="s">
        <v>999</v>
      </c>
      <c r="E6483">
        <f>5/89</f>
        <v>5.6179775280898875E-2</v>
      </c>
      <c r="F6483">
        <v>3</v>
      </c>
      <c r="G6483">
        <f>LOG(382/(3+1))</f>
        <v>1.9800033715837464</v>
      </c>
      <c r="H6483">
        <f>0.0561797752808988*4.55912624748668</f>
        <v>0.25613068806104911</v>
      </c>
      <c r="I6483">
        <v>0.25613068806104972</v>
      </c>
    </row>
    <row r="6484" spans="1:9" x14ac:dyDescent="0.25">
      <c r="A6484">
        <v>340</v>
      </c>
      <c r="B6484" t="s">
        <v>2401</v>
      </c>
      <c r="C6484" t="s">
        <v>10</v>
      </c>
      <c r="D6484" t="s">
        <v>1079</v>
      </c>
      <c r="E6484">
        <f>1/89</f>
        <v>1.1235955056179775E-2</v>
      </c>
      <c r="F6484">
        <v>34</v>
      </c>
      <c r="G6484">
        <f>LOG(382/(34+1))</f>
        <v>1.037995318561433</v>
      </c>
      <c r="H6484">
        <f>0.0112359550561797*2.39007254711716</f>
        <v>2.6854747720417349E-2</v>
      </c>
      <c r="I6484">
        <v>2.685474772041754E-2</v>
      </c>
    </row>
    <row r="6485" spans="1:9" x14ac:dyDescent="0.25">
      <c r="A6485">
        <v>340</v>
      </c>
      <c r="B6485" t="s">
        <v>2401</v>
      </c>
      <c r="C6485" t="s">
        <v>10</v>
      </c>
      <c r="D6485" t="s">
        <v>44</v>
      </c>
      <c r="E6485">
        <f>1/89</f>
        <v>1.1235955056179775E-2</v>
      </c>
      <c r="F6485">
        <v>151</v>
      </c>
      <c r="G6485">
        <f>LOG(382/(151+1))</f>
        <v>0.40021977496693617</v>
      </c>
      <c r="H6485">
        <f>0.0112359550561797*0.921540087760298</f>
        <v>1.0354383008542606E-2</v>
      </c>
      <c r="I6485">
        <v>1.035438300854268E-2</v>
      </c>
    </row>
    <row r="6486" spans="1:9" x14ac:dyDescent="0.25">
      <c r="A6486">
        <v>340</v>
      </c>
      <c r="B6486" t="s">
        <v>2401</v>
      </c>
      <c r="C6486" t="s">
        <v>10</v>
      </c>
      <c r="D6486" t="s">
        <v>204</v>
      </c>
      <c r="E6486">
        <f>1/89</f>
        <v>1.1235955056179775E-2</v>
      </c>
      <c r="F6486">
        <v>166</v>
      </c>
      <c r="G6486">
        <f>LOG(382/(166+1))</f>
        <v>0.35934689176412549</v>
      </c>
      <c r="H6486">
        <f>0.0112359550561797*0.82742679618982</f>
        <v>9.2969302942675774E-3</v>
      </c>
      <c r="I6486">
        <v>9.2969302942676416E-3</v>
      </c>
    </row>
    <row r="6487" spans="1:9" x14ac:dyDescent="0.25">
      <c r="A6487">
        <v>340</v>
      </c>
      <c r="B6487" t="s">
        <v>2401</v>
      </c>
      <c r="C6487" t="s">
        <v>10</v>
      </c>
      <c r="D6487" t="s">
        <v>215</v>
      </c>
      <c r="E6487">
        <f>1/89</f>
        <v>1.1235955056179775E-2</v>
      </c>
      <c r="F6487">
        <v>25</v>
      </c>
      <c r="G6487">
        <f>LOG(382/(25+1))</f>
        <v>1.1670900149408907</v>
      </c>
      <c r="H6487">
        <f>0.0112359550561797*2.68732407058509</f>
        <v>3.0194652478483956E-2</v>
      </c>
      <c r="I6487">
        <v>3.0194652478484189E-2</v>
      </c>
    </row>
    <row r="6488" spans="1:9" x14ac:dyDescent="0.25">
      <c r="A6488">
        <v>340</v>
      </c>
      <c r="B6488" t="s">
        <v>2401</v>
      </c>
      <c r="C6488" t="s">
        <v>10</v>
      </c>
      <c r="D6488" t="s">
        <v>216</v>
      </c>
      <c r="E6488">
        <f>2/89</f>
        <v>2.247191011235955E-2</v>
      </c>
      <c r="F6488">
        <v>63</v>
      </c>
      <c r="G6488">
        <f>LOG(382/(63+1))</f>
        <v>0.7758833889278216</v>
      </c>
      <c r="H6488">
        <f>0.0224719101123595*1.7865375252469</f>
        <v>4.0146910679705529E-2</v>
      </c>
      <c r="I6488">
        <v>4.0146910679705702E-2</v>
      </c>
    </row>
    <row r="6489" spans="1:9" x14ac:dyDescent="0.25">
      <c r="A6489">
        <v>340</v>
      </c>
      <c r="B6489" t="s">
        <v>2401</v>
      </c>
      <c r="C6489" t="s">
        <v>10</v>
      </c>
      <c r="D6489" t="s">
        <v>2402</v>
      </c>
      <c r="E6489">
        <f>1/89</f>
        <v>1.1235955056179775E-2</v>
      </c>
      <c r="F6489">
        <v>2</v>
      </c>
      <c r="G6489">
        <f>LOG(382/(2+1))</f>
        <v>2.1049421081920463</v>
      </c>
      <c r="H6489">
        <f>0.0112359550561797*4.84680831993846</f>
        <v>5.4458520448746377E-2</v>
      </c>
      <c r="I6489">
        <v>5.44585204487468E-2</v>
      </c>
    </row>
    <row r="6490" spans="1:9" x14ac:dyDescent="0.25">
      <c r="A6490">
        <v>340</v>
      </c>
      <c r="B6490" t="s">
        <v>2401</v>
      </c>
      <c r="C6490" t="s">
        <v>10</v>
      </c>
      <c r="D6490" t="s">
        <v>119</v>
      </c>
      <c r="E6490">
        <f>3/89</f>
        <v>3.3707865168539325E-2</v>
      </c>
      <c r="F6490">
        <v>79</v>
      </c>
      <c r="G6490">
        <f>LOG(382/(79+1))</f>
        <v>0.67897337591976514</v>
      </c>
      <c r="H6490">
        <f>0.0337078651685393*1.56339397393269</f>
        <v>5.2698673278629961E-2</v>
      </c>
      <c r="I6490">
        <v>5.269867327863012E-2</v>
      </c>
    </row>
    <row r="6491" spans="1:9" x14ac:dyDescent="0.25">
      <c r="A6491">
        <v>340</v>
      </c>
      <c r="B6491" t="s">
        <v>2401</v>
      </c>
      <c r="C6491" t="s">
        <v>10</v>
      </c>
      <c r="D6491" t="s">
        <v>236</v>
      </c>
      <c r="E6491">
        <f>3/89</f>
        <v>3.3707865168539325E-2</v>
      </c>
      <c r="F6491">
        <v>87</v>
      </c>
      <c r="G6491">
        <f>LOG(382/(87+1))</f>
        <v>0.63758069076154011</v>
      </c>
      <c r="H6491">
        <f>0.0337078651685393*1.46808379412836</f>
        <v>4.9485970588596363E-2</v>
      </c>
      <c r="I6491">
        <v>4.9485970588596703E-2</v>
      </c>
    </row>
    <row r="6492" spans="1:9" x14ac:dyDescent="0.25">
      <c r="A6492">
        <v>340</v>
      </c>
      <c r="B6492" t="s">
        <v>2401</v>
      </c>
      <c r="C6492" t="s">
        <v>10</v>
      </c>
      <c r="D6492" t="s">
        <v>2403</v>
      </c>
      <c r="E6492">
        <f t="shared" ref="E6492:E6501" si="290">1/89</f>
        <v>1.1235955056179775E-2</v>
      </c>
      <c r="F6492">
        <v>1</v>
      </c>
      <c r="G6492">
        <f>LOG(382/(1+1))</f>
        <v>2.2810333672477277</v>
      </c>
      <c r="H6492">
        <f>0.0112359550561797*5.25227342804663</f>
        <v>5.9014308180298819E-2</v>
      </c>
      <c r="I6492">
        <v>5.9014308180299208E-2</v>
      </c>
    </row>
    <row r="6493" spans="1:9" x14ac:dyDescent="0.25">
      <c r="A6493">
        <v>340</v>
      </c>
      <c r="B6493" t="s">
        <v>2401</v>
      </c>
      <c r="C6493" t="s">
        <v>10</v>
      </c>
      <c r="D6493" t="s">
        <v>25</v>
      </c>
      <c r="E6493">
        <f t="shared" si="290"/>
        <v>1.1235955056179775E-2</v>
      </c>
      <c r="F6493">
        <v>106</v>
      </c>
      <c r="G6493">
        <f>LOG(382/(106+1))</f>
        <v>0.55267958522649907</v>
      </c>
      <c r="H6493">
        <f>0.0112359550561797*1.27259177414466</f>
        <v>1.4298783979153388E-2</v>
      </c>
      <c r="I6493">
        <v>1.429878397915359E-2</v>
      </c>
    </row>
    <row r="6494" spans="1:9" x14ac:dyDescent="0.25">
      <c r="A6494">
        <v>340</v>
      </c>
      <c r="B6494" t="s">
        <v>2401</v>
      </c>
      <c r="C6494" t="s">
        <v>10</v>
      </c>
      <c r="D6494" t="s">
        <v>1478</v>
      </c>
      <c r="E6494">
        <f t="shared" si="290"/>
        <v>1.1235955056179775E-2</v>
      </c>
      <c r="F6494">
        <v>17</v>
      </c>
      <c r="G6494">
        <f>LOG(382/(17+1))</f>
        <v>1.3267908578084027</v>
      </c>
      <c r="H6494">
        <f>0.0112359550561797*3.05504885071041</f>
        <v>3.4326391581015615E-2</v>
      </c>
      <c r="I6494">
        <v>3.4326391581015837E-2</v>
      </c>
    </row>
    <row r="6495" spans="1:9" x14ac:dyDescent="0.25">
      <c r="A6495">
        <v>340</v>
      </c>
      <c r="B6495" t="s">
        <v>2401</v>
      </c>
      <c r="C6495" t="s">
        <v>10</v>
      </c>
      <c r="D6495" t="s">
        <v>2404</v>
      </c>
      <c r="E6495">
        <f t="shared" si="290"/>
        <v>1.1235955056179775E-2</v>
      </c>
      <c r="F6495">
        <v>1</v>
      </c>
      <c r="G6495">
        <f>LOG(382/(1+1))</f>
        <v>2.2810333672477277</v>
      </c>
      <c r="H6495">
        <f>0.0112359550561797*5.25227342804663</f>
        <v>5.9014308180298819E-2</v>
      </c>
      <c r="I6495">
        <v>5.9014308180299208E-2</v>
      </c>
    </row>
    <row r="6496" spans="1:9" x14ac:dyDescent="0.25">
      <c r="A6496">
        <v>340</v>
      </c>
      <c r="B6496" t="s">
        <v>2401</v>
      </c>
      <c r="C6496" t="s">
        <v>10</v>
      </c>
      <c r="D6496" t="s">
        <v>475</v>
      </c>
      <c r="E6496">
        <f t="shared" si="290"/>
        <v>1.1235955056179775E-2</v>
      </c>
      <c r="F6496">
        <v>16</v>
      </c>
      <c r="G6496">
        <f>LOG(382/(16+1))</f>
        <v>1.3516144415334348</v>
      </c>
      <c r="H6496">
        <f>0.0112359550561797*3.11220726455035</f>
        <v>3.49686209500037E-2</v>
      </c>
      <c r="I6496">
        <v>3.4968620950004033E-2</v>
      </c>
    </row>
    <row r="6497" spans="1:9" x14ac:dyDescent="0.25">
      <c r="A6497">
        <v>340</v>
      </c>
      <c r="B6497" t="s">
        <v>2401</v>
      </c>
      <c r="C6497" t="s">
        <v>10</v>
      </c>
      <c r="D6497" t="s">
        <v>196</v>
      </c>
      <c r="E6497">
        <f t="shared" si="290"/>
        <v>1.1235955056179775E-2</v>
      </c>
      <c r="F6497">
        <v>33</v>
      </c>
      <c r="G6497">
        <f>LOG(382/(33+1))</f>
        <v>1.0505844458694535</v>
      </c>
      <c r="H6497">
        <f>0.0112359550561797*2.41906008399041</f>
        <v>2.718045038191454E-2</v>
      </c>
      <c r="I6497">
        <v>2.7180450381914759E-2</v>
      </c>
    </row>
    <row r="6498" spans="1:9" x14ac:dyDescent="0.25">
      <c r="A6498">
        <v>340</v>
      </c>
      <c r="B6498" t="s">
        <v>2401</v>
      </c>
      <c r="C6498" t="s">
        <v>10</v>
      </c>
      <c r="D6498" t="s">
        <v>432</v>
      </c>
      <c r="E6498">
        <f t="shared" si="290"/>
        <v>1.1235955056179775E-2</v>
      </c>
      <c r="F6498">
        <v>67</v>
      </c>
      <c r="G6498">
        <f>LOG(382/(67+1))</f>
        <v>0.7495544502054724</v>
      </c>
      <c r="H6498">
        <f>0.0112359550561797*1.72591290343046</f>
        <v>1.9392279813825266E-2</v>
      </c>
      <c r="I6498">
        <v>1.9392279813825481E-2</v>
      </c>
    </row>
    <row r="6499" spans="1:9" x14ac:dyDescent="0.25">
      <c r="A6499">
        <v>340</v>
      </c>
      <c r="B6499" t="s">
        <v>2401</v>
      </c>
      <c r="C6499" t="s">
        <v>10</v>
      </c>
      <c r="D6499" t="s">
        <v>1473</v>
      </c>
      <c r="E6499">
        <f t="shared" si="290"/>
        <v>1.1235955056179775E-2</v>
      </c>
      <c r="F6499">
        <v>39</v>
      </c>
      <c r="G6499">
        <f>LOG(382/(39+1))</f>
        <v>0.9800033715837464</v>
      </c>
      <c r="H6499">
        <f>0.0112359550561797*2.25654115449263</f>
        <v>2.5354394994299045E-2</v>
      </c>
      <c r="I6499">
        <v>2.5354394994299319E-2</v>
      </c>
    </row>
    <row r="6500" spans="1:9" x14ac:dyDescent="0.25">
      <c r="A6500">
        <v>340</v>
      </c>
      <c r="B6500" t="s">
        <v>2401</v>
      </c>
      <c r="C6500" t="s">
        <v>10</v>
      </c>
      <c r="D6500" t="s">
        <v>645</v>
      </c>
      <c r="E6500">
        <f t="shared" si="290"/>
        <v>1.1235955056179775E-2</v>
      </c>
      <c r="F6500">
        <v>5</v>
      </c>
      <c r="G6500">
        <f>LOG(382/(5+1))</f>
        <v>1.803912112528065</v>
      </c>
      <c r="H6500">
        <f>0.0112359550561797*4.15366113937852</f>
        <v>4.6670349880657214E-2</v>
      </c>
      <c r="I6500">
        <v>4.6670349880657533E-2</v>
      </c>
    </row>
    <row r="6501" spans="1:9" x14ac:dyDescent="0.25">
      <c r="A6501">
        <v>340</v>
      </c>
      <c r="B6501" t="s">
        <v>2401</v>
      </c>
      <c r="C6501" t="s">
        <v>10</v>
      </c>
      <c r="D6501" t="s">
        <v>362</v>
      </c>
      <c r="E6501">
        <f t="shared" si="290"/>
        <v>1.1235955056179775E-2</v>
      </c>
      <c r="F6501">
        <v>81</v>
      </c>
      <c r="G6501">
        <f>LOG(382/(81+1))</f>
        <v>0.66824951052799197</v>
      </c>
      <c r="H6501">
        <f>0.0112359550561797*1.53870136134232</f>
        <v>1.7288779340924827E-2</v>
      </c>
      <c r="I6501">
        <v>1.7288779340924969E-2</v>
      </c>
    </row>
    <row r="6502" spans="1:9" x14ac:dyDescent="0.25">
      <c r="A6502">
        <v>340</v>
      </c>
      <c r="B6502" t="s">
        <v>2401</v>
      </c>
      <c r="C6502" t="s">
        <v>10</v>
      </c>
      <c r="D6502" t="s">
        <v>77</v>
      </c>
      <c r="E6502">
        <f>3/89</f>
        <v>3.3707865168539325E-2</v>
      </c>
      <c r="F6502">
        <v>148</v>
      </c>
      <c r="G6502">
        <f>LOG(382/(148+1))</f>
        <v>0.40887709449943471</v>
      </c>
      <c r="H6502">
        <f>0.0337078651685393*0.941474302661116</f>
        <v>3.1735088853745458E-2</v>
      </c>
      <c r="I6502">
        <v>3.1735088853745493E-2</v>
      </c>
    </row>
    <row r="6503" spans="1:9" x14ac:dyDescent="0.25">
      <c r="A6503">
        <v>340</v>
      </c>
      <c r="B6503" t="s">
        <v>2401</v>
      </c>
      <c r="C6503" t="s">
        <v>10</v>
      </c>
      <c r="D6503" t="s">
        <v>1078</v>
      </c>
      <c r="E6503">
        <f>1/89</f>
        <v>1.1235955056179775E-2</v>
      </c>
      <c r="F6503">
        <v>5</v>
      </c>
      <c r="G6503">
        <f>LOG(382/(5+1))</f>
        <v>1.803912112528065</v>
      </c>
      <c r="H6503">
        <f>0.0112359550561797*4.15366113937852</f>
        <v>4.6670349880657214E-2</v>
      </c>
      <c r="I6503">
        <v>4.6670349880657533E-2</v>
      </c>
    </row>
    <row r="6504" spans="1:9" x14ac:dyDescent="0.25">
      <c r="A6504">
        <v>340</v>
      </c>
      <c r="B6504" t="s">
        <v>2401</v>
      </c>
      <c r="C6504" t="s">
        <v>10</v>
      </c>
      <c r="D6504" t="s">
        <v>490</v>
      </c>
      <c r="E6504">
        <f>1/89</f>
        <v>1.1235955056179775E-2</v>
      </c>
      <c r="F6504">
        <v>31</v>
      </c>
      <c r="G6504">
        <f>LOG(382/(31+1))</f>
        <v>1.0769133845918029</v>
      </c>
      <c r="H6504">
        <f>0.0112359550561797*2.47968470580684</f>
        <v>2.7861625907941834E-2</v>
      </c>
      <c r="I6504">
        <v>2.7861625907942118E-2</v>
      </c>
    </row>
    <row r="6505" spans="1:9" x14ac:dyDescent="0.25">
      <c r="A6505">
        <v>340</v>
      </c>
      <c r="B6505" t="s">
        <v>2401</v>
      </c>
      <c r="C6505" t="s">
        <v>10</v>
      </c>
      <c r="D6505" t="s">
        <v>752</v>
      </c>
      <c r="E6505">
        <f>1/89</f>
        <v>1.1235955056179775E-2</v>
      </c>
      <c r="F6505">
        <v>34</v>
      </c>
      <c r="G6505">
        <f>LOG(382/(34+1))</f>
        <v>1.037995318561433</v>
      </c>
      <c r="H6505">
        <f>0.0112359550561797*2.39007254711716</f>
        <v>2.6854747720417349E-2</v>
      </c>
      <c r="I6505">
        <v>2.685474772041754E-2</v>
      </c>
    </row>
    <row r="6506" spans="1:9" x14ac:dyDescent="0.25">
      <c r="A6506">
        <v>340</v>
      </c>
      <c r="B6506" t="s">
        <v>2401</v>
      </c>
      <c r="C6506" t="s">
        <v>10</v>
      </c>
      <c r="D6506" t="s">
        <v>2057</v>
      </c>
      <c r="E6506">
        <f>1/89</f>
        <v>1.1235955056179775E-2</v>
      </c>
      <c r="F6506">
        <v>2</v>
      </c>
      <c r="G6506">
        <f>LOG(382/(2+1))</f>
        <v>2.1049421081920463</v>
      </c>
      <c r="H6506">
        <f>0.0112359550561797*4.84680831993846</f>
        <v>5.4458520448746377E-2</v>
      </c>
      <c r="I6506">
        <v>5.44585204487468E-2</v>
      </c>
    </row>
    <row r="6507" spans="1:9" x14ac:dyDescent="0.25">
      <c r="A6507">
        <v>340</v>
      </c>
      <c r="B6507" t="s">
        <v>2401</v>
      </c>
      <c r="C6507" t="s">
        <v>10</v>
      </c>
      <c r="D6507" t="s">
        <v>350</v>
      </c>
      <c r="E6507">
        <f>2/89</f>
        <v>2.247191011235955E-2</v>
      </c>
      <c r="F6507">
        <v>5</v>
      </c>
      <c r="G6507">
        <f>LOG(382/(5+1))</f>
        <v>1.803912112528065</v>
      </c>
      <c r="H6507">
        <f>0.0224719101123595*4.15366113937852</f>
        <v>9.3340699761314844E-2</v>
      </c>
      <c r="I6507">
        <v>9.3340699761315052E-2</v>
      </c>
    </row>
    <row r="6508" spans="1:9" x14ac:dyDescent="0.25">
      <c r="A6508">
        <v>340</v>
      </c>
      <c r="B6508" t="s">
        <v>2401</v>
      </c>
      <c r="C6508" t="s">
        <v>10</v>
      </c>
      <c r="D6508" t="s">
        <v>40</v>
      </c>
      <c r="E6508">
        <f>3/89</f>
        <v>3.3707865168539325E-2</v>
      </c>
      <c r="F6508">
        <v>159</v>
      </c>
      <c r="G6508">
        <f>LOG(382/(159+1))</f>
        <v>0.377943380255784</v>
      </c>
      <c r="H6508">
        <f>0.0337078651685393*0.870246793372748</f>
        <v>2.9334161574362267E-2</v>
      </c>
      <c r="I6508">
        <v>2.9334161574362302E-2</v>
      </c>
    </row>
    <row r="6509" spans="1:9" x14ac:dyDescent="0.25">
      <c r="A6509">
        <v>340</v>
      </c>
      <c r="B6509" t="s">
        <v>2401</v>
      </c>
      <c r="C6509" t="s">
        <v>10</v>
      </c>
      <c r="D6509" t="s">
        <v>41</v>
      </c>
      <c r="E6509">
        <f>3/89</f>
        <v>3.3707865168539325E-2</v>
      </c>
      <c r="F6509">
        <v>195</v>
      </c>
      <c r="G6509">
        <f>LOG(382/(195+1))</f>
        <v>0.28980729155523272</v>
      </c>
      <c r="H6509">
        <f>0.0337078651685393*0.667305949376058</f>
        <v>2.2493458967732274E-2</v>
      </c>
      <c r="I6509">
        <v>2.2493458967732291E-2</v>
      </c>
    </row>
    <row r="6510" spans="1:9" x14ac:dyDescent="0.25">
      <c r="A6510">
        <v>340</v>
      </c>
      <c r="B6510" t="s">
        <v>2401</v>
      </c>
      <c r="C6510" t="s">
        <v>10</v>
      </c>
      <c r="D6510" t="s">
        <v>144</v>
      </c>
      <c r="E6510">
        <f>1/89</f>
        <v>1.1235955056179775E-2</v>
      </c>
      <c r="F6510">
        <v>105</v>
      </c>
      <c r="G6510">
        <f>LOG(382/(105+1))</f>
        <v>0.55675749764693849</v>
      </c>
      <c r="H6510">
        <f>0.0112359550561797*1.2819815144945</f>
        <v>1.4404286679713387E-2</v>
      </c>
      <c r="I6510">
        <v>1.4404286679713571E-2</v>
      </c>
    </row>
    <row r="6511" spans="1:9" x14ac:dyDescent="0.25">
      <c r="A6511">
        <v>340</v>
      </c>
      <c r="B6511" t="s">
        <v>2401</v>
      </c>
      <c r="C6511" t="s">
        <v>10</v>
      </c>
      <c r="D6511" t="s">
        <v>1071</v>
      </c>
      <c r="E6511">
        <f>1/89</f>
        <v>1.1235955056179775E-2</v>
      </c>
      <c r="F6511">
        <v>5</v>
      </c>
      <c r="G6511">
        <f>LOG(382/(5+1))</f>
        <v>1.803912112528065</v>
      </c>
      <c r="H6511">
        <f>0.0112359550561797*4.15366113937852</f>
        <v>4.6670349880657214E-2</v>
      </c>
      <c r="I6511">
        <v>4.6670349880657533E-2</v>
      </c>
    </row>
    <row r="6512" spans="1:9" x14ac:dyDescent="0.25">
      <c r="A6512">
        <v>340</v>
      </c>
      <c r="B6512" t="s">
        <v>2401</v>
      </c>
      <c r="C6512" t="s">
        <v>10</v>
      </c>
      <c r="D6512" t="s">
        <v>76</v>
      </c>
      <c r="E6512">
        <f>1/89</f>
        <v>1.1235955056179775E-2</v>
      </c>
      <c r="F6512">
        <v>140</v>
      </c>
      <c r="G6512">
        <f>LOG(382/(140+1))</f>
        <v>0.43284425025632883</v>
      </c>
      <c r="H6512">
        <f>0.0112359550561797*0.996660718228407</f>
        <v>1.119843503627416E-2</v>
      </c>
      <c r="I6512">
        <v>1.119843503627423E-2</v>
      </c>
    </row>
    <row r="6513" spans="1:9" x14ac:dyDescent="0.25">
      <c r="A6513">
        <v>340</v>
      </c>
      <c r="B6513" t="s">
        <v>2401</v>
      </c>
      <c r="C6513" t="s">
        <v>10</v>
      </c>
      <c r="D6513" t="s">
        <v>1068</v>
      </c>
      <c r="E6513">
        <f>2/89</f>
        <v>2.247191011235955E-2</v>
      </c>
      <c r="F6513">
        <v>5</v>
      </c>
      <c r="G6513">
        <f>LOG(382/(5+1))</f>
        <v>1.803912112528065</v>
      </c>
      <c r="H6513">
        <f>0.0224719101123595*4.15366113937852</f>
        <v>9.3340699761314844E-2</v>
      </c>
      <c r="I6513">
        <v>9.3340699761315052E-2</v>
      </c>
    </row>
    <row r="6514" spans="1:9" x14ac:dyDescent="0.25">
      <c r="A6514">
        <v>340</v>
      </c>
      <c r="B6514" t="s">
        <v>2401</v>
      </c>
      <c r="C6514" t="s">
        <v>10</v>
      </c>
      <c r="D6514" t="s">
        <v>2405</v>
      </c>
      <c r="E6514">
        <f>1/89</f>
        <v>1.1235955056179775E-2</v>
      </c>
      <c r="F6514">
        <v>3</v>
      </c>
      <c r="G6514">
        <f>LOG(382/(3+1))</f>
        <v>1.9800033715837464</v>
      </c>
      <c r="H6514">
        <f>0.0112359550561797*4.55912624748668</f>
        <v>5.1226137612209545E-2</v>
      </c>
      <c r="I6514">
        <v>5.1226137612209927E-2</v>
      </c>
    </row>
    <row r="6515" spans="1:9" x14ac:dyDescent="0.25">
      <c r="A6515">
        <v>340</v>
      </c>
      <c r="B6515" t="s">
        <v>2401</v>
      </c>
      <c r="C6515" t="s">
        <v>10</v>
      </c>
      <c r="D6515" t="s">
        <v>237</v>
      </c>
      <c r="E6515">
        <f>2/89</f>
        <v>2.247191011235955E-2</v>
      </c>
      <c r="F6515">
        <v>138</v>
      </c>
      <c r="G6515">
        <f>LOG(382/(138+1))</f>
        <v>0.43904856265761361</v>
      </c>
      <c r="H6515">
        <f>0.0224719101123595*1.01094667547588</f>
        <v>2.2717902819682646E-2</v>
      </c>
      <c r="I6515">
        <v>2.2717902819682771E-2</v>
      </c>
    </row>
    <row r="6516" spans="1:9" x14ac:dyDescent="0.25">
      <c r="A6516">
        <v>340</v>
      </c>
      <c r="B6516" t="s">
        <v>2401</v>
      </c>
      <c r="C6516" t="s">
        <v>10</v>
      </c>
      <c r="D6516" t="s">
        <v>201</v>
      </c>
      <c r="E6516">
        <f>1/89</f>
        <v>1.1235955056179775E-2</v>
      </c>
      <c r="F6516">
        <v>72</v>
      </c>
      <c r="G6516">
        <f>LOG(382/(72+1))</f>
        <v>0.71874050279125279</v>
      </c>
      <c r="H6516">
        <f>0.0112359550561797*1.65496116745818</f>
        <v>1.8595069297282798E-2</v>
      </c>
      <c r="I6516">
        <v>1.8595069297282961E-2</v>
      </c>
    </row>
    <row r="6517" spans="1:9" x14ac:dyDescent="0.25">
      <c r="A6517">
        <v>340</v>
      </c>
      <c r="B6517" t="s">
        <v>2401</v>
      </c>
      <c r="C6517" t="s">
        <v>10</v>
      </c>
      <c r="D6517" t="s">
        <v>1164</v>
      </c>
      <c r="E6517">
        <f>1/89</f>
        <v>1.1235955056179775E-2</v>
      </c>
      <c r="F6517">
        <v>4</v>
      </c>
      <c r="G6517">
        <f>LOG(382/(4+1))</f>
        <v>1.8830933585756899</v>
      </c>
      <c r="H6517">
        <f>0.0112359550561797*4.33598269617247</f>
        <v>4.8718906698566759E-2</v>
      </c>
      <c r="I6517">
        <v>4.8718906698567127E-2</v>
      </c>
    </row>
    <row r="6518" spans="1:9" x14ac:dyDescent="0.25">
      <c r="A6518">
        <v>340</v>
      </c>
      <c r="B6518" t="s">
        <v>2401</v>
      </c>
      <c r="C6518" t="s">
        <v>10</v>
      </c>
      <c r="D6518" t="s">
        <v>1653</v>
      </c>
      <c r="E6518">
        <f>1/89</f>
        <v>1.1235955056179775E-2</v>
      </c>
      <c r="F6518">
        <v>4</v>
      </c>
      <c r="G6518">
        <f>LOG(382/(4+1))</f>
        <v>1.8830933585756899</v>
      </c>
      <c r="H6518">
        <f>0.0112359550561797*4.33598269617247</f>
        <v>4.8718906698566759E-2</v>
      </c>
      <c r="I6518">
        <v>4.8718906698567127E-2</v>
      </c>
    </row>
    <row r="6519" spans="1:9" x14ac:dyDescent="0.25">
      <c r="A6519">
        <v>340</v>
      </c>
      <c r="B6519" t="s">
        <v>2401</v>
      </c>
      <c r="C6519" t="s">
        <v>10</v>
      </c>
      <c r="D6519" t="s">
        <v>238</v>
      </c>
      <c r="E6519">
        <f>1/89</f>
        <v>1.1235955056179775E-2</v>
      </c>
      <c r="F6519">
        <v>10</v>
      </c>
      <c r="G6519">
        <f>LOG(382/(10+1))</f>
        <v>1.5406706777534838</v>
      </c>
      <c r="H6519">
        <f>0.0112359550561797*3.5475253358082</f>
        <v>3.985983523379974E-2</v>
      </c>
      <c r="I6519">
        <v>3.9859835233800052E-2</v>
      </c>
    </row>
    <row r="6520" spans="1:9" x14ac:dyDescent="0.25">
      <c r="A6520">
        <v>340</v>
      </c>
      <c r="B6520" t="s">
        <v>2401</v>
      </c>
      <c r="C6520" t="s">
        <v>10</v>
      </c>
      <c r="D6520" t="s">
        <v>1392</v>
      </c>
      <c r="E6520">
        <f>2/89</f>
        <v>2.247191011235955E-2</v>
      </c>
      <c r="F6520">
        <v>2</v>
      </c>
      <c r="G6520">
        <f>LOG(382/(2+1))</f>
        <v>2.1049421081920463</v>
      </c>
      <c r="H6520">
        <f>0.0224719101123595*4.84680831993846</f>
        <v>0.10891704089749324</v>
      </c>
      <c r="I6520">
        <v>0.1089170408974936</v>
      </c>
    </row>
    <row r="6521" spans="1:9" x14ac:dyDescent="0.25">
      <c r="A6521">
        <v>340</v>
      </c>
      <c r="B6521" t="s">
        <v>2401</v>
      </c>
      <c r="C6521" t="s">
        <v>10</v>
      </c>
      <c r="D6521" t="s">
        <v>36</v>
      </c>
      <c r="E6521">
        <f>2/89</f>
        <v>2.247191011235955E-2</v>
      </c>
      <c r="F6521">
        <v>58</v>
      </c>
      <c r="G6521">
        <f>LOG(382/(58+1))</f>
        <v>0.81121135126956456</v>
      </c>
      <c r="H6521">
        <f>0.0224719101123595*1.86788316470085</f>
        <v>4.1974902577547102E-2</v>
      </c>
      <c r="I6521">
        <v>4.1974902577547317E-2</v>
      </c>
    </row>
    <row r="6522" spans="1:9" x14ac:dyDescent="0.25">
      <c r="A6522">
        <v>340</v>
      </c>
      <c r="B6522" t="s">
        <v>2401</v>
      </c>
      <c r="C6522" t="s">
        <v>10</v>
      </c>
      <c r="D6522" t="s">
        <v>363</v>
      </c>
      <c r="E6522">
        <f>1/89</f>
        <v>1.1235955056179775E-2</v>
      </c>
      <c r="F6522">
        <v>36</v>
      </c>
      <c r="G6522">
        <f>LOG(382/(36+1))</f>
        <v>1.0138616388447137</v>
      </c>
      <c r="H6522">
        <f>0.0112359550561797*2.33450269596235</f>
        <v>2.623036737036331E-2</v>
      </c>
      <c r="I6522">
        <v>2.6230367370363491E-2</v>
      </c>
    </row>
    <row r="6523" spans="1:9" x14ac:dyDescent="0.25">
      <c r="A6523">
        <v>340</v>
      </c>
      <c r="B6523" t="s">
        <v>2401</v>
      </c>
      <c r="C6523" t="s">
        <v>10</v>
      </c>
      <c r="D6523" t="s">
        <v>465</v>
      </c>
      <c r="E6523">
        <f>1/89</f>
        <v>1.1235955056179775E-2</v>
      </c>
      <c r="F6523">
        <v>36</v>
      </c>
      <c r="G6523">
        <f>LOG(382/(36+1))</f>
        <v>1.0138616388447137</v>
      </c>
      <c r="H6523">
        <f>0.0112359550561797*2.33450269596235</f>
        <v>2.623036737036331E-2</v>
      </c>
      <c r="I6523">
        <v>2.6230367370363491E-2</v>
      </c>
    </row>
    <row r="6524" spans="1:9" x14ac:dyDescent="0.25">
      <c r="A6524">
        <v>340</v>
      </c>
      <c r="B6524" t="s">
        <v>2401</v>
      </c>
      <c r="C6524" t="s">
        <v>10</v>
      </c>
      <c r="D6524" t="s">
        <v>161</v>
      </c>
      <c r="E6524">
        <f>2/89</f>
        <v>2.247191011235955E-2</v>
      </c>
      <c r="F6524">
        <v>33</v>
      </c>
      <c r="G6524">
        <f>LOG(382/(33+1))</f>
        <v>1.0505844458694535</v>
      </c>
      <c r="H6524">
        <f>0.0224719101123595*2.41906008399041</f>
        <v>5.4360900763829323E-2</v>
      </c>
      <c r="I6524">
        <v>5.4360900763829517E-2</v>
      </c>
    </row>
    <row r="6525" spans="1:9" x14ac:dyDescent="0.25">
      <c r="A6525">
        <v>340</v>
      </c>
      <c r="B6525" t="s">
        <v>2401</v>
      </c>
      <c r="C6525" t="s">
        <v>10</v>
      </c>
      <c r="D6525" t="s">
        <v>602</v>
      </c>
      <c r="E6525">
        <f t="shared" ref="E6525:E6533" si="291">1/89</f>
        <v>1.1235955056179775E-2</v>
      </c>
      <c r="F6525">
        <v>13</v>
      </c>
      <c r="G6525">
        <f>LOG(382/(13+1))</f>
        <v>1.4359353272334707</v>
      </c>
      <c r="H6525">
        <f>0.0112359550561797*3.30636327899131</f>
        <v>3.7150149202149305E-2</v>
      </c>
      <c r="I6525">
        <v>3.7150149202149617E-2</v>
      </c>
    </row>
    <row r="6526" spans="1:9" x14ac:dyDescent="0.25">
      <c r="A6526">
        <v>340</v>
      </c>
      <c r="B6526" t="s">
        <v>2401</v>
      </c>
      <c r="C6526" t="s">
        <v>10</v>
      </c>
      <c r="D6526" t="s">
        <v>331</v>
      </c>
      <c r="E6526">
        <f t="shared" si="291"/>
        <v>1.1235955056179775E-2</v>
      </c>
      <c r="F6526">
        <v>130</v>
      </c>
      <c r="G6526">
        <f>LOG(382/(130+1))</f>
        <v>0.46479206725594452</v>
      </c>
      <c r="H6526">
        <f>0.0112359550561797*1.07022328540542</f>
        <v>1.202498073489228E-2</v>
      </c>
      <c r="I6526">
        <v>1.20249807348924E-2</v>
      </c>
    </row>
    <row r="6527" spans="1:9" x14ac:dyDescent="0.25">
      <c r="A6527">
        <v>340</v>
      </c>
      <c r="B6527" t="s">
        <v>2401</v>
      </c>
      <c r="C6527" t="s">
        <v>10</v>
      </c>
      <c r="D6527" t="s">
        <v>907</v>
      </c>
      <c r="E6527">
        <f t="shared" si="291"/>
        <v>1.1235955056179775E-2</v>
      </c>
      <c r="F6527">
        <v>6</v>
      </c>
      <c r="G6527">
        <f>LOG(382/(6+1))</f>
        <v>1.736965322897452</v>
      </c>
      <c r="H6527">
        <f>0.0112359550561797*3.99951045955126</f>
        <v>4.4938319770238579E-2</v>
      </c>
      <c r="I6527">
        <v>4.4938319770238898E-2</v>
      </c>
    </row>
    <row r="6528" spans="1:9" x14ac:dyDescent="0.25">
      <c r="A6528">
        <v>340</v>
      </c>
      <c r="B6528" t="s">
        <v>2401</v>
      </c>
      <c r="C6528" t="s">
        <v>10</v>
      </c>
      <c r="D6528" t="s">
        <v>218</v>
      </c>
      <c r="E6528">
        <f t="shared" si="291"/>
        <v>1.1235955056179775E-2</v>
      </c>
      <c r="F6528">
        <v>35</v>
      </c>
      <c r="G6528">
        <f>LOG(382/(35+1))</f>
        <v>1.0257608621444214</v>
      </c>
      <c r="H6528">
        <f>0.0112359550561797*2.36190167015046</f>
        <v>2.6538221012926341E-2</v>
      </c>
      <c r="I6528">
        <v>2.653822101292657E-2</v>
      </c>
    </row>
    <row r="6529" spans="1:9" x14ac:dyDescent="0.25">
      <c r="A6529">
        <v>340</v>
      </c>
      <c r="B6529" t="s">
        <v>2401</v>
      </c>
      <c r="C6529" t="s">
        <v>10</v>
      </c>
      <c r="D6529" t="s">
        <v>2406</v>
      </c>
      <c r="E6529">
        <f t="shared" si="291"/>
        <v>1.1235955056179775E-2</v>
      </c>
      <c r="F6529">
        <v>2</v>
      </c>
      <c r="G6529">
        <f>LOG(382/(2+1))</f>
        <v>2.1049421081920463</v>
      </c>
      <c r="H6529">
        <f>0.0112359550561797*4.84680831993846</f>
        <v>5.4458520448746377E-2</v>
      </c>
      <c r="I6529">
        <v>5.44585204487468E-2</v>
      </c>
    </row>
    <row r="6530" spans="1:9" x14ac:dyDescent="0.25">
      <c r="A6530">
        <v>340</v>
      </c>
      <c r="B6530" t="s">
        <v>2401</v>
      </c>
      <c r="C6530" t="s">
        <v>10</v>
      </c>
      <c r="D6530" t="s">
        <v>477</v>
      </c>
      <c r="E6530">
        <f t="shared" si="291"/>
        <v>1.1235955056179775E-2</v>
      </c>
      <c r="F6530">
        <v>17</v>
      </c>
      <c r="G6530">
        <f>LOG(382/(17+1))</f>
        <v>1.3267908578084027</v>
      </c>
      <c r="H6530">
        <f>0.0112359550561797*3.05504885071041</f>
        <v>3.4326391581015615E-2</v>
      </c>
      <c r="I6530">
        <v>3.4326391581015837E-2</v>
      </c>
    </row>
    <row r="6531" spans="1:9" x14ac:dyDescent="0.25">
      <c r="A6531">
        <v>340</v>
      </c>
      <c r="B6531" t="s">
        <v>2401</v>
      </c>
      <c r="C6531" t="s">
        <v>10</v>
      </c>
      <c r="D6531" t="s">
        <v>1608</v>
      </c>
      <c r="E6531">
        <f t="shared" si="291"/>
        <v>1.1235955056179775E-2</v>
      </c>
      <c r="F6531">
        <v>13</v>
      </c>
      <c r="G6531">
        <f>LOG(382/(13+1))</f>
        <v>1.4359353272334707</v>
      </c>
      <c r="H6531">
        <f>0.0112359550561797*3.30636327899131</f>
        <v>3.7150149202149305E-2</v>
      </c>
      <c r="I6531">
        <v>3.7150149202149617E-2</v>
      </c>
    </row>
    <row r="6532" spans="1:9" x14ac:dyDescent="0.25">
      <c r="A6532">
        <v>340</v>
      </c>
      <c r="B6532" t="s">
        <v>2401</v>
      </c>
      <c r="C6532" t="s">
        <v>10</v>
      </c>
      <c r="D6532" t="s">
        <v>485</v>
      </c>
      <c r="E6532">
        <f t="shared" si="291"/>
        <v>1.1235955056179775E-2</v>
      </c>
      <c r="F6532">
        <v>74</v>
      </c>
      <c r="G6532">
        <f>LOG(382/(74+1))</f>
        <v>0.7070020995200087</v>
      </c>
      <c r="H6532">
        <f>0.0112359550561797*1.62793249507026</f>
        <v>1.8291376349103924E-2</v>
      </c>
      <c r="I6532">
        <v>1.8291376349104101E-2</v>
      </c>
    </row>
    <row r="6533" spans="1:9" x14ac:dyDescent="0.25">
      <c r="A6533">
        <v>340</v>
      </c>
      <c r="B6533" t="s">
        <v>2401</v>
      </c>
      <c r="C6533" t="s">
        <v>10</v>
      </c>
      <c r="D6533" t="s">
        <v>2407</v>
      </c>
      <c r="E6533">
        <f t="shared" si="291"/>
        <v>1.1235955056179775E-2</v>
      </c>
      <c r="F6533">
        <v>1</v>
      </c>
      <c r="G6533">
        <f>LOG(382/(1+1))</f>
        <v>2.2810333672477277</v>
      </c>
      <c r="H6533">
        <f>0.0112359550561797*5.25227342804663</f>
        <v>5.9014308180298819E-2</v>
      </c>
      <c r="I6533">
        <v>5.9014308180299208E-2</v>
      </c>
    </row>
    <row r="6534" spans="1:9" x14ac:dyDescent="0.25">
      <c r="A6534">
        <v>342</v>
      </c>
      <c r="B6534" t="s">
        <v>2408</v>
      </c>
      <c r="C6534" t="s">
        <v>48</v>
      </c>
      <c r="D6534" t="s">
        <v>244</v>
      </c>
      <c r="E6534">
        <f>6/198</f>
        <v>3.0303030303030304E-2</v>
      </c>
      <c r="F6534">
        <v>8</v>
      </c>
      <c r="G6534">
        <f>LOG(382/(8+1))</f>
        <v>1.6278208534723839</v>
      </c>
      <c r="H6534">
        <f>0.0303030303030303*3.74819603127035</f>
        <v>0.11358169791728333</v>
      </c>
      <c r="I6534">
        <v>0.11358169791728349</v>
      </c>
    </row>
    <row r="6535" spans="1:9" x14ac:dyDescent="0.25">
      <c r="A6535">
        <v>342</v>
      </c>
      <c r="B6535" t="s">
        <v>2408</v>
      </c>
      <c r="C6535" t="s">
        <v>48</v>
      </c>
      <c r="D6535" t="s">
        <v>24</v>
      </c>
      <c r="E6535">
        <f>2/198</f>
        <v>1.0101010101010102E-2</v>
      </c>
      <c r="F6535">
        <v>59</v>
      </c>
      <c r="G6535">
        <f>LOG(382/(59+1))</f>
        <v>0.80391211252806505</v>
      </c>
      <c r="H6535">
        <f>0.0101010101010101*1.85107604638447</f>
        <v>1.8697737842267373E-2</v>
      </c>
      <c r="I6535">
        <v>1.8697737842267421E-2</v>
      </c>
    </row>
    <row r="6536" spans="1:9" x14ac:dyDescent="0.25">
      <c r="A6536">
        <v>342</v>
      </c>
      <c r="B6536" t="s">
        <v>2408</v>
      </c>
      <c r="C6536" t="s">
        <v>48</v>
      </c>
      <c r="D6536" t="s">
        <v>709</v>
      </c>
      <c r="E6536">
        <f>2/198</f>
        <v>1.0101010101010102E-2</v>
      </c>
      <c r="F6536">
        <v>5</v>
      </c>
      <c r="G6536">
        <f>LOG(382/(5+1))</f>
        <v>1.803912112528065</v>
      </c>
      <c r="H6536">
        <f>0.0101010101010101*4.15366113937852</f>
        <v>4.1956173125035551E-2</v>
      </c>
      <c r="I6536">
        <v>4.1956173125035558E-2</v>
      </c>
    </row>
    <row r="6537" spans="1:9" x14ac:dyDescent="0.25">
      <c r="A6537">
        <v>342</v>
      </c>
      <c r="B6537" t="s">
        <v>2408</v>
      </c>
      <c r="C6537" t="s">
        <v>48</v>
      </c>
      <c r="D6537" t="s">
        <v>1090</v>
      </c>
      <c r="E6537">
        <f>1/198</f>
        <v>5.0505050505050509E-3</v>
      </c>
      <c r="F6537">
        <v>4</v>
      </c>
      <c r="G6537">
        <f>LOG(382/(4+1))</f>
        <v>1.8830933585756899</v>
      </c>
      <c r="H6537">
        <f>0.00505050505050505*4.33598269617247</f>
        <v>2.1898902505921566E-2</v>
      </c>
      <c r="I6537">
        <v>2.1898902505921591E-2</v>
      </c>
    </row>
    <row r="6538" spans="1:9" x14ac:dyDescent="0.25">
      <c r="A6538">
        <v>342</v>
      </c>
      <c r="B6538" t="s">
        <v>2408</v>
      </c>
      <c r="C6538" t="s">
        <v>48</v>
      </c>
      <c r="D6538" t="s">
        <v>245</v>
      </c>
      <c r="E6538">
        <f>8/198</f>
        <v>4.0404040404040407E-2</v>
      </c>
      <c r="F6538">
        <v>11</v>
      </c>
      <c r="G6538">
        <f>LOG(382/(11+1))</f>
        <v>1.5028821168640838</v>
      </c>
      <c r="H6538">
        <f>0.0404040404040404*3.46051395881857</f>
        <v>0.1398187458108513</v>
      </c>
      <c r="I6538">
        <v>0.13981874581085149</v>
      </c>
    </row>
    <row r="6539" spans="1:9" x14ac:dyDescent="0.25">
      <c r="A6539">
        <v>342</v>
      </c>
      <c r="B6539" t="s">
        <v>2408</v>
      </c>
      <c r="C6539" t="s">
        <v>48</v>
      </c>
      <c r="D6539" t="s">
        <v>415</v>
      </c>
      <c r="E6539">
        <f t="shared" ref="E6539:E6547" si="292">1/198</f>
        <v>5.0505050505050509E-3</v>
      </c>
      <c r="F6539">
        <v>6</v>
      </c>
      <c r="G6539">
        <f>LOG(382/(6+1))</f>
        <v>1.736965322897452</v>
      </c>
      <c r="H6539">
        <f>0.00505050505050505*3.99951045955126</f>
        <v>2.0199547775511414E-2</v>
      </c>
      <c r="I6539">
        <v>2.0199547775511421E-2</v>
      </c>
    </row>
    <row r="6540" spans="1:9" x14ac:dyDescent="0.25">
      <c r="A6540">
        <v>342</v>
      </c>
      <c r="B6540" t="s">
        <v>2408</v>
      </c>
      <c r="C6540" t="s">
        <v>48</v>
      </c>
      <c r="D6540" t="s">
        <v>2409</v>
      </c>
      <c r="E6540">
        <f t="shared" si="292"/>
        <v>5.0505050505050509E-3</v>
      </c>
      <c r="F6540">
        <v>1</v>
      </c>
      <c r="G6540">
        <f>LOG(382/(1+1))</f>
        <v>2.2810333672477277</v>
      </c>
      <c r="H6540">
        <f>0.00505050505050505*5.25227342804663</f>
        <v>2.6526633474982977E-2</v>
      </c>
      <c r="I6540">
        <v>2.6526633474982981E-2</v>
      </c>
    </row>
    <row r="6541" spans="1:9" x14ac:dyDescent="0.25">
      <c r="A6541">
        <v>342</v>
      </c>
      <c r="B6541" t="s">
        <v>2408</v>
      </c>
      <c r="C6541" t="s">
        <v>48</v>
      </c>
      <c r="D6541" t="s">
        <v>2410</v>
      </c>
      <c r="E6541">
        <f t="shared" si="292"/>
        <v>5.0505050505050509E-3</v>
      </c>
      <c r="F6541">
        <v>1</v>
      </c>
      <c r="G6541">
        <f>LOG(382/(1+1))</f>
        <v>2.2810333672477277</v>
      </c>
      <c r="H6541">
        <f>0.00505050505050505*5.25227342804663</f>
        <v>2.6526633474982977E-2</v>
      </c>
      <c r="I6541">
        <v>2.6526633474982981E-2</v>
      </c>
    </row>
    <row r="6542" spans="1:9" x14ac:dyDescent="0.25">
      <c r="A6542">
        <v>342</v>
      </c>
      <c r="B6542" t="s">
        <v>2408</v>
      </c>
      <c r="C6542" t="s">
        <v>48</v>
      </c>
      <c r="D6542" t="s">
        <v>1110</v>
      </c>
      <c r="E6542">
        <f t="shared" si="292"/>
        <v>5.0505050505050509E-3</v>
      </c>
      <c r="F6542">
        <v>2</v>
      </c>
      <c r="G6542">
        <f>LOG(382/(2+1))</f>
        <v>2.1049421081920463</v>
      </c>
      <c r="H6542">
        <f>0.00505050505050505*4.84680831993846</f>
        <v>2.447882989867909E-2</v>
      </c>
      <c r="I6542">
        <v>2.4478829898679121E-2</v>
      </c>
    </row>
    <row r="6543" spans="1:9" x14ac:dyDescent="0.25">
      <c r="A6543">
        <v>342</v>
      </c>
      <c r="B6543" t="s">
        <v>2408</v>
      </c>
      <c r="C6543" t="s">
        <v>48</v>
      </c>
      <c r="D6543" t="s">
        <v>836</v>
      </c>
      <c r="E6543">
        <f t="shared" si="292"/>
        <v>5.0505050505050509E-3</v>
      </c>
      <c r="F6543">
        <v>21</v>
      </c>
      <c r="G6543">
        <f>LOG(382/(21+1))</f>
        <v>1.2396406820895025</v>
      </c>
      <c r="H6543">
        <f>0.00505050505050505*2.85437815524825</f>
        <v>1.4416051289132575E-2</v>
      </c>
      <c r="I6543">
        <v>1.441605128913262E-2</v>
      </c>
    </row>
    <row r="6544" spans="1:9" x14ac:dyDescent="0.25">
      <c r="A6544">
        <v>342</v>
      </c>
      <c r="B6544" t="s">
        <v>2408</v>
      </c>
      <c r="C6544" t="s">
        <v>48</v>
      </c>
      <c r="D6544" t="s">
        <v>2411</v>
      </c>
      <c r="E6544">
        <f t="shared" si="292"/>
        <v>5.0505050505050509E-3</v>
      </c>
      <c r="F6544">
        <v>1</v>
      </c>
      <c r="G6544">
        <f>LOG(382/(1+1))</f>
        <v>2.2810333672477277</v>
      </c>
      <c r="H6544">
        <f>0.00505050505050505*5.25227342804663</f>
        <v>2.6526633474982977E-2</v>
      </c>
      <c r="I6544">
        <v>2.6526633474982981E-2</v>
      </c>
    </row>
    <row r="6545" spans="1:9" x14ac:dyDescent="0.25">
      <c r="A6545">
        <v>342</v>
      </c>
      <c r="B6545" t="s">
        <v>2408</v>
      </c>
      <c r="C6545" t="s">
        <v>48</v>
      </c>
      <c r="D6545" t="s">
        <v>2412</v>
      </c>
      <c r="E6545">
        <f t="shared" si="292"/>
        <v>5.0505050505050509E-3</v>
      </c>
      <c r="F6545">
        <v>1</v>
      </c>
      <c r="G6545">
        <f>LOG(382/(1+1))</f>
        <v>2.2810333672477277</v>
      </c>
      <c r="H6545">
        <f>0.00505050505050505*5.25227342804663</f>
        <v>2.6526633474982977E-2</v>
      </c>
      <c r="I6545">
        <v>2.6526633474982981E-2</v>
      </c>
    </row>
    <row r="6546" spans="1:9" x14ac:dyDescent="0.25">
      <c r="A6546">
        <v>342</v>
      </c>
      <c r="B6546" t="s">
        <v>2408</v>
      </c>
      <c r="C6546" t="s">
        <v>48</v>
      </c>
      <c r="D6546" t="s">
        <v>408</v>
      </c>
      <c r="E6546">
        <f t="shared" si="292"/>
        <v>5.0505050505050509E-3</v>
      </c>
      <c r="F6546">
        <v>27</v>
      </c>
      <c r="G6546">
        <f>LOG(382/(27+1))</f>
        <v>1.1349053315694895</v>
      </c>
      <c r="H6546">
        <f>0.00505050505050505*2.61321609843137</f>
        <v>1.3198061103188738E-2</v>
      </c>
      <c r="I6546">
        <v>1.3198061103188739E-2</v>
      </c>
    </row>
    <row r="6547" spans="1:9" x14ac:dyDescent="0.25">
      <c r="A6547">
        <v>342</v>
      </c>
      <c r="B6547" t="s">
        <v>2408</v>
      </c>
      <c r="C6547" t="s">
        <v>48</v>
      </c>
      <c r="D6547" t="s">
        <v>2413</v>
      </c>
      <c r="E6547">
        <f t="shared" si="292"/>
        <v>5.0505050505050509E-3</v>
      </c>
      <c r="F6547">
        <v>1</v>
      </c>
      <c r="G6547">
        <f>LOG(382/(1+1))</f>
        <v>2.2810333672477277</v>
      </c>
      <c r="H6547">
        <f>0.00505050505050505*5.25227342804663</f>
        <v>2.6526633474982977E-2</v>
      </c>
      <c r="I6547">
        <v>2.6526633474982981E-2</v>
      </c>
    </row>
    <row r="6548" spans="1:9" x14ac:dyDescent="0.25">
      <c r="A6548">
        <v>342</v>
      </c>
      <c r="B6548" t="s">
        <v>2408</v>
      </c>
      <c r="C6548" t="s">
        <v>48</v>
      </c>
      <c r="D6548" t="s">
        <v>818</v>
      </c>
      <c r="E6548">
        <f>6/198</f>
        <v>3.0303030303030304E-2</v>
      </c>
      <c r="F6548">
        <v>7</v>
      </c>
      <c r="G6548">
        <f>LOG(382/(7+1))</f>
        <v>1.6789733759197651</v>
      </c>
      <c r="H6548">
        <f>0.0303030303030303*3.86597906692673</f>
        <v>0.11715088081596151</v>
      </c>
      <c r="I6548">
        <v>0.1171508808159618</v>
      </c>
    </row>
    <row r="6549" spans="1:9" x14ac:dyDescent="0.25">
      <c r="A6549">
        <v>342</v>
      </c>
      <c r="B6549" t="s">
        <v>2408</v>
      </c>
      <c r="C6549" t="s">
        <v>48</v>
      </c>
      <c r="D6549" t="s">
        <v>247</v>
      </c>
      <c r="E6549">
        <f>1/198</f>
        <v>5.0505050505050509E-3</v>
      </c>
      <c r="F6549">
        <v>121</v>
      </c>
      <c r="G6549">
        <f>LOG(382/(121+1))</f>
        <v>0.49570353223696051</v>
      </c>
      <c r="H6549">
        <f>0.00505050505050505*1.14139956387331</f>
        <v>5.7646442619864145E-3</v>
      </c>
      <c r="I6549">
        <v>5.7646442619864588E-3</v>
      </c>
    </row>
    <row r="6550" spans="1:9" x14ac:dyDescent="0.25">
      <c r="A6550">
        <v>342</v>
      </c>
      <c r="B6550" t="s">
        <v>2408</v>
      </c>
      <c r="C6550" t="s">
        <v>48</v>
      </c>
      <c r="D6550" t="s">
        <v>39</v>
      </c>
      <c r="E6550">
        <f>1/198</f>
        <v>5.0505050505050509E-3</v>
      </c>
      <c r="F6550">
        <v>145</v>
      </c>
      <c r="G6550">
        <f>LOG(382/(145+1))</f>
        <v>0.41771050712727159</v>
      </c>
      <c r="H6550">
        <f>0.00505050505050505*0.961813986898238</f>
        <v>4.8576463984759495E-3</v>
      </c>
      <c r="I6550">
        <v>4.8576463984759538E-3</v>
      </c>
    </row>
    <row r="6551" spans="1:9" x14ac:dyDescent="0.25">
      <c r="A6551">
        <v>342</v>
      </c>
      <c r="B6551" t="s">
        <v>2408</v>
      </c>
      <c r="C6551" t="s">
        <v>48</v>
      </c>
      <c r="D6551" t="s">
        <v>42</v>
      </c>
      <c r="E6551">
        <f>2/198</f>
        <v>1.0101010101010102E-2</v>
      </c>
      <c r="F6551">
        <v>251</v>
      </c>
      <c r="G6551">
        <f>LOG(382/(251+1))</f>
        <v>0.18066282213016463</v>
      </c>
      <c r="H6551">
        <f>0.0101010101010101*0.415991521095151</f>
        <v>4.2019345565166765E-3</v>
      </c>
      <c r="I6551">
        <v>4.2019345565166861E-3</v>
      </c>
    </row>
    <row r="6552" spans="1:9" x14ac:dyDescent="0.25">
      <c r="A6552">
        <v>342</v>
      </c>
      <c r="B6552" t="s">
        <v>2408</v>
      </c>
      <c r="C6552" t="s">
        <v>48</v>
      </c>
      <c r="D6552" t="s">
        <v>465</v>
      </c>
      <c r="E6552">
        <f>1/198</f>
        <v>5.0505050505050509E-3</v>
      </c>
      <c r="F6552">
        <v>36</v>
      </c>
      <c r="G6552">
        <f>LOG(382/(36+1))</f>
        <v>1.0138616388447137</v>
      </c>
      <c r="H6552">
        <f>0.00505050505050505*2.33450269596235</f>
        <v>1.1790417656375504E-2</v>
      </c>
      <c r="I6552">
        <v>1.179041765637551E-2</v>
      </c>
    </row>
    <row r="6553" spans="1:9" x14ac:dyDescent="0.25">
      <c r="A6553">
        <v>342</v>
      </c>
      <c r="B6553" t="s">
        <v>2408</v>
      </c>
      <c r="C6553" t="s">
        <v>48</v>
      </c>
      <c r="D6553" t="s">
        <v>41</v>
      </c>
      <c r="E6553">
        <f>6/198</f>
        <v>3.0303030303030304E-2</v>
      </c>
      <c r="F6553">
        <v>195</v>
      </c>
      <c r="G6553">
        <f>LOG(382/(195+1))</f>
        <v>0.28980729155523272</v>
      </c>
      <c r="H6553">
        <f>0.0303030303030303*0.667305949376058</f>
        <v>2.022139240533509E-2</v>
      </c>
      <c r="I6553">
        <v>2.022139240533509E-2</v>
      </c>
    </row>
    <row r="6554" spans="1:9" x14ac:dyDescent="0.25">
      <c r="A6554">
        <v>342</v>
      </c>
      <c r="B6554" t="s">
        <v>2408</v>
      </c>
      <c r="C6554" t="s">
        <v>48</v>
      </c>
      <c r="D6554" t="s">
        <v>22</v>
      </c>
      <c r="E6554">
        <f>3/198</f>
        <v>1.5151515151515152E-2</v>
      </c>
      <c r="F6554">
        <v>259</v>
      </c>
      <c r="G6554">
        <f>LOG(382/(259+1))</f>
        <v>0.16709001494089079</v>
      </c>
      <c r="H6554">
        <f>0.0151515151515151*0.384738977591047</f>
        <v>5.8293784483491777E-3</v>
      </c>
      <c r="I6554">
        <v>5.8293784483492046E-3</v>
      </c>
    </row>
    <row r="6555" spans="1:9" x14ac:dyDescent="0.25">
      <c r="A6555">
        <v>342</v>
      </c>
      <c r="B6555" t="s">
        <v>2408</v>
      </c>
      <c r="C6555" t="s">
        <v>48</v>
      </c>
      <c r="D6555" t="s">
        <v>23</v>
      </c>
      <c r="E6555">
        <f>3/198</f>
        <v>1.5151515151515152E-2</v>
      </c>
      <c r="F6555">
        <v>275</v>
      </c>
      <c r="G6555">
        <f>LOG(382/(275+1))</f>
        <v>0.14115428084649101</v>
      </c>
      <c r="H6555">
        <f>0.0151515151515151*0.325019742889425</f>
        <v>4.9245415589306649E-3</v>
      </c>
      <c r="I6555">
        <v>4.924541558930684E-3</v>
      </c>
    </row>
    <row r="6556" spans="1:9" x14ac:dyDescent="0.25">
      <c r="A6556">
        <v>342</v>
      </c>
      <c r="B6556" t="s">
        <v>2408</v>
      </c>
      <c r="C6556" t="s">
        <v>48</v>
      </c>
      <c r="D6556" t="s">
        <v>2414</v>
      </c>
      <c r="E6556">
        <f t="shared" ref="E6556:E6561" si="293">1/198</f>
        <v>5.0505050505050509E-3</v>
      </c>
      <c r="F6556">
        <v>1</v>
      </c>
      <c r="G6556">
        <f>LOG(382/(1+1))</f>
        <v>2.2810333672477277</v>
      </c>
      <c r="H6556">
        <f>0.00505050505050505*5.25227342804663</f>
        <v>2.6526633474982977E-2</v>
      </c>
      <c r="I6556">
        <v>2.6526633474982981E-2</v>
      </c>
    </row>
    <row r="6557" spans="1:9" x14ac:dyDescent="0.25">
      <c r="A6557">
        <v>342</v>
      </c>
      <c r="B6557" t="s">
        <v>2408</v>
      </c>
      <c r="C6557" t="s">
        <v>48</v>
      </c>
      <c r="D6557" t="s">
        <v>2415</v>
      </c>
      <c r="E6557">
        <f t="shared" si="293"/>
        <v>5.0505050505050509E-3</v>
      </c>
      <c r="F6557">
        <v>1</v>
      </c>
      <c r="G6557">
        <f>LOG(382/(1+1))</f>
        <v>2.2810333672477277</v>
      </c>
      <c r="H6557">
        <f>0.00505050505050505*5.25227342804663</f>
        <v>2.6526633474982977E-2</v>
      </c>
      <c r="I6557">
        <v>2.6526633474982981E-2</v>
      </c>
    </row>
    <row r="6558" spans="1:9" x14ac:dyDescent="0.25">
      <c r="A6558">
        <v>342</v>
      </c>
      <c r="B6558" t="s">
        <v>2408</v>
      </c>
      <c r="C6558" t="s">
        <v>48</v>
      </c>
      <c r="D6558" t="s">
        <v>711</v>
      </c>
      <c r="E6558">
        <f t="shared" si="293"/>
        <v>5.0505050505050509E-3</v>
      </c>
      <c r="F6558">
        <v>4</v>
      </c>
      <c r="G6558">
        <f>LOG(382/(4+1))</f>
        <v>1.8830933585756899</v>
      </c>
      <c r="H6558">
        <f>0.00505050505050505*4.33598269617247</f>
        <v>2.1898902505921566E-2</v>
      </c>
      <c r="I6558">
        <v>2.1898902505921591E-2</v>
      </c>
    </row>
    <row r="6559" spans="1:9" x14ac:dyDescent="0.25">
      <c r="A6559">
        <v>342</v>
      </c>
      <c r="B6559" t="s">
        <v>2408</v>
      </c>
      <c r="C6559" t="s">
        <v>48</v>
      </c>
      <c r="D6559" t="s">
        <v>2416</v>
      </c>
      <c r="E6559">
        <f t="shared" si="293"/>
        <v>5.0505050505050509E-3</v>
      </c>
      <c r="F6559">
        <v>1</v>
      </c>
      <c r="G6559">
        <f>LOG(382/(1+1))</f>
        <v>2.2810333672477277</v>
      </c>
      <c r="H6559">
        <f>0.00505050505050505*5.25227342804663</f>
        <v>2.6526633474982977E-2</v>
      </c>
      <c r="I6559">
        <v>2.6526633474982981E-2</v>
      </c>
    </row>
    <row r="6560" spans="1:9" x14ac:dyDescent="0.25">
      <c r="A6560">
        <v>342</v>
      </c>
      <c r="B6560" t="s">
        <v>2408</v>
      </c>
      <c r="C6560" t="s">
        <v>48</v>
      </c>
      <c r="D6560" t="s">
        <v>234</v>
      </c>
      <c r="E6560">
        <f t="shared" si="293"/>
        <v>5.0505050505050509E-3</v>
      </c>
      <c r="F6560">
        <v>6</v>
      </c>
      <c r="G6560">
        <f>LOG(382/(6+1))</f>
        <v>1.736965322897452</v>
      </c>
      <c r="H6560">
        <f>0.00505050505050505*3.99951045955126</f>
        <v>2.0199547775511414E-2</v>
      </c>
      <c r="I6560">
        <v>2.0199547775511421E-2</v>
      </c>
    </row>
    <row r="6561" spans="1:9" x14ac:dyDescent="0.25">
      <c r="A6561">
        <v>342</v>
      </c>
      <c r="B6561" t="s">
        <v>2408</v>
      </c>
      <c r="C6561" t="s">
        <v>48</v>
      </c>
      <c r="D6561" t="s">
        <v>1093</v>
      </c>
      <c r="E6561">
        <f t="shared" si="293"/>
        <v>5.0505050505050509E-3</v>
      </c>
      <c r="F6561">
        <v>2</v>
      </c>
      <c r="G6561">
        <f>LOG(382/(2+1))</f>
        <v>2.1049421081920463</v>
      </c>
      <c r="H6561">
        <f>0.00505050505050505*4.84680831993846</f>
        <v>2.447882989867909E-2</v>
      </c>
      <c r="I6561">
        <v>2.4478829898679121E-2</v>
      </c>
    </row>
    <row r="6562" spans="1:9" x14ac:dyDescent="0.25">
      <c r="A6562">
        <v>342</v>
      </c>
      <c r="B6562" t="s">
        <v>2408</v>
      </c>
      <c r="C6562" t="s">
        <v>48</v>
      </c>
      <c r="D6562" t="s">
        <v>144</v>
      </c>
      <c r="E6562">
        <f>4/198</f>
        <v>2.0202020202020204E-2</v>
      </c>
      <c r="F6562">
        <v>105</v>
      </c>
      <c r="G6562">
        <f>LOG(382/(105+1))</f>
        <v>0.55675749764693849</v>
      </c>
      <c r="H6562">
        <f>0.0202020202020202*1.2819815144945</f>
        <v>2.589861645443434E-2</v>
      </c>
      <c r="I6562">
        <v>2.589861645443451E-2</v>
      </c>
    </row>
    <row r="6563" spans="1:9" x14ac:dyDescent="0.25">
      <c r="A6563">
        <v>342</v>
      </c>
      <c r="B6563" t="s">
        <v>2408</v>
      </c>
      <c r="C6563" t="s">
        <v>48</v>
      </c>
      <c r="D6563" t="s">
        <v>1398</v>
      </c>
      <c r="E6563">
        <f t="shared" ref="E6563:E6569" si="294">1/198</f>
        <v>5.0505050505050509E-3</v>
      </c>
      <c r="F6563">
        <v>29</v>
      </c>
      <c r="G6563">
        <f>LOG(382/(29+1))</f>
        <v>1.1049421081920463</v>
      </c>
      <c r="H6563">
        <f>0.00505050505050505*2.54422322694442</f>
        <v>1.2849612257295048E-2</v>
      </c>
      <c r="I6563">
        <v>1.284961225729505E-2</v>
      </c>
    </row>
    <row r="6564" spans="1:9" x14ac:dyDescent="0.25">
      <c r="A6564">
        <v>342</v>
      </c>
      <c r="B6564" t="s">
        <v>2408</v>
      </c>
      <c r="C6564" t="s">
        <v>48</v>
      </c>
      <c r="D6564" t="s">
        <v>15</v>
      </c>
      <c r="E6564">
        <f t="shared" si="294"/>
        <v>5.0505050505050509E-3</v>
      </c>
      <c r="F6564">
        <v>112</v>
      </c>
      <c r="G6564">
        <f>LOG(382/(112+1))</f>
        <v>0.52898491942828896</v>
      </c>
      <c r="H6564">
        <f>0.00505050505050505*1.21803278989423</f>
        <v>6.1516807570415654E-3</v>
      </c>
      <c r="I6564">
        <v>6.1516807570415897E-3</v>
      </c>
    </row>
    <row r="6565" spans="1:9" x14ac:dyDescent="0.25">
      <c r="A6565">
        <v>342</v>
      </c>
      <c r="B6565" t="s">
        <v>2408</v>
      </c>
      <c r="C6565" t="s">
        <v>48</v>
      </c>
      <c r="D6565" t="s">
        <v>2417</v>
      </c>
      <c r="E6565">
        <f t="shared" si="294"/>
        <v>5.0505050505050509E-3</v>
      </c>
      <c r="F6565">
        <v>1</v>
      </c>
      <c r="G6565">
        <f>LOG(382/(1+1))</f>
        <v>2.2810333672477277</v>
      </c>
      <c r="H6565">
        <f>0.00505050505050505*5.25227342804663</f>
        <v>2.6526633474982977E-2</v>
      </c>
      <c r="I6565">
        <v>2.6526633474982981E-2</v>
      </c>
    </row>
    <row r="6566" spans="1:9" x14ac:dyDescent="0.25">
      <c r="A6566">
        <v>342</v>
      </c>
      <c r="B6566" t="s">
        <v>2408</v>
      </c>
      <c r="C6566" t="s">
        <v>48</v>
      </c>
      <c r="D6566" t="s">
        <v>2217</v>
      </c>
      <c r="E6566">
        <f t="shared" si="294"/>
        <v>5.0505050505050509E-3</v>
      </c>
      <c r="F6566">
        <v>4</v>
      </c>
      <c r="G6566">
        <f>LOG(382/(4+1))</f>
        <v>1.8830933585756899</v>
      </c>
      <c r="H6566">
        <f>0.00505050505050505*4.33598269617247</f>
        <v>2.1898902505921566E-2</v>
      </c>
      <c r="I6566">
        <v>2.1898902505921591E-2</v>
      </c>
    </row>
    <row r="6567" spans="1:9" x14ac:dyDescent="0.25">
      <c r="A6567">
        <v>342</v>
      </c>
      <c r="B6567" t="s">
        <v>2408</v>
      </c>
      <c r="C6567" t="s">
        <v>48</v>
      </c>
      <c r="D6567" t="s">
        <v>17</v>
      </c>
      <c r="E6567">
        <f t="shared" si="294"/>
        <v>5.0505050505050509E-3</v>
      </c>
      <c r="F6567">
        <v>169</v>
      </c>
      <c r="G6567">
        <f>LOG(382/(169+1))</f>
        <v>0.3516144415334348</v>
      </c>
      <c r="H6567">
        <f>0.00505050505050505*0.809622171556313</f>
        <v>4.0890008664460249E-3</v>
      </c>
      <c r="I6567">
        <v>4.0890008664460284E-3</v>
      </c>
    </row>
    <row r="6568" spans="1:9" x14ac:dyDescent="0.25">
      <c r="A6568">
        <v>342</v>
      </c>
      <c r="B6568" t="s">
        <v>2408</v>
      </c>
      <c r="C6568" t="s">
        <v>48</v>
      </c>
      <c r="D6568" t="s">
        <v>2418</v>
      </c>
      <c r="E6568">
        <f t="shared" si="294"/>
        <v>5.0505050505050509E-3</v>
      </c>
      <c r="F6568">
        <v>1</v>
      </c>
      <c r="G6568">
        <f>LOG(382/(1+1))</f>
        <v>2.2810333672477277</v>
      </c>
      <c r="H6568">
        <f>0.00505050505050505*5.25227342804663</f>
        <v>2.6526633474982977E-2</v>
      </c>
      <c r="I6568">
        <v>2.6526633474982981E-2</v>
      </c>
    </row>
    <row r="6569" spans="1:9" x14ac:dyDescent="0.25">
      <c r="A6569">
        <v>342</v>
      </c>
      <c r="B6569" t="s">
        <v>2408</v>
      </c>
      <c r="C6569" t="s">
        <v>48</v>
      </c>
      <c r="D6569" t="s">
        <v>432</v>
      </c>
      <c r="E6569">
        <f t="shared" si="294"/>
        <v>5.0505050505050509E-3</v>
      </c>
      <c r="F6569">
        <v>67</v>
      </c>
      <c r="G6569">
        <f>LOG(382/(67+1))</f>
        <v>0.7495544502054724</v>
      </c>
      <c r="H6569">
        <f>0.00505050505050505*1.72591290343046</f>
        <v>8.7167318355073735E-3</v>
      </c>
      <c r="I6569">
        <v>8.7167318355074169E-3</v>
      </c>
    </row>
    <row r="6570" spans="1:9" x14ac:dyDescent="0.25">
      <c r="A6570">
        <v>342</v>
      </c>
      <c r="B6570" t="s">
        <v>2408</v>
      </c>
      <c r="C6570" t="s">
        <v>48</v>
      </c>
      <c r="D6570" t="s">
        <v>1473</v>
      </c>
      <c r="E6570">
        <f>2/198</f>
        <v>1.0101010101010102E-2</v>
      </c>
      <c r="F6570">
        <v>39</v>
      </c>
      <c r="G6570">
        <f>LOG(382/(39+1))</f>
        <v>0.9800033715837464</v>
      </c>
      <c r="H6570">
        <f>0.0101010101010101*2.25654115449263</f>
        <v>2.2793344994875051E-2</v>
      </c>
      <c r="I6570">
        <v>2.2793344994875141E-2</v>
      </c>
    </row>
    <row r="6571" spans="1:9" x14ac:dyDescent="0.25">
      <c r="A6571">
        <v>342</v>
      </c>
      <c r="B6571" t="s">
        <v>2408</v>
      </c>
      <c r="C6571" t="s">
        <v>48</v>
      </c>
      <c r="D6571" t="s">
        <v>600</v>
      </c>
      <c r="E6571">
        <f>1/198</f>
        <v>5.0505050505050509E-3</v>
      </c>
      <c r="F6571">
        <v>102</v>
      </c>
      <c r="G6571">
        <f>LOG(382/(102+1))</f>
        <v>0.56922613820653656</v>
      </c>
      <c r="H6571">
        <f>0.00505050505050505*1.31069162037693</f>
        <v>6.619654648368333E-3</v>
      </c>
      <c r="I6571">
        <v>6.6196546483683824E-3</v>
      </c>
    </row>
    <row r="6572" spans="1:9" x14ac:dyDescent="0.25">
      <c r="A6572">
        <v>342</v>
      </c>
      <c r="B6572" t="s">
        <v>2408</v>
      </c>
      <c r="C6572" t="s">
        <v>48</v>
      </c>
      <c r="D6572" t="s">
        <v>1405</v>
      </c>
      <c r="E6572">
        <f>1/198</f>
        <v>5.0505050505050509E-3</v>
      </c>
      <c r="F6572">
        <v>14</v>
      </c>
      <c r="G6572">
        <f>LOG(382/(14+1))</f>
        <v>1.4059721038560276</v>
      </c>
      <c r="H6572">
        <f>0.00505050505050505*3.23737040750436</f>
        <v>1.6350355593456361E-2</v>
      </c>
      <c r="I6572">
        <v>1.6350355593456389E-2</v>
      </c>
    </row>
    <row r="6573" spans="1:9" x14ac:dyDescent="0.25">
      <c r="A6573">
        <v>342</v>
      </c>
      <c r="B6573" t="s">
        <v>2408</v>
      </c>
      <c r="C6573" t="s">
        <v>48</v>
      </c>
      <c r="D6573" t="s">
        <v>1465</v>
      </c>
      <c r="E6573">
        <f>2/198</f>
        <v>1.0101010101010102E-2</v>
      </c>
      <c r="F6573">
        <v>5</v>
      </c>
      <c r="G6573">
        <f>LOG(382/(5+1))</f>
        <v>1.803912112528065</v>
      </c>
      <c r="H6573">
        <f>0.0101010101010101*4.15366113937852</f>
        <v>4.1956173125035551E-2</v>
      </c>
      <c r="I6573">
        <v>4.1956173125035558E-2</v>
      </c>
    </row>
    <row r="6574" spans="1:9" x14ac:dyDescent="0.25">
      <c r="A6574">
        <v>342</v>
      </c>
      <c r="B6574" t="s">
        <v>2408</v>
      </c>
      <c r="C6574" t="s">
        <v>48</v>
      </c>
      <c r="D6574" t="s">
        <v>863</v>
      </c>
      <c r="E6574">
        <f>1/198</f>
        <v>5.0505050505050509E-3</v>
      </c>
      <c r="F6574">
        <v>14</v>
      </c>
      <c r="G6574">
        <f>LOG(382/(14+1))</f>
        <v>1.4059721038560276</v>
      </c>
      <c r="H6574">
        <f>0.00505050505050505*3.23737040750436</f>
        <v>1.6350355593456361E-2</v>
      </c>
      <c r="I6574">
        <v>1.6350355593456389E-2</v>
      </c>
    </row>
    <row r="6575" spans="1:9" x14ac:dyDescent="0.25">
      <c r="A6575">
        <v>342</v>
      </c>
      <c r="B6575" t="s">
        <v>2408</v>
      </c>
      <c r="C6575" t="s">
        <v>48</v>
      </c>
      <c r="D6575" t="s">
        <v>830</v>
      </c>
      <c r="E6575">
        <f>1/198</f>
        <v>5.0505050505050509E-3</v>
      </c>
      <c r="F6575">
        <v>19</v>
      </c>
      <c r="G6575">
        <f>LOG(382/(19+1))</f>
        <v>1.2810333672477277</v>
      </c>
      <c r="H6575">
        <f>0.00505050505050505*2.94968833505258</f>
        <v>1.4897415833598887E-2</v>
      </c>
      <c r="I6575">
        <v>1.4897415833598909E-2</v>
      </c>
    </row>
    <row r="6576" spans="1:9" x14ac:dyDescent="0.25">
      <c r="A6576">
        <v>342</v>
      </c>
      <c r="B6576" t="s">
        <v>2408</v>
      </c>
      <c r="C6576" t="s">
        <v>48</v>
      </c>
      <c r="D6576" t="s">
        <v>361</v>
      </c>
      <c r="E6576">
        <f>1/198</f>
        <v>5.0505050505050509E-3</v>
      </c>
      <c r="F6576">
        <v>118</v>
      </c>
      <c r="G6576">
        <f>LOG(382/(118+1))</f>
        <v>0.50651640151917798</v>
      </c>
      <c r="H6576">
        <f>0.00505050505050505*1.16629711549504</f>
        <v>5.8903894721971705E-3</v>
      </c>
      <c r="I6576">
        <v>5.8903894721972017E-3</v>
      </c>
    </row>
    <row r="6577" spans="1:9" x14ac:dyDescent="0.25">
      <c r="A6577">
        <v>342</v>
      </c>
      <c r="B6577" t="s">
        <v>2408</v>
      </c>
      <c r="C6577" t="s">
        <v>48</v>
      </c>
      <c r="D6577" t="s">
        <v>1472</v>
      </c>
      <c r="E6577">
        <f>1/198</f>
        <v>5.0505050505050509E-3</v>
      </c>
      <c r="F6577">
        <v>7</v>
      </c>
      <c r="G6577">
        <f>LOG(382/(7+1))</f>
        <v>1.6789733759197651</v>
      </c>
      <c r="H6577">
        <f>0.00505050505050505*3.86597906692673</f>
        <v>1.9525146802660251E-2</v>
      </c>
      <c r="I6577">
        <v>1.95251468026603E-2</v>
      </c>
    </row>
    <row r="6578" spans="1:9" x14ac:dyDescent="0.25">
      <c r="A6578">
        <v>342</v>
      </c>
      <c r="B6578" t="s">
        <v>2408</v>
      </c>
      <c r="C6578" t="s">
        <v>48</v>
      </c>
      <c r="D6578" t="s">
        <v>149</v>
      </c>
      <c r="E6578">
        <f>3/198</f>
        <v>1.5151515151515152E-2</v>
      </c>
      <c r="F6578">
        <v>35</v>
      </c>
      <c r="G6578">
        <f>LOG(382/(35+1))</f>
        <v>1.0257608621444214</v>
      </c>
      <c r="H6578">
        <f>0.0151515151515151*2.36190167015046</f>
        <v>3.5786388941673512E-2</v>
      </c>
      <c r="I6578">
        <v>3.5786388941673707E-2</v>
      </c>
    </row>
    <row r="6579" spans="1:9" x14ac:dyDescent="0.25">
      <c r="A6579">
        <v>342</v>
      </c>
      <c r="B6579" t="s">
        <v>2408</v>
      </c>
      <c r="C6579" t="s">
        <v>48</v>
      </c>
      <c r="D6579" t="s">
        <v>147</v>
      </c>
      <c r="E6579">
        <f>1/198</f>
        <v>5.0505050505050509E-3</v>
      </c>
      <c r="F6579">
        <v>48</v>
      </c>
      <c r="G6579">
        <f>LOG(382/(48+1))</f>
        <v>0.89186728288319506</v>
      </c>
      <c r="H6579">
        <f>0.00505050505050505*2.05360031049594</f>
        <v>1.0371718739878483E-2</v>
      </c>
      <c r="I6579">
        <v>1.037171873987853E-2</v>
      </c>
    </row>
    <row r="6580" spans="1:9" x14ac:dyDescent="0.25">
      <c r="A6580">
        <v>342</v>
      </c>
      <c r="B6580" t="s">
        <v>2408</v>
      </c>
      <c r="C6580" t="s">
        <v>48</v>
      </c>
      <c r="D6580" t="s">
        <v>168</v>
      </c>
      <c r="E6580">
        <f>4/198</f>
        <v>2.0202020202020204E-2</v>
      </c>
      <c r="F6580">
        <v>34</v>
      </c>
      <c r="G6580">
        <f>LOG(382/(34+1))</f>
        <v>1.037995318561433</v>
      </c>
      <c r="H6580">
        <f>0.0202020202020202*2.39007254711716</f>
        <v>4.8284293881154745E-2</v>
      </c>
      <c r="I6580">
        <v>4.828429388115478E-2</v>
      </c>
    </row>
    <row r="6581" spans="1:9" x14ac:dyDescent="0.25">
      <c r="A6581">
        <v>342</v>
      </c>
      <c r="B6581" t="s">
        <v>2408</v>
      </c>
      <c r="C6581" t="s">
        <v>48</v>
      </c>
      <c r="D6581" t="s">
        <v>2419</v>
      </c>
      <c r="E6581">
        <f>1/198</f>
        <v>5.0505050505050509E-3</v>
      </c>
      <c r="F6581">
        <v>1</v>
      </c>
      <c r="G6581">
        <f>LOG(382/(1+1))</f>
        <v>2.2810333672477277</v>
      </c>
      <c r="H6581">
        <f>0.00505050505050505*5.25227342804663</f>
        <v>2.6526633474982977E-2</v>
      </c>
      <c r="I6581">
        <v>2.6526633474982981E-2</v>
      </c>
    </row>
    <row r="6582" spans="1:9" x14ac:dyDescent="0.25">
      <c r="A6582">
        <v>342</v>
      </c>
      <c r="B6582" t="s">
        <v>2408</v>
      </c>
      <c r="C6582" t="s">
        <v>48</v>
      </c>
      <c r="D6582" t="s">
        <v>322</v>
      </c>
      <c r="E6582">
        <f>4/198</f>
        <v>2.0202020202020204E-2</v>
      </c>
      <c r="F6582">
        <v>128</v>
      </c>
      <c r="G6582">
        <f>LOG(382/(128+1))</f>
        <v>0.47147365261245977</v>
      </c>
      <c r="H6582">
        <f>0.0202020202020202*1.0856082042449</f>
        <v>2.1931478873634343E-2</v>
      </c>
      <c r="I6582">
        <v>2.1931478873634409E-2</v>
      </c>
    </row>
    <row r="6583" spans="1:9" x14ac:dyDescent="0.25">
      <c r="A6583">
        <v>342</v>
      </c>
      <c r="B6583" t="s">
        <v>2408</v>
      </c>
      <c r="C6583" t="s">
        <v>48</v>
      </c>
      <c r="D6583" t="s">
        <v>1444</v>
      </c>
      <c r="E6583">
        <f>1/198</f>
        <v>5.0505050505050509E-3</v>
      </c>
      <c r="F6583">
        <v>7</v>
      </c>
      <c r="G6583">
        <f>LOG(382/(7+1))</f>
        <v>1.6789733759197651</v>
      </c>
      <c r="H6583">
        <f>0.00505050505050505*3.86597906692673</f>
        <v>1.9525146802660251E-2</v>
      </c>
      <c r="I6583">
        <v>1.95251468026603E-2</v>
      </c>
    </row>
    <row r="6584" spans="1:9" x14ac:dyDescent="0.25">
      <c r="A6584">
        <v>342</v>
      </c>
      <c r="B6584" t="s">
        <v>2408</v>
      </c>
      <c r="C6584" t="s">
        <v>48</v>
      </c>
      <c r="D6584" t="s">
        <v>123</v>
      </c>
      <c r="E6584">
        <f>2/198</f>
        <v>1.0101010101010102E-2</v>
      </c>
      <c r="F6584">
        <v>74</v>
      </c>
      <c r="G6584">
        <f>LOG(382/(74+1))</f>
        <v>0.7070020995200087</v>
      </c>
      <c r="H6584">
        <f>0.0101010101010101*1.62793249507026</f>
        <v>1.644376257646727E-2</v>
      </c>
      <c r="I6584">
        <v>1.6443762576467319E-2</v>
      </c>
    </row>
    <row r="6585" spans="1:9" x14ac:dyDescent="0.25">
      <c r="A6585">
        <v>342</v>
      </c>
      <c r="B6585" t="s">
        <v>2408</v>
      </c>
      <c r="C6585" t="s">
        <v>48</v>
      </c>
      <c r="D6585" t="s">
        <v>76</v>
      </c>
      <c r="E6585">
        <f>2/198</f>
        <v>1.0101010101010102E-2</v>
      </c>
      <c r="F6585">
        <v>140</v>
      </c>
      <c r="G6585">
        <f>LOG(382/(140+1))</f>
        <v>0.43284425025632883</v>
      </c>
      <c r="H6585">
        <f>0.0101010101010101*0.996660718228407</f>
        <v>1.006727998210512E-2</v>
      </c>
      <c r="I6585">
        <v>1.006727998210512E-2</v>
      </c>
    </row>
    <row r="6586" spans="1:9" x14ac:dyDescent="0.25">
      <c r="A6586">
        <v>342</v>
      </c>
      <c r="B6586" t="s">
        <v>2408</v>
      </c>
      <c r="C6586" t="s">
        <v>48</v>
      </c>
      <c r="D6586" t="s">
        <v>331</v>
      </c>
      <c r="E6586">
        <f>1/198</f>
        <v>5.0505050505050509E-3</v>
      </c>
      <c r="F6586">
        <v>130</v>
      </c>
      <c r="G6586">
        <f>LOG(382/(130+1))</f>
        <v>0.46479206725594452</v>
      </c>
      <c r="H6586">
        <f>0.00505050505050505*1.07022328540542</f>
        <v>5.4051681081081823E-3</v>
      </c>
      <c r="I6586">
        <v>5.4051681081081996E-3</v>
      </c>
    </row>
    <row r="6587" spans="1:9" x14ac:dyDescent="0.25">
      <c r="A6587">
        <v>342</v>
      </c>
      <c r="B6587" t="s">
        <v>2408</v>
      </c>
      <c r="C6587" t="s">
        <v>48</v>
      </c>
      <c r="D6587" t="s">
        <v>237</v>
      </c>
      <c r="E6587">
        <f>2/198</f>
        <v>1.0101010101010102E-2</v>
      </c>
      <c r="F6587">
        <v>138</v>
      </c>
      <c r="G6587">
        <f>LOG(382/(138+1))</f>
        <v>0.43904856265761361</v>
      </c>
      <c r="H6587">
        <f>0.0101010101010101*1.01094667547588</f>
        <v>1.0211582580564444E-2</v>
      </c>
      <c r="I6587">
        <v>1.021158258056448E-2</v>
      </c>
    </row>
    <row r="6588" spans="1:9" x14ac:dyDescent="0.25">
      <c r="A6588">
        <v>342</v>
      </c>
      <c r="B6588" t="s">
        <v>2408</v>
      </c>
      <c r="C6588" t="s">
        <v>48</v>
      </c>
      <c r="D6588" t="s">
        <v>133</v>
      </c>
      <c r="E6588">
        <f>1/198</f>
        <v>5.0505050505050509E-3</v>
      </c>
      <c r="F6588">
        <v>142</v>
      </c>
      <c r="G6588">
        <f>LOG(382/(142+1))</f>
        <v>0.42672732544664693</v>
      </c>
      <c r="H6588">
        <f>0.00505050505050505*0.982575978346667</f>
        <v>4.9625049411447823E-3</v>
      </c>
      <c r="I6588">
        <v>4.9625049411447866E-3</v>
      </c>
    </row>
    <row r="6589" spans="1:9" x14ac:dyDescent="0.25">
      <c r="A6589">
        <v>342</v>
      </c>
      <c r="B6589" t="s">
        <v>2408</v>
      </c>
      <c r="C6589" t="s">
        <v>48</v>
      </c>
      <c r="D6589" t="s">
        <v>487</v>
      </c>
      <c r="E6589">
        <f>1/198</f>
        <v>5.0505050505050509E-3</v>
      </c>
      <c r="F6589">
        <v>32</v>
      </c>
      <c r="G6589">
        <f>LOG(382/(32+1))</f>
        <v>1.0635494230338212</v>
      </c>
      <c r="H6589">
        <f>0.00505050505050505*2.44891304714009</f>
        <v>1.2368247712828738E-2</v>
      </c>
      <c r="I6589">
        <v>1.236824771282876E-2</v>
      </c>
    </row>
    <row r="6590" spans="1:9" x14ac:dyDescent="0.25">
      <c r="A6590">
        <v>342</v>
      </c>
      <c r="B6590" t="s">
        <v>2408</v>
      </c>
      <c r="C6590" t="s">
        <v>48</v>
      </c>
      <c r="D6590" t="s">
        <v>40</v>
      </c>
      <c r="E6590">
        <f>3/198</f>
        <v>1.5151515151515152E-2</v>
      </c>
      <c r="F6590">
        <v>159</v>
      </c>
      <c r="G6590">
        <f>LOG(382/(159+1))</f>
        <v>0.377943380255784</v>
      </c>
      <c r="H6590">
        <f>0.0151515151515151*0.870246793372748</f>
        <v>1.3185557475344622E-2</v>
      </c>
      <c r="I6590">
        <v>1.318555747534467E-2</v>
      </c>
    </row>
    <row r="6591" spans="1:9" x14ac:dyDescent="0.25">
      <c r="A6591">
        <v>342</v>
      </c>
      <c r="B6591" t="s">
        <v>2408</v>
      </c>
      <c r="C6591" t="s">
        <v>48</v>
      </c>
      <c r="D6591" t="s">
        <v>26</v>
      </c>
      <c r="E6591">
        <f t="shared" ref="E6591:E6599" si="295">1/198</f>
        <v>5.0505050505050509E-3</v>
      </c>
      <c r="F6591">
        <v>40</v>
      </c>
      <c r="G6591">
        <f>LOG(382/(40+1))</f>
        <v>0.96927950619197323</v>
      </c>
      <c r="H6591">
        <f>0.00505050505050505*2.23184854190226</f>
        <v>1.1271962332839695E-2</v>
      </c>
      <c r="I6591">
        <v>1.127196233283973E-2</v>
      </c>
    </row>
    <row r="6592" spans="1:9" x14ac:dyDescent="0.25">
      <c r="A6592">
        <v>342</v>
      </c>
      <c r="B6592" t="s">
        <v>2408</v>
      </c>
      <c r="C6592" t="s">
        <v>48</v>
      </c>
      <c r="D6592" t="s">
        <v>469</v>
      </c>
      <c r="E6592">
        <f t="shared" si="295"/>
        <v>5.0505050505050509E-3</v>
      </c>
      <c r="F6592">
        <v>13</v>
      </c>
      <c r="G6592">
        <f>LOG(382/(13+1))</f>
        <v>1.4359353272334707</v>
      </c>
      <c r="H6592">
        <f>0.00505050505050505*3.30636327899131</f>
        <v>1.6698804439350051E-2</v>
      </c>
      <c r="I6592">
        <v>1.6698804439350089E-2</v>
      </c>
    </row>
    <row r="6593" spans="1:9" x14ac:dyDescent="0.25">
      <c r="A6593">
        <v>342</v>
      </c>
      <c r="B6593" t="s">
        <v>2408</v>
      </c>
      <c r="C6593" t="s">
        <v>48</v>
      </c>
      <c r="D6593" t="s">
        <v>36</v>
      </c>
      <c r="E6593">
        <f t="shared" si="295"/>
        <v>5.0505050505050509E-3</v>
      </c>
      <c r="F6593">
        <v>58</v>
      </c>
      <c r="G6593">
        <f>LOG(382/(58+1))</f>
        <v>0.81121135126956456</v>
      </c>
      <c r="H6593">
        <f>0.00505050505050505*1.86788316470085</f>
        <v>9.4337533570749994E-3</v>
      </c>
      <c r="I6593">
        <v>9.4337533570750289E-3</v>
      </c>
    </row>
    <row r="6594" spans="1:9" x14ac:dyDescent="0.25">
      <c r="A6594">
        <v>342</v>
      </c>
      <c r="B6594" t="s">
        <v>2408</v>
      </c>
      <c r="C6594" t="s">
        <v>48</v>
      </c>
      <c r="D6594" t="s">
        <v>161</v>
      </c>
      <c r="E6594">
        <f t="shared" si="295"/>
        <v>5.0505050505050509E-3</v>
      </c>
      <c r="F6594">
        <v>33</v>
      </c>
      <c r="G6594">
        <f>LOG(382/(33+1))</f>
        <v>1.0505844458694535</v>
      </c>
      <c r="H6594">
        <f>0.00505050505050505*2.41906008399041</f>
        <v>1.2217475171668737E-2</v>
      </c>
      <c r="I6594">
        <v>1.2217475171668759E-2</v>
      </c>
    </row>
    <row r="6595" spans="1:9" x14ac:dyDescent="0.25">
      <c r="A6595">
        <v>342</v>
      </c>
      <c r="B6595" t="s">
        <v>2408</v>
      </c>
      <c r="C6595" t="s">
        <v>48</v>
      </c>
      <c r="D6595" t="s">
        <v>1078</v>
      </c>
      <c r="E6595">
        <f t="shared" si="295"/>
        <v>5.0505050505050509E-3</v>
      </c>
      <c r="F6595">
        <v>5</v>
      </c>
      <c r="G6595">
        <f>LOG(382/(5+1))</f>
        <v>1.803912112528065</v>
      </c>
      <c r="H6595">
        <f>0.00505050505050505*4.15366113937852</f>
        <v>2.0978086562517775E-2</v>
      </c>
      <c r="I6595">
        <v>2.0978086562517779E-2</v>
      </c>
    </row>
    <row r="6596" spans="1:9" x14ac:dyDescent="0.25">
      <c r="A6596">
        <v>342</v>
      </c>
      <c r="B6596" t="s">
        <v>2408</v>
      </c>
      <c r="C6596" t="s">
        <v>48</v>
      </c>
      <c r="D6596" t="s">
        <v>2420</v>
      </c>
      <c r="E6596">
        <f t="shared" si="295"/>
        <v>5.0505050505050509E-3</v>
      </c>
      <c r="F6596">
        <v>2</v>
      </c>
      <c r="G6596">
        <f>LOG(382/(2+1))</f>
        <v>2.1049421081920463</v>
      </c>
      <c r="H6596">
        <f>0.00505050505050505*4.84680831993846</f>
        <v>2.447882989867909E-2</v>
      </c>
      <c r="I6596">
        <v>2.4478829898679121E-2</v>
      </c>
    </row>
    <row r="6597" spans="1:9" x14ac:dyDescent="0.25">
      <c r="A6597">
        <v>342</v>
      </c>
      <c r="B6597" t="s">
        <v>2408</v>
      </c>
      <c r="C6597" t="s">
        <v>48</v>
      </c>
      <c r="D6597" t="s">
        <v>248</v>
      </c>
      <c r="E6597">
        <f t="shared" si="295"/>
        <v>5.0505050505050509E-3</v>
      </c>
      <c r="F6597">
        <v>7</v>
      </c>
      <c r="G6597">
        <f>LOG(382/(7+1))</f>
        <v>1.6789733759197651</v>
      </c>
      <c r="H6597">
        <f>0.00505050505050505*3.86597906692673</f>
        <v>1.9525146802660251E-2</v>
      </c>
      <c r="I6597">
        <v>1.95251468026603E-2</v>
      </c>
    </row>
    <row r="6598" spans="1:9" x14ac:dyDescent="0.25">
      <c r="A6598">
        <v>342</v>
      </c>
      <c r="B6598" t="s">
        <v>2408</v>
      </c>
      <c r="C6598" t="s">
        <v>48</v>
      </c>
      <c r="D6598" t="s">
        <v>2421</v>
      </c>
      <c r="E6598">
        <f t="shared" si="295"/>
        <v>5.0505050505050509E-3</v>
      </c>
      <c r="F6598">
        <v>1</v>
      </c>
      <c r="G6598">
        <f>LOG(382/(1+1))</f>
        <v>2.2810333672477277</v>
      </c>
      <c r="H6598">
        <f>0.00505050505050505*5.25227342804663</f>
        <v>2.6526633474982977E-2</v>
      </c>
      <c r="I6598">
        <v>2.6526633474982981E-2</v>
      </c>
    </row>
    <row r="6599" spans="1:9" x14ac:dyDescent="0.25">
      <c r="A6599">
        <v>342</v>
      </c>
      <c r="B6599" t="s">
        <v>2408</v>
      </c>
      <c r="C6599" t="s">
        <v>48</v>
      </c>
      <c r="D6599" t="s">
        <v>204</v>
      </c>
      <c r="E6599">
        <f t="shared" si="295"/>
        <v>5.0505050505050509E-3</v>
      </c>
      <c r="F6599">
        <v>166</v>
      </c>
      <c r="G6599">
        <f>LOG(382/(166+1))</f>
        <v>0.35934689176412549</v>
      </c>
      <c r="H6599">
        <f>0.00505050505050505*0.82742679618982</f>
        <v>4.1789232130798985E-3</v>
      </c>
      <c r="I6599">
        <v>4.1789232130798994E-3</v>
      </c>
    </row>
    <row r="6600" spans="1:9" x14ac:dyDescent="0.25">
      <c r="A6600">
        <v>342</v>
      </c>
      <c r="B6600" t="s">
        <v>2408</v>
      </c>
      <c r="C6600" t="s">
        <v>48</v>
      </c>
      <c r="D6600" t="s">
        <v>243</v>
      </c>
      <c r="E6600">
        <f>2/198</f>
        <v>1.0101010101010102E-2</v>
      </c>
      <c r="F6600">
        <v>131</v>
      </c>
      <c r="G6600">
        <f>LOG(382/(131+1))</f>
        <v>0.46148943170585888</v>
      </c>
      <c r="H6600">
        <f>0.0101010101010101*1.0626186860202</f>
        <v>1.0733522081012121E-2</v>
      </c>
      <c r="I6600">
        <v>1.0733522081012159E-2</v>
      </c>
    </row>
    <row r="6601" spans="1:9" x14ac:dyDescent="0.25">
      <c r="A6601">
        <v>342</v>
      </c>
      <c r="B6601" t="s">
        <v>2408</v>
      </c>
      <c r="C6601" t="s">
        <v>48</v>
      </c>
      <c r="D6601" t="s">
        <v>705</v>
      </c>
      <c r="E6601">
        <f>1/198</f>
        <v>5.0505050505050509E-3</v>
      </c>
      <c r="F6601">
        <v>8</v>
      </c>
      <c r="G6601">
        <f>LOG(382/(8+1))</f>
        <v>1.6278208534723839</v>
      </c>
      <c r="H6601">
        <f>0.00505050505050505*3.74819603127035</f>
        <v>1.8930282986213888E-2</v>
      </c>
      <c r="I6601">
        <v>1.8930282986213919E-2</v>
      </c>
    </row>
    <row r="6602" spans="1:9" x14ac:dyDescent="0.25">
      <c r="A6602">
        <v>342</v>
      </c>
      <c r="B6602" t="s">
        <v>2408</v>
      </c>
      <c r="C6602" t="s">
        <v>48</v>
      </c>
      <c r="D6602" t="s">
        <v>699</v>
      </c>
      <c r="E6602">
        <f>1/198</f>
        <v>5.0505050505050509E-3</v>
      </c>
      <c r="F6602">
        <v>4</v>
      </c>
      <c r="G6602">
        <f>LOG(382/(4+1))</f>
        <v>1.8830933585756899</v>
      </c>
      <c r="H6602">
        <f>0.00505050505050505*4.33598269617247</f>
        <v>2.1898902505921566E-2</v>
      </c>
      <c r="I6602">
        <v>2.1898902505921591E-2</v>
      </c>
    </row>
    <row r="6603" spans="1:9" x14ac:dyDescent="0.25">
      <c r="A6603">
        <v>342</v>
      </c>
      <c r="B6603" t="s">
        <v>2408</v>
      </c>
      <c r="C6603" t="s">
        <v>48</v>
      </c>
      <c r="D6603" t="s">
        <v>31</v>
      </c>
      <c r="E6603">
        <f>2/198</f>
        <v>1.0101010101010102E-2</v>
      </c>
      <c r="F6603">
        <v>31</v>
      </c>
      <c r="G6603">
        <f>LOG(382/(31+1))</f>
        <v>1.0769133845918029</v>
      </c>
      <c r="H6603">
        <f>0.0101010101010101*2.47968470580684</f>
        <v>2.504732026067515E-2</v>
      </c>
      <c r="I6603">
        <v>2.504732026067524E-2</v>
      </c>
    </row>
    <row r="6604" spans="1:9" x14ac:dyDescent="0.25">
      <c r="A6604">
        <v>342</v>
      </c>
      <c r="B6604" t="s">
        <v>2408</v>
      </c>
      <c r="C6604" t="s">
        <v>48</v>
      </c>
      <c r="D6604" t="s">
        <v>52</v>
      </c>
      <c r="E6604">
        <f t="shared" ref="E6604:E6621" si="296">1/198</f>
        <v>5.0505050505050509E-3</v>
      </c>
      <c r="F6604">
        <v>35</v>
      </c>
      <c r="G6604">
        <f>LOG(382/(35+1))</f>
        <v>1.0257608621444214</v>
      </c>
      <c r="H6604">
        <f>0.00505050505050505*2.36190167015046</f>
        <v>1.1928796313891212E-2</v>
      </c>
      <c r="I6604">
        <v>1.192879631389124E-2</v>
      </c>
    </row>
    <row r="6605" spans="1:9" x14ac:dyDescent="0.25">
      <c r="A6605">
        <v>342</v>
      </c>
      <c r="B6605" t="s">
        <v>2408</v>
      </c>
      <c r="C6605" t="s">
        <v>48</v>
      </c>
      <c r="D6605" t="s">
        <v>1578</v>
      </c>
      <c r="E6605">
        <f t="shared" si="296"/>
        <v>5.0505050505050509E-3</v>
      </c>
      <c r="F6605">
        <v>8</v>
      </c>
      <c r="G6605">
        <f>LOG(382/(8+1))</f>
        <v>1.6278208534723839</v>
      </c>
      <c r="H6605">
        <f>0.00505050505050505*3.74819603127035</f>
        <v>1.8930282986213888E-2</v>
      </c>
      <c r="I6605">
        <v>1.8930282986213919E-2</v>
      </c>
    </row>
    <row r="6606" spans="1:9" x14ac:dyDescent="0.25">
      <c r="A6606">
        <v>342</v>
      </c>
      <c r="B6606" t="s">
        <v>2408</v>
      </c>
      <c r="C6606" t="s">
        <v>48</v>
      </c>
      <c r="D6606" t="s">
        <v>2422</v>
      </c>
      <c r="E6606">
        <f t="shared" si="296"/>
        <v>5.0505050505050509E-3</v>
      </c>
      <c r="F6606">
        <v>1</v>
      </c>
      <c r="G6606">
        <f>LOG(382/(1+1))</f>
        <v>2.2810333672477277</v>
      </c>
      <c r="H6606">
        <f>0.00505050505050505*5.25227342804663</f>
        <v>2.6526633474982977E-2</v>
      </c>
      <c r="I6606">
        <v>2.6526633474982981E-2</v>
      </c>
    </row>
    <row r="6607" spans="1:9" x14ac:dyDescent="0.25">
      <c r="A6607">
        <v>342</v>
      </c>
      <c r="B6607" t="s">
        <v>2408</v>
      </c>
      <c r="C6607" t="s">
        <v>48</v>
      </c>
      <c r="D6607" t="s">
        <v>815</v>
      </c>
      <c r="E6607">
        <f t="shared" si="296"/>
        <v>5.0505050505050509E-3</v>
      </c>
      <c r="F6607">
        <v>5</v>
      </c>
      <c r="G6607">
        <f>LOG(382/(5+1))</f>
        <v>1.803912112528065</v>
      </c>
      <c r="H6607">
        <f>0.00505050505050505*4.15366113937852</f>
        <v>2.0978086562517775E-2</v>
      </c>
      <c r="I6607">
        <v>2.0978086562517779E-2</v>
      </c>
    </row>
    <row r="6608" spans="1:9" x14ac:dyDescent="0.25">
      <c r="A6608">
        <v>342</v>
      </c>
      <c r="B6608" t="s">
        <v>2408</v>
      </c>
      <c r="C6608" t="s">
        <v>48</v>
      </c>
      <c r="D6608" t="s">
        <v>2423</v>
      </c>
      <c r="E6608">
        <f t="shared" si="296"/>
        <v>5.0505050505050509E-3</v>
      </c>
      <c r="F6608">
        <v>1</v>
      </c>
      <c r="G6608">
        <f>LOG(382/(1+1))</f>
        <v>2.2810333672477277</v>
      </c>
      <c r="H6608">
        <f>0.00505050505050505*5.25227342804663</f>
        <v>2.6526633474982977E-2</v>
      </c>
      <c r="I6608">
        <v>2.6526633474982981E-2</v>
      </c>
    </row>
    <row r="6609" spans="1:9" x14ac:dyDescent="0.25">
      <c r="A6609">
        <v>342</v>
      </c>
      <c r="B6609" t="s">
        <v>2408</v>
      </c>
      <c r="C6609" t="s">
        <v>48</v>
      </c>
      <c r="D6609" t="s">
        <v>1185</v>
      </c>
      <c r="E6609">
        <f t="shared" si="296"/>
        <v>5.0505050505050509E-3</v>
      </c>
      <c r="F6609">
        <v>9</v>
      </c>
      <c r="G6609">
        <f>LOG(382/(9+1))</f>
        <v>1.5820633629117087</v>
      </c>
      <c r="H6609">
        <f>0.00505050505050505*3.64283551561252</f>
        <v>1.83981591697602E-2</v>
      </c>
      <c r="I6609">
        <v>1.8398159169760252E-2</v>
      </c>
    </row>
    <row r="6610" spans="1:9" x14ac:dyDescent="0.25">
      <c r="A6610">
        <v>342</v>
      </c>
      <c r="B6610" t="s">
        <v>2408</v>
      </c>
      <c r="C6610" t="s">
        <v>48</v>
      </c>
      <c r="D6610" t="s">
        <v>582</v>
      </c>
      <c r="E6610">
        <f t="shared" si="296"/>
        <v>5.0505050505050509E-3</v>
      </c>
      <c r="F6610">
        <v>14</v>
      </c>
      <c r="G6610">
        <f>LOG(382/(14+1))</f>
        <v>1.4059721038560276</v>
      </c>
      <c r="H6610">
        <f>0.00505050505050505*3.23737040750436</f>
        <v>1.6350355593456361E-2</v>
      </c>
      <c r="I6610">
        <v>1.6350355593456389E-2</v>
      </c>
    </row>
    <row r="6611" spans="1:9" x14ac:dyDescent="0.25">
      <c r="A6611">
        <v>342</v>
      </c>
      <c r="B6611" t="s">
        <v>2408</v>
      </c>
      <c r="C6611" t="s">
        <v>48</v>
      </c>
      <c r="D6611" t="s">
        <v>222</v>
      </c>
      <c r="E6611">
        <f t="shared" si="296"/>
        <v>5.0505050505050509E-3</v>
      </c>
      <c r="F6611">
        <v>22</v>
      </c>
      <c r="G6611">
        <f>LOG(382/(22+1))</f>
        <v>1.2203355268941158</v>
      </c>
      <c r="H6611">
        <f>0.00505050505050505*2.80992639267742</f>
        <v>1.4191547437764745E-2</v>
      </c>
      <c r="I6611">
        <v>1.419154743776478E-2</v>
      </c>
    </row>
    <row r="6612" spans="1:9" x14ac:dyDescent="0.25">
      <c r="A6612">
        <v>342</v>
      </c>
      <c r="B6612" t="s">
        <v>2408</v>
      </c>
      <c r="C6612" t="s">
        <v>48</v>
      </c>
      <c r="D6612" t="s">
        <v>2424</v>
      </c>
      <c r="E6612">
        <f t="shared" si="296"/>
        <v>5.0505050505050509E-3</v>
      </c>
      <c r="F6612">
        <v>9</v>
      </c>
      <c r="G6612">
        <f>LOG(382/(9+1))</f>
        <v>1.5820633629117087</v>
      </c>
      <c r="H6612">
        <f>0.00505050505050505*3.64283551561252</f>
        <v>1.83981591697602E-2</v>
      </c>
      <c r="I6612">
        <v>1.8398159169760252E-2</v>
      </c>
    </row>
    <row r="6613" spans="1:9" x14ac:dyDescent="0.25">
      <c r="A6613">
        <v>342</v>
      </c>
      <c r="B6613" t="s">
        <v>2408</v>
      </c>
      <c r="C6613" t="s">
        <v>48</v>
      </c>
      <c r="D6613" t="s">
        <v>324</v>
      </c>
      <c r="E6613">
        <f t="shared" si="296"/>
        <v>5.0505050505050509E-3</v>
      </c>
      <c r="F6613">
        <v>82</v>
      </c>
      <c r="G6613">
        <f>LOG(382/(82+1))</f>
        <v>0.66298527053563483</v>
      </c>
      <c r="H6613">
        <f>0.00505050505050505*1.52658000080997</f>
        <v>7.7100000040907562E-3</v>
      </c>
      <c r="I6613">
        <v>7.7100000040907953E-3</v>
      </c>
    </row>
    <row r="6614" spans="1:9" x14ac:dyDescent="0.25">
      <c r="A6614">
        <v>342</v>
      </c>
      <c r="B6614" t="s">
        <v>2408</v>
      </c>
      <c r="C6614" t="s">
        <v>48</v>
      </c>
      <c r="D6614" t="s">
        <v>81</v>
      </c>
      <c r="E6614">
        <f t="shared" si="296"/>
        <v>5.0505050505050509E-3</v>
      </c>
      <c r="F6614">
        <v>114</v>
      </c>
      <c r="G6614">
        <f>LOG(382/(114+1))</f>
        <v>0.52136552255809698</v>
      </c>
      <c r="H6614">
        <f>0.00505050505050505*1.20048848024332</f>
        <v>6.0630731325420194E-3</v>
      </c>
      <c r="I6614">
        <v>6.0630731325420463E-3</v>
      </c>
    </row>
    <row r="6615" spans="1:9" x14ac:dyDescent="0.25">
      <c r="A6615">
        <v>342</v>
      </c>
      <c r="B6615" t="s">
        <v>2408</v>
      </c>
      <c r="C6615" t="s">
        <v>48</v>
      </c>
      <c r="D6615" t="s">
        <v>591</v>
      </c>
      <c r="E6615">
        <f t="shared" si="296"/>
        <v>5.0505050505050509E-3</v>
      </c>
      <c r="F6615">
        <v>21</v>
      </c>
      <c r="G6615">
        <f>LOG(382/(21+1))</f>
        <v>1.2396406820895025</v>
      </c>
      <c r="H6615">
        <f>0.00505050505050505*2.85437815524825</f>
        <v>1.4416051289132575E-2</v>
      </c>
      <c r="I6615">
        <v>1.441605128913262E-2</v>
      </c>
    </row>
    <row r="6616" spans="1:9" x14ac:dyDescent="0.25">
      <c r="A6616">
        <v>342</v>
      </c>
      <c r="B6616" t="s">
        <v>2408</v>
      </c>
      <c r="C6616" t="s">
        <v>48</v>
      </c>
      <c r="D6616" t="s">
        <v>1985</v>
      </c>
      <c r="E6616">
        <f t="shared" si="296"/>
        <v>5.0505050505050509E-3</v>
      </c>
      <c r="F6616">
        <v>8</v>
      </c>
      <c r="G6616">
        <f>LOG(382/(8+1))</f>
        <v>1.6278208534723839</v>
      </c>
      <c r="H6616">
        <f>0.00505050505050505*3.74819603127035</f>
        <v>1.8930282986213888E-2</v>
      </c>
      <c r="I6616">
        <v>1.8930282986213919E-2</v>
      </c>
    </row>
    <row r="6617" spans="1:9" x14ac:dyDescent="0.25">
      <c r="A6617">
        <v>342</v>
      </c>
      <c r="B6617" t="s">
        <v>2408</v>
      </c>
      <c r="C6617" t="s">
        <v>48</v>
      </c>
      <c r="D6617" t="s">
        <v>2425</v>
      </c>
      <c r="E6617">
        <f t="shared" si="296"/>
        <v>5.0505050505050509E-3</v>
      </c>
      <c r="F6617">
        <v>1</v>
      </c>
      <c r="G6617">
        <f>LOG(382/(1+1))</f>
        <v>2.2810333672477277</v>
      </c>
      <c r="H6617">
        <f>0.00505050505050505*5.25227342804663</f>
        <v>2.6526633474982977E-2</v>
      </c>
      <c r="I6617">
        <v>2.6526633474982981E-2</v>
      </c>
    </row>
    <row r="6618" spans="1:9" x14ac:dyDescent="0.25">
      <c r="A6618">
        <v>342</v>
      </c>
      <c r="B6618" t="s">
        <v>2408</v>
      </c>
      <c r="C6618" t="s">
        <v>48</v>
      </c>
      <c r="D6618" t="s">
        <v>593</v>
      </c>
      <c r="E6618">
        <f t="shared" si="296"/>
        <v>5.0505050505050509E-3</v>
      </c>
      <c r="F6618">
        <v>30</v>
      </c>
      <c r="G6618">
        <f>LOG(382/(30+1))</f>
        <v>1.090701669077436</v>
      </c>
      <c r="H6618">
        <f>0.00505050505050505*2.51143340412142</f>
        <v>1.2684007091522323E-2</v>
      </c>
      <c r="I6618">
        <v>1.268400709152237E-2</v>
      </c>
    </row>
    <row r="6619" spans="1:9" x14ac:dyDescent="0.25">
      <c r="A6619">
        <v>342</v>
      </c>
      <c r="B6619" t="s">
        <v>2408</v>
      </c>
      <c r="C6619" t="s">
        <v>48</v>
      </c>
      <c r="D6619" t="s">
        <v>594</v>
      </c>
      <c r="E6619">
        <f t="shared" si="296"/>
        <v>5.0505050505050509E-3</v>
      </c>
      <c r="F6619">
        <v>36</v>
      </c>
      <c r="G6619">
        <f>LOG(382/(36+1))</f>
        <v>1.0138616388447137</v>
      </c>
      <c r="H6619">
        <f>0.00505050505050505*2.33450269596235</f>
        <v>1.1790417656375504E-2</v>
      </c>
      <c r="I6619">
        <v>1.179041765637551E-2</v>
      </c>
    </row>
    <row r="6620" spans="1:9" x14ac:dyDescent="0.25">
      <c r="A6620">
        <v>342</v>
      </c>
      <c r="B6620" t="s">
        <v>2408</v>
      </c>
      <c r="C6620" t="s">
        <v>48</v>
      </c>
      <c r="D6620" t="s">
        <v>216</v>
      </c>
      <c r="E6620">
        <f t="shared" si="296"/>
        <v>5.0505050505050509E-3</v>
      </c>
      <c r="F6620">
        <v>63</v>
      </c>
      <c r="G6620">
        <f>LOG(382/(63+1))</f>
        <v>0.7758833889278216</v>
      </c>
      <c r="H6620">
        <f>0.00505050505050505*1.7865375252469</f>
        <v>9.0229167941762618E-3</v>
      </c>
      <c r="I6620">
        <v>9.0229167941762809E-3</v>
      </c>
    </row>
    <row r="6621" spans="1:9" x14ac:dyDescent="0.25">
      <c r="A6621">
        <v>342</v>
      </c>
      <c r="B6621" t="s">
        <v>2408</v>
      </c>
      <c r="C6621" t="s">
        <v>48</v>
      </c>
      <c r="D6621" t="s">
        <v>119</v>
      </c>
      <c r="E6621">
        <f t="shared" si="296"/>
        <v>5.0505050505050509E-3</v>
      </c>
      <c r="F6621">
        <v>79</v>
      </c>
      <c r="G6621">
        <f>LOG(382/(79+1))</f>
        <v>0.67897337591976514</v>
      </c>
      <c r="H6621">
        <f>0.00505050505050505*1.56339397393269</f>
        <v>7.8959291612762123E-3</v>
      </c>
      <c r="I6621">
        <v>7.8959291612762314E-3</v>
      </c>
    </row>
    <row r="6622" spans="1:9" x14ac:dyDescent="0.25">
      <c r="A6622">
        <v>342</v>
      </c>
      <c r="B6622" t="s">
        <v>2408</v>
      </c>
      <c r="C6622" t="s">
        <v>48</v>
      </c>
      <c r="D6622" t="s">
        <v>747</v>
      </c>
      <c r="E6622">
        <f>2/198</f>
        <v>1.0101010101010102E-2</v>
      </c>
      <c r="F6622">
        <v>14</v>
      </c>
      <c r="G6622">
        <f>LOG(382/(14+1))</f>
        <v>1.4059721038560276</v>
      </c>
      <c r="H6622">
        <f>0.0101010101010101*3.23737040750436</f>
        <v>3.2700711186912722E-2</v>
      </c>
      <c r="I6622">
        <v>3.2700711186912777E-2</v>
      </c>
    </row>
    <row r="6623" spans="1:9" x14ac:dyDescent="0.25">
      <c r="A6623">
        <v>342</v>
      </c>
      <c r="B6623" t="s">
        <v>2408</v>
      </c>
      <c r="C6623" t="s">
        <v>48</v>
      </c>
      <c r="D6623" t="s">
        <v>714</v>
      </c>
      <c r="E6623">
        <f>1/198</f>
        <v>5.0505050505050509E-3</v>
      </c>
      <c r="F6623">
        <v>12</v>
      </c>
      <c r="G6623">
        <f>LOG(382/(12+1))</f>
        <v>1.468120010604872</v>
      </c>
      <c r="H6623">
        <f>0.00505050505050505*3.38047125114503</f>
        <v>1.7073087126995099E-2</v>
      </c>
      <c r="I6623">
        <v>1.7073087126995141E-2</v>
      </c>
    </row>
    <row r="6624" spans="1:9" x14ac:dyDescent="0.25">
      <c r="A6624">
        <v>342</v>
      </c>
      <c r="B6624" t="s">
        <v>2408</v>
      </c>
      <c r="C6624" t="s">
        <v>48</v>
      </c>
      <c r="D6624" t="s">
        <v>746</v>
      </c>
      <c r="E6624">
        <f>1/198</f>
        <v>5.0505050505050509E-3</v>
      </c>
      <c r="F6624">
        <v>58</v>
      </c>
      <c r="G6624">
        <f>LOG(382/(58+1))</f>
        <v>0.81121135126956456</v>
      </c>
      <c r="H6624">
        <f>0.00505050505050505*1.86788316470085</f>
        <v>9.4337533570749994E-3</v>
      </c>
      <c r="I6624">
        <v>9.4337533570750289E-3</v>
      </c>
    </row>
    <row r="6625" spans="1:9" x14ac:dyDescent="0.25">
      <c r="A6625">
        <v>342</v>
      </c>
      <c r="B6625" t="s">
        <v>2408</v>
      </c>
      <c r="C6625" t="s">
        <v>48</v>
      </c>
      <c r="D6625" t="s">
        <v>748</v>
      </c>
      <c r="E6625">
        <f>1/198</f>
        <v>5.0505050505050509E-3</v>
      </c>
      <c r="F6625">
        <v>5</v>
      </c>
      <c r="G6625">
        <f>LOG(382/(5+1))</f>
        <v>1.803912112528065</v>
      </c>
      <c r="H6625">
        <f>0.00505050505050505*4.15366113937852</f>
        <v>2.0978086562517775E-2</v>
      </c>
      <c r="I6625">
        <v>2.0978086562517779E-2</v>
      </c>
    </row>
    <row r="6626" spans="1:9" x14ac:dyDescent="0.25">
      <c r="A6626">
        <v>342</v>
      </c>
      <c r="B6626" t="s">
        <v>2408</v>
      </c>
      <c r="C6626" t="s">
        <v>48</v>
      </c>
      <c r="D6626" t="s">
        <v>2426</v>
      </c>
      <c r="E6626">
        <f>1/198</f>
        <v>5.0505050505050509E-3</v>
      </c>
      <c r="F6626">
        <v>1</v>
      </c>
      <c r="G6626">
        <f>LOG(382/(1+1))</f>
        <v>2.2810333672477277</v>
      </c>
      <c r="H6626">
        <f>0.00505050505050505*5.25227342804663</f>
        <v>2.6526633474982977E-2</v>
      </c>
      <c r="I6626">
        <v>2.6526633474982981E-2</v>
      </c>
    </row>
    <row r="6627" spans="1:9" x14ac:dyDescent="0.25">
      <c r="A6627">
        <v>342</v>
      </c>
      <c r="B6627" t="s">
        <v>2408</v>
      </c>
      <c r="C6627" t="s">
        <v>48</v>
      </c>
      <c r="D6627" t="s">
        <v>2427</v>
      </c>
      <c r="E6627">
        <f>2/198</f>
        <v>1.0101010101010102E-2</v>
      </c>
      <c r="F6627">
        <v>3</v>
      </c>
      <c r="G6627">
        <f>LOG(382/(3+1))</f>
        <v>1.9800033715837464</v>
      </c>
      <c r="H6627">
        <f>0.0101010101010101*4.55912624748668</f>
        <v>4.6051780277643228E-2</v>
      </c>
      <c r="I6627">
        <v>4.6051780277643277E-2</v>
      </c>
    </row>
    <row r="6628" spans="1:9" x14ac:dyDescent="0.25">
      <c r="A6628">
        <v>342</v>
      </c>
      <c r="B6628" t="s">
        <v>2408</v>
      </c>
      <c r="C6628" t="s">
        <v>48</v>
      </c>
      <c r="D6628" t="s">
        <v>1591</v>
      </c>
      <c r="E6628">
        <f>2/198</f>
        <v>1.0101010101010102E-2</v>
      </c>
      <c r="F6628">
        <v>3</v>
      </c>
      <c r="G6628">
        <f>LOG(382/(3+1))</f>
        <v>1.9800033715837464</v>
      </c>
      <c r="H6628">
        <f>0.0101010101010101*4.55912624748668</f>
        <v>4.6051780277643228E-2</v>
      </c>
      <c r="I6628">
        <v>4.6051780277643277E-2</v>
      </c>
    </row>
    <row r="6629" spans="1:9" x14ac:dyDescent="0.25">
      <c r="A6629">
        <v>342</v>
      </c>
      <c r="B6629" t="s">
        <v>2408</v>
      </c>
      <c r="C6629" t="s">
        <v>48</v>
      </c>
      <c r="D6629" t="s">
        <v>338</v>
      </c>
      <c r="E6629">
        <f>1/198</f>
        <v>5.0505050505050509E-3</v>
      </c>
      <c r="F6629">
        <v>54</v>
      </c>
      <c r="G6629">
        <f>LOG(382/(54+1))</f>
        <v>0.84170067341746491</v>
      </c>
      <c r="H6629">
        <f>0.00505050505050505*1.9380874233741</f>
        <v>9.7883203200712105E-3</v>
      </c>
      <c r="I6629">
        <v>9.7883203200712348E-3</v>
      </c>
    </row>
    <row r="6630" spans="1:9" x14ac:dyDescent="0.25">
      <c r="A6630">
        <v>342</v>
      </c>
      <c r="B6630" t="s">
        <v>2408</v>
      </c>
      <c r="C6630" t="s">
        <v>48</v>
      </c>
      <c r="D6630" t="s">
        <v>77</v>
      </c>
      <c r="E6630">
        <f>1/198</f>
        <v>5.0505050505050509E-3</v>
      </c>
      <c r="F6630">
        <v>148</v>
      </c>
      <c r="G6630">
        <f>LOG(382/(148+1))</f>
        <v>0.40887709449943471</v>
      </c>
      <c r="H6630">
        <f>0.00505050505050505*0.941474302661116</f>
        <v>4.754920720510686E-3</v>
      </c>
      <c r="I6630">
        <v>4.7549207205106877E-3</v>
      </c>
    </row>
    <row r="6631" spans="1:9" x14ac:dyDescent="0.25">
      <c r="A6631">
        <v>342</v>
      </c>
      <c r="B6631" t="s">
        <v>2408</v>
      </c>
      <c r="C6631" t="s">
        <v>48</v>
      </c>
      <c r="D6631" t="s">
        <v>1478</v>
      </c>
      <c r="E6631">
        <f>2/198</f>
        <v>1.0101010101010102E-2</v>
      </c>
      <c r="F6631">
        <v>17</v>
      </c>
      <c r="G6631">
        <f>LOG(382/(17+1))</f>
        <v>1.3267908578084027</v>
      </c>
      <c r="H6631">
        <f>0.0101010101010101*3.05504885071041</f>
        <v>3.0859079300105147E-2</v>
      </c>
      <c r="I6631">
        <v>3.0859079300105161E-2</v>
      </c>
    </row>
    <row r="6632" spans="1:9" x14ac:dyDescent="0.25">
      <c r="A6632">
        <v>342</v>
      </c>
      <c r="B6632" t="s">
        <v>2408</v>
      </c>
      <c r="C6632" t="s">
        <v>48</v>
      </c>
      <c r="D6632" t="s">
        <v>2428</v>
      </c>
      <c r="E6632">
        <f>1/198</f>
        <v>5.0505050505050509E-3</v>
      </c>
      <c r="F6632">
        <v>1</v>
      </c>
      <c r="G6632">
        <f>LOG(382/(1+1))</f>
        <v>2.2810333672477277</v>
      </c>
      <c r="H6632">
        <f>0.00505050505050505*5.25227342804663</f>
        <v>2.6526633474982977E-2</v>
      </c>
      <c r="I6632">
        <v>2.6526633474982981E-2</v>
      </c>
    </row>
    <row r="6633" spans="1:9" x14ac:dyDescent="0.25">
      <c r="A6633">
        <v>342</v>
      </c>
      <c r="B6633" t="s">
        <v>2408</v>
      </c>
      <c r="C6633" t="s">
        <v>48</v>
      </c>
      <c r="D6633" t="s">
        <v>779</v>
      </c>
      <c r="E6633">
        <f>2/198</f>
        <v>1.0101010101010102E-2</v>
      </c>
      <c r="F6633">
        <v>25</v>
      </c>
      <c r="G6633">
        <f>LOG(382/(25+1))</f>
        <v>1.1670900149408907</v>
      </c>
      <c r="H6633">
        <f>0.0101010101010101*2.68732407058509</f>
        <v>2.7144687581667572E-2</v>
      </c>
      <c r="I6633">
        <v>2.7144687581667611E-2</v>
      </c>
    </row>
    <row r="6634" spans="1:9" x14ac:dyDescent="0.25">
      <c r="A6634">
        <v>342</v>
      </c>
      <c r="B6634" t="s">
        <v>2408</v>
      </c>
      <c r="C6634" t="s">
        <v>48</v>
      </c>
      <c r="D6634" t="s">
        <v>744</v>
      </c>
      <c r="E6634">
        <f>2/198</f>
        <v>1.0101010101010102E-2</v>
      </c>
      <c r="F6634">
        <v>28</v>
      </c>
      <c r="G6634">
        <f>LOG(382/(28+1))</f>
        <v>1.1196653650127526</v>
      </c>
      <c r="H6634">
        <f>0.0101010101010101*2.5781247786201</f>
        <v>2.6041664430506057E-2</v>
      </c>
      <c r="I6634">
        <v>2.6041664430506071E-2</v>
      </c>
    </row>
    <row r="6635" spans="1:9" x14ac:dyDescent="0.25">
      <c r="A6635">
        <v>342</v>
      </c>
      <c r="B6635" t="s">
        <v>2408</v>
      </c>
      <c r="C6635" t="s">
        <v>48</v>
      </c>
      <c r="D6635" t="s">
        <v>767</v>
      </c>
      <c r="E6635">
        <f t="shared" ref="E6635:E6640" si="297">1/198</f>
        <v>5.0505050505050509E-3</v>
      </c>
      <c r="F6635">
        <v>47</v>
      </c>
      <c r="G6635">
        <f>LOG(382/(47+1))</f>
        <v>0.90082212553612151</v>
      </c>
      <c r="H6635">
        <f>0.00505050505050505*2.07421959769868</f>
        <v>1.0475856554033738E-2</v>
      </c>
      <c r="I6635">
        <v>1.047585655403376E-2</v>
      </c>
    </row>
    <row r="6636" spans="1:9" x14ac:dyDescent="0.25">
      <c r="A6636">
        <v>342</v>
      </c>
      <c r="B6636" t="s">
        <v>2408</v>
      </c>
      <c r="C6636" t="s">
        <v>48</v>
      </c>
      <c r="D6636" t="s">
        <v>256</v>
      </c>
      <c r="E6636">
        <f t="shared" si="297"/>
        <v>5.0505050505050509E-3</v>
      </c>
      <c r="F6636">
        <v>28</v>
      </c>
      <c r="G6636">
        <f>LOG(382/(28+1))</f>
        <v>1.1196653650127526</v>
      </c>
      <c r="H6636">
        <f>0.00505050505050505*2.5781247786201</f>
        <v>1.3020832215253028E-2</v>
      </c>
      <c r="I6636">
        <v>1.3020832215253041E-2</v>
      </c>
    </row>
    <row r="6637" spans="1:9" x14ac:dyDescent="0.25">
      <c r="A6637">
        <v>342</v>
      </c>
      <c r="B6637" t="s">
        <v>2408</v>
      </c>
      <c r="C6637" t="s">
        <v>48</v>
      </c>
      <c r="D6637" t="s">
        <v>753</v>
      </c>
      <c r="E6637">
        <f t="shared" si="297"/>
        <v>5.0505050505050509E-3</v>
      </c>
      <c r="F6637">
        <v>19</v>
      </c>
      <c r="G6637">
        <f>LOG(382/(19+1))</f>
        <v>1.2810333672477277</v>
      </c>
      <c r="H6637">
        <f>0.00505050505050505*2.94968833505258</f>
        <v>1.4897415833598887E-2</v>
      </c>
      <c r="I6637">
        <v>1.4897415833598909E-2</v>
      </c>
    </row>
    <row r="6638" spans="1:9" x14ac:dyDescent="0.25">
      <c r="A6638">
        <v>342</v>
      </c>
      <c r="B6638" t="s">
        <v>2408</v>
      </c>
      <c r="C6638" t="s">
        <v>48</v>
      </c>
      <c r="D6638" t="s">
        <v>2429</v>
      </c>
      <c r="E6638">
        <f t="shared" si="297"/>
        <v>5.0505050505050509E-3</v>
      </c>
      <c r="F6638">
        <v>1</v>
      </c>
      <c r="G6638">
        <f>LOG(382/(1+1))</f>
        <v>2.2810333672477277</v>
      </c>
      <c r="H6638">
        <f>0.00505050505050505*5.25227342804663</f>
        <v>2.6526633474982977E-2</v>
      </c>
      <c r="I6638">
        <v>2.6526633474982981E-2</v>
      </c>
    </row>
    <row r="6639" spans="1:9" x14ac:dyDescent="0.25">
      <c r="A6639">
        <v>342</v>
      </c>
      <c r="B6639" t="s">
        <v>2408</v>
      </c>
      <c r="C6639" t="s">
        <v>48</v>
      </c>
      <c r="D6639" t="s">
        <v>1626</v>
      </c>
      <c r="E6639">
        <f t="shared" si="297"/>
        <v>5.0505050505050509E-3</v>
      </c>
      <c r="F6639">
        <v>32</v>
      </c>
      <c r="G6639">
        <f>LOG(382/(32+1))</f>
        <v>1.0635494230338212</v>
      </c>
      <c r="H6639">
        <f>0.00505050505050505*2.44891304714009</f>
        <v>1.2368247712828738E-2</v>
      </c>
      <c r="I6639">
        <v>1.236824771282876E-2</v>
      </c>
    </row>
    <row r="6640" spans="1:9" x14ac:dyDescent="0.25">
      <c r="A6640">
        <v>342</v>
      </c>
      <c r="B6640" t="s">
        <v>2408</v>
      </c>
      <c r="C6640" t="s">
        <v>48</v>
      </c>
      <c r="D6640" t="s">
        <v>236</v>
      </c>
      <c r="E6640">
        <f t="shared" si="297"/>
        <v>5.0505050505050509E-3</v>
      </c>
      <c r="F6640">
        <v>87</v>
      </c>
      <c r="G6640">
        <f>LOG(382/(87+1))</f>
        <v>0.63758069076154011</v>
      </c>
      <c r="H6640">
        <f>0.00505050505050505*1.46808379412836</f>
        <v>7.4145646168098985E-3</v>
      </c>
      <c r="I6640">
        <v>7.4145646168099436E-3</v>
      </c>
    </row>
    <row r="6641" spans="1:9" x14ac:dyDescent="0.25">
      <c r="A6641">
        <v>342</v>
      </c>
      <c r="B6641" t="s">
        <v>2408</v>
      </c>
      <c r="C6641" t="s">
        <v>48</v>
      </c>
      <c r="D6641" t="s">
        <v>805</v>
      </c>
      <c r="E6641">
        <f>2/198</f>
        <v>1.0101010101010102E-2</v>
      </c>
      <c r="F6641">
        <v>19</v>
      </c>
      <c r="G6641">
        <f>LOG(382/(19+1))</f>
        <v>1.2810333672477277</v>
      </c>
      <c r="H6641">
        <f>0.0101010101010101*2.94968833505258</f>
        <v>2.9794831667197774E-2</v>
      </c>
      <c r="I6641">
        <v>2.9794831667197829E-2</v>
      </c>
    </row>
    <row r="6642" spans="1:9" x14ac:dyDescent="0.25">
      <c r="A6642">
        <v>342</v>
      </c>
      <c r="B6642" t="s">
        <v>2408</v>
      </c>
      <c r="C6642" t="s">
        <v>48</v>
      </c>
      <c r="D6642" t="s">
        <v>438</v>
      </c>
      <c r="E6642">
        <f t="shared" ref="E6642:E6648" si="298">1/198</f>
        <v>5.0505050505050509E-3</v>
      </c>
      <c r="F6642">
        <v>37</v>
      </c>
      <c r="G6642">
        <f>LOG(382/(37+1))</f>
        <v>1.0022797662948986</v>
      </c>
      <c r="H6642">
        <f>0.00505050505050505*2.30783444888018</f>
        <v>1.1655729539798888E-2</v>
      </c>
      <c r="I6642">
        <v>1.165572953979894E-2</v>
      </c>
    </row>
    <row r="6643" spans="1:9" x14ac:dyDescent="0.25">
      <c r="A6643">
        <v>342</v>
      </c>
      <c r="B6643" t="s">
        <v>2408</v>
      </c>
      <c r="C6643" t="s">
        <v>48</v>
      </c>
      <c r="D6643" t="s">
        <v>596</v>
      </c>
      <c r="E6643">
        <f t="shared" si="298"/>
        <v>5.0505050505050509E-3</v>
      </c>
      <c r="F6643">
        <v>60</v>
      </c>
      <c r="G6643">
        <f>LOG(382/(60+1))</f>
        <v>0.79673352790094176</v>
      </c>
      <c r="H6643">
        <f>0.00505050505050505*1.83454674443326</f>
        <v>9.265387598147776E-3</v>
      </c>
      <c r="I6643">
        <v>9.2653875981477986E-3</v>
      </c>
    </row>
    <row r="6644" spans="1:9" x14ac:dyDescent="0.25">
      <c r="A6644">
        <v>342</v>
      </c>
      <c r="B6644" t="s">
        <v>2408</v>
      </c>
      <c r="C6644" t="s">
        <v>48</v>
      </c>
      <c r="D6644" t="s">
        <v>597</v>
      </c>
      <c r="E6644">
        <f t="shared" si="298"/>
        <v>5.0505050505050509E-3</v>
      </c>
      <c r="F6644">
        <v>51</v>
      </c>
      <c r="G6644">
        <f>LOG(382/(51+1))</f>
        <v>0.86606001927690957</v>
      </c>
      <c r="H6644">
        <f>0.00505050505050505*1.99417689002514</f>
        <v>1.0071600454672423E-2</v>
      </c>
      <c r="I6644">
        <v>1.0071600454672459E-2</v>
      </c>
    </row>
    <row r="6645" spans="1:9" x14ac:dyDescent="0.25">
      <c r="A6645">
        <v>342</v>
      </c>
      <c r="B6645" t="s">
        <v>2408</v>
      </c>
      <c r="C6645" t="s">
        <v>48</v>
      </c>
      <c r="D6645" t="s">
        <v>1953</v>
      </c>
      <c r="E6645">
        <f t="shared" si="298"/>
        <v>5.0505050505050509E-3</v>
      </c>
      <c r="F6645">
        <v>11</v>
      </c>
      <c r="G6645">
        <f>LOG(382/(11+1))</f>
        <v>1.5028821168640838</v>
      </c>
      <c r="H6645">
        <f>0.00505050505050505*3.46051395881857</f>
        <v>1.7477343226356412E-2</v>
      </c>
      <c r="I6645">
        <v>1.747734322635644E-2</v>
      </c>
    </row>
    <row r="6646" spans="1:9" x14ac:dyDescent="0.25">
      <c r="A6646">
        <v>342</v>
      </c>
      <c r="B6646" t="s">
        <v>2408</v>
      </c>
      <c r="C6646" t="s">
        <v>48</v>
      </c>
      <c r="D6646" t="s">
        <v>542</v>
      </c>
      <c r="E6646">
        <f t="shared" si="298"/>
        <v>5.0505050505050509E-3</v>
      </c>
      <c r="F6646">
        <v>42</v>
      </c>
      <c r="G6646">
        <f>LOG(382/(42+1))</f>
        <v>0.94859490733212215</v>
      </c>
      <c r="H6646">
        <f>0.00505050505050505*2.18422049291301</f>
        <v>1.1031416630873786E-2</v>
      </c>
      <c r="I6646">
        <v>1.10314166308738E-2</v>
      </c>
    </row>
    <row r="6647" spans="1:9" x14ac:dyDescent="0.25">
      <c r="A6647">
        <v>342</v>
      </c>
      <c r="B6647" t="s">
        <v>2408</v>
      </c>
      <c r="C6647" t="s">
        <v>48</v>
      </c>
      <c r="D6647" t="s">
        <v>2430</v>
      </c>
      <c r="E6647">
        <f t="shared" si="298"/>
        <v>5.0505050505050509E-3</v>
      </c>
      <c r="F6647">
        <v>1</v>
      </c>
      <c r="G6647">
        <f>LOG(382/(1+1))</f>
        <v>2.2810333672477277</v>
      </c>
      <c r="H6647">
        <f>0.00505050505050505*5.25227342804663</f>
        <v>2.6526633474982977E-2</v>
      </c>
      <c r="I6647">
        <v>2.6526633474982981E-2</v>
      </c>
    </row>
    <row r="6648" spans="1:9" x14ac:dyDescent="0.25">
      <c r="A6648">
        <v>342</v>
      </c>
      <c r="B6648" t="s">
        <v>2408</v>
      </c>
      <c r="C6648" t="s">
        <v>48</v>
      </c>
      <c r="D6648" t="s">
        <v>1859</v>
      </c>
      <c r="E6648">
        <f t="shared" si="298"/>
        <v>5.0505050505050509E-3</v>
      </c>
      <c r="F6648">
        <v>7</v>
      </c>
      <c r="G6648">
        <f>LOG(382/(7+1))</f>
        <v>1.6789733759197651</v>
      </c>
      <c r="H6648">
        <f>0.00505050505050505*3.86597906692673</f>
        <v>1.9525146802660251E-2</v>
      </c>
      <c r="I6648">
        <v>1.95251468026603E-2</v>
      </c>
    </row>
    <row r="6649" spans="1:9" x14ac:dyDescent="0.25">
      <c r="A6649">
        <v>342</v>
      </c>
      <c r="B6649" t="s">
        <v>2408</v>
      </c>
      <c r="C6649" t="s">
        <v>48</v>
      </c>
      <c r="D6649" t="s">
        <v>283</v>
      </c>
      <c r="E6649">
        <f>2/198</f>
        <v>1.0101010101010102E-2</v>
      </c>
      <c r="F6649">
        <v>16</v>
      </c>
      <c r="G6649">
        <f>LOG(382/(16+1))</f>
        <v>1.3516144415334348</v>
      </c>
      <c r="H6649">
        <f>0.0101010101010101*3.11220726455035</f>
        <v>3.1436437015660096E-2</v>
      </c>
      <c r="I6649">
        <v>3.1436437015660193E-2</v>
      </c>
    </row>
    <row r="6650" spans="1:9" x14ac:dyDescent="0.25">
      <c r="A6650">
        <v>342</v>
      </c>
      <c r="B6650" t="s">
        <v>2408</v>
      </c>
      <c r="C6650" t="s">
        <v>48</v>
      </c>
      <c r="D6650" t="s">
        <v>1176</v>
      </c>
      <c r="E6650">
        <f t="shared" ref="E6650:E6656" si="299">1/198</f>
        <v>5.0505050505050509E-3</v>
      </c>
      <c r="F6650">
        <v>15</v>
      </c>
      <c r="G6650">
        <f>LOG(382/(15+1))</f>
        <v>1.3779433802557839</v>
      </c>
      <c r="H6650">
        <f>0.00505050505050505*3.17283188636679</f>
        <v>1.602440346649894E-2</v>
      </c>
      <c r="I6650">
        <v>1.6024403466498961E-2</v>
      </c>
    </row>
    <row r="6651" spans="1:9" x14ac:dyDescent="0.25">
      <c r="A6651">
        <v>342</v>
      </c>
      <c r="B6651" t="s">
        <v>2408</v>
      </c>
      <c r="C6651" t="s">
        <v>48</v>
      </c>
      <c r="D6651" t="s">
        <v>2301</v>
      </c>
      <c r="E6651">
        <f t="shared" si="299"/>
        <v>5.0505050505050509E-3</v>
      </c>
      <c r="F6651">
        <v>6</v>
      </c>
      <c r="G6651">
        <f>LOG(382/(6+1))</f>
        <v>1.736965322897452</v>
      </c>
      <c r="H6651">
        <f>0.00505050505050505*3.99951045955126</f>
        <v>2.0199547775511414E-2</v>
      </c>
      <c r="I6651">
        <v>2.0199547775511421E-2</v>
      </c>
    </row>
    <row r="6652" spans="1:9" x14ac:dyDescent="0.25">
      <c r="A6652">
        <v>342</v>
      </c>
      <c r="B6652" t="s">
        <v>2408</v>
      </c>
      <c r="C6652" t="s">
        <v>48</v>
      </c>
      <c r="D6652" t="s">
        <v>2431</v>
      </c>
      <c r="E6652">
        <f t="shared" si="299"/>
        <v>5.0505050505050509E-3</v>
      </c>
      <c r="F6652">
        <v>12</v>
      </c>
      <c r="G6652">
        <f>LOG(382/(12+1))</f>
        <v>1.468120010604872</v>
      </c>
      <c r="H6652">
        <f>0.00505050505050505*3.38047125114503</f>
        <v>1.7073087126995099E-2</v>
      </c>
      <c r="I6652">
        <v>1.7073087126995141E-2</v>
      </c>
    </row>
    <row r="6653" spans="1:9" x14ac:dyDescent="0.25">
      <c r="A6653">
        <v>342</v>
      </c>
      <c r="B6653" t="s">
        <v>2408</v>
      </c>
      <c r="C6653" t="s">
        <v>48</v>
      </c>
      <c r="D6653" t="s">
        <v>754</v>
      </c>
      <c r="E6653">
        <f t="shared" si="299"/>
        <v>5.0505050505050509E-3</v>
      </c>
      <c r="F6653">
        <v>111</v>
      </c>
      <c r="G6653">
        <f>LOG(382/(111+1))</f>
        <v>0.53284534024152708</v>
      </c>
      <c r="H6653">
        <f>0.00505050505050505*1.22692173731148</f>
        <v>6.1965744308660605E-3</v>
      </c>
      <c r="I6653">
        <v>6.1965744308660649E-3</v>
      </c>
    </row>
    <row r="6654" spans="1:9" x14ac:dyDescent="0.25">
      <c r="A6654">
        <v>342</v>
      </c>
      <c r="B6654" t="s">
        <v>2408</v>
      </c>
      <c r="C6654" t="s">
        <v>48</v>
      </c>
      <c r="D6654" t="s">
        <v>309</v>
      </c>
      <c r="E6654">
        <f t="shared" si="299"/>
        <v>5.0505050505050509E-3</v>
      </c>
      <c r="F6654">
        <v>25</v>
      </c>
      <c r="G6654">
        <f>LOG(382/(25+1))</f>
        <v>1.1670900149408907</v>
      </c>
      <c r="H6654">
        <f>0.00505050505050505*2.68732407058509</f>
        <v>1.3572343790833786E-2</v>
      </c>
      <c r="I6654">
        <v>1.357234379083381E-2</v>
      </c>
    </row>
    <row r="6655" spans="1:9" x14ac:dyDescent="0.25">
      <c r="A6655">
        <v>342</v>
      </c>
      <c r="B6655" t="s">
        <v>2408</v>
      </c>
      <c r="C6655" t="s">
        <v>48</v>
      </c>
      <c r="D6655" t="s">
        <v>776</v>
      </c>
      <c r="E6655">
        <f t="shared" si="299"/>
        <v>5.0505050505050509E-3</v>
      </c>
      <c r="F6655">
        <v>15</v>
      </c>
      <c r="G6655">
        <f>LOG(382/(15+1))</f>
        <v>1.3779433802557839</v>
      </c>
      <c r="H6655">
        <f>0.00505050505050505*3.17283188636679</f>
        <v>1.602440346649894E-2</v>
      </c>
      <c r="I6655">
        <v>1.6024403466498961E-2</v>
      </c>
    </row>
    <row r="6656" spans="1:9" x14ac:dyDescent="0.25">
      <c r="A6656">
        <v>342</v>
      </c>
      <c r="B6656" t="s">
        <v>2408</v>
      </c>
      <c r="C6656" t="s">
        <v>48</v>
      </c>
      <c r="D6656" t="s">
        <v>2432</v>
      </c>
      <c r="E6656">
        <f t="shared" si="299"/>
        <v>5.0505050505050509E-3</v>
      </c>
      <c r="F6656">
        <v>1</v>
      </c>
      <c r="G6656">
        <f>LOG(382/(1+1))</f>
        <v>2.2810333672477277</v>
      </c>
      <c r="H6656">
        <f>0.00505050505050505*5.25227342804663</f>
        <v>2.6526633474982977E-2</v>
      </c>
      <c r="I6656">
        <v>2.6526633474982981E-2</v>
      </c>
    </row>
    <row r="6657" spans="1:9" x14ac:dyDescent="0.25">
      <c r="A6657">
        <v>342</v>
      </c>
      <c r="B6657" t="s">
        <v>2408</v>
      </c>
      <c r="C6657" t="s">
        <v>48</v>
      </c>
      <c r="D6657" t="s">
        <v>388</v>
      </c>
      <c r="E6657">
        <f>2/198</f>
        <v>1.0101010101010102E-2</v>
      </c>
      <c r="F6657">
        <v>44</v>
      </c>
      <c r="G6657">
        <f>LOG(382/(44+1))</f>
        <v>0.92885084913636506</v>
      </c>
      <c r="H6657">
        <f>0.0101010101010101*2.13875811883625</f>
        <v>2.1603617361982321E-2</v>
      </c>
      <c r="I6657">
        <v>2.160361736198238E-2</v>
      </c>
    </row>
    <row r="6658" spans="1:9" x14ac:dyDescent="0.25">
      <c r="A6658">
        <v>342</v>
      </c>
      <c r="B6658" t="s">
        <v>2408</v>
      </c>
      <c r="C6658" t="s">
        <v>48</v>
      </c>
      <c r="D6658" t="s">
        <v>2433</v>
      </c>
      <c r="E6658">
        <f>1/198</f>
        <v>5.0505050505050509E-3</v>
      </c>
      <c r="F6658">
        <v>2</v>
      </c>
      <c r="G6658">
        <f>LOG(382/(2+1))</f>
        <v>2.1049421081920463</v>
      </c>
      <c r="H6658">
        <f>0.00505050505050505*4.84680831993846</f>
        <v>2.447882989867909E-2</v>
      </c>
      <c r="I6658">
        <v>2.4478829898679121E-2</v>
      </c>
    </row>
    <row r="6659" spans="1:9" x14ac:dyDescent="0.25">
      <c r="A6659">
        <v>342</v>
      </c>
      <c r="B6659" t="s">
        <v>2408</v>
      </c>
      <c r="C6659" t="s">
        <v>48</v>
      </c>
      <c r="D6659" t="s">
        <v>82</v>
      </c>
      <c r="E6659">
        <f>1/198</f>
        <v>5.0505050505050509E-3</v>
      </c>
      <c r="F6659">
        <v>92</v>
      </c>
      <c r="G6659">
        <f>LOG(382/(92+1))</f>
        <v>0.61358041435777355</v>
      </c>
      <c r="H6659">
        <f>0.00505050505050505*1.41282111545331</f>
        <v>7.1354601790571204E-3</v>
      </c>
      <c r="I6659">
        <v>7.1354601790571681E-3</v>
      </c>
    </row>
    <row r="6660" spans="1:9" x14ac:dyDescent="0.25">
      <c r="A6660">
        <v>342</v>
      </c>
      <c r="B6660" t="s">
        <v>2408</v>
      </c>
      <c r="C6660" t="s">
        <v>48</v>
      </c>
      <c r="D6660" t="s">
        <v>1921</v>
      </c>
      <c r="E6660">
        <f>1/198</f>
        <v>5.0505050505050509E-3</v>
      </c>
      <c r="F6660">
        <v>37</v>
      </c>
      <c r="G6660">
        <f>LOG(382/(37+1))</f>
        <v>1.0022797662948986</v>
      </c>
      <c r="H6660">
        <f>0.00505050505050505*2.30783444888018</f>
        <v>1.1655729539798888E-2</v>
      </c>
      <c r="I6660">
        <v>1.165572953979894E-2</v>
      </c>
    </row>
    <row r="6661" spans="1:9" x14ac:dyDescent="0.25">
      <c r="A6661">
        <v>342</v>
      </c>
      <c r="B6661" t="s">
        <v>2408</v>
      </c>
      <c r="C6661" t="s">
        <v>48</v>
      </c>
      <c r="D6661" t="s">
        <v>2434</v>
      </c>
      <c r="E6661">
        <f>1/198</f>
        <v>5.0505050505050509E-3</v>
      </c>
      <c r="F6661">
        <v>1</v>
      </c>
      <c r="G6661">
        <f>LOG(382/(1+1))</f>
        <v>2.2810333672477277</v>
      </c>
      <c r="H6661">
        <f>0.00505050505050505*5.25227342804663</f>
        <v>2.6526633474982977E-2</v>
      </c>
      <c r="I6661">
        <v>2.6526633474982981E-2</v>
      </c>
    </row>
    <row r="6662" spans="1:9" x14ac:dyDescent="0.25">
      <c r="A6662">
        <v>342</v>
      </c>
      <c r="B6662" t="s">
        <v>2408</v>
      </c>
      <c r="C6662" t="s">
        <v>48</v>
      </c>
      <c r="D6662" t="s">
        <v>763</v>
      </c>
      <c r="E6662">
        <f>2/198</f>
        <v>1.0101010101010102E-2</v>
      </c>
      <c r="F6662">
        <v>47</v>
      </c>
      <c r="G6662">
        <f>LOG(382/(47+1))</f>
        <v>0.90082212553612151</v>
      </c>
      <c r="H6662">
        <f>0.0101010101010101*2.07421959769868</f>
        <v>2.0951713108067475E-2</v>
      </c>
      <c r="I6662">
        <v>2.095171310806752E-2</v>
      </c>
    </row>
    <row r="6663" spans="1:9" x14ac:dyDescent="0.25">
      <c r="A6663">
        <v>342</v>
      </c>
      <c r="B6663" t="s">
        <v>2408</v>
      </c>
      <c r="C6663" t="s">
        <v>48</v>
      </c>
      <c r="D6663" t="s">
        <v>775</v>
      </c>
      <c r="E6663">
        <f t="shared" ref="E6663:E6672" si="300">1/198</f>
        <v>5.0505050505050509E-3</v>
      </c>
      <c r="F6663">
        <v>20</v>
      </c>
      <c r="G6663">
        <f>LOG(382/(20+1))</f>
        <v>1.2598440681777894</v>
      </c>
      <c r="H6663">
        <f>0.00505050505050505*2.90089817088315</f>
        <v>1.4651000863046212E-2</v>
      </c>
      <c r="I6663">
        <v>1.4651000863046231E-2</v>
      </c>
    </row>
    <row r="6664" spans="1:9" x14ac:dyDescent="0.25">
      <c r="A6664">
        <v>342</v>
      </c>
      <c r="B6664" t="s">
        <v>2408</v>
      </c>
      <c r="C6664" t="s">
        <v>48</v>
      </c>
      <c r="D6664" t="s">
        <v>1918</v>
      </c>
      <c r="E6664">
        <f t="shared" si="300"/>
        <v>5.0505050505050509E-3</v>
      </c>
      <c r="F6664">
        <v>25</v>
      </c>
      <c r="G6664">
        <f>LOG(382/(25+1))</f>
        <v>1.1670900149408907</v>
      </c>
      <c r="H6664">
        <f>0.00505050505050505*2.68732407058509</f>
        <v>1.3572343790833786E-2</v>
      </c>
      <c r="I6664">
        <v>1.357234379083381E-2</v>
      </c>
    </row>
    <row r="6665" spans="1:9" x14ac:dyDescent="0.25">
      <c r="A6665">
        <v>342</v>
      </c>
      <c r="B6665" t="s">
        <v>2408</v>
      </c>
      <c r="C6665" t="s">
        <v>48</v>
      </c>
      <c r="D6665" t="s">
        <v>1831</v>
      </c>
      <c r="E6665">
        <f t="shared" si="300"/>
        <v>5.0505050505050509E-3</v>
      </c>
      <c r="F6665">
        <v>28</v>
      </c>
      <c r="G6665">
        <f>LOG(382/(28+1))</f>
        <v>1.1196653650127526</v>
      </c>
      <c r="H6665">
        <f>0.00505050505050505*2.5781247786201</f>
        <v>1.3020832215253028E-2</v>
      </c>
      <c r="I6665">
        <v>1.3020832215253041E-2</v>
      </c>
    </row>
    <row r="6666" spans="1:9" x14ac:dyDescent="0.25">
      <c r="A6666">
        <v>342</v>
      </c>
      <c r="B6666" t="s">
        <v>2408</v>
      </c>
      <c r="C6666" t="s">
        <v>48</v>
      </c>
      <c r="D6666" t="s">
        <v>1098</v>
      </c>
      <c r="E6666">
        <f t="shared" si="300"/>
        <v>5.0505050505050509E-3</v>
      </c>
      <c r="F6666">
        <v>19</v>
      </c>
      <c r="G6666">
        <f>LOG(382/(19+1))</f>
        <v>1.2810333672477277</v>
      </c>
      <c r="H6666">
        <f>0.00505050505050505*2.94968833505258</f>
        <v>1.4897415833598887E-2</v>
      </c>
      <c r="I6666">
        <v>1.4897415833598909E-2</v>
      </c>
    </row>
    <row r="6667" spans="1:9" x14ac:dyDescent="0.25">
      <c r="A6667">
        <v>342</v>
      </c>
      <c r="B6667" t="s">
        <v>2408</v>
      </c>
      <c r="C6667" t="s">
        <v>48</v>
      </c>
      <c r="D6667" t="s">
        <v>2435</v>
      </c>
      <c r="E6667">
        <f t="shared" si="300"/>
        <v>5.0505050505050509E-3</v>
      </c>
      <c r="F6667">
        <v>1</v>
      </c>
      <c r="G6667">
        <f>LOG(382/(1+1))</f>
        <v>2.2810333672477277</v>
      </c>
      <c r="H6667">
        <f>0.00505050505050505*5.25227342804663</f>
        <v>2.6526633474982977E-2</v>
      </c>
      <c r="I6667">
        <v>2.6526633474982981E-2</v>
      </c>
    </row>
    <row r="6668" spans="1:9" x14ac:dyDescent="0.25">
      <c r="A6668">
        <v>342</v>
      </c>
      <c r="B6668" t="s">
        <v>2408</v>
      </c>
      <c r="C6668" t="s">
        <v>48</v>
      </c>
      <c r="D6668" t="s">
        <v>458</v>
      </c>
      <c r="E6668">
        <f t="shared" si="300"/>
        <v>5.0505050505050509E-3</v>
      </c>
      <c r="F6668">
        <v>34</v>
      </c>
      <c r="G6668">
        <f>LOG(382/(34+1))</f>
        <v>1.037995318561433</v>
      </c>
      <c r="H6668">
        <f>0.00505050505050505*2.39007254711716</f>
        <v>1.2071073470288686E-2</v>
      </c>
      <c r="I6668">
        <v>1.20710734702887E-2</v>
      </c>
    </row>
    <row r="6669" spans="1:9" x14ac:dyDescent="0.25">
      <c r="A6669">
        <v>342</v>
      </c>
      <c r="B6669" t="s">
        <v>2408</v>
      </c>
      <c r="C6669" t="s">
        <v>48</v>
      </c>
      <c r="D6669" t="s">
        <v>263</v>
      </c>
      <c r="E6669">
        <f t="shared" si="300"/>
        <v>5.0505050505050509E-3</v>
      </c>
      <c r="F6669">
        <v>41</v>
      </c>
      <c r="G6669">
        <f>LOG(382/(41+1))</f>
        <v>0.95881407251380824</v>
      </c>
      <c r="H6669">
        <f>0.00505050505050505*2.2077509903232</f>
        <v>1.1150257526884848E-2</v>
      </c>
      <c r="I6669">
        <v>1.115025752688488E-2</v>
      </c>
    </row>
    <row r="6670" spans="1:9" x14ac:dyDescent="0.25">
      <c r="A6670">
        <v>342</v>
      </c>
      <c r="B6670" t="s">
        <v>2408</v>
      </c>
      <c r="C6670" t="s">
        <v>48</v>
      </c>
      <c r="D6670" t="s">
        <v>2436</v>
      </c>
      <c r="E6670">
        <f t="shared" si="300"/>
        <v>5.0505050505050509E-3</v>
      </c>
      <c r="F6670">
        <v>1</v>
      </c>
      <c r="G6670">
        <f>LOG(382/(1+1))</f>
        <v>2.2810333672477277</v>
      </c>
      <c r="H6670">
        <f>0.00505050505050505*5.25227342804663</f>
        <v>2.6526633474982977E-2</v>
      </c>
      <c r="I6670">
        <v>2.6526633474982981E-2</v>
      </c>
    </row>
    <row r="6671" spans="1:9" x14ac:dyDescent="0.25">
      <c r="A6671">
        <v>342</v>
      </c>
      <c r="B6671" t="s">
        <v>2408</v>
      </c>
      <c r="C6671" t="s">
        <v>48</v>
      </c>
      <c r="D6671" t="s">
        <v>307</v>
      </c>
      <c r="E6671">
        <f t="shared" si="300"/>
        <v>5.0505050505050509E-3</v>
      </c>
      <c r="F6671">
        <v>67</v>
      </c>
      <c r="G6671">
        <f>LOG(382/(67+1))</f>
        <v>0.7495544502054724</v>
      </c>
      <c r="H6671">
        <f>0.00505050505050505*1.72591290343046</f>
        <v>8.7167318355073735E-3</v>
      </c>
      <c r="I6671">
        <v>8.7167318355074169E-3</v>
      </c>
    </row>
    <row r="6672" spans="1:9" x14ac:dyDescent="0.25">
      <c r="A6672">
        <v>342</v>
      </c>
      <c r="B6672" t="s">
        <v>2408</v>
      </c>
      <c r="C6672" t="s">
        <v>48</v>
      </c>
      <c r="D6672" t="s">
        <v>1812</v>
      </c>
      <c r="E6672">
        <f t="shared" si="300"/>
        <v>5.0505050505050509E-3</v>
      </c>
      <c r="F6672">
        <v>10</v>
      </c>
      <c r="G6672">
        <f>LOG(382/(10+1))</f>
        <v>1.5406706777534838</v>
      </c>
      <c r="H6672">
        <f>0.00505050505050505*3.5475253358082</f>
        <v>1.7916794625293938E-2</v>
      </c>
      <c r="I6672">
        <v>1.7916794625293969E-2</v>
      </c>
    </row>
    <row r="6673" spans="1:9" x14ac:dyDescent="0.25">
      <c r="A6673">
        <v>343</v>
      </c>
      <c r="B6673" t="s">
        <v>2437</v>
      </c>
      <c r="C6673" t="s">
        <v>10</v>
      </c>
      <c r="D6673" t="s">
        <v>90</v>
      </c>
      <c r="E6673">
        <f>13/115</f>
        <v>0.11304347826086956</v>
      </c>
      <c r="F6673">
        <v>13</v>
      </c>
      <c r="G6673">
        <f>LOG(382/(13+1))</f>
        <v>1.4359353272334707</v>
      </c>
      <c r="H6673">
        <f>0.113043478260869*3.30636327899131</f>
        <v>0.37376280545118973</v>
      </c>
      <c r="I6673">
        <v>0.37376280545119228</v>
      </c>
    </row>
    <row r="6674" spans="1:9" x14ac:dyDescent="0.25">
      <c r="A6674">
        <v>343</v>
      </c>
      <c r="B6674" t="s">
        <v>2437</v>
      </c>
      <c r="C6674" t="s">
        <v>10</v>
      </c>
      <c r="D6674" t="s">
        <v>173</v>
      </c>
      <c r="E6674">
        <f>15/115</f>
        <v>0.13043478260869565</v>
      </c>
      <c r="F6674">
        <v>4</v>
      </c>
      <c r="G6674">
        <f>LOG(382/(4+1))</f>
        <v>1.8830933585756899</v>
      </c>
      <c r="H6674">
        <f>0.130434782608695*4.33598269617247</f>
        <v>0.56556296037031939</v>
      </c>
      <c r="I6674">
        <v>0.56556296037032283</v>
      </c>
    </row>
    <row r="6675" spans="1:9" x14ac:dyDescent="0.25">
      <c r="A6675">
        <v>343</v>
      </c>
      <c r="B6675" t="s">
        <v>2437</v>
      </c>
      <c r="C6675" t="s">
        <v>10</v>
      </c>
      <c r="D6675" t="s">
        <v>183</v>
      </c>
      <c r="E6675">
        <f>12/115</f>
        <v>0.10434782608695652</v>
      </c>
      <c r="F6675">
        <v>46</v>
      </c>
      <c r="G6675">
        <f>LOG(382/(46+1))</f>
        <v>0.90996550497599127</v>
      </c>
      <c r="H6675">
        <f>0.104347826086956*2.09527300689651</f>
        <v>0.2186371833283304</v>
      </c>
      <c r="I6675">
        <v>0.2186371833283321</v>
      </c>
    </row>
    <row r="6676" spans="1:9" x14ac:dyDescent="0.25">
      <c r="A6676">
        <v>343</v>
      </c>
      <c r="B6676" t="s">
        <v>2437</v>
      </c>
      <c r="C6676" t="s">
        <v>10</v>
      </c>
      <c r="D6676" t="s">
        <v>15</v>
      </c>
      <c r="E6676">
        <f>2/115</f>
        <v>1.7391304347826087E-2</v>
      </c>
      <c r="F6676">
        <v>112</v>
      </c>
      <c r="G6676">
        <f>LOG(382/(112+1))</f>
        <v>0.52898491942828896</v>
      </c>
      <c r="H6676">
        <f>0.017391304347826*1.21803278989423</f>
        <v>2.1183178954682157E-2</v>
      </c>
      <c r="I6676">
        <v>2.1183178954682341E-2</v>
      </c>
    </row>
    <row r="6677" spans="1:9" x14ac:dyDescent="0.25">
      <c r="A6677">
        <v>343</v>
      </c>
      <c r="B6677" t="s">
        <v>2437</v>
      </c>
      <c r="C6677" t="s">
        <v>10</v>
      </c>
      <c r="D6677" t="s">
        <v>54</v>
      </c>
      <c r="E6677">
        <f>3/115</f>
        <v>2.6086956521739129E-2</v>
      </c>
      <c r="F6677">
        <v>25</v>
      </c>
      <c r="G6677">
        <f>LOG(382/(25+1))</f>
        <v>1.1670900149408907</v>
      </c>
      <c r="H6677">
        <f>0.0260869565217391*2.68732407058509</f>
        <v>7.0104106189176188E-2</v>
      </c>
      <c r="I6677">
        <v>7.0104106189176341E-2</v>
      </c>
    </row>
    <row r="6678" spans="1:9" x14ac:dyDescent="0.25">
      <c r="A6678">
        <v>343</v>
      </c>
      <c r="B6678" t="s">
        <v>2437</v>
      </c>
      <c r="C6678" t="s">
        <v>10</v>
      </c>
      <c r="D6678" t="s">
        <v>50</v>
      </c>
      <c r="E6678">
        <f>8/115</f>
        <v>6.9565217391304349E-2</v>
      </c>
      <c r="F6678">
        <v>109</v>
      </c>
      <c r="G6678">
        <f>LOG(382/(109+1))</f>
        <v>0.54067067775348365</v>
      </c>
      <c r="H6678">
        <f>0.0695652173913043*1.24494024281415</f>
        <v>8.6604538630549496E-2</v>
      </c>
      <c r="I6678">
        <v>8.660453863055019E-2</v>
      </c>
    </row>
    <row r="6679" spans="1:9" x14ac:dyDescent="0.25">
      <c r="A6679">
        <v>343</v>
      </c>
      <c r="B6679" t="s">
        <v>2437</v>
      </c>
      <c r="C6679" t="s">
        <v>10</v>
      </c>
      <c r="D6679" t="s">
        <v>42</v>
      </c>
      <c r="E6679">
        <f t="shared" ref="E6679:E6684" si="301">1/115</f>
        <v>8.6956521739130436E-3</v>
      </c>
      <c r="F6679">
        <v>251</v>
      </c>
      <c r="G6679">
        <f>LOG(382/(251+1))</f>
        <v>0.18066282213016463</v>
      </c>
      <c r="H6679">
        <f>0.00869565217391304*0.415991521095151</f>
        <v>3.617317574740442E-3</v>
      </c>
      <c r="I6679">
        <v>3.6173175747404511E-3</v>
      </c>
    </row>
    <row r="6680" spans="1:9" x14ac:dyDescent="0.25">
      <c r="A6680">
        <v>343</v>
      </c>
      <c r="B6680" t="s">
        <v>2437</v>
      </c>
      <c r="C6680" t="s">
        <v>10</v>
      </c>
      <c r="D6680" t="s">
        <v>68</v>
      </c>
      <c r="E6680">
        <f t="shared" si="301"/>
        <v>8.6956521739130436E-3</v>
      </c>
      <c r="F6680">
        <v>43</v>
      </c>
      <c r="G6680">
        <f>LOG(382/(43+1))</f>
        <v>0.93861068642552126</v>
      </c>
      <c r="H6680">
        <f>0.00869565217391304*2.16123097468831</f>
        <v>1.8793312823376599E-2</v>
      </c>
      <c r="I6680">
        <v>1.8793312823376641E-2</v>
      </c>
    </row>
    <row r="6681" spans="1:9" x14ac:dyDescent="0.25">
      <c r="A6681">
        <v>343</v>
      </c>
      <c r="B6681" t="s">
        <v>2437</v>
      </c>
      <c r="C6681" t="s">
        <v>10</v>
      </c>
      <c r="D6681" t="s">
        <v>44</v>
      </c>
      <c r="E6681">
        <f t="shared" si="301"/>
        <v>8.6956521739130436E-3</v>
      </c>
      <c r="F6681">
        <v>151</v>
      </c>
      <c r="G6681">
        <f>LOG(382/(151+1))</f>
        <v>0.40021977496693617</v>
      </c>
      <c r="H6681">
        <f>0.00869565217391304*0.921540087760298</f>
        <v>8.0133920674808502E-3</v>
      </c>
      <c r="I6681">
        <v>8.0133920674808588E-3</v>
      </c>
    </row>
    <row r="6682" spans="1:9" x14ac:dyDescent="0.25">
      <c r="A6682">
        <v>343</v>
      </c>
      <c r="B6682" t="s">
        <v>2437</v>
      </c>
      <c r="C6682" t="s">
        <v>10</v>
      </c>
      <c r="D6682" t="s">
        <v>22</v>
      </c>
      <c r="E6682">
        <f t="shared" si="301"/>
        <v>8.6956521739130436E-3</v>
      </c>
      <c r="F6682">
        <v>259</v>
      </c>
      <c r="G6682">
        <f>LOG(382/(259+1))</f>
        <v>0.16709001494089079</v>
      </c>
      <c r="H6682">
        <f>0.00869565217391304*0.384738977591047</f>
        <v>3.3455563268786686E-3</v>
      </c>
      <c r="I6682">
        <v>3.3455563268786738E-3</v>
      </c>
    </row>
    <row r="6683" spans="1:9" x14ac:dyDescent="0.25">
      <c r="A6683">
        <v>343</v>
      </c>
      <c r="B6683" t="s">
        <v>2437</v>
      </c>
      <c r="C6683" t="s">
        <v>10</v>
      </c>
      <c r="D6683" t="s">
        <v>23</v>
      </c>
      <c r="E6683">
        <f t="shared" si="301"/>
        <v>8.6956521739130436E-3</v>
      </c>
      <c r="F6683">
        <v>275</v>
      </c>
      <c r="G6683">
        <f>LOG(382/(275+1))</f>
        <v>0.14115428084649101</v>
      </c>
      <c r="H6683">
        <f>0.00869565217391304*0.325019742889425</f>
        <v>2.8262586338210858E-3</v>
      </c>
      <c r="I6683">
        <v>2.826258633821088E-3</v>
      </c>
    </row>
    <row r="6684" spans="1:9" x14ac:dyDescent="0.25">
      <c r="A6684">
        <v>343</v>
      </c>
      <c r="B6684" t="s">
        <v>2437</v>
      </c>
      <c r="C6684" t="s">
        <v>10</v>
      </c>
      <c r="D6684" t="s">
        <v>1365</v>
      </c>
      <c r="E6684">
        <f t="shared" si="301"/>
        <v>8.6956521739130436E-3</v>
      </c>
      <c r="F6684">
        <v>4</v>
      </c>
      <c r="G6684">
        <f>LOG(382/(4+1))</f>
        <v>1.8830933585756899</v>
      </c>
      <c r="H6684">
        <f>0.00869565217391304*4.33598269617247</f>
        <v>3.7704197358021468E-2</v>
      </c>
      <c r="I6684">
        <v>3.7704197358021517E-2</v>
      </c>
    </row>
    <row r="6685" spans="1:9" x14ac:dyDescent="0.25">
      <c r="A6685">
        <v>343</v>
      </c>
      <c r="B6685" t="s">
        <v>2437</v>
      </c>
      <c r="C6685" t="s">
        <v>10</v>
      </c>
      <c r="D6685" t="s">
        <v>53</v>
      </c>
      <c r="E6685">
        <f>3/115</f>
        <v>2.6086956521739129E-2</v>
      </c>
      <c r="F6685">
        <v>57</v>
      </c>
      <c r="G6685">
        <f>LOG(382/(57+1))</f>
        <v>0.81863536934877146</v>
      </c>
      <c r="H6685">
        <f>0.0260869565217391*1.88497759806015</f>
        <v>4.9173328645047337E-2</v>
      </c>
      <c r="I6685">
        <v>4.9173328645047538E-2</v>
      </c>
    </row>
    <row r="6686" spans="1:9" x14ac:dyDescent="0.25">
      <c r="A6686">
        <v>343</v>
      </c>
      <c r="B6686" t="s">
        <v>2437</v>
      </c>
      <c r="C6686" t="s">
        <v>10</v>
      </c>
      <c r="D6686" t="s">
        <v>92</v>
      </c>
      <c r="E6686">
        <f>1/115</f>
        <v>8.6956521739130436E-3</v>
      </c>
      <c r="F6686">
        <v>12</v>
      </c>
      <c r="G6686">
        <f>LOG(382/(12+1))</f>
        <v>1.468120010604872</v>
      </c>
      <c r="H6686">
        <f>0.00869565217391304*3.38047125114503</f>
        <v>2.9395402183869816E-2</v>
      </c>
      <c r="I6686">
        <v>2.93954021838699E-2</v>
      </c>
    </row>
    <row r="6687" spans="1:9" x14ac:dyDescent="0.25">
      <c r="A6687">
        <v>343</v>
      </c>
      <c r="B6687" t="s">
        <v>2437</v>
      </c>
      <c r="C6687" t="s">
        <v>10</v>
      </c>
      <c r="D6687" t="s">
        <v>93</v>
      </c>
      <c r="E6687">
        <f>2/115</f>
        <v>1.7391304347826087E-2</v>
      </c>
      <c r="F6687">
        <v>11</v>
      </c>
      <c r="G6687">
        <f>LOG(382/(11+1))</f>
        <v>1.5028821168640838</v>
      </c>
      <c r="H6687">
        <f>0.017391304347826*3.46051395881857</f>
        <v>6.0182851457713959E-2</v>
      </c>
      <c r="I6687">
        <v>6.0182851457714348E-2</v>
      </c>
    </row>
    <row r="6688" spans="1:9" x14ac:dyDescent="0.25">
      <c r="A6688">
        <v>343</v>
      </c>
      <c r="B6688" t="s">
        <v>2437</v>
      </c>
      <c r="C6688" t="s">
        <v>10</v>
      </c>
      <c r="D6688" t="s">
        <v>41</v>
      </c>
      <c r="E6688">
        <f>3/115</f>
        <v>2.6086956521739129E-2</v>
      </c>
      <c r="F6688">
        <v>195</v>
      </c>
      <c r="G6688">
        <f>LOG(382/(195+1))</f>
        <v>0.28980729155523272</v>
      </c>
      <c r="H6688">
        <f>0.0260869565217391*0.667305949376058</f>
        <v>1.740798128807106E-2</v>
      </c>
      <c r="I6688">
        <v>1.740798128807108E-2</v>
      </c>
    </row>
    <row r="6689" spans="1:9" x14ac:dyDescent="0.25">
      <c r="A6689">
        <v>343</v>
      </c>
      <c r="B6689" t="s">
        <v>2437</v>
      </c>
      <c r="C6689" t="s">
        <v>10</v>
      </c>
      <c r="D6689" t="s">
        <v>924</v>
      </c>
      <c r="E6689">
        <f>1/115</f>
        <v>8.6956521739130436E-3</v>
      </c>
      <c r="F6689">
        <v>13</v>
      </c>
      <c r="G6689">
        <f>LOG(382/(13+1))</f>
        <v>1.4359353272334707</v>
      </c>
      <c r="H6689">
        <f>0.00869565217391304*3.30636327899131</f>
        <v>2.8750985034707036E-2</v>
      </c>
      <c r="I6689">
        <v>2.8750985034707102E-2</v>
      </c>
    </row>
    <row r="6690" spans="1:9" x14ac:dyDescent="0.25">
      <c r="A6690">
        <v>343</v>
      </c>
      <c r="B6690" t="s">
        <v>2437</v>
      </c>
      <c r="C6690" t="s">
        <v>10</v>
      </c>
      <c r="D6690" t="s">
        <v>272</v>
      </c>
      <c r="E6690">
        <f>1/115</f>
        <v>8.6956521739130436E-3</v>
      </c>
      <c r="F6690">
        <v>17</v>
      </c>
      <c r="G6690">
        <f>LOG(382/(17+1))</f>
        <v>1.3267908578084027</v>
      </c>
      <c r="H6690">
        <f>0.00869565217391304*3.05504885071041</f>
        <v>2.6565642180090509E-2</v>
      </c>
      <c r="I6690">
        <v>2.656564218009053E-2</v>
      </c>
    </row>
    <row r="6691" spans="1:9" x14ac:dyDescent="0.25">
      <c r="A6691">
        <v>343</v>
      </c>
      <c r="B6691" t="s">
        <v>2437</v>
      </c>
      <c r="C6691" t="s">
        <v>10</v>
      </c>
      <c r="D6691" t="s">
        <v>190</v>
      </c>
      <c r="E6691">
        <f>1/115</f>
        <v>8.6956521739130436E-3</v>
      </c>
      <c r="F6691">
        <v>23</v>
      </c>
      <c r="G6691">
        <f>LOG(382/(23+1))</f>
        <v>1.2018521212001028</v>
      </c>
      <c r="H6691">
        <f>0.00869565217391304*2.76736677825862</f>
        <v>2.4064058941379297E-2</v>
      </c>
      <c r="I6691">
        <v>2.406405894137939E-2</v>
      </c>
    </row>
    <row r="6692" spans="1:9" x14ac:dyDescent="0.25">
      <c r="A6692">
        <v>343</v>
      </c>
      <c r="B6692" t="s">
        <v>2437</v>
      </c>
      <c r="C6692" t="s">
        <v>10</v>
      </c>
      <c r="D6692" t="s">
        <v>482</v>
      </c>
      <c r="E6692">
        <f>4/115</f>
        <v>3.4782608695652174E-2</v>
      </c>
      <c r="F6692">
        <v>16</v>
      </c>
      <c r="G6692">
        <f>LOG(382/(16+1))</f>
        <v>1.3516144415334348</v>
      </c>
      <c r="H6692">
        <f>0.0347826086956521*3.11220726455035</f>
        <v>0.10825068746262062</v>
      </c>
      <c r="I6692">
        <v>0.1082506874626212</v>
      </c>
    </row>
    <row r="6693" spans="1:9" x14ac:dyDescent="0.25">
      <c r="A6693">
        <v>343</v>
      </c>
      <c r="B6693" t="s">
        <v>2437</v>
      </c>
      <c r="C6693" t="s">
        <v>10</v>
      </c>
      <c r="D6693" t="s">
        <v>189</v>
      </c>
      <c r="E6693">
        <f>2/115</f>
        <v>1.7391304347826087E-2</v>
      </c>
      <c r="F6693">
        <v>27</v>
      </c>
      <c r="G6693">
        <f>LOG(382/(27+1))</f>
        <v>1.1349053315694895</v>
      </c>
      <c r="H6693">
        <f>0.017391304347826*2.61321609843137</f>
        <v>4.5447236494458386E-2</v>
      </c>
      <c r="I6693">
        <v>4.5447236494458629E-2</v>
      </c>
    </row>
    <row r="6694" spans="1:9" x14ac:dyDescent="0.25">
      <c r="A6694">
        <v>343</v>
      </c>
      <c r="B6694" t="s">
        <v>2437</v>
      </c>
      <c r="C6694" t="s">
        <v>10</v>
      </c>
      <c r="D6694" t="s">
        <v>105</v>
      </c>
      <c r="E6694">
        <f>1/115</f>
        <v>8.6956521739130436E-3</v>
      </c>
      <c r="F6694">
        <v>122</v>
      </c>
      <c r="G6694">
        <f>LOG(382/(122+1))</f>
        <v>0.49215825147231079</v>
      </c>
      <c r="H6694">
        <f>0.00869565217391304*1.13323625323415</f>
        <v>9.8542282889926055E-3</v>
      </c>
      <c r="I6694">
        <v>9.8542282889926749E-3</v>
      </c>
    </row>
    <row r="6695" spans="1:9" x14ac:dyDescent="0.25">
      <c r="A6695">
        <v>343</v>
      </c>
      <c r="B6695" t="s">
        <v>2437</v>
      </c>
      <c r="C6695" t="s">
        <v>10</v>
      </c>
      <c r="D6695" t="s">
        <v>103</v>
      </c>
      <c r="E6695">
        <f>1/115</f>
        <v>8.6956521739130436E-3</v>
      </c>
      <c r="F6695">
        <v>38</v>
      </c>
      <c r="G6695">
        <f>LOG(382/(38+1))</f>
        <v>0.99099875588520958</v>
      </c>
      <c r="H6695">
        <f>0.00869565217391304*2.28185896247692</f>
        <v>1.9842251847625385E-2</v>
      </c>
      <c r="I6695">
        <v>1.9842251847625472E-2</v>
      </c>
    </row>
    <row r="6696" spans="1:9" x14ac:dyDescent="0.25">
      <c r="A6696">
        <v>343</v>
      </c>
      <c r="B6696" t="s">
        <v>2437</v>
      </c>
      <c r="C6696" t="s">
        <v>10</v>
      </c>
      <c r="D6696" t="s">
        <v>1787</v>
      </c>
      <c r="E6696">
        <f>2/115</f>
        <v>1.7391304347826087E-2</v>
      </c>
      <c r="F6696">
        <v>3</v>
      </c>
      <c r="G6696">
        <f>LOG(382/(3+1))</f>
        <v>1.9800033715837464</v>
      </c>
      <c r="H6696">
        <f>0.017391304347826*4.55912624748668</f>
        <v>7.9289152130202739E-2</v>
      </c>
      <c r="I6696">
        <v>7.9289152130203211E-2</v>
      </c>
    </row>
    <row r="6697" spans="1:9" x14ac:dyDescent="0.25">
      <c r="A6697">
        <v>343</v>
      </c>
      <c r="B6697" t="s">
        <v>2437</v>
      </c>
      <c r="C6697" t="s">
        <v>10</v>
      </c>
      <c r="D6697" t="s">
        <v>25</v>
      </c>
      <c r="E6697">
        <f>5/115</f>
        <v>4.3478260869565216E-2</v>
      </c>
      <c r="F6697">
        <v>106</v>
      </c>
      <c r="G6697">
        <f>LOG(382/(106+1))</f>
        <v>0.55267958522649907</v>
      </c>
      <c r="H6697">
        <f>0.0434782608695652*1.27259177414466</f>
        <v>5.5330077136724325E-2</v>
      </c>
      <c r="I6697">
        <v>5.5330077136724741E-2</v>
      </c>
    </row>
    <row r="6698" spans="1:9" x14ac:dyDescent="0.25">
      <c r="A6698">
        <v>343</v>
      </c>
      <c r="B6698" t="s">
        <v>2437</v>
      </c>
      <c r="C6698" t="s">
        <v>10</v>
      </c>
      <c r="D6698" t="s">
        <v>112</v>
      </c>
      <c r="E6698">
        <f>3/115</f>
        <v>2.6086956521739129E-2</v>
      </c>
      <c r="F6698">
        <v>52</v>
      </c>
      <c r="G6698">
        <f>LOG(382/(52+1))</f>
        <v>0.85778749331091964</v>
      </c>
      <c r="H6698">
        <f>0.0260869565217391*1.97512869505445</f>
        <v>5.1525096392724727E-2</v>
      </c>
      <c r="I6698">
        <v>5.1525096392724873E-2</v>
      </c>
    </row>
    <row r="6699" spans="1:9" x14ac:dyDescent="0.25">
      <c r="A6699">
        <v>343</v>
      </c>
      <c r="B6699" t="s">
        <v>2437</v>
      </c>
      <c r="C6699" t="s">
        <v>10</v>
      </c>
      <c r="D6699" t="s">
        <v>91</v>
      </c>
      <c r="E6699">
        <f t="shared" ref="E6699:E6705" si="302">1/115</f>
        <v>8.6956521739130436E-3</v>
      </c>
      <c r="F6699">
        <v>33</v>
      </c>
      <c r="G6699">
        <f>LOG(382/(33+1))</f>
        <v>1.0505844458694535</v>
      </c>
      <c r="H6699">
        <f>0.00869565217391304*2.41906008399041</f>
        <v>2.1035305078177472E-2</v>
      </c>
      <c r="I6699">
        <v>2.103530507817751E-2</v>
      </c>
    </row>
    <row r="6700" spans="1:9" x14ac:dyDescent="0.25">
      <c r="A6700">
        <v>343</v>
      </c>
      <c r="B6700" t="s">
        <v>2437</v>
      </c>
      <c r="C6700" t="s">
        <v>10</v>
      </c>
      <c r="D6700" t="s">
        <v>419</v>
      </c>
      <c r="E6700">
        <f t="shared" si="302"/>
        <v>8.6956521739130436E-3</v>
      </c>
      <c r="F6700">
        <v>4</v>
      </c>
      <c r="G6700">
        <f>LOG(382/(4+1))</f>
        <v>1.8830933585756899</v>
      </c>
      <c r="H6700">
        <f>0.00869565217391304*4.33598269617247</f>
        <v>3.7704197358021468E-2</v>
      </c>
      <c r="I6700">
        <v>3.7704197358021517E-2</v>
      </c>
    </row>
    <row r="6701" spans="1:9" x14ac:dyDescent="0.25">
      <c r="A6701">
        <v>343</v>
      </c>
      <c r="B6701" t="s">
        <v>2437</v>
      </c>
      <c r="C6701" t="s">
        <v>10</v>
      </c>
      <c r="D6701" t="s">
        <v>1757</v>
      </c>
      <c r="E6701">
        <f t="shared" si="302"/>
        <v>8.6956521739130436E-3</v>
      </c>
      <c r="F6701">
        <v>2</v>
      </c>
      <c r="G6701">
        <f>LOG(382/(2+1))</f>
        <v>2.1049421081920463</v>
      </c>
      <c r="H6701">
        <f>0.00869565217391304*4.84680831993846</f>
        <v>4.2146159303812679E-2</v>
      </c>
      <c r="I6701">
        <v>4.2146159303812741E-2</v>
      </c>
    </row>
    <row r="6702" spans="1:9" x14ac:dyDescent="0.25">
      <c r="A6702">
        <v>343</v>
      </c>
      <c r="B6702" t="s">
        <v>2437</v>
      </c>
      <c r="C6702" t="s">
        <v>10</v>
      </c>
      <c r="D6702" t="s">
        <v>126</v>
      </c>
      <c r="E6702">
        <f t="shared" si="302"/>
        <v>8.6956521739130436E-3</v>
      </c>
      <c r="F6702">
        <v>79</v>
      </c>
      <c r="G6702">
        <f>LOG(382/(79+1))</f>
        <v>0.67897337591976514</v>
      </c>
      <c r="H6702">
        <f>0.00869565217391304*1.56339397393269</f>
        <v>1.3594730208110343E-2</v>
      </c>
      <c r="I6702">
        <v>1.3594730208110381E-2</v>
      </c>
    </row>
    <row r="6703" spans="1:9" x14ac:dyDescent="0.25">
      <c r="A6703">
        <v>343</v>
      </c>
      <c r="B6703" t="s">
        <v>2437</v>
      </c>
      <c r="C6703" t="s">
        <v>10</v>
      </c>
      <c r="D6703" t="s">
        <v>1831</v>
      </c>
      <c r="E6703">
        <f t="shared" si="302"/>
        <v>8.6956521739130436E-3</v>
      </c>
      <c r="F6703">
        <v>28</v>
      </c>
      <c r="G6703">
        <f>LOG(382/(28+1))</f>
        <v>1.1196653650127526</v>
      </c>
      <c r="H6703">
        <f>0.00869565217391304*2.5781247786201</f>
        <v>2.2418476335826946E-2</v>
      </c>
      <c r="I6703">
        <v>2.241847633582697E-2</v>
      </c>
    </row>
    <row r="6704" spans="1:9" x14ac:dyDescent="0.25">
      <c r="A6704">
        <v>343</v>
      </c>
      <c r="B6704" t="s">
        <v>2437</v>
      </c>
      <c r="C6704" t="s">
        <v>10</v>
      </c>
      <c r="D6704" t="s">
        <v>2438</v>
      </c>
      <c r="E6704">
        <f t="shared" si="302"/>
        <v>8.6956521739130436E-3</v>
      </c>
      <c r="F6704">
        <v>1</v>
      </c>
      <c r="G6704">
        <f>LOG(382/(1+1))</f>
        <v>2.2810333672477277</v>
      </c>
      <c r="H6704">
        <f>0.00869565217391304*5.25227342804663</f>
        <v>4.5671942852579375E-2</v>
      </c>
      <c r="I6704">
        <v>4.5671942852579389E-2</v>
      </c>
    </row>
    <row r="6705" spans="1:9" x14ac:dyDescent="0.25">
      <c r="A6705">
        <v>343</v>
      </c>
      <c r="B6705" t="s">
        <v>2437</v>
      </c>
      <c r="C6705" t="s">
        <v>10</v>
      </c>
      <c r="D6705" t="s">
        <v>2439</v>
      </c>
      <c r="E6705">
        <f t="shared" si="302"/>
        <v>8.6956521739130436E-3</v>
      </c>
      <c r="F6705">
        <v>1</v>
      </c>
      <c r="G6705">
        <f>LOG(382/(1+1))</f>
        <v>2.2810333672477277</v>
      </c>
      <c r="H6705">
        <f>0.00869565217391304*5.25227342804663</f>
        <v>4.5671942852579375E-2</v>
      </c>
      <c r="I6705">
        <v>4.5671942852579389E-2</v>
      </c>
    </row>
    <row r="6706" spans="1:9" x14ac:dyDescent="0.25">
      <c r="A6706">
        <v>343</v>
      </c>
      <c r="B6706" t="s">
        <v>2437</v>
      </c>
      <c r="C6706" t="s">
        <v>10</v>
      </c>
      <c r="D6706" t="s">
        <v>106</v>
      </c>
      <c r="E6706">
        <f>2/115</f>
        <v>1.7391304347826087E-2</v>
      </c>
      <c r="F6706">
        <v>17</v>
      </c>
      <c r="G6706">
        <f>LOG(382/(17+1))</f>
        <v>1.3267908578084027</v>
      </c>
      <c r="H6706">
        <f>0.017391304347826*3.05504885071041</f>
        <v>5.3131284360180775E-2</v>
      </c>
      <c r="I6706">
        <v>5.3131284360181052E-2</v>
      </c>
    </row>
    <row r="6707" spans="1:9" x14ac:dyDescent="0.25">
      <c r="A6707">
        <v>343</v>
      </c>
      <c r="B6707" t="s">
        <v>2437</v>
      </c>
      <c r="C6707" t="s">
        <v>10</v>
      </c>
      <c r="D6707" t="s">
        <v>1645</v>
      </c>
      <c r="E6707">
        <f t="shared" ref="E6707:E6716" si="303">1/115</f>
        <v>8.6956521739130436E-3</v>
      </c>
      <c r="F6707">
        <v>2</v>
      </c>
      <c r="G6707">
        <f>LOG(382/(2+1))</f>
        <v>2.1049421081920463</v>
      </c>
      <c r="H6707">
        <f>0.00869565217391304*4.84680831993846</f>
        <v>4.2146159303812679E-2</v>
      </c>
      <c r="I6707">
        <v>4.2146159303812741E-2</v>
      </c>
    </row>
    <row r="6708" spans="1:9" x14ac:dyDescent="0.25">
      <c r="A6708">
        <v>343</v>
      </c>
      <c r="B6708" t="s">
        <v>2437</v>
      </c>
      <c r="C6708" t="s">
        <v>10</v>
      </c>
      <c r="D6708" t="s">
        <v>2440</v>
      </c>
      <c r="E6708">
        <f t="shared" si="303"/>
        <v>8.6956521739130436E-3</v>
      </c>
      <c r="F6708">
        <v>2</v>
      </c>
      <c r="G6708">
        <f>LOG(382/(2+1))</f>
        <v>2.1049421081920463</v>
      </c>
      <c r="H6708">
        <f>0.00869565217391304*4.84680831993846</f>
        <v>4.2146159303812679E-2</v>
      </c>
      <c r="I6708">
        <v>4.2146159303812741E-2</v>
      </c>
    </row>
    <row r="6709" spans="1:9" x14ac:dyDescent="0.25">
      <c r="A6709">
        <v>343</v>
      </c>
      <c r="B6709" t="s">
        <v>2437</v>
      </c>
      <c r="C6709" t="s">
        <v>10</v>
      </c>
      <c r="D6709" t="s">
        <v>2441</v>
      </c>
      <c r="E6709">
        <f t="shared" si="303"/>
        <v>8.6956521739130436E-3</v>
      </c>
      <c r="F6709">
        <v>1</v>
      </c>
      <c r="G6709">
        <f>LOG(382/(1+1))</f>
        <v>2.2810333672477277</v>
      </c>
      <c r="H6709">
        <f>0.00869565217391304*5.25227342804663</f>
        <v>4.5671942852579375E-2</v>
      </c>
      <c r="I6709">
        <v>4.5671942852579389E-2</v>
      </c>
    </row>
    <row r="6710" spans="1:9" x14ac:dyDescent="0.25">
      <c r="A6710">
        <v>343</v>
      </c>
      <c r="B6710" t="s">
        <v>2437</v>
      </c>
      <c r="C6710" t="s">
        <v>10</v>
      </c>
      <c r="D6710" t="s">
        <v>107</v>
      </c>
      <c r="E6710">
        <f t="shared" si="303"/>
        <v>8.6956521739130436E-3</v>
      </c>
      <c r="F6710">
        <v>6</v>
      </c>
      <c r="G6710">
        <f>LOG(382/(6+1))</f>
        <v>1.736965322897452</v>
      </c>
      <c r="H6710">
        <f>0.00869565217391304*3.99951045955126</f>
        <v>3.4778351822184854E-2</v>
      </c>
      <c r="I6710">
        <v>3.4778351822184889E-2</v>
      </c>
    </row>
    <row r="6711" spans="1:9" x14ac:dyDescent="0.25">
      <c r="A6711">
        <v>343</v>
      </c>
      <c r="B6711" t="s">
        <v>2437</v>
      </c>
      <c r="C6711" t="s">
        <v>10</v>
      </c>
      <c r="D6711" t="s">
        <v>1176</v>
      </c>
      <c r="E6711">
        <f t="shared" si="303"/>
        <v>8.6956521739130436E-3</v>
      </c>
      <c r="F6711">
        <v>15</v>
      </c>
      <c r="G6711">
        <f>LOG(382/(15+1))</f>
        <v>1.3779433802557839</v>
      </c>
      <c r="H6711">
        <f>0.00869565217391304*3.17283188636679</f>
        <v>2.758984249014599E-2</v>
      </c>
      <c r="I6711">
        <v>2.7589842490146031E-2</v>
      </c>
    </row>
    <row r="6712" spans="1:9" x14ac:dyDescent="0.25">
      <c r="A6712">
        <v>343</v>
      </c>
      <c r="B6712" t="s">
        <v>2437</v>
      </c>
      <c r="C6712" t="s">
        <v>10</v>
      </c>
      <c r="D6712" t="s">
        <v>1620</v>
      </c>
      <c r="E6712">
        <f t="shared" si="303"/>
        <v>8.6956521739130436E-3</v>
      </c>
      <c r="F6712">
        <v>2</v>
      </c>
      <c r="G6712">
        <f>LOG(382/(2+1))</f>
        <v>2.1049421081920463</v>
      </c>
      <c r="H6712">
        <f>0.00869565217391304*4.84680831993846</f>
        <v>4.2146159303812679E-2</v>
      </c>
      <c r="I6712">
        <v>4.2146159303812741E-2</v>
      </c>
    </row>
    <row r="6713" spans="1:9" x14ac:dyDescent="0.25">
      <c r="A6713">
        <v>343</v>
      </c>
      <c r="B6713" t="s">
        <v>2437</v>
      </c>
      <c r="C6713" t="s">
        <v>10</v>
      </c>
      <c r="D6713" t="s">
        <v>118</v>
      </c>
      <c r="E6713">
        <f t="shared" si="303"/>
        <v>8.6956521739130436E-3</v>
      </c>
      <c r="F6713">
        <v>8</v>
      </c>
      <c r="G6713">
        <f>LOG(382/(8+1))</f>
        <v>1.6278208534723839</v>
      </c>
      <c r="H6713">
        <f>0.00869565217391304*3.74819603127035</f>
        <v>3.2593008967568247E-2</v>
      </c>
      <c r="I6713">
        <v>3.259300896756831E-2</v>
      </c>
    </row>
    <row r="6714" spans="1:9" x14ac:dyDescent="0.25">
      <c r="A6714">
        <v>343</v>
      </c>
      <c r="B6714" t="s">
        <v>2437</v>
      </c>
      <c r="C6714" t="s">
        <v>10</v>
      </c>
      <c r="D6714" t="s">
        <v>100</v>
      </c>
      <c r="E6714">
        <f t="shared" si="303"/>
        <v>8.6956521739130436E-3</v>
      </c>
      <c r="F6714">
        <v>9</v>
      </c>
      <c r="G6714">
        <f>LOG(382/(9+1))</f>
        <v>1.5820633629117087</v>
      </c>
      <c r="H6714">
        <f>0.00869565217391304*3.64283551561252</f>
        <v>3.1676830570543643E-2</v>
      </c>
      <c r="I6714">
        <v>3.1676830570543733E-2</v>
      </c>
    </row>
    <row r="6715" spans="1:9" x14ac:dyDescent="0.25">
      <c r="A6715">
        <v>343</v>
      </c>
      <c r="B6715" t="s">
        <v>2437</v>
      </c>
      <c r="C6715" t="s">
        <v>10</v>
      </c>
      <c r="D6715" t="s">
        <v>197</v>
      </c>
      <c r="E6715">
        <f t="shared" si="303"/>
        <v>8.6956521739130436E-3</v>
      </c>
      <c r="F6715">
        <v>18</v>
      </c>
      <c r="G6715">
        <f>LOG(382/(18+1))</f>
        <v>1.3033097619588798</v>
      </c>
      <c r="H6715">
        <f>0.00869565217391304*3.00098162944013</f>
        <v>2.6095492429914165E-2</v>
      </c>
      <c r="I6715">
        <v>2.609549242991421E-2</v>
      </c>
    </row>
    <row r="6716" spans="1:9" x14ac:dyDescent="0.25">
      <c r="A6716">
        <v>343</v>
      </c>
      <c r="B6716" t="s">
        <v>2437</v>
      </c>
      <c r="C6716" t="s">
        <v>10</v>
      </c>
      <c r="D6716" t="s">
        <v>2442</v>
      </c>
      <c r="E6716">
        <f t="shared" si="303"/>
        <v>8.6956521739130436E-3</v>
      </c>
      <c r="F6716">
        <v>2</v>
      </c>
      <c r="G6716">
        <f>LOG(382/(2+1))</f>
        <v>2.1049421081920463</v>
      </c>
      <c r="H6716">
        <f>0.00869565217391304*4.84680831993846</f>
        <v>4.2146159303812679E-2</v>
      </c>
      <c r="I6716">
        <v>4.2146159303812741E-2</v>
      </c>
    </row>
    <row r="6717" spans="1:9" x14ac:dyDescent="0.25">
      <c r="A6717">
        <v>343</v>
      </c>
      <c r="B6717" t="s">
        <v>2437</v>
      </c>
      <c r="C6717" t="s">
        <v>10</v>
      </c>
      <c r="D6717" t="s">
        <v>1328</v>
      </c>
      <c r="E6717">
        <f>2/115</f>
        <v>1.7391304347826087E-2</v>
      </c>
      <c r="F6717">
        <v>22</v>
      </c>
      <c r="G6717">
        <f>LOG(382/(22+1))</f>
        <v>1.2203355268941158</v>
      </c>
      <c r="H6717">
        <f>0.017391304347826*2.80992639267742</f>
        <v>4.8868285090041839E-2</v>
      </c>
      <c r="I6717">
        <v>4.8868285090042193E-2</v>
      </c>
    </row>
    <row r="6718" spans="1:9" x14ac:dyDescent="0.25">
      <c r="A6718">
        <v>343</v>
      </c>
      <c r="B6718" t="s">
        <v>2437</v>
      </c>
      <c r="C6718" t="s">
        <v>10</v>
      </c>
      <c r="D6718" t="s">
        <v>1204</v>
      </c>
      <c r="E6718">
        <f>1/115</f>
        <v>8.6956521739130436E-3</v>
      </c>
      <c r="F6718">
        <v>3</v>
      </c>
      <c r="G6718">
        <f>LOG(382/(3+1))</f>
        <v>1.9800033715837464</v>
      </c>
      <c r="H6718">
        <f>0.00869565217391304*4.55912624748668</f>
        <v>3.964457606510155E-2</v>
      </c>
      <c r="I6718">
        <v>3.9644576065101612E-2</v>
      </c>
    </row>
    <row r="6719" spans="1:9" x14ac:dyDescent="0.25">
      <c r="A6719">
        <v>343</v>
      </c>
      <c r="B6719" t="s">
        <v>2437</v>
      </c>
      <c r="C6719" t="s">
        <v>10</v>
      </c>
      <c r="D6719" t="s">
        <v>393</v>
      </c>
      <c r="E6719">
        <f>1/115</f>
        <v>8.6956521739130436E-3</v>
      </c>
      <c r="F6719">
        <v>6</v>
      </c>
      <c r="G6719">
        <f>LOG(382/(6+1))</f>
        <v>1.736965322897452</v>
      </c>
      <c r="H6719">
        <f>0.00869565217391304*3.99951045955126</f>
        <v>3.4778351822184854E-2</v>
      </c>
      <c r="I6719">
        <v>3.4778351822184889E-2</v>
      </c>
    </row>
    <row r="6720" spans="1:9" x14ac:dyDescent="0.25">
      <c r="A6720">
        <v>343</v>
      </c>
      <c r="B6720" t="s">
        <v>2437</v>
      </c>
      <c r="C6720" t="s">
        <v>10</v>
      </c>
      <c r="D6720" t="s">
        <v>367</v>
      </c>
      <c r="E6720">
        <f>1/115</f>
        <v>8.6956521739130436E-3</v>
      </c>
      <c r="F6720">
        <v>4</v>
      </c>
      <c r="G6720">
        <f>LOG(382/(4+1))</f>
        <v>1.8830933585756899</v>
      </c>
      <c r="H6720">
        <f>0.00869565217391304*4.33598269617247</f>
        <v>3.7704197358021468E-2</v>
      </c>
      <c r="I6720">
        <v>3.7704197358021517E-2</v>
      </c>
    </row>
    <row r="6721" spans="1:9" x14ac:dyDescent="0.25">
      <c r="A6721">
        <v>343</v>
      </c>
      <c r="B6721" t="s">
        <v>2437</v>
      </c>
      <c r="C6721" t="s">
        <v>10</v>
      </c>
      <c r="D6721" t="s">
        <v>490</v>
      </c>
      <c r="E6721">
        <f>1/115</f>
        <v>8.6956521739130436E-3</v>
      </c>
      <c r="F6721">
        <v>31</v>
      </c>
      <c r="G6721">
        <f>LOG(382/(31+1))</f>
        <v>1.0769133845918029</v>
      </c>
      <c r="H6721">
        <f>0.00869565217391304*2.47968470580684</f>
        <v>2.1562475702668164E-2</v>
      </c>
      <c r="I6721">
        <v>2.1562475702668251E-2</v>
      </c>
    </row>
    <row r="6722" spans="1:9" x14ac:dyDescent="0.25">
      <c r="A6722">
        <v>343</v>
      </c>
      <c r="B6722" t="s">
        <v>2437</v>
      </c>
      <c r="C6722" t="s">
        <v>10</v>
      </c>
      <c r="D6722" t="s">
        <v>49</v>
      </c>
      <c r="E6722">
        <f>1/115</f>
        <v>8.6956521739130436E-3</v>
      </c>
      <c r="F6722">
        <v>13</v>
      </c>
      <c r="G6722">
        <f>LOG(382/(13+1))</f>
        <v>1.4359353272334707</v>
      </c>
      <c r="H6722">
        <f>0.00869565217391304*3.30636327899131</f>
        <v>2.8750985034707036E-2</v>
      </c>
      <c r="I6722">
        <v>2.8750985034707102E-2</v>
      </c>
    </row>
    <row r="6723" spans="1:9" x14ac:dyDescent="0.25">
      <c r="A6723">
        <v>345</v>
      </c>
      <c r="B6723" t="s">
        <v>2443</v>
      </c>
      <c r="C6723" t="s">
        <v>10</v>
      </c>
      <c r="D6723" t="s">
        <v>36</v>
      </c>
      <c r="E6723">
        <f>4/30</f>
        <v>0.13333333333333333</v>
      </c>
      <c r="F6723">
        <v>58</v>
      </c>
      <c r="G6723">
        <f>LOG(382/(58+1))</f>
        <v>0.81121135126956456</v>
      </c>
      <c r="H6723">
        <f>0.133333333333333*1.86788316470085</f>
        <v>0.24905108862677938</v>
      </c>
      <c r="I6723">
        <v>0.24905108862678069</v>
      </c>
    </row>
    <row r="6724" spans="1:9" x14ac:dyDescent="0.25">
      <c r="A6724">
        <v>345</v>
      </c>
      <c r="B6724" t="s">
        <v>2443</v>
      </c>
      <c r="C6724" t="s">
        <v>10</v>
      </c>
      <c r="D6724" t="s">
        <v>1077</v>
      </c>
      <c r="E6724">
        <f>2/30</f>
        <v>6.6666666666666666E-2</v>
      </c>
      <c r="F6724">
        <v>5</v>
      </c>
      <c r="G6724">
        <f>LOG(382/(5+1))</f>
        <v>1.803912112528065</v>
      </c>
      <c r="H6724">
        <f>0.0666666666666666*4.15366113937852</f>
        <v>0.27691074262523435</v>
      </c>
      <c r="I6724">
        <v>0.27691074262523457</v>
      </c>
    </row>
    <row r="6725" spans="1:9" x14ac:dyDescent="0.25">
      <c r="A6725">
        <v>345</v>
      </c>
      <c r="B6725" t="s">
        <v>2443</v>
      </c>
      <c r="C6725" t="s">
        <v>10</v>
      </c>
      <c r="D6725" t="s">
        <v>1367</v>
      </c>
      <c r="E6725">
        <f t="shared" ref="E6725:E6748" si="304">1/30</f>
        <v>3.3333333333333333E-2</v>
      </c>
      <c r="F6725">
        <v>6</v>
      </c>
      <c r="G6725">
        <f>LOG(382/(6+1))</f>
        <v>1.736965322897452</v>
      </c>
      <c r="H6725">
        <f>0.0333333333333333*3.99951045955126</f>
        <v>0.1333170153183752</v>
      </c>
      <c r="I6725">
        <v>0.13331701531837539</v>
      </c>
    </row>
    <row r="6726" spans="1:9" x14ac:dyDescent="0.25">
      <c r="A6726">
        <v>345</v>
      </c>
      <c r="B6726" t="s">
        <v>2443</v>
      </c>
      <c r="C6726" t="s">
        <v>10</v>
      </c>
      <c r="D6726" t="s">
        <v>972</v>
      </c>
      <c r="E6726">
        <f t="shared" si="304"/>
        <v>3.3333333333333333E-2</v>
      </c>
      <c r="F6726">
        <v>3</v>
      </c>
      <c r="G6726">
        <f>LOG(382/(3+1))</f>
        <v>1.9800033715837464</v>
      </c>
      <c r="H6726">
        <f>0.0333333333333333*4.55912624748668</f>
        <v>0.15197087491622252</v>
      </c>
      <c r="I6726">
        <v>0.1519708749162228</v>
      </c>
    </row>
    <row r="6727" spans="1:9" x14ac:dyDescent="0.25">
      <c r="A6727">
        <v>345</v>
      </c>
      <c r="B6727" t="s">
        <v>2443</v>
      </c>
      <c r="C6727" t="s">
        <v>10</v>
      </c>
      <c r="D6727" t="s">
        <v>1030</v>
      </c>
      <c r="E6727">
        <f t="shared" si="304"/>
        <v>3.3333333333333333E-2</v>
      </c>
      <c r="F6727">
        <v>6</v>
      </c>
      <c r="G6727">
        <f>LOG(382/(6+1))</f>
        <v>1.736965322897452</v>
      </c>
      <c r="H6727">
        <f>0.0333333333333333*3.99951045955126</f>
        <v>0.1333170153183752</v>
      </c>
      <c r="I6727">
        <v>0.13331701531837539</v>
      </c>
    </row>
    <row r="6728" spans="1:9" x14ac:dyDescent="0.25">
      <c r="A6728">
        <v>345</v>
      </c>
      <c r="B6728" t="s">
        <v>2443</v>
      </c>
      <c r="C6728" t="s">
        <v>10</v>
      </c>
      <c r="D6728" t="s">
        <v>17</v>
      </c>
      <c r="E6728">
        <f t="shared" si="304"/>
        <v>3.3333333333333333E-2</v>
      </c>
      <c r="F6728">
        <v>169</v>
      </c>
      <c r="G6728">
        <f>LOG(382/(169+1))</f>
        <v>0.3516144415334348</v>
      </c>
      <c r="H6728">
        <f>0.0333333333333333*0.809622171556313</f>
        <v>2.6987405718543737E-2</v>
      </c>
      <c r="I6728">
        <v>2.6987405718543779E-2</v>
      </c>
    </row>
    <row r="6729" spans="1:9" x14ac:dyDescent="0.25">
      <c r="A6729">
        <v>345</v>
      </c>
      <c r="B6729" t="s">
        <v>2443</v>
      </c>
      <c r="C6729" t="s">
        <v>10</v>
      </c>
      <c r="D6729" t="s">
        <v>111</v>
      </c>
      <c r="E6729">
        <f t="shared" si="304"/>
        <v>3.3333333333333333E-2</v>
      </c>
      <c r="F6729">
        <v>33</v>
      </c>
      <c r="G6729">
        <f>LOG(382/(33+1))</f>
        <v>1.0505844458694535</v>
      </c>
      <c r="H6729">
        <f>0.0333333333333333*2.41906008399041</f>
        <v>8.0635336133013588E-2</v>
      </c>
      <c r="I6729">
        <v>8.0635336133013796E-2</v>
      </c>
    </row>
    <row r="6730" spans="1:9" x14ac:dyDescent="0.25">
      <c r="A6730">
        <v>345</v>
      </c>
      <c r="B6730" t="s">
        <v>2443</v>
      </c>
      <c r="C6730" t="s">
        <v>10</v>
      </c>
      <c r="D6730" t="s">
        <v>2150</v>
      </c>
      <c r="E6730">
        <f t="shared" si="304"/>
        <v>3.3333333333333333E-2</v>
      </c>
      <c r="F6730">
        <v>5</v>
      </c>
      <c r="G6730">
        <f>LOG(382/(5+1))</f>
        <v>1.803912112528065</v>
      </c>
      <c r="H6730">
        <f>0.0333333333333333*4.15366113937852</f>
        <v>0.13845537131261718</v>
      </c>
      <c r="I6730">
        <v>0.13845537131261729</v>
      </c>
    </row>
    <row r="6731" spans="1:9" x14ac:dyDescent="0.25">
      <c r="A6731">
        <v>345</v>
      </c>
      <c r="B6731" t="s">
        <v>2443</v>
      </c>
      <c r="C6731" t="s">
        <v>10</v>
      </c>
      <c r="D6731" t="s">
        <v>19</v>
      </c>
      <c r="E6731">
        <f t="shared" si="304"/>
        <v>3.3333333333333333E-2</v>
      </c>
      <c r="F6731">
        <v>220</v>
      </c>
      <c r="G6731">
        <f>LOG(382/(220+1))</f>
        <v>0.23767108922659805</v>
      </c>
      <c r="H6731">
        <f>0.0333333333333333*0.547257907088822</f>
        <v>1.824193023629405E-2</v>
      </c>
      <c r="I6731">
        <v>1.8241930236294081E-2</v>
      </c>
    </row>
    <row r="6732" spans="1:9" x14ac:dyDescent="0.25">
      <c r="A6732">
        <v>345</v>
      </c>
      <c r="B6732" t="s">
        <v>2443</v>
      </c>
      <c r="C6732" t="s">
        <v>10</v>
      </c>
      <c r="D6732" t="s">
        <v>195</v>
      </c>
      <c r="E6732">
        <f t="shared" si="304"/>
        <v>3.3333333333333333E-2</v>
      </c>
      <c r="F6732">
        <v>55</v>
      </c>
      <c r="G6732">
        <f>LOG(382/(55+1))</f>
        <v>0.83387533590550833</v>
      </c>
      <c r="H6732">
        <f>0.0333333333333333*1.92006891787142</f>
        <v>6.4002297262380603E-2</v>
      </c>
      <c r="I6732">
        <v>6.4002297262380867E-2</v>
      </c>
    </row>
    <row r="6733" spans="1:9" x14ac:dyDescent="0.25">
      <c r="A6733">
        <v>345</v>
      </c>
      <c r="B6733" t="s">
        <v>2443</v>
      </c>
      <c r="C6733" t="s">
        <v>10</v>
      </c>
      <c r="D6733" t="s">
        <v>22</v>
      </c>
      <c r="E6733">
        <f t="shared" si="304"/>
        <v>3.3333333333333333E-2</v>
      </c>
      <c r="F6733">
        <v>259</v>
      </c>
      <c r="G6733">
        <f>LOG(382/(259+1))</f>
        <v>0.16709001494089079</v>
      </c>
      <c r="H6733">
        <f>0.0333333333333333*0.384738977591047</f>
        <v>1.282463258636822E-2</v>
      </c>
      <c r="I6733">
        <v>1.282463258636825E-2</v>
      </c>
    </row>
    <row r="6734" spans="1:9" x14ac:dyDescent="0.25">
      <c r="A6734">
        <v>345</v>
      </c>
      <c r="B6734" t="s">
        <v>2443</v>
      </c>
      <c r="C6734" t="s">
        <v>10</v>
      </c>
      <c r="D6734" t="s">
        <v>23</v>
      </c>
      <c r="E6734">
        <f t="shared" si="304"/>
        <v>3.3333333333333333E-2</v>
      </c>
      <c r="F6734">
        <v>275</v>
      </c>
      <c r="G6734">
        <f>LOG(382/(275+1))</f>
        <v>0.14115428084649101</v>
      </c>
      <c r="H6734">
        <f>0.0333333333333333*0.325019742889425</f>
        <v>1.0833991429647487E-2</v>
      </c>
      <c r="I6734">
        <v>1.0833991429647499E-2</v>
      </c>
    </row>
    <row r="6735" spans="1:9" x14ac:dyDescent="0.25">
      <c r="A6735">
        <v>345</v>
      </c>
      <c r="B6735" t="s">
        <v>2443</v>
      </c>
      <c r="C6735" t="s">
        <v>10</v>
      </c>
      <c r="D6735" t="s">
        <v>105</v>
      </c>
      <c r="E6735">
        <f t="shared" si="304"/>
        <v>3.3333333333333333E-2</v>
      </c>
      <c r="F6735">
        <v>122</v>
      </c>
      <c r="G6735">
        <f>LOG(382/(122+1))</f>
        <v>0.49215825147231079</v>
      </c>
      <c r="H6735">
        <f>0.0333333333333333*1.13323625323415</f>
        <v>3.7774541774471627E-2</v>
      </c>
      <c r="I6735">
        <v>3.7774541774471919E-2</v>
      </c>
    </row>
    <row r="6736" spans="1:9" x14ac:dyDescent="0.25">
      <c r="A6736">
        <v>345</v>
      </c>
      <c r="B6736" t="s">
        <v>2443</v>
      </c>
      <c r="C6736" t="s">
        <v>10</v>
      </c>
      <c r="D6736" t="s">
        <v>39</v>
      </c>
      <c r="E6736">
        <f t="shared" si="304"/>
        <v>3.3333333333333333E-2</v>
      </c>
      <c r="F6736">
        <v>145</v>
      </c>
      <c r="G6736">
        <f>LOG(382/(145+1))</f>
        <v>0.41771050712727159</v>
      </c>
      <c r="H6736">
        <f>0.0333333333333333*0.961813986898238</f>
        <v>3.2060466229941235E-2</v>
      </c>
      <c r="I6736">
        <v>3.2060466229941291E-2</v>
      </c>
    </row>
    <row r="6737" spans="1:9" x14ac:dyDescent="0.25">
      <c r="A6737">
        <v>345</v>
      </c>
      <c r="B6737" t="s">
        <v>2443</v>
      </c>
      <c r="C6737" t="s">
        <v>10</v>
      </c>
      <c r="D6737" t="s">
        <v>331</v>
      </c>
      <c r="E6737">
        <f t="shared" si="304"/>
        <v>3.3333333333333333E-2</v>
      </c>
      <c r="F6737">
        <v>130</v>
      </c>
      <c r="G6737">
        <f>LOG(382/(130+1))</f>
        <v>0.46479206725594452</v>
      </c>
      <c r="H6737">
        <f>0.0333333333333333*1.07022328540542</f>
        <v>3.5674109513513963E-2</v>
      </c>
      <c r="I6737">
        <v>3.5674109513514123E-2</v>
      </c>
    </row>
    <row r="6738" spans="1:9" x14ac:dyDescent="0.25">
      <c r="A6738">
        <v>345</v>
      </c>
      <c r="B6738" t="s">
        <v>2443</v>
      </c>
      <c r="C6738" t="s">
        <v>10</v>
      </c>
      <c r="D6738" t="s">
        <v>469</v>
      </c>
      <c r="E6738">
        <f t="shared" si="304"/>
        <v>3.3333333333333333E-2</v>
      </c>
      <c r="F6738">
        <v>13</v>
      </c>
      <c r="G6738">
        <f>LOG(382/(13+1))</f>
        <v>1.4359353272334707</v>
      </c>
      <c r="H6738">
        <f>0.0333333333333333*3.30636327899131</f>
        <v>0.11021210929971022</v>
      </c>
      <c r="I6738">
        <v>0.11021210929971061</v>
      </c>
    </row>
    <row r="6739" spans="1:9" x14ac:dyDescent="0.25">
      <c r="A6739">
        <v>345</v>
      </c>
      <c r="B6739" t="s">
        <v>2443</v>
      </c>
      <c r="C6739" t="s">
        <v>10</v>
      </c>
      <c r="D6739" t="s">
        <v>40</v>
      </c>
      <c r="E6739">
        <f t="shared" si="304"/>
        <v>3.3333333333333333E-2</v>
      </c>
      <c r="F6739">
        <v>159</v>
      </c>
      <c r="G6739">
        <f>LOG(382/(159+1))</f>
        <v>0.377943380255784</v>
      </c>
      <c r="H6739">
        <f>0.0333333333333333*0.870246793372748</f>
        <v>2.9008226445758237E-2</v>
      </c>
      <c r="I6739">
        <v>2.9008226445758279E-2</v>
      </c>
    </row>
    <row r="6740" spans="1:9" x14ac:dyDescent="0.25">
      <c r="A6740">
        <v>345</v>
      </c>
      <c r="B6740" t="s">
        <v>2443</v>
      </c>
      <c r="C6740" t="s">
        <v>10</v>
      </c>
      <c r="D6740" t="s">
        <v>41</v>
      </c>
      <c r="E6740">
        <f t="shared" si="304"/>
        <v>3.3333333333333333E-2</v>
      </c>
      <c r="F6740">
        <v>195</v>
      </c>
      <c r="G6740">
        <f>LOG(382/(195+1))</f>
        <v>0.28980729155523272</v>
      </c>
      <c r="H6740">
        <f>0.0333333333333333*0.667305949376058</f>
        <v>2.2243531645868578E-2</v>
      </c>
      <c r="I6740">
        <v>2.2243531645868599E-2</v>
      </c>
    </row>
    <row r="6741" spans="1:9" x14ac:dyDescent="0.25">
      <c r="A6741">
        <v>345</v>
      </c>
      <c r="B6741" t="s">
        <v>2443</v>
      </c>
      <c r="C6741" t="s">
        <v>10</v>
      </c>
      <c r="D6741" t="s">
        <v>68</v>
      </c>
      <c r="E6741">
        <f t="shared" si="304"/>
        <v>3.3333333333333333E-2</v>
      </c>
      <c r="F6741">
        <v>43</v>
      </c>
      <c r="G6741">
        <f>LOG(382/(43+1))</f>
        <v>0.93861068642552126</v>
      </c>
      <c r="H6741">
        <f>0.0333333333333333*2.16123097468831</f>
        <v>7.2041032489610246E-2</v>
      </c>
      <c r="I6741">
        <v>7.2041032489610454E-2</v>
      </c>
    </row>
    <row r="6742" spans="1:9" x14ac:dyDescent="0.25">
      <c r="A6742">
        <v>345</v>
      </c>
      <c r="B6742" t="s">
        <v>2443</v>
      </c>
      <c r="C6742" t="s">
        <v>10</v>
      </c>
      <c r="D6742" t="s">
        <v>44</v>
      </c>
      <c r="E6742">
        <f t="shared" si="304"/>
        <v>3.3333333333333333E-2</v>
      </c>
      <c r="F6742">
        <v>151</v>
      </c>
      <c r="G6742">
        <f>LOG(382/(151+1))</f>
        <v>0.40021977496693617</v>
      </c>
      <c r="H6742">
        <f>0.0333333333333333*0.921540087760298</f>
        <v>3.0718002925343237E-2</v>
      </c>
      <c r="I6742">
        <v>3.0718002925343289E-2</v>
      </c>
    </row>
    <row r="6743" spans="1:9" x14ac:dyDescent="0.25">
      <c r="A6743">
        <v>345</v>
      </c>
      <c r="B6743" t="s">
        <v>2443</v>
      </c>
      <c r="C6743" t="s">
        <v>10</v>
      </c>
      <c r="D6743" t="s">
        <v>25</v>
      </c>
      <c r="E6743">
        <f t="shared" si="304"/>
        <v>3.3333333333333333E-2</v>
      </c>
      <c r="F6743">
        <v>106</v>
      </c>
      <c r="G6743">
        <f>LOG(382/(106+1))</f>
        <v>0.55267958522649907</v>
      </c>
      <c r="H6743">
        <f>0.0333333333333333*1.27259177414466</f>
        <v>4.2419725804821951E-2</v>
      </c>
      <c r="I6743">
        <v>4.2419725804822297E-2</v>
      </c>
    </row>
    <row r="6744" spans="1:9" x14ac:dyDescent="0.25">
      <c r="A6744">
        <v>345</v>
      </c>
      <c r="B6744" t="s">
        <v>2443</v>
      </c>
      <c r="C6744" t="s">
        <v>10</v>
      </c>
      <c r="D6744" t="s">
        <v>26</v>
      </c>
      <c r="E6744">
        <f t="shared" si="304"/>
        <v>3.3333333333333333E-2</v>
      </c>
      <c r="F6744">
        <v>40</v>
      </c>
      <c r="G6744">
        <f>LOG(382/(40+1))</f>
        <v>0.96927950619197323</v>
      </c>
      <c r="H6744">
        <f>0.0333333333333333*2.23184854190226</f>
        <v>7.4394951396741918E-2</v>
      </c>
      <c r="I6744">
        <v>7.4394951396742237E-2</v>
      </c>
    </row>
    <row r="6745" spans="1:9" x14ac:dyDescent="0.25">
      <c r="A6745">
        <v>345</v>
      </c>
      <c r="B6745" t="s">
        <v>2443</v>
      </c>
      <c r="C6745" t="s">
        <v>10</v>
      </c>
      <c r="D6745" t="s">
        <v>928</v>
      </c>
      <c r="E6745">
        <f t="shared" si="304"/>
        <v>3.3333333333333333E-2</v>
      </c>
      <c r="F6745">
        <v>5</v>
      </c>
      <c r="G6745">
        <f>LOG(382/(5+1))</f>
        <v>1.803912112528065</v>
      </c>
      <c r="H6745">
        <f>0.0333333333333333*4.15366113937852</f>
        <v>0.13845537131261718</v>
      </c>
      <c r="I6745">
        <v>0.13845537131261729</v>
      </c>
    </row>
    <row r="6746" spans="1:9" x14ac:dyDescent="0.25">
      <c r="A6746">
        <v>345</v>
      </c>
      <c r="B6746" t="s">
        <v>2443</v>
      </c>
      <c r="C6746" t="s">
        <v>10</v>
      </c>
      <c r="D6746" t="s">
        <v>28</v>
      </c>
      <c r="E6746">
        <f t="shared" si="304"/>
        <v>3.3333333333333333E-2</v>
      </c>
      <c r="F6746">
        <v>35</v>
      </c>
      <c r="G6746">
        <f>LOG(382/(35+1))</f>
        <v>1.0257608621444214</v>
      </c>
      <c r="H6746">
        <f>0.0333333333333333*2.36190167015046</f>
        <v>7.8730055671681912E-2</v>
      </c>
      <c r="I6746">
        <v>7.8730055671682161E-2</v>
      </c>
    </row>
    <row r="6747" spans="1:9" x14ac:dyDescent="0.25">
      <c r="A6747">
        <v>345</v>
      </c>
      <c r="B6747" t="s">
        <v>2443</v>
      </c>
      <c r="C6747" t="s">
        <v>10</v>
      </c>
      <c r="D6747" t="s">
        <v>476</v>
      </c>
      <c r="E6747">
        <f t="shared" si="304"/>
        <v>3.3333333333333333E-2</v>
      </c>
      <c r="F6747">
        <v>18</v>
      </c>
      <c r="G6747">
        <f>LOG(382/(18+1))</f>
        <v>1.3033097619588798</v>
      </c>
      <c r="H6747">
        <f>0.0333333333333333*3.00098162944013</f>
        <v>0.10003272098133757</v>
      </c>
      <c r="I6747">
        <v>0.10003272098133779</v>
      </c>
    </row>
    <row r="6748" spans="1:9" x14ac:dyDescent="0.25">
      <c r="A6748">
        <v>345</v>
      </c>
      <c r="B6748" t="s">
        <v>2443</v>
      </c>
      <c r="C6748" t="s">
        <v>10</v>
      </c>
      <c r="D6748" t="s">
        <v>929</v>
      </c>
      <c r="E6748">
        <f t="shared" si="304"/>
        <v>3.3333333333333333E-2</v>
      </c>
      <c r="F6748">
        <v>32</v>
      </c>
      <c r="G6748">
        <f>LOG(382/(32+1))</f>
        <v>1.0635494230338212</v>
      </c>
      <c r="H6748">
        <f>0.0333333333333333*2.44891304714009</f>
        <v>8.1630434904669591E-2</v>
      </c>
      <c r="I6748">
        <v>8.1630434904669841E-2</v>
      </c>
    </row>
    <row r="6749" spans="1:9" x14ac:dyDescent="0.25">
      <c r="A6749">
        <v>346</v>
      </c>
      <c r="B6749" t="s">
        <v>2444</v>
      </c>
      <c r="C6749" t="s">
        <v>10</v>
      </c>
      <c r="D6749" t="s">
        <v>36</v>
      </c>
      <c r="E6749">
        <f>14/188</f>
        <v>7.4468085106382975E-2</v>
      </c>
      <c r="F6749">
        <v>58</v>
      </c>
      <c r="G6749">
        <f>LOG(382/(58+1))</f>
        <v>0.81121135126956456</v>
      </c>
      <c r="H6749">
        <f>0.0744680851063829*1.86788316470085</f>
        <v>0.13909768247772275</v>
      </c>
      <c r="I6749">
        <v>0.13909768247772331</v>
      </c>
    </row>
    <row r="6750" spans="1:9" x14ac:dyDescent="0.25">
      <c r="A6750">
        <v>346</v>
      </c>
      <c r="B6750" t="s">
        <v>2444</v>
      </c>
      <c r="C6750" t="s">
        <v>10</v>
      </c>
      <c r="D6750" t="s">
        <v>77</v>
      </c>
      <c r="E6750">
        <f>11/188</f>
        <v>5.8510638297872342E-2</v>
      </c>
      <c r="F6750">
        <v>148</v>
      </c>
      <c r="G6750">
        <f>LOG(382/(148+1))</f>
        <v>0.40887709449943471</v>
      </c>
      <c r="H6750">
        <f>0.0585106382978723*0.941474302661116</f>
        <v>5.5086262389746107E-2</v>
      </c>
      <c r="I6750">
        <v>5.5086262389746163E-2</v>
      </c>
    </row>
    <row r="6751" spans="1:9" x14ac:dyDescent="0.25">
      <c r="A6751">
        <v>346</v>
      </c>
      <c r="B6751" t="s">
        <v>2444</v>
      </c>
      <c r="C6751" t="s">
        <v>10</v>
      </c>
      <c r="D6751" t="s">
        <v>2445</v>
      </c>
      <c r="E6751">
        <f>5/188</f>
        <v>2.6595744680851064E-2</v>
      </c>
      <c r="F6751">
        <v>1</v>
      </c>
      <c r="G6751">
        <f>LOG(382/(1+1))</f>
        <v>2.2810333672477277</v>
      </c>
      <c r="H6751">
        <f>0.026595744680851*5.25227342804663</f>
        <v>0.13968812308634621</v>
      </c>
      <c r="I6751">
        <v>0.13968812308634651</v>
      </c>
    </row>
    <row r="6752" spans="1:9" x14ac:dyDescent="0.25">
      <c r="A6752">
        <v>346</v>
      </c>
      <c r="B6752" t="s">
        <v>2444</v>
      </c>
      <c r="C6752" t="s">
        <v>10</v>
      </c>
      <c r="D6752" t="s">
        <v>2446</v>
      </c>
      <c r="E6752">
        <f>5/188</f>
        <v>2.6595744680851064E-2</v>
      </c>
      <c r="F6752">
        <v>1</v>
      </c>
      <c r="G6752">
        <f>LOG(382/(1+1))</f>
        <v>2.2810333672477277</v>
      </c>
      <c r="H6752">
        <f>0.026595744680851*5.25227342804663</f>
        <v>0.13968812308634621</v>
      </c>
      <c r="I6752">
        <v>0.13968812308634651</v>
      </c>
    </row>
    <row r="6753" spans="1:9" x14ac:dyDescent="0.25">
      <c r="A6753">
        <v>346</v>
      </c>
      <c r="B6753" t="s">
        <v>2444</v>
      </c>
      <c r="C6753" t="s">
        <v>10</v>
      </c>
      <c r="D6753" t="s">
        <v>2447</v>
      </c>
      <c r="E6753">
        <f>5/188</f>
        <v>2.6595744680851064E-2</v>
      </c>
      <c r="F6753">
        <v>1</v>
      </c>
      <c r="G6753">
        <f>LOG(382/(1+1))</f>
        <v>2.2810333672477277</v>
      </c>
      <c r="H6753">
        <f>0.026595744680851*5.25227342804663</f>
        <v>0.13968812308634621</v>
      </c>
      <c r="I6753">
        <v>0.13968812308634651</v>
      </c>
    </row>
    <row r="6754" spans="1:9" x14ac:dyDescent="0.25">
      <c r="A6754">
        <v>346</v>
      </c>
      <c r="B6754" t="s">
        <v>2444</v>
      </c>
      <c r="C6754" t="s">
        <v>10</v>
      </c>
      <c r="D6754" t="s">
        <v>247</v>
      </c>
      <c r="E6754">
        <f>2/188</f>
        <v>1.0638297872340425E-2</v>
      </c>
      <c r="F6754">
        <v>121</v>
      </c>
      <c r="G6754">
        <f>LOG(382/(121+1))</f>
        <v>0.49570353223696051</v>
      </c>
      <c r="H6754">
        <f>0.0106382978723404*1.14139956387331</f>
        <v>1.2142548551843695E-2</v>
      </c>
      <c r="I6754">
        <v>1.214254855184382E-2</v>
      </c>
    </row>
    <row r="6755" spans="1:9" x14ac:dyDescent="0.25">
      <c r="A6755">
        <v>346</v>
      </c>
      <c r="B6755" t="s">
        <v>2444</v>
      </c>
      <c r="C6755" t="s">
        <v>10</v>
      </c>
      <c r="D6755" t="s">
        <v>39</v>
      </c>
      <c r="E6755">
        <f>2/188</f>
        <v>1.0638297872340425E-2</v>
      </c>
      <c r="F6755">
        <v>145</v>
      </c>
      <c r="G6755">
        <f>LOG(382/(145+1))</f>
        <v>0.41771050712727159</v>
      </c>
      <c r="H6755">
        <f>0.0106382978723404*0.961813986898238</f>
        <v>1.0232063690406763E-2</v>
      </c>
      <c r="I6755">
        <v>1.023206369040679E-2</v>
      </c>
    </row>
    <row r="6756" spans="1:9" x14ac:dyDescent="0.25">
      <c r="A6756">
        <v>346</v>
      </c>
      <c r="B6756" t="s">
        <v>2444</v>
      </c>
      <c r="C6756" t="s">
        <v>10</v>
      </c>
      <c r="D6756" t="s">
        <v>331</v>
      </c>
      <c r="E6756">
        <f>9/188</f>
        <v>4.7872340425531915E-2</v>
      </c>
      <c r="F6756">
        <v>130</v>
      </c>
      <c r="G6756">
        <f>LOG(382/(130+1))</f>
        <v>0.46479206725594452</v>
      </c>
      <c r="H6756">
        <f>0.0478723404255319*1.07022328540542</f>
        <v>5.1234093450259456E-2</v>
      </c>
      <c r="I6756">
        <v>5.1234093450259643E-2</v>
      </c>
    </row>
    <row r="6757" spans="1:9" x14ac:dyDescent="0.25">
      <c r="A6757">
        <v>346</v>
      </c>
      <c r="B6757" t="s">
        <v>2444</v>
      </c>
      <c r="C6757" t="s">
        <v>10</v>
      </c>
      <c r="D6757" t="s">
        <v>42</v>
      </c>
      <c r="E6757">
        <f>2/188</f>
        <v>1.0638297872340425E-2</v>
      </c>
      <c r="F6757">
        <v>251</v>
      </c>
      <c r="G6757">
        <f>LOG(382/(251+1))</f>
        <v>0.18066282213016463</v>
      </c>
      <c r="H6757">
        <f>0.0106382978723404*0.415991521095151</f>
        <v>4.4254417137781906E-3</v>
      </c>
      <c r="I6757">
        <v>4.4254417137782106E-3</v>
      </c>
    </row>
    <row r="6758" spans="1:9" x14ac:dyDescent="0.25">
      <c r="A6758">
        <v>346</v>
      </c>
      <c r="B6758" t="s">
        <v>2444</v>
      </c>
      <c r="C6758" t="s">
        <v>10</v>
      </c>
      <c r="D6758" t="s">
        <v>465</v>
      </c>
      <c r="E6758">
        <f>1/188</f>
        <v>5.3191489361702126E-3</v>
      </c>
      <c r="F6758">
        <v>36</v>
      </c>
      <c r="G6758">
        <f>LOG(382/(36+1))</f>
        <v>1.0138616388447137</v>
      </c>
      <c r="H6758">
        <f>0.00531914893617021*2.33450269596235</f>
        <v>1.2417567531714621E-2</v>
      </c>
      <c r="I6758">
        <v>1.241756753171463E-2</v>
      </c>
    </row>
    <row r="6759" spans="1:9" x14ac:dyDescent="0.25">
      <c r="A6759">
        <v>346</v>
      </c>
      <c r="B6759" t="s">
        <v>2444</v>
      </c>
      <c r="C6759" t="s">
        <v>10</v>
      </c>
      <c r="D6759" t="s">
        <v>40</v>
      </c>
      <c r="E6759">
        <f>6/188</f>
        <v>3.1914893617021274E-2</v>
      </c>
      <c r="F6759">
        <v>159</v>
      </c>
      <c r="G6759">
        <f>LOG(382/(159+1))</f>
        <v>0.377943380255784</v>
      </c>
      <c r="H6759">
        <f>0.0319148936170212*0.870246793372748</f>
        <v>2.7773833831045081E-2</v>
      </c>
      <c r="I6759">
        <v>2.7773833831045161E-2</v>
      </c>
    </row>
    <row r="6760" spans="1:9" x14ac:dyDescent="0.25">
      <c r="A6760">
        <v>346</v>
      </c>
      <c r="B6760" t="s">
        <v>2444</v>
      </c>
      <c r="C6760" t="s">
        <v>10</v>
      </c>
      <c r="D6760" t="s">
        <v>41</v>
      </c>
      <c r="E6760">
        <f>5/188</f>
        <v>2.6595744680851064E-2</v>
      </c>
      <c r="F6760">
        <v>195</v>
      </c>
      <c r="G6760">
        <f>LOG(382/(195+1))</f>
        <v>0.28980729155523272</v>
      </c>
      <c r="H6760">
        <f>0.026595744680851*0.667305949376058</f>
        <v>1.7747498653618524E-2</v>
      </c>
      <c r="I6760">
        <v>1.7747498653618569E-2</v>
      </c>
    </row>
    <row r="6761" spans="1:9" x14ac:dyDescent="0.25">
      <c r="A6761">
        <v>346</v>
      </c>
      <c r="B6761" t="s">
        <v>2444</v>
      </c>
      <c r="C6761" t="s">
        <v>10</v>
      </c>
      <c r="D6761" t="s">
        <v>22</v>
      </c>
      <c r="E6761">
        <f>2/188</f>
        <v>1.0638297872340425E-2</v>
      </c>
      <c r="F6761">
        <v>259</v>
      </c>
      <c r="G6761">
        <f>LOG(382/(259+1))</f>
        <v>0.16709001494089079</v>
      </c>
      <c r="H6761">
        <f>0.0106382978723404*0.384738977591047</f>
        <v>4.0929678467132562E-3</v>
      </c>
      <c r="I6761">
        <v>4.0929678467132719E-3</v>
      </c>
    </row>
    <row r="6762" spans="1:9" x14ac:dyDescent="0.25">
      <c r="A6762">
        <v>346</v>
      </c>
      <c r="B6762" t="s">
        <v>2444</v>
      </c>
      <c r="C6762" t="s">
        <v>10</v>
      </c>
      <c r="D6762" t="s">
        <v>23</v>
      </c>
      <c r="E6762">
        <f>2/188</f>
        <v>1.0638297872340425E-2</v>
      </c>
      <c r="F6762">
        <v>275</v>
      </c>
      <c r="G6762">
        <f>LOG(382/(275+1))</f>
        <v>0.14115428084649101</v>
      </c>
      <c r="H6762">
        <f>0.0106382978723404*0.325019742889425</f>
        <v>3.4576568392491935E-3</v>
      </c>
      <c r="I6762">
        <v>3.457656839249203E-3</v>
      </c>
    </row>
    <row r="6763" spans="1:9" x14ac:dyDescent="0.25">
      <c r="A6763">
        <v>346</v>
      </c>
      <c r="B6763" t="s">
        <v>2444</v>
      </c>
      <c r="C6763" t="s">
        <v>10</v>
      </c>
      <c r="D6763" t="s">
        <v>204</v>
      </c>
      <c r="E6763">
        <f>2/188</f>
        <v>1.0638297872340425E-2</v>
      </c>
      <c r="F6763">
        <v>166</v>
      </c>
      <c r="G6763">
        <f>LOG(382/(166+1))</f>
        <v>0.35934689176412549</v>
      </c>
      <c r="H6763">
        <f>0.0106382978723404*0.82742679618982</f>
        <v>8.8024127254235952E-3</v>
      </c>
      <c r="I6763">
        <v>8.8024127254236178E-3</v>
      </c>
    </row>
    <row r="6764" spans="1:9" x14ac:dyDescent="0.25">
      <c r="A6764">
        <v>346</v>
      </c>
      <c r="B6764" t="s">
        <v>2444</v>
      </c>
      <c r="C6764" t="s">
        <v>10</v>
      </c>
      <c r="D6764" t="s">
        <v>487</v>
      </c>
      <c r="E6764">
        <f>3/188</f>
        <v>1.5957446808510637E-2</v>
      </c>
      <c r="F6764">
        <v>32</v>
      </c>
      <c r="G6764">
        <f>LOG(382/(32+1))</f>
        <v>1.0635494230338212</v>
      </c>
      <c r="H6764">
        <f>0.0159574468085106*2.44891304714009</f>
        <v>3.9078399688405596E-2</v>
      </c>
      <c r="I6764">
        <v>3.907839968840577E-2</v>
      </c>
    </row>
    <row r="6765" spans="1:9" x14ac:dyDescent="0.25">
      <c r="A6765">
        <v>346</v>
      </c>
      <c r="B6765" t="s">
        <v>2444</v>
      </c>
      <c r="C6765" t="s">
        <v>10</v>
      </c>
      <c r="D6765" t="s">
        <v>939</v>
      </c>
      <c r="E6765">
        <f>2/188</f>
        <v>1.0638297872340425E-2</v>
      </c>
      <c r="F6765">
        <v>35</v>
      </c>
      <c r="G6765">
        <f>LOG(382/(35+1))</f>
        <v>1.0257608621444214</v>
      </c>
      <c r="H6765">
        <f>0.0106382978723404*2.36190167015046</f>
        <v>2.5126613512238875E-2</v>
      </c>
      <c r="I6765">
        <v>2.512661351223899E-2</v>
      </c>
    </row>
    <row r="6766" spans="1:9" x14ac:dyDescent="0.25">
      <c r="A6766">
        <v>346</v>
      </c>
      <c r="B6766" t="s">
        <v>2444</v>
      </c>
      <c r="C6766" t="s">
        <v>10</v>
      </c>
      <c r="D6766" t="s">
        <v>477</v>
      </c>
      <c r="E6766">
        <f>1/188</f>
        <v>5.3191489361702126E-3</v>
      </c>
      <c r="F6766">
        <v>17</v>
      </c>
      <c r="G6766">
        <f>LOG(382/(17+1))</f>
        <v>1.3267908578084027</v>
      </c>
      <c r="H6766">
        <f>0.00531914893617021*3.05504885071041</f>
        <v>1.62502598442043E-2</v>
      </c>
      <c r="I6766">
        <v>1.625025984420431E-2</v>
      </c>
    </row>
    <row r="6767" spans="1:9" x14ac:dyDescent="0.25">
      <c r="A6767">
        <v>346</v>
      </c>
      <c r="B6767" t="s">
        <v>2444</v>
      </c>
      <c r="C6767" t="s">
        <v>10</v>
      </c>
      <c r="D6767" t="s">
        <v>161</v>
      </c>
      <c r="E6767">
        <f>2/188</f>
        <v>1.0638297872340425E-2</v>
      </c>
      <c r="F6767">
        <v>33</v>
      </c>
      <c r="G6767">
        <f>LOG(382/(33+1))</f>
        <v>1.0505844458694535</v>
      </c>
      <c r="H6767">
        <f>0.0106382978723404*2.41906008399041</f>
        <v>2.5734681744578769E-2</v>
      </c>
      <c r="I6767">
        <v>2.573468174457887E-2</v>
      </c>
    </row>
    <row r="6768" spans="1:9" x14ac:dyDescent="0.25">
      <c r="A6768">
        <v>346</v>
      </c>
      <c r="B6768" t="s">
        <v>2444</v>
      </c>
      <c r="C6768" t="s">
        <v>10</v>
      </c>
      <c r="D6768" t="s">
        <v>936</v>
      </c>
      <c r="E6768">
        <f>3/188</f>
        <v>1.5957446808510637E-2</v>
      </c>
      <c r="F6768">
        <v>21</v>
      </c>
      <c r="G6768">
        <f>LOG(382/(21+1))</f>
        <v>1.2396406820895025</v>
      </c>
      <c r="H6768">
        <f>0.0159574468085106*2.85437815524825</f>
        <v>4.5548587583748558E-2</v>
      </c>
      <c r="I6768">
        <v>4.5548587583748808E-2</v>
      </c>
    </row>
    <row r="6769" spans="1:9" x14ac:dyDescent="0.25">
      <c r="A6769">
        <v>346</v>
      </c>
      <c r="B6769" t="s">
        <v>2444</v>
      </c>
      <c r="C6769" t="s">
        <v>10</v>
      </c>
      <c r="D6769" t="s">
        <v>937</v>
      </c>
      <c r="E6769">
        <f>2/188</f>
        <v>1.0638297872340425E-2</v>
      </c>
      <c r="F6769">
        <v>41</v>
      </c>
      <c r="G6769">
        <f>LOG(382/(41+1))</f>
        <v>0.95881407251380824</v>
      </c>
      <c r="H6769">
        <f>0.0106382978723404*2.2077509903232</f>
        <v>2.3486712663012711E-2</v>
      </c>
      <c r="I6769">
        <v>2.3486712663012839E-2</v>
      </c>
    </row>
    <row r="6770" spans="1:9" x14ac:dyDescent="0.25">
      <c r="A6770">
        <v>346</v>
      </c>
      <c r="B6770" t="s">
        <v>2444</v>
      </c>
      <c r="C6770" t="s">
        <v>10</v>
      </c>
      <c r="D6770" t="s">
        <v>76</v>
      </c>
      <c r="E6770">
        <f>6/188</f>
        <v>3.1914893617021274E-2</v>
      </c>
      <c r="F6770">
        <v>140</v>
      </c>
      <c r="G6770">
        <f>LOG(382/(140+1))</f>
        <v>0.43284425025632883</v>
      </c>
      <c r="H6770">
        <f>0.0319148936170212*0.996660718228407</f>
        <v>3.1808320794523545E-2</v>
      </c>
      <c r="I6770">
        <v>3.1808320794523622E-2</v>
      </c>
    </row>
    <row r="6771" spans="1:9" x14ac:dyDescent="0.25">
      <c r="A6771">
        <v>346</v>
      </c>
      <c r="B6771" t="s">
        <v>2444</v>
      </c>
      <c r="C6771" t="s">
        <v>10</v>
      </c>
      <c r="D6771" t="s">
        <v>218</v>
      </c>
      <c r="E6771">
        <f t="shared" ref="E6771:E6776" si="305">1/188</f>
        <v>5.3191489361702126E-3</v>
      </c>
      <c r="F6771">
        <v>35</v>
      </c>
      <c r="G6771">
        <f>LOG(382/(35+1))</f>
        <v>1.0257608621444214</v>
      </c>
      <c r="H6771">
        <f>0.00531914893617021*2.36190167015046</f>
        <v>1.2563306756119462E-2</v>
      </c>
      <c r="I6771">
        <v>1.256330675611949E-2</v>
      </c>
    </row>
    <row r="6772" spans="1:9" x14ac:dyDescent="0.25">
      <c r="A6772">
        <v>346</v>
      </c>
      <c r="B6772" t="s">
        <v>2444</v>
      </c>
      <c r="C6772" t="s">
        <v>10</v>
      </c>
      <c r="D6772" t="s">
        <v>485</v>
      </c>
      <c r="E6772">
        <f t="shared" si="305"/>
        <v>5.3191489361702126E-3</v>
      </c>
      <c r="F6772">
        <v>74</v>
      </c>
      <c r="G6772">
        <f>LOG(382/(74+1))</f>
        <v>0.7070020995200087</v>
      </c>
      <c r="H6772">
        <f>0.00531914893617021*1.62793249507026</f>
        <v>8.6592153993098903E-3</v>
      </c>
      <c r="I6772">
        <v>8.6592153993099181E-3</v>
      </c>
    </row>
    <row r="6773" spans="1:9" x14ac:dyDescent="0.25">
      <c r="A6773">
        <v>346</v>
      </c>
      <c r="B6773" t="s">
        <v>2444</v>
      </c>
      <c r="C6773" t="s">
        <v>10</v>
      </c>
      <c r="D6773" t="s">
        <v>215</v>
      </c>
      <c r="E6773">
        <f t="shared" si="305"/>
        <v>5.3191489361702126E-3</v>
      </c>
      <c r="F6773">
        <v>25</v>
      </c>
      <c r="G6773">
        <f>LOG(382/(25+1))</f>
        <v>1.1670900149408907</v>
      </c>
      <c r="H6773">
        <f>0.00531914893617021*2.68732407058509</f>
        <v>1.429427697119728E-2</v>
      </c>
      <c r="I6773">
        <v>1.42942769711973E-2</v>
      </c>
    </row>
    <row r="6774" spans="1:9" x14ac:dyDescent="0.25">
      <c r="A6774">
        <v>346</v>
      </c>
      <c r="B6774" t="s">
        <v>2444</v>
      </c>
      <c r="C6774" t="s">
        <v>10</v>
      </c>
      <c r="D6774" t="s">
        <v>216</v>
      </c>
      <c r="E6774">
        <f t="shared" si="305"/>
        <v>5.3191489361702126E-3</v>
      </c>
      <c r="F6774">
        <v>63</v>
      </c>
      <c r="G6774">
        <f>LOG(382/(63+1))</f>
        <v>0.7758833889278216</v>
      </c>
      <c r="H6774">
        <f>0.00531914893617021*1.7865375252469</f>
        <v>9.5028591768452075E-3</v>
      </c>
      <c r="I6774">
        <v>9.5028591768452301E-3</v>
      </c>
    </row>
    <row r="6775" spans="1:9" x14ac:dyDescent="0.25">
      <c r="A6775">
        <v>346</v>
      </c>
      <c r="B6775" t="s">
        <v>2444</v>
      </c>
      <c r="C6775" t="s">
        <v>10</v>
      </c>
      <c r="D6775" t="s">
        <v>823</v>
      </c>
      <c r="E6775">
        <f t="shared" si="305"/>
        <v>5.3191489361702126E-3</v>
      </c>
      <c r="F6775">
        <v>45</v>
      </c>
      <c r="G6775">
        <f>LOG(382/(45+1))</f>
        <v>0.9193055312301347</v>
      </c>
      <c r="H6775">
        <f>0.00531914893617021*2.11677921211748</f>
        <v>1.125946389424191E-2</v>
      </c>
      <c r="I6775">
        <v>1.1259463894241919E-2</v>
      </c>
    </row>
    <row r="6776" spans="1:9" x14ac:dyDescent="0.25">
      <c r="A6776">
        <v>346</v>
      </c>
      <c r="B6776" t="s">
        <v>2444</v>
      </c>
      <c r="C6776" t="s">
        <v>10</v>
      </c>
      <c r="D6776" t="s">
        <v>752</v>
      </c>
      <c r="E6776">
        <f t="shared" si="305"/>
        <v>5.3191489361702126E-3</v>
      </c>
      <c r="F6776">
        <v>34</v>
      </c>
      <c r="G6776">
        <f>LOG(382/(34+1))</f>
        <v>1.037995318561433</v>
      </c>
      <c r="H6776">
        <f>0.00531914893617021*2.39007254711716</f>
        <v>1.2713151846367865E-2</v>
      </c>
      <c r="I6776">
        <v>1.2713151846367879E-2</v>
      </c>
    </row>
    <row r="6777" spans="1:9" x14ac:dyDescent="0.25">
      <c r="A6777">
        <v>346</v>
      </c>
      <c r="B6777" t="s">
        <v>2444</v>
      </c>
      <c r="C6777" t="s">
        <v>10</v>
      </c>
      <c r="D6777" t="s">
        <v>26</v>
      </c>
      <c r="E6777">
        <f>2/188</f>
        <v>1.0638297872340425E-2</v>
      </c>
      <c r="F6777">
        <v>40</v>
      </c>
      <c r="G6777">
        <f>LOG(382/(40+1))</f>
        <v>0.96927950619197323</v>
      </c>
      <c r="H6777">
        <f>0.0106382978723404*2.23184854190226</f>
        <v>2.3743069594704833E-2</v>
      </c>
      <c r="I6777">
        <v>2.3743069594704971E-2</v>
      </c>
    </row>
    <row r="6778" spans="1:9" x14ac:dyDescent="0.25">
      <c r="A6778">
        <v>346</v>
      </c>
      <c r="B6778" t="s">
        <v>2444</v>
      </c>
      <c r="C6778" t="s">
        <v>10</v>
      </c>
      <c r="D6778" t="s">
        <v>237</v>
      </c>
      <c r="E6778">
        <f>2/188</f>
        <v>1.0638297872340425E-2</v>
      </c>
      <c r="F6778">
        <v>138</v>
      </c>
      <c r="G6778">
        <f>LOG(382/(138+1))</f>
        <v>0.43904856265761361</v>
      </c>
      <c r="H6778">
        <f>0.0106382978723404*1.01094667547588</f>
        <v>1.0754751866764655E-2</v>
      </c>
      <c r="I6778">
        <v>1.0754751866764721E-2</v>
      </c>
    </row>
    <row r="6779" spans="1:9" x14ac:dyDescent="0.25">
      <c r="A6779">
        <v>346</v>
      </c>
      <c r="B6779" t="s">
        <v>2444</v>
      </c>
      <c r="C6779" t="s">
        <v>10</v>
      </c>
      <c r="D6779" t="s">
        <v>2163</v>
      </c>
      <c r="E6779">
        <f t="shared" ref="E6779:E6788" si="306">1/188</f>
        <v>5.3191489361702126E-3</v>
      </c>
      <c r="F6779">
        <v>6</v>
      </c>
      <c r="G6779">
        <f>LOG(382/(6+1))</f>
        <v>1.736965322897452</v>
      </c>
      <c r="H6779">
        <f>0.00531914893617021*3.99951045955126</f>
        <v>2.1273991806123712E-2</v>
      </c>
      <c r="I6779">
        <v>2.1273991806123729E-2</v>
      </c>
    </row>
    <row r="6780" spans="1:9" x14ac:dyDescent="0.25">
      <c r="A6780">
        <v>346</v>
      </c>
      <c r="B6780" t="s">
        <v>2444</v>
      </c>
      <c r="C6780" t="s">
        <v>10</v>
      </c>
      <c r="D6780" t="s">
        <v>379</v>
      </c>
      <c r="E6780">
        <f t="shared" si="306"/>
        <v>5.3191489361702126E-3</v>
      </c>
      <c r="F6780">
        <v>17</v>
      </c>
      <c r="G6780">
        <f>LOG(382/(17+1))</f>
        <v>1.3267908578084027</v>
      </c>
      <c r="H6780">
        <f>0.00531914893617021*3.05504885071041</f>
        <v>1.62502598442043E-2</v>
      </c>
      <c r="I6780">
        <v>1.625025984420431E-2</v>
      </c>
    </row>
    <row r="6781" spans="1:9" x14ac:dyDescent="0.25">
      <c r="A6781">
        <v>346</v>
      </c>
      <c r="B6781" t="s">
        <v>2444</v>
      </c>
      <c r="C6781" t="s">
        <v>10</v>
      </c>
      <c r="D6781" t="s">
        <v>1529</v>
      </c>
      <c r="E6781">
        <f t="shared" si="306"/>
        <v>5.3191489361702126E-3</v>
      </c>
      <c r="F6781">
        <v>4</v>
      </c>
      <c r="G6781">
        <f>LOG(382/(4+1))</f>
        <v>1.8830933585756899</v>
      </c>
      <c r="H6781">
        <f>0.00531914893617021*4.33598269617247</f>
        <v>2.3063737745598233E-2</v>
      </c>
      <c r="I6781">
        <v>2.3063737745598271E-2</v>
      </c>
    </row>
    <row r="6782" spans="1:9" x14ac:dyDescent="0.25">
      <c r="A6782">
        <v>346</v>
      </c>
      <c r="B6782" t="s">
        <v>2444</v>
      </c>
      <c r="C6782" t="s">
        <v>10</v>
      </c>
      <c r="D6782" t="s">
        <v>2448</v>
      </c>
      <c r="E6782">
        <f t="shared" si="306"/>
        <v>5.3191489361702126E-3</v>
      </c>
      <c r="F6782">
        <v>4</v>
      </c>
      <c r="G6782">
        <f>LOG(382/(4+1))</f>
        <v>1.8830933585756899</v>
      </c>
      <c r="H6782">
        <f>0.00531914893617021*4.33598269617247</f>
        <v>2.3063737745598233E-2</v>
      </c>
      <c r="I6782">
        <v>2.3063737745598271E-2</v>
      </c>
    </row>
    <row r="6783" spans="1:9" x14ac:dyDescent="0.25">
      <c r="A6783">
        <v>346</v>
      </c>
      <c r="B6783" t="s">
        <v>2444</v>
      </c>
      <c r="C6783" t="s">
        <v>10</v>
      </c>
      <c r="D6783" t="s">
        <v>2224</v>
      </c>
      <c r="E6783">
        <f t="shared" si="306"/>
        <v>5.3191489361702126E-3</v>
      </c>
      <c r="F6783">
        <v>6</v>
      </c>
      <c r="G6783">
        <f>LOG(382/(6+1))</f>
        <v>1.736965322897452</v>
      </c>
      <c r="H6783">
        <f>0.00531914893617021*3.99951045955126</f>
        <v>2.1273991806123712E-2</v>
      </c>
      <c r="I6783">
        <v>2.1273991806123729E-2</v>
      </c>
    </row>
    <row r="6784" spans="1:9" x14ac:dyDescent="0.25">
      <c r="A6784">
        <v>346</v>
      </c>
      <c r="B6784" t="s">
        <v>2444</v>
      </c>
      <c r="C6784" t="s">
        <v>10</v>
      </c>
      <c r="D6784" t="s">
        <v>11</v>
      </c>
      <c r="E6784">
        <f t="shared" si="306"/>
        <v>5.3191489361702126E-3</v>
      </c>
      <c r="F6784">
        <v>83</v>
      </c>
      <c r="G6784">
        <f>LOG(382/(83+1))</f>
        <v>0.65778407684982709</v>
      </c>
      <c r="H6784">
        <f>0.00531914893617021*1.51460380976326</f>
        <v>8.0564032434215904E-3</v>
      </c>
      <c r="I6784">
        <v>8.0564032434216042E-3</v>
      </c>
    </row>
    <row r="6785" spans="1:9" x14ac:dyDescent="0.25">
      <c r="A6785">
        <v>346</v>
      </c>
      <c r="B6785" t="s">
        <v>2444</v>
      </c>
      <c r="C6785" t="s">
        <v>10</v>
      </c>
      <c r="D6785" t="s">
        <v>1745</v>
      </c>
      <c r="E6785">
        <f t="shared" si="306"/>
        <v>5.3191489361702126E-3</v>
      </c>
      <c r="F6785">
        <v>12</v>
      </c>
      <c r="G6785">
        <f>LOG(382/(12+1))</f>
        <v>1.468120010604872</v>
      </c>
      <c r="H6785">
        <f>0.00531914893617021*3.38047125114503</f>
        <v>1.7981230059282066E-2</v>
      </c>
      <c r="I6785">
        <v>1.7981230059282122E-2</v>
      </c>
    </row>
    <row r="6786" spans="1:9" x14ac:dyDescent="0.25">
      <c r="A6786">
        <v>346</v>
      </c>
      <c r="B6786" t="s">
        <v>2444</v>
      </c>
      <c r="C6786" t="s">
        <v>10</v>
      </c>
      <c r="D6786" t="s">
        <v>910</v>
      </c>
      <c r="E6786">
        <f t="shared" si="306"/>
        <v>5.3191489361702126E-3</v>
      </c>
      <c r="F6786">
        <v>6</v>
      </c>
      <c r="G6786">
        <f>LOG(382/(6+1))</f>
        <v>1.736965322897452</v>
      </c>
      <c r="H6786">
        <f>0.00531914893617021*3.99951045955126</f>
        <v>2.1273991806123712E-2</v>
      </c>
      <c r="I6786">
        <v>2.1273991806123729E-2</v>
      </c>
    </row>
    <row r="6787" spans="1:9" x14ac:dyDescent="0.25">
      <c r="A6787">
        <v>346</v>
      </c>
      <c r="B6787" t="s">
        <v>2444</v>
      </c>
      <c r="C6787" t="s">
        <v>10</v>
      </c>
      <c r="D6787" t="s">
        <v>911</v>
      </c>
      <c r="E6787">
        <f t="shared" si="306"/>
        <v>5.3191489361702126E-3</v>
      </c>
      <c r="F6787">
        <v>22</v>
      </c>
      <c r="G6787">
        <f>LOG(382/(22+1))</f>
        <v>1.2203355268941158</v>
      </c>
      <c r="H6787">
        <f>0.00531914893617021*2.80992639267742</f>
        <v>1.4946416982326693E-2</v>
      </c>
      <c r="I6787">
        <v>1.4946416982326729E-2</v>
      </c>
    </row>
    <row r="6788" spans="1:9" x14ac:dyDescent="0.25">
      <c r="A6788">
        <v>346</v>
      </c>
      <c r="B6788" t="s">
        <v>2444</v>
      </c>
      <c r="C6788" t="s">
        <v>10</v>
      </c>
      <c r="D6788" t="s">
        <v>593</v>
      </c>
      <c r="E6788">
        <f t="shared" si="306"/>
        <v>5.3191489361702126E-3</v>
      </c>
      <c r="F6788">
        <v>30</v>
      </c>
      <c r="G6788">
        <f>LOG(382/(30+1))</f>
        <v>1.090701669077436</v>
      </c>
      <c r="H6788">
        <f>0.00531914893617021*2.51143340412142</f>
        <v>1.3358688319794781E-2</v>
      </c>
      <c r="I6788">
        <v>1.335868831979484E-2</v>
      </c>
    </row>
    <row r="6789" spans="1:9" x14ac:dyDescent="0.25">
      <c r="A6789">
        <v>346</v>
      </c>
      <c r="B6789" t="s">
        <v>2444</v>
      </c>
      <c r="C6789" t="s">
        <v>10</v>
      </c>
      <c r="D6789" t="s">
        <v>594</v>
      </c>
      <c r="E6789">
        <f>2/188</f>
        <v>1.0638297872340425E-2</v>
      </c>
      <c r="F6789">
        <v>36</v>
      </c>
      <c r="G6789">
        <f>LOG(382/(36+1))</f>
        <v>1.0138616388447137</v>
      </c>
      <c r="H6789">
        <f>0.0106382978723404*2.33450269596235</f>
        <v>2.4835135063429194E-2</v>
      </c>
      <c r="I6789">
        <v>2.483513506342926E-2</v>
      </c>
    </row>
    <row r="6790" spans="1:9" x14ac:dyDescent="0.25">
      <c r="A6790">
        <v>346</v>
      </c>
      <c r="B6790" t="s">
        <v>2444</v>
      </c>
      <c r="C6790" t="s">
        <v>10</v>
      </c>
      <c r="D6790" t="s">
        <v>1854</v>
      </c>
      <c r="E6790">
        <f t="shared" ref="E6790:E6799" si="307">1/188</f>
        <v>5.3191489361702126E-3</v>
      </c>
      <c r="F6790">
        <v>9</v>
      </c>
      <c r="G6790">
        <f>LOG(382/(9+1))</f>
        <v>1.5820633629117087</v>
      </c>
      <c r="H6790">
        <f>0.00531914893617021*3.64283551561252</f>
        <v>1.9376784657513395E-2</v>
      </c>
      <c r="I6790">
        <v>1.9376784657513451E-2</v>
      </c>
    </row>
    <row r="6791" spans="1:9" x14ac:dyDescent="0.25">
      <c r="A6791">
        <v>346</v>
      </c>
      <c r="B6791" t="s">
        <v>2444</v>
      </c>
      <c r="C6791" t="s">
        <v>10</v>
      </c>
      <c r="D6791" t="s">
        <v>119</v>
      </c>
      <c r="E6791">
        <f t="shared" si="307"/>
        <v>5.3191489361702126E-3</v>
      </c>
      <c r="F6791">
        <v>79</v>
      </c>
      <c r="G6791">
        <f>LOG(382/(79+1))</f>
        <v>0.67897337591976514</v>
      </c>
      <c r="H6791">
        <f>0.00531914893617021*1.56339397393269</f>
        <v>8.3159253932589862E-3</v>
      </c>
      <c r="I6791">
        <v>8.3159253932590087E-3</v>
      </c>
    </row>
    <row r="6792" spans="1:9" x14ac:dyDescent="0.25">
      <c r="A6792">
        <v>346</v>
      </c>
      <c r="B6792" t="s">
        <v>2444</v>
      </c>
      <c r="C6792" t="s">
        <v>10</v>
      </c>
      <c r="D6792" t="s">
        <v>1749</v>
      </c>
      <c r="E6792">
        <f t="shared" si="307"/>
        <v>5.3191489361702126E-3</v>
      </c>
      <c r="F6792">
        <v>3</v>
      </c>
      <c r="G6792">
        <f>LOG(382/(3+1))</f>
        <v>1.9800033715837464</v>
      </c>
      <c r="H6792">
        <f>0.00531914893617021*4.55912624748668</f>
        <v>2.4250671529184455E-2</v>
      </c>
      <c r="I6792">
        <v>2.4250671529184489E-2</v>
      </c>
    </row>
    <row r="6793" spans="1:9" x14ac:dyDescent="0.25">
      <c r="A6793">
        <v>346</v>
      </c>
      <c r="B6793" t="s">
        <v>2444</v>
      </c>
      <c r="C6793" t="s">
        <v>10</v>
      </c>
      <c r="D6793" t="s">
        <v>469</v>
      </c>
      <c r="E6793">
        <f t="shared" si="307"/>
        <v>5.3191489361702126E-3</v>
      </c>
      <c r="F6793">
        <v>13</v>
      </c>
      <c r="G6793">
        <f>LOG(382/(13+1))</f>
        <v>1.4359353272334707</v>
      </c>
      <c r="H6793">
        <f>0.00531914893617021*3.30636327899131</f>
        <v>1.7587038718038874E-2</v>
      </c>
      <c r="I6793">
        <v>1.7587038718038919E-2</v>
      </c>
    </row>
    <row r="6794" spans="1:9" x14ac:dyDescent="0.25">
      <c r="A6794">
        <v>346</v>
      </c>
      <c r="B6794" t="s">
        <v>2444</v>
      </c>
      <c r="C6794" t="s">
        <v>10</v>
      </c>
      <c r="D6794" t="s">
        <v>468</v>
      </c>
      <c r="E6794">
        <f t="shared" si="307"/>
        <v>5.3191489361702126E-3</v>
      </c>
      <c r="F6794">
        <v>4</v>
      </c>
      <c r="G6794">
        <f>LOG(382/(4+1))</f>
        <v>1.8830933585756899</v>
      </c>
      <c r="H6794">
        <f>0.00531914893617021*4.33598269617247</f>
        <v>2.3063737745598233E-2</v>
      </c>
      <c r="I6794">
        <v>2.3063737745598271E-2</v>
      </c>
    </row>
    <row r="6795" spans="1:9" x14ac:dyDescent="0.25">
      <c r="A6795">
        <v>346</v>
      </c>
      <c r="B6795" t="s">
        <v>2444</v>
      </c>
      <c r="C6795" t="s">
        <v>10</v>
      </c>
      <c r="D6795" t="s">
        <v>474</v>
      </c>
      <c r="E6795">
        <f t="shared" si="307"/>
        <v>5.3191489361702126E-3</v>
      </c>
      <c r="F6795">
        <v>25</v>
      </c>
      <c r="G6795">
        <f>LOG(382/(25+1))</f>
        <v>1.1670900149408907</v>
      </c>
      <c r="H6795">
        <f>0.00531914893617021*2.68732407058509</f>
        <v>1.429427697119728E-2</v>
      </c>
      <c r="I6795">
        <v>1.42942769711973E-2</v>
      </c>
    </row>
    <row r="6796" spans="1:9" x14ac:dyDescent="0.25">
      <c r="A6796">
        <v>346</v>
      </c>
      <c r="B6796" t="s">
        <v>2444</v>
      </c>
      <c r="C6796" t="s">
        <v>10</v>
      </c>
      <c r="D6796" t="s">
        <v>2089</v>
      </c>
      <c r="E6796">
        <f t="shared" si="307"/>
        <v>5.3191489361702126E-3</v>
      </c>
      <c r="F6796">
        <v>4</v>
      </c>
      <c r="G6796">
        <f>LOG(382/(4+1))</f>
        <v>1.8830933585756899</v>
      </c>
      <c r="H6796">
        <f>0.00531914893617021*4.33598269617247</f>
        <v>2.3063737745598233E-2</v>
      </c>
      <c r="I6796">
        <v>2.3063737745598271E-2</v>
      </c>
    </row>
    <row r="6797" spans="1:9" x14ac:dyDescent="0.25">
      <c r="A6797">
        <v>346</v>
      </c>
      <c r="B6797" t="s">
        <v>2444</v>
      </c>
      <c r="C6797" t="s">
        <v>10</v>
      </c>
      <c r="D6797" t="s">
        <v>1866</v>
      </c>
      <c r="E6797">
        <f t="shared" si="307"/>
        <v>5.3191489361702126E-3</v>
      </c>
      <c r="F6797">
        <v>18</v>
      </c>
      <c r="G6797">
        <f>LOG(382/(18+1))</f>
        <v>1.3033097619588798</v>
      </c>
      <c r="H6797">
        <f>0.00531914893617021*3.00098162944013</f>
        <v>1.5962668241702813E-2</v>
      </c>
      <c r="I6797">
        <v>1.5962668241702841E-2</v>
      </c>
    </row>
    <row r="6798" spans="1:9" x14ac:dyDescent="0.25">
      <c r="A6798">
        <v>346</v>
      </c>
      <c r="B6798" t="s">
        <v>2444</v>
      </c>
      <c r="C6798" t="s">
        <v>10</v>
      </c>
      <c r="D6798" t="s">
        <v>1303</v>
      </c>
      <c r="E6798">
        <f t="shared" si="307"/>
        <v>5.3191489361702126E-3</v>
      </c>
      <c r="F6798">
        <v>17</v>
      </c>
      <c r="G6798">
        <f>LOG(382/(17+1))</f>
        <v>1.3267908578084027</v>
      </c>
      <c r="H6798">
        <f>0.00531914893617021*3.05504885071041</f>
        <v>1.62502598442043E-2</v>
      </c>
      <c r="I6798">
        <v>1.625025984420431E-2</v>
      </c>
    </row>
    <row r="6799" spans="1:9" x14ac:dyDescent="0.25">
      <c r="A6799">
        <v>346</v>
      </c>
      <c r="B6799" t="s">
        <v>2444</v>
      </c>
      <c r="C6799" t="s">
        <v>10</v>
      </c>
      <c r="D6799" t="s">
        <v>1012</v>
      </c>
      <c r="E6799">
        <f t="shared" si="307"/>
        <v>5.3191489361702126E-3</v>
      </c>
      <c r="F6799">
        <v>17</v>
      </c>
      <c r="G6799">
        <f>LOG(382/(17+1))</f>
        <v>1.3267908578084027</v>
      </c>
      <c r="H6799">
        <f>0.00531914893617021*3.05504885071041</f>
        <v>1.62502598442043E-2</v>
      </c>
      <c r="I6799">
        <v>1.625025984420431E-2</v>
      </c>
    </row>
    <row r="6800" spans="1:9" x14ac:dyDescent="0.25">
      <c r="A6800">
        <v>346</v>
      </c>
      <c r="B6800" t="s">
        <v>2444</v>
      </c>
      <c r="C6800" t="s">
        <v>10</v>
      </c>
      <c r="D6800" t="s">
        <v>78</v>
      </c>
      <c r="E6800">
        <f>4/188</f>
        <v>2.1276595744680851E-2</v>
      </c>
      <c r="F6800">
        <v>122</v>
      </c>
      <c r="G6800">
        <f>LOG(382/(122+1))</f>
        <v>0.49215825147231079</v>
      </c>
      <c r="H6800">
        <f>0.0212765957446808*1.13323625323415</f>
        <v>2.4111409643279728E-2</v>
      </c>
      <c r="I6800">
        <v>2.411140964327995E-2</v>
      </c>
    </row>
    <row r="6801" spans="1:9" x14ac:dyDescent="0.25">
      <c r="A6801">
        <v>346</v>
      </c>
      <c r="B6801" t="s">
        <v>2444</v>
      </c>
      <c r="C6801" t="s">
        <v>10</v>
      </c>
      <c r="D6801" t="s">
        <v>483</v>
      </c>
      <c r="E6801">
        <f>6/188</f>
        <v>3.1914893617021274E-2</v>
      </c>
      <c r="F6801">
        <v>61</v>
      </c>
      <c r="G6801">
        <f>LOG(382/(61+1))</f>
        <v>0.7896716734134549</v>
      </c>
      <c r="H6801">
        <f>0.0319148936170212*1.81828622356148</f>
        <v>5.8030411390259856E-2</v>
      </c>
      <c r="I6801">
        <v>5.8030411390260113E-2</v>
      </c>
    </row>
    <row r="6802" spans="1:9" x14ac:dyDescent="0.25">
      <c r="A6802">
        <v>346</v>
      </c>
      <c r="B6802" t="s">
        <v>2444</v>
      </c>
      <c r="C6802" t="s">
        <v>10</v>
      </c>
      <c r="D6802" t="s">
        <v>1709</v>
      </c>
      <c r="E6802">
        <f>1/188</f>
        <v>5.3191489361702126E-3</v>
      </c>
      <c r="F6802">
        <v>21</v>
      </c>
      <c r="G6802">
        <f>LOG(382/(21+1))</f>
        <v>1.2396406820895025</v>
      </c>
      <c r="H6802">
        <f>0.00531914893617021*2.85437815524825</f>
        <v>1.5182862527916214E-2</v>
      </c>
      <c r="I6802">
        <v>1.518286252791627E-2</v>
      </c>
    </row>
    <row r="6803" spans="1:9" x14ac:dyDescent="0.25">
      <c r="A6803">
        <v>346</v>
      </c>
      <c r="B6803" t="s">
        <v>2444</v>
      </c>
      <c r="C6803" t="s">
        <v>10</v>
      </c>
      <c r="D6803" t="s">
        <v>520</v>
      </c>
      <c r="E6803">
        <f>1/188</f>
        <v>5.3191489361702126E-3</v>
      </c>
      <c r="F6803">
        <v>25</v>
      </c>
      <c r="G6803">
        <f>LOG(382/(25+1))</f>
        <v>1.1670900149408907</v>
      </c>
      <c r="H6803">
        <f>0.00531914893617021*2.68732407058509</f>
        <v>1.429427697119728E-2</v>
      </c>
      <c r="I6803">
        <v>1.42942769711973E-2</v>
      </c>
    </row>
    <row r="6804" spans="1:9" x14ac:dyDescent="0.25">
      <c r="A6804">
        <v>346</v>
      </c>
      <c r="B6804" t="s">
        <v>2444</v>
      </c>
      <c r="C6804" t="s">
        <v>10</v>
      </c>
      <c r="D6804" t="s">
        <v>1083</v>
      </c>
      <c r="E6804">
        <f>3/188</f>
        <v>1.5957446808510637E-2</v>
      </c>
      <c r="F6804">
        <v>51</v>
      </c>
      <c r="G6804">
        <f>LOG(382/(51+1))</f>
        <v>0.86606001927690957</v>
      </c>
      <c r="H6804">
        <f>0.0159574468085106*1.99417689002514</f>
        <v>3.1821971649337262E-2</v>
      </c>
      <c r="I6804">
        <v>3.1821971649337463E-2</v>
      </c>
    </row>
    <row r="6805" spans="1:9" x14ac:dyDescent="0.25">
      <c r="A6805">
        <v>346</v>
      </c>
      <c r="B6805" t="s">
        <v>2444</v>
      </c>
      <c r="C6805" t="s">
        <v>10</v>
      </c>
      <c r="D6805" t="s">
        <v>2108</v>
      </c>
      <c r="E6805">
        <f>1/188</f>
        <v>5.3191489361702126E-3</v>
      </c>
      <c r="F6805">
        <v>2</v>
      </c>
      <c r="G6805">
        <f>LOG(382/(2+1))</f>
        <v>2.1049421081920463</v>
      </c>
      <c r="H6805">
        <f>0.00531914893617021*4.84680831993846</f>
        <v>2.5780895318821582E-2</v>
      </c>
      <c r="I6805">
        <v>2.578089531882162E-2</v>
      </c>
    </row>
    <row r="6806" spans="1:9" x14ac:dyDescent="0.25">
      <c r="A6806">
        <v>346</v>
      </c>
      <c r="B6806" t="s">
        <v>2444</v>
      </c>
      <c r="C6806" t="s">
        <v>10</v>
      </c>
      <c r="D6806" t="s">
        <v>432</v>
      </c>
      <c r="E6806">
        <f>1/188</f>
        <v>5.3191489361702126E-3</v>
      </c>
      <c r="F6806">
        <v>67</v>
      </c>
      <c r="G6806">
        <f>LOG(382/(67+1))</f>
        <v>0.7495544502054724</v>
      </c>
      <c r="H6806">
        <f>0.00531914893617021*1.72591290343046</f>
        <v>9.180387784204571E-3</v>
      </c>
      <c r="I6806">
        <v>9.1803877842046178E-3</v>
      </c>
    </row>
    <row r="6807" spans="1:9" x14ac:dyDescent="0.25">
      <c r="A6807">
        <v>346</v>
      </c>
      <c r="B6807" t="s">
        <v>2444</v>
      </c>
      <c r="C6807" t="s">
        <v>10</v>
      </c>
      <c r="D6807" t="s">
        <v>746</v>
      </c>
      <c r="E6807">
        <f>1/188</f>
        <v>5.3191489361702126E-3</v>
      </c>
      <c r="F6807">
        <v>58</v>
      </c>
      <c r="G6807">
        <f>LOG(382/(58+1))</f>
        <v>0.81121135126956456</v>
      </c>
      <c r="H6807">
        <f>0.00531914893617021*1.86788316470085</f>
        <v>9.9355487484087714E-3</v>
      </c>
      <c r="I6807">
        <v>9.9355487484088061E-3</v>
      </c>
    </row>
    <row r="6808" spans="1:9" x14ac:dyDescent="0.25">
      <c r="A6808">
        <v>346</v>
      </c>
      <c r="B6808" t="s">
        <v>2444</v>
      </c>
      <c r="C6808" t="s">
        <v>10</v>
      </c>
      <c r="D6808" t="s">
        <v>79</v>
      </c>
      <c r="E6808">
        <f>2/188</f>
        <v>1.0638297872340425E-2</v>
      </c>
      <c r="F6808">
        <v>26</v>
      </c>
      <c r="G6808">
        <f>LOG(382/(26+1))</f>
        <v>1.1506995987527215</v>
      </c>
      <c r="H6808">
        <f>0.0106382978723404*2.64958374260224</f>
        <v>2.8187061091513123E-2</v>
      </c>
      <c r="I6808">
        <v>2.8187061091513251E-2</v>
      </c>
    </row>
    <row r="6809" spans="1:9" x14ac:dyDescent="0.25">
      <c r="A6809">
        <v>346</v>
      </c>
      <c r="B6809" t="s">
        <v>2444</v>
      </c>
      <c r="C6809" t="s">
        <v>10</v>
      </c>
      <c r="D6809" t="s">
        <v>680</v>
      </c>
      <c r="E6809">
        <f>1/188</f>
        <v>5.3191489361702126E-3</v>
      </c>
      <c r="F6809">
        <v>25</v>
      </c>
      <c r="G6809">
        <f>LOG(382/(25+1))</f>
        <v>1.1670900149408907</v>
      </c>
      <c r="H6809">
        <f>0.00531914893617021*2.68732407058509</f>
        <v>1.429427697119728E-2</v>
      </c>
      <c r="I6809">
        <v>1.42942769711973E-2</v>
      </c>
    </row>
    <row r="6810" spans="1:9" x14ac:dyDescent="0.25">
      <c r="A6810">
        <v>346</v>
      </c>
      <c r="B6810" t="s">
        <v>2444</v>
      </c>
      <c r="C6810" t="s">
        <v>10</v>
      </c>
      <c r="D6810" t="s">
        <v>811</v>
      </c>
      <c r="E6810">
        <f>2/188</f>
        <v>1.0638297872340425E-2</v>
      </c>
      <c r="F6810">
        <v>27</v>
      </c>
      <c r="G6810">
        <f>LOG(382/(27+1))</f>
        <v>1.1349053315694895</v>
      </c>
      <c r="H6810">
        <f>0.0106382978723404*2.61321609843137</f>
        <v>2.7800171259908125E-2</v>
      </c>
      <c r="I6810">
        <v>2.7800171259908201E-2</v>
      </c>
    </row>
    <row r="6811" spans="1:9" x14ac:dyDescent="0.25">
      <c r="A6811">
        <v>346</v>
      </c>
      <c r="B6811" t="s">
        <v>2444</v>
      </c>
      <c r="C6811" t="s">
        <v>10</v>
      </c>
      <c r="D6811" t="s">
        <v>764</v>
      </c>
      <c r="E6811">
        <f>2/188</f>
        <v>1.0638297872340425E-2</v>
      </c>
      <c r="F6811">
        <v>57</v>
      </c>
      <c r="G6811">
        <f>LOG(382/(57+1))</f>
        <v>0.81863536934877146</v>
      </c>
      <c r="H6811">
        <f>0.0106382978723404*1.88497759806015</f>
        <v>2.0052953170852608E-2</v>
      </c>
      <c r="I6811">
        <v>2.0052953170852719E-2</v>
      </c>
    </row>
    <row r="6812" spans="1:9" x14ac:dyDescent="0.25">
      <c r="A6812">
        <v>346</v>
      </c>
      <c r="B6812" t="s">
        <v>2444</v>
      </c>
      <c r="C6812" t="s">
        <v>10</v>
      </c>
      <c r="D6812" t="s">
        <v>633</v>
      </c>
      <c r="E6812">
        <f>1/188</f>
        <v>5.3191489361702126E-3</v>
      </c>
      <c r="F6812">
        <v>3</v>
      </c>
      <c r="G6812">
        <f>LOG(382/(3+1))</f>
        <v>1.9800033715837464</v>
      </c>
      <c r="H6812">
        <f>0.00531914893617021*4.55912624748668</f>
        <v>2.4250671529184455E-2</v>
      </c>
      <c r="I6812">
        <v>2.4250671529184489E-2</v>
      </c>
    </row>
    <row r="6813" spans="1:9" x14ac:dyDescent="0.25">
      <c r="A6813">
        <v>346</v>
      </c>
      <c r="B6813" t="s">
        <v>2444</v>
      </c>
      <c r="C6813" t="s">
        <v>10</v>
      </c>
      <c r="D6813" t="s">
        <v>2449</v>
      </c>
      <c r="E6813">
        <f>1/188</f>
        <v>5.3191489361702126E-3</v>
      </c>
      <c r="F6813">
        <v>1</v>
      </c>
      <c r="G6813">
        <f>LOG(382/(1+1))</f>
        <v>2.2810333672477277</v>
      </c>
      <c r="H6813">
        <f>0.00531914893617021*5.25227342804663</f>
        <v>2.7937624617269292E-2</v>
      </c>
      <c r="I6813">
        <v>2.793762461726931E-2</v>
      </c>
    </row>
    <row r="6814" spans="1:9" x14ac:dyDescent="0.25">
      <c r="A6814">
        <v>346</v>
      </c>
      <c r="B6814" t="s">
        <v>2444</v>
      </c>
      <c r="C6814" t="s">
        <v>10</v>
      </c>
      <c r="D6814" t="s">
        <v>133</v>
      </c>
      <c r="E6814">
        <f>5/188</f>
        <v>2.6595744680851064E-2</v>
      </c>
      <c r="F6814">
        <v>142</v>
      </c>
      <c r="G6814">
        <f>LOG(382/(142+1))</f>
        <v>0.42672732544664693</v>
      </c>
      <c r="H6814">
        <f>0.026595744680851*0.982575978346667</f>
        <v>2.6132339849645338E-2</v>
      </c>
      <c r="I6814">
        <v>2.6132339849645421E-2</v>
      </c>
    </row>
    <row r="6815" spans="1:9" x14ac:dyDescent="0.25">
      <c r="A6815">
        <v>346</v>
      </c>
      <c r="B6815" t="s">
        <v>2444</v>
      </c>
      <c r="C6815" t="s">
        <v>10</v>
      </c>
      <c r="D6815" t="s">
        <v>339</v>
      </c>
      <c r="E6815">
        <f>2/188</f>
        <v>1.0638297872340425E-2</v>
      </c>
      <c r="F6815">
        <v>66</v>
      </c>
      <c r="G6815">
        <f>LOG(382/(66+1))</f>
        <v>0.75598856021088234</v>
      </c>
      <c r="H6815">
        <f>0.0106382978723404*1.7407279892156</f>
        <v>1.8518382863995698E-2</v>
      </c>
      <c r="I6815">
        <v>1.851838286399584E-2</v>
      </c>
    </row>
    <row r="6816" spans="1:9" x14ac:dyDescent="0.25">
      <c r="A6816">
        <v>346</v>
      </c>
      <c r="B6816" t="s">
        <v>2444</v>
      </c>
      <c r="C6816" t="s">
        <v>10</v>
      </c>
      <c r="D6816" t="s">
        <v>1123</v>
      </c>
      <c r="E6816">
        <f>1/188</f>
        <v>5.3191489361702126E-3</v>
      </c>
      <c r="F6816">
        <v>4</v>
      </c>
      <c r="G6816">
        <f>LOG(382/(4+1))</f>
        <v>1.8830933585756899</v>
      </c>
      <c r="H6816">
        <f>0.00531914893617021*4.33598269617247</f>
        <v>2.3063737745598233E-2</v>
      </c>
      <c r="I6816">
        <v>2.3063737745598271E-2</v>
      </c>
    </row>
    <row r="6817" spans="1:9" x14ac:dyDescent="0.25">
      <c r="A6817">
        <v>346</v>
      </c>
      <c r="B6817" t="s">
        <v>2444</v>
      </c>
      <c r="C6817" t="s">
        <v>10</v>
      </c>
      <c r="D6817" t="s">
        <v>340</v>
      </c>
      <c r="E6817">
        <f>2/188</f>
        <v>1.0638297872340425E-2</v>
      </c>
      <c r="F6817">
        <v>28</v>
      </c>
      <c r="G6817">
        <f>LOG(382/(28+1))</f>
        <v>1.1196653650127526</v>
      </c>
      <c r="H6817">
        <f>0.0106382978723404*2.5781247786201</f>
        <v>2.742685934702227E-2</v>
      </c>
      <c r="I6817">
        <v>2.742685934702235E-2</v>
      </c>
    </row>
    <row r="6818" spans="1:9" x14ac:dyDescent="0.25">
      <c r="A6818">
        <v>346</v>
      </c>
      <c r="B6818" t="s">
        <v>2444</v>
      </c>
      <c r="C6818" t="s">
        <v>10</v>
      </c>
      <c r="D6818" t="s">
        <v>260</v>
      </c>
      <c r="E6818">
        <f>1/188</f>
        <v>5.3191489361702126E-3</v>
      </c>
      <c r="F6818">
        <v>31</v>
      </c>
      <c r="G6818">
        <f>LOG(382/(31+1))</f>
        <v>1.0769133845918029</v>
      </c>
      <c r="H6818">
        <f>0.00531914893617021*2.47968470580684</f>
        <v>1.3189812264929993E-2</v>
      </c>
      <c r="I6818">
        <v>1.3189812264930051E-2</v>
      </c>
    </row>
    <row r="6819" spans="1:9" x14ac:dyDescent="0.25">
      <c r="A6819">
        <v>346</v>
      </c>
      <c r="B6819" t="s">
        <v>2444</v>
      </c>
      <c r="C6819" t="s">
        <v>10</v>
      </c>
      <c r="D6819" t="s">
        <v>596</v>
      </c>
      <c r="E6819">
        <f>1/188</f>
        <v>5.3191489361702126E-3</v>
      </c>
      <c r="F6819">
        <v>60</v>
      </c>
      <c r="G6819">
        <f>LOG(382/(60+1))</f>
        <v>0.79673352790094176</v>
      </c>
      <c r="H6819">
        <f>0.00531914893617021*1.83454674443326</f>
        <v>9.7582273640066976E-3</v>
      </c>
      <c r="I6819">
        <v>9.7582273640067236E-3</v>
      </c>
    </row>
    <row r="6820" spans="1:9" x14ac:dyDescent="0.25">
      <c r="A6820">
        <v>346</v>
      </c>
      <c r="B6820" t="s">
        <v>2444</v>
      </c>
      <c r="C6820" t="s">
        <v>10</v>
      </c>
      <c r="D6820" t="s">
        <v>1399</v>
      </c>
      <c r="E6820">
        <f>2/188</f>
        <v>1.0638297872340425E-2</v>
      </c>
      <c r="F6820">
        <v>7</v>
      </c>
      <c r="G6820">
        <f>LOG(382/(7+1))</f>
        <v>1.6789733759197651</v>
      </c>
      <c r="H6820">
        <f>0.0106382978723404*3.86597906692673</f>
        <v>4.1127436882199157E-2</v>
      </c>
      <c r="I6820">
        <v>4.1127436882199352E-2</v>
      </c>
    </row>
    <row r="6821" spans="1:9" x14ac:dyDescent="0.25">
      <c r="A6821">
        <v>346</v>
      </c>
      <c r="B6821" t="s">
        <v>2444</v>
      </c>
      <c r="C6821" t="s">
        <v>10</v>
      </c>
      <c r="D6821" t="s">
        <v>600</v>
      </c>
      <c r="E6821">
        <f>3/188</f>
        <v>1.5957446808510637E-2</v>
      </c>
      <c r="F6821">
        <v>102</v>
      </c>
      <c r="G6821">
        <f>LOG(382/(102+1))</f>
        <v>0.56922613820653656</v>
      </c>
      <c r="H6821">
        <f>0.0159574468085106*1.31069162037693</f>
        <v>2.0915291814525429E-2</v>
      </c>
      <c r="I6821">
        <v>2.091529181452563E-2</v>
      </c>
    </row>
    <row r="6822" spans="1:9" x14ac:dyDescent="0.25">
      <c r="A6822">
        <v>346</v>
      </c>
      <c r="B6822" t="s">
        <v>2444</v>
      </c>
      <c r="C6822" t="s">
        <v>10</v>
      </c>
      <c r="D6822" t="s">
        <v>123</v>
      </c>
      <c r="E6822">
        <f t="shared" ref="E6822:E6828" si="308">1/188</f>
        <v>5.3191489361702126E-3</v>
      </c>
      <c r="F6822">
        <v>74</v>
      </c>
      <c r="G6822">
        <f>LOG(382/(74+1))</f>
        <v>0.7070020995200087</v>
      </c>
      <c r="H6822">
        <f>0.00531914893617021*1.62793249507026</f>
        <v>8.6592153993098903E-3</v>
      </c>
      <c r="I6822">
        <v>8.6592153993099181E-3</v>
      </c>
    </row>
    <row r="6823" spans="1:9" x14ac:dyDescent="0.25">
      <c r="A6823">
        <v>346</v>
      </c>
      <c r="B6823" t="s">
        <v>2444</v>
      </c>
      <c r="C6823" t="s">
        <v>10</v>
      </c>
      <c r="D6823" t="s">
        <v>938</v>
      </c>
      <c r="E6823">
        <f t="shared" si="308"/>
        <v>5.3191489361702126E-3</v>
      </c>
      <c r="F6823">
        <v>6</v>
      </c>
      <c r="G6823">
        <f>LOG(382/(6+1))</f>
        <v>1.736965322897452</v>
      </c>
      <c r="H6823">
        <f>0.00531914893617021*3.99951045955126</f>
        <v>2.1273991806123712E-2</v>
      </c>
      <c r="I6823">
        <v>2.1273991806123729E-2</v>
      </c>
    </row>
    <row r="6824" spans="1:9" x14ac:dyDescent="0.25">
      <c r="A6824">
        <v>346</v>
      </c>
      <c r="B6824" t="s">
        <v>2444</v>
      </c>
      <c r="C6824" t="s">
        <v>10</v>
      </c>
      <c r="D6824" t="s">
        <v>2450</v>
      </c>
      <c r="E6824">
        <f t="shared" si="308"/>
        <v>5.3191489361702126E-3</v>
      </c>
      <c r="F6824">
        <v>3</v>
      </c>
      <c r="G6824">
        <f>LOG(382/(3+1))</f>
        <v>1.9800033715837464</v>
      </c>
      <c r="H6824">
        <f>0.00531914893617021*4.55912624748668</f>
        <v>2.4250671529184455E-2</v>
      </c>
      <c r="I6824">
        <v>2.4250671529184489E-2</v>
      </c>
    </row>
    <row r="6825" spans="1:9" x14ac:dyDescent="0.25">
      <c r="A6825">
        <v>346</v>
      </c>
      <c r="B6825" t="s">
        <v>2444</v>
      </c>
      <c r="C6825" t="s">
        <v>10</v>
      </c>
      <c r="D6825" t="s">
        <v>134</v>
      </c>
      <c r="E6825">
        <f t="shared" si="308"/>
        <v>5.3191489361702126E-3</v>
      </c>
      <c r="F6825">
        <v>21</v>
      </c>
      <c r="G6825">
        <f>LOG(382/(21+1))</f>
        <v>1.2396406820895025</v>
      </c>
      <c r="H6825">
        <f>0.00531914893617021*2.85437815524825</f>
        <v>1.5182862527916214E-2</v>
      </c>
      <c r="I6825">
        <v>1.518286252791627E-2</v>
      </c>
    </row>
    <row r="6826" spans="1:9" x14ac:dyDescent="0.25">
      <c r="A6826">
        <v>346</v>
      </c>
      <c r="B6826" t="s">
        <v>2444</v>
      </c>
      <c r="C6826" t="s">
        <v>10</v>
      </c>
      <c r="D6826" t="s">
        <v>135</v>
      </c>
      <c r="E6826">
        <f t="shared" si="308"/>
        <v>5.3191489361702126E-3</v>
      </c>
      <c r="F6826">
        <v>6</v>
      </c>
      <c r="G6826">
        <f>LOG(382/(6+1))</f>
        <v>1.736965322897452</v>
      </c>
      <c r="H6826">
        <f>0.00531914893617021*3.99951045955126</f>
        <v>2.1273991806123712E-2</v>
      </c>
      <c r="I6826">
        <v>2.1273991806123729E-2</v>
      </c>
    </row>
    <row r="6827" spans="1:9" x14ac:dyDescent="0.25">
      <c r="A6827">
        <v>346</v>
      </c>
      <c r="B6827" t="s">
        <v>2444</v>
      </c>
      <c r="C6827" t="s">
        <v>10</v>
      </c>
      <c r="D6827" t="s">
        <v>136</v>
      </c>
      <c r="E6827">
        <f t="shared" si="308"/>
        <v>5.3191489361702126E-3</v>
      </c>
      <c r="F6827">
        <v>17</v>
      </c>
      <c r="G6827">
        <f>LOG(382/(17+1))</f>
        <v>1.3267908578084027</v>
      </c>
      <c r="H6827">
        <f>0.00531914893617021*3.05504885071041</f>
        <v>1.62502598442043E-2</v>
      </c>
      <c r="I6827">
        <v>1.625025984420431E-2</v>
      </c>
    </row>
    <row r="6828" spans="1:9" x14ac:dyDescent="0.25">
      <c r="A6828">
        <v>346</v>
      </c>
      <c r="B6828" t="s">
        <v>2444</v>
      </c>
      <c r="C6828" t="s">
        <v>10</v>
      </c>
      <c r="D6828" t="s">
        <v>693</v>
      </c>
      <c r="E6828">
        <f t="shared" si="308"/>
        <v>5.3191489361702126E-3</v>
      </c>
      <c r="F6828">
        <v>25</v>
      </c>
      <c r="G6828">
        <f>LOG(382/(25+1))</f>
        <v>1.1670900149408907</v>
      </c>
      <c r="H6828">
        <f>0.00531914893617021*2.68732407058509</f>
        <v>1.429427697119728E-2</v>
      </c>
      <c r="I6828">
        <v>1.42942769711973E-2</v>
      </c>
    </row>
    <row r="6829" spans="1:9" x14ac:dyDescent="0.25">
      <c r="A6829">
        <v>346</v>
      </c>
      <c r="B6829" t="s">
        <v>2444</v>
      </c>
      <c r="C6829" t="s">
        <v>10</v>
      </c>
      <c r="D6829" t="s">
        <v>236</v>
      </c>
      <c r="E6829">
        <f>2/188</f>
        <v>1.0638297872340425E-2</v>
      </c>
      <c r="F6829">
        <v>87</v>
      </c>
      <c r="G6829">
        <f>LOG(382/(87+1))</f>
        <v>0.63758069076154011</v>
      </c>
      <c r="H6829">
        <f>0.0106382978723404*1.46808379412836</f>
        <v>1.5617912703493152E-2</v>
      </c>
      <c r="I6829">
        <v>1.561791270349328E-2</v>
      </c>
    </row>
    <row r="6830" spans="1:9" x14ac:dyDescent="0.25">
      <c r="A6830">
        <v>346</v>
      </c>
      <c r="B6830" t="s">
        <v>2444</v>
      </c>
      <c r="C6830" t="s">
        <v>10</v>
      </c>
      <c r="D6830" t="s">
        <v>2451</v>
      </c>
      <c r="E6830">
        <f>2/188</f>
        <v>1.0638297872340425E-2</v>
      </c>
      <c r="F6830">
        <v>5</v>
      </c>
      <c r="G6830">
        <f>LOG(382/(5+1))</f>
        <v>1.803912112528065</v>
      </c>
      <c r="H6830">
        <f>0.0106382978723404*4.15366113937852</f>
        <v>4.4187884461473509E-2</v>
      </c>
      <c r="I6830">
        <v>4.4187884461473613E-2</v>
      </c>
    </row>
    <row r="6831" spans="1:9" x14ac:dyDescent="0.25">
      <c r="A6831">
        <v>346</v>
      </c>
      <c r="B6831" t="s">
        <v>2444</v>
      </c>
      <c r="C6831" t="s">
        <v>10</v>
      </c>
      <c r="D6831" t="s">
        <v>1084</v>
      </c>
      <c r="E6831">
        <f t="shared" ref="E6831:E6839" si="309">1/188</f>
        <v>5.3191489361702126E-3</v>
      </c>
      <c r="F6831">
        <v>6</v>
      </c>
      <c r="G6831">
        <f>LOG(382/(6+1))</f>
        <v>1.736965322897452</v>
      </c>
      <c r="H6831">
        <f>0.00531914893617021*3.99951045955126</f>
        <v>2.1273991806123712E-2</v>
      </c>
      <c r="I6831">
        <v>2.1273991806123729E-2</v>
      </c>
    </row>
    <row r="6832" spans="1:9" x14ac:dyDescent="0.25">
      <c r="A6832">
        <v>346</v>
      </c>
      <c r="B6832" t="s">
        <v>2444</v>
      </c>
      <c r="C6832" t="s">
        <v>10</v>
      </c>
      <c r="D6832" t="s">
        <v>765</v>
      </c>
      <c r="E6832">
        <f t="shared" si="309"/>
        <v>5.3191489361702126E-3</v>
      </c>
      <c r="F6832">
        <v>44</v>
      </c>
      <c r="G6832">
        <f>LOG(382/(44+1))</f>
        <v>0.92885084913636506</v>
      </c>
      <c r="H6832">
        <f>0.00531914893617021*2.13875811883625</f>
        <v>1.1376372972533239E-2</v>
      </c>
      <c r="I6832">
        <v>1.137637297253327E-2</v>
      </c>
    </row>
    <row r="6833" spans="1:9" x14ac:dyDescent="0.25">
      <c r="A6833">
        <v>346</v>
      </c>
      <c r="B6833" t="s">
        <v>2444</v>
      </c>
      <c r="C6833" t="s">
        <v>10</v>
      </c>
      <c r="D6833" t="s">
        <v>2220</v>
      </c>
      <c r="E6833">
        <f t="shared" si="309"/>
        <v>5.3191489361702126E-3</v>
      </c>
      <c r="F6833">
        <v>21</v>
      </c>
      <c r="G6833">
        <f>LOG(382/(21+1))</f>
        <v>1.2396406820895025</v>
      </c>
      <c r="H6833">
        <f>0.00531914893617021*2.85437815524825</f>
        <v>1.5182862527916214E-2</v>
      </c>
      <c r="I6833">
        <v>1.518286252791627E-2</v>
      </c>
    </row>
    <row r="6834" spans="1:9" x14ac:dyDescent="0.25">
      <c r="A6834">
        <v>346</v>
      </c>
      <c r="B6834" t="s">
        <v>2444</v>
      </c>
      <c r="C6834" t="s">
        <v>10</v>
      </c>
      <c r="D6834" t="s">
        <v>2452</v>
      </c>
      <c r="E6834">
        <f t="shared" si="309"/>
        <v>5.3191489361702126E-3</v>
      </c>
      <c r="F6834">
        <v>1</v>
      </c>
      <c r="G6834">
        <f>LOG(382/(1+1))</f>
        <v>2.2810333672477277</v>
      </c>
      <c r="H6834">
        <f>0.00531914893617021*5.25227342804663</f>
        <v>2.7937624617269292E-2</v>
      </c>
      <c r="I6834">
        <v>2.793762461726931E-2</v>
      </c>
    </row>
    <row r="6835" spans="1:9" x14ac:dyDescent="0.25">
      <c r="A6835">
        <v>346</v>
      </c>
      <c r="B6835" t="s">
        <v>2444</v>
      </c>
      <c r="C6835" t="s">
        <v>10</v>
      </c>
      <c r="D6835" t="s">
        <v>2453</v>
      </c>
      <c r="E6835">
        <f t="shared" si="309"/>
        <v>5.3191489361702126E-3</v>
      </c>
      <c r="F6835">
        <v>1</v>
      </c>
      <c r="G6835">
        <f>LOG(382/(1+1))</f>
        <v>2.2810333672477277</v>
      </c>
      <c r="H6835">
        <f>0.00531914893617021*5.25227342804663</f>
        <v>2.7937624617269292E-2</v>
      </c>
      <c r="I6835">
        <v>2.793762461726931E-2</v>
      </c>
    </row>
    <row r="6836" spans="1:9" x14ac:dyDescent="0.25">
      <c r="A6836">
        <v>346</v>
      </c>
      <c r="B6836" t="s">
        <v>2444</v>
      </c>
      <c r="C6836" t="s">
        <v>10</v>
      </c>
      <c r="D6836" t="s">
        <v>1552</v>
      </c>
      <c r="E6836">
        <f t="shared" si="309"/>
        <v>5.3191489361702126E-3</v>
      </c>
      <c r="F6836">
        <v>2</v>
      </c>
      <c r="G6836">
        <f>LOG(382/(2+1))</f>
        <v>2.1049421081920463</v>
      </c>
      <c r="H6836">
        <f>0.00531914893617021*4.84680831993846</f>
        <v>2.5780895318821582E-2</v>
      </c>
      <c r="I6836">
        <v>2.578089531882162E-2</v>
      </c>
    </row>
    <row r="6837" spans="1:9" x14ac:dyDescent="0.25">
      <c r="A6837">
        <v>346</v>
      </c>
      <c r="B6837" t="s">
        <v>2444</v>
      </c>
      <c r="C6837" t="s">
        <v>10</v>
      </c>
      <c r="D6837" t="s">
        <v>1652</v>
      </c>
      <c r="E6837">
        <f t="shared" si="309"/>
        <v>5.3191489361702126E-3</v>
      </c>
      <c r="F6837">
        <v>7</v>
      </c>
      <c r="G6837">
        <f>LOG(382/(7+1))</f>
        <v>1.6789733759197651</v>
      </c>
      <c r="H6837">
        <f>0.00531914893617021*3.86597906692673</f>
        <v>2.0563718441099617E-2</v>
      </c>
      <c r="I6837">
        <v>2.0563718441099679E-2</v>
      </c>
    </row>
    <row r="6838" spans="1:9" x14ac:dyDescent="0.25">
      <c r="A6838">
        <v>346</v>
      </c>
      <c r="B6838" t="s">
        <v>2444</v>
      </c>
      <c r="C6838" t="s">
        <v>10</v>
      </c>
      <c r="D6838" t="s">
        <v>327</v>
      </c>
      <c r="E6838">
        <f t="shared" si="309"/>
        <v>5.3191489361702126E-3</v>
      </c>
      <c r="F6838">
        <v>46</v>
      </c>
      <c r="G6838">
        <f>LOG(382/(46+1))</f>
        <v>0.90996550497599127</v>
      </c>
      <c r="H6838">
        <f>0.00531914893617021*2.09527300689651</f>
        <v>1.114506918561973E-2</v>
      </c>
      <c r="I6838">
        <v>1.114506918561977E-2</v>
      </c>
    </row>
    <row r="6839" spans="1:9" x14ac:dyDescent="0.25">
      <c r="A6839">
        <v>346</v>
      </c>
      <c r="B6839" t="s">
        <v>2444</v>
      </c>
      <c r="C6839" t="s">
        <v>10</v>
      </c>
      <c r="D6839" t="s">
        <v>2454</v>
      </c>
      <c r="E6839">
        <f t="shared" si="309"/>
        <v>5.3191489361702126E-3</v>
      </c>
      <c r="F6839">
        <v>3</v>
      </c>
      <c r="G6839">
        <f>LOG(382/(3+1))</f>
        <v>1.9800033715837464</v>
      </c>
      <c r="H6839">
        <f>0.00531914893617021*4.55912624748668</f>
        <v>2.4250671529184455E-2</v>
      </c>
      <c r="I6839">
        <v>2.4250671529184489E-2</v>
      </c>
    </row>
    <row r="6840" spans="1:9" x14ac:dyDescent="0.25">
      <c r="A6840">
        <v>347</v>
      </c>
      <c r="B6840" t="s">
        <v>2455</v>
      </c>
      <c r="C6840" t="s">
        <v>10</v>
      </c>
      <c r="D6840" t="s">
        <v>1255</v>
      </c>
      <c r="E6840">
        <f>6/151</f>
        <v>3.9735099337748346E-2</v>
      </c>
      <c r="F6840">
        <v>12</v>
      </c>
      <c r="G6840">
        <f>LOG(382/(12+1))</f>
        <v>1.468120010604872</v>
      </c>
      <c r="H6840">
        <f>0.0397350993377483*3.38047125114503</f>
        <v>0.13432336097265005</v>
      </c>
      <c r="I6840">
        <v>0.13432336097265049</v>
      </c>
    </row>
    <row r="6841" spans="1:9" x14ac:dyDescent="0.25">
      <c r="A6841">
        <v>347</v>
      </c>
      <c r="B6841" t="s">
        <v>2455</v>
      </c>
      <c r="C6841" t="s">
        <v>10</v>
      </c>
      <c r="D6841" t="s">
        <v>2456</v>
      </c>
      <c r="E6841">
        <f>5/151</f>
        <v>3.3112582781456956E-2</v>
      </c>
      <c r="F6841">
        <v>2</v>
      </c>
      <c r="G6841">
        <f>LOG(382/(2+1))</f>
        <v>2.1049421081920463</v>
      </c>
      <c r="H6841">
        <f>0.0331125827814569*4.84680831993846</f>
        <v>0.1604903417198163</v>
      </c>
      <c r="I6841">
        <v>0.16049034171981669</v>
      </c>
    </row>
    <row r="6842" spans="1:9" x14ac:dyDescent="0.25">
      <c r="A6842">
        <v>347</v>
      </c>
      <c r="B6842" t="s">
        <v>2455</v>
      </c>
      <c r="C6842" t="s">
        <v>10</v>
      </c>
      <c r="D6842" t="s">
        <v>147</v>
      </c>
      <c r="E6842">
        <f>7/151</f>
        <v>4.6357615894039736E-2</v>
      </c>
      <c r="F6842">
        <v>48</v>
      </c>
      <c r="G6842">
        <f>LOG(382/(48+1))</f>
        <v>0.89186728288319506</v>
      </c>
      <c r="H6842">
        <f>0.0463576158940397*2.05360031049594</f>
        <v>9.5200014393851451E-2</v>
      </c>
      <c r="I6842">
        <v>9.5200014393851937E-2</v>
      </c>
    </row>
    <row r="6843" spans="1:9" x14ac:dyDescent="0.25">
      <c r="A6843">
        <v>347</v>
      </c>
      <c r="B6843" t="s">
        <v>2455</v>
      </c>
      <c r="C6843" t="s">
        <v>10</v>
      </c>
      <c r="D6843" t="s">
        <v>247</v>
      </c>
      <c r="E6843">
        <f>2/151</f>
        <v>1.3245033112582781E-2</v>
      </c>
      <c r="F6843">
        <v>121</v>
      </c>
      <c r="G6843">
        <f>LOG(382/(121+1))</f>
        <v>0.49570353223696051</v>
      </c>
      <c r="H6843">
        <f>0.0132450331125827*1.14139956387331</f>
        <v>1.5117875018189444E-2</v>
      </c>
      <c r="I6843">
        <v>1.5117875018189651E-2</v>
      </c>
    </row>
    <row r="6844" spans="1:9" x14ac:dyDescent="0.25">
      <c r="A6844">
        <v>347</v>
      </c>
      <c r="B6844" t="s">
        <v>2455</v>
      </c>
      <c r="C6844" t="s">
        <v>10</v>
      </c>
      <c r="D6844" t="s">
        <v>39</v>
      </c>
      <c r="E6844">
        <f>3/151</f>
        <v>1.9867549668874173E-2</v>
      </c>
      <c r="F6844">
        <v>145</v>
      </c>
      <c r="G6844">
        <f>LOG(382/(145+1))</f>
        <v>0.41771050712727159</v>
      </c>
      <c r="H6844">
        <f>0.0198675496688741*0.961813986898238</f>
        <v>1.9108887156918566E-2</v>
      </c>
      <c r="I6844">
        <v>1.910888715691865E-2</v>
      </c>
    </row>
    <row r="6845" spans="1:9" x14ac:dyDescent="0.25">
      <c r="A6845">
        <v>347</v>
      </c>
      <c r="B6845" t="s">
        <v>2455</v>
      </c>
      <c r="C6845" t="s">
        <v>10</v>
      </c>
      <c r="D6845" t="s">
        <v>42</v>
      </c>
      <c r="E6845">
        <f t="shared" ref="E6845:E6850" si="310">1/151</f>
        <v>6.6225165562913907E-3</v>
      </c>
      <c r="F6845">
        <v>251</v>
      </c>
      <c r="G6845">
        <f>LOG(382/(251+1))</f>
        <v>0.18066282213016463</v>
      </c>
      <c r="H6845">
        <f>0.00662251655629139*0.415991521095151</f>
        <v>2.7549107357294762E-3</v>
      </c>
      <c r="I6845">
        <v>2.7549107357294832E-3</v>
      </c>
    </row>
    <row r="6846" spans="1:9" x14ac:dyDescent="0.25">
      <c r="A6846">
        <v>347</v>
      </c>
      <c r="B6846" t="s">
        <v>2455</v>
      </c>
      <c r="C6846" t="s">
        <v>10</v>
      </c>
      <c r="D6846" t="s">
        <v>19</v>
      </c>
      <c r="E6846">
        <f t="shared" si="310"/>
        <v>6.6225165562913907E-3</v>
      </c>
      <c r="F6846">
        <v>220</v>
      </c>
      <c r="G6846">
        <f>LOG(382/(220+1))</f>
        <v>0.23767108922659805</v>
      </c>
      <c r="H6846">
        <f>0.00662251655629139*0.547257907088822</f>
        <v>3.6242245502570991E-3</v>
      </c>
      <c r="I6846">
        <v>3.6242245502571021E-3</v>
      </c>
    </row>
    <row r="6847" spans="1:9" x14ac:dyDescent="0.25">
      <c r="A6847">
        <v>347</v>
      </c>
      <c r="B6847" t="s">
        <v>2455</v>
      </c>
      <c r="C6847" t="s">
        <v>10</v>
      </c>
      <c r="D6847" t="s">
        <v>2457</v>
      </c>
      <c r="E6847">
        <f t="shared" si="310"/>
        <v>6.6225165562913907E-3</v>
      </c>
      <c r="F6847">
        <v>2</v>
      </c>
      <c r="G6847">
        <f>LOG(382/(2+1))</f>
        <v>2.1049421081920463</v>
      </c>
      <c r="H6847">
        <f>0.00662251655629139*4.84680831993846</f>
        <v>3.209806834396331E-2</v>
      </c>
      <c r="I6847">
        <v>3.2098068343963337E-2</v>
      </c>
    </row>
    <row r="6848" spans="1:9" x14ac:dyDescent="0.25">
      <c r="A6848">
        <v>347</v>
      </c>
      <c r="B6848" t="s">
        <v>2455</v>
      </c>
      <c r="C6848" t="s">
        <v>10</v>
      </c>
      <c r="D6848" t="s">
        <v>22</v>
      </c>
      <c r="E6848">
        <f t="shared" si="310"/>
        <v>6.6225165562913907E-3</v>
      </c>
      <c r="F6848">
        <v>259</v>
      </c>
      <c r="G6848">
        <f>LOG(382/(259+1))</f>
        <v>0.16709001494089079</v>
      </c>
      <c r="H6848">
        <f>0.00662251655629139*0.384738977591047</f>
        <v>2.5479402489473309E-3</v>
      </c>
      <c r="I6848">
        <v>2.5479402489473348E-3</v>
      </c>
    </row>
    <row r="6849" spans="1:9" x14ac:dyDescent="0.25">
      <c r="A6849">
        <v>347</v>
      </c>
      <c r="B6849" t="s">
        <v>2455</v>
      </c>
      <c r="C6849" t="s">
        <v>10</v>
      </c>
      <c r="D6849" t="s">
        <v>23</v>
      </c>
      <c r="E6849">
        <f t="shared" si="310"/>
        <v>6.6225165562913907E-3</v>
      </c>
      <c r="F6849">
        <v>275</v>
      </c>
      <c r="G6849">
        <f>LOG(382/(275+1))</f>
        <v>0.14115428084649101</v>
      </c>
      <c r="H6849">
        <f>0.00662251655629139*0.325019742889425</f>
        <v>2.1524486284067875E-3</v>
      </c>
      <c r="I6849">
        <v>2.1524486284067888E-3</v>
      </c>
    </row>
    <row r="6850" spans="1:9" x14ac:dyDescent="0.25">
      <c r="A6850">
        <v>347</v>
      </c>
      <c r="B6850" t="s">
        <v>2455</v>
      </c>
      <c r="C6850" t="s">
        <v>10</v>
      </c>
      <c r="D6850" t="s">
        <v>105</v>
      </c>
      <c r="E6850">
        <f t="shared" si="310"/>
        <v>6.6225165562913907E-3</v>
      </c>
      <c r="F6850">
        <v>122</v>
      </c>
      <c r="G6850">
        <f>LOG(382/(122+1))</f>
        <v>0.49215825147231079</v>
      </c>
      <c r="H6850">
        <f>0.00662251655629139*1.13323625323415</f>
        <v>7.5048758492327807E-3</v>
      </c>
      <c r="I6850">
        <v>7.5048758492328319E-3</v>
      </c>
    </row>
    <row r="6851" spans="1:9" x14ac:dyDescent="0.25">
      <c r="A6851">
        <v>347</v>
      </c>
      <c r="B6851" t="s">
        <v>2455</v>
      </c>
      <c r="C6851" t="s">
        <v>10</v>
      </c>
      <c r="D6851" t="s">
        <v>77</v>
      </c>
      <c r="E6851">
        <f>2/151</f>
        <v>1.3245033112582781E-2</v>
      </c>
      <c r="F6851">
        <v>148</v>
      </c>
      <c r="G6851">
        <f>LOG(382/(148+1))</f>
        <v>0.40887709449943471</v>
      </c>
      <c r="H6851">
        <f>0.0132450331125827*0.941474302661116</f>
        <v>1.2469858313392188E-2</v>
      </c>
      <c r="I6851">
        <v>1.2469858313392271E-2</v>
      </c>
    </row>
    <row r="6852" spans="1:9" x14ac:dyDescent="0.25">
      <c r="A6852">
        <v>347</v>
      </c>
      <c r="B6852" t="s">
        <v>2455</v>
      </c>
      <c r="C6852" t="s">
        <v>10</v>
      </c>
      <c r="D6852" t="s">
        <v>331</v>
      </c>
      <c r="E6852">
        <f>4/151</f>
        <v>2.6490066225165563E-2</v>
      </c>
      <c r="F6852">
        <v>130</v>
      </c>
      <c r="G6852">
        <f>LOG(382/(130+1))</f>
        <v>0.46479206725594452</v>
      </c>
      <c r="H6852">
        <f>0.0264900662251655*1.07022328540542</f>
        <v>2.8350285706103776E-2</v>
      </c>
      <c r="I6852">
        <v>2.8350285706103939E-2</v>
      </c>
    </row>
    <row r="6853" spans="1:9" x14ac:dyDescent="0.25">
      <c r="A6853">
        <v>347</v>
      </c>
      <c r="B6853" t="s">
        <v>2455</v>
      </c>
      <c r="C6853" t="s">
        <v>10</v>
      </c>
      <c r="D6853" t="s">
        <v>76</v>
      </c>
      <c r="E6853">
        <f>2/151</f>
        <v>1.3245033112582781E-2</v>
      </c>
      <c r="F6853">
        <v>140</v>
      </c>
      <c r="G6853">
        <f>LOG(382/(140+1))</f>
        <v>0.43284425025632883</v>
      </c>
      <c r="H6853">
        <f>0.0132450331125827*0.996660718228407</f>
        <v>1.3200804214945707E-2</v>
      </c>
      <c r="I6853">
        <v>1.320080421494579E-2</v>
      </c>
    </row>
    <row r="6854" spans="1:9" x14ac:dyDescent="0.25">
      <c r="A6854">
        <v>347</v>
      </c>
      <c r="B6854" t="s">
        <v>2455</v>
      </c>
      <c r="C6854" t="s">
        <v>10</v>
      </c>
      <c r="D6854" t="s">
        <v>40</v>
      </c>
      <c r="E6854">
        <f>5/151</f>
        <v>3.3112582781456956E-2</v>
      </c>
      <c r="F6854">
        <v>159</v>
      </c>
      <c r="G6854">
        <f>LOG(382/(159+1))</f>
        <v>0.377943380255784</v>
      </c>
      <c r="H6854">
        <f>0.0331125827814569*0.870246793372748</f>
        <v>2.8816118985852537E-2</v>
      </c>
      <c r="I6854">
        <v>2.8816118985852599E-2</v>
      </c>
    </row>
    <row r="6855" spans="1:9" x14ac:dyDescent="0.25">
      <c r="A6855">
        <v>347</v>
      </c>
      <c r="B6855" t="s">
        <v>2455</v>
      </c>
      <c r="C6855" t="s">
        <v>10</v>
      </c>
      <c r="D6855" t="s">
        <v>41</v>
      </c>
      <c r="E6855">
        <f>4/151</f>
        <v>2.6490066225165563E-2</v>
      </c>
      <c r="F6855">
        <v>195</v>
      </c>
      <c r="G6855">
        <f>LOG(382/(195+1))</f>
        <v>0.28980729155523272</v>
      </c>
      <c r="H6855">
        <f>0.0264900662251655*0.667305949376058</f>
        <v>1.7676978791418715E-2</v>
      </c>
      <c r="I6855">
        <v>1.767697879141876E-2</v>
      </c>
    </row>
    <row r="6856" spans="1:9" x14ac:dyDescent="0.25">
      <c r="A6856">
        <v>347</v>
      </c>
      <c r="B6856" t="s">
        <v>2455</v>
      </c>
      <c r="C6856" t="s">
        <v>10</v>
      </c>
      <c r="D6856" t="s">
        <v>939</v>
      </c>
      <c r="E6856">
        <f>2/151</f>
        <v>1.3245033112582781E-2</v>
      </c>
      <c r="F6856">
        <v>35</v>
      </c>
      <c r="G6856">
        <f>LOG(382/(35+1))</f>
        <v>1.0257608621444214</v>
      </c>
      <c r="H6856">
        <f>0.0132450331125827*2.36190167015046</f>
        <v>3.1283465829807226E-2</v>
      </c>
      <c r="I6856">
        <v>3.1283465829807483E-2</v>
      </c>
    </row>
    <row r="6857" spans="1:9" x14ac:dyDescent="0.25">
      <c r="A6857">
        <v>347</v>
      </c>
      <c r="B6857" t="s">
        <v>2455</v>
      </c>
      <c r="C6857" t="s">
        <v>10</v>
      </c>
      <c r="D6857" t="s">
        <v>432</v>
      </c>
      <c r="E6857">
        <f t="shared" ref="E6857:E6863" si="311">1/151</f>
        <v>6.6225165562913907E-3</v>
      </c>
      <c r="F6857">
        <v>67</v>
      </c>
      <c r="G6857">
        <f>LOG(382/(67+1))</f>
        <v>0.7495544502054724</v>
      </c>
      <c r="H6857">
        <f>0.00662251655629139*1.72591290343046</f>
        <v>1.1429886777685165E-2</v>
      </c>
      <c r="I6857">
        <v>1.142988677768522E-2</v>
      </c>
    </row>
    <row r="6858" spans="1:9" x14ac:dyDescent="0.25">
      <c r="A6858">
        <v>347</v>
      </c>
      <c r="B6858" t="s">
        <v>2455</v>
      </c>
      <c r="C6858" t="s">
        <v>10</v>
      </c>
      <c r="D6858" t="s">
        <v>2458</v>
      </c>
      <c r="E6858">
        <f t="shared" si="311"/>
        <v>6.6225165562913907E-3</v>
      </c>
      <c r="F6858">
        <v>1</v>
      </c>
      <c r="G6858">
        <f>LOG(382/(1+1))</f>
        <v>2.2810333672477277</v>
      </c>
      <c r="H6858">
        <f>0.00662251655629139*5.25227342804663</f>
        <v>3.4783267735408144E-2</v>
      </c>
      <c r="I6858">
        <v>3.4783267735408137E-2</v>
      </c>
    </row>
    <row r="6859" spans="1:9" x14ac:dyDescent="0.25">
      <c r="A6859">
        <v>347</v>
      </c>
      <c r="B6859" t="s">
        <v>2455</v>
      </c>
      <c r="C6859" t="s">
        <v>10</v>
      </c>
      <c r="D6859" t="s">
        <v>157</v>
      </c>
      <c r="E6859">
        <f t="shared" si="311"/>
        <v>6.6225165562913907E-3</v>
      </c>
      <c r="F6859">
        <v>16</v>
      </c>
      <c r="G6859">
        <f>LOG(382/(16+1))</f>
        <v>1.3516144415334348</v>
      </c>
      <c r="H6859">
        <f>0.00662251655629139*3.11220726455035</f>
        <v>2.0610644136095028E-2</v>
      </c>
      <c r="I6859">
        <v>2.0610644136095091E-2</v>
      </c>
    </row>
    <row r="6860" spans="1:9" x14ac:dyDescent="0.25">
      <c r="A6860">
        <v>347</v>
      </c>
      <c r="B6860" t="s">
        <v>2455</v>
      </c>
      <c r="C6860" t="s">
        <v>10</v>
      </c>
      <c r="D6860" t="s">
        <v>1927</v>
      </c>
      <c r="E6860">
        <f t="shared" si="311"/>
        <v>6.6225165562913907E-3</v>
      </c>
      <c r="F6860">
        <v>3</v>
      </c>
      <c r="G6860">
        <f>LOG(382/(3+1))</f>
        <v>1.9800033715837464</v>
      </c>
      <c r="H6860">
        <f>0.00662251655629139*4.55912624748668</f>
        <v>3.0192889056203175E-2</v>
      </c>
      <c r="I6860">
        <v>3.0192889056203209E-2</v>
      </c>
    </row>
    <row r="6861" spans="1:9" x14ac:dyDescent="0.25">
      <c r="A6861">
        <v>347</v>
      </c>
      <c r="B6861" t="s">
        <v>2455</v>
      </c>
      <c r="C6861" t="s">
        <v>10</v>
      </c>
      <c r="D6861" t="s">
        <v>333</v>
      </c>
      <c r="E6861">
        <f t="shared" si="311"/>
        <v>6.6225165562913907E-3</v>
      </c>
      <c r="F6861">
        <v>9</v>
      </c>
      <c r="G6861">
        <f>LOG(382/(9+1))</f>
        <v>1.5820633629117087</v>
      </c>
      <c r="H6861">
        <f>0.00662251655629139*3.64283551561252</f>
        <v>2.4124738513990197E-2</v>
      </c>
      <c r="I6861">
        <v>2.412473851399026E-2</v>
      </c>
    </row>
    <row r="6862" spans="1:9" x14ac:dyDescent="0.25">
      <c r="A6862">
        <v>347</v>
      </c>
      <c r="B6862" t="s">
        <v>2455</v>
      </c>
      <c r="C6862" t="s">
        <v>10</v>
      </c>
      <c r="D6862" t="s">
        <v>2459</v>
      </c>
      <c r="E6862">
        <f t="shared" si="311"/>
        <v>6.6225165562913907E-3</v>
      </c>
      <c r="F6862">
        <v>1</v>
      </c>
      <c r="G6862">
        <f>LOG(382/(1+1))</f>
        <v>2.2810333672477277</v>
      </c>
      <c r="H6862">
        <f>0.00662251655629139*5.25227342804663</f>
        <v>3.4783267735408144E-2</v>
      </c>
      <c r="I6862">
        <v>3.4783267735408137E-2</v>
      </c>
    </row>
    <row r="6863" spans="1:9" x14ac:dyDescent="0.25">
      <c r="A6863">
        <v>347</v>
      </c>
      <c r="B6863" t="s">
        <v>2455</v>
      </c>
      <c r="C6863" t="s">
        <v>10</v>
      </c>
      <c r="D6863" t="s">
        <v>823</v>
      </c>
      <c r="E6863">
        <f t="shared" si="311"/>
        <v>6.6225165562913907E-3</v>
      </c>
      <c r="F6863">
        <v>45</v>
      </c>
      <c r="G6863">
        <f>LOG(382/(45+1))</f>
        <v>0.9193055312301347</v>
      </c>
      <c r="H6863">
        <f>0.00662251655629139*2.11677921211748</f>
        <v>1.4018405378261456E-2</v>
      </c>
      <c r="I6863">
        <v>1.401840537826146E-2</v>
      </c>
    </row>
    <row r="6864" spans="1:9" x14ac:dyDescent="0.25">
      <c r="A6864">
        <v>347</v>
      </c>
      <c r="B6864" t="s">
        <v>2455</v>
      </c>
      <c r="C6864" t="s">
        <v>10</v>
      </c>
      <c r="D6864" t="s">
        <v>237</v>
      </c>
      <c r="E6864">
        <f>3/151</f>
        <v>1.9867549668874173E-2</v>
      </c>
      <c r="F6864">
        <v>138</v>
      </c>
      <c r="G6864">
        <f>LOG(382/(138+1))</f>
        <v>0.43904856265761361</v>
      </c>
      <c r="H6864">
        <f>0.0198675496688741*1.01094667547588</f>
        <v>2.0085033287600192E-2</v>
      </c>
      <c r="I6864">
        <v>2.0085033287600331E-2</v>
      </c>
    </row>
    <row r="6865" spans="1:9" x14ac:dyDescent="0.25">
      <c r="A6865">
        <v>347</v>
      </c>
      <c r="B6865" t="s">
        <v>2455</v>
      </c>
      <c r="C6865" t="s">
        <v>10</v>
      </c>
      <c r="D6865" t="s">
        <v>1631</v>
      </c>
      <c r="E6865">
        <f>2/151</f>
        <v>1.3245033112582781E-2</v>
      </c>
      <c r="F6865">
        <v>5</v>
      </c>
      <c r="G6865">
        <f>LOG(382/(5+1))</f>
        <v>1.803912112528065</v>
      </c>
      <c r="H6865">
        <f>0.0132450331125827*4.15366113937852</f>
        <v>5.501537932951648E-2</v>
      </c>
      <c r="I6865">
        <v>5.501537932951682E-2</v>
      </c>
    </row>
    <row r="6866" spans="1:9" x14ac:dyDescent="0.25">
      <c r="A6866">
        <v>347</v>
      </c>
      <c r="B6866" t="s">
        <v>2455</v>
      </c>
      <c r="C6866" t="s">
        <v>10</v>
      </c>
      <c r="D6866" t="s">
        <v>68</v>
      </c>
      <c r="E6866">
        <f>1/151</f>
        <v>6.6225165562913907E-3</v>
      </c>
      <c r="F6866">
        <v>43</v>
      </c>
      <c r="G6866">
        <f>LOG(382/(43+1))</f>
        <v>0.93861068642552126</v>
      </c>
      <c r="H6866">
        <f>0.00662251655629139*2.16123097468831</f>
        <v>1.431278791184311E-2</v>
      </c>
      <c r="I6866">
        <v>1.431278791184314E-2</v>
      </c>
    </row>
    <row r="6867" spans="1:9" x14ac:dyDescent="0.25">
      <c r="A6867">
        <v>347</v>
      </c>
      <c r="B6867" t="s">
        <v>2455</v>
      </c>
      <c r="C6867" t="s">
        <v>10</v>
      </c>
      <c r="D6867" t="s">
        <v>684</v>
      </c>
      <c r="E6867">
        <f>1/151</f>
        <v>6.6225165562913907E-3</v>
      </c>
      <c r="F6867">
        <v>2</v>
      </c>
      <c r="G6867">
        <f>LOG(382/(2+1))</f>
        <v>2.1049421081920463</v>
      </c>
      <c r="H6867">
        <f>0.00662251655629139*4.84680831993846</f>
        <v>3.209806834396331E-2</v>
      </c>
      <c r="I6867">
        <v>3.2098068343963337E-2</v>
      </c>
    </row>
    <row r="6868" spans="1:9" x14ac:dyDescent="0.25">
      <c r="A6868">
        <v>347</v>
      </c>
      <c r="B6868" t="s">
        <v>2455</v>
      </c>
      <c r="C6868" t="s">
        <v>10</v>
      </c>
      <c r="D6868" t="s">
        <v>2460</v>
      </c>
      <c r="E6868">
        <f>1/151</f>
        <v>6.6225165562913907E-3</v>
      </c>
      <c r="F6868">
        <v>1</v>
      </c>
      <c r="G6868">
        <f>LOG(382/(1+1))</f>
        <v>2.2810333672477277</v>
      </c>
      <c r="H6868">
        <f>0.00662251655629139*5.25227342804663</f>
        <v>3.4783267735408144E-2</v>
      </c>
      <c r="I6868">
        <v>3.4783267735408137E-2</v>
      </c>
    </row>
    <row r="6869" spans="1:9" x14ac:dyDescent="0.25">
      <c r="A6869">
        <v>347</v>
      </c>
      <c r="B6869" t="s">
        <v>2455</v>
      </c>
      <c r="C6869" t="s">
        <v>10</v>
      </c>
      <c r="D6869" t="s">
        <v>322</v>
      </c>
      <c r="E6869">
        <f>2/151</f>
        <v>1.3245033112582781E-2</v>
      </c>
      <c r="F6869">
        <v>128</v>
      </c>
      <c r="G6869">
        <f>LOG(382/(128+1))</f>
        <v>0.47147365261245977</v>
      </c>
      <c r="H6869">
        <f>0.0132450331125827*1.0856082042449</f>
        <v>1.4378916612515143E-2</v>
      </c>
      <c r="I6869">
        <v>1.437891661251527E-2</v>
      </c>
    </row>
    <row r="6870" spans="1:9" x14ac:dyDescent="0.25">
      <c r="A6870">
        <v>347</v>
      </c>
      <c r="B6870" t="s">
        <v>2455</v>
      </c>
      <c r="C6870" t="s">
        <v>10</v>
      </c>
      <c r="D6870" t="s">
        <v>2461</v>
      </c>
      <c r="E6870">
        <f>1/151</f>
        <v>6.6225165562913907E-3</v>
      </c>
      <c r="F6870">
        <v>2</v>
      </c>
      <c r="G6870">
        <f>LOG(382/(2+1))</f>
        <v>2.1049421081920463</v>
      </c>
      <c r="H6870">
        <f>0.00662251655629139*4.84680831993846</f>
        <v>3.209806834396331E-2</v>
      </c>
      <c r="I6870">
        <v>3.2098068343963337E-2</v>
      </c>
    </row>
    <row r="6871" spans="1:9" x14ac:dyDescent="0.25">
      <c r="A6871">
        <v>347</v>
      </c>
      <c r="B6871" t="s">
        <v>2455</v>
      </c>
      <c r="C6871" t="s">
        <v>10</v>
      </c>
      <c r="D6871" t="s">
        <v>2289</v>
      </c>
      <c r="E6871">
        <f>1/151</f>
        <v>6.6225165562913907E-3</v>
      </c>
      <c r="F6871">
        <v>2</v>
      </c>
      <c r="G6871">
        <f>LOG(382/(2+1))</f>
        <v>2.1049421081920463</v>
      </c>
      <c r="H6871">
        <f>0.00662251655629139*4.84680831993846</f>
        <v>3.209806834396331E-2</v>
      </c>
      <c r="I6871">
        <v>3.2098068343963337E-2</v>
      </c>
    </row>
    <row r="6872" spans="1:9" x14ac:dyDescent="0.25">
      <c r="A6872">
        <v>347</v>
      </c>
      <c r="B6872" t="s">
        <v>2455</v>
      </c>
      <c r="C6872" t="s">
        <v>10</v>
      </c>
      <c r="D6872" t="s">
        <v>133</v>
      </c>
      <c r="E6872">
        <f>2/151</f>
        <v>1.3245033112582781E-2</v>
      </c>
      <c r="F6872">
        <v>142</v>
      </c>
      <c r="G6872">
        <f>LOG(382/(142+1))</f>
        <v>0.42672732544664693</v>
      </c>
      <c r="H6872">
        <f>0.0132450331125827*0.982575978346667</f>
        <v>1.3014251368829947E-2</v>
      </c>
      <c r="I6872">
        <v>1.301425136883004E-2</v>
      </c>
    </row>
    <row r="6873" spans="1:9" x14ac:dyDescent="0.25">
      <c r="A6873">
        <v>347</v>
      </c>
      <c r="B6873" t="s">
        <v>2455</v>
      </c>
      <c r="C6873" t="s">
        <v>10</v>
      </c>
      <c r="D6873" t="s">
        <v>487</v>
      </c>
      <c r="E6873">
        <f>1/151</f>
        <v>6.6225165562913907E-3</v>
      </c>
      <c r="F6873">
        <v>32</v>
      </c>
      <c r="G6873">
        <f>LOG(382/(32+1))</f>
        <v>1.0635494230338212</v>
      </c>
      <c r="H6873">
        <f>0.00662251655629139*2.44891304714009</f>
        <v>1.6217967199603243E-2</v>
      </c>
      <c r="I6873">
        <v>1.6217967199603282E-2</v>
      </c>
    </row>
    <row r="6874" spans="1:9" x14ac:dyDescent="0.25">
      <c r="A6874">
        <v>347</v>
      </c>
      <c r="B6874" t="s">
        <v>2455</v>
      </c>
      <c r="C6874" t="s">
        <v>10</v>
      </c>
      <c r="D6874" t="s">
        <v>485</v>
      </c>
      <c r="E6874">
        <f>1/151</f>
        <v>6.6225165562913907E-3</v>
      </c>
      <c r="F6874">
        <v>74</v>
      </c>
      <c r="G6874">
        <f>LOG(382/(74+1))</f>
        <v>0.7070020995200087</v>
      </c>
      <c r="H6874">
        <f>0.00662251655629139*1.62793249507026</f>
        <v>1.0781009901127549E-2</v>
      </c>
      <c r="I6874">
        <v>1.078100990112758E-2</v>
      </c>
    </row>
    <row r="6875" spans="1:9" x14ac:dyDescent="0.25">
      <c r="A6875">
        <v>347</v>
      </c>
      <c r="B6875" t="s">
        <v>2455</v>
      </c>
      <c r="C6875" t="s">
        <v>10</v>
      </c>
      <c r="D6875" t="s">
        <v>2462</v>
      </c>
      <c r="E6875">
        <f>1/151</f>
        <v>6.6225165562913907E-3</v>
      </c>
      <c r="F6875">
        <v>3</v>
      </c>
      <c r="G6875">
        <f>LOG(382/(3+1))</f>
        <v>1.9800033715837464</v>
      </c>
      <c r="H6875">
        <f>0.00662251655629139*4.55912624748668</f>
        <v>3.0192889056203175E-2</v>
      </c>
      <c r="I6875">
        <v>3.0192889056203209E-2</v>
      </c>
    </row>
    <row r="6876" spans="1:9" x14ac:dyDescent="0.25">
      <c r="A6876">
        <v>347</v>
      </c>
      <c r="B6876" t="s">
        <v>2455</v>
      </c>
      <c r="C6876" t="s">
        <v>10</v>
      </c>
      <c r="D6876" t="s">
        <v>2163</v>
      </c>
      <c r="E6876">
        <f>1/151</f>
        <v>6.6225165562913907E-3</v>
      </c>
      <c r="F6876">
        <v>6</v>
      </c>
      <c r="G6876">
        <f>LOG(382/(6+1))</f>
        <v>1.736965322897452</v>
      </c>
      <c r="H6876">
        <f>0.00662251655629139*3.99951045955126</f>
        <v>2.6486824235438806E-2</v>
      </c>
      <c r="I6876">
        <v>2.648682423543882E-2</v>
      </c>
    </row>
    <row r="6877" spans="1:9" x14ac:dyDescent="0.25">
      <c r="A6877">
        <v>347</v>
      </c>
      <c r="B6877" t="s">
        <v>2455</v>
      </c>
      <c r="C6877" t="s">
        <v>10</v>
      </c>
      <c r="D6877" t="s">
        <v>2463</v>
      </c>
      <c r="E6877">
        <f>1/151</f>
        <v>6.6225165562913907E-3</v>
      </c>
      <c r="F6877">
        <v>1</v>
      </c>
      <c r="G6877">
        <f>LOG(382/(1+1))</f>
        <v>2.2810333672477277</v>
      </c>
      <c r="H6877">
        <f>0.00662251655629139*5.25227342804663</f>
        <v>3.4783267735408144E-2</v>
      </c>
      <c r="I6877">
        <v>3.4783267735408137E-2</v>
      </c>
    </row>
    <row r="6878" spans="1:9" x14ac:dyDescent="0.25">
      <c r="A6878">
        <v>347</v>
      </c>
      <c r="B6878" t="s">
        <v>2455</v>
      </c>
      <c r="C6878" t="s">
        <v>10</v>
      </c>
      <c r="D6878" t="s">
        <v>1834</v>
      </c>
      <c r="E6878">
        <f>3/151</f>
        <v>1.9867549668874173E-2</v>
      </c>
      <c r="F6878">
        <v>12</v>
      </c>
      <c r="G6878">
        <f>LOG(382/(12+1))</f>
        <v>1.468120010604872</v>
      </c>
      <c r="H6878">
        <f>0.0198675496688741*3.38047125114503</f>
        <v>6.7161680486324857E-2</v>
      </c>
      <c r="I6878">
        <v>6.7161680486325273E-2</v>
      </c>
    </row>
    <row r="6879" spans="1:9" x14ac:dyDescent="0.25">
      <c r="A6879">
        <v>347</v>
      </c>
      <c r="B6879" t="s">
        <v>2455</v>
      </c>
      <c r="C6879" t="s">
        <v>10</v>
      </c>
      <c r="D6879" t="s">
        <v>81</v>
      </c>
      <c r="E6879">
        <f>4/151</f>
        <v>2.6490066225165563E-2</v>
      </c>
      <c r="F6879">
        <v>114</v>
      </c>
      <c r="G6879">
        <f>LOG(382/(114+1))</f>
        <v>0.52136552255809698</v>
      </c>
      <c r="H6879">
        <f>0.0264900662251655*1.20048848024332</f>
        <v>3.1801019344193833E-2</v>
      </c>
      <c r="I6879">
        <v>3.1801019344194041E-2</v>
      </c>
    </row>
    <row r="6880" spans="1:9" x14ac:dyDescent="0.25">
      <c r="A6880">
        <v>347</v>
      </c>
      <c r="B6880" t="s">
        <v>2455</v>
      </c>
      <c r="C6880" t="s">
        <v>10</v>
      </c>
      <c r="D6880" t="s">
        <v>767</v>
      </c>
      <c r="E6880">
        <f>1/151</f>
        <v>6.6225165562913907E-3</v>
      </c>
      <c r="F6880">
        <v>47</v>
      </c>
      <c r="G6880">
        <f>LOG(382/(47+1))</f>
        <v>0.90082212553612151</v>
      </c>
      <c r="H6880">
        <f>0.00662251655629139*2.07421959769868</f>
        <v>1.3736553627143575E-2</v>
      </c>
      <c r="I6880">
        <v>1.37365536271436E-2</v>
      </c>
    </row>
    <row r="6881" spans="1:9" x14ac:dyDescent="0.25">
      <c r="A6881">
        <v>347</v>
      </c>
      <c r="B6881" t="s">
        <v>2455</v>
      </c>
      <c r="C6881" t="s">
        <v>10</v>
      </c>
      <c r="D6881" t="s">
        <v>932</v>
      </c>
      <c r="E6881">
        <f>1/151</f>
        <v>6.6225165562913907E-3</v>
      </c>
      <c r="F6881">
        <v>35</v>
      </c>
      <c r="G6881">
        <f>LOG(382/(35+1))</f>
        <v>1.0257608621444214</v>
      </c>
      <c r="H6881">
        <f>0.00662251655629139*2.36190167015046</f>
        <v>1.5641732914903707E-2</v>
      </c>
      <c r="I6881">
        <v>1.5641732914903742E-2</v>
      </c>
    </row>
    <row r="6882" spans="1:9" x14ac:dyDescent="0.25">
      <c r="A6882">
        <v>347</v>
      </c>
      <c r="B6882" t="s">
        <v>2455</v>
      </c>
      <c r="C6882" t="s">
        <v>10</v>
      </c>
      <c r="D6882" t="s">
        <v>2464</v>
      </c>
      <c r="E6882">
        <f>1/151</f>
        <v>6.6225165562913907E-3</v>
      </c>
      <c r="F6882">
        <v>1</v>
      </c>
      <c r="G6882">
        <f>LOG(382/(1+1))</f>
        <v>2.2810333672477277</v>
      </c>
      <c r="H6882">
        <f>0.00662251655629139*5.25227342804663</f>
        <v>3.4783267735408144E-2</v>
      </c>
      <c r="I6882">
        <v>3.4783267735408137E-2</v>
      </c>
    </row>
    <row r="6883" spans="1:9" x14ac:dyDescent="0.25">
      <c r="A6883">
        <v>347</v>
      </c>
      <c r="B6883" t="s">
        <v>2455</v>
      </c>
      <c r="C6883" t="s">
        <v>10</v>
      </c>
      <c r="D6883" t="s">
        <v>2465</v>
      </c>
      <c r="E6883">
        <f>1/151</f>
        <v>6.6225165562913907E-3</v>
      </c>
      <c r="F6883">
        <v>1</v>
      </c>
      <c r="G6883">
        <f>LOG(382/(1+1))</f>
        <v>2.2810333672477277</v>
      </c>
      <c r="H6883">
        <f>0.00662251655629139*5.25227342804663</f>
        <v>3.4783267735408144E-2</v>
      </c>
      <c r="I6883">
        <v>3.4783267735408137E-2</v>
      </c>
    </row>
    <row r="6884" spans="1:9" x14ac:dyDescent="0.25">
      <c r="A6884">
        <v>347</v>
      </c>
      <c r="B6884" t="s">
        <v>2455</v>
      </c>
      <c r="C6884" t="s">
        <v>10</v>
      </c>
      <c r="D6884" t="s">
        <v>89</v>
      </c>
      <c r="E6884">
        <f>1/151</f>
        <v>6.6225165562913907E-3</v>
      </c>
      <c r="F6884">
        <v>40</v>
      </c>
      <c r="G6884">
        <f>LOG(382/(40+1))</f>
        <v>0.96927950619197323</v>
      </c>
      <c r="H6884">
        <f>0.00662251655629139*2.23184854190226</f>
        <v>1.4780453919882513E-2</v>
      </c>
      <c r="I6884">
        <v>1.478045391988256E-2</v>
      </c>
    </row>
    <row r="6885" spans="1:9" x14ac:dyDescent="0.25">
      <c r="A6885">
        <v>347</v>
      </c>
      <c r="B6885" t="s">
        <v>2455</v>
      </c>
      <c r="C6885" t="s">
        <v>10</v>
      </c>
      <c r="D6885" t="s">
        <v>201</v>
      </c>
      <c r="E6885">
        <f>2/151</f>
        <v>1.3245033112582781E-2</v>
      </c>
      <c r="F6885">
        <v>72</v>
      </c>
      <c r="G6885">
        <f>LOG(382/(72+1))</f>
        <v>0.71874050279125279</v>
      </c>
      <c r="H6885">
        <f>0.0132450331125827*1.65496116745818</f>
        <v>2.1920015463022115E-2</v>
      </c>
      <c r="I6885">
        <v>2.1920015463022299E-2</v>
      </c>
    </row>
    <row r="6886" spans="1:9" x14ac:dyDescent="0.25">
      <c r="A6886">
        <v>347</v>
      </c>
      <c r="B6886" t="s">
        <v>2455</v>
      </c>
      <c r="C6886" t="s">
        <v>10</v>
      </c>
      <c r="D6886" t="s">
        <v>1537</v>
      </c>
      <c r="E6886">
        <f>1/151</f>
        <v>6.6225165562913907E-3</v>
      </c>
      <c r="F6886">
        <v>80</v>
      </c>
      <c r="G6886">
        <f>LOG(382/(80+1))</f>
        <v>0.67357834403305894</v>
      </c>
      <c r="H6886">
        <f>0.00662251655629139*1.55097145393413</f>
        <v>1.0271334132014105E-2</v>
      </c>
      <c r="I6886">
        <v>1.027133413201415E-2</v>
      </c>
    </row>
    <row r="6887" spans="1:9" x14ac:dyDescent="0.25">
      <c r="A6887">
        <v>347</v>
      </c>
      <c r="B6887" t="s">
        <v>2455</v>
      </c>
      <c r="C6887" t="s">
        <v>10</v>
      </c>
      <c r="D6887" t="s">
        <v>1544</v>
      </c>
      <c r="E6887">
        <f>1/151</f>
        <v>6.6225165562913907E-3</v>
      </c>
      <c r="F6887">
        <v>19</v>
      </c>
      <c r="G6887">
        <f>LOG(382/(19+1))</f>
        <v>1.2810333672477277</v>
      </c>
      <c r="H6887">
        <f>0.00662251655629139*2.94968833505258</f>
        <v>1.9534359834785294E-2</v>
      </c>
      <c r="I6887">
        <v>1.9534359834785329E-2</v>
      </c>
    </row>
    <row r="6888" spans="1:9" x14ac:dyDescent="0.25">
      <c r="A6888">
        <v>347</v>
      </c>
      <c r="B6888" t="s">
        <v>2455</v>
      </c>
      <c r="C6888" t="s">
        <v>10</v>
      </c>
      <c r="D6888" t="s">
        <v>82</v>
      </c>
      <c r="E6888">
        <f>1/151</f>
        <v>6.6225165562913907E-3</v>
      </c>
      <c r="F6888">
        <v>92</v>
      </c>
      <c r="G6888">
        <f>LOG(382/(92+1))</f>
        <v>0.61358041435777355</v>
      </c>
      <c r="H6888">
        <f>0.00662251655629139*1.41282111545331</f>
        <v>9.3564312281676134E-3</v>
      </c>
      <c r="I6888">
        <v>9.3564312281676776E-3</v>
      </c>
    </row>
    <row r="6889" spans="1:9" x14ac:dyDescent="0.25">
      <c r="A6889">
        <v>347</v>
      </c>
      <c r="B6889" t="s">
        <v>2455</v>
      </c>
      <c r="C6889" t="s">
        <v>10</v>
      </c>
      <c r="D6889" t="s">
        <v>2466</v>
      </c>
      <c r="E6889">
        <f>1/151</f>
        <v>6.6225165562913907E-3</v>
      </c>
      <c r="F6889">
        <v>1</v>
      </c>
      <c r="G6889">
        <f>LOG(382/(1+1))</f>
        <v>2.2810333672477277</v>
      </c>
      <c r="H6889">
        <f>0.00662251655629139*5.25227342804663</f>
        <v>3.4783267735408144E-2</v>
      </c>
      <c r="I6889">
        <v>3.4783267735408137E-2</v>
      </c>
    </row>
    <row r="6890" spans="1:9" x14ac:dyDescent="0.25">
      <c r="A6890">
        <v>347</v>
      </c>
      <c r="B6890" t="s">
        <v>2455</v>
      </c>
      <c r="C6890" t="s">
        <v>10</v>
      </c>
      <c r="D6890" t="s">
        <v>204</v>
      </c>
      <c r="E6890">
        <f>2/151</f>
        <v>1.3245033112582781E-2</v>
      </c>
      <c r="F6890">
        <v>166</v>
      </c>
      <c r="G6890">
        <f>LOG(382/(166+1))</f>
        <v>0.35934689176412549</v>
      </c>
      <c r="H6890">
        <f>0.0132450331125827*0.82742679618982</f>
        <v>1.0959295313772382E-2</v>
      </c>
      <c r="I6890">
        <v>1.095929531377245E-2</v>
      </c>
    </row>
    <row r="6891" spans="1:9" x14ac:dyDescent="0.25">
      <c r="A6891">
        <v>347</v>
      </c>
      <c r="B6891" t="s">
        <v>2455</v>
      </c>
      <c r="C6891" t="s">
        <v>10</v>
      </c>
      <c r="D6891" t="s">
        <v>1762</v>
      </c>
      <c r="E6891">
        <f>1/151</f>
        <v>6.6225165562913907E-3</v>
      </c>
      <c r="F6891">
        <v>60</v>
      </c>
      <c r="G6891">
        <f>LOG(382/(60+1))</f>
        <v>0.79673352790094176</v>
      </c>
      <c r="H6891">
        <f>0.00662251655629139*1.83454674443326</f>
        <v>1.2149316188299734E-2</v>
      </c>
      <c r="I6891">
        <v>1.214931618829976E-2</v>
      </c>
    </row>
    <row r="6892" spans="1:9" x14ac:dyDescent="0.25">
      <c r="A6892">
        <v>347</v>
      </c>
      <c r="B6892" t="s">
        <v>2455</v>
      </c>
      <c r="C6892" t="s">
        <v>10</v>
      </c>
      <c r="D6892" t="s">
        <v>2467</v>
      </c>
      <c r="E6892">
        <f>1/151</f>
        <v>6.6225165562913907E-3</v>
      </c>
      <c r="F6892">
        <v>1</v>
      </c>
      <c r="G6892">
        <f>LOG(382/(1+1))</f>
        <v>2.2810333672477277</v>
      </c>
      <c r="H6892">
        <f>0.00662251655629139*5.25227342804663</f>
        <v>3.4783267735408144E-2</v>
      </c>
      <c r="I6892">
        <v>3.4783267735408137E-2</v>
      </c>
    </row>
    <row r="6893" spans="1:9" x14ac:dyDescent="0.25">
      <c r="A6893">
        <v>347</v>
      </c>
      <c r="B6893" t="s">
        <v>2455</v>
      </c>
      <c r="C6893" t="s">
        <v>10</v>
      </c>
      <c r="D6893" t="s">
        <v>50</v>
      </c>
      <c r="E6893">
        <f>1/151</f>
        <v>6.6225165562913907E-3</v>
      </c>
      <c r="F6893">
        <v>109</v>
      </c>
      <c r="G6893">
        <f>LOG(382/(109+1))</f>
        <v>0.54067067775348365</v>
      </c>
      <c r="H6893">
        <f>0.00662251655629139*1.24494024281415</f>
        <v>8.2446373696301312E-3</v>
      </c>
      <c r="I6893">
        <v>8.2446373696301919E-3</v>
      </c>
    </row>
    <row r="6894" spans="1:9" x14ac:dyDescent="0.25">
      <c r="A6894">
        <v>347</v>
      </c>
      <c r="B6894" t="s">
        <v>2455</v>
      </c>
      <c r="C6894" t="s">
        <v>10</v>
      </c>
      <c r="D6894" t="s">
        <v>1546</v>
      </c>
      <c r="E6894">
        <f>1/151</f>
        <v>6.6225165562913907E-3</v>
      </c>
      <c r="F6894">
        <v>44</v>
      </c>
      <c r="G6894">
        <f>LOG(382/(44+1))</f>
        <v>0.92885084913636506</v>
      </c>
      <c r="H6894">
        <f>0.00662251655629139*2.13875811883625</f>
        <v>1.4163961051895694E-2</v>
      </c>
      <c r="I6894">
        <v>1.416396105189573E-2</v>
      </c>
    </row>
    <row r="6895" spans="1:9" x14ac:dyDescent="0.25">
      <c r="A6895">
        <v>347</v>
      </c>
      <c r="B6895" t="s">
        <v>2455</v>
      </c>
      <c r="C6895" t="s">
        <v>10</v>
      </c>
      <c r="D6895" t="s">
        <v>123</v>
      </c>
      <c r="E6895">
        <f>4/151</f>
        <v>2.6490066225165563E-2</v>
      </c>
      <c r="F6895">
        <v>74</v>
      </c>
      <c r="G6895">
        <f>LOG(382/(74+1))</f>
        <v>0.7070020995200087</v>
      </c>
      <c r="H6895">
        <f>0.0264900662251655*1.62793249507026</f>
        <v>4.3124039604510098E-2</v>
      </c>
      <c r="I6895">
        <v>4.3124039604510327E-2</v>
      </c>
    </row>
    <row r="6896" spans="1:9" x14ac:dyDescent="0.25">
      <c r="A6896">
        <v>347</v>
      </c>
      <c r="B6896" t="s">
        <v>2455</v>
      </c>
      <c r="C6896" t="s">
        <v>10</v>
      </c>
      <c r="D6896" t="s">
        <v>11</v>
      </c>
      <c r="E6896">
        <f>2/151</f>
        <v>1.3245033112582781E-2</v>
      </c>
      <c r="F6896">
        <v>83</v>
      </c>
      <c r="G6896">
        <f>LOG(382/(83+1))</f>
        <v>0.65778407684982709</v>
      </c>
      <c r="H6896">
        <f>0.0132450331125827*1.51460380976326</f>
        <v>2.0060977612758286E-2</v>
      </c>
      <c r="I6896">
        <v>2.0060977612758431E-2</v>
      </c>
    </row>
    <row r="6897" spans="1:9" x14ac:dyDescent="0.25">
      <c r="A6897">
        <v>347</v>
      </c>
      <c r="B6897" t="s">
        <v>2455</v>
      </c>
      <c r="C6897" t="s">
        <v>10</v>
      </c>
      <c r="D6897" t="s">
        <v>2093</v>
      </c>
      <c r="E6897">
        <f t="shared" ref="E6897:E6908" si="312">1/151</f>
        <v>6.6225165562913907E-3</v>
      </c>
      <c r="F6897">
        <v>7</v>
      </c>
      <c r="G6897">
        <f>LOG(382/(7+1))</f>
        <v>1.6789733759197651</v>
      </c>
      <c r="H6897">
        <f>0.00662251655629139*3.86597906692673</f>
        <v>2.5602510376998209E-2</v>
      </c>
      <c r="I6897">
        <v>2.5602510376998271E-2</v>
      </c>
    </row>
    <row r="6898" spans="1:9" x14ac:dyDescent="0.25">
      <c r="A6898">
        <v>347</v>
      </c>
      <c r="B6898" t="s">
        <v>2455</v>
      </c>
      <c r="C6898" t="s">
        <v>10</v>
      </c>
      <c r="D6898" t="s">
        <v>2468</v>
      </c>
      <c r="E6898">
        <f t="shared" si="312"/>
        <v>6.6225165562913907E-3</v>
      </c>
      <c r="F6898">
        <v>7</v>
      </c>
      <c r="G6898">
        <f>LOG(382/(7+1))</f>
        <v>1.6789733759197651</v>
      </c>
      <c r="H6898">
        <f>0.00662251655629139*3.86597906692673</f>
        <v>2.5602510376998209E-2</v>
      </c>
      <c r="I6898">
        <v>2.5602510376998271E-2</v>
      </c>
    </row>
    <row r="6899" spans="1:9" x14ac:dyDescent="0.25">
      <c r="A6899">
        <v>347</v>
      </c>
      <c r="B6899" t="s">
        <v>2455</v>
      </c>
      <c r="C6899" t="s">
        <v>10</v>
      </c>
      <c r="D6899" t="s">
        <v>2469</v>
      </c>
      <c r="E6899">
        <f t="shared" si="312"/>
        <v>6.6225165562913907E-3</v>
      </c>
      <c r="F6899">
        <v>1</v>
      </c>
      <c r="G6899">
        <f>LOG(382/(1+1))</f>
        <v>2.2810333672477277</v>
      </c>
      <c r="H6899">
        <f>0.00662251655629139*5.25227342804663</f>
        <v>3.4783267735408144E-2</v>
      </c>
      <c r="I6899">
        <v>3.4783267735408137E-2</v>
      </c>
    </row>
    <row r="6900" spans="1:9" x14ac:dyDescent="0.25">
      <c r="A6900">
        <v>347</v>
      </c>
      <c r="B6900" t="s">
        <v>2455</v>
      </c>
      <c r="C6900" t="s">
        <v>10</v>
      </c>
      <c r="D6900" t="s">
        <v>339</v>
      </c>
      <c r="E6900">
        <f t="shared" si="312"/>
        <v>6.6225165562913907E-3</v>
      </c>
      <c r="F6900">
        <v>66</v>
      </c>
      <c r="G6900">
        <f>LOG(382/(66+1))</f>
        <v>0.75598856021088234</v>
      </c>
      <c r="H6900">
        <f>0.00662251655629139*1.7407279892156</f>
        <v>1.1527999928580132E-2</v>
      </c>
      <c r="I6900">
        <v>1.1527999928580191E-2</v>
      </c>
    </row>
    <row r="6901" spans="1:9" x14ac:dyDescent="0.25">
      <c r="A6901">
        <v>347</v>
      </c>
      <c r="B6901" t="s">
        <v>2455</v>
      </c>
      <c r="C6901" t="s">
        <v>10</v>
      </c>
      <c r="D6901" t="s">
        <v>144</v>
      </c>
      <c r="E6901">
        <f t="shared" si="312"/>
        <v>6.6225165562913907E-3</v>
      </c>
      <c r="F6901">
        <v>105</v>
      </c>
      <c r="G6901">
        <f>LOG(382/(105+1))</f>
        <v>0.55675749764693849</v>
      </c>
      <c r="H6901">
        <f>0.00662251655629139*1.2819815144945</f>
        <v>8.4899438045993366E-3</v>
      </c>
      <c r="I6901">
        <v>8.4899438045993904E-3</v>
      </c>
    </row>
    <row r="6902" spans="1:9" x14ac:dyDescent="0.25">
      <c r="A6902">
        <v>347</v>
      </c>
      <c r="B6902" t="s">
        <v>2455</v>
      </c>
      <c r="C6902" t="s">
        <v>10</v>
      </c>
      <c r="D6902" t="s">
        <v>542</v>
      </c>
      <c r="E6902">
        <f t="shared" si="312"/>
        <v>6.6225165562913907E-3</v>
      </c>
      <c r="F6902">
        <v>42</v>
      </c>
      <c r="G6902">
        <f>LOG(382/(42+1))</f>
        <v>0.94859490733212215</v>
      </c>
      <c r="H6902">
        <f>0.00662251655629139*2.18422049291301</f>
        <v>1.4465036376907348E-2</v>
      </c>
      <c r="I6902">
        <v>1.446503637690737E-2</v>
      </c>
    </row>
    <row r="6903" spans="1:9" x14ac:dyDescent="0.25">
      <c r="A6903">
        <v>347</v>
      </c>
      <c r="B6903" t="s">
        <v>2455</v>
      </c>
      <c r="C6903" t="s">
        <v>10</v>
      </c>
      <c r="D6903" t="s">
        <v>591</v>
      </c>
      <c r="E6903">
        <f t="shared" si="312"/>
        <v>6.6225165562913907E-3</v>
      </c>
      <c r="F6903">
        <v>21</v>
      </c>
      <c r="G6903">
        <f>LOG(382/(21+1))</f>
        <v>1.2396406820895025</v>
      </c>
      <c r="H6903">
        <f>0.00662251655629139*2.85437815524825</f>
        <v>1.8903166591048012E-2</v>
      </c>
      <c r="I6903">
        <v>1.8903166591048071E-2</v>
      </c>
    </row>
    <row r="6904" spans="1:9" x14ac:dyDescent="0.25">
      <c r="A6904">
        <v>347</v>
      </c>
      <c r="B6904" t="s">
        <v>2455</v>
      </c>
      <c r="C6904" t="s">
        <v>10</v>
      </c>
      <c r="D6904" t="s">
        <v>1433</v>
      </c>
      <c r="E6904">
        <f t="shared" si="312"/>
        <v>6.6225165562913907E-3</v>
      </c>
      <c r="F6904">
        <v>21</v>
      </c>
      <c r="G6904">
        <f>LOG(382/(21+1))</f>
        <v>1.2396406820895025</v>
      </c>
      <c r="H6904">
        <f>0.00662251655629139*2.85437815524825</f>
        <v>1.8903166591048012E-2</v>
      </c>
      <c r="I6904">
        <v>1.8903166591048071E-2</v>
      </c>
    </row>
    <row r="6905" spans="1:9" x14ac:dyDescent="0.25">
      <c r="A6905">
        <v>347</v>
      </c>
      <c r="B6905" t="s">
        <v>2455</v>
      </c>
      <c r="C6905" t="s">
        <v>10</v>
      </c>
      <c r="D6905" t="s">
        <v>1473</v>
      </c>
      <c r="E6905">
        <f t="shared" si="312"/>
        <v>6.6225165562913907E-3</v>
      </c>
      <c r="F6905">
        <v>39</v>
      </c>
      <c r="G6905">
        <f>LOG(382/(39+1))</f>
        <v>0.9800033715837464</v>
      </c>
      <c r="H6905">
        <f>0.00662251655629139*2.25654115449263</f>
        <v>1.494398115558033E-2</v>
      </c>
      <c r="I6905">
        <v>1.4943981155580391E-2</v>
      </c>
    </row>
    <row r="6906" spans="1:9" x14ac:dyDescent="0.25">
      <c r="A6906">
        <v>347</v>
      </c>
      <c r="B6906" t="s">
        <v>2455</v>
      </c>
      <c r="C6906" t="s">
        <v>10</v>
      </c>
      <c r="D6906" t="s">
        <v>2470</v>
      </c>
      <c r="E6906">
        <f t="shared" si="312"/>
        <v>6.6225165562913907E-3</v>
      </c>
      <c r="F6906">
        <v>1</v>
      </c>
      <c r="G6906">
        <f>LOG(382/(1+1))</f>
        <v>2.2810333672477277</v>
      </c>
      <c r="H6906">
        <f>0.00662251655629139*5.25227342804663</f>
        <v>3.4783267735408144E-2</v>
      </c>
      <c r="I6906">
        <v>3.4783267735408137E-2</v>
      </c>
    </row>
    <row r="6907" spans="1:9" x14ac:dyDescent="0.25">
      <c r="A6907">
        <v>347</v>
      </c>
      <c r="B6907" t="s">
        <v>2455</v>
      </c>
      <c r="C6907" t="s">
        <v>10</v>
      </c>
      <c r="D6907" t="s">
        <v>863</v>
      </c>
      <c r="E6907">
        <f t="shared" si="312"/>
        <v>6.6225165562913907E-3</v>
      </c>
      <c r="F6907">
        <v>14</v>
      </c>
      <c r="G6907">
        <f>LOG(382/(14+1))</f>
        <v>1.4059721038560276</v>
      </c>
      <c r="H6907">
        <f>0.00662251655629139*3.23737040750436</f>
        <v>2.1439539122545426E-2</v>
      </c>
      <c r="I6907">
        <v>2.143953912254546E-2</v>
      </c>
    </row>
    <row r="6908" spans="1:9" x14ac:dyDescent="0.25">
      <c r="A6908">
        <v>347</v>
      </c>
      <c r="B6908" t="s">
        <v>2455</v>
      </c>
      <c r="C6908" t="s">
        <v>10</v>
      </c>
      <c r="D6908" t="s">
        <v>361</v>
      </c>
      <c r="E6908">
        <f t="shared" si="312"/>
        <v>6.6225165562913907E-3</v>
      </c>
      <c r="F6908">
        <v>118</v>
      </c>
      <c r="G6908">
        <f>LOG(382/(118+1))</f>
        <v>0.50651640151917798</v>
      </c>
      <c r="H6908">
        <f>0.00662251655629139*1.16629711549504</f>
        <v>7.7238219569207931E-3</v>
      </c>
      <c r="I6908">
        <v>7.7238219569208339E-3</v>
      </c>
    </row>
    <row r="6909" spans="1:9" x14ac:dyDescent="0.25">
      <c r="A6909">
        <v>347</v>
      </c>
      <c r="B6909" t="s">
        <v>2455</v>
      </c>
      <c r="C6909" t="s">
        <v>10</v>
      </c>
      <c r="D6909" t="s">
        <v>600</v>
      </c>
      <c r="E6909">
        <f>3/151</f>
        <v>1.9867549668874173E-2</v>
      </c>
      <c r="F6909">
        <v>102</v>
      </c>
      <c r="G6909">
        <f>LOG(382/(102+1))</f>
        <v>0.56922613820653656</v>
      </c>
      <c r="H6909">
        <f>0.0198675496688741*1.31069162037693</f>
        <v>2.6040230868415736E-2</v>
      </c>
      <c r="I6909">
        <v>2.6040230868416021E-2</v>
      </c>
    </row>
    <row r="6910" spans="1:9" x14ac:dyDescent="0.25">
      <c r="A6910">
        <v>347</v>
      </c>
      <c r="B6910" t="s">
        <v>2455</v>
      </c>
      <c r="C6910" t="s">
        <v>10</v>
      </c>
      <c r="D6910" t="s">
        <v>2471</v>
      </c>
      <c r="E6910">
        <f t="shared" ref="E6910:E6915" si="313">1/151</f>
        <v>6.6225165562913907E-3</v>
      </c>
      <c r="F6910">
        <v>1</v>
      </c>
      <c r="G6910">
        <f>LOG(382/(1+1))</f>
        <v>2.2810333672477277</v>
      </c>
      <c r="H6910">
        <f>0.00662251655629139*5.25227342804663</f>
        <v>3.4783267735408144E-2</v>
      </c>
      <c r="I6910">
        <v>3.4783267735408137E-2</v>
      </c>
    </row>
    <row r="6911" spans="1:9" x14ac:dyDescent="0.25">
      <c r="A6911">
        <v>347</v>
      </c>
      <c r="B6911" t="s">
        <v>2455</v>
      </c>
      <c r="C6911" t="s">
        <v>10</v>
      </c>
      <c r="D6911" t="s">
        <v>599</v>
      </c>
      <c r="E6911">
        <f t="shared" si="313"/>
        <v>6.6225165562913907E-3</v>
      </c>
      <c r="F6911">
        <v>28</v>
      </c>
      <c r="G6911">
        <f>LOG(382/(28+1))</f>
        <v>1.1196653650127526</v>
      </c>
      <c r="H6911">
        <f>0.00662251655629139*2.5781247786201</f>
        <v>1.7073674030596685E-2</v>
      </c>
      <c r="I6911">
        <v>1.7073674030596699E-2</v>
      </c>
    </row>
    <row r="6912" spans="1:9" x14ac:dyDescent="0.25">
      <c r="A6912">
        <v>347</v>
      </c>
      <c r="B6912" t="s">
        <v>2455</v>
      </c>
      <c r="C6912" t="s">
        <v>10</v>
      </c>
      <c r="D6912" t="s">
        <v>596</v>
      </c>
      <c r="E6912">
        <f t="shared" si="313"/>
        <v>6.6225165562913907E-3</v>
      </c>
      <c r="F6912">
        <v>60</v>
      </c>
      <c r="G6912">
        <f>LOG(382/(60+1))</f>
        <v>0.79673352790094176</v>
      </c>
      <c r="H6912">
        <f>0.00662251655629139*1.83454674443326</f>
        <v>1.2149316188299734E-2</v>
      </c>
      <c r="I6912">
        <v>1.214931618829976E-2</v>
      </c>
    </row>
    <row r="6913" spans="1:9" x14ac:dyDescent="0.25">
      <c r="A6913">
        <v>347</v>
      </c>
      <c r="B6913" t="s">
        <v>2455</v>
      </c>
      <c r="C6913" t="s">
        <v>10</v>
      </c>
      <c r="D6913" t="s">
        <v>2472</v>
      </c>
      <c r="E6913">
        <f t="shared" si="313"/>
        <v>6.6225165562913907E-3</v>
      </c>
      <c r="F6913">
        <v>1</v>
      </c>
      <c r="G6913">
        <f>LOG(382/(1+1))</f>
        <v>2.2810333672477277</v>
      </c>
      <c r="H6913">
        <f>0.00662251655629139*5.25227342804663</f>
        <v>3.4783267735408144E-2</v>
      </c>
      <c r="I6913">
        <v>3.4783267735408137E-2</v>
      </c>
    </row>
    <row r="6914" spans="1:9" x14ac:dyDescent="0.25">
      <c r="A6914">
        <v>347</v>
      </c>
      <c r="B6914" t="s">
        <v>2455</v>
      </c>
      <c r="C6914" t="s">
        <v>10</v>
      </c>
      <c r="D6914" t="s">
        <v>2473</v>
      </c>
      <c r="E6914">
        <f t="shared" si="313"/>
        <v>6.6225165562913907E-3</v>
      </c>
      <c r="F6914">
        <v>1</v>
      </c>
      <c r="G6914">
        <f>LOG(382/(1+1))</f>
        <v>2.2810333672477277</v>
      </c>
      <c r="H6914">
        <f>0.00662251655629139*5.25227342804663</f>
        <v>3.4783267735408144E-2</v>
      </c>
      <c r="I6914">
        <v>3.4783267735408137E-2</v>
      </c>
    </row>
    <row r="6915" spans="1:9" x14ac:dyDescent="0.25">
      <c r="A6915">
        <v>347</v>
      </c>
      <c r="B6915" t="s">
        <v>2455</v>
      </c>
      <c r="C6915" t="s">
        <v>10</v>
      </c>
      <c r="D6915" t="s">
        <v>775</v>
      </c>
      <c r="E6915">
        <f t="shared" si="313"/>
        <v>6.6225165562913907E-3</v>
      </c>
      <c r="F6915">
        <v>20</v>
      </c>
      <c r="G6915">
        <f>LOG(382/(20+1))</f>
        <v>1.2598440681777894</v>
      </c>
      <c r="H6915">
        <f>0.00662251655629139*2.90089817088315</f>
        <v>1.9211246164789069E-2</v>
      </c>
      <c r="I6915">
        <v>1.921124616478909E-2</v>
      </c>
    </row>
    <row r="6916" spans="1:9" x14ac:dyDescent="0.25">
      <c r="A6916">
        <v>347</v>
      </c>
      <c r="B6916" t="s">
        <v>2455</v>
      </c>
      <c r="C6916" t="s">
        <v>10</v>
      </c>
      <c r="D6916" t="s">
        <v>439</v>
      </c>
      <c r="E6916">
        <f>2/151</f>
        <v>1.3245033112582781E-2</v>
      </c>
      <c r="F6916">
        <v>28</v>
      </c>
      <c r="G6916">
        <f>LOG(382/(28+1))</f>
        <v>1.1196653650127526</v>
      </c>
      <c r="H6916">
        <f>0.0132450331125827*2.5781247786201</f>
        <v>3.4147348061193163E-2</v>
      </c>
      <c r="I6916">
        <v>3.4147348061193392E-2</v>
      </c>
    </row>
    <row r="6917" spans="1:9" x14ac:dyDescent="0.25">
      <c r="A6917">
        <v>347</v>
      </c>
      <c r="B6917" t="s">
        <v>2455</v>
      </c>
      <c r="C6917" t="s">
        <v>10</v>
      </c>
      <c r="D6917" t="s">
        <v>440</v>
      </c>
      <c r="E6917">
        <f t="shared" ref="E6917:E6924" si="314">1/151</f>
        <v>6.6225165562913907E-3</v>
      </c>
      <c r="F6917">
        <v>6</v>
      </c>
      <c r="G6917">
        <f>LOG(382/(6+1))</f>
        <v>1.736965322897452</v>
      </c>
      <c r="H6917">
        <f>0.00662251655629139*3.99951045955126</f>
        <v>2.6486824235438806E-2</v>
      </c>
      <c r="I6917">
        <v>2.648682423543882E-2</v>
      </c>
    </row>
    <row r="6918" spans="1:9" x14ac:dyDescent="0.25">
      <c r="A6918">
        <v>347</v>
      </c>
      <c r="B6918" t="s">
        <v>2455</v>
      </c>
      <c r="C6918" t="s">
        <v>10</v>
      </c>
      <c r="D6918" t="s">
        <v>805</v>
      </c>
      <c r="E6918">
        <f t="shared" si="314"/>
        <v>6.6225165562913907E-3</v>
      </c>
      <c r="F6918">
        <v>19</v>
      </c>
      <c r="G6918">
        <f>LOG(382/(19+1))</f>
        <v>1.2810333672477277</v>
      </c>
      <c r="H6918">
        <f>0.00662251655629139*2.94968833505258</f>
        <v>1.9534359834785294E-2</v>
      </c>
      <c r="I6918">
        <v>1.9534359834785329E-2</v>
      </c>
    </row>
    <row r="6919" spans="1:9" x14ac:dyDescent="0.25">
      <c r="A6919">
        <v>347</v>
      </c>
      <c r="B6919" t="s">
        <v>2455</v>
      </c>
      <c r="C6919" t="s">
        <v>10</v>
      </c>
      <c r="D6919" t="s">
        <v>2105</v>
      </c>
      <c r="E6919">
        <f t="shared" si="314"/>
        <v>6.6225165562913907E-3</v>
      </c>
      <c r="F6919">
        <v>10</v>
      </c>
      <c r="G6919">
        <f>LOG(382/(10+1))</f>
        <v>1.5406706777534838</v>
      </c>
      <c r="H6919">
        <f>0.00662251655629139*3.5475253358082</f>
        <v>2.3493545270252977E-2</v>
      </c>
      <c r="I6919">
        <v>2.3493545270253009E-2</v>
      </c>
    </row>
    <row r="6920" spans="1:9" x14ac:dyDescent="0.25">
      <c r="A6920">
        <v>347</v>
      </c>
      <c r="B6920" t="s">
        <v>2455</v>
      </c>
      <c r="C6920" t="s">
        <v>10</v>
      </c>
      <c r="D6920" t="s">
        <v>2474</v>
      </c>
      <c r="E6920">
        <f t="shared" si="314"/>
        <v>6.6225165562913907E-3</v>
      </c>
      <c r="F6920">
        <v>1</v>
      </c>
      <c r="G6920">
        <f>LOG(382/(1+1))</f>
        <v>2.2810333672477277</v>
      </c>
      <c r="H6920">
        <f>0.00662251655629139*5.25227342804663</f>
        <v>3.4783267735408144E-2</v>
      </c>
      <c r="I6920">
        <v>3.4783267735408137E-2</v>
      </c>
    </row>
    <row r="6921" spans="1:9" x14ac:dyDescent="0.25">
      <c r="A6921">
        <v>347</v>
      </c>
      <c r="B6921" t="s">
        <v>2455</v>
      </c>
      <c r="C6921" t="s">
        <v>10</v>
      </c>
      <c r="D6921" t="s">
        <v>44</v>
      </c>
      <c r="E6921">
        <f t="shared" si="314"/>
        <v>6.6225165562913907E-3</v>
      </c>
      <c r="F6921">
        <v>151</v>
      </c>
      <c r="G6921">
        <f>LOG(382/(151+1))</f>
        <v>0.40021977496693617</v>
      </c>
      <c r="H6921">
        <f>0.00662251655629139*0.921540087760298</f>
        <v>6.102914488478794E-3</v>
      </c>
      <c r="I6921">
        <v>6.1029144884787992E-3</v>
      </c>
    </row>
    <row r="6922" spans="1:9" x14ac:dyDescent="0.25">
      <c r="A6922">
        <v>347</v>
      </c>
      <c r="B6922" t="s">
        <v>2455</v>
      </c>
      <c r="C6922" t="s">
        <v>10</v>
      </c>
      <c r="D6922" t="s">
        <v>2475</v>
      </c>
      <c r="E6922">
        <f t="shared" si="314"/>
        <v>6.6225165562913907E-3</v>
      </c>
      <c r="F6922">
        <v>1</v>
      </c>
      <c r="G6922">
        <f>LOG(382/(1+1))</f>
        <v>2.2810333672477277</v>
      </c>
      <c r="H6922">
        <f>0.00662251655629139*5.25227342804663</f>
        <v>3.4783267735408144E-2</v>
      </c>
      <c r="I6922">
        <v>3.4783267735408137E-2</v>
      </c>
    </row>
    <row r="6923" spans="1:9" x14ac:dyDescent="0.25">
      <c r="A6923">
        <v>347</v>
      </c>
      <c r="B6923" t="s">
        <v>2455</v>
      </c>
      <c r="C6923" t="s">
        <v>10</v>
      </c>
      <c r="D6923" t="s">
        <v>2476</v>
      </c>
      <c r="E6923">
        <f t="shared" si="314"/>
        <v>6.6225165562913907E-3</v>
      </c>
      <c r="F6923">
        <v>12</v>
      </c>
      <c r="G6923">
        <f>LOG(382/(12+1))</f>
        <v>1.468120010604872</v>
      </c>
      <c r="H6923">
        <f>0.00662251655629139*3.38047125114503</f>
        <v>2.2387226828775031E-2</v>
      </c>
      <c r="I6923">
        <v>2.238722682877509E-2</v>
      </c>
    </row>
    <row r="6924" spans="1:9" x14ac:dyDescent="0.25">
      <c r="A6924">
        <v>347</v>
      </c>
      <c r="B6924" t="s">
        <v>2455</v>
      </c>
      <c r="C6924" t="s">
        <v>10</v>
      </c>
      <c r="D6924" t="s">
        <v>1469</v>
      </c>
      <c r="E6924">
        <f t="shared" si="314"/>
        <v>6.6225165562913907E-3</v>
      </c>
      <c r="F6924">
        <v>24</v>
      </c>
      <c r="G6924">
        <f>LOG(382/(24+1))</f>
        <v>1.1841233542396712</v>
      </c>
      <c r="H6924">
        <f>0.00662251655629139*2.72654478373837</f>
        <v>1.8056587971777283E-2</v>
      </c>
      <c r="I6924">
        <v>1.805658797177731E-2</v>
      </c>
    </row>
    <row r="6925" spans="1:9" x14ac:dyDescent="0.25">
      <c r="A6925">
        <v>347</v>
      </c>
      <c r="B6925" t="s">
        <v>2455</v>
      </c>
      <c r="C6925" t="s">
        <v>10</v>
      </c>
      <c r="D6925" t="s">
        <v>236</v>
      </c>
      <c r="E6925">
        <f>2/151</f>
        <v>1.3245033112582781E-2</v>
      </c>
      <c r="F6925">
        <v>87</v>
      </c>
      <c r="G6925">
        <f>LOG(382/(87+1))</f>
        <v>0.63758069076154011</v>
      </c>
      <c r="H6925">
        <f>0.0132450331125827*1.46808379412836</f>
        <v>1.9444818465276171E-2</v>
      </c>
      <c r="I6925">
        <v>1.944481846527641E-2</v>
      </c>
    </row>
    <row r="6926" spans="1:9" x14ac:dyDescent="0.25">
      <c r="A6926">
        <v>347</v>
      </c>
      <c r="B6926" t="s">
        <v>2455</v>
      </c>
      <c r="C6926" t="s">
        <v>10</v>
      </c>
      <c r="D6926" t="s">
        <v>2477</v>
      </c>
      <c r="E6926">
        <f>1/151</f>
        <v>6.6225165562913907E-3</v>
      </c>
      <c r="F6926">
        <v>1</v>
      </c>
      <c r="G6926">
        <f>LOG(382/(1+1))</f>
        <v>2.2810333672477277</v>
      </c>
      <c r="H6926">
        <f>0.00662251655629139*5.25227342804663</f>
        <v>3.4783267735408144E-2</v>
      </c>
      <c r="I6926">
        <v>3.4783267735408137E-2</v>
      </c>
    </row>
    <row r="6927" spans="1:9" x14ac:dyDescent="0.25">
      <c r="A6927">
        <v>347</v>
      </c>
      <c r="B6927" t="s">
        <v>2455</v>
      </c>
      <c r="C6927" t="s">
        <v>10</v>
      </c>
      <c r="D6927" t="s">
        <v>309</v>
      </c>
      <c r="E6927">
        <f>1/151</f>
        <v>6.6225165562913907E-3</v>
      </c>
      <c r="F6927">
        <v>25</v>
      </c>
      <c r="G6927">
        <f>LOG(382/(25+1))</f>
        <v>1.1670900149408907</v>
      </c>
      <c r="H6927">
        <f>0.00662251655629139*2.68732407058509</f>
        <v>1.7796848149570131E-2</v>
      </c>
      <c r="I6927">
        <v>1.7796848149570148E-2</v>
      </c>
    </row>
    <row r="6928" spans="1:9" x14ac:dyDescent="0.25">
      <c r="A6928">
        <v>347</v>
      </c>
      <c r="B6928" t="s">
        <v>2455</v>
      </c>
      <c r="C6928" t="s">
        <v>10</v>
      </c>
      <c r="D6928" t="s">
        <v>763</v>
      </c>
      <c r="E6928">
        <f>2/151</f>
        <v>1.3245033112582781E-2</v>
      </c>
      <c r="F6928">
        <v>47</v>
      </c>
      <c r="G6928">
        <f>LOG(382/(47+1))</f>
        <v>0.90082212553612151</v>
      </c>
      <c r="H6928">
        <f>0.0132450331125827*2.07421959769868</f>
        <v>2.7473107254286984E-2</v>
      </c>
      <c r="I6928">
        <v>2.7473107254287209E-2</v>
      </c>
    </row>
    <row r="6929" spans="1:9" x14ac:dyDescent="0.25">
      <c r="A6929">
        <v>347</v>
      </c>
      <c r="B6929" t="s">
        <v>2455</v>
      </c>
      <c r="C6929" t="s">
        <v>10</v>
      </c>
      <c r="D6929" t="s">
        <v>1831</v>
      </c>
      <c r="E6929">
        <f t="shared" ref="E6929:E6938" si="315">1/151</f>
        <v>6.6225165562913907E-3</v>
      </c>
      <c r="F6929">
        <v>28</v>
      </c>
      <c r="G6929">
        <f>LOG(382/(28+1))</f>
        <v>1.1196653650127526</v>
      </c>
      <c r="H6929">
        <f>0.00662251655629139*2.5781247786201</f>
        <v>1.7073674030596685E-2</v>
      </c>
      <c r="I6929">
        <v>1.7073674030596699E-2</v>
      </c>
    </row>
    <row r="6930" spans="1:9" x14ac:dyDescent="0.25">
      <c r="A6930">
        <v>347</v>
      </c>
      <c r="B6930" t="s">
        <v>2455</v>
      </c>
      <c r="C6930" t="s">
        <v>10</v>
      </c>
      <c r="D6930" t="s">
        <v>1098</v>
      </c>
      <c r="E6930">
        <f t="shared" si="315"/>
        <v>6.6225165562913907E-3</v>
      </c>
      <c r="F6930">
        <v>19</v>
      </c>
      <c r="G6930">
        <f>LOG(382/(19+1))</f>
        <v>1.2810333672477277</v>
      </c>
      <c r="H6930">
        <f>0.00662251655629139*2.94968833505258</f>
        <v>1.9534359834785294E-2</v>
      </c>
      <c r="I6930">
        <v>1.9534359834785329E-2</v>
      </c>
    </row>
    <row r="6931" spans="1:9" x14ac:dyDescent="0.25">
      <c r="A6931">
        <v>347</v>
      </c>
      <c r="B6931" t="s">
        <v>2455</v>
      </c>
      <c r="C6931" t="s">
        <v>10</v>
      </c>
      <c r="D6931" t="s">
        <v>2478</v>
      </c>
      <c r="E6931">
        <f t="shared" si="315"/>
        <v>6.6225165562913907E-3</v>
      </c>
      <c r="F6931">
        <v>1</v>
      </c>
      <c r="G6931">
        <f>LOG(382/(1+1))</f>
        <v>2.2810333672477277</v>
      </c>
      <c r="H6931">
        <f>0.00662251655629139*5.25227342804663</f>
        <v>3.4783267735408144E-2</v>
      </c>
      <c r="I6931">
        <v>3.4783267735408137E-2</v>
      </c>
    </row>
    <row r="6932" spans="1:9" x14ac:dyDescent="0.25">
      <c r="A6932">
        <v>347</v>
      </c>
      <c r="B6932" t="s">
        <v>2455</v>
      </c>
      <c r="C6932" t="s">
        <v>10</v>
      </c>
      <c r="D6932" t="s">
        <v>1918</v>
      </c>
      <c r="E6932">
        <f t="shared" si="315"/>
        <v>6.6225165562913907E-3</v>
      </c>
      <c r="F6932">
        <v>25</v>
      </c>
      <c r="G6932">
        <f>LOG(382/(25+1))</f>
        <v>1.1670900149408907</v>
      </c>
      <c r="H6932">
        <f>0.00662251655629139*2.68732407058509</f>
        <v>1.7796848149570131E-2</v>
      </c>
      <c r="I6932">
        <v>1.7796848149570148E-2</v>
      </c>
    </row>
    <row r="6933" spans="1:9" x14ac:dyDescent="0.25">
      <c r="A6933">
        <v>347</v>
      </c>
      <c r="B6933" t="s">
        <v>2455</v>
      </c>
      <c r="C6933" t="s">
        <v>10</v>
      </c>
      <c r="D6933" t="s">
        <v>1920</v>
      </c>
      <c r="E6933">
        <f t="shared" si="315"/>
        <v>6.6225165562913907E-3</v>
      </c>
      <c r="F6933">
        <v>18</v>
      </c>
      <c r="G6933">
        <f>LOG(382/(18+1))</f>
        <v>1.3033097619588798</v>
      </c>
      <c r="H6933">
        <f>0.00662251655629139*3.00098162944013</f>
        <v>1.9874050526093576E-2</v>
      </c>
      <c r="I6933">
        <v>1.987405052609361E-2</v>
      </c>
    </row>
    <row r="6934" spans="1:9" x14ac:dyDescent="0.25">
      <c r="A6934">
        <v>347</v>
      </c>
      <c r="B6934" t="s">
        <v>2455</v>
      </c>
      <c r="C6934" t="s">
        <v>10</v>
      </c>
      <c r="D6934" t="s">
        <v>898</v>
      </c>
      <c r="E6934">
        <f t="shared" si="315"/>
        <v>6.6225165562913907E-3</v>
      </c>
      <c r="F6934">
        <v>22</v>
      </c>
      <c r="G6934">
        <f>LOG(382/(22+1))</f>
        <v>1.2203355268941158</v>
      </c>
      <c r="H6934">
        <f>0.00662251655629139*2.80992639267742</f>
        <v>1.8608784057466354E-2</v>
      </c>
      <c r="I6934">
        <v>1.8608784057466399E-2</v>
      </c>
    </row>
    <row r="6935" spans="1:9" x14ac:dyDescent="0.25">
      <c r="A6935">
        <v>347</v>
      </c>
      <c r="B6935" t="s">
        <v>2455</v>
      </c>
      <c r="C6935" t="s">
        <v>10</v>
      </c>
      <c r="D6935" t="s">
        <v>2479</v>
      </c>
      <c r="E6935">
        <f t="shared" si="315"/>
        <v>6.6225165562913907E-3</v>
      </c>
      <c r="F6935">
        <v>1</v>
      </c>
      <c r="G6935">
        <f>LOG(382/(1+1))</f>
        <v>2.2810333672477277</v>
      </c>
      <c r="H6935">
        <f>0.00662251655629139*5.25227342804663</f>
        <v>3.4783267735408144E-2</v>
      </c>
      <c r="I6935">
        <v>3.4783267735408137E-2</v>
      </c>
    </row>
    <row r="6936" spans="1:9" x14ac:dyDescent="0.25">
      <c r="A6936">
        <v>347</v>
      </c>
      <c r="B6936" t="s">
        <v>2455</v>
      </c>
      <c r="C6936" t="s">
        <v>10</v>
      </c>
      <c r="D6936" t="s">
        <v>764</v>
      </c>
      <c r="E6936">
        <f t="shared" si="315"/>
        <v>6.6225165562913907E-3</v>
      </c>
      <c r="F6936">
        <v>57</v>
      </c>
      <c r="G6936">
        <f>LOG(382/(57+1))</f>
        <v>0.81863536934877146</v>
      </c>
      <c r="H6936">
        <f>0.00662251655629139*1.88497759806015</f>
        <v>1.248329535139172E-2</v>
      </c>
      <c r="I6936">
        <v>1.248329535139176E-2</v>
      </c>
    </row>
    <row r="6937" spans="1:9" x14ac:dyDescent="0.25">
      <c r="A6937">
        <v>347</v>
      </c>
      <c r="B6937" t="s">
        <v>2455</v>
      </c>
      <c r="C6937" t="s">
        <v>10</v>
      </c>
      <c r="D6937" t="s">
        <v>765</v>
      </c>
      <c r="E6937">
        <f t="shared" si="315"/>
        <v>6.6225165562913907E-3</v>
      </c>
      <c r="F6937">
        <v>44</v>
      </c>
      <c r="G6937">
        <f>LOG(382/(44+1))</f>
        <v>0.92885084913636506</v>
      </c>
      <c r="H6937">
        <f>0.00662251655629139*2.13875811883625</f>
        <v>1.4163961051895694E-2</v>
      </c>
      <c r="I6937">
        <v>1.416396105189573E-2</v>
      </c>
    </row>
    <row r="6938" spans="1:9" x14ac:dyDescent="0.25">
      <c r="A6938">
        <v>347</v>
      </c>
      <c r="B6938" t="s">
        <v>2455</v>
      </c>
      <c r="C6938" t="s">
        <v>10</v>
      </c>
      <c r="D6938" t="s">
        <v>2220</v>
      </c>
      <c r="E6938">
        <f t="shared" si="315"/>
        <v>6.6225165562913907E-3</v>
      </c>
      <c r="F6938">
        <v>21</v>
      </c>
      <c r="G6938">
        <f>LOG(382/(21+1))</f>
        <v>1.2396406820895025</v>
      </c>
      <c r="H6938">
        <f>0.00662251655629139*2.85437815524825</f>
        <v>1.8903166591048012E-2</v>
      </c>
      <c r="I6938">
        <v>1.8903166591048071E-2</v>
      </c>
    </row>
    <row r="6939" spans="1:9" x14ac:dyDescent="0.25">
      <c r="A6939">
        <v>348</v>
      </c>
      <c r="B6939" t="s">
        <v>2480</v>
      </c>
      <c r="C6939" t="s">
        <v>10</v>
      </c>
      <c r="D6939" t="s">
        <v>315</v>
      </c>
      <c r="E6939">
        <f>3/24</f>
        <v>0.125</v>
      </c>
      <c r="F6939">
        <v>55</v>
      </c>
      <c r="G6939">
        <f>LOG(382/(55+1))</f>
        <v>0.83387533590550833</v>
      </c>
      <c r="H6939">
        <f>0.125*1.92006891787142</f>
        <v>0.24000861473392751</v>
      </c>
      <c r="I6939">
        <v>0.2400086147339282</v>
      </c>
    </row>
    <row r="6940" spans="1:9" x14ac:dyDescent="0.25">
      <c r="A6940">
        <v>348</v>
      </c>
      <c r="B6940" t="s">
        <v>2480</v>
      </c>
      <c r="C6940" t="s">
        <v>10</v>
      </c>
      <c r="D6940" t="s">
        <v>2481</v>
      </c>
      <c r="E6940">
        <f t="shared" ref="E6940:E6960" si="316">1/24</f>
        <v>4.1666666666666664E-2</v>
      </c>
      <c r="F6940">
        <v>1</v>
      </c>
      <c r="G6940">
        <f>LOG(382/(1+1))</f>
        <v>2.2810333672477277</v>
      </c>
      <c r="H6940">
        <f>0.0416666666666666*5.25227342804663</f>
        <v>0.21884472616860923</v>
      </c>
      <c r="I6940">
        <v>0.21884472616860959</v>
      </c>
    </row>
    <row r="6941" spans="1:9" x14ac:dyDescent="0.25">
      <c r="A6941">
        <v>348</v>
      </c>
      <c r="B6941" t="s">
        <v>2480</v>
      </c>
      <c r="C6941" t="s">
        <v>10</v>
      </c>
      <c r="D6941" t="s">
        <v>38</v>
      </c>
      <c r="E6941">
        <f t="shared" si="316"/>
        <v>4.1666666666666664E-2</v>
      </c>
      <c r="F6941">
        <v>86</v>
      </c>
      <c r="G6941">
        <f>LOG(382/(86+1))</f>
        <v>0.64254411029309022</v>
      </c>
      <c r="H6941">
        <f>0.0416666666666666*1.47951248995199</f>
        <v>6.164635374799949E-2</v>
      </c>
      <c r="I6941">
        <v>6.1646353747999642E-2</v>
      </c>
    </row>
    <row r="6942" spans="1:9" x14ac:dyDescent="0.25">
      <c r="A6942">
        <v>348</v>
      </c>
      <c r="B6942" t="s">
        <v>2480</v>
      </c>
      <c r="C6942" t="s">
        <v>10</v>
      </c>
      <c r="D6942" t="s">
        <v>404</v>
      </c>
      <c r="E6942">
        <f t="shared" si="316"/>
        <v>4.1666666666666664E-2</v>
      </c>
      <c r="F6942">
        <v>22</v>
      </c>
      <c r="G6942">
        <f>LOG(382/(22+1))</f>
        <v>1.2203355268941158</v>
      </c>
      <c r="H6942">
        <f>0.0416666666666666*2.80992639267742</f>
        <v>0.11708026636155898</v>
      </c>
      <c r="I6942">
        <v>0.1170802663615594</v>
      </c>
    </row>
    <row r="6943" spans="1:9" x14ac:dyDescent="0.25">
      <c r="A6943">
        <v>348</v>
      </c>
      <c r="B6943" t="s">
        <v>2480</v>
      </c>
      <c r="C6943" t="s">
        <v>10</v>
      </c>
      <c r="D6943" t="s">
        <v>39</v>
      </c>
      <c r="E6943">
        <f t="shared" si="316"/>
        <v>4.1666666666666664E-2</v>
      </c>
      <c r="F6943">
        <v>145</v>
      </c>
      <c r="G6943">
        <f>LOG(382/(145+1))</f>
        <v>0.41771050712727159</v>
      </c>
      <c r="H6943">
        <f>0.0416666666666666*0.961813986898238</f>
        <v>4.0075582787426525E-2</v>
      </c>
      <c r="I6943">
        <v>4.0075582787426609E-2</v>
      </c>
    </row>
    <row r="6944" spans="1:9" x14ac:dyDescent="0.25">
      <c r="A6944">
        <v>348</v>
      </c>
      <c r="B6944" t="s">
        <v>2480</v>
      </c>
      <c r="C6944" t="s">
        <v>10</v>
      </c>
      <c r="D6944" t="s">
        <v>42</v>
      </c>
      <c r="E6944">
        <f t="shared" si="316"/>
        <v>4.1666666666666664E-2</v>
      </c>
      <c r="F6944">
        <v>251</v>
      </c>
      <c r="G6944">
        <f>LOG(382/(251+1))</f>
        <v>0.18066282213016463</v>
      </c>
      <c r="H6944">
        <f>0.0416666666666666*0.415991521095151</f>
        <v>1.7332980045631264E-2</v>
      </c>
      <c r="I6944">
        <v>1.733298004563133E-2</v>
      </c>
    </row>
    <row r="6945" spans="1:9" x14ac:dyDescent="0.25">
      <c r="A6945">
        <v>348</v>
      </c>
      <c r="B6945" t="s">
        <v>2480</v>
      </c>
      <c r="C6945" t="s">
        <v>10</v>
      </c>
      <c r="D6945" t="s">
        <v>1230</v>
      </c>
      <c r="E6945">
        <f t="shared" si="316"/>
        <v>4.1666666666666664E-2</v>
      </c>
      <c r="F6945">
        <v>10</v>
      </c>
      <c r="G6945">
        <f>LOG(382/(10+1))</f>
        <v>1.5406706777534838</v>
      </c>
      <c r="H6945">
        <f>0.0416666666666666*3.5475253358082</f>
        <v>0.14781355565867477</v>
      </c>
      <c r="I6945">
        <v>0.14781355565867521</v>
      </c>
    </row>
    <row r="6946" spans="1:9" x14ac:dyDescent="0.25">
      <c r="A6946">
        <v>348</v>
      </c>
      <c r="B6946" t="s">
        <v>2480</v>
      </c>
      <c r="C6946" t="s">
        <v>10</v>
      </c>
      <c r="D6946" t="s">
        <v>40</v>
      </c>
      <c r="E6946">
        <f t="shared" si="316"/>
        <v>4.1666666666666664E-2</v>
      </c>
      <c r="F6946">
        <v>159</v>
      </c>
      <c r="G6946">
        <f>LOG(382/(159+1))</f>
        <v>0.377943380255784</v>
      </c>
      <c r="H6946">
        <f>0.0416666666666666*0.870246793372748</f>
        <v>3.6260283057197779E-2</v>
      </c>
      <c r="I6946">
        <v>3.6260283057197848E-2</v>
      </c>
    </row>
    <row r="6947" spans="1:9" x14ac:dyDescent="0.25">
      <c r="A6947">
        <v>348</v>
      </c>
      <c r="B6947" t="s">
        <v>2480</v>
      </c>
      <c r="C6947" t="s">
        <v>10</v>
      </c>
      <c r="D6947" t="s">
        <v>41</v>
      </c>
      <c r="E6947">
        <f t="shared" si="316"/>
        <v>4.1666666666666664E-2</v>
      </c>
      <c r="F6947">
        <v>195</v>
      </c>
      <c r="G6947">
        <f>LOG(382/(195+1))</f>
        <v>0.28980729155523272</v>
      </c>
      <c r="H6947">
        <f>0.0416666666666666*0.667305949376058</f>
        <v>2.7804414557335708E-2</v>
      </c>
      <c r="I6947">
        <v>2.780441455733575E-2</v>
      </c>
    </row>
    <row r="6948" spans="1:9" x14ac:dyDescent="0.25">
      <c r="A6948">
        <v>348</v>
      </c>
      <c r="B6948" t="s">
        <v>2480</v>
      </c>
      <c r="C6948" t="s">
        <v>10</v>
      </c>
      <c r="D6948" t="s">
        <v>69</v>
      </c>
      <c r="E6948">
        <f t="shared" si="316"/>
        <v>4.1666666666666664E-2</v>
      </c>
      <c r="F6948">
        <v>13</v>
      </c>
      <c r="G6948">
        <f>LOG(382/(13+1))</f>
        <v>1.4359353272334707</v>
      </c>
      <c r="H6948">
        <f>0.0416666666666666*3.30636327899131</f>
        <v>0.13776513662463771</v>
      </c>
      <c r="I6948">
        <v>0.13776513662463821</v>
      </c>
    </row>
    <row r="6949" spans="1:9" x14ac:dyDescent="0.25">
      <c r="A6949">
        <v>348</v>
      </c>
      <c r="B6949" t="s">
        <v>2480</v>
      </c>
      <c r="C6949" t="s">
        <v>10</v>
      </c>
      <c r="D6949" t="s">
        <v>260</v>
      </c>
      <c r="E6949">
        <f t="shared" si="316"/>
        <v>4.1666666666666664E-2</v>
      </c>
      <c r="F6949">
        <v>31</v>
      </c>
      <c r="G6949">
        <f>LOG(382/(31+1))</f>
        <v>1.0769133845918029</v>
      </c>
      <c r="H6949">
        <f>0.0416666666666666*2.47968470580684</f>
        <v>0.10332019607528484</v>
      </c>
      <c r="I6949">
        <v>0.10332019607528541</v>
      </c>
    </row>
    <row r="6950" spans="1:9" x14ac:dyDescent="0.25">
      <c r="A6950">
        <v>348</v>
      </c>
      <c r="B6950" t="s">
        <v>2480</v>
      </c>
      <c r="C6950" t="s">
        <v>10</v>
      </c>
      <c r="D6950" t="s">
        <v>169</v>
      </c>
      <c r="E6950">
        <f t="shared" si="316"/>
        <v>4.1666666666666664E-2</v>
      </c>
      <c r="F6950">
        <v>8</v>
      </c>
      <c r="G6950">
        <f>LOG(382/(8+1))</f>
        <v>1.6278208534723839</v>
      </c>
      <c r="H6950">
        <f>0.0416666666666666*3.74819603127035</f>
        <v>0.15617483463626433</v>
      </c>
      <c r="I6950">
        <v>0.1561748346362648</v>
      </c>
    </row>
    <row r="6951" spans="1:9" x14ac:dyDescent="0.25">
      <c r="A6951">
        <v>348</v>
      </c>
      <c r="B6951" t="s">
        <v>2480</v>
      </c>
      <c r="C6951" t="s">
        <v>10</v>
      </c>
      <c r="D6951" t="s">
        <v>25</v>
      </c>
      <c r="E6951">
        <f t="shared" si="316"/>
        <v>4.1666666666666664E-2</v>
      </c>
      <c r="F6951">
        <v>106</v>
      </c>
      <c r="G6951">
        <f>LOG(382/(106+1))</f>
        <v>0.55267958522649907</v>
      </c>
      <c r="H6951">
        <f>0.0416666666666666*1.27259177414466</f>
        <v>5.3024657256027417E-2</v>
      </c>
      <c r="I6951">
        <v>5.3024657256027882E-2</v>
      </c>
    </row>
    <row r="6952" spans="1:9" x14ac:dyDescent="0.25">
      <c r="A6952">
        <v>348</v>
      </c>
      <c r="B6952" t="s">
        <v>2480</v>
      </c>
      <c r="C6952" t="s">
        <v>10</v>
      </c>
      <c r="D6952" t="s">
        <v>11</v>
      </c>
      <c r="E6952">
        <f t="shared" si="316"/>
        <v>4.1666666666666664E-2</v>
      </c>
      <c r="F6952">
        <v>83</v>
      </c>
      <c r="G6952">
        <f>LOG(382/(83+1))</f>
        <v>0.65778407684982709</v>
      </c>
      <c r="H6952">
        <f>0.0416666666666666*1.51460380976326</f>
        <v>6.3108492073469066E-2</v>
      </c>
      <c r="I6952">
        <v>6.3108492073469219E-2</v>
      </c>
    </row>
    <row r="6953" spans="1:9" x14ac:dyDescent="0.25">
      <c r="A6953">
        <v>348</v>
      </c>
      <c r="B6953" t="s">
        <v>2480</v>
      </c>
      <c r="C6953" t="s">
        <v>10</v>
      </c>
      <c r="D6953" t="s">
        <v>1534</v>
      </c>
      <c r="E6953">
        <f t="shared" si="316"/>
        <v>4.1666666666666664E-2</v>
      </c>
      <c r="F6953">
        <v>25</v>
      </c>
      <c r="G6953">
        <f>LOG(382/(25+1))</f>
        <v>1.1670900149408907</v>
      </c>
      <c r="H6953">
        <f>0.0416666666666666*2.68732407058509</f>
        <v>0.11197183627437858</v>
      </c>
      <c r="I6953">
        <v>0.1119718362743789</v>
      </c>
    </row>
    <row r="6954" spans="1:9" x14ac:dyDescent="0.25">
      <c r="A6954">
        <v>348</v>
      </c>
      <c r="B6954" t="s">
        <v>2480</v>
      </c>
      <c r="C6954" t="s">
        <v>10</v>
      </c>
      <c r="D6954" t="s">
        <v>399</v>
      </c>
      <c r="E6954">
        <f t="shared" si="316"/>
        <v>4.1666666666666664E-2</v>
      </c>
      <c r="F6954">
        <v>27</v>
      </c>
      <c r="G6954">
        <f>LOG(382/(27+1))</f>
        <v>1.1349053315694895</v>
      </c>
      <c r="H6954">
        <f>0.0416666666666666*2.61321609843137</f>
        <v>0.10888400410130691</v>
      </c>
      <c r="I6954">
        <v>0.10888400410130709</v>
      </c>
    </row>
    <row r="6955" spans="1:9" x14ac:dyDescent="0.25">
      <c r="A6955">
        <v>348</v>
      </c>
      <c r="B6955" t="s">
        <v>2480</v>
      </c>
      <c r="C6955" t="s">
        <v>10</v>
      </c>
      <c r="D6955" t="s">
        <v>764</v>
      </c>
      <c r="E6955">
        <f t="shared" si="316"/>
        <v>4.1666666666666664E-2</v>
      </c>
      <c r="F6955">
        <v>57</v>
      </c>
      <c r="G6955">
        <f>LOG(382/(57+1))</f>
        <v>0.81863536934877146</v>
      </c>
      <c r="H6955">
        <f>0.0416666666666666*1.88497759806015</f>
        <v>7.8540733252506129E-2</v>
      </c>
      <c r="I6955">
        <v>7.8540733252506489E-2</v>
      </c>
    </row>
    <row r="6956" spans="1:9" x14ac:dyDescent="0.25">
      <c r="A6956">
        <v>348</v>
      </c>
      <c r="B6956" t="s">
        <v>2480</v>
      </c>
      <c r="C6956" t="s">
        <v>10</v>
      </c>
      <c r="D6956" t="s">
        <v>1633</v>
      </c>
      <c r="E6956">
        <f t="shared" si="316"/>
        <v>4.1666666666666664E-2</v>
      </c>
      <c r="F6956">
        <v>18</v>
      </c>
      <c r="G6956">
        <f>LOG(382/(18+1))</f>
        <v>1.3033097619588798</v>
      </c>
      <c r="H6956">
        <f>0.0416666666666666*3.00098162944013</f>
        <v>0.12504090122667189</v>
      </c>
      <c r="I6956">
        <v>0.1250409012266723</v>
      </c>
    </row>
    <row r="6957" spans="1:9" x14ac:dyDescent="0.25">
      <c r="A6957">
        <v>348</v>
      </c>
      <c r="B6957" t="s">
        <v>2480</v>
      </c>
      <c r="C6957" t="s">
        <v>10</v>
      </c>
      <c r="D6957" t="s">
        <v>765</v>
      </c>
      <c r="E6957">
        <f t="shared" si="316"/>
        <v>4.1666666666666664E-2</v>
      </c>
      <c r="F6957">
        <v>44</v>
      </c>
      <c r="G6957">
        <f>LOG(382/(44+1))</f>
        <v>0.92885084913636506</v>
      </c>
      <c r="H6957">
        <f>0.0416666666666666*2.13875811883625</f>
        <v>8.911492161817694E-2</v>
      </c>
      <c r="I6957">
        <v>8.9114921618177301E-2</v>
      </c>
    </row>
    <row r="6958" spans="1:9" x14ac:dyDescent="0.25">
      <c r="A6958">
        <v>348</v>
      </c>
      <c r="B6958" t="s">
        <v>2480</v>
      </c>
      <c r="C6958" t="s">
        <v>10</v>
      </c>
      <c r="D6958" t="s">
        <v>81</v>
      </c>
      <c r="E6958">
        <f t="shared" si="316"/>
        <v>4.1666666666666664E-2</v>
      </c>
      <c r="F6958">
        <v>114</v>
      </c>
      <c r="G6958">
        <f>LOG(382/(114+1))</f>
        <v>0.52136552255809698</v>
      </c>
      <c r="H6958">
        <f>0.0416666666666666*1.20048848024332</f>
        <v>5.0020353343471588E-2</v>
      </c>
      <c r="I6958">
        <v>5.0020353343471879E-2</v>
      </c>
    </row>
    <row r="6959" spans="1:9" x14ac:dyDescent="0.25">
      <c r="A6959">
        <v>348</v>
      </c>
      <c r="B6959" t="s">
        <v>2480</v>
      </c>
      <c r="C6959" t="s">
        <v>10</v>
      </c>
      <c r="D6959" t="s">
        <v>1536</v>
      </c>
      <c r="E6959">
        <f t="shared" si="316"/>
        <v>4.1666666666666664E-2</v>
      </c>
      <c r="F6959">
        <v>5</v>
      </c>
      <c r="G6959">
        <f>LOG(382/(5+1))</f>
        <v>1.803912112528065</v>
      </c>
      <c r="H6959">
        <f>0.0416666666666666*4.15366113937852</f>
        <v>0.17306921414077139</v>
      </c>
      <c r="I6959">
        <v>0.17306921414077159</v>
      </c>
    </row>
    <row r="6960" spans="1:9" x14ac:dyDescent="0.25">
      <c r="A6960">
        <v>348</v>
      </c>
      <c r="B6960" t="s">
        <v>2480</v>
      </c>
      <c r="C6960" t="s">
        <v>10</v>
      </c>
      <c r="D6960" t="s">
        <v>898</v>
      </c>
      <c r="E6960">
        <f t="shared" si="316"/>
        <v>4.1666666666666664E-2</v>
      </c>
      <c r="F6960">
        <v>22</v>
      </c>
      <c r="G6960">
        <f>LOG(382/(22+1))</f>
        <v>1.2203355268941158</v>
      </c>
      <c r="H6960">
        <f>0.0416666666666666*2.80992639267742</f>
        <v>0.11708026636155898</v>
      </c>
      <c r="I6960">
        <v>0.1170802663615594</v>
      </c>
    </row>
    <row r="6961" spans="1:9" x14ac:dyDescent="0.25">
      <c r="A6961">
        <v>350</v>
      </c>
      <c r="B6961" t="s">
        <v>2482</v>
      </c>
      <c r="C6961" t="s">
        <v>10</v>
      </c>
      <c r="D6961" t="s">
        <v>315</v>
      </c>
      <c r="E6961">
        <f>6/142</f>
        <v>4.2253521126760563E-2</v>
      </c>
      <c r="F6961">
        <v>55</v>
      </c>
      <c r="G6961">
        <f>LOG(382/(55+1))</f>
        <v>0.83387533590550833</v>
      </c>
      <c r="H6961">
        <f>0.0422535211267605*1.92006891787142</f>
        <v>8.1129672586116225E-2</v>
      </c>
      <c r="I6961">
        <v>8.1129672586116586E-2</v>
      </c>
    </row>
    <row r="6962" spans="1:9" x14ac:dyDescent="0.25">
      <c r="A6962">
        <v>350</v>
      </c>
      <c r="B6962" t="s">
        <v>2482</v>
      </c>
      <c r="C6962" t="s">
        <v>10</v>
      </c>
      <c r="D6962" t="s">
        <v>2483</v>
      </c>
      <c r="E6962">
        <f>3/142</f>
        <v>2.1126760563380281E-2</v>
      </c>
      <c r="F6962">
        <v>1</v>
      </c>
      <c r="G6962">
        <f>LOG(382/(1+1))</f>
        <v>2.2810333672477277</v>
      </c>
      <c r="H6962">
        <f>0.0211267605633802*5.25227342804663</f>
        <v>0.11096352312774528</v>
      </c>
      <c r="I6962">
        <v>0.1109635231277457</v>
      </c>
    </row>
    <row r="6963" spans="1:9" x14ac:dyDescent="0.25">
      <c r="A6963">
        <v>350</v>
      </c>
      <c r="B6963" t="s">
        <v>2482</v>
      </c>
      <c r="C6963" t="s">
        <v>10</v>
      </c>
      <c r="D6963" t="s">
        <v>2230</v>
      </c>
      <c r="E6963">
        <f>3/142</f>
        <v>2.1126760563380281E-2</v>
      </c>
      <c r="F6963">
        <v>7</v>
      </c>
      <c r="G6963">
        <f>LOG(382/(7+1))</f>
        <v>1.6789733759197651</v>
      </c>
      <c r="H6963">
        <f>0.0211267605633802*3.86597906692673</f>
        <v>8.1675614090001028E-2</v>
      </c>
      <c r="I6963">
        <v>8.1675614090001528E-2</v>
      </c>
    </row>
    <row r="6964" spans="1:9" x14ac:dyDescent="0.25">
      <c r="A6964">
        <v>350</v>
      </c>
      <c r="B6964" t="s">
        <v>2482</v>
      </c>
      <c r="C6964" t="s">
        <v>10</v>
      </c>
      <c r="D6964" t="s">
        <v>153</v>
      </c>
      <c r="E6964">
        <f>5/142</f>
        <v>3.5211267605633804E-2</v>
      </c>
      <c r="F6964">
        <v>10</v>
      </c>
      <c r="G6964">
        <f>LOG(382/(10+1))</f>
        <v>1.5406706777534838</v>
      </c>
      <c r="H6964">
        <f>0.0352112676056338*3.5475253358082</f>
        <v>0.12491286393690844</v>
      </c>
      <c r="I6964">
        <v>0.12491286393690861</v>
      </c>
    </row>
    <row r="6965" spans="1:9" x14ac:dyDescent="0.25">
      <c r="A6965">
        <v>350</v>
      </c>
      <c r="B6965" t="s">
        <v>2482</v>
      </c>
      <c r="C6965" t="s">
        <v>10</v>
      </c>
      <c r="D6965" t="s">
        <v>42</v>
      </c>
      <c r="E6965">
        <f>1/142</f>
        <v>7.0422535211267607E-3</v>
      </c>
      <c r="F6965">
        <v>251</v>
      </c>
      <c r="G6965">
        <f>LOG(382/(251+1))</f>
        <v>0.18066282213016463</v>
      </c>
      <c r="H6965">
        <f>0.00704225352112676*0.415991521095151</f>
        <v>2.9295177541912038E-3</v>
      </c>
      <c r="I6965">
        <v>2.9295177541912099E-3</v>
      </c>
    </row>
    <row r="6966" spans="1:9" x14ac:dyDescent="0.25">
      <c r="A6966">
        <v>350</v>
      </c>
      <c r="B6966" t="s">
        <v>2482</v>
      </c>
      <c r="C6966" t="s">
        <v>10</v>
      </c>
      <c r="D6966" t="s">
        <v>17</v>
      </c>
      <c r="E6966">
        <f>1/142</f>
        <v>7.0422535211267607E-3</v>
      </c>
      <c r="F6966">
        <v>169</v>
      </c>
      <c r="G6966">
        <f>LOG(382/(169+1))</f>
        <v>0.3516144415334348</v>
      </c>
      <c r="H6966">
        <f>0.00704225352112676*0.809622171556313</f>
        <v>5.7015645884247387E-3</v>
      </c>
      <c r="I6966">
        <v>5.7015645884247431E-3</v>
      </c>
    </row>
    <row r="6967" spans="1:9" x14ac:dyDescent="0.25">
      <c r="A6967">
        <v>350</v>
      </c>
      <c r="B6967" t="s">
        <v>2482</v>
      </c>
      <c r="C6967" t="s">
        <v>10</v>
      </c>
      <c r="D6967" t="s">
        <v>19</v>
      </c>
      <c r="E6967">
        <f>1/142</f>
        <v>7.0422535211267607E-3</v>
      </c>
      <c r="F6967">
        <v>220</v>
      </c>
      <c r="G6967">
        <f>LOG(382/(220+1))</f>
        <v>0.23767108922659805</v>
      </c>
      <c r="H6967">
        <f>0.00704225352112676*0.547257907088822</f>
        <v>3.8539289231607184E-3</v>
      </c>
      <c r="I6967">
        <v>3.853928923160721E-3</v>
      </c>
    </row>
    <row r="6968" spans="1:9" x14ac:dyDescent="0.25">
      <c r="A6968">
        <v>350</v>
      </c>
      <c r="B6968" t="s">
        <v>2482</v>
      </c>
      <c r="C6968" t="s">
        <v>10</v>
      </c>
      <c r="D6968" t="s">
        <v>41</v>
      </c>
      <c r="E6968">
        <f>4/142</f>
        <v>2.8169014084507043E-2</v>
      </c>
      <c r="F6968">
        <v>195</v>
      </c>
      <c r="G6968">
        <f>LOG(382/(195+1))</f>
        <v>0.28980729155523272</v>
      </c>
      <c r="H6968">
        <f>0.028169014084507*0.667305949376058</f>
        <v>1.8797350686649495E-2</v>
      </c>
      <c r="I6968">
        <v>1.8797350686649519E-2</v>
      </c>
    </row>
    <row r="6969" spans="1:9" x14ac:dyDescent="0.25">
      <c r="A6969">
        <v>350</v>
      </c>
      <c r="B6969" t="s">
        <v>2482</v>
      </c>
      <c r="C6969" t="s">
        <v>10</v>
      </c>
      <c r="D6969" t="s">
        <v>22</v>
      </c>
      <c r="E6969">
        <f>1/142</f>
        <v>7.0422535211267607E-3</v>
      </c>
      <c r="F6969">
        <v>259</v>
      </c>
      <c r="G6969">
        <f>LOG(382/(259+1))</f>
        <v>0.16709001494089079</v>
      </c>
      <c r="H6969">
        <f>0.00704225352112676*0.384738977591047</f>
        <v>2.7094294196552604E-3</v>
      </c>
      <c r="I6969">
        <v>2.7094294196552638E-3</v>
      </c>
    </row>
    <row r="6970" spans="1:9" x14ac:dyDescent="0.25">
      <c r="A6970">
        <v>350</v>
      </c>
      <c r="B6970" t="s">
        <v>2482</v>
      </c>
      <c r="C6970" t="s">
        <v>10</v>
      </c>
      <c r="D6970" t="s">
        <v>23</v>
      </c>
      <c r="E6970">
        <f>1/142</f>
        <v>7.0422535211267607E-3</v>
      </c>
      <c r="F6970">
        <v>275</v>
      </c>
      <c r="G6970">
        <f>LOG(382/(275+1))</f>
        <v>0.14115428084649101</v>
      </c>
      <c r="H6970">
        <f>0.00704225352112676*0.325019742889425</f>
        <v>2.2888714287987674E-3</v>
      </c>
      <c r="I6970">
        <v>2.2888714287987691E-3</v>
      </c>
    </row>
    <row r="6971" spans="1:9" x14ac:dyDescent="0.25">
      <c r="A6971">
        <v>350</v>
      </c>
      <c r="B6971" t="s">
        <v>2482</v>
      </c>
      <c r="C6971" t="s">
        <v>10</v>
      </c>
      <c r="D6971" t="s">
        <v>2484</v>
      </c>
      <c r="E6971">
        <f>1/142</f>
        <v>7.0422535211267607E-3</v>
      </c>
      <c r="F6971">
        <v>1</v>
      </c>
      <c r="G6971">
        <f>LOG(382/(1+1))</f>
        <v>2.2810333672477277</v>
      </c>
      <c r="H6971">
        <f>0.00704225352112676*5.25227342804663</f>
        <v>3.6987841042581897E-2</v>
      </c>
      <c r="I6971">
        <v>3.6987841042581897E-2</v>
      </c>
    </row>
    <row r="6972" spans="1:9" x14ac:dyDescent="0.25">
      <c r="A6972">
        <v>350</v>
      </c>
      <c r="B6972" t="s">
        <v>2482</v>
      </c>
      <c r="C6972" t="s">
        <v>10</v>
      </c>
      <c r="D6972" t="s">
        <v>204</v>
      </c>
      <c r="E6972">
        <f>2/142</f>
        <v>1.4084507042253521E-2</v>
      </c>
      <c r="F6972">
        <v>166</v>
      </c>
      <c r="G6972">
        <f>LOG(382/(166+1))</f>
        <v>0.35934689176412549</v>
      </c>
      <c r="H6972">
        <f>0.0140845070422535*0.82742679618982</f>
        <v>1.1653898537884771E-2</v>
      </c>
      <c r="I6972">
        <v>1.165389853788479E-2</v>
      </c>
    </row>
    <row r="6973" spans="1:9" x14ac:dyDescent="0.25">
      <c r="A6973">
        <v>350</v>
      </c>
      <c r="B6973" t="s">
        <v>2482</v>
      </c>
      <c r="C6973" t="s">
        <v>10</v>
      </c>
      <c r="D6973" t="s">
        <v>76</v>
      </c>
      <c r="E6973">
        <f>3/142</f>
        <v>2.1126760563380281E-2</v>
      </c>
      <c r="F6973">
        <v>140</v>
      </c>
      <c r="G6973">
        <f>LOG(382/(140+1))</f>
        <v>0.43284425025632883</v>
      </c>
      <c r="H6973">
        <f>0.0211267605633802*0.996660718228407</f>
        <v>2.1056212356938095E-2</v>
      </c>
      <c r="I6973">
        <v>2.1056212356938171E-2</v>
      </c>
    </row>
    <row r="6974" spans="1:9" x14ac:dyDescent="0.25">
      <c r="A6974">
        <v>350</v>
      </c>
      <c r="B6974" t="s">
        <v>2482</v>
      </c>
      <c r="C6974" t="s">
        <v>10</v>
      </c>
      <c r="D6974" t="s">
        <v>40</v>
      </c>
      <c r="E6974">
        <f>4/142</f>
        <v>2.8169014084507043E-2</v>
      </c>
      <c r="F6974">
        <v>159</v>
      </c>
      <c r="G6974">
        <f>LOG(382/(159+1))</f>
        <v>0.377943380255784</v>
      </c>
      <c r="H6974">
        <f>0.028169014084507*0.870246793372748</f>
        <v>2.4513994179513995E-2</v>
      </c>
      <c r="I6974">
        <v>2.451399417951404E-2</v>
      </c>
    </row>
    <row r="6975" spans="1:9" x14ac:dyDescent="0.25">
      <c r="A6975">
        <v>350</v>
      </c>
      <c r="B6975" t="s">
        <v>2482</v>
      </c>
      <c r="C6975" t="s">
        <v>10</v>
      </c>
      <c r="D6975" t="s">
        <v>939</v>
      </c>
      <c r="E6975">
        <f>2/142</f>
        <v>1.4084507042253521E-2</v>
      </c>
      <c r="F6975">
        <v>35</v>
      </c>
      <c r="G6975">
        <f>LOG(382/(35+1))</f>
        <v>1.0257608621444214</v>
      </c>
      <c r="H6975">
        <f>0.0140845070422535*2.36190167015046</f>
        <v>3.3266220706344461E-2</v>
      </c>
      <c r="I6975">
        <v>3.3266220706344579E-2</v>
      </c>
    </row>
    <row r="6976" spans="1:9" x14ac:dyDescent="0.25">
      <c r="A6976">
        <v>350</v>
      </c>
      <c r="B6976" t="s">
        <v>2482</v>
      </c>
      <c r="C6976" t="s">
        <v>10</v>
      </c>
      <c r="D6976" t="s">
        <v>1081</v>
      </c>
      <c r="E6976">
        <f>1/142</f>
        <v>7.0422535211267607E-3</v>
      </c>
      <c r="F6976">
        <v>27</v>
      </c>
      <c r="G6976">
        <f>LOG(382/(27+1))</f>
        <v>1.1349053315694895</v>
      </c>
      <c r="H6976">
        <f>0.00704225352112676*2.61321609843137</f>
        <v>1.840293027064345E-2</v>
      </c>
      <c r="I6976">
        <v>1.840293027064346E-2</v>
      </c>
    </row>
    <row r="6977" spans="1:9" x14ac:dyDescent="0.25">
      <c r="A6977">
        <v>350</v>
      </c>
      <c r="B6977" t="s">
        <v>2482</v>
      </c>
      <c r="C6977" t="s">
        <v>10</v>
      </c>
      <c r="D6977" t="s">
        <v>152</v>
      </c>
      <c r="E6977">
        <f>1/142</f>
        <v>7.0422535211267607E-3</v>
      </c>
      <c r="F6977">
        <v>31</v>
      </c>
      <c r="G6977">
        <f>LOG(382/(31+1))</f>
        <v>1.0769133845918029</v>
      </c>
      <c r="H6977">
        <f>0.00704225352112676*2.47968470580684</f>
        <v>1.746256835075239E-2</v>
      </c>
      <c r="I6977">
        <v>1.746256835075246E-2</v>
      </c>
    </row>
    <row r="6978" spans="1:9" x14ac:dyDescent="0.25">
      <c r="A6978">
        <v>350</v>
      </c>
      <c r="B6978" t="s">
        <v>2482</v>
      </c>
      <c r="C6978" t="s">
        <v>10</v>
      </c>
      <c r="D6978" t="s">
        <v>1868</v>
      </c>
      <c r="E6978">
        <f>1/142</f>
        <v>7.0422535211267607E-3</v>
      </c>
      <c r="F6978">
        <v>8</v>
      </c>
      <c r="G6978">
        <f>LOG(382/(8+1))</f>
        <v>1.6278208534723839</v>
      </c>
      <c r="H6978">
        <f>0.00704225352112676*3.74819603127035</f>
        <v>2.639574669908697E-2</v>
      </c>
      <c r="I6978">
        <v>2.6395746699087012E-2</v>
      </c>
    </row>
    <row r="6979" spans="1:9" x14ac:dyDescent="0.25">
      <c r="A6979">
        <v>350</v>
      </c>
      <c r="B6979" t="s">
        <v>2482</v>
      </c>
      <c r="C6979" t="s">
        <v>10</v>
      </c>
      <c r="D6979" t="s">
        <v>11</v>
      </c>
      <c r="E6979">
        <f>2/142</f>
        <v>1.4084507042253521E-2</v>
      </c>
      <c r="F6979">
        <v>83</v>
      </c>
      <c r="G6979">
        <f>LOG(382/(83+1))</f>
        <v>0.65778407684982709</v>
      </c>
      <c r="H6979">
        <f>0.0140845070422535*1.51460380976326</f>
        <v>2.1332448024834617E-2</v>
      </c>
      <c r="I6979">
        <v>2.1332448024834669E-2</v>
      </c>
    </row>
    <row r="6980" spans="1:9" x14ac:dyDescent="0.25">
      <c r="A6980">
        <v>350</v>
      </c>
      <c r="B6980" t="s">
        <v>2482</v>
      </c>
      <c r="C6980" t="s">
        <v>10</v>
      </c>
      <c r="D6980" t="s">
        <v>1534</v>
      </c>
      <c r="E6980">
        <f>1/142</f>
        <v>7.0422535211267607E-3</v>
      </c>
      <c r="F6980">
        <v>25</v>
      </c>
      <c r="G6980">
        <f>LOG(382/(25+1))</f>
        <v>1.1670900149408907</v>
      </c>
      <c r="H6980">
        <f>0.00704225352112676*2.68732407058509</f>
        <v>1.8924817398486549E-2</v>
      </c>
      <c r="I6980">
        <v>1.892481739848657E-2</v>
      </c>
    </row>
    <row r="6981" spans="1:9" x14ac:dyDescent="0.25">
      <c r="A6981">
        <v>350</v>
      </c>
      <c r="B6981" t="s">
        <v>2482</v>
      </c>
      <c r="C6981" t="s">
        <v>10</v>
      </c>
      <c r="D6981" t="s">
        <v>144</v>
      </c>
      <c r="E6981">
        <f>1/142</f>
        <v>7.0422535211267607E-3</v>
      </c>
      <c r="F6981">
        <v>105</v>
      </c>
      <c r="G6981">
        <f>LOG(382/(105+1))</f>
        <v>0.55675749764693849</v>
      </c>
      <c r="H6981">
        <f>0.00704225352112676*1.2819815144945</f>
        <v>9.0280388344683091E-3</v>
      </c>
      <c r="I6981">
        <v>9.0280388344683663E-3</v>
      </c>
    </row>
    <row r="6982" spans="1:9" x14ac:dyDescent="0.25">
      <c r="A6982">
        <v>350</v>
      </c>
      <c r="B6982" t="s">
        <v>2482</v>
      </c>
      <c r="C6982" t="s">
        <v>10</v>
      </c>
      <c r="D6982" t="s">
        <v>758</v>
      </c>
      <c r="E6982">
        <f>1/142</f>
        <v>7.0422535211267607E-3</v>
      </c>
      <c r="F6982">
        <v>26</v>
      </c>
      <c r="G6982">
        <f>LOG(382/(26+1))</f>
        <v>1.1506995987527215</v>
      </c>
      <c r="H6982">
        <f>0.00704225352112676*2.64958374260224</f>
        <v>1.8659040440860843E-2</v>
      </c>
      <c r="I6982">
        <v>1.8659040440860891E-2</v>
      </c>
    </row>
    <row r="6983" spans="1:9" x14ac:dyDescent="0.25">
      <c r="A6983">
        <v>350</v>
      </c>
      <c r="B6983" t="s">
        <v>2482</v>
      </c>
      <c r="C6983" t="s">
        <v>10</v>
      </c>
      <c r="D6983" t="s">
        <v>994</v>
      </c>
      <c r="E6983">
        <f>1/142</f>
        <v>7.0422535211267607E-3</v>
      </c>
      <c r="F6983">
        <v>37</v>
      </c>
      <c r="G6983">
        <f>LOG(382/(37+1))</f>
        <v>1.0022797662948986</v>
      </c>
      <c r="H6983">
        <f>0.00704225352112676*2.30783444888018</f>
        <v>1.6252355273804083E-2</v>
      </c>
      <c r="I6983">
        <v>1.6252355273804149E-2</v>
      </c>
    </row>
    <row r="6984" spans="1:9" x14ac:dyDescent="0.25">
      <c r="A6984">
        <v>350</v>
      </c>
      <c r="B6984" t="s">
        <v>2482</v>
      </c>
      <c r="C6984" t="s">
        <v>10</v>
      </c>
      <c r="D6984" t="s">
        <v>247</v>
      </c>
      <c r="E6984">
        <f>2/142</f>
        <v>1.4084507042253521E-2</v>
      </c>
      <c r="F6984">
        <v>121</v>
      </c>
      <c r="G6984">
        <f>LOG(382/(121+1))</f>
        <v>0.49570353223696051</v>
      </c>
      <c r="H6984">
        <f>0.0140845070422535*1.14139956387331</f>
        <v>1.6076050195398709E-2</v>
      </c>
      <c r="I6984">
        <v>1.6076050195398851E-2</v>
      </c>
    </row>
    <row r="6985" spans="1:9" x14ac:dyDescent="0.25">
      <c r="A6985">
        <v>350</v>
      </c>
      <c r="B6985" t="s">
        <v>2482</v>
      </c>
      <c r="C6985" t="s">
        <v>10</v>
      </c>
      <c r="D6985" t="s">
        <v>1079</v>
      </c>
      <c r="E6985">
        <f>1/142</f>
        <v>7.0422535211267607E-3</v>
      </c>
      <c r="F6985">
        <v>34</v>
      </c>
      <c r="G6985">
        <f>LOG(382/(34+1))</f>
        <v>1.037995318561433</v>
      </c>
      <c r="H6985">
        <f>0.00704225352112676*2.39007254711716</f>
        <v>1.6831496810684222E-2</v>
      </c>
      <c r="I6985">
        <v>1.683149681068424E-2</v>
      </c>
    </row>
    <row r="6986" spans="1:9" x14ac:dyDescent="0.25">
      <c r="A6986">
        <v>350</v>
      </c>
      <c r="B6986" t="s">
        <v>2482</v>
      </c>
      <c r="C6986" t="s">
        <v>10</v>
      </c>
      <c r="D6986" t="s">
        <v>557</v>
      </c>
      <c r="E6986">
        <f>1/142</f>
        <v>7.0422535211267607E-3</v>
      </c>
      <c r="F6986">
        <v>2</v>
      </c>
      <c r="G6986">
        <f>LOG(382/(2+1))</f>
        <v>2.1049421081920463</v>
      </c>
      <c r="H6986">
        <f>0.00704225352112676*4.84680831993846</f>
        <v>3.4132452957313097E-2</v>
      </c>
      <c r="I6986">
        <v>3.4132452957313139E-2</v>
      </c>
    </row>
    <row r="6987" spans="1:9" x14ac:dyDescent="0.25">
      <c r="A6987">
        <v>350</v>
      </c>
      <c r="B6987" t="s">
        <v>2482</v>
      </c>
      <c r="C6987" t="s">
        <v>10</v>
      </c>
      <c r="D6987" t="s">
        <v>119</v>
      </c>
      <c r="E6987">
        <f>1/142</f>
        <v>7.0422535211267607E-3</v>
      </c>
      <c r="F6987">
        <v>79</v>
      </c>
      <c r="G6987">
        <f>LOG(382/(79+1))</f>
        <v>0.67897337591976514</v>
      </c>
      <c r="H6987">
        <f>0.00704225352112676*1.56339397393269</f>
        <v>1.1009816717835845E-2</v>
      </c>
      <c r="I6987">
        <v>1.1009816717835869E-2</v>
      </c>
    </row>
    <row r="6988" spans="1:9" x14ac:dyDescent="0.25">
      <c r="A6988">
        <v>350</v>
      </c>
      <c r="B6988" t="s">
        <v>2482</v>
      </c>
      <c r="C6988" t="s">
        <v>10</v>
      </c>
      <c r="D6988" t="s">
        <v>236</v>
      </c>
      <c r="E6988">
        <f>3/142</f>
        <v>2.1126760563380281E-2</v>
      </c>
      <c r="F6988">
        <v>87</v>
      </c>
      <c r="G6988">
        <f>LOG(382/(87+1))</f>
        <v>0.63758069076154011</v>
      </c>
      <c r="H6988">
        <f>0.0211267605633802*1.46808379412836</f>
        <v>3.1015854805528615E-2</v>
      </c>
      <c r="I6988">
        <v>3.101585480552891E-2</v>
      </c>
    </row>
    <row r="6989" spans="1:9" x14ac:dyDescent="0.25">
      <c r="A6989">
        <v>350</v>
      </c>
      <c r="B6989" t="s">
        <v>2482</v>
      </c>
      <c r="C6989" t="s">
        <v>10</v>
      </c>
      <c r="D6989" t="s">
        <v>465</v>
      </c>
      <c r="E6989">
        <f>1/142</f>
        <v>7.0422535211267607E-3</v>
      </c>
      <c r="F6989">
        <v>36</v>
      </c>
      <c r="G6989">
        <f>LOG(382/(36+1))</f>
        <v>1.0138616388447137</v>
      </c>
      <c r="H6989">
        <f>0.00704225352112676*2.33450269596235</f>
        <v>1.6440159830720773E-2</v>
      </c>
      <c r="I6989">
        <v>1.644015983072078E-2</v>
      </c>
    </row>
    <row r="6990" spans="1:9" x14ac:dyDescent="0.25">
      <c r="A6990">
        <v>350</v>
      </c>
      <c r="B6990" t="s">
        <v>2482</v>
      </c>
      <c r="C6990" t="s">
        <v>10</v>
      </c>
      <c r="D6990" t="s">
        <v>322</v>
      </c>
      <c r="E6990">
        <f>2/142</f>
        <v>1.4084507042253521E-2</v>
      </c>
      <c r="F6990">
        <v>128</v>
      </c>
      <c r="G6990">
        <f>LOG(382/(128+1))</f>
        <v>0.47147365261245977</v>
      </c>
      <c r="H6990">
        <f>0.0140845070422535*1.0856082042449</f>
        <v>1.529025639781547E-2</v>
      </c>
      <c r="I6990">
        <v>1.529025639781554E-2</v>
      </c>
    </row>
    <row r="6991" spans="1:9" x14ac:dyDescent="0.25">
      <c r="A6991">
        <v>350</v>
      </c>
      <c r="B6991" t="s">
        <v>2482</v>
      </c>
      <c r="C6991" t="s">
        <v>10</v>
      </c>
      <c r="D6991" t="s">
        <v>123</v>
      </c>
      <c r="E6991">
        <f>5/142</f>
        <v>3.5211267605633804E-2</v>
      </c>
      <c r="F6991">
        <v>74</v>
      </c>
      <c r="G6991">
        <f>LOG(382/(74+1))</f>
        <v>0.7070020995200087</v>
      </c>
      <c r="H6991">
        <f>0.0352112676056338*1.62793249507026</f>
        <v>5.7321566727826047E-2</v>
      </c>
      <c r="I6991">
        <v>5.7321566727826227E-2</v>
      </c>
    </row>
    <row r="6992" spans="1:9" x14ac:dyDescent="0.25">
      <c r="A6992">
        <v>350</v>
      </c>
      <c r="B6992" t="s">
        <v>2482</v>
      </c>
      <c r="C6992" t="s">
        <v>10</v>
      </c>
      <c r="D6992" t="s">
        <v>755</v>
      </c>
      <c r="E6992">
        <f>1/142</f>
        <v>7.0422535211267607E-3</v>
      </c>
      <c r="F6992">
        <v>19</v>
      </c>
      <c r="G6992">
        <f>LOG(382/(19+1))</f>
        <v>1.2810333672477277</v>
      </c>
      <c r="H6992">
        <f>0.00704225352112676*2.94968833505258</f>
        <v>2.077245306375056E-2</v>
      </c>
      <c r="I6992">
        <v>2.0772453063750591E-2</v>
      </c>
    </row>
    <row r="6993" spans="1:9" x14ac:dyDescent="0.25">
      <c r="A6993">
        <v>350</v>
      </c>
      <c r="B6993" t="s">
        <v>2482</v>
      </c>
      <c r="C6993" t="s">
        <v>10</v>
      </c>
      <c r="D6993" t="s">
        <v>744</v>
      </c>
      <c r="E6993">
        <f>2/142</f>
        <v>1.4084507042253521E-2</v>
      </c>
      <c r="F6993">
        <v>28</v>
      </c>
      <c r="G6993">
        <f>LOG(382/(28+1))</f>
        <v>1.1196653650127526</v>
      </c>
      <c r="H6993">
        <f>0.0140845070422535*2.5781247786201</f>
        <v>3.6311616600283043E-2</v>
      </c>
      <c r="I6993">
        <v>3.6311616600283113E-2</v>
      </c>
    </row>
    <row r="6994" spans="1:9" x14ac:dyDescent="0.25">
      <c r="A6994">
        <v>350</v>
      </c>
      <c r="B6994" t="s">
        <v>2482</v>
      </c>
      <c r="C6994" t="s">
        <v>10</v>
      </c>
      <c r="D6994" t="s">
        <v>2485</v>
      </c>
      <c r="E6994">
        <f t="shared" ref="E6994:E7010" si="317">1/142</f>
        <v>7.0422535211267607E-3</v>
      </c>
      <c r="F6994">
        <v>1</v>
      </c>
      <c r="G6994">
        <f>LOG(382/(1+1))</f>
        <v>2.2810333672477277</v>
      </c>
      <c r="H6994">
        <f>0.00704225352112676*5.25227342804663</f>
        <v>3.6987841042581897E-2</v>
      </c>
      <c r="I6994">
        <v>3.6987841042581897E-2</v>
      </c>
    </row>
    <row r="6995" spans="1:9" x14ac:dyDescent="0.25">
      <c r="A6995">
        <v>350</v>
      </c>
      <c r="B6995" t="s">
        <v>2482</v>
      </c>
      <c r="C6995" t="s">
        <v>10</v>
      </c>
      <c r="D6995" t="s">
        <v>2486</v>
      </c>
      <c r="E6995">
        <f t="shared" si="317"/>
        <v>7.0422535211267607E-3</v>
      </c>
      <c r="F6995">
        <v>2</v>
      </c>
      <c r="G6995">
        <f>LOG(382/(2+1))</f>
        <v>2.1049421081920463</v>
      </c>
      <c r="H6995">
        <f>0.00704225352112676*4.84680831993846</f>
        <v>3.4132452957313097E-2</v>
      </c>
      <c r="I6995">
        <v>3.4132452957313139E-2</v>
      </c>
    </row>
    <row r="6996" spans="1:9" x14ac:dyDescent="0.25">
      <c r="A6996">
        <v>350</v>
      </c>
      <c r="B6996" t="s">
        <v>2482</v>
      </c>
      <c r="C6996" t="s">
        <v>10</v>
      </c>
      <c r="D6996" t="s">
        <v>2487</v>
      </c>
      <c r="E6996">
        <f t="shared" si="317"/>
        <v>7.0422535211267607E-3</v>
      </c>
      <c r="F6996">
        <v>1</v>
      </c>
      <c r="G6996">
        <f>LOG(382/(1+1))</f>
        <v>2.2810333672477277</v>
      </c>
      <c r="H6996">
        <f>0.00704225352112676*5.25227342804663</f>
        <v>3.6987841042581897E-2</v>
      </c>
      <c r="I6996">
        <v>3.6987841042581897E-2</v>
      </c>
    </row>
    <row r="6997" spans="1:9" x14ac:dyDescent="0.25">
      <c r="A6997">
        <v>350</v>
      </c>
      <c r="B6997" t="s">
        <v>2482</v>
      </c>
      <c r="C6997" t="s">
        <v>10</v>
      </c>
      <c r="D6997" t="s">
        <v>2488</v>
      </c>
      <c r="E6997">
        <f t="shared" si="317"/>
        <v>7.0422535211267607E-3</v>
      </c>
      <c r="F6997">
        <v>1</v>
      </c>
      <c r="G6997">
        <f>LOG(382/(1+1))</f>
        <v>2.2810333672477277</v>
      </c>
      <c r="H6997">
        <f>0.00704225352112676*5.25227342804663</f>
        <v>3.6987841042581897E-2</v>
      </c>
      <c r="I6997">
        <v>3.6987841042581897E-2</v>
      </c>
    </row>
    <row r="6998" spans="1:9" x14ac:dyDescent="0.25">
      <c r="A6998">
        <v>350</v>
      </c>
      <c r="B6998" t="s">
        <v>2482</v>
      </c>
      <c r="C6998" t="s">
        <v>10</v>
      </c>
      <c r="D6998" t="s">
        <v>338</v>
      </c>
      <c r="E6998">
        <f t="shared" si="317"/>
        <v>7.0422535211267607E-3</v>
      </c>
      <c r="F6998">
        <v>54</v>
      </c>
      <c r="G6998">
        <f>LOG(382/(54+1))</f>
        <v>0.84170067341746491</v>
      </c>
      <c r="H6998">
        <f>0.00704225352112676*1.9380874233741</f>
        <v>1.3648502981507745E-2</v>
      </c>
      <c r="I6998">
        <v>1.3648502981507779E-2</v>
      </c>
    </row>
    <row r="6999" spans="1:9" x14ac:dyDescent="0.25">
      <c r="A6999">
        <v>350</v>
      </c>
      <c r="B6999" t="s">
        <v>2482</v>
      </c>
      <c r="C6999" t="s">
        <v>10</v>
      </c>
      <c r="D6999" t="s">
        <v>218</v>
      </c>
      <c r="E6999">
        <f t="shared" si="317"/>
        <v>7.0422535211267607E-3</v>
      </c>
      <c r="F6999">
        <v>35</v>
      </c>
      <c r="G6999">
        <f>LOG(382/(35+1))</f>
        <v>1.0257608621444214</v>
      </c>
      <c r="H6999">
        <f>0.00704225352112676*2.36190167015046</f>
        <v>1.6633110353172251E-2</v>
      </c>
      <c r="I6999">
        <v>1.663311035317229E-2</v>
      </c>
    </row>
    <row r="7000" spans="1:9" x14ac:dyDescent="0.25">
      <c r="A7000">
        <v>350</v>
      </c>
      <c r="B7000" t="s">
        <v>2482</v>
      </c>
      <c r="C7000" t="s">
        <v>10</v>
      </c>
      <c r="D7000" t="s">
        <v>2489</v>
      </c>
      <c r="E7000">
        <f t="shared" si="317"/>
        <v>7.0422535211267607E-3</v>
      </c>
      <c r="F7000">
        <v>1</v>
      </c>
      <c r="G7000">
        <f>LOG(382/(1+1))</f>
        <v>2.2810333672477277</v>
      </c>
      <c r="H7000">
        <f>0.00704225352112676*5.25227342804663</f>
        <v>3.6987841042581897E-2</v>
      </c>
      <c r="I7000">
        <v>3.6987841042581897E-2</v>
      </c>
    </row>
    <row r="7001" spans="1:9" x14ac:dyDescent="0.25">
      <c r="A7001">
        <v>350</v>
      </c>
      <c r="B7001" t="s">
        <v>2482</v>
      </c>
      <c r="C7001" t="s">
        <v>10</v>
      </c>
      <c r="D7001" t="s">
        <v>89</v>
      </c>
      <c r="E7001">
        <f t="shared" si="317"/>
        <v>7.0422535211267607E-3</v>
      </c>
      <c r="F7001">
        <v>40</v>
      </c>
      <c r="G7001">
        <f>LOG(382/(40+1))</f>
        <v>0.96927950619197323</v>
      </c>
      <c r="H7001">
        <f>0.00704225352112676*2.23184854190226</f>
        <v>1.5717243252832813E-2</v>
      </c>
      <c r="I7001">
        <v>1.5717243252832871E-2</v>
      </c>
    </row>
    <row r="7002" spans="1:9" x14ac:dyDescent="0.25">
      <c r="A7002">
        <v>350</v>
      </c>
      <c r="B7002" t="s">
        <v>2482</v>
      </c>
      <c r="C7002" t="s">
        <v>10</v>
      </c>
      <c r="D7002" t="s">
        <v>1544</v>
      </c>
      <c r="E7002">
        <f t="shared" si="317"/>
        <v>7.0422535211267607E-3</v>
      </c>
      <c r="F7002">
        <v>19</v>
      </c>
      <c r="G7002">
        <f>LOG(382/(19+1))</f>
        <v>1.2810333672477277</v>
      </c>
      <c r="H7002">
        <f>0.00704225352112676*2.94968833505258</f>
        <v>2.077245306375056E-2</v>
      </c>
      <c r="I7002">
        <v>2.0772453063750591E-2</v>
      </c>
    </row>
    <row r="7003" spans="1:9" x14ac:dyDescent="0.25">
      <c r="A7003">
        <v>350</v>
      </c>
      <c r="B7003" t="s">
        <v>2482</v>
      </c>
      <c r="C7003" t="s">
        <v>10</v>
      </c>
      <c r="D7003" t="s">
        <v>82</v>
      </c>
      <c r="E7003">
        <f t="shared" si="317"/>
        <v>7.0422535211267607E-3</v>
      </c>
      <c r="F7003">
        <v>92</v>
      </c>
      <c r="G7003">
        <f>LOG(382/(92+1))</f>
        <v>0.61358041435777355</v>
      </c>
      <c r="H7003">
        <f>0.00704225352112676*1.41282111545331</f>
        <v>9.9494444750233089E-3</v>
      </c>
      <c r="I7003">
        <v>9.9494444750233748E-3</v>
      </c>
    </row>
    <row r="7004" spans="1:9" x14ac:dyDescent="0.25">
      <c r="A7004">
        <v>350</v>
      </c>
      <c r="B7004" t="s">
        <v>2482</v>
      </c>
      <c r="C7004" t="s">
        <v>10</v>
      </c>
      <c r="D7004" t="s">
        <v>1537</v>
      </c>
      <c r="E7004">
        <f t="shared" si="317"/>
        <v>7.0422535211267607E-3</v>
      </c>
      <c r="F7004">
        <v>80</v>
      </c>
      <c r="G7004">
        <f>LOG(382/(80+1))</f>
        <v>0.67357834403305894</v>
      </c>
      <c r="H7004">
        <f>0.00704225352112676*1.55097145393413</f>
        <v>1.0922334182634717E-2</v>
      </c>
      <c r="I7004">
        <v>1.092233418263476E-2</v>
      </c>
    </row>
    <row r="7005" spans="1:9" x14ac:dyDescent="0.25">
      <c r="A7005">
        <v>350</v>
      </c>
      <c r="B7005" t="s">
        <v>2482</v>
      </c>
      <c r="C7005" t="s">
        <v>10</v>
      </c>
      <c r="D7005" t="s">
        <v>362</v>
      </c>
      <c r="E7005">
        <f t="shared" si="317"/>
        <v>7.0422535211267607E-3</v>
      </c>
      <c r="F7005">
        <v>81</v>
      </c>
      <c r="G7005">
        <f>LOG(382/(81+1))</f>
        <v>0.66824951052799197</v>
      </c>
      <c r="H7005">
        <f>0.00704225352112676*1.53870136134232</f>
        <v>1.0835925079875491E-2</v>
      </c>
      <c r="I7005">
        <v>1.083592507987551E-2</v>
      </c>
    </row>
    <row r="7006" spans="1:9" x14ac:dyDescent="0.25">
      <c r="A7006">
        <v>350</v>
      </c>
      <c r="B7006" t="s">
        <v>2482</v>
      </c>
      <c r="C7006" t="s">
        <v>10</v>
      </c>
      <c r="D7006" t="s">
        <v>1762</v>
      </c>
      <c r="E7006">
        <f t="shared" si="317"/>
        <v>7.0422535211267607E-3</v>
      </c>
      <c r="F7006">
        <v>60</v>
      </c>
      <c r="G7006">
        <f>LOG(382/(60+1))</f>
        <v>0.79673352790094176</v>
      </c>
      <c r="H7006">
        <f>0.00704225352112676*1.83454674443326</f>
        <v>1.2919343270656759E-2</v>
      </c>
      <c r="I7006">
        <v>1.291934327065679E-2</v>
      </c>
    </row>
    <row r="7007" spans="1:9" x14ac:dyDescent="0.25">
      <c r="A7007">
        <v>350</v>
      </c>
      <c r="B7007" t="s">
        <v>2482</v>
      </c>
      <c r="C7007" t="s">
        <v>10</v>
      </c>
      <c r="D7007" t="s">
        <v>2490</v>
      </c>
      <c r="E7007">
        <f t="shared" si="317"/>
        <v>7.0422535211267607E-3</v>
      </c>
      <c r="F7007">
        <v>1</v>
      </c>
      <c r="G7007">
        <f>LOG(382/(1+1))</f>
        <v>2.2810333672477277</v>
      </c>
      <c r="H7007">
        <f>0.00704225352112676*5.25227342804663</f>
        <v>3.6987841042581897E-2</v>
      </c>
      <c r="I7007">
        <v>3.6987841042581897E-2</v>
      </c>
    </row>
    <row r="7008" spans="1:9" x14ac:dyDescent="0.25">
      <c r="A7008">
        <v>350</v>
      </c>
      <c r="B7008" t="s">
        <v>2482</v>
      </c>
      <c r="C7008" t="s">
        <v>10</v>
      </c>
      <c r="D7008" t="s">
        <v>1769</v>
      </c>
      <c r="E7008">
        <f t="shared" si="317"/>
        <v>7.0422535211267607E-3</v>
      </c>
      <c r="F7008">
        <v>84</v>
      </c>
      <c r="G7008">
        <f>LOG(382/(84+1))</f>
        <v>0.65264443719741605</v>
      </c>
      <c r="H7008">
        <f>0.00704225352112676*1.50276935211625</f>
        <v>1.0582882761382041E-2</v>
      </c>
      <c r="I7008">
        <v>1.05828827613821E-2</v>
      </c>
    </row>
    <row r="7009" spans="1:9" x14ac:dyDescent="0.25">
      <c r="A7009">
        <v>350</v>
      </c>
      <c r="B7009" t="s">
        <v>2482</v>
      </c>
      <c r="C7009" t="s">
        <v>10</v>
      </c>
      <c r="D7009" t="s">
        <v>2491</v>
      </c>
      <c r="E7009">
        <f t="shared" si="317"/>
        <v>7.0422535211267607E-3</v>
      </c>
      <c r="F7009">
        <v>1</v>
      </c>
      <c r="G7009">
        <f>LOG(382/(1+1))</f>
        <v>2.2810333672477277</v>
      </c>
      <c r="H7009">
        <f>0.00704225352112676*5.25227342804663</f>
        <v>3.6987841042581897E-2</v>
      </c>
      <c r="I7009">
        <v>3.6987841042581897E-2</v>
      </c>
    </row>
    <row r="7010" spans="1:9" x14ac:dyDescent="0.25">
      <c r="A7010">
        <v>350</v>
      </c>
      <c r="B7010" t="s">
        <v>2482</v>
      </c>
      <c r="C7010" t="s">
        <v>10</v>
      </c>
      <c r="D7010" t="s">
        <v>237</v>
      </c>
      <c r="E7010">
        <f t="shared" si="317"/>
        <v>7.0422535211267607E-3</v>
      </c>
      <c r="F7010">
        <v>138</v>
      </c>
      <c r="G7010">
        <f>LOG(382/(138+1))</f>
        <v>0.43904856265761361</v>
      </c>
      <c r="H7010">
        <f>0.00704225352112676*1.01094667547588</f>
        <v>7.1193427850414076E-3</v>
      </c>
      <c r="I7010">
        <v>7.1193427850414319E-3</v>
      </c>
    </row>
    <row r="7011" spans="1:9" x14ac:dyDescent="0.25">
      <c r="A7011">
        <v>350</v>
      </c>
      <c r="B7011" t="s">
        <v>2482</v>
      </c>
      <c r="C7011" t="s">
        <v>10</v>
      </c>
      <c r="D7011" t="s">
        <v>133</v>
      </c>
      <c r="E7011">
        <f>2/142</f>
        <v>1.4084507042253521E-2</v>
      </c>
      <c r="F7011">
        <v>142</v>
      </c>
      <c r="G7011">
        <f>LOG(382/(142+1))</f>
        <v>0.42672732544664693</v>
      </c>
      <c r="H7011">
        <f>0.0140845070422535*0.982575978346667</f>
        <v>1.3839098286572754E-2</v>
      </c>
      <c r="I7011">
        <v>1.3839098286572789E-2</v>
      </c>
    </row>
    <row r="7012" spans="1:9" x14ac:dyDescent="0.25">
      <c r="A7012">
        <v>350</v>
      </c>
      <c r="B7012" t="s">
        <v>2482</v>
      </c>
      <c r="C7012" t="s">
        <v>10</v>
      </c>
      <c r="D7012" t="s">
        <v>1834</v>
      </c>
      <c r="E7012">
        <f t="shared" ref="E7012:E7023" si="318">1/142</f>
        <v>7.0422535211267607E-3</v>
      </c>
      <c r="F7012">
        <v>12</v>
      </c>
      <c r="G7012">
        <f>LOG(382/(12+1))</f>
        <v>1.468120010604872</v>
      </c>
      <c r="H7012">
        <f>0.00704225352112676*3.38047125114503</f>
        <v>2.380613557144387E-2</v>
      </c>
      <c r="I7012">
        <v>2.3806135571443929E-2</v>
      </c>
    </row>
    <row r="7013" spans="1:9" x14ac:dyDescent="0.25">
      <c r="A7013">
        <v>350</v>
      </c>
      <c r="B7013" t="s">
        <v>2482</v>
      </c>
      <c r="C7013" t="s">
        <v>10</v>
      </c>
      <c r="D7013" t="s">
        <v>1952</v>
      </c>
      <c r="E7013">
        <f t="shared" si="318"/>
        <v>7.0422535211267607E-3</v>
      </c>
      <c r="F7013">
        <v>8</v>
      </c>
      <c r="G7013">
        <f>LOG(382/(8+1))</f>
        <v>1.6278208534723839</v>
      </c>
      <c r="H7013">
        <f>0.00704225352112676*3.74819603127035</f>
        <v>2.639574669908697E-2</v>
      </c>
      <c r="I7013">
        <v>2.6395746699087012E-2</v>
      </c>
    </row>
    <row r="7014" spans="1:9" x14ac:dyDescent="0.25">
      <c r="A7014">
        <v>350</v>
      </c>
      <c r="B7014" t="s">
        <v>2482</v>
      </c>
      <c r="C7014" t="s">
        <v>10</v>
      </c>
      <c r="D7014" t="s">
        <v>2492</v>
      </c>
      <c r="E7014">
        <f t="shared" si="318"/>
        <v>7.0422535211267607E-3</v>
      </c>
      <c r="F7014">
        <v>1</v>
      </c>
      <c r="G7014">
        <f>LOG(382/(1+1))</f>
        <v>2.2810333672477277</v>
      </c>
      <c r="H7014">
        <f>0.00704225352112676*5.25227342804663</f>
        <v>3.6987841042581897E-2</v>
      </c>
      <c r="I7014">
        <v>3.6987841042581897E-2</v>
      </c>
    </row>
    <row r="7015" spans="1:9" x14ac:dyDescent="0.25">
      <c r="A7015">
        <v>350</v>
      </c>
      <c r="B7015" t="s">
        <v>2482</v>
      </c>
      <c r="C7015" t="s">
        <v>10</v>
      </c>
      <c r="D7015" t="s">
        <v>65</v>
      </c>
      <c r="E7015">
        <f t="shared" si="318"/>
        <v>7.0422535211267607E-3</v>
      </c>
      <c r="F7015">
        <v>32</v>
      </c>
      <c r="G7015">
        <f>LOG(382/(32+1))</f>
        <v>1.0635494230338212</v>
      </c>
      <c r="H7015">
        <f>0.00704225352112676*2.44891304714009</f>
        <v>1.7245866529155562E-2</v>
      </c>
      <c r="I7015">
        <v>1.72458665291556E-2</v>
      </c>
    </row>
    <row r="7016" spans="1:9" x14ac:dyDescent="0.25">
      <c r="A7016">
        <v>350</v>
      </c>
      <c r="B7016" t="s">
        <v>2482</v>
      </c>
      <c r="C7016" t="s">
        <v>10</v>
      </c>
      <c r="D7016" t="s">
        <v>1398</v>
      </c>
      <c r="E7016">
        <f t="shared" si="318"/>
        <v>7.0422535211267607E-3</v>
      </c>
      <c r="F7016">
        <v>29</v>
      </c>
      <c r="G7016">
        <f>LOG(382/(29+1))</f>
        <v>1.1049421081920463</v>
      </c>
      <c r="H7016">
        <f>0.00704225352112676*2.54422322694442</f>
        <v>1.7917064978481827E-2</v>
      </c>
      <c r="I7016">
        <v>1.791706497848183E-2</v>
      </c>
    </row>
    <row r="7017" spans="1:9" x14ac:dyDescent="0.25">
      <c r="A7017">
        <v>350</v>
      </c>
      <c r="B7017" t="s">
        <v>2482</v>
      </c>
      <c r="C7017" t="s">
        <v>10</v>
      </c>
      <c r="D7017" t="s">
        <v>2493</v>
      </c>
      <c r="E7017">
        <f t="shared" si="318"/>
        <v>7.0422535211267607E-3</v>
      </c>
      <c r="F7017">
        <v>1</v>
      </c>
      <c r="G7017">
        <f>LOG(382/(1+1))</f>
        <v>2.2810333672477277</v>
      </c>
      <c r="H7017">
        <f>0.00704225352112676*5.25227342804663</f>
        <v>3.6987841042581897E-2</v>
      </c>
      <c r="I7017">
        <v>3.6987841042581897E-2</v>
      </c>
    </row>
    <row r="7018" spans="1:9" x14ac:dyDescent="0.25">
      <c r="A7018">
        <v>350</v>
      </c>
      <c r="B7018" t="s">
        <v>2482</v>
      </c>
      <c r="C7018" t="s">
        <v>10</v>
      </c>
      <c r="D7018" t="s">
        <v>542</v>
      </c>
      <c r="E7018">
        <f t="shared" si="318"/>
        <v>7.0422535211267607E-3</v>
      </c>
      <c r="F7018">
        <v>42</v>
      </c>
      <c r="G7018">
        <f>LOG(382/(42+1))</f>
        <v>0.94859490733212215</v>
      </c>
      <c r="H7018">
        <f>0.00704225352112676*2.18422049291301</f>
        <v>1.5381834457133869E-2</v>
      </c>
      <c r="I7018">
        <v>1.538183445713389E-2</v>
      </c>
    </row>
    <row r="7019" spans="1:9" x14ac:dyDescent="0.25">
      <c r="A7019">
        <v>350</v>
      </c>
      <c r="B7019" t="s">
        <v>2482</v>
      </c>
      <c r="C7019" t="s">
        <v>10</v>
      </c>
      <c r="D7019" t="s">
        <v>591</v>
      </c>
      <c r="E7019">
        <f t="shared" si="318"/>
        <v>7.0422535211267607E-3</v>
      </c>
      <c r="F7019">
        <v>21</v>
      </c>
      <c r="G7019">
        <f>LOG(382/(21+1))</f>
        <v>1.2396406820895025</v>
      </c>
      <c r="H7019">
        <f>0.00704225352112676*2.85437815524825</f>
        <v>2.0101254614424292E-2</v>
      </c>
      <c r="I7019">
        <v>2.0101254614424361E-2</v>
      </c>
    </row>
    <row r="7020" spans="1:9" x14ac:dyDescent="0.25">
      <c r="A7020">
        <v>350</v>
      </c>
      <c r="B7020" t="s">
        <v>2482</v>
      </c>
      <c r="C7020" t="s">
        <v>10</v>
      </c>
      <c r="D7020" t="s">
        <v>1433</v>
      </c>
      <c r="E7020">
        <f t="shared" si="318"/>
        <v>7.0422535211267607E-3</v>
      </c>
      <c r="F7020">
        <v>21</v>
      </c>
      <c r="G7020">
        <f>LOG(382/(21+1))</f>
        <v>1.2396406820895025</v>
      </c>
      <c r="H7020">
        <f>0.00704225352112676*2.85437815524825</f>
        <v>2.0101254614424292E-2</v>
      </c>
      <c r="I7020">
        <v>2.0101254614424361E-2</v>
      </c>
    </row>
    <row r="7021" spans="1:9" x14ac:dyDescent="0.25">
      <c r="A7021">
        <v>350</v>
      </c>
      <c r="B7021" t="s">
        <v>2482</v>
      </c>
      <c r="C7021" t="s">
        <v>10</v>
      </c>
      <c r="D7021" t="s">
        <v>1405</v>
      </c>
      <c r="E7021">
        <f t="shared" si="318"/>
        <v>7.0422535211267607E-3</v>
      </c>
      <c r="F7021">
        <v>14</v>
      </c>
      <c r="G7021">
        <f>LOG(382/(14+1))</f>
        <v>1.4059721038560276</v>
      </c>
      <c r="H7021">
        <f>0.00704225352112676*3.23737040750436</f>
        <v>2.2798383151439151E-2</v>
      </c>
      <c r="I7021">
        <v>2.279838315143919E-2</v>
      </c>
    </row>
    <row r="7022" spans="1:9" x14ac:dyDescent="0.25">
      <c r="A7022">
        <v>350</v>
      </c>
      <c r="B7022" t="s">
        <v>2482</v>
      </c>
      <c r="C7022" t="s">
        <v>10</v>
      </c>
      <c r="D7022" t="s">
        <v>863</v>
      </c>
      <c r="E7022">
        <f t="shared" si="318"/>
        <v>7.0422535211267607E-3</v>
      </c>
      <c r="F7022">
        <v>14</v>
      </c>
      <c r="G7022">
        <f>LOG(382/(14+1))</f>
        <v>1.4059721038560276</v>
      </c>
      <c r="H7022">
        <f>0.00704225352112676*3.23737040750436</f>
        <v>2.2798383151439151E-2</v>
      </c>
      <c r="I7022">
        <v>2.279838315143919E-2</v>
      </c>
    </row>
    <row r="7023" spans="1:9" x14ac:dyDescent="0.25">
      <c r="A7023">
        <v>350</v>
      </c>
      <c r="B7023" t="s">
        <v>2482</v>
      </c>
      <c r="C7023" t="s">
        <v>10</v>
      </c>
      <c r="D7023" t="s">
        <v>361</v>
      </c>
      <c r="E7023">
        <f t="shared" si="318"/>
        <v>7.0422535211267607E-3</v>
      </c>
      <c r="F7023">
        <v>118</v>
      </c>
      <c r="G7023">
        <f>LOG(382/(118+1))</f>
        <v>0.50651640151917798</v>
      </c>
      <c r="H7023">
        <f>0.00704225352112676*1.16629711549504</f>
        <v>8.2133599682749272E-3</v>
      </c>
      <c r="I7023">
        <v>8.2133599682749706E-3</v>
      </c>
    </row>
    <row r="7024" spans="1:9" x14ac:dyDescent="0.25">
      <c r="A7024">
        <v>350</v>
      </c>
      <c r="B7024" t="s">
        <v>2482</v>
      </c>
      <c r="C7024" t="s">
        <v>10</v>
      </c>
      <c r="D7024" t="s">
        <v>600</v>
      </c>
      <c r="E7024">
        <f>3/142</f>
        <v>2.1126760563380281E-2</v>
      </c>
      <c r="F7024">
        <v>102</v>
      </c>
      <c r="G7024">
        <f>LOG(382/(102+1))</f>
        <v>0.56922613820653656</v>
      </c>
      <c r="H7024">
        <f>0.0211267605633802*1.31069162037693</f>
        <v>2.769066803613222E-2</v>
      </c>
      <c r="I7024">
        <v>2.7690668036132519E-2</v>
      </c>
    </row>
    <row r="7025" spans="1:9" x14ac:dyDescent="0.25">
      <c r="A7025">
        <v>350</v>
      </c>
      <c r="B7025" t="s">
        <v>2482</v>
      </c>
      <c r="C7025" t="s">
        <v>10</v>
      </c>
      <c r="D7025" t="s">
        <v>147</v>
      </c>
      <c r="E7025">
        <f t="shared" ref="E7025:E7030" si="319">1/142</f>
        <v>7.0422535211267607E-3</v>
      </c>
      <c r="F7025">
        <v>48</v>
      </c>
      <c r="G7025">
        <f>LOG(382/(48+1))</f>
        <v>0.89186728288319506</v>
      </c>
      <c r="H7025">
        <f>0.00704225352112676*2.05360031049594</f>
        <v>1.4461974017577041E-2</v>
      </c>
      <c r="I7025">
        <v>1.4461974017577111E-2</v>
      </c>
    </row>
    <row r="7026" spans="1:9" x14ac:dyDescent="0.25">
      <c r="A7026">
        <v>350</v>
      </c>
      <c r="B7026" t="s">
        <v>2482</v>
      </c>
      <c r="C7026" t="s">
        <v>10</v>
      </c>
      <c r="D7026" t="s">
        <v>599</v>
      </c>
      <c r="E7026">
        <f t="shared" si="319"/>
        <v>7.0422535211267607E-3</v>
      </c>
      <c r="F7026">
        <v>28</v>
      </c>
      <c r="G7026">
        <f>LOG(382/(28+1))</f>
        <v>1.1196653650127526</v>
      </c>
      <c r="H7026">
        <f>0.00704225352112676*2.5781247786201</f>
        <v>1.8155808300141546E-2</v>
      </c>
      <c r="I7026">
        <v>1.815580830014156E-2</v>
      </c>
    </row>
    <row r="7027" spans="1:9" x14ac:dyDescent="0.25">
      <c r="A7027">
        <v>350</v>
      </c>
      <c r="B7027" t="s">
        <v>2482</v>
      </c>
      <c r="C7027" t="s">
        <v>10</v>
      </c>
      <c r="D7027" t="s">
        <v>1848</v>
      </c>
      <c r="E7027">
        <f t="shared" si="319"/>
        <v>7.0422535211267607E-3</v>
      </c>
      <c r="F7027">
        <v>4</v>
      </c>
      <c r="G7027">
        <f>LOG(382/(4+1))</f>
        <v>1.8830933585756899</v>
      </c>
      <c r="H7027">
        <f>0.00704225352112676*4.33598269617247</f>
        <v>3.0535089409665282E-2</v>
      </c>
      <c r="I7027">
        <v>3.053508940966532E-2</v>
      </c>
    </row>
    <row r="7028" spans="1:9" x14ac:dyDescent="0.25">
      <c r="A7028">
        <v>350</v>
      </c>
      <c r="B7028" t="s">
        <v>2482</v>
      </c>
      <c r="C7028" t="s">
        <v>10</v>
      </c>
      <c r="D7028" t="s">
        <v>596</v>
      </c>
      <c r="E7028">
        <f t="shared" si="319"/>
        <v>7.0422535211267607E-3</v>
      </c>
      <c r="F7028">
        <v>60</v>
      </c>
      <c r="G7028">
        <f>LOG(382/(60+1))</f>
        <v>0.79673352790094176</v>
      </c>
      <c r="H7028">
        <f>0.00704225352112676*1.83454674443326</f>
        <v>1.2919343270656759E-2</v>
      </c>
      <c r="I7028">
        <v>1.291934327065679E-2</v>
      </c>
    </row>
    <row r="7029" spans="1:9" x14ac:dyDescent="0.25">
      <c r="A7029">
        <v>350</v>
      </c>
      <c r="B7029" t="s">
        <v>2482</v>
      </c>
      <c r="C7029" t="s">
        <v>10</v>
      </c>
      <c r="D7029" t="s">
        <v>2494</v>
      </c>
      <c r="E7029">
        <f t="shared" si="319"/>
        <v>7.0422535211267607E-3</v>
      </c>
      <c r="F7029">
        <v>1</v>
      </c>
      <c r="G7029">
        <f>LOG(382/(1+1))</f>
        <v>2.2810333672477277</v>
      </c>
      <c r="H7029">
        <f>0.00704225352112676*5.25227342804663</f>
        <v>3.6987841042581897E-2</v>
      </c>
      <c r="I7029">
        <v>3.6987841042581897E-2</v>
      </c>
    </row>
    <row r="7030" spans="1:9" x14ac:dyDescent="0.25">
      <c r="A7030">
        <v>350</v>
      </c>
      <c r="B7030" t="s">
        <v>2482</v>
      </c>
      <c r="C7030" t="s">
        <v>10</v>
      </c>
      <c r="D7030" t="s">
        <v>1626</v>
      </c>
      <c r="E7030">
        <f t="shared" si="319"/>
        <v>7.0422535211267607E-3</v>
      </c>
      <c r="F7030">
        <v>32</v>
      </c>
      <c r="G7030">
        <f>LOG(382/(32+1))</f>
        <v>1.0635494230338212</v>
      </c>
      <c r="H7030">
        <f>0.00704225352112676*2.44891304714009</f>
        <v>1.7245866529155562E-2</v>
      </c>
      <c r="I7030">
        <v>1.72458665291556E-2</v>
      </c>
    </row>
    <row r="7031" spans="1:9" x14ac:dyDescent="0.25">
      <c r="A7031">
        <v>350</v>
      </c>
      <c r="B7031" t="s">
        <v>2482</v>
      </c>
      <c r="C7031" t="s">
        <v>10</v>
      </c>
      <c r="D7031" t="s">
        <v>805</v>
      </c>
      <c r="E7031">
        <f>2/142</f>
        <v>1.4084507042253521E-2</v>
      </c>
      <c r="F7031">
        <v>19</v>
      </c>
      <c r="G7031">
        <f>LOG(382/(19+1))</f>
        <v>1.2810333672477277</v>
      </c>
      <c r="H7031">
        <f>0.0140845070422535*2.94968833505258</f>
        <v>4.1544906127501065E-2</v>
      </c>
      <c r="I7031">
        <v>4.154490612750119E-2</v>
      </c>
    </row>
    <row r="7032" spans="1:9" x14ac:dyDescent="0.25">
      <c r="A7032">
        <v>350</v>
      </c>
      <c r="B7032" t="s">
        <v>2482</v>
      </c>
      <c r="C7032" t="s">
        <v>10</v>
      </c>
      <c r="D7032" t="s">
        <v>775</v>
      </c>
      <c r="E7032">
        <f>1/142</f>
        <v>7.0422535211267607E-3</v>
      </c>
      <c r="F7032">
        <v>20</v>
      </c>
      <c r="G7032">
        <f>LOG(382/(20+1))</f>
        <v>1.2598440681777894</v>
      </c>
      <c r="H7032">
        <f>0.00704225352112676*2.90089817088315</f>
        <v>2.0428860358332041E-2</v>
      </c>
      <c r="I7032">
        <v>2.0428860358332059E-2</v>
      </c>
    </row>
    <row r="7033" spans="1:9" x14ac:dyDescent="0.25">
      <c r="A7033">
        <v>350</v>
      </c>
      <c r="B7033" t="s">
        <v>2482</v>
      </c>
      <c r="C7033" t="s">
        <v>10</v>
      </c>
      <c r="D7033" t="s">
        <v>439</v>
      </c>
      <c r="E7033">
        <f>2/142</f>
        <v>1.4084507042253521E-2</v>
      </c>
      <c r="F7033">
        <v>28</v>
      </c>
      <c r="G7033">
        <f>LOG(382/(28+1))</f>
        <v>1.1196653650127526</v>
      </c>
      <c r="H7033">
        <f>0.0140845070422535*2.5781247786201</f>
        <v>3.6311616600283043E-2</v>
      </c>
      <c r="I7033">
        <v>3.6311616600283113E-2</v>
      </c>
    </row>
    <row r="7034" spans="1:9" x14ac:dyDescent="0.25">
      <c r="A7034">
        <v>350</v>
      </c>
      <c r="B7034" t="s">
        <v>2482</v>
      </c>
      <c r="C7034" t="s">
        <v>10</v>
      </c>
      <c r="D7034" t="s">
        <v>440</v>
      </c>
      <c r="E7034">
        <f>1/142</f>
        <v>7.0422535211267607E-3</v>
      </c>
      <c r="F7034">
        <v>6</v>
      </c>
      <c r="G7034">
        <f>LOG(382/(6+1))</f>
        <v>1.736965322897452</v>
      </c>
      <c r="H7034">
        <f>0.00704225352112676*3.99951045955126</f>
        <v>2.8165566616558165E-2</v>
      </c>
      <c r="I7034">
        <v>2.8165566616558179E-2</v>
      </c>
    </row>
    <row r="7035" spans="1:9" x14ac:dyDescent="0.25">
      <c r="A7035">
        <v>350</v>
      </c>
      <c r="B7035" t="s">
        <v>2482</v>
      </c>
      <c r="C7035" t="s">
        <v>10</v>
      </c>
      <c r="D7035" t="s">
        <v>81</v>
      </c>
      <c r="E7035">
        <f>2/142</f>
        <v>1.4084507042253521E-2</v>
      </c>
      <c r="F7035">
        <v>114</v>
      </c>
      <c r="G7035">
        <f>LOG(382/(114+1))</f>
        <v>0.52136552255809698</v>
      </c>
      <c r="H7035">
        <f>0.0140845070422535*1.20048848024332</f>
        <v>1.6908288454131244E-2</v>
      </c>
      <c r="I7035">
        <v>1.6908288454131341E-2</v>
      </c>
    </row>
    <row r="7036" spans="1:9" x14ac:dyDescent="0.25">
      <c r="A7036">
        <v>350</v>
      </c>
      <c r="B7036" t="s">
        <v>2482</v>
      </c>
      <c r="C7036" t="s">
        <v>10</v>
      </c>
      <c r="D7036" t="s">
        <v>429</v>
      </c>
      <c r="E7036">
        <f>1/142</f>
        <v>7.0422535211267607E-3</v>
      </c>
      <c r="F7036">
        <v>11</v>
      </c>
      <c r="G7036">
        <f>LOG(382/(11+1))</f>
        <v>1.5028821168640838</v>
      </c>
      <c r="H7036">
        <f>0.00704225352112676*3.46051395881857</f>
        <v>2.4369816611398379E-2</v>
      </c>
      <c r="I7036">
        <v>2.436981661139842E-2</v>
      </c>
    </row>
    <row r="7037" spans="1:9" x14ac:dyDescent="0.25">
      <c r="A7037">
        <v>350</v>
      </c>
      <c r="B7037" t="s">
        <v>2482</v>
      </c>
      <c r="C7037" t="s">
        <v>10</v>
      </c>
      <c r="D7037" t="s">
        <v>2105</v>
      </c>
      <c r="E7037">
        <f>1/142</f>
        <v>7.0422535211267607E-3</v>
      </c>
      <c r="F7037">
        <v>10</v>
      </c>
      <c r="G7037">
        <f>LOG(382/(10+1))</f>
        <v>1.5406706777534838</v>
      </c>
      <c r="H7037">
        <f>0.00704225352112676*3.5475253358082</f>
        <v>2.4982572787381689E-2</v>
      </c>
      <c r="I7037">
        <v>2.498257278738172E-2</v>
      </c>
    </row>
    <row r="7038" spans="1:9" x14ac:dyDescent="0.25">
      <c r="A7038">
        <v>350</v>
      </c>
      <c r="B7038" t="s">
        <v>2482</v>
      </c>
      <c r="C7038" t="s">
        <v>10</v>
      </c>
      <c r="D7038" t="s">
        <v>2495</v>
      </c>
      <c r="E7038">
        <f>1/142</f>
        <v>7.0422535211267607E-3</v>
      </c>
      <c r="F7038">
        <v>1</v>
      </c>
      <c r="G7038">
        <f>LOG(382/(1+1))</f>
        <v>2.2810333672477277</v>
      </c>
      <c r="H7038">
        <f>0.00704225352112676*5.25227342804663</f>
        <v>3.6987841042581897E-2</v>
      </c>
      <c r="I7038">
        <v>3.6987841042581897E-2</v>
      </c>
    </row>
    <row r="7039" spans="1:9" x14ac:dyDescent="0.25">
      <c r="A7039">
        <v>350</v>
      </c>
      <c r="B7039" t="s">
        <v>2482</v>
      </c>
      <c r="C7039" t="s">
        <v>10</v>
      </c>
      <c r="D7039" t="s">
        <v>68</v>
      </c>
      <c r="E7039">
        <f>1/142</f>
        <v>7.0422535211267607E-3</v>
      </c>
      <c r="F7039">
        <v>43</v>
      </c>
      <c r="G7039">
        <f>LOG(382/(43+1))</f>
        <v>0.93861068642552126</v>
      </c>
      <c r="H7039">
        <f>0.00704225352112676*2.16123097468831</f>
        <v>1.5219936441466969E-2</v>
      </c>
      <c r="I7039">
        <v>1.5219936441467E-2</v>
      </c>
    </row>
    <row r="7040" spans="1:9" x14ac:dyDescent="0.25">
      <c r="A7040">
        <v>350</v>
      </c>
      <c r="B7040" t="s">
        <v>2482</v>
      </c>
      <c r="C7040" t="s">
        <v>10</v>
      </c>
      <c r="D7040" t="s">
        <v>44</v>
      </c>
      <c r="E7040">
        <f>1/142</f>
        <v>7.0422535211267607E-3</v>
      </c>
      <c r="F7040">
        <v>151</v>
      </c>
      <c r="G7040">
        <f>LOG(382/(151+1))</f>
        <v>0.40021977496693617</v>
      </c>
      <c r="H7040">
        <f>0.00704225352112676*0.921540087760298</f>
        <v>6.4897189278894226E-3</v>
      </c>
      <c r="I7040">
        <v>6.4897189278894278E-3</v>
      </c>
    </row>
    <row r="7041" spans="1:9" x14ac:dyDescent="0.25">
      <c r="A7041">
        <v>350</v>
      </c>
      <c r="B7041" t="s">
        <v>2482</v>
      </c>
      <c r="C7041" t="s">
        <v>10</v>
      </c>
      <c r="D7041" t="s">
        <v>1469</v>
      </c>
      <c r="E7041">
        <f>2/142</f>
        <v>1.4084507042253521E-2</v>
      </c>
      <c r="F7041">
        <v>24</v>
      </c>
      <c r="G7041">
        <f>LOG(382/(24+1))</f>
        <v>1.1841233542396712</v>
      </c>
      <c r="H7041">
        <f>0.0140845070422535*2.72654478373837</f>
        <v>3.8402039207582617E-2</v>
      </c>
      <c r="I7041">
        <v>3.8402039207582728E-2</v>
      </c>
    </row>
    <row r="7042" spans="1:9" x14ac:dyDescent="0.25">
      <c r="A7042">
        <v>350</v>
      </c>
      <c r="B7042" t="s">
        <v>2482</v>
      </c>
      <c r="C7042" t="s">
        <v>10</v>
      </c>
      <c r="D7042" t="s">
        <v>2476</v>
      </c>
      <c r="E7042">
        <f>1/142</f>
        <v>7.0422535211267607E-3</v>
      </c>
      <c r="F7042">
        <v>12</v>
      </c>
      <c r="G7042">
        <f>LOG(382/(12+1))</f>
        <v>1.468120010604872</v>
      </c>
      <c r="H7042">
        <f>0.00704225352112676*3.38047125114503</f>
        <v>2.380613557144387E-2</v>
      </c>
      <c r="I7042">
        <v>2.3806135571443929E-2</v>
      </c>
    </row>
    <row r="7043" spans="1:9" x14ac:dyDescent="0.25">
      <c r="A7043">
        <v>350</v>
      </c>
      <c r="B7043" t="s">
        <v>2482</v>
      </c>
      <c r="C7043" t="s">
        <v>10</v>
      </c>
      <c r="D7043" t="s">
        <v>2496</v>
      </c>
      <c r="E7043">
        <f>1/142</f>
        <v>7.0422535211267607E-3</v>
      </c>
      <c r="F7043">
        <v>1</v>
      </c>
      <c r="G7043">
        <f>LOG(382/(1+1))</f>
        <v>2.2810333672477277</v>
      </c>
      <c r="H7043">
        <f>0.00704225352112676*5.25227342804663</f>
        <v>3.6987841042581897E-2</v>
      </c>
      <c r="I7043">
        <v>3.6987841042581897E-2</v>
      </c>
    </row>
    <row r="7044" spans="1:9" x14ac:dyDescent="0.25">
      <c r="A7044">
        <v>350</v>
      </c>
      <c r="B7044" t="s">
        <v>2482</v>
      </c>
      <c r="C7044" t="s">
        <v>10</v>
      </c>
      <c r="D7044" t="s">
        <v>154</v>
      </c>
      <c r="E7044">
        <f>1/142</f>
        <v>7.0422535211267607E-3</v>
      </c>
      <c r="F7044">
        <v>5</v>
      </c>
      <c r="G7044">
        <f>LOG(382/(5+1))</f>
        <v>1.803912112528065</v>
      </c>
      <c r="H7044">
        <f>0.00704225352112676*4.15366113937852</f>
        <v>2.9251134784355769E-2</v>
      </c>
      <c r="I7044">
        <v>2.9251134784355769E-2</v>
      </c>
    </row>
    <row r="7045" spans="1:9" x14ac:dyDescent="0.25">
      <c r="A7045">
        <v>350</v>
      </c>
      <c r="B7045" t="s">
        <v>2482</v>
      </c>
      <c r="C7045" t="s">
        <v>10</v>
      </c>
      <c r="D7045" t="s">
        <v>754</v>
      </c>
      <c r="E7045">
        <f>1/142</f>
        <v>7.0422535211267607E-3</v>
      </c>
      <c r="F7045">
        <v>111</v>
      </c>
      <c r="G7045">
        <f>LOG(382/(111+1))</f>
        <v>0.53284534024152708</v>
      </c>
      <c r="H7045">
        <f>0.00704225352112676*1.22692173731148</f>
        <v>8.6402939247287314E-3</v>
      </c>
      <c r="I7045">
        <v>8.6402939247287366E-3</v>
      </c>
    </row>
    <row r="7046" spans="1:9" x14ac:dyDescent="0.25">
      <c r="A7046">
        <v>350</v>
      </c>
      <c r="B7046" t="s">
        <v>2482</v>
      </c>
      <c r="C7046" t="s">
        <v>10</v>
      </c>
      <c r="D7046" t="s">
        <v>309</v>
      </c>
      <c r="E7046">
        <f>1/142</f>
        <v>7.0422535211267607E-3</v>
      </c>
      <c r="F7046">
        <v>25</v>
      </c>
      <c r="G7046">
        <f>LOG(382/(25+1))</f>
        <v>1.1670900149408907</v>
      </c>
      <c r="H7046">
        <f>0.00704225352112676*2.68732407058509</f>
        <v>1.8924817398486549E-2</v>
      </c>
      <c r="I7046">
        <v>1.892481739848657E-2</v>
      </c>
    </row>
    <row r="7047" spans="1:9" x14ac:dyDescent="0.25">
      <c r="A7047">
        <v>350</v>
      </c>
      <c r="B7047" t="s">
        <v>2482</v>
      </c>
      <c r="C7047" t="s">
        <v>10</v>
      </c>
      <c r="D7047" t="s">
        <v>763</v>
      </c>
      <c r="E7047">
        <f>2/142</f>
        <v>1.4084507042253521E-2</v>
      </c>
      <c r="F7047">
        <v>47</v>
      </c>
      <c r="G7047">
        <f>LOG(382/(47+1))</f>
        <v>0.90082212553612151</v>
      </c>
      <c r="H7047">
        <f>0.0140845070422535*2.07421959769868</f>
        <v>2.9214360530967282E-2</v>
      </c>
      <c r="I7047">
        <v>2.9214360530967379E-2</v>
      </c>
    </row>
    <row r="7048" spans="1:9" x14ac:dyDescent="0.25">
      <c r="A7048">
        <v>350</v>
      </c>
      <c r="B7048" t="s">
        <v>2482</v>
      </c>
      <c r="C7048" t="s">
        <v>10</v>
      </c>
      <c r="D7048" t="s">
        <v>1831</v>
      </c>
      <c r="E7048">
        <f>1/142</f>
        <v>7.0422535211267607E-3</v>
      </c>
      <c r="F7048">
        <v>28</v>
      </c>
      <c r="G7048">
        <f>LOG(382/(28+1))</f>
        <v>1.1196653650127526</v>
      </c>
      <c r="H7048">
        <f>0.00704225352112676*2.5781247786201</f>
        <v>1.8155808300141546E-2</v>
      </c>
      <c r="I7048">
        <v>1.815580830014156E-2</v>
      </c>
    </row>
    <row r="7049" spans="1:9" x14ac:dyDescent="0.25">
      <c r="A7049">
        <v>350</v>
      </c>
      <c r="B7049" t="s">
        <v>2482</v>
      </c>
      <c r="C7049" t="s">
        <v>10</v>
      </c>
      <c r="D7049" t="s">
        <v>2497</v>
      </c>
      <c r="E7049">
        <f>1/142</f>
        <v>7.0422535211267607E-3</v>
      </c>
      <c r="F7049">
        <v>1</v>
      </c>
      <c r="G7049">
        <f>LOG(382/(1+1))</f>
        <v>2.2810333672477277</v>
      </c>
      <c r="H7049">
        <f>0.00704225352112676*5.25227342804663</f>
        <v>3.6987841042581897E-2</v>
      </c>
      <c r="I7049">
        <v>3.6987841042581897E-2</v>
      </c>
    </row>
    <row r="7050" spans="1:9" x14ac:dyDescent="0.25">
      <c r="A7050">
        <v>350</v>
      </c>
      <c r="B7050" t="s">
        <v>2482</v>
      </c>
      <c r="C7050" t="s">
        <v>10</v>
      </c>
      <c r="D7050" t="s">
        <v>1919</v>
      </c>
      <c r="E7050">
        <f>1/142</f>
        <v>7.0422535211267607E-3</v>
      </c>
      <c r="F7050">
        <v>18</v>
      </c>
      <c r="G7050">
        <f>LOG(382/(18+1))</f>
        <v>1.3033097619588798</v>
      </c>
      <c r="H7050">
        <f>0.00704225352112676*3.00098162944013</f>
        <v>2.1133673446761477E-2</v>
      </c>
      <c r="I7050">
        <v>2.1133673446761508E-2</v>
      </c>
    </row>
    <row r="7051" spans="1:9" x14ac:dyDescent="0.25">
      <c r="A7051">
        <v>350</v>
      </c>
      <c r="B7051" t="s">
        <v>2482</v>
      </c>
      <c r="C7051" t="s">
        <v>10</v>
      </c>
      <c r="D7051" t="s">
        <v>1918</v>
      </c>
      <c r="E7051">
        <f>1/142</f>
        <v>7.0422535211267607E-3</v>
      </c>
      <c r="F7051">
        <v>25</v>
      </c>
      <c r="G7051">
        <f>LOG(382/(25+1))</f>
        <v>1.1670900149408907</v>
      </c>
      <c r="H7051">
        <f>0.00704225352112676*2.68732407058509</f>
        <v>1.8924817398486549E-2</v>
      </c>
      <c r="I7051">
        <v>1.892481739848657E-2</v>
      </c>
    </row>
    <row r="7052" spans="1:9" x14ac:dyDescent="0.25">
      <c r="A7052">
        <v>350</v>
      </c>
      <c r="B7052" t="s">
        <v>2482</v>
      </c>
      <c r="C7052" t="s">
        <v>10</v>
      </c>
      <c r="D7052" t="s">
        <v>1920</v>
      </c>
      <c r="E7052">
        <f>1/142</f>
        <v>7.0422535211267607E-3</v>
      </c>
      <c r="F7052">
        <v>18</v>
      </c>
      <c r="G7052">
        <f>LOG(382/(18+1))</f>
        <v>1.3033097619588798</v>
      </c>
      <c r="H7052">
        <f>0.00704225352112676*3.00098162944013</f>
        <v>2.1133673446761477E-2</v>
      </c>
      <c r="I7052">
        <v>2.1133673446761508E-2</v>
      </c>
    </row>
    <row r="7053" spans="1:9" x14ac:dyDescent="0.25">
      <c r="A7053">
        <v>350</v>
      </c>
      <c r="B7053" t="s">
        <v>2482</v>
      </c>
      <c r="C7053" t="s">
        <v>10</v>
      </c>
      <c r="D7053" t="s">
        <v>331</v>
      </c>
      <c r="E7053">
        <f>2/142</f>
        <v>1.4084507042253521E-2</v>
      </c>
      <c r="F7053">
        <v>130</v>
      </c>
      <c r="G7053">
        <f>LOG(382/(130+1))</f>
        <v>0.46479206725594452</v>
      </c>
      <c r="H7053">
        <f>0.0140845070422535*1.07022328540542</f>
        <v>1.5073567400076317E-2</v>
      </c>
      <c r="I7053">
        <v>1.507356740007639E-2</v>
      </c>
    </row>
    <row r="7054" spans="1:9" x14ac:dyDescent="0.25">
      <c r="A7054">
        <v>350</v>
      </c>
      <c r="B7054" t="s">
        <v>2482</v>
      </c>
      <c r="C7054" t="s">
        <v>10</v>
      </c>
      <c r="D7054" t="s">
        <v>39</v>
      </c>
      <c r="E7054">
        <f t="shared" ref="E7054:E7060" si="320">1/142</f>
        <v>7.0422535211267607E-3</v>
      </c>
      <c r="F7054">
        <v>145</v>
      </c>
      <c r="G7054">
        <f>LOG(382/(145+1))</f>
        <v>0.41771050712727159</v>
      </c>
      <c r="H7054">
        <f>0.00704225352112676*0.961813986898238</f>
        <v>6.7733379359030841E-3</v>
      </c>
      <c r="I7054">
        <v>6.7733379359030893E-3</v>
      </c>
    </row>
    <row r="7055" spans="1:9" x14ac:dyDescent="0.25">
      <c r="A7055">
        <v>350</v>
      </c>
      <c r="B7055" t="s">
        <v>2482</v>
      </c>
      <c r="C7055" t="s">
        <v>10</v>
      </c>
      <c r="D7055" t="s">
        <v>1927</v>
      </c>
      <c r="E7055">
        <f t="shared" si="320"/>
        <v>7.0422535211267607E-3</v>
      </c>
      <c r="F7055">
        <v>3</v>
      </c>
      <c r="G7055">
        <f>LOG(382/(3+1))</f>
        <v>1.9800033715837464</v>
      </c>
      <c r="H7055">
        <f>0.00704225352112676*4.55912624748668</f>
        <v>3.2106522869624503E-2</v>
      </c>
      <c r="I7055">
        <v>3.2106522869624537E-2</v>
      </c>
    </row>
    <row r="7056" spans="1:9" x14ac:dyDescent="0.25">
      <c r="A7056">
        <v>350</v>
      </c>
      <c r="B7056" t="s">
        <v>2482</v>
      </c>
      <c r="C7056" t="s">
        <v>10</v>
      </c>
      <c r="D7056" t="s">
        <v>898</v>
      </c>
      <c r="E7056">
        <f t="shared" si="320"/>
        <v>7.0422535211267607E-3</v>
      </c>
      <c r="F7056">
        <v>22</v>
      </c>
      <c r="G7056">
        <f>LOG(382/(22+1))</f>
        <v>1.2203355268941158</v>
      </c>
      <c r="H7056">
        <f>0.00704225352112676*2.80992639267742</f>
        <v>1.9788214032939573E-2</v>
      </c>
      <c r="I7056">
        <v>1.9788214032939622E-2</v>
      </c>
    </row>
    <row r="7057" spans="1:9" x14ac:dyDescent="0.25">
      <c r="A7057">
        <v>350</v>
      </c>
      <c r="B7057" t="s">
        <v>2482</v>
      </c>
      <c r="C7057" t="s">
        <v>10</v>
      </c>
      <c r="D7057" t="s">
        <v>77</v>
      </c>
      <c r="E7057">
        <f t="shared" si="320"/>
        <v>7.0422535211267607E-3</v>
      </c>
      <c r="F7057">
        <v>148</v>
      </c>
      <c r="G7057">
        <f>LOG(382/(148+1))</f>
        <v>0.40887709449943471</v>
      </c>
      <c r="H7057">
        <f>0.00704225352112676*0.941474302661116</f>
        <v>6.6301007229656048E-3</v>
      </c>
      <c r="I7057">
        <v>6.6301007229656074E-3</v>
      </c>
    </row>
    <row r="7058" spans="1:9" x14ac:dyDescent="0.25">
      <c r="A7058">
        <v>350</v>
      </c>
      <c r="B7058" t="s">
        <v>2482</v>
      </c>
      <c r="C7058" t="s">
        <v>10</v>
      </c>
      <c r="D7058" t="s">
        <v>764</v>
      </c>
      <c r="E7058">
        <f t="shared" si="320"/>
        <v>7.0422535211267607E-3</v>
      </c>
      <c r="F7058">
        <v>57</v>
      </c>
      <c r="G7058">
        <f>LOG(382/(57+1))</f>
        <v>0.81863536934877146</v>
      </c>
      <c r="H7058">
        <f>0.00704225352112676*1.88497759806015</f>
        <v>1.3274490127184154E-2</v>
      </c>
      <c r="I7058">
        <v>1.3274490127184201E-2</v>
      </c>
    </row>
    <row r="7059" spans="1:9" x14ac:dyDescent="0.25">
      <c r="A7059">
        <v>350</v>
      </c>
      <c r="B7059" t="s">
        <v>2482</v>
      </c>
      <c r="C7059" t="s">
        <v>10</v>
      </c>
      <c r="D7059" t="s">
        <v>765</v>
      </c>
      <c r="E7059">
        <f t="shared" si="320"/>
        <v>7.0422535211267607E-3</v>
      </c>
      <c r="F7059">
        <v>44</v>
      </c>
      <c r="G7059">
        <f>LOG(382/(44+1))</f>
        <v>0.92885084913636506</v>
      </c>
      <c r="H7059">
        <f>0.00704225352112676*2.13875811883625</f>
        <v>1.5061676893213026E-2</v>
      </c>
      <c r="I7059">
        <v>1.5061676893213071E-2</v>
      </c>
    </row>
    <row r="7060" spans="1:9" x14ac:dyDescent="0.25">
      <c r="A7060">
        <v>350</v>
      </c>
      <c r="B7060" t="s">
        <v>2482</v>
      </c>
      <c r="C7060" t="s">
        <v>10</v>
      </c>
      <c r="D7060" t="s">
        <v>2220</v>
      </c>
      <c r="E7060">
        <f t="shared" si="320"/>
        <v>7.0422535211267607E-3</v>
      </c>
      <c r="F7060">
        <v>21</v>
      </c>
      <c r="G7060">
        <f>LOG(382/(21+1))</f>
        <v>1.2396406820895025</v>
      </c>
      <c r="H7060">
        <f>0.00704225352112676*2.85437815524825</f>
        <v>2.0101254614424292E-2</v>
      </c>
      <c r="I7060">
        <v>2.0101254614424361E-2</v>
      </c>
    </row>
    <row r="7061" spans="1:9" x14ac:dyDescent="0.25">
      <c r="A7061">
        <v>351</v>
      </c>
      <c r="B7061" t="s">
        <v>2498</v>
      </c>
      <c r="C7061" t="s">
        <v>48</v>
      </c>
      <c r="D7061" t="s">
        <v>361</v>
      </c>
      <c r="E7061">
        <f t="shared" ref="E7061:E7072" si="321">1/12</f>
        <v>8.3333333333333329E-2</v>
      </c>
      <c r="F7061">
        <v>118</v>
      </c>
      <c r="G7061">
        <f>LOG(382/(118+1))</f>
        <v>0.50651640151917798</v>
      </c>
      <c r="H7061">
        <f>0.0833333333333333*1.16629711549504</f>
        <v>9.7191426291253283E-2</v>
      </c>
      <c r="I7061">
        <v>9.7191426291253824E-2</v>
      </c>
    </row>
    <row r="7062" spans="1:9" x14ac:dyDescent="0.25">
      <c r="A7062">
        <v>351</v>
      </c>
      <c r="B7062" t="s">
        <v>2498</v>
      </c>
      <c r="C7062" t="s">
        <v>48</v>
      </c>
      <c r="D7062" t="s">
        <v>434</v>
      </c>
      <c r="E7062">
        <f t="shared" si="321"/>
        <v>8.3333333333333329E-2</v>
      </c>
      <c r="F7062">
        <v>97</v>
      </c>
      <c r="G7062">
        <f>LOG(382/(97+1))</f>
        <v>0.59083728721921391</v>
      </c>
      <c r="H7062">
        <f>0.0833333333333333*1.360453129936</f>
        <v>0.1133710941613333</v>
      </c>
      <c r="I7062">
        <v>0.1133710941613336</v>
      </c>
    </row>
    <row r="7063" spans="1:9" x14ac:dyDescent="0.25">
      <c r="A7063">
        <v>351</v>
      </c>
      <c r="B7063" t="s">
        <v>2498</v>
      </c>
      <c r="C7063" t="s">
        <v>48</v>
      </c>
      <c r="D7063" t="s">
        <v>2499</v>
      </c>
      <c r="E7063">
        <f t="shared" si="321"/>
        <v>8.3333333333333329E-2</v>
      </c>
      <c r="F7063">
        <v>2</v>
      </c>
      <c r="G7063">
        <f>LOG(382/(2+1))</f>
        <v>2.1049421081920463</v>
      </c>
      <c r="H7063">
        <f>0.0833333333333333*4.84680831993846</f>
        <v>0.40390069332820483</v>
      </c>
      <c r="I7063">
        <v>0.40390069332820538</v>
      </c>
    </row>
    <row r="7064" spans="1:9" x14ac:dyDescent="0.25">
      <c r="A7064">
        <v>351</v>
      </c>
      <c r="B7064" t="s">
        <v>2498</v>
      </c>
      <c r="C7064" t="s">
        <v>48</v>
      </c>
      <c r="D7064" t="s">
        <v>39</v>
      </c>
      <c r="E7064">
        <f t="shared" si="321"/>
        <v>8.3333333333333329E-2</v>
      </c>
      <c r="F7064">
        <v>145</v>
      </c>
      <c r="G7064">
        <f>LOG(382/(145+1))</f>
        <v>0.41771050712727159</v>
      </c>
      <c r="H7064">
        <f>0.0833333333333333*0.961813986898238</f>
        <v>8.0151165574853134E-2</v>
      </c>
      <c r="I7064">
        <v>8.0151165574853217E-2</v>
      </c>
    </row>
    <row r="7065" spans="1:9" x14ac:dyDescent="0.25">
      <c r="A7065">
        <v>351</v>
      </c>
      <c r="B7065" t="s">
        <v>2498</v>
      </c>
      <c r="C7065" t="s">
        <v>48</v>
      </c>
      <c r="D7065" t="s">
        <v>310</v>
      </c>
      <c r="E7065">
        <f t="shared" si="321"/>
        <v>8.3333333333333329E-2</v>
      </c>
      <c r="F7065">
        <v>50</v>
      </c>
      <c r="G7065">
        <f>LOG(382/(50+1))</f>
        <v>0.87449318681377242</v>
      </c>
      <c r="H7065">
        <f>0.0833333333333333*2.01359497588224</f>
        <v>0.16779958132351991</v>
      </c>
      <c r="I7065">
        <v>0.1677995813235208</v>
      </c>
    </row>
    <row r="7066" spans="1:9" x14ac:dyDescent="0.25">
      <c r="A7066">
        <v>351</v>
      </c>
      <c r="B7066" t="s">
        <v>2498</v>
      </c>
      <c r="C7066" t="s">
        <v>48</v>
      </c>
      <c r="D7066" t="s">
        <v>1467</v>
      </c>
      <c r="E7066">
        <f t="shared" si="321"/>
        <v>8.3333333333333329E-2</v>
      </c>
      <c r="F7066">
        <v>21</v>
      </c>
      <c r="G7066">
        <f>LOG(382/(21+1))</f>
        <v>1.2396406820895025</v>
      </c>
      <c r="H7066">
        <f>0.0833333333333333*2.85437815524825</f>
        <v>0.23786484627068741</v>
      </c>
      <c r="I7066">
        <v>0.2378648462706883</v>
      </c>
    </row>
    <row r="7067" spans="1:9" x14ac:dyDescent="0.25">
      <c r="A7067">
        <v>351</v>
      </c>
      <c r="B7067" t="s">
        <v>2498</v>
      </c>
      <c r="C7067" t="s">
        <v>48</v>
      </c>
      <c r="D7067" t="s">
        <v>1468</v>
      </c>
      <c r="E7067">
        <f t="shared" si="321"/>
        <v>8.3333333333333329E-2</v>
      </c>
      <c r="F7067">
        <v>8</v>
      </c>
      <c r="G7067">
        <f>LOG(382/(8+1))</f>
        <v>1.6278208534723839</v>
      </c>
      <c r="H7067">
        <f>0.0833333333333333*3.74819603127035</f>
        <v>0.31234966927252905</v>
      </c>
      <c r="I7067">
        <v>0.31234966927252961</v>
      </c>
    </row>
    <row r="7068" spans="1:9" x14ac:dyDescent="0.25">
      <c r="A7068">
        <v>351</v>
      </c>
      <c r="B7068" t="s">
        <v>2498</v>
      </c>
      <c r="C7068" t="s">
        <v>48</v>
      </c>
      <c r="D7068" t="s">
        <v>214</v>
      </c>
      <c r="E7068">
        <f t="shared" si="321"/>
        <v>8.3333333333333329E-2</v>
      </c>
      <c r="F7068">
        <v>68</v>
      </c>
      <c r="G7068">
        <f>LOG(382/(68+1))</f>
        <v>0.74321427217445335</v>
      </c>
      <c r="H7068">
        <f>0.0833333333333333*1.71131410400931</f>
        <v>0.14260950866744246</v>
      </c>
      <c r="I7068">
        <v>0.14260950866744301</v>
      </c>
    </row>
    <row r="7069" spans="1:9" x14ac:dyDescent="0.25">
      <c r="A7069">
        <v>351</v>
      </c>
      <c r="B7069" t="s">
        <v>2498</v>
      </c>
      <c r="C7069" t="s">
        <v>48</v>
      </c>
      <c r="D7069" t="s">
        <v>1362</v>
      </c>
      <c r="E7069">
        <f t="shared" si="321"/>
        <v>8.3333333333333329E-2</v>
      </c>
      <c r="F7069">
        <v>12</v>
      </c>
      <c r="G7069">
        <f>LOG(382/(12+1))</f>
        <v>1.468120010604872</v>
      </c>
      <c r="H7069">
        <f>0.0833333333333333*3.38047125114503</f>
        <v>0.28170593759541906</v>
      </c>
      <c r="I7069">
        <v>0.28170593759541979</v>
      </c>
    </row>
    <row r="7070" spans="1:9" x14ac:dyDescent="0.25">
      <c r="A7070">
        <v>351</v>
      </c>
      <c r="B7070" t="s">
        <v>2498</v>
      </c>
      <c r="C7070" t="s">
        <v>48</v>
      </c>
      <c r="D7070" t="s">
        <v>45</v>
      </c>
      <c r="E7070">
        <f t="shared" si="321"/>
        <v>8.3333333333333329E-2</v>
      </c>
      <c r="F7070">
        <v>2</v>
      </c>
      <c r="G7070">
        <f>LOG(382/(2+1))</f>
        <v>2.1049421081920463</v>
      </c>
      <c r="H7070">
        <f>0.0833333333333333*4.84680831993846</f>
        <v>0.40390069332820483</v>
      </c>
      <c r="I7070">
        <v>0.40390069332820538</v>
      </c>
    </row>
    <row r="7071" spans="1:9" x14ac:dyDescent="0.25">
      <c r="A7071">
        <v>351</v>
      </c>
      <c r="B7071" t="s">
        <v>2498</v>
      </c>
      <c r="C7071" t="s">
        <v>48</v>
      </c>
      <c r="D7071" t="s">
        <v>222</v>
      </c>
      <c r="E7071">
        <f t="shared" si="321"/>
        <v>8.3333333333333329E-2</v>
      </c>
      <c r="F7071">
        <v>22</v>
      </c>
      <c r="G7071">
        <f>LOG(382/(22+1))</f>
        <v>1.2203355268941158</v>
      </c>
      <c r="H7071">
        <f>0.0833333333333333*2.80992639267742</f>
        <v>0.23416053272311824</v>
      </c>
      <c r="I7071">
        <v>0.23416053272311879</v>
      </c>
    </row>
    <row r="7072" spans="1:9" x14ac:dyDescent="0.25">
      <c r="A7072">
        <v>351</v>
      </c>
      <c r="B7072" t="s">
        <v>2498</v>
      </c>
      <c r="C7072" t="s">
        <v>48</v>
      </c>
      <c r="D7072" t="s">
        <v>2500</v>
      </c>
      <c r="E7072">
        <f t="shared" si="321"/>
        <v>8.3333333333333329E-2</v>
      </c>
      <c r="F7072">
        <v>1</v>
      </c>
      <c r="G7072">
        <f>LOG(382/(1+1))</f>
        <v>2.2810333672477277</v>
      </c>
      <c r="H7072">
        <f>0.0833333333333333*5.25227342804663</f>
        <v>0.43768945233721901</v>
      </c>
      <c r="I7072">
        <v>0.43768945233721912</v>
      </c>
    </row>
    <row r="7073" spans="1:9" x14ac:dyDescent="0.25">
      <c r="A7073">
        <v>352</v>
      </c>
      <c r="B7073" t="s">
        <v>2501</v>
      </c>
      <c r="C7073" t="s">
        <v>10</v>
      </c>
      <c r="D7073" t="s">
        <v>2296</v>
      </c>
      <c r="E7073">
        <f>6/74</f>
        <v>8.1081081081081086E-2</v>
      </c>
      <c r="F7073">
        <v>5</v>
      </c>
      <c r="G7073">
        <f>LOG(382/(5+1))</f>
        <v>1.803912112528065</v>
      </c>
      <c r="H7073">
        <f>0.081081081081081*4.15366113937852</f>
        <v>0.33678333562528506</v>
      </c>
      <c r="I7073">
        <v>0.3367833356252854</v>
      </c>
    </row>
    <row r="7074" spans="1:9" x14ac:dyDescent="0.25">
      <c r="A7074">
        <v>352</v>
      </c>
      <c r="B7074" t="s">
        <v>2501</v>
      </c>
      <c r="C7074" t="s">
        <v>10</v>
      </c>
      <c r="D7074" t="s">
        <v>1283</v>
      </c>
      <c r="E7074">
        <f>5/74</f>
        <v>6.7567567567567571E-2</v>
      </c>
      <c r="F7074">
        <v>8</v>
      </c>
      <c r="G7074">
        <f>LOG(382/(8+1))</f>
        <v>1.6278208534723839</v>
      </c>
      <c r="H7074">
        <f>0.0675675675675675*3.74819603127035</f>
        <v>0.25325648859934774</v>
      </c>
      <c r="I7074">
        <v>0.25325648859934841</v>
      </c>
    </row>
    <row r="7075" spans="1:9" x14ac:dyDescent="0.25">
      <c r="A7075">
        <v>352</v>
      </c>
      <c r="B7075" t="s">
        <v>2501</v>
      </c>
      <c r="C7075" t="s">
        <v>10</v>
      </c>
      <c r="D7075" t="s">
        <v>2502</v>
      </c>
      <c r="E7075">
        <f>1/74</f>
        <v>1.3513513513513514E-2</v>
      </c>
      <c r="F7075">
        <v>1</v>
      </c>
      <c r="G7075">
        <f>LOG(382/(1+1))</f>
        <v>2.2810333672477277</v>
      </c>
      <c r="H7075">
        <f>0.0135135135135135*5.25227342804663</f>
        <v>7.0976667946576005E-2</v>
      </c>
      <c r="I7075">
        <v>7.0976667946576089E-2</v>
      </c>
    </row>
    <row r="7076" spans="1:9" x14ac:dyDescent="0.25">
      <c r="A7076">
        <v>352</v>
      </c>
      <c r="B7076" t="s">
        <v>2501</v>
      </c>
      <c r="C7076" t="s">
        <v>10</v>
      </c>
      <c r="D7076" t="s">
        <v>570</v>
      </c>
      <c r="E7076">
        <f>1/74</f>
        <v>1.3513513513513514E-2</v>
      </c>
      <c r="F7076">
        <v>27</v>
      </c>
      <c r="G7076">
        <f>LOG(382/(27+1))</f>
        <v>1.1349053315694895</v>
      </c>
      <c r="H7076">
        <f>0.0135135135135135*2.61321609843137</f>
        <v>3.5313731059883349E-2</v>
      </c>
      <c r="I7076">
        <v>3.5313731059883391E-2</v>
      </c>
    </row>
    <row r="7077" spans="1:9" x14ac:dyDescent="0.25">
      <c r="A7077">
        <v>352</v>
      </c>
      <c r="B7077" t="s">
        <v>2501</v>
      </c>
      <c r="C7077" t="s">
        <v>10</v>
      </c>
      <c r="D7077" t="s">
        <v>2503</v>
      </c>
      <c r="E7077">
        <f>1/74</f>
        <v>1.3513513513513514E-2</v>
      </c>
      <c r="F7077">
        <v>1</v>
      </c>
      <c r="G7077">
        <f>LOG(382/(1+1))</f>
        <v>2.2810333672477277</v>
      </c>
      <c r="H7077">
        <f>0.0135135135135135*5.25227342804663</f>
        <v>7.0976667946576005E-2</v>
      </c>
      <c r="I7077">
        <v>7.0976667946576089E-2</v>
      </c>
    </row>
    <row r="7078" spans="1:9" x14ac:dyDescent="0.25">
      <c r="A7078">
        <v>352</v>
      </c>
      <c r="B7078" t="s">
        <v>2501</v>
      </c>
      <c r="C7078" t="s">
        <v>10</v>
      </c>
      <c r="D7078" t="s">
        <v>42</v>
      </c>
      <c r="E7078">
        <f>1/74</f>
        <v>1.3513513513513514E-2</v>
      </c>
      <c r="F7078">
        <v>251</v>
      </c>
      <c r="G7078">
        <f>LOG(382/(251+1))</f>
        <v>0.18066282213016463</v>
      </c>
      <c r="H7078">
        <f>0.0135135135135135*0.415991521095151</f>
        <v>5.6215070418263588E-3</v>
      </c>
      <c r="I7078">
        <v>5.621507041826377E-3</v>
      </c>
    </row>
    <row r="7079" spans="1:9" x14ac:dyDescent="0.25">
      <c r="A7079">
        <v>352</v>
      </c>
      <c r="B7079" t="s">
        <v>2501</v>
      </c>
      <c r="C7079" t="s">
        <v>10</v>
      </c>
      <c r="D7079" t="s">
        <v>68</v>
      </c>
      <c r="E7079">
        <f>1/74</f>
        <v>1.3513513513513514E-2</v>
      </c>
      <c r="F7079">
        <v>43</v>
      </c>
      <c r="G7079">
        <f>LOG(382/(43+1))</f>
        <v>0.93861068642552126</v>
      </c>
      <c r="H7079">
        <f>0.0135135135135135*2.16123097468831</f>
        <v>2.9205823982274427E-2</v>
      </c>
      <c r="I7079">
        <v>2.9205823982274511E-2</v>
      </c>
    </row>
    <row r="7080" spans="1:9" x14ac:dyDescent="0.25">
      <c r="A7080">
        <v>352</v>
      </c>
      <c r="B7080" t="s">
        <v>2501</v>
      </c>
      <c r="C7080" t="s">
        <v>10</v>
      </c>
      <c r="D7080" t="s">
        <v>44</v>
      </c>
      <c r="E7080">
        <f>3/74</f>
        <v>4.0540540540540543E-2</v>
      </c>
      <c r="F7080">
        <v>151</v>
      </c>
      <c r="G7080">
        <f>LOG(382/(151+1))</f>
        <v>0.40021977496693617</v>
      </c>
      <c r="H7080">
        <f>0.0405405405405405*0.921540087760298</f>
        <v>3.7359733287579612E-2</v>
      </c>
      <c r="I7080">
        <v>3.7359733287579681E-2</v>
      </c>
    </row>
    <row r="7081" spans="1:9" x14ac:dyDescent="0.25">
      <c r="A7081">
        <v>352</v>
      </c>
      <c r="B7081" t="s">
        <v>2501</v>
      </c>
      <c r="C7081" t="s">
        <v>10</v>
      </c>
      <c r="D7081" t="s">
        <v>22</v>
      </c>
      <c r="E7081">
        <f>1/74</f>
        <v>1.3513513513513514E-2</v>
      </c>
      <c r="F7081">
        <v>259</v>
      </c>
      <c r="G7081">
        <f>LOG(382/(259+1))</f>
        <v>0.16709001494089079</v>
      </c>
      <c r="H7081">
        <f>0.0135135135135135*0.384738977591047</f>
        <v>5.1991753728519814E-3</v>
      </c>
      <c r="I7081">
        <v>5.1991753728519944E-3</v>
      </c>
    </row>
    <row r="7082" spans="1:9" x14ac:dyDescent="0.25">
      <c r="A7082">
        <v>352</v>
      </c>
      <c r="B7082" t="s">
        <v>2501</v>
      </c>
      <c r="C7082" t="s">
        <v>10</v>
      </c>
      <c r="D7082" t="s">
        <v>23</v>
      </c>
      <c r="E7082">
        <f>1/74</f>
        <v>1.3513513513513514E-2</v>
      </c>
      <c r="F7082">
        <v>275</v>
      </c>
      <c r="G7082">
        <f>LOG(382/(275+1))</f>
        <v>0.14115428084649101</v>
      </c>
      <c r="H7082">
        <f>0.0135135135135135*0.325019742889425</f>
        <v>4.3921586876949281E-3</v>
      </c>
      <c r="I7082">
        <v>4.392158687694935E-3</v>
      </c>
    </row>
    <row r="7083" spans="1:9" x14ac:dyDescent="0.25">
      <c r="A7083">
        <v>352</v>
      </c>
      <c r="B7083" t="s">
        <v>2501</v>
      </c>
      <c r="C7083" t="s">
        <v>10</v>
      </c>
      <c r="D7083" t="s">
        <v>24</v>
      </c>
      <c r="E7083">
        <f>2/74</f>
        <v>2.7027027027027029E-2</v>
      </c>
      <c r="F7083">
        <v>59</v>
      </c>
      <c r="G7083">
        <f>LOG(382/(59+1))</f>
        <v>0.80391211252806505</v>
      </c>
      <c r="H7083">
        <f>0.027027027027027*1.85107604638447</f>
        <v>5.0029082334715355E-2</v>
      </c>
      <c r="I7083">
        <v>5.0029082334715529E-2</v>
      </c>
    </row>
    <row r="7084" spans="1:9" x14ac:dyDescent="0.25">
      <c r="A7084">
        <v>352</v>
      </c>
      <c r="B7084" t="s">
        <v>2501</v>
      </c>
      <c r="C7084" t="s">
        <v>10</v>
      </c>
      <c r="D7084" t="s">
        <v>1021</v>
      </c>
      <c r="E7084">
        <f t="shared" ref="E7084:E7096" si="322">1/74</f>
        <v>1.3513513513513514E-2</v>
      </c>
      <c r="F7084">
        <v>6</v>
      </c>
      <c r="G7084">
        <f>LOG(382/(6+1))</f>
        <v>1.736965322897452</v>
      </c>
      <c r="H7084">
        <f>0.0135135135135135*3.99951045955126</f>
        <v>5.4047438642584544E-2</v>
      </c>
      <c r="I7084">
        <v>5.4047438642584621E-2</v>
      </c>
    </row>
    <row r="7085" spans="1:9" x14ac:dyDescent="0.25">
      <c r="A7085">
        <v>352</v>
      </c>
      <c r="B7085" t="s">
        <v>2501</v>
      </c>
      <c r="C7085" t="s">
        <v>10</v>
      </c>
      <c r="D7085" t="s">
        <v>196</v>
      </c>
      <c r="E7085">
        <f t="shared" si="322"/>
        <v>1.3513513513513514E-2</v>
      </c>
      <c r="F7085">
        <v>33</v>
      </c>
      <c r="G7085">
        <f>LOG(382/(33+1))</f>
        <v>1.0505844458694535</v>
      </c>
      <c r="H7085">
        <f>0.0135135135135135*2.41906008399041</f>
        <v>3.269000113500551E-2</v>
      </c>
      <c r="I7085">
        <v>3.2690001135005593E-2</v>
      </c>
    </row>
    <row r="7086" spans="1:9" x14ac:dyDescent="0.25">
      <c r="A7086">
        <v>352</v>
      </c>
      <c r="B7086" t="s">
        <v>2501</v>
      </c>
      <c r="C7086" t="s">
        <v>10</v>
      </c>
      <c r="D7086" t="s">
        <v>1189</v>
      </c>
      <c r="E7086">
        <f t="shared" si="322"/>
        <v>1.3513513513513514E-2</v>
      </c>
      <c r="F7086">
        <v>3</v>
      </c>
      <c r="G7086">
        <f>LOG(382/(3+1))</f>
        <v>1.9800033715837464</v>
      </c>
      <c r="H7086">
        <f>0.0135135135135135*4.55912624748668</f>
        <v>6.1609814155225345E-2</v>
      </c>
      <c r="I7086">
        <v>6.160981415522547E-2</v>
      </c>
    </row>
    <row r="7087" spans="1:9" x14ac:dyDescent="0.25">
      <c r="A7087">
        <v>352</v>
      </c>
      <c r="B7087" t="s">
        <v>2501</v>
      </c>
      <c r="C7087" t="s">
        <v>10</v>
      </c>
      <c r="D7087" t="s">
        <v>566</v>
      </c>
      <c r="E7087">
        <f t="shared" si="322"/>
        <v>1.3513513513513514E-2</v>
      </c>
      <c r="F7087">
        <v>8</v>
      </c>
      <c r="G7087">
        <f>LOG(382/(8+1))</f>
        <v>1.6278208534723839</v>
      </c>
      <c r="H7087">
        <f>0.0135135135135135*3.74819603127035</f>
        <v>5.0651297719869544E-2</v>
      </c>
      <c r="I7087">
        <v>5.0651297719869683E-2</v>
      </c>
    </row>
    <row r="7088" spans="1:9" x14ac:dyDescent="0.25">
      <c r="A7088">
        <v>352</v>
      </c>
      <c r="B7088" t="s">
        <v>2501</v>
      </c>
      <c r="C7088" t="s">
        <v>10</v>
      </c>
      <c r="D7088" t="s">
        <v>2504</v>
      </c>
      <c r="E7088">
        <f t="shared" si="322"/>
        <v>1.3513513513513514E-2</v>
      </c>
      <c r="F7088">
        <v>3</v>
      </c>
      <c r="G7088">
        <f>LOG(382/(3+1))</f>
        <v>1.9800033715837464</v>
      </c>
      <c r="H7088">
        <f>0.0135135135135135*4.55912624748668</f>
        <v>6.1609814155225345E-2</v>
      </c>
      <c r="I7088">
        <v>6.160981415522547E-2</v>
      </c>
    </row>
    <row r="7089" spans="1:9" x14ac:dyDescent="0.25">
      <c r="A7089">
        <v>352</v>
      </c>
      <c r="B7089" t="s">
        <v>2501</v>
      </c>
      <c r="C7089" t="s">
        <v>10</v>
      </c>
      <c r="D7089" t="s">
        <v>248</v>
      </c>
      <c r="E7089">
        <f t="shared" si="322"/>
        <v>1.3513513513513514E-2</v>
      </c>
      <c r="F7089">
        <v>7</v>
      </c>
      <c r="G7089">
        <f>LOG(382/(7+1))</f>
        <v>1.6789733759197651</v>
      </c>
      <c r="H7089">
        <f>0.0135135135135135*3.86597906692673</f>
        <v>5.2242960363874678E-2</v>
      </c>
      <c r="I7089">
        <v>5.2242960363874859E-2</v>
      </c>
    </row>
    <row r="7090" spans="1:9" x14ac:dyDescent="0.25">
      <c r="A7090">
        <v>352</v>
      </c>
      <c r="B7090" t="s">
        <v>2501</v>
      </c>
      <c r="C7090" t="s">
        <v>10</v>
      </c>
      <c r="D7090" t="s">
        <v>2505</v>
      </c>
      <c r="E7090">
        <f t="shared" si="322"/>
        <v>1.3513513513513514E-2</v>
      </c>
      <c r="F7090">
        <v>9</v>
      </c>
      <c r="G7090">
        <f>LOG(382/(9+1))</f>
        <v>1.5820633629117087</v>
      </c>
      <c r="H7090">
        <f>0.0135135135135135*3.64283551561252</f>
        <v>4.9227506967736707E-2</v>
      </c>
      <c r="I7090">
        <v>4.9227506967736888E-2</v>
      </c>
    </row>
    <row r="7091" spans="1:9" x14ac:dyDescent="0.25">
      <c r="A7091">
        <v>352</v>
      </c>
      <c r="B7091" t="s">
        <v>2501</v>
      </c>
      <c r="C7091" t="s">
        <v>10</v>
      </c>
      <c r="D7091" t="s">
        <v>131</v>
      </c>
      <c r="E7091">
        <f t="shared" si="322"/>
        <v>1.3513513513513514E-2</v>
      </c>
      <c r="F7091">
        <v>38</v>
      </c>
      <c r="G7091">
        <f>LOG(382/(38+1))</f>
        <v>0.99099875588520958</v>
      </c>
      <c r="H7091">
        <f>0.0135135135135135*2.28185896247692</f>
        <v>3.0835931925363755E-2</v>
      </c>
      <c r="I7091">
        <v>3.0835931925363911E-2</v>
      </c>
    </row>
    <row r="7092" spans="1:9" x14ac:dyDescent="0.25">
      <c r="A7092">
        <v>352</v>
      </c>
      <c r="B7092" t="s">
        <v>2501</v>
      </c>
      <c r="C7092" t="s">
        <v>10</v>
      </c>
      <c r="D7092" t="s">
        <v>489</v>
      </c>
      <c r="E7092">
        <f t="shared" si="322"/>
        <v>1.3513513513513514E-2</v>
      </c>
      <c r="F7092">
        <v>6</v>
      </c>
      <c r="G7092">
        <f>LOG(382/(6+1))</f>
        <v>1.736965322897452</v>
      </c>
      <c r="H7092">
        <f>0.0135135135135135*3.99951045955126</f>
        <v>5.4047438642584544E-2</v>
      </c>
      <c r="I7092">
        <v>5.4047438642584621E-2</v>
      </c>
    </row>
    <row r="7093" spans="1:9" x14ac:dyDescent="0.25">
      <c r="A7093">
        <v>352</v>
      </c>
      <c r="B7093" t="s">
        <v>2501</v>
      </c>
      <c r="C7093" t="s">
        <v>10</v>
      </c>
      <c r="D7093" t="s">
        <v>1096</v>
      </c>
      <c r="E7093">
        <f t="shared" si="322"/>
        <v>1.3513513513513514E-2</v>
      </c>
      <c r="F7093">
        <v>5</v>
      </c>
      <c r="G7093">
        <f>LOG(382/(5+1))</f>
        <v>1.803912112528065</v>
      </c>
      <c r="H7093">
        <f>0.0135135135135135*4.15366113937852</f>
        <v>5.613055593754751E-2</v>
      </c>
      <c r="I7093">
        <v>5.6130555937547573E-2</v>
      </c>
    </row>
    <row r="7094" spans="1:9" x14ac:dyDescent="0.25">
      <c r="A7094">
        <v>352</v>
      </c>
      <c r="B7094" t="s">
        <v>2501</v>
      </c>
      <c r="C7094" t="s">
        <v>10</v>
      </c>
      <c r="D7094" t="s">
        <v>2506</v>
      </c>
      <c r="E7094">
        <f t="shared" si="322"/>
        <v>1.3513513513513514E-2</v>
      </c>
      <c r="F7094">
        <v>4</v>
      </c>
      <c r="G7094">
        <f>LOG(382/(4+1))</f>
        <v>1.8830933585756899</v>
      </c>
      <c r="H7094">
        <f>0.0135135135135135*4.33598269617247</f>
        <v>5.8594360759087381E-2</v>
      </c>
      <c r="I7094">
        <v>5.8594360759087499E-2</v>
      </c>
    </row>
    <row r="7095" spans="1:9" x14ac:dyDescent="0.25">
      <c r="A7095">
        <v>352</v>
      </c>
      <c r="B7095" t="s">
        <v>2501</v>
      </c>
      <c r="C7095" t="s">
        <v>10</v>
      </c>
      <c r="D7095" t="s">
        <v>1808</v>
      </c>
      <c r="E7095">
        <f t="shared" si="322"/>
        <v>1.3513513513513514E-2</v>
      </c>
      <c r="F7095">
        <v>10</v>
      </c>
      <c r="G7095">
        <f>LOG(382/(10+1))</f>
        <v>1.5406706777534838</v>
      </c>
      <c r="H7095">
        <f>0.0135135135135135*3.5475253358082</f>
        <v>4.7939531564975629E-2</v>
      </c>
      <c r="I7095">
        <v>4.793953156497574E-2</v>
      </c>
    </row>
    <row r="7096" spans="1:9" x14ac:dyDescent="0.25">
      <c r="A7096">
        <v>352</v>
      </c>
      <c r="B7096" t="s">
        <v>2501</v>
      </c>
      <c r="C7096" t="s">
        <v>10</v>
      </c>
      <c r="D7096" t="s">
        <v>2507</v>
      </c>
      <c r="E7096">
        <f t="shared" si="322"/>
        <v>1.3513513513513514E-2</v>
      </c>
      <c r="F7096">
        <v>1</v>
      </c>
      <c r="G7096">
        <f>LOG(382/(1+1))</f>
        <v>2.2810333672477277</v>
      </c>
      <c r="H7096">
        <f>0.0135135135135135*5.25227342804663</f>
        <v>7.0976667946576005E-2</v>
      </c>
      <c r="I7096">
        <v>7.0976667946576089E-2</v>
      </c>
    </row>
    <row r="7097" spans="1:9" x14ac:dyDescent="0.25">
      <c r="A7097">
        <v>352</v>
      </c>
      <c r="B7097" t="s">
        <v>2501</v>
      </c>
      <c r="C7097" t="s">
        <v>10</v>
      </c>
      <c r="D7097" t="s">
        <v>1706</v>
      </c>
      <c r="E7097">
        <f>2/74</f>
        <v>2.7027027027027029E-2</v>
      </c>
      <c r="F7097">
        <v>5</v>
      </c>
      <c r="G7097">
        <f>LOG(382/(5+1))</f>
        <v>1.803912112528065</v>
      </c>
      <c r="H7097">
        <f>0.027027027027027*4.15366113937852</f>
        <v>0.11226111187509502</v>
      </c>
      <c r="I7097">
        <v>0.1122611118750951</v>
      </c>
    </row>
    <row r="7098" spans="1:9" x14ac:dyDescent="0.25">
      <c r="A7098">
        <v>352</v>
      </c>
      <c r="B7098" t="s">
        <v>2501</v>
      </c>
      <c r="C7098" t="s">
        <v>10</v>
      </c>
      <c r="D7098" t="s">
        <v>2508</v>
      </c>
      <c r="E7098">
        <f t="shared" ref="E7098:E7111" si="323">1/74</f>
        <v>1.3513513513513514E-2</v>
      </c>
      <c r="F7098">
        <v>3</v>
      </c>
      <c r="G7098">
        <f>LOG(382/(3+1))</f>
        <v>1.9800033715837464</v>
      </c>
      <c r="H7098">
        <f>0.0135135135135135*4.55912624748668</f>
        <v>6.1609814155225345E-2</v>
      </c>
      <c r="I7098">
        <v>6.160981415522547E-2</v>
      </c>
    </row>
    <row r="7099" spans="1:9" x14ac:dyDescent="0.25">
      <c r="A7099">
        <v>352</v>
      </c>
      <c r="B7099" t="s">
        <v>2501</v>
      </c>
      <c r="C7099" t="s">
        <v>10</v>
      </c>
      <c r="D7099" t="s">
        <v>1238</v>
      </c>
      <c r="E7099">
        <f t="shared" si="323"/>
        <v>1.3513513513513514E-2</v>
      </c>
      <c r="F7099">
        <v>10</v>
      </c>
      <c r="G7099">
        <f>LOG(382/(10+1))</f>
        <v>1.5406706777534838</v>
      </c>
      <c r="H7099">
        <f>0.0135135135135135*3.5475253358082</f>
        <v>4.7939531564975629E-2</v>
      </c>
      <c r="I7099">
        <v>4.793953156497574E-2</v>
      </c>
    </row>
    <row r="7100" spans="1:9" x14ac:dyDescent="0.25">
      <c r="A7100">
        <v>352</v>
      </c>
      <c r="B7100" t="s">
        <v>2501</v>
      </c>
      <c r="C7100" t="s">
        <v>10</v>
      </c>
      <c r="D7100" t="s">
        <v>2509</v>
      </c>
      <c r="E7100">
        <f t="shared" si="323"/>
        <v>1.3513513513513514E-2</v>
      </c>
      <c r="F7100">
        <v>1</v>
      </c>
      <c r="G7100">
        <f t="shared" ref="G7100:G7111" si="324">LOG(382/(1+1))</f>
        <v>2.2810333672477277</v>
      </c>
      <c r="H7100">
        <f t="shared" ref="H7100:H7111" si="325">0.0135135135135135*5.25227342804663</f>
        <v>7.0976667946576005E-2</v>
      </c>
      <c r="I7100">
        <v>7.0976667946576089E-2</v>
      </c>
    </row>
    <row r="7101" spans="1:9" x14ac:dyDescent="0.25">
      <c r="A7101">
        <v>352</v>
      </c>
      <c r="B7101" t="s">
        <v>2501</v>
      </c>
      <c r="C7101" t="s">
        <v>10</v>
      </c>
      <c r="D7101" t="s">
        <v>2510</v>
      </c>
      <c r="E7101">
        <f t="shared" si="323"/>
        <v>1.3513513513513514E-2</v>
      </c>
      <c r="F7101">
        <v>1</v>
      </c>
      <c r="G7101">
        <f t="shared" si="324"/>
        <v>2.2810333672477277</v>
      </c>
      <c r="H7101">
        <f t="shared" si="325"/>
        <v>7.0976667946576005E-2</v>
      </c>
      <c r="I7101">
        <v>7.0976667946576089E-2</v>
      </c>
    </row>
    <row r="7102" spans="1:9" x14ac:dyDescent="0.25">
      <c r="A7102">
        <v>352</v>
      </c>
      <c r="B7102" t="s">
        <v>2501</v>
      </c>
      <c r="C7102" t="s">
        <v>10</v>
      </c>
      <c r="D7102" t="s">
        <v>2511</v>
      </c>
      <c r="E7102">
        <f t="shared" si="323"/>
        <v>1.3513513513513514E-2</v>
      </c>
      <c r="F7102">
        <v>1</v>
      </c>
      <c r="G7102">
        <f t="shared" si="324"/>
        <v>2.2810333672477277</v>
      </c>
      <c r="H7102">
        <f t="shared" si="325"/>
        <v>7.0976667946576005E-2</v>
      </c>
      <c r="I7102">
        <v>7.0976667946576089E-2</v>
      </c>
    </row>
    <row r="7103" spans="1:9" x14ac:dyDescent="0.25">
      <c r="A7103">
        <v>352</v>
      </c>
      <c r="B7103" t="s">
        <v>2501</v>
      </c>
      <c r="C7103" t="s">
        <v>10</v>
      </c>
      <c r="D7103" t="s">
        <v>2512</v>
      </c>
      <c r="E7103">
        <f t="shared" si="323"/>
        <v>1.3513513513513514E-2</v>
      </c>
      <c r="F7103">
        <v>1</v>
      </c>
      <c r="G7103">
        <f t="shared" si="324"/>
        <v>2.2810333672477277</v>
      </c>
      <c r="H7103">
        <f t="shared" si="325"/>
        <v>7.0976667946576005E-2</v>
      </c>
      <c r="I7103">
        <v>7.0976667946576089E-2</v>
      </c>
    </row>
    <row r="7104" spans="1:9" x14ac:dyDescent="0.25">
      <c r="A7104">
        <v>352</v>
      </c>
      <c r="B7104" t="s">
        <v>2501</v>
      </c>
      <c r="C7104" t="s">
        <v>10</v>
      </c>
      <c r="D7104" t="s">
        <v>2513</v>
      </c>
      <c r="E7104">
        <f t="shared" si="323"/>
        <v>1.3513513513513514E-2</v>
      </c>
      <c r="F7104">
        <v>1</v>
      </c>
      <c r="G7104">
        <f t="shared" si="324"/>
        <v>2.2810333672477277</v>
      </c>
      <c r="H7104">
        <f t="shared" si="325"/>
        <v>7.0976667946576005E-2</v>
      </c>
      <c r="I7104">
        <v>7.0976667946576089E-2</v>
      </c>
    </row>
    <row r="7105" spans="1:9" x14ac:dyDescent="0.25">
      <c r="A7105">
        <v>352</v>
      </c>
      <c r="B7105" t="s">
        <v>2501</v>
      </c>
      <c r="C7105" t="s">
        <v>10</v>
      </c>
      <c r="D7105" t="s">
        <v>2514</v>
      </c>
      <c r="E7105">
        <f t="shared" si="323"/>
        <v>1.3513513513513514E-2</v>
      </c>
      <c r="F7105">
        <v>1</v>
      </c>
      <c r="G7105">
        <f t="shared" si="324"/>
        <v>2.2810333672477277</v>
      </c>
      <c r="H7105">
        <f t="shared" si="325"/>
        <v>7.0976667946576005E-2</v>
      </c>
      <c r="I7105">
        <v>7.0976667946576089E-2</v>
      </c>
    </row>
    <row r="7106" spans="1:9" x14ac:dyDescent="0.25">
      <c r="A7106">
        <v>352</v>
      </c>
      <c r="B7106" t="s">
        <v>2501</v>
      </c>
      <c r="C7106" t="s">
        <v>10</v>
      </c>
      <c r="D7106" t="s">
        <v>2515</v>
      </c>
      <c r="E7106">
        <f t="shared" si="323"/>
        <v>1.3513513513513514E-2</v>
      </c>
      <c r="F7106">
        <v>1</v>
      </c>
      <c r="G7106">
        <f t="shared" si="324"/>
        <v>2.2810333672477277</v>
      </c>
      <c r="H7106">
        <f t="shared" si="325"/>
        <v>7.0976667946576005E-2</v>
      </c>
      <c r="I7106">
        <v>7.0976667946576089E-2</v>
      </c>
    </row>
    <row r="7107" spans="1:9" x14ac:dyDescent="0.25">
      <c r="A7107">
        <v>352</v>
      </c>
      <c r="B7107" t="s">
        <v>2501</v>
      </c>
      <c r="C7107" t="s">
        <v>10</v>
      </c>
      <c r="D7107" t="s">
        <v>2516</v>
      </c>
      <c r="E7107">
        <f t="shared" si="323"/>
        <v>1.3513513513513514E-2</v>
      </c>
      <c r="F7107">
        <v>1</v>
      </c>
      <c r="G7107">
        <f t="shared" si="324"/>
        <v>2.2810333672477277</v>
      </c>
      <c r="H7107">
        <f t="shared" si="325"/>
        <v>7.0976667946576005E-2</v>
      </c>
      <c r="I7107">
        <v>7.0976667946576089E-2</v>
      </c>
    </row>
    <row r="7108" spans="1:9" x14ac:dyDescent="0.25">
      <c r="A7108">
        <v>352</v>
      </c>
      <c r="B7108" t="s">
        <v>2501</v>
      </c>
      <c r="C7108" t="s">
        <v>10</v>
      </c>
      <c r="D7108" t="s">
        <v>2517</v>
      </c>
      <c r="E7108">
        <f t="shared" si="323"/>
        <v>1.3513513513513514E-2</v>
      </c>
      <c r="F7108">
        <v>1</v>
      </c>
      <c r="G7108">
        <f t="shared" si="324"/>
        <v>2.2810333672477277</v>
      </c>
      <c r="H7108">
        <f t="shared" si="325"/>
        <v>7.0976667946576005E-2</v>
      </c>
      <c r="I7108">
        <v>7.0976667946576089E-2</v>
      </c>
    </row>
    <row r="7109" spans="1:9" x14ac:dyDescent="0.25">
      <c r="A7109">
        <v>352</v>
      </c>
      <c r="B7109" t="s">
        <v>2501</v>
      </c>
      <c r="C7109" t="s">
        <v>10</v>
      </c>
      <c r="D7109" t="s">
        <v>2518</v>
      </c>
      <c r="E7109">
        <f t="shared" si="323"/>
        <v>1.3513513513513514E-2</v>
      </c>
      <c r="F7109">
        <v>1</v>
      </c>
      <c r="G7109">
        <f t="shared" si="324"/>
        <v>2.2810333672477277</v>
      </c>
      <c r="H7109">
        <f t="shared" si="325"/>
        <v>7.0976667946576005E-2</v>
      </c>
      <c r="I7109">
        <v>7.0976667946576089E-2</v>
      </c>
    </row>
    <row r="7110" spans="1:9" x14ac:dyDescent="0.25">
      <c r="A7110">
        <v>352</v>
      </c>
      <c r="B7110" t="s">
        <v>2501</v>
      </c>
      <c r="C7110" t="s">
        <v>10</v>
      </c>
      <c r="D7110" t="s">
        <v>2519</v>
      </c>
      <c r="E7110">
        <f t="shared" si="323"/>
        <v>1.3513513513513514E-2</v>
      </c>
      <c r="F7110">
        <v>1</v>
      </c>
      <c r="G7110">
        <f t="shared" si="324"/>
        <v>2.2810333672477277</v>
      </c>
      <c r="H7110">
        <f t="shared" si="325"/>
        <v>7.0976667946576005E-2</v>
      </c>
      <c r="I7110">
        <v>7.0976667946576089E-2</v>
      </c>
    </row>
    <row r="7111" spans="1:9" x14ac:dyDescent="0.25">
      <c r="A7111">
        <v>352</v>
      </c>
      <c r="B7111" t="s">
        <v>2501</v>
      </c>
      <c r="C7111" t="s">
        <v>10</v>
      </c>
      <c r="D7111" t="s">
        <v>2520</v>
      </c>
      <c r="E7111">
        <f t="shared" si="323"/>
        <v>1.3513513513513514E-2</v>
      </c>
      <c r="F7111">
        <v>1</v>
      </c>
      <c r="G7111">
        <f t="shared" si="324"/>
        <v>2.2810333672477277</v>
      </c>
      <c r="H7111">
        <f t="shared" si="325"/>
        <v>7.0976667946576005E-2</v>
      </c>
      <c r="I7111">
        <v>7.0976667946576089E-2</v>
      </c>
    </row>
    <row r="7112" spans="1:9" x14ac:dyDescent="0.25">
      <c r="A7112">
        <v>352</v>
      </c>
      <c r="B7112" t="s">
        <v>2501</v>
      </c>
      <c r="C7112" t="s">
        <v>10</v>
      </c>
      <c r="D7112" t="s">
        <v>553</v>
      </c>
      <c r="E7112">
        <f>2/74</f>
        <v>2.7027027027027029E-2</v>
      </c>
      <c r="F7112">
        <v>2</v>
      </c>
      <c r="G7112">
        <f>LOG(382/(2+1))</f>
        <v>2.1049421081920463</v>
      </c>
      <c r="H7112">
        <f>0.027027027027027*4.84680831993846</f>
        <v>0.13099481945779609</v>
      </c>
      <c r="I7112">
        <v>0.1309948194577964</v>
      </c>
    </row>
    <row r="7113" spans="1:9" x14ac:dyDescent="0.25">
      <c r="A7113">
        <v>352</v>
      </c>
      <c r="B7113" t="s">
        <v>2501</v>
      </c>
      <c r="C7113" t="s">
        <v>10</v>
      </c>
      <c r="D7113" t="s">
        <v>1042</v>
      </c>
      <c r="E7113">
        <f t="shared" ref="E7113:E7132" si="326">1/74</f>
        <v>1.3513513513513514E-2</v>
      </c>
      <c r="F7113">
        <v>3</v>
      </c>
      <c r="G7113">
        <f>LOG(382/(3+1))</f>
        <v>1.9800033715837464</v>
      </c>
      <c r="H7113">
        <f>0.0135135135135135*4.55912624748668</f>
        <v>6.1609814155225345E-2</v>
      </c>
      <c r="I7113">
        <v>6.160981415522547E-2</v>
      </c>
    </row>
    <row r="7114" spans="1:9" x14ac:dyDescent="0.25">
      <c r="A7114">
        <v>352</v>
      </c>
      <c r="B7114" t="s">
        <v>2501</v>
      </c>
      <c r="C7114" t="s">
        <v>10</v>
      </c>
      <c r="D7114" t="s">
        <v>639</v>
      </c>
      <c r="E7114">
        <f t="shared" si="326"/>
        <v>1.3513513513513514E-2</v>
      </c>
      <c r="F7114">
        <v>2</v>
      </c>
      <c r="G7114">
        <f>LOG(382/(2+1))</f>
        <v>2.1049421081920463</v>
      </c>
      <c r="H7114">
        <f>0.0135135135135135*4.84680831993846</f>
        <v>6.5497409728898046E-2</v>
      </c>
      <c r="I7114">
        <v>6.5497409728898184E-2</v>
      </c>
    </row>
    <row r="7115" spans="1:9" x14ac:dyDescent="0.25">
      <c r="A7115">
        <v>352</v>
      </c>
      <c r="B7115" t="s">
        <v>2501</v>
      </c>
      <c r="C7115" t="s">
        <v>10</v>
      </c>
      <c r="D7115" t="s">
        <v>384</v>
      </c>
      <c r="E7115">
        <f t="shared" si="326"/>
        <v>1.3513513513513514E-2</v>
      </c>
      <c r="F7115">
        <v>5</v>
      </c>
      <c r="G7115">
        <f>LOG(382/(5+1))</f>
        <v>1.803912112528065</v>
      </c>
      <c r="H7115">
        <f>0.0135135135135135*4.15366113937852</f>
        <v>5.613055593754751E-2</v>
      </c>
      <c r="I7115">
        <v>5.6130555937547573E-2</v>
      </c>
    </row>
    <row r="7116" spans="1:9" x14ac:dyDescent="0.25">
      <c r="A7116">
        <v>352</v>
      </c>
      <c r="B7116" t="s">
        <v>2501</v>
      </c>
      <c r="C7116" t="s">
        <v>10</v>
      </c>
      <c r="D7116" t="s">
        <v>2521</v>
      </c>
      <c r="E7116">
        <f t="shared" si="326"/>
        <v>1.3513513513513514E-2</v>
      </c>
      <c r="F7116">
        <v>3</v>
      </c>
      <c r="G7116">
        <f>LOG(382/(3+1))</f>
        <v>1.9800033715837464</v>
      </c>
      <c r="H7116">
        <f>0.0135135135135135*4.55912624748668</f>
        <v>6.1609814155225345E-2</v>
      </c>
      <c r="I7116">
        <v>6.160981415522547E-2</v>
      </c>
    </row>
    <row r="7117" spans="1:9" x14ac:dyDescent="0.25">
      <c r="A7117">
        <v>352</v>
      </c>
      <c r="B7117" t="s">
        <v>2501</v>
      </c>
      <c r="C7117" t="s">
        <v>10</v>
      </c>
      <c r="D7117" t="s">
        <v>1522</v>
      </c>
      <c r="E7117">
        <f t="shared" si="326"/>
        <v>1.3513513513513514E-2</v>
      </c>
      <c r="F7117">
        <v>2</v>
      </c>
      <c r="G7117">
        <f>LOG(382/(2+1))</f>
        <v>2.1049421081920463</v>
      </c>
      <c r="H7117">
        <f>0.0135135135135135*4.84680831993846</f>
        <v>6.5497409728898046E-2</v>
      </c>
      <c r="I7117">
        <v>6.5497409728898184E-2</v>
      </c>
    </row>
    <row r="7118" spans="1:9" x14ac:dyDescent="0.25">
      <c r="A7118">
        <v>352</v>
      </c>
      <c r="B7118" t="s">
        <v>2501</v>
      </c>
      <c r="C7118" t="s">
        <v>10</v>
      </c>
      <c r="D7118" t="s">
        <v>2522</v>
      </c>
      <c r="E7118">
        <f t="shared" si="326"/>
        <v>1.3513513513513514E-2</v>
      </c>
      <c r="F7118">
        <v>1</v>
      </c>
      <c r="G7118">
        <f>LOG(382/(1+1))</f>
        <v>2.2810333672477277</v>
      </c>
      <c r="H7118">
        <f>0.0135135135135135*5.25227342804663</f>
        <v>7.0976667946576005E-2</v>
      </c>
      <c r="I7118">
        <v>7.0976667946576089E-2</v>
      </c>
    </row>
    <row r="7119" spans="1:9" x14ac:dyDescent="0.25">
      <c r="A7119">
        <v>352</v>
      </c>
      <c r="B7119" t="s">
        <v>2501</v>
      </c>
      <c r="C7119" t="s">
        <v>10</v>
      </c>
      <c r="D7119" t="s">
        <v>2523</v>
      </c>
      <c r="E7119">
        <f t="shared" si="326"/>
        <v>1.3513513513513514E-2</v>
      </c>
      <c r="F7119">
        <v>1</v>
      </c>
      <c r="G7119">
        <f>LOG(382/(1+1))</f>
        <v>2.2810333672477277</v>
      </c>
      <c r="H7119">
        <f>0.0135135135135135*5.25227342804663</f>
        <v>7.0976667946576005E-2</v>
      </c>
      <c r="I7119">
        <v>7.0976667946576089E-2</v>
      </c>
    </row>
    <row r="7120" spans="1:9" x14ac:dyDescent="0.25">
      <c r="A7120">
        <v>352</v>
      </c>
      <c r="B7120" t="s">
        <v>2501</v>
      </c>
      <c r="C7120" t="s">
        <v>10</v>
      </c>
      <c r="D7120" t="s">
        <v>2524</v>
      </c>
      <c r="E7120">
        <f t="shared" si="326"/>
        <v>1.3513513513513514E-2</v>
      </c>
      <c r="F7120">
        <v>1</v>
      </c>
      <c r="G7120">
        <f>LOG(382/(1+1))</f>
        <v>2.2810333672477277</v>
      </c>
      <c r="H7120">
        <f>0.0135135135135135*5.25227342804663</f>
        <v>7.0976667946576005E-2</v>
      </c>
      <c r="I7120">
        <v>7.0976667946576089E-2</v>
      </c>
    </row>
    <row r="7121" spans="1:9" x14ac:dyDescent="0.25">
      <c r="A7121">
        <v>352</v>
      </c>
      <c r="B7121" t="s">
        <v>2501</v>
      </c>
      <c r="C7121" t="s">
        <v>10</v>
      </c>
      <c r="D7121" t="s">
        <v>2525</v>
      </c>
      <c r="E7121">
        <f t="shared" si="326"/>
        <v>1.3513513513513514E-2</v>
      </c>
      <c r="F7121">
        <v>1</v>
      </c>
      <c r="G7121">
        <f>LOG(382/(1+1))</f>
        <v>2.2810333672477277</v>
      </c>
      <c r="H7121">
        <f>0.0135135135135135*5.25227342804663</f>
        <v>7.0976667946576005E-2</v>
      </c>
      <c r="I7121">
        <v>7.0976667946576089E-2</v>
      </c>
    </row>
    <row r="7122" spans="1:9" x14ac:dyDescent="0.25">
      <c r="A7122">
        <v>352</v>
      </c>
      <c r="B7122" t="s">
        <v>2501</v>
      </c>
      <c r="C7122" t="s">
        <v>10</v>
      </c>
      <c r="D7122" t="s">
        <v>2526</v>
      </c>
      <c r="E7122">
        <f t="shared" si="326"/>
        <v>1.3513513513513514E-2</v>
      </c>
      <c r="F7122">
        <v>2</v>
      </c>
      <c r="G7122">
        <f>LOG(382/(2+1))</f>
        <v>2.1049421081920463</v>
      </c>
      <c r="H7122">
        <f>0.0135135135135135*4.84680831993846</f>
        <v>6.5497409728898046E-2</v>
      </c>
      <c r="I7122">
        <v>6.5497409728898184E-2</v>
      </c>
    </row>
    <row r="7123" spans="1:9" x14ac:dyDescent="0.25">
      <c r="A7123">
        <v>352</v>
      </c>
      <c r="B7123" t="s">
        <v>2501</v>
      </c>
      <c r="C7123" t="s">
        <v>10</v>
      </c>
      <c r="D7123" t="s">
        <v>2527</v>
      </c>
      <c r="E7123">
        <f t="shared" si="326"/>
        <v>1.3513513513513514E-2</v>
      </c>
      <c r="F7123">
        <v>1</v>
      </c>
      <c r="G7123">
        <f>LOG(382/(1+1))</f>
        <v>2.2810333672477277</v>
      </c>
      <c r="H7123">
        <f>0.0135135135135135*5.25227342804663</f>
        <v>7.0976667946576005E-2</v>
      </c>
      <c r="I7123">
        <v>7.0976667946576089E-2</v>
      </c>
    </row>
    <row r="7124" spans="1:9" x14ac:dyDescent="0.25">
      <c r="A7124">
        <v>352</v>
      </c>
      <c r="B7124" t="s">
        <v>2501</v>
      </c>
      <c r="C7124" t="s">
        <v>10</v>
      </c>
      <c r="D7124" t="s">
        <v>260</v>
      </c>
      <c r="E7124">
        <f t="shared" si="326"/>
        <v>1.3513513513513514E-2</v>
      </c>
      <c r="F7124">
        <v>31</v>
      </c>
      <c r="G7124">
        <f>LOG(382/(31+1))</f>
        <v>1.0769133845918029</v>
      </c>
      <c r="H7124">
        <f>0.0135135135135135*2.47968470580684</f>
        <v>3.3509252781173476E-2</v>
      </c>
      <c r="I7124">
        <v>3.3509252781173643E-2</v>
      </c>
    </row>
    <row r="7125" spans="1:9" x14ac:dyDescent="0.25">
      <c r="A7125">
        <v>352</v>
      </c>
      <c r="B7125" t="s">
        <v>2501</v>
      </c>
      <c r="C7125" t="s">
        <v>10</v>
      </c>
      <c r="D7125" t="s">
        <v>243</v>
      </c>
      <c r="E7125">
        <f t="shared" si="326"/>
        <v>1.3513513513513514E-2</v>
      </c>
      <c r="F7125">
        <v>131</v>
      </c>
      <c r="G7125">
        <f>LOG(382/(131+1))</f>
        <v>0.46148943170585888</v>
      </c>
      <c r="H7125">
        <f>0.0135135135135135*1.0626186860202</f>
        <v>1.4359711973245932E-2</v>
      </c>
      <c r="I7125">
        <v>1.4359711973246E-2</v>
      </c>
    </row>
    <row r="7126" spans="1:9" x14ac:dyDescent="0.25">
      <c r="A7126">
        <v>352</v>
      </c>
      <c r="B7126" t="s">
        <v>2501</v>
      </c>
      <c r="C7126" t="s">
        <v>10</v>
      </c>
      <c r="D7126" t="s">
        <v>237</v>
      </c>
      <c r="E7126">
        <f t="shared" si="326"/>
        <v>1.3513513513513514E-2</v>
      </c>
      <c r="F7126">
        <v>138</v>
      </c>
      <c r="G7126">
        <f>LOG(382/(138+1))</f>
        <v>0.43904856265761361</v>
      </c>
      <c r="H7126">
        <f>0.0135135135135135*1.01094667547588</f>
        <v>1.3661441560484851E-2</v>
      </c>
      <c r="I7126">
        <v>1.366144156048491E-2</v>
      </c>
    </row>
    <row r="7127" spans="1:9" x14ac:dyDescent="0.25">
      <c r="A7127">
        <v>352</v>
      </c>
      <c r="B7127" t="s">
        <v>2501</v>
      </c>
      <c r="C7127" t="s">
        <v>10</v>
      </c>
      <c r="D7127" t="s">
        <v>881</v>
      </c>
      <c r="E7127">
        <f t="shared" si="326"/>
        <v>1.3513513513513514E-2</v>
      </c>
      <c r="F7127">
        <v>15</v>
      </c>
      <c r="G7127">
        <f>LOG(382/(15+1))</f>
        <v>1.3779433802557839</v>
      </c>
      <c r="H7127">
        <f>0.0135135135135135*3.17283188636679</f>
        <v>4.287610657252415E-2</v>
      </c>
      <c r="I7127">
        <v>4.2876106572524247E-2</v>
      </c>
    </row>
    <row r="7128" spans="1:9" x14ac:dyDescent="0.25">
      <c r="A7128">
        <v>352</v>
      </c>
      <c r="B7128" t="s">
        <v>2501</v>
      </c>
      <c r="C7128" t="s">
        <v>10</v>
      </c>
      <c r="D7128" t="s">
        <v>1025</v>
      </c>
      <c r="E7128">
        <f t="shared" si="326"/>
        <v>1.3513513513513514E-2</v>
      </c>
      <c r="F7128">
        <v>7</v>
      </c>
      <c r="G7128">
        <f>LOG(382/(7+1))</f>
        <v>1.6789733759197651</v>
      </c>
      <c r="H7128">
        <f>0.0135135135135135*3.86597906692673</f>
        <v>5.2242960363874678E-2</v>
      </c>
      <c r="I7128">
        <v>5.2242960363874859E-2</v>
      </c>
    </row>
    <row r="7129" spans="1:9" x14ac:dyDescent="0.25">
      <c r="A7129">
        <v>352</v>
      </c>
      <c r="B7129" t="s">
        <v>2501</v>
      </c>
      <c r="C7129" t="s">
        <v>10</v>
      </c>
      <c r="D7129" t="s">
        <v>263</v>
      </c>
      <c r="E7129">
        <f t="shared" si="326"/>
        <v>1.3513513513513514E-2</v>
      </c>
      <c r="F7129">
        <v>41</v>
      </c>
      <c r="G7129">
        <f>LOG(382/(41+1))</f>
        <v>0.95881407251380824</v>
      </c>
      <c r="H7129">
        <f>0.0135135135135135*2.2077509903232</f>
        <v>2.9834472842205379E-2</v>
      </c>
      <c r="I7129">
        <v>2.9834472842205501E-2</v>
      </c>
    </row>
    <row r="7130" spans="1:9" x14ac:dyDescent="0.25">
      <c r="A7130">
        <v>352</v>
      </c>
      <c r="B7130" t="s">
        <v>2501</v>
      </c>
      <c r="C7130" t="s">
        <v>10</v>
      </c>
      <c r="D7130" t="s">
        <v>836</v>
      </c>
      <c r="E7130">
        <f t="shared" si="326"/>
        <v>1.3513513513513514E-2</v>
      </c>
      <c r="F7130">
        <v>21</v>
      </c>
      <c r="G7130">
        <f>LOG(382/(21+1))</f>
        <v>1.2396406820895025</v>
      </c>
      <c r="H7130">
        <f>0.0135135135135135*2.85437815524825</f>
        <v>3.8572677773624962E-2</v>
      </c>
      <c r="I7130">
        <v>3.8572677773625129E-2</v>
      </c>
    </row>
    <row r="7131" spans="1:9" x14ac:dyDescent="0.25">
      <c r="A7131">
        <v>352</v>
      </c>
      <c r="B7131" t="s">
        <v>2501</v>
      </c>
      <c r="C7131" t="s">
        <v>10</v>
      </c>
      <c r="D7131" t="s">
        <v>2528</v>
      </c>
      <c r="E7131">
        <f t="shared" si="326"/>
        <v>1.3513513513513514E-2</v>
      </c>
      <c r="F7131">
        <v>1</v>
      </c>
      <c r="G7131">
        <f>LOG(382/(1+1))</f>
        <v>2.2810333672477277</v>
      </c>
      <c r="H7131">
        <f>0.0135135135135135*5.25227342804663</f>
        <v>7.0976667946576005E-2</v>
      </c>
      <c r="I7131">
        <v>7.0976667946576089E-2</v>
      </c>
    </row>
    <row r="7132" spans="1:9" x14ac:dyDescent="0.25">
      <c r="A7132">
        <v>352</v>
      </c>
      <c r="B7132" t="s">
        <v>2501</v>
      </c>
      <c r="C7132" t="s">
        <v>10</v>
      </c>
      <c r="D7132" t="s">
        <v>884</v>
      </c>
      <c r="E7132">
        <f t="shared" si="326"/>
        <v>1.3513513513513514E-2</v>
      </c>
      <c r="F7132">
        <v>6</v>
      </c>
      <c r="G7132">
        <f>LOG(382/(6+1))</f>
        <v>1.736965322897452</v>
      </c>
      <c r="H7132">
        <f>0.0135135135135135*3.99951045955126</f>
        <v>5.4047438642584544E-2</v>
      </c>
      <c r="I7132">
        <v>5.4047438642584621E-2</v>
      </c>
    </row>
    <row r="7133" spans="1:9" x14ac:dyDescent="0.25">
      <c r="A7133">
        <v>353</v>
      </c>
      <c r="B7133" t="s">
        <v>2529</v>
      </c>
      <c r="C7133" t="s">
        <v>10</v>
      </c>
      <c r="D7133" t="s">
        <v>315</v>
      </c>
      <c r="E7133">
        <f>6/133</f>
        <v>4.5112781954887216E-2</v>
      </c>
      <c r="F7133">
        <v>55</v>
      </c>
      <c r="G7133">
        <f>LOG(382/(55+1))</f>
        <v>0.83387533590550833</v>
      </c>
      <c r="H7133">
        <f>0.0451127819548872*1.92006891787142</f>
        <v>8.6619650430289602E-2</v>
      </c>
      <c r="I7133">
        <v>8.661965043028988E-2</v>
      </c>
    </row>
    <row r="7134" spans="1:9" x14ac:dyDescent="0.25">
      <c r="A7134">
        <v>353</v>
      </c>
      <c r="B7134" t="s">
        <v>2529</v>
      </c>
      <c r="C7134" t="s">
        <v>10</v>
      </c>
      <c r="D7134" t="s">
        <v>40</v>
      </c>
      <c r="E7134">
        <f>9/133</f>
        <v>6.7669172932330823E-2</v>
      </c>
      <c r="F7134">
        <v>159</v>
      </c>
      <c r="G7134">
        <f>LOG(382/(159+1))</f>
        <v>0.377943380255784</v>
      </c>
      <c r="H7134">
        <f>0.0676691729323308*0.870246793372748</f>
        <v>5.8888880754546832E-2</v>
      </c>
      <c r="I7134">
        <v>5.8888880754546881E-2</v>
      </c>
    </row>
    <row r="7135" spans="1:9" x14ac:dyDescent="0.25">
      <c r="A7135">
        <v>353</v>
      </c>
      <c r="B7135" t="s">
        <v>2529</v>
      </c>
      <c r="C7135" t="s">
        <v>10</v>
      </c>
      <c r="D7135" t="s">
        <v>41</v>
      </c>
      <c r="E7135">
        <f>9/133</f>
        <v>6.7669172932330823E-2</v>
      </c>
      <c r="F7135">
        <v>195</v>
      </c>
      <c r="G7135">
        <f>LOG(382/(195+1))</f>
        <v>0.28980729155523272</v>
      </c>
      <c r="H7135">
        <f>0.0676691729323308*0.667305949376058</f>
        <v>4.5156041687101647E-2</v>
      </c>
      <c r="I7135">
        <v>4.5156041687101668E-2</v>
      </c>
    </row>
    <row r="7136" spans="1:9" x14ac:dyDescent="0.25">
      <c r="A7136">
        <v>353</v>
      </c>
      <c r="B7136" t="s">
        <v>2529</v>
      </c>
      <c r="C7136" t="s">
        <v>10</v>
      </c>
      <c r="D7136" t="s">
        <v>1253</v>
      </c>
      <c r="E7136">
        <f>6/133</f>
        <v>4.5112781954887216E-2</v>
      </c>
      <c r="F7136">
        <v>2</v>
      </c>
      <c r="G7136">
        <f>LOG(382/(2+1))</f>
        <v>2.1049421081920463</v>
      </c>
      <c r="H7136">
        <f>0.0451127819548872*4.84680831993846</f>
        <v>0.21865300691451692</v>
      </c>
      <c r="I7136">
        <v>0.2186530069145172</v>
      </c>
    </row>
    <row r="7137" spans="1:9" x14ac:dyDescent="0.25">
      <c r="A7137">
        <v>353</v>
      </c>
      <c r="B7137" t="s">
        <v>2529</v>
      </c>
      <c r="C7137" t="s">
        <v>10</v>
      </c>
      <c r="D7137" t="s">
        <v>42</v>
      </c>
      <c r="E7137">
        <f>1/133</f>
        <v>7.5187969924812026E-3</v>
      </c>
      <c r="F7137">
        <v>251</v>
      </c>
      <c r="G7137">
        <f>LOG(382/(251+1))</f>
        <v>0.18066282213016463</v>
      </c>
      <c r="H7137">
        <f>0.0075187969924812*0.415991521095151</f>
        <v>3.1277557977079009E-3</v>
      </c>
      <c r="I7137">
        <v>3.1277557977079091E-3</v>
      </c>
    </row>
    <row r="7138" spans="1:9" x14ac:dyDescent="0.25">
      <c r="A7138">
        <v>353</v>
      </c>
      <c r="B7138" t="s">
        <v>2529</v>
      </c>
      <c r="C7138" t="s">
        <v>10</v>
      </c>
      <c r="D7138" t="s">
        <v>17</v>
      </c>
      <c r="E7138">
        <f>1/133</f>
        <v>7.5187969924812026E-3</v>
      </c>
      <c r="F7138">
        <v>169</v>
      </c>
      <c r="G7138">
        <f>LOG(382/(169+1))</f>
        <v>0.3516144415334348</v>
      </c>
      <c r="H7138">
        <f>0.0075187969924812*0.809622171556313</f>
        <v>6.087384748543704E-3</v>
      </c>
      <c r="I7138">
        <v>6.08738474854371E-3</v>
      </c>
    </row>
    <row r="7139" spans="1:9" x14ac:dyDescent="0.25">
      <c r="A7139">
        <v>353</v>
      </c>
      <c r="B7139" t="s">
        <v>2529</v>
      </c>
      <c r="C7139" t="s">
        <v>10</v>
      </c>
      <c r="D7139" t="s">
        <v>2530</v>
      </c>
      <c r="E7139">
        <f>3/133</f>
        <v>2.2556390977443608E-2</v>
      </c>
      <c r="F7139">
        <v>5</v>
      </c>
      <c r="G7139">
        <f>LOG(382/(5+1))</f>
        <v>1.803912112528065</v>
      </c>
      <c r="H7139">
        <f>0.0225563909774436*4.15366113937852</f>
        <v>9.3691604647635748E-2</v>
      </c>
      <c r="I7139">
        <v>9.3691604647635776E-2</v>
      </c>
    </row>
    <row r="7140" spans="1:9" x14ac:dyDescent="0.25">
      <c r="A7140">
        <v>353</v>
      </c>
      <c r="B7140" t="s">
        <v>2529</v>
      </c>
      <c r="C7140" t="s">
        <v>10</v>
      </c>
      <c r="D7140" t="s">
        <v>19</v>
      </c>
      <c r="E7140">
        <f>1/133</f>
        <v>7.5187969924812026E-3</v>
      </c>
      <c r="F7140">
        <v>220</v>
      </c>
      <c r="G7140">
        <f>LOG(382/(220+1))</f>
        <v>0.23767108922659805</v>
      </c>
      <c r="H7140">
        <f>0.0075187969924812*0.547257907088822</f>
        <v>4.1147211059309914E-3</v>
      </c>
      <c r="I7140">
        <v>4.1147211059309949E-3</v>
      </c>
    </row>
    <row r="7141" spans="1:9" x14ac:dyDescent="0.25">
      <c r="A7141">
        <v>353</v>
      </c>
      <c r="B7141" t="s">
        <v>2529</v>
      </c>
      <c r="C7141" t="s">
        <v>10</v>
      </c>
      <c r="D7141" t="s">
        <v>22</v>
      </c>
      <c r="E7141">
        <f>1/133</f>
        <v>7.5187969924812026E-3</v>
      </c>
      <c r="F7141">
        <v>259</v>
      </c>
      <c r="G7141">
        <f>LOG(382/(259+1))</f>
        <v>0.16709001494089079</v>
      </c>
      <c r="H7141">
        <f>0.0075187969924812*0.384738977591047</f>
        <v>2.8927742676018563E-3</v>
      </c>
      <c r="I7141">
        <v>2.8927742676018611E-3</v>
      </c>
    </row>
    <row r="7142" spans="1:9" x14ac:dyDescent="0.25">
      <c r="A7142">
        <v>353</v>
      </c>
      <c r="B7142" t="s">
        <v>2529</v>
      </c>
      <c r="C7142" t="s">
        <v>10</v>
      </c>
      <c r="D7142" t="s">
        <v>23</v>
      </c>
      <c r="E7142">
        <f>1/133</f>
        <v>7.5187969924812026E-3</v>
      </c>
      <c r="F7142">
        <v>275</v>
      </c>
      <c r="G7142">
        <f>LOG(382/(275+1))</f>
        <v>0.14115428084649101</v>
      </c>
      <c r="H7142">
        <f>0.0075187969924812*0.325019742889425</f>
        <v>2.4437574653340213E-3</v>
      </c>
      <c r="I7142">
        <v>2.443757465334023E-3</v>
      </c>
    </row>
    <row r="7143" spans="1:9" x14ac:dyDescent="0.25">
      <c r="A7143">
        <v>353</v>
      </c>
      <c r="B7143" t="s">
        <v>2529</v>
      </c>
      <c r="C7143" t="s">
        <v>10</v>
      </c>
      <c r="D7143" t="s">
        <v>2531</v>
      </c>
      <c r="E7143">
        <f>1/133</f>
        <v>7.5187969924812026E-3</v>
      </c>
      <c r="F7143">
        <v>2</v>
      </c>
      <c r="G7143">
        <f>LOG(382/(2+1))</f>
        <v>2.1049421081920463</v>
      </c>
      <c r="H7143">
        <f>0.0075187969924812*4.84680831993846</f>
        <v>3.6442167819086151E-2</v>
      </c>
      <c r="I7143">
        <v>3.6442167819086213E-2</v>
      </c>
    </row>
    <row r="7144" spans="1:9" x14ac:dyDescent="0.25">
      <c r="A7144">
        <v>353</v>
      </c>
      <c r="B7144" t="s">
        <v>2529</v>
      </c>
      <c r="C7144" t="s">
        <v>10</v>
      </c>
      <c r="D7144" t="s">
        <v>76</v>
      </c>
      <c r="E7144">
        <f>2/133</f>
        <v>1.5037593984962405E-2</v>
      </c>
      <c r="F7144">
        <v>140</v>
      </c>
      <c r="G7144">
        <f>LOG(382/(140+1))</f>
        <v>0.43284425025632883</v>
      </c>
      <c r="H7144">
        <f>0.0150375939849624*0.996660718228407</f>
        <v>1.4987379221479798E-2</v>
      </c>
      <c r="I7144">
        <v>1.49873792214798E-2</v>
      </c>
    </row>
    <row r="7145" spans="1:9" x14ac:dyDescent="0.25">
      <c r="A7145">
        <v>353</v>
      </c>
      <c r="B7145" t="s">
        <v>2529</v>
      </c>
      <c r="C7145" t="s">
        <v>10</v>
      </c>
      <c r="D7145" t="s">
        <v>939</v>
      </c>
      <c r="E7145">
        <f>2/133</f>
        <v>1.5037593984962405E-2</v>
      </c>
      <c r="F7145">
        <v>35</v>
      </c>
      <c r="G7145">
        <f>LOG(382/(35+1))</f>
        <v>1.0257608621444214</v>
      </c>
      <c r="H7145">
        <f>0.0150375939849624*2.36190167015046</f>
        <v>3.5517318348127207E-2</v>
      </c>
      <c r="I7145">
        <v>3.551731834812729E-2</v>
      </c>
    </row>
    <row r="7146" spans="1:9" x14ac:dyDescent="0.25">
      <c r="A7146">
        <v>353</v>
      </c>
      <c r="B7146" t="s">
        <v>2529</v>
      </c>
      <c r="C7146" t="s">
        <v>10</v>
      </c>
      <c r="D7146" t="s">
        <v>11</v>
      </c>
      <c r="E7146">
        <f>2/133</f>
        <v>1.5037593984962405E-2</v>
      </c>
      <c r="F7146">
        <v>83</v>
      </c>
      <c r="G7146">
        <f>LOG(382/(83+1))</f>
        <v>0.65778407684982709</v>
      </c>
      <c r="H7146">
        <f>0.0150375939849624*1.51460380976326</f>
        <v>2.2775997139297132E-2</v>
      </c>
      <c r="I7146">
        <v>2.277599713929716E-2</v>
      </c>
    </row>
    <row r="7147" spans="1:9" x14ac:dyDescent="0.25">
      <c r="A7147">
        <v>353</v>
      </c>
      <c r="B7147" t="s">
        <v>2529</v>
      </c>
      <c r="C7147" t="s">
        <v>10</v>
      </c>
      <c r="D7147" t="s">
        <v>1534</v>
      </c>
      <c r="E7147">
        <f>2/133</f>
        <v>1.5037593984962405E-2</v>
      </c>
      <c r="F7147">
        <v>25</v>
      </c>
      <c r="G7147">
        <f>LOG(382/(25+1))</f>
        <v>1.1670900149408907</v>
      </c>
      <c r="H7147">
        <f>0.0150375939849624*2.68732407058509</f>
        <v>4.0410888279475025E-2</v>
      </c>
      <c r="I7147">
        <v>4.0410888279475081E-2</v>
      </c>
    </row>
    <row r="7148" spans="1:9" x14ac:dyDescent="0.25">
      <c r="A7148">
        <v>353</v>
      </c>
      <c r="B7148" t="s">
        <v>2529</v>
      </c>
      <c r="C7148" t="s">
        <v>10</v>
      </c>
      <c r="D7148" t="s">
        <v>79</v>
      </c>
      <c r="E7148">
        <f>2/133</f>
        <v>1.5037593984962405E-2</v>
      </c>
      <c r="F7148">
        <v>26</v>
      </c>
      <c r="G7148">
        <f>LOG(382/(26+1))</f>
        <v>1.1506995987527215</v>
      </c>
      <c r="H7148">
        <f>0.0150375939849624*2.64958374260224</f>
        <v>3.9843364550409606E-2</v>
      </c>
      <c r="I7148">
        <v>3.9843364550409717E-2</v>
      </c>
    </row>
    <row r="7149" spans="1:9" x14ac:dyDescent="0.25">
      <c r="A7149">
        <v>353</v>
      </c>
      <c r="B7149" t="s">
        <v>2529</v>
      </c>
      <c r="C7149" t="s">
        <v>10</v>
      </c>
      <c r="D7149" t="s">
        <v>764</v>
      </c>
      <c r="E7149">
        <f>3/133</f>
        <v>2.2556390977443608E-2</v>
      </c>
      <c r="F7149">
        <v>57</v>
      </c>
      <c r="G7149">
        <f>LOG(382/(57+1))</f>
        <v>0.81863536934877146</v>
      </c>
      <c r="H7149">
        <f>0.0225563909774436*1.88497759806015</f>
        <v>4.2518291685567276E-2</v>
      </c>
      <c r="I7149">
        <v>4.2518291685567422E-2</v>
      </c>
    </row>
    <row r="7150" spans="1:9" x14ac:dyDescent="0.25">
      <c r="A7150">
        <v>353</v>
      </c>
      <c r="B7150" t="s">
        <v>2529</v>
      </c>
      <c r="C7150" t="s">
        <v>10</v>
      </c>
      <c r="D7150" t="s">
        <v>1533</v>
      </c>
      <c r="E7150">
        <f>2/133</f>
        <v>1.5037593984962405E-2</v>
      </c>
      <c r="F7150">
        <v>33</v>
      </c>
      <c r="G7150">
        <f>LOG(382/(33+1))</f>
        <v>1.0505844458694535</v>
      </c>
      <c r="H7150">
        <f>0.0150375939849624*2.41906008399041</f>
        <v>3.6376843368276832E-2</v>
      </c>
      <c r="I7150">
        <v>3.6376843368276887E-2</v>
      </c>
    </row>
    <row r="7151" spans="1:9" x14ac:dyDescent="0.25">
      <c r="A7151">
        <v>353</v>
      </c>
      <c r="B7151" t="s">
        <v>2529</v>
      </c>
      <c r="C7151" t="s">
        <v>10</v>
      </c>
      <c r="D7151" t="s">
        <v>1083</v>
      </c>
      <c r="E7151">
        <f>2/133</f>
        <v>1.5037593984962405E-2</v>
      </c>
      <c r="F7151">
        <v>51</v>
      </c>
      <c r="G7151">
        <f>LOG(382/(51+1))</f>
        <v>0.86606001927690957</v>
      </c>
      <c r="H7151">
        <f>0.0150375939849624*1.99417689002514</f>
        <v>2.998762240639307E-2</v>
      </c>
      <c r="I7151">
        <v>2.9987622406393199E-2</v>
      </c>
    </row>
    <row r="7152" spans="1:9" x14ac:dyDescent="0.25">
      <c r="A7152">
        <v>353</v>
      </c>
      <c r="B7152" t="s">
        <v>2529</v>
      </c>
      <c r="C7152" t="s">
        <v>10</v>
      </c>
      <c r="D7152" t="s">
        <v>2532</v>
      </c>
      <c r="E7152">
        <f>1/133</f>
        <v>7.5187969924812026E-3</v>
      </c>
      <c r="F7152">
        <v>1</v>
      </c>
      <c r="G7152">
        <f>LOG(382/(1+1))</f>
        <v>2.2810333672477277</v>
      </c>
      <c r="H7152">
        <f>0.0075187969924812*5.25227342804663</f>
        <v>3.9490777654485922E-2</v>
      </c>
      <c r="I7152">
        <v>3.9490777654485942E-2</v>
      </c>
    </row>
    <row r="7153" spans="1:9" x14ac:dyDescent="0.25">
      <c r="A7153">
        <v>353</v>
      </c>
      <c r="B7153" t="s">
        <v>2529</v>
      </c>
      <c r="C7153" t="s">
        <v>10</v>
      </c>
      <c r="D7153" t="s">
        <v>758</v>
      </c>
      <c r="E7153">
        <f>1/133</f>
        <v>7.5187969924812026E-3</v>
      </c>
      <c r="F7153">
        <v>26</v>
      </c>
      <c r="G7153">
        <f>LOG(382/(26+1))</f>
        <v>1.1506995987527215</v>
      </c>
      <c r="H7153">
        <f>0.0075187969924812*2.64958374260224</f>
        <v>1.9921682275204803E-2</v>
      </c>
      <c r="I7153">
        <v>1.9921682275204858E-2</v>
      </c>
    </row>
    <row r="7154" spans="1:9" x14ac:dyDescent="0.25">
      <c r="A7154">
        <v>353</v>
      </c>
      <c r="B7154" t="s">
        <v>2529</v>
      </c>
      <c r="C7154" t="s">
        <v>10</v>
      </c>
      <c r="D7154" t="s">
        <v>994</v>
      </c>
      <c r="E7154">
        <f>1/133</f>
        <v>7.5187969924812026E-3</v>
      </c>
      <c r="F7154">
        <v>37</v>
      </c>
      <c r="G7154">
        <f>LOG(382/(37+1))</f>
        <v>1.0022797662948986</v>
      </c>
      <c r="H7154">
        <f>0.0075187969924812*2.30783444888018</f>
        <v>1.7352138713384806E-2</v>
      </c>
      <c r="I7154">
        <v>1.7352138713384879E-2</v>
      </c>
    </row>
    <row r="7155" spans="1:9" x14ac:dyDescent="0.25">
      <c r="A7155">
        <v>353</v>
      </c>
      <c r="B7155" t="s">
        <v>2529</v>
      </c>
      <c r="C7155" t="s">
        <v>10</v>
      </c>
      <c r="D7155" t="s">
        <v>247</v>
      </c>
      <c r="E7155">
        <f>2/133</f>
        <v>1.5037593984962405E-2</v>
      </c>
      <c r="F7155">
        <v>121</v>
      </c>
      <c r="G7155">
        <f>LOG(382/(121+1))</f>
        <v>0.49570353223696051</v>
      </c>
      <c r="H7155">
        <f>0.0150375939849624*1.14139956387331</f>
        <v>1.7163903216139996E-2</v>
      </c>
      <c r="I7155">
        <v>1.7163903216140131E-2</v>
      </c>
    </row>
    <row r="7156" spans="1:9" x14ac:dyDescent="0.25">
      <c r="A7156">
        <v>353</v>
      </c>
      <c r="B7156" t="s">
        <v>2529</v>
      </c>
      <c r="C7156" t="s">
        <v>10</v>
      </c>
      <c r="D7156" t="s">
        <v>2533</v>
      </c>
      <c r="E7156">
        <f>1/133</f>
        <v>7.5187969924812026E-3</v>
      </c>
      <c r="F7156">
        <v>1</v>
      </c>
      <c r="G7156">
        <f>LOG(382/(1+1))</f>
        <v>2.2810333672477277</v>
      </c>
      <c r="H7156">
        <f>0.0075187969924812*5.25227342804663</f>
        <v>3.9490777654485922E-2</v>
      </c>
      <c r="I7156">
        <v>3.9490777654485942E-2</v>
      </c>
    </row>
    <row r="7157" spans="1:9" x14ac:dyDescent="0.25">
      <c r="A7157">
        <v>353</v>
      </c>
      <c r="B7157" t="s">
        <v>2529</v>
      </c>
      <c r="C7157" t="s">
        <v>10</v>
      </c>
      <c r="D7157" t="s">
        <v>119</v>
      </c>
      <c r="E7157">
        <f>1/133</f>
        <v>7.5187969924812026E-3</v>
      </c>
      <c r="F7157">
        <v>79</v>
      </c>
      <c r="G7157">
        <f>LOG(382/(79+1))</f>
        <v>0.67897337591976514</v>
      </c>
      <c r="H7157">
        <f>0.0075187969924812*1.56339397393269</f>
        <v>1.1754841909268341E-2</v>
      </c>
      <c r="I7157">
        <v>1.1754841909268369E-2</v>
      </c>
    </row>
    <row r="7158" spans="1:9" x14ac:dyDescent="0.25">
      <c r="A7158">
        <v>353</v>
      </c>
      <c r="B7158" t="s">
        <v>2529</v>
      </c>
      <c r="C7158" t="s">
        <v>10</v>
      </c>
      <c r="D7158" t="s">
        <v>236</v>
      </c>
      <c r="E7158">
        <f>4/133</f>
        <v>3.007518796992481E-2</v>
      </c>
      <c r="F7158">
        <v>87</v>
      </c>
      <c r="G7158">
        <f>LOG(382/(87+1))</f>
        <v>0.63758069076154011</v>
      </c>
      <c r="H7158">
        <f>0.0300751879699248*1.46808379412836</f>
        <v>4.4152896064010808E-2</v>
      </c>
      <c r="I7158">
        <v>4.4152896064011092E-2</v>
      </c>
    </row>
    <row r="7159" spans="1:9" x14ac:dyDescent="0.25">
      <c r="A7159">
        <v>353</v>
      </c>
      <c r="B7159" t="s">
        <v>2529</v>
      </c>
      <c r="C7159" t="s">
        <v>10</v>
      </c>
      <c r="D7159" t="s">
        <v>465</v>
      </c>
      <c r="E7159">
        <f>1/133</f>
        <v>7.5187969924812026E-3</v>
      </c>
      <c r="F7159">
        <v>36</v>
      </c>
      <c r="G7159">
        <f>LOG(382/(36+1))</f>
        <v>1.0138616388447137</v>
      </c>
      <c r="H7159">
        <f>0.0075187969924812*2.33450269596235</f>
        <v>1.7552651849340972E-2</v>
      </c>
      <c r="I7159">
        <v>1.7552651849340978E-2</v>
      </c>
    </row>
    <row r="7160" spans="1:9" x14ac:dyDescent="0.25">
      <c r="A7160">
        <v>353</v>
      </c>
      <c r="B7160" t="s">
        <v>2529</v>
      </c>
      <c r="C7160" t="s">
        <v>10</v>
      </c>
      <c r="D7160" t="s">
        <v>2534</v>
      </c>
      <c r="E7160">
        <f>1/133</f>
        <v>7.5187969924812026E-3</v>
      </c>
      <c r="F7160">
        <v>1</v>
      </c>
      <c r="G7160">
        <f>LOG(382/(1+1))</f>
        <v>2.2810333672477277</v>
      </c>
      <c r="H7160">
        <f>0.0075187969924812*5.25227342804663</f>
        <v>3.9490777654485922E-2</v>
      </c>
      <c r="I7160">
        <v>3.9490777654485942E-2</v>
      </c>
    </row>
    <row r="7161" spans="1:9" x14ac:dyDescent="0.25">
      <c r="A7161">
        <v>353</v>
      </c>
      <c r="B7161" t="s">
        <v>2529</v>
      </c>
      <c r="C7161" t="s">
        <v>10</v>
      </c>
      <c r="D7161" t="s">
        <v>123</v>
      </c>
      <c r="E7161">
        <f>3/133</f>
        <v>2.2556390977443608E-2</v>
      </c>
      <c r="F7161">
        <v>74</v>
      </c>
      <c r="G7161">
        <f>LOG(382/(74+1))</f>
        <v>0.7070020995200087</v>
      </c>
      <c r="H7161">
        <f>0.0225563909774436*1.62793249507026</f>
        <v>3.6720281843690063E-2</v>
      </c>
      <c r="I7161">
        <v>3.6720281843690181E-2</v>
      </c>
    </row>
    <row r="7162" spans="1:9" x14ac:dyDescent="0.25">
      <c r="A7162">
        <v>353</v>
      </c>
      <c r="B7162" t="s">
        <v>2529</v>
      </c>
      <c r="C7162" t="s">
        <v>10</v>
      </c>
      <c r="D7162" t="s">
        <v>811</v>
      </c>
      <c r="E7162">
        <f t="shared" ref="E7162:E7169" si="327">1/133</f>
        <v>7.5187969924812026E-3</v>
      </c>
      <c r="F7162">
        <v>27</v>
      </c>
      <c r="G7162">
        <f>LOG(382/(27+1))</f>
        <v>1.1349053315694895</v>
      </c>
      <c r="H7162">
        <f>0.0075187969924812*2.61321609843137</f>
        <v>1.964824134158924E-2</v>
      </c>
      <c r="I7162">
        <v>1.964824134158925E-2</v>
      </c>
    </row>
    <row r="7163" spans="1:9" x14ac:dyDescent="0.25">
      <c r="A7163">
        <v>353</v>
      </c>
      <c r="B7163" t="s">
        <v>2529</v>
      </c>
      <c r="C7163" t="s">
        <v>10</v>
      </c>
      <c r="D7163" t="s">
        <v>327</v>
      </c>
      <c r="E7163">
        <f t="shared" si="327"/>
        <v>7.5187969924812026E-3</v>
      </c>
      <c r="F7163">
        <v>46</v>
      </c>
      <c r="G7163">
        <f>LOG(382/(46+1))</f>
        <v>0.90996550497599127</v>
      </c>
      <c r="H7163">
        <f>0.0075187969924812*2.09527300689651</f>
        <v>1.5753932382680521E-2</v>
      </c>
      <c r="I7163">
        <v>1.575393238268057E-2</v>
      </c>
    </row>
    <row r="7164" spans="1:9" x14ac:dyDescent="0.25">
      <c r="A7164">
        <v>353</v>
      </c>
      <c r="B7164" t="s">
        <v>2529</v>
      </c>
      <c r="C7164" t="s">
        <v>10</v>
      </c>
      <c r="D7164" t="s">
        <v>2535</v>
      </c>
      <c r="E7164">
        <f t="shared" si="327"/>
        <v>7.5187969924812026E-3</v>
      </c>
      <c r="F7164">
        <v>1</v>
      </c>
      <c r="G7164">
        <f>LOG(382/(1+1))</f>
        <v>2.2810333672477277</v>
      </c>
      <c r="H7164">
        <f>0.0075187969924812*5.25227342804663</f>
        <v>3.9490777654485922E-2</v>
      </c>
      <c r="I7164">
        <v>3.9490777654485942E-2</v>
      </c>
    </row>
    <row r="7165" spans="1:9" x14ac:dyDescent="0.25">
      <c r="A7165">
        <v>353</v>
      </c>
      <c r="B7165" t="s">
        <v>2529</v>
      </c>
      <c r="C7165" t="s">
        <v>10</v>
      </c>
      <c r="D7165" t="s">
        <v>2536</v>
      </c>
      <c r="E7165">
        <f t="shared" si="327"/>
        <v>7.5187969924812026E-3</v>
      </c>
      <c r="F7165">
        <v>1</v>
      </c>
      <c r="G7165">
        <f>LOG(382/(1+1))</f>
        <v>2.2810333672477277</v>
      </c>
      <c r="H7165">
        <f>0.0075187969924812*5.25227342804663</f>
        <v>3.9490777654485922E-2</v>
      </c>
      <c r="I7165">
        <v>3.9490777654485942E-2</v>
      </c>
    </row>
    <row r="7166" spans="1:9" x14ac:dyDescent="0.25">
      <c r="A7166">
        <v>353</v>
      </c>
      <c r="B7166" t="s">
        <v>2529</v>
      </c>
      <c r="C7166" t="s">
        <v>10</v>
      </c>
      <c r="D7166" t="s">
        <v>65</v>
      </c>
      <c r="E7166">
        <f t="shared" si="327"/>
        <v>7.5187969924812026E-3</v>
      </c>
      <c r="F7166">
        <v>32</v>
      </c>
      <c r="G7166">
        <f>LOG(382/(32+1))</f>
        <v>1.0635494230338212</v>
      </c>
      <c r="H7166">
        <f>0.0075187969924812*2.44891304714009</f>
        <v>1.8412880053684882E-2</v>
      </c>
      <c r="I7166">
        <v>1.8412880053684921E-2</v>
      </c>
    </row>
    <row r="7167" spans="1:9" x14ac:dyDescent="0.25">
      <c r="A7167">
        <v>353</v>
      </c>
      <c r="B7167" t="s">
        <v>2529</v>
      </c>
      <c r="C7167" t="s">
        <v>10</v>
      </c>
      <c r="D7167" t="s">
        <v>483</v>
      </c>
      <c r="E7167">
        <f t="shared" si="327"/>
        <v>7.5187969924812026E-3</v>
      </c>
      <c r="F7167">
        <v>61</v>
      </c>
      <c r="G7167">
        <f>LOG(382/(61+1))</f>
        <v>0.7896716734134549</v>
      </c>
      <c r="H7167">
        <f>0.0075187969924812*1.81828622356148</f>
        <v>1.3671324989184054E-2</v>
      </c>
      <c r="I7167">
        <v>1.3671324989184091E-2</v>
      </c>
    </row>
    <row r="7168" spans="1:9" x14ac:dyDescent="0.25">
      <c r="A7168">
        <v>353</v>
      </c>
      <c r="B7168" t="s">
        <v>2529</v>
      </c>
      <c r="C7168" t="s">
        <v>10</v>
      </c>
      <c r="D7168" t="s">
        <v>133</v>
      </c>
      <c r="E7168">
        <f t="shared" si="327"/>
        <v>7.5187969924812026E-3</v>
      </c>
      <c r="F7168">
        <v>142</v>
      </c>
      <c r="G7168">
        <f>LOG(382/(142+1))</f>
        <v>0.42672732544664693</v>
      </c>
      <c r="H7168">
        <f>0.0075187969924812*0.982575978346667</f>
        <v>7.3877893108771926E-3</v>
      </c>
      <c r="I7168">
        <v>7.3877893108772021E-3</v>
      </c>
    </row>
    <row r="7169" spans="1:9" x14ac:dyDescent="0.25">
      <c r="A7169">
        <v>353</v>
      </c>
      <c r="B7169" t="s">
        <v>2529</v>
      </c>
      <c r="C7169" t="s">
        <v>10</v>
      </c>
      <c r="D7169" t="s">
        <v>2537</v>
      </c>
      <c r="E7169">
        <f t="shared" si="327"/>
        <v>7.5187969924812026E-3</v>
      </c>
      <c r="F7169">
        <v>2</v>
      </c>
      <c r="G7169">
        <f>LOG(382/(2+1))</f>
        <v>2.1049421081920463</v>
      </c>
      <c r="H7169">
        <f>0.0075187969924812*4.84680831993846</f>
        <v>3.6442167819086151E-2</v>
      </c>
      <c r="I7169">
        <v>3.6442167819086213E-2</v>
      </c>
    </row>
    <row r="7170" spans="1:9" x14ac:dyDescent="0.25">
      <c r="A7170">
        <v>353</v>
      </c>
      <c r="B7170" t="s">
        <v>2529</v>
      </c>
      <c r="C7170" t="s">
        <v>10</v>
      </c>
      <c r="D7170" t="s">
        <v>1853</v>
      </c>
      <c r="E7170">
        <f>2/133</f>
        <v>1.5037593984962405E-2</v>
      </c>
      <c r="F7170">
        <v>15</v>
      </c>
      <c r="G7170">
        <f>LOG(382/(15+1))</f>
        <v>1.3779433802557839</v>
      </c>
      <c r="H7170">
        <f>0.0150375939849624*3.17283188636679</f>
        <v>4.7711757689726152E-2</v>
      </c>
      <c r="I7170">
        <v>4.7711757689726228E-2</v>
      </c>
    </row>
    <row r="7171" spans="1:9" x14ac:dyDescent="0.25">
      <c r="A7171">
        <v>353</v>
      </c>
      <c r="B7171" t="s">
        <v>2529</v>
      </c>
      <c r="C7171" t="s">
        <v>10</v>
      </c>
      <c r="D7171" t="s">
        <v>331</v>
      </c>
      <c r="E7171">
        <f>3/133</f>
        <v>2.2556390977443608E-2</v>
      </c>
      <c r="F7171">
        <v>130</v>
      </c>
      <c r="G7171">
        <f>LOG(382/(130+1))</f>
        <v>0.46479206725594452</v>
      </c>
      <c r="H7171">
        <f>0.0225563909774436*1.07022328540542</f>
        <v>2.4140374858768864E-2</v>
      </c>
      <c r="I7171">
        <v>2.4140374858768951E-2</v>
      </c>
    </row>
    <row r="7172" spans="1:9" x14ac:dyDescent="0.25">
      <c r="A7172">
        <v>353</v>
      </c>
      <c r="B7172" t="s">
        <v>2529</v>
      </c>
      <c r="C7172" t="s">
        <v>10</v>
      </c>
      <c r="D7172" t="s">
        <v>77</v>
      </c>
      <c r="E7172">
        <f>2/133</f>
        <v>1.5037593984962405E-2</v>
      </c>
      <c r="F7172">
        <v>148</v>
      </c>
      <c r="G7172">
        <f>LOG(382/(148+1))</f>
        <v>0.40887709449943471</v>
      </c>
      <c r="H7172">
        <f>0.0150375939849624*0.941474302661116</f>
        <v>1.4157508310693468E-2</v>
      </c>
      <c r="I7172">
        <v>1.415750831069347E-2</v>
      </c>
    </row>
    <row r="7173" spans="1:9" x14ac:dyDescent="0.25">
      <c r="A7173">
        <v>353</v>
      </c>
      <c r="B7173" t="s">
        <v>2529</v>
      </c>
      <c r="C7173" t="s">
        <v>10</v>
      </c>
      <c r="D7173" t="s">
        <v>469</v>
      </c>
      <c r="E7173">
        <f t="shared" ref="E7173:E7193" si="328">1/133</f>
        <v>7.5187969924812026E-3</v>
      </c>
      <c r="F7173">
        <v>13</v>
      </c>
      <c r="G7173">
        <f>LOG(382/(13+1))</f>
        <v>1.4359353272334707</v>
      </c>
      <c r="H7173">
        <f>0.0075187969924812*3.30636327899131</f>
        <v>2.4859874278130141E-2</v>
      </c>
      <c r="I7173">
        <v>2.48598742781302E-2</v>
      </c>
    </row>
    <row r="7174" spans="1:9" x14ac:dyDescent="0.25">
      <c r="A7174">
        <v>353</v>
      </c>
      <c r="B7174" t="s">
        <v>2529</v>
      </c>
      <c r="C7174" t="s">
        <v>10</v>
      </c>
      <c r="D7174" t="s">
        <v>34</v>
      </c>
      <c r="E7174">
        <f t="shared" si="328"/>
        <v>7.5187969924812026E-3</v>
      </c>
      <c r="F7174">
        <v>11</v>
      </c>
      <c r="G7174">
        <f>LOG(382/(11+1))</f>
        <v>1.5028821168640838</v>
      </c>
      <c r="H7174">
        <f>0.0075187969924812*3.46051395881857</f>
        <v>2.6018901946004275E-2</v>
      </c>
      <c r="I7174">
        <v>2.6018901946004321E-2</v>
      </c>
    </row>
    <row r="7175" spans="1:9" x14ac:dyDescent="0.25">
      <c r="A7175">
        <v>353</v>
      </c>
      <c r="B7175" t="s">
        <v>2529</v>
      </c>
      <c r="C7175" t="s">
        <v>10</v>
      </c>
      <c r="D7175" t="s">
        <v>1398</v>
      </c>
      <c r="E7175">
        <f t="shared" si="328"/>
        <v>7.5187969924812026E-3</v>
      </c>
      <c r="F7175">
        <v>29</v>
      </c>
      <c r="G7175">
        <f>LOG(382/(29+1))</f>
        <v>1.1049421081920463</v>
      </c>
      <c r="H7175">
        <f>0.0075187969924812*2.54422322694442</f>
        <v>1.9129497946950517E-2</v>
      </c>
      <c r="I7175">
        <v>1.912949794695052E-2</v>
      </c>
    </row>
    <row r="7176" spans="1:9" x14ac:dyDescent="0.25">
      <c r="A7176">
        <v>353</v>
      </c>
      <c r="B7176" t="s">
        <v>2529</v>
      </c>
      <c r="C7176" t="s">
        <v>10</v>
      </c>
      <c r="D7176" t="s">
        <v>2538</v>
      </c>
      <c r="E7176">
        <f t="shared" si="328"/>
        <v>7.5187969924812026E-3</v>
      </c>
      <c r="F7176">
        <v>4</v>
      </c>
      <c r="G7176">
        <f>LOG(382/(4+1))</f>
        <v>1.8830933585756899</v>
      </c>
      <c r="H7176">
        <f>0.0075187969924812*4.33598269617247</f>
        <v>3.2601373655432093E-2</v>
      </c>
      <c r="I7176">
        <v>3.2601373655432142E-2</v>
      </c>
    </row>
    <row r="7177" spans="1:9" x14ac:dyDescent="0.25">
      <c r="A7177">
        <v>353</v>
      </c>
      <c r="B7177" t="s">
        <v>2529</v>
      </c>
      <c r="C7177" t="s">
        <v>10</v>
      </c>
      <c r="D7177" t="s">
        <v>542</v>
      </c>
      <c r="E7177">
        <f t="shared" si="328"/>
        <v>7.5187969924812026E-3</v>
      </c>
      <c r="F7177">
        <v>42</v>
      </c>
      <c r="G7177">
        <f>LOG(382/(42+1))</f>
        <v>0.94859490733212215</v>
      </c>
      <c r="H7177">
        <f>0.0075187969924812*2.18422049291301</f>
        <v>1.6422710473030143E-2</v>
      </c>
      <c r="I7177">
        <v>1.6422710473030171E-2</v>
      </c>
    </row>
    <row r="7178" spans="1:9" x14ac:dyDescent="0.25">
      <c r="A7178">
        <v>353</v>
      </c>
      <c r="B7178" t="s">
        <v>2529</v>
      </c>
      <c r="C7178" t="s">
        <v>10</v>
      </c>
      <c r="D7178" t="s">
        <v>591</v>
      </c>
      <c r="E7178">
        <f t="shared" si="328"/>
        <v>7.5187969924812026E-3</v>
      </c>
      <c r="F7178">
        <v>21</v>
      </c>
      <c r="G7178">
        <f>LOG(382/(21+1))</f>
        <v>1.2396406820895025</v>
      </c>
      <c r="H7178">
        <f>0.0075187969924812*2.85437815524825</f>
        <v>2.1461489889084577E-2</v>
      </c>
      <c r="I7178">
        <v>2.146148988908465E-2</v>
      </c>
    </row>
    <row r="7179" spans="1:9" x14ac:dyDescent="0.25">
      <c r="A7179">
        <v>353</v>
      </c>
      <c r="B7179" t="s">
        <v>2529</v>
      </c>
      <c r="C7179" t="s">
        <v>10</v>
      </c>
      <c r="D7179" t="s">
        <v>1433</v>
      </c>
      <c r="E7179">
        <f t="shared" si="328"/>
        <v>7.5187969924812026E-3</v>
      </c>
      <c r="F7179">
        <v>21</v>
      </c>
      <c r="G7179">
        <f>LOG(382/(21+1))</f>
        <v>1.2396406820895025</v>
      </c>
      <c r="H7179">
        <f>0.0075187969924812*2.85437815524825</f>
        <v>2.1461489889084577E-2</v>
      </c>
      <c r="I7179">
        <v>2.146148988908465E-2</v>
      </c>
    </row>
    <row r="7180" spans="1:9" x14ac:dyDescent="0.25">
      <c r="A7180">
        <v>353</v>
      </c>
      <c r="B7180" t="s">
        <v>2529</v>
      </c>
      <c r="C7180" t="s">
        <v>10</v>
      </c>
      <c r="D7180" t="s">
        <v>1473</v>
      </c>
      <c r="E7180">
        <f t="shared" si="328"/>
        <v>7.5187969924812026E-3</v>
      </c>
      <c r="F7180">
        <v>39</v>
      </c>
      <c r="G7180">
        <f>LOG(382/(39+1))</f>
        <v>0.9800033715837464</v>
      </c>
      <c r="H7180">
        <f>0.0075187969924812*2.25654115449263</f>
        <v>1.6966474845809241E-2</v>
      </c>
      <c r="I7180">
        <v>1.696647484580931E-2</v>
      </c>
    </row>
    <row r="7181" spans="1:9" x14ac:dyDescent="0.25">
      <c r="A7181">
        <v>353</v>
      </c>
      <c r="B7181" t="s">
        <v>2529</v>
      </c>
      <c r="C7181" t="s">
        <v>10</v>
      </c>
      <c r="D7181" t="s">
        <v>1405</v>
      </c>
      <c r="E7181">
        <f t="shared" si="328"/>
        <v>7.5187969924812026E-3</v>
      </c>
      <c r="F7181">
        <v>14</v>
      </c>
      <c r="G7181">
        <f>LOG(382/(14+1))</f>
        <v>1.4059721038560276</v>
      </c>
      <c r="H7181">
        <f>0.0075187969924812*3.23737040750436</f>
        <v>2.4341130883491418E-2</v>
      </c>
      <c r="I7181">
        <v>2.434113088349147E-2</v>
      </c>
    </row>
    <row r="7182" spans="1:9" x14ac:dyDescent="0.25">
      <c r="A7182">
        <v>353</v>
      </c>
      <c r="B7182" t="s">
        <v>2529</v>
      </c>
      <c r="C7182" t="s">
        <v>10</v>
      </c>
      <c r="D7182" t="s">
        <v>863</v>
      </c>
      <c r="E7182">
        <f t="shared" si="328"/>
        <v>7.5187969924812026E-3</v>
      </c>
      <c r="F7182">
        <v>14</v>
      </c>
      <c r="G7182">
        <f>LOG(382/(14+1))</f>
        <v>1.4059721038560276</v>
      </c>
      <c r="H7182">
        <f>0.0075187969924812*3.23737040750436</f>
        <v>2.4341130883491418E-2</v>
      </c>
      <c r="I7182">
        <v>2.434113088349147E-2</v>
      </c>
    </row>
    <row r="7183" spans="1:9" x14ac:dyDescent="0.25">
      <c r="A7183">
        <v>353</v>
      </c>
      <c r="B7183" t="s">
        <v>2529</v>
      </c>
      <c r="C7183" t="s">
        <v>10</v>
      </c>
      <c r="D7183" t="s">
        <v>361</v>
      </c>
      <c r="E7183">
        <f t="shared" si="328"/>
        <v>7.5187969924812026E-3</v>
      </c>
      <c r="F7183">
        <v>118</v>
      </c>
      <c r="G7183">
        <f>LOG(382/(118+1))</f>
        <v>0.50651640151917798</v>
      </c>
      <c r="H7183">
        <f>0.0075187969924812*1.16629711549504</f>
        <v>8.7691512443236041E-3</v>
      </c>
      <c r="I7183">
        <v>8.7691512443236527E-3</v>
      </c>
    </row>
    <row r="7184" spans="1:9" x14ac:dyDescent="0.25">
      <c r="A7184">
        <v>353</v>
      </c>
      <c r="B7184" t="s">
        <v>2529</v>
      </c>
      <c r="C7184" t="s">
        <v>10</v>
      </c>
      <c r="D7184" t="s">
        <v>2539</v>
      </c>
      <c r="E7184">
        <f t="shared" si="328"/>
        <v>7.5187969924812026E-3</v>
      </c>
      <c r="F7184">
        <v>1</v>
      </c>
      <c r="G7184">
        <f>LOG(382/(1+1))</f>
        <v>2.2810333672477277</v>
      </c>
      <c r="H7184">
        <f>0.0075187969924812*5.25227342804663</f>
        <v>3.9490777654485922E-2</v>
      </c>
      <c r="I7184">
        <v>3.9490777654485942E-2</v>
      </c>
    </row>
    <row r="7185" spans="1:9" x14ac:dyDescent="0.25">
      <c r="A7185">
        <v>353</v>
      </c>
      <c r="B7185" t="s">
        <v>2529</v>
      </c>
      <c r="C7185" t="s">
        <v>10</v>
      </c>
      <c r="D7185" t="s">
        <v>600</v>
      </c>
      <c r="E7185">
        <f t="shared" si="328"/>
        <v>7.5187969924812026E-3</v>
      </c>
      <c r="F7185">
        <v>102</v>
      </c>
      <c r="G7185">
        <f>LOG(382/(102+1))</f>
        <v>0.56922613820653656</v>
      </c>
      <c r="H7185">
        <f>0.0075187969924812*1.31069162037693</f>
        <v>9.8548242133603726E-3</v>
      </c>
      <c r="I7185">
        <v>9.8548242133604455E-3</v>
      </c>
    </row>
    <row r="7186" spans="1:9" x14ac:dyDescent="0.25">
      <c r="A7186">
        <v>353</v>
      </c>
      <c r="B7186" t="s">
        <v>2529</v>
      </c>
      <c r="C7186" t="s">
        <v>10</v>
      </c>
      <c r="D7186" t="s">
        <v>599</v>
      </c>
      <c r="E7186">
        <f t="shared" si="328"/>
        <v>7.5187969924812026E-3</v>
      </c>
      <c r="F7186">
        <v>28</v>
      </c>
      <c r="G7186">
        <f>LOG(382/(28+1))</f>
        <v>1.1196653650127526</v>
      </c>
      <c r="H7186">
        <f>0.0075187969924812*2.5781247786201</f>
        <v>1.9384396831730065E-2</v>
      </c>
      <c r="I7186">
        <v>1.9384396831730079E-2</v>
      </c>
    </row>
    <row r="7187" spans="1:9" x14ac:dyDescent="0.25">
      <c r="A7187">
        <v>353</v>
      </c>
      <c r="B7187" t="s">
        <v>2529</v>
      </c>
      <c r="C7187" t="s">
        <v>10</v>
      </c>
      <c r="D7187" t="s">
        <v>596</v>
      </c>
      <c r="E7187">
        <f t="shared" si="328"/>
        <v>7.5187969924812026E-3</v>
      </c>
      <c r="F7187">
        <v>60</v>
      </c>
      <c r="G7187">
        <f>LOG(382/(60+1))</f>
        <v>0.79673352790094176</v>
      </c>
      <c r="H7187">
        <f>0.0075187969924812*1.83454674443326</f>
        <v>1.3793584544610972E-2</v>
      </c>
      <c r="I7187">
        <v>1.379358454461101E-2</v>
      </c>
    </row>
    <row r="7188" spans="1:9" x14ac:dyDescent="0.25">
      <c r="A7188">
        <v>353</v>
      </c>
      <c r="B7188" t="s">
        <v>2529</v>
      </c>
      <c r="C7188" t="s">
        <v>10</v>
      </c>
      <c r="D7188" t="s">
        <v>201</v>
      </c>
      <c r="E7188">
        <f t="shared" si="328"/>
        <v>7.5187969924812026E-3</v>
      </c>
      <c r="F7188">
        <v>72</v>
      </c>
      <c r="G7188">
        <f>LOG(382/(72+1))</f>
        <v>0.71874050279125279</v>
      </c>
      <c r="H7188">
        <f>0.0075187969924812*1.65496116745818</f>
        <v>1.2443317048557738E-2</v>
      </c>
      <c r="I7188">
        <v>1.244331704855777E-2</v>
      </c>
    </row>
    <row r="7189" spans="1:9" x14ac:dyDescent="0.25">
      <c r="A7189">
        <v>353</v>
      </c>
      <c r="B7189" t="s">
        <v>2529</v>
      </c>
      <c r="C7189" t="s">
        <v>10</v>
      </c>
      <c r="D7189" t="s">
        <v>1626</v>
      </c>
      <c r="E7189">
        <f t="shared" si="328"/>
        <v>7.5187969924812026E-3</v>
      </c>
      <c r="F7189">
        <v>32</v>
      </c>
      <c r="G7189">
        <f>LOG(382/(32+1))</f>
        <v>1.0635494230338212</v>
      </c>
      <c r="H7189">
        <f>0.0075187969924812*2.44891304714009</f>
        <v>1.8412880053684882E-2</v>
      </c>
      <c r="I7189">
        <v>1.8412880053684921E-2</v>
      </c>
    </row>
    <row r="7190" spans="1:9" x14ac:dyDescent="0.25">
      <c r="A7190">
        <v>353</v>
      </c>
      <c r="B7190" t="s">
        <v>2529</v>
      </c>
      <c r="C7190" t="s">
        <v>10</v>
      </c>
      <c r="D7190" t="s">
        <v>2540</v>
      </c>
      <c r="E7190">
        <f t="shared" si="328"/>
        <v>7.5187969924812026E-3</v>
      </c>
      <c r="F7190">
        <v>1</v>
      </c>
      <c r="G7190">
        <f>LOG(382/(1+1))</f>
        <v>2.2810333672477277</v>
      </c>
      <c r="H7190">
        <f>0.0075187969924812*5.25227342804663</f>
        <v>3.9490777654485922E-2</v>
      </c>
      <c r="I7190">
        <v>3.9490777654485942E-2</v>
      </c>
    </row>
    <row r="7191" spans="1:9" x14ac:dyDescent="0.25">
      <c r="A7191">
        <v>353</v>
      </c>
      <c r="B7191" t="s">
        <v>2529</v>
      </c>
      <c r="C7191" t="s">
        <v>10</v>
      </c>
      <c r="D7191" t="s">
        <v>2541</v>
      </c>
      <c r="E7191">
        <f t="shared" si="328"/>
        <v>7.5187969924812026E-3</v>
      </c>
      <c r="F7191">
        <v>1</v>
      </c>
      <c r="G7191">
        <f>LOG(382/(1+1))</f>
        <v>2.2810333672477277</v>
      </c>
      <c r="H7191">
        <f>0.0075187969924812*5.25227342804663</f>
        <v>3.9490777654485922E-2</v>
      </c>
      <c r="I7191">
        <v>3.9490777654485942E-2</v>
      </c>
    </row>
    <row r="7192" spans="1:9" x14ac:dyDescent="0.25">
      <c r="A7192">
        <v>353</v>
      </c>
      <c r="B7192" t="s">
        <v>2529</v>
      </c>
      <c r="C7192" t="s">
        <v>10</v>
      </c>
      <c r="D7192" t="s">
        <v>439</v>
      </c>
      <c r="E7192">
        <f t="shared" si="328"/>
        <v>7.5187969924812026E-3</v>
      </c>
      <c r="F7192">
        <v>28</v>
      </c>
      <c r="G7192">
        <f>LOG(382/(28+1))</f>
        <v>1.1196653650127526</v>
      </c>
      <c r="H7192">
        <f>0.0075187969924812*2.5781247786201</f>
        <v>1.9384396831730065E-2</v>
      </c>
      <c r="I7192">
        <v>1.9384396831730079E-2</v>
      </c>
    </row>
    <row r="7193" spans="1:9" x14ac:dyDescent="0.25">
      <c r="A7193">
        <v>353</v>
      </c>
      <c r="B7193" t="s">
        <v>2529</v>
      </c>
      <c r="C7193" t="s">
        <v>10</v>
      </c>
      <c r="D7193" t="s">
        <v>440</v>
      </c>
      <c r="E7193">
        <f t="shared" si="328"/>
        <v>7.5187969924812026E-3</v>
      </c>
      <c r="F7193">
        <v>6</v>
      </c>
      <c r="G7193">
        <f>LOG(382/(6+1))</f>
        <v>1.736965322897452</v>
      </c>
      <c r="H7193">
        <f>0.0075187969924812*3.99951045955126</f>
        <v>3.0071507214671115E-2</v>
      </c>
      <c r="I7193">
        <v>3.0071507214671139E-2</v>
      </c>
    </row>
    <row r="7194" spans="1:9" x14ac:dyDescent="0.25">
      <c r="A7194">
        <v>353</v>
      </c>
      <c r="B7194" t="s">
        <v>2529</v>
      </c>
      <c r="C7194" t="s">
        <v>10</v>
      </c>
      <c r="D7194" t="s">
        <v>81</v>
      </c>
      <c r="E7194">
        <f>2/133</f>
        <v>1.5037593984962405E-2</v>
      </c>
      <c r="F7194">
        <v>114</v>
      </c>
      <c r="G7194">
        <f>LOG(382/(114+1))</f>
        <v>0.52136552255809698</v>
      </c>
      <c r="H7194">
        <f>0.0150375939849624*1.20048848024332</f>
        <v>1.8052458349523601E-2</v>
      </c>
      <c r="I7194">
        <v>1.8052458349523681E-2</v>
      </c>
    </row>
    <row r="7195" spans="1:9" x14ac:dyDescent="0.25">
      <c r="A7195">
        <v>353</v>
      </c>
      <c r="B7195" t="s">
        <v>2529</v>
      </c>
      <c r="C7195" t="s">
        <v>10</v>
      </c>
      <c r="D7195" t="s">
        <v>805</v>
      </c>
      <c r="E7195">
        <f t="shared" ref="E7195:E7217" si="329">1/133</f>
        <v>7.5187969924812026E-3</v>
      </c>
      <c r="F7195">
        <v>19</v>
      </c>
      <c r="G7195">
        <f>LOG(382/(19+1))</f>
        <v>1.2810333672477277</v>
      </c>
      <c r="H7195">
        <f>0.0075187969924812*2.94968833505258</f>
        <v>2.2178107782350218E-2</v>
      </c>
      <c r="I7195">
        <v>2.217810778235026E-2</v>
      </c>
    </row>
    <row r="7196" spans="1:9" x14ac:dyDescent="0.25">
      <c r="A7196">
        <v>353</v>
      </c>
      <c r="B7196" t="s">
        <v>2529</v>
      </c>
      <c r="C7196" t="s">
        <v>10</v>
      </c>
      <c r="D7196" t="s">
        <v>1469</v>
      </c>
      <c r="E7196">
        <f t="shared" si="329"/>
        <v>7.5187969924812026E-3</v>
      </c>
      <c r="F7196">
        <v>24</v>
      </c>
      <c r="G7196">
        <f>LOG(382/(24+1))</f>
        <v>1.1841233542396712</v>
      </c>
      <c r="H7196">
        <f>0.0075187969924812*2.72654478373837</f>
        <v>2.0500336719837357E-2</v>
      </c>
      <c r="I7196">
        <v>2.0500336719837399E-2</v>
      </c>
    </row>
    <row r="7197" spans="1:9" x14ac:dyDescent="0.25">
      <c r="A7197">
        <v>353</v>
      </c>
      <c r="B7197" t="s">
        <v>2529</v>
      </c>
      <c r="C7197" t="s">
        <v>10</v>
      </c>
      <c r="D7197" t="s">
        <v>2542</v>
      </c>
      <c r="E7197">
        <f t="shared" si="329"/>
        <v>7.5187969924812026E-3</v>
      </c>
      <c r="F7197">
        <v>1</v>
      </c>
      <c r="G7197">
        <f>LOG(382/(1+1))</f>
        <v>2.2810333672477277</v>
      </c>
      <c r="H7197">
        <f>0.0075187969924812*5.25227342804663</f>
        <v>3.9490777654485922E-2</v>
      </c>
      <c r="I7197">
        <v>3.9490777654485942E-2</v>
      </c>
    </row>
    <row r="7198" spans="1:9" x14ac:dyDescent="0.25">
      <c r="A7198">
        <v>353</v>
      </c>
      <c r="B7198" t="s">
        <v>2529</v>
      </c>
      <c r="C7198" t="s">
        <v>10</v>
      </c>
      <c r="D7198" t="s">
        <v>2476</v>
      </c>
      <c r="E7198">
        <f t="shared" si="329"/>
        <v>7.5187969924812026E-3</v>
      </c>
      <c r="F7198">
        <v>12</v>
      </c>
      <c r="G7198">
        <f>LOG(382/(12+1))</f>
        <v>1.468120010604872</v>
      </c>
      <c r="H7198">
        <f>0.0075187969924812*3.38047125114503</f>
        <v>2.541707707627841E-2</v>
      </c>
      <c r="I7198">
        <v>2.541707707627848E-2</v>
      </c>
    </row>
    <row r="7199" spans="1:9" x14ac:dyDescent="0.25">
      <c r="A7199">
        <v>353</v>
      </c>
      <c r="B7199" t="s">
        <v>2529</v>
      </c>
      <c r="C7199" t="s">
        <v>10</v>
      </c>
      <c r="D7199" t="s">
        <v>2543</v>
      </c>
      <c r="E7199">
        <f t="shared" si="329"/>
        <v>7.5187969924812026E-3</v>
      </c>
      <c r="F7199">
        <v>1</v>
      </c>
      <c r="G7199">
        <f>LOG(382/(1+1))</f>
        <v>2.2810333672477277</v>
      </c>
      <c r="H7199">
        <f>0.0075187969924812*5.25227342804663</f>
        <v>3.9490777654485922E-2</v>
      </c>
      <c r="I7199">
        <v>3.9490777654485942E-2</v>
      </c>
    </row>
    <row r="7200" spans="1:9" x14ac:dyDescent="0.25">
      <c r="A7200">
        <v>353</v>
      </c>
      <c r="B7200" t="s">
        <v>2529</v>
      </c>
      <c r="C7200" t="s">
        <v>10</v>
      </c>
      <c r="D7200" t="s">
        <v>754</v>
      </c>
      <c r="E7200">
        <f t="shared" si="329"/>
        <v>7.5187969924812026E-3</v>
      </c>
      <c r="F7200">
        <v>111</v>
      </c>
      <c r="G7200">
        <f>LOG(382/(111+1))</f>
        <v>0.53284534024152708</v>
      </c>
      <c r="H7200">
        <f>0.0075187969924812*1.22692173731148</f>
        <v>9.2249754685073647E-3</v>
      </c>
      <c r="I7200">
        <v>9.2249754685073734E-3</v>
      </c>
    </row>
    <row r="7201" spans="1:9" x14ac:dyDescent="0.25">
      <c r="A7201">
        <v>353</v>
      </c>
      <c r="B7201" t="s">
        <v>2529</v>
      </c>
      <c r="C7201" t="s">
        <v>10</v>
      </c>
      <c r="D7201" t="s">
        <v>309</v>
      </c>
      <c r="E7201">
        <f t="shared" si="329"/>
        <v>7.5187969924812026E-3</v>
      </c>
      <c r="F7201">
        <v>25</v>
      </c>
      <c r="G7201">
        <f>LOG(382/(25+1))</f>
        <v>1.1670900149408907</v>
      </c>
      <c r="H7201">
        <f>0.0075187969924812*2.68732407058509</f>
        <v>2.0205444139737513E-2</v>
      </c>
      <c r="I7201">
        <v>2.020544413973754E-2</v>
      </c>
    </row>
    <row r="7202" spans="1:9" x14ac:dyDescent="0.25">
      <c r="A7202">
        <v>353</v>
      </c>
      <c r="B7202" t="s">
        <v>2529</v>
      </c>
      <c r="C7202" t="s">
        <v>10</v>
      </c>
      <c r="D7202" t="s">
        <v>2544</v>
      </c>
      <c r="E7202">
        <f t="shared" si="329"/>
        <v>7.5187969924812026E-3</v>
      </c>
      <c r="F7202">
        <v>1</v>
      </c>
      <c r="G7202">
        <f>LOG(382/(1+1))</f>
        <v>2.2810333672477277</v>
      </c>
      <c r="H7202">
        <f>0.0075187969924812*5.25227342804663</f>
        <v>3.9490777654485922E-2</v>
      </c>
      <c r="I7202">
        <v>3.9490777654485942E-2</v>
      </c>
    </row>
    <row r="7203" spans="1:9" x14ac:dyDescent="0.25">
      <c r="A7203">
        <v>353</v>
      </c>
      <c r="B7203" t="s">
        <v>2529</v>
      </c>
      <c r="C7203" t="s">
        <v>10</v>
      </c>
      <c r="D7203" t="s">
        <v>1831</v>
      </c>
      <c r="E7203">
        <f t="shared" si="329"/>
        <v>7.5187969924812026E-3</v>
      </c>
      <c r="F7203">
        <v>28</v>
      </c>
      <c r="G7203">
        <f>LOG(382/(28+1))</f>
        <v>1.1196653650127526</v>
      </c>
      <c r="H7203">
        <f>0.0075187969924812*2.5781247786201</f>
        <v>1.9384396831730065E-2</v>
      </c>
      <c r="I7203">
        <v>1.9384396831730079E-2</v>
      </c>
    </row>
    <row r="7204" spans="1:9" x14ac:dyDescent="0.25">
      <c r="A7204">
        <v>353</v>
      </c>
      <c r="B7204" t="s">
        <v>2529</v>
      </c>
      <c r="C7204" t="s">
        <v>10</v>
      </c>
      <c r="D7204" t="s">
        <v>763</v>
      </c>
      <c r="E7204">
        <f t="shared" si="329"/>
        <v>7.5187969924812026E-3</v>
      </c>
      <c r="F7204">
        <v>47</v>
      </c>
      <c r="G7204">
        <f>LOG(382/(47+1))</f>
        <v>0.90082212553612151</v>
      </c>
      <c r="H7204">
        <f>0.0075187969924812*2.07421959769868</f>
        <v>1.55956360729224E-2</v>
      </c>
      <c r="I7204">
        <v>1.559563607292244E-2</v>
      </c>
    </row>
    <row r="7205" spans="1:9" x14ac:dyDescent="0.25">
      <c r="A7205">
        <v>353</v>
      </c>
      <c r="B7205" t="s">
        <v>2529</v>
      </c>
      <c r="C7205" t="s">
        <v>10</v>
      </c>
      <c r="D7205" t="s">
        <v>1098</v>
      </c>
      <c r="E7205">
        <f t="shared" si="329"/>
        <v>7.5187969924812026E-3</v>
      </c>
      <c r="F7205">
        <v>19</v>
      </c>
      <c r="G7205">
        <f>LOG(382/(19+1))</f>
        <v>1.2810333672477277</v>
      </c>
      <c r="H7205">
        <f>0.0075187969924812*2.94968833505258</f>
        <v>2.2178107782350218E-2</v>
      </c>
      <c r="I7205">
        <v>2.217810778235026E-2</v>
      </c>
    </row>
    <row r="7206" spans="1:9" x14ac:dyDescent="0.25">
      <c r="A7206">
        <v>353</v>
      </c>
      <c r="B7206" t="s">
        <v>2529</v>
      </c>
      <c r="C7206" t="s">
        <v>10</v>
      </c>
      <c r="D7206" t="s">
        <v>1919</v>
      </c>
      <c r="E7206">
        <f t="shared" si="329"/>
        <v>7.5187969924812026E-3</v>
      </c>
      <c r="F7206">
        <v>18</v>
      </c>
      <c r="G7206">
        <f>LOG(382/(18+1))</f>
        <v>1.3033097619588798</v>
      </c>
      <c r="H7206">
        <f>0.0075187969924812*3.00098162944013</f>
        <v>2.2563771649925783E-2</v>
      </c>
      <c r="I7206">
        <v>2.2563771649925821E-2</v>
      </c>
    </row>
    <row r="7207" spans="1:9" x14ac:dyDescent="0.25">
      <c r="A7207">
        <v>353</v>
      </c>
      <c r="B7207" t="s">
        <v>2529</v>
      </c>
      <c r="C7207" t="s">
        <v>10</v>
      </c>
      <c r="D7207" t="s">
        <v>1918</v>
      </c>
      <c r="E7207">
        <f t="shared" si="329"/>
        <v>7.5187969924812026E-3</v>
      </c>
      <c r="F7207">
        <v>25</v>
      </c>
      <c r="G7207">
        <f>LOG(382/(25+1))</f>
        <v>1.1670900149408907</v>
      </c>
      <c r="H7207">
        <f>0.0075187969924812*2.68732407058509</f>
        <v>2.0205444139737513E-2</v>
      </c>
      <c r="I7207">
        <v>2.020544413973754E-2</v>
      </c>
    </row>
    <row r="7208" spans="1:9" x14ac:dyDescent="0.25">
      <c r="A7208">
        <v>353</v>
      </c>
      <c r="B7208" t="s">
        <v>2529</v>
      </c>
      <c r="C7208" t="s">
        <v>10</v>
      </c>
      <c r="D7208" t="s">
        <v>1920</v>
      </c>
      <c r="E7208">
        <f t="shared" si="329"/>
        <v>7.5187969924812026E-3</v>
      </c>
      <c r="F7208">
        <v>18</v>
      </c>
      <c r="G7208">
        <f>LOG(382/(18+1))</f>
        <v>1.3033097619588798</v>
      </c>
      <c r="H7208">
        <f>0.0075187969924812*3.00098162944013</f>
        <v>2.2563771649925783E-2</v>
      </c>
      <c r="I7208">
        <v>2.2563771649925821E-2</v>
      </c>
    </row>
    <row r="7209" spans="1:9" x14ac:dyDescent="0.25">
      <c r="A7209">
        <v>353</v>
      </c>
      <c r="B7209" t="s">
        <v>2529</v>
      </c>
      <c r="C7209" t="s">
        <v>10</v>
      </c>
      <c r="D7209" t="s">
        <v>204</v>
      </c>
      <c r="E7209">
        <f t="shared" si="329"/>
        <v>7.5187969924812026E-3</v>
      </c>
      <c r="F7209">
        <v>166</v>
      </c>
      <c r="G7209">
        <f>LOG(382/(166+1))</f>
        <v>0.35934689176412549</v>
      </c>
      <c r="H7209">
        <f>0.0075187969924812*0.82742679618982</f>
        <v>6.2212541066903734E-3</v>
      </c>
      <c r="I7209">
        <v>6.221254106690376E-3</v>
      </c>
    </row>
    <row r="7210" spans="1:9" x14ac:dyDescent="0.25">
      <c r="A7210">
        <v>353</v>
      </c>
      <c r="B7210" t="s">
        <v>2529</v>
      </c>
      <c r="C7210" t="s">
        <v>10</v>
      </c>
      <c r="D7210" t="s">
        <v>39</v>
      </c>
      <c r="E7210">
        <f t="shared" si="329"/>
        <v>7.5187969924812026E-3</v>
      </c>
      <c r="F7210">
        <v>145</v>
      </c>
      <c r="G7210">
        <f>LOG(382/(145+1))</f>
        <v>0.41771050712727159</v>
      </c>
      <c r="H7210">
        <f>0.0075187969924812*0.961813986898238</f>
        <v>7.2316841120168241E-3</v>
      </c>
      <c r="I7210">
        <v>7.231684112016832E-3</v>
      </c>
    </row>
    <row r="7211" spans="1:9" x14ac:dyDescent="0.25">
      <c r="A7211">
        <v>353</v>
      </c>
      <c r="B7211" t="s">
        <v>2529</v>
      </c>
      <c r="C7211" t="s">
        <v>10</v>
      </c>
      <c r="D7211" t="s">
        <v>898</v>
      </c>
      <c r="E7211">
        <f t="shared" si="329"/>
        <v>7.5187969924812026E-3</v>
      </c>
      <c r="F7211">
        <v>22</v>
      </c>
      <c r="G7211">
        <f>LOG(382/(22+1))</f>
        <v>1.2203355268941158</v>
      </c>
      <c r="H7211">
        <f>0.0075187969924812*2.80992639267742</f>
        <v>2.1127266110356532E-2</v>
      </c>
      <c r="I7211">
        <v>2.112726611035658E-2</v>
      </c>
    </row>
    <row r="7212" spans="1:9" x14ac:dyDescent="0.25">
      <c r="A7212">
        <v>353</v>
      </c>
      <c r="B7212" t="s">
        <v>2529</v>
      </c>
      <c r="C7212" t="s">
        <v>10</v>
      </c>
      <c r="D7212" t="s">
        <v>1510</v>
      </c>
      <c r="E7212">
        <f t="shared" si="329"/>
        <v>7.5187969924812026E-3</v>
      </c>
      <c r="F7212">
        <v>2</v>
      </c>
      <c r="G7212">
        <f>LOG(382/(2+1))</f>
        <v>2.1049421081920463</v>
      </c>
      <c r="H7212">
        <f>0.0075187969924812*4.84680831993846</f>
        <v>3.6442167819086151E-2</v>
      </c>
      <c r="I7212">
        <v>3.6442167819086213E-2</v>
      </c>
    </row>
    <row r="7213" spans="1:9" x14ac:dyDescent="0.25">
      <c r="A7213">
        <v>353</v>
      </c>
      <c r="B7213" t="s">
        <v>2529</v>
      </c>
      <c r="C7213" t="s">
        <v>10</v>
      </c>
      <c r="D7213" t="s">
        <v>765</v>
      </c>
      <c r="E7213">
        <f t="shared" si="329"/>
        <v>7.5187969924812026E-3</v>
      </c>
      <c r="F7213">
        <v>44</v>
      </c>
      <c r="G7213">
        <f>LOG(382/(44+1))</f>
        <v>0.92885084913636506</v>
      </c>
      <c r="H7213">
        <f>0.0075187969924812*2.13875811883625</f>
        <v>1.6080888111550746E-2</v>
      </c>
      <c r="I7213">
        <v>1.6080888111550791E-2</v>
      </c>
    </row>
    <row r="7214" spans="1:9" x14ac:dyDescent="0.25">
      <c r="A7214">
        <v>353</v>
      </c>
      <c r="B7214" t="s">
        <v>2529</v>
      </c>
      <c r="C7214" t="s">
        <v>10</v>
      </c>
      <c r="D7214" t="s">
        <v>2220</v>
      </c>
      <c r="E7214">
        <f t="shared" si="329"/>
        <v>7.5187969924812026E-3</v>
      </c>
      <c r="F7214">
        <v>21</v>
      </c>
      <c r="G7214">
        <f>LOG(382/(21+1))</f>
        <v>1.2396406820895025</v>
      </c>
      <c r="H7214">
        <f>0.0075187969924812*2.85437815524825</f>
        <v>2.1461489889084577E-2</v>
      </c>
      <c r="I7214">
        <v>2.146148988908465E-2</v>
      </c>
    </row>
    <row r="7215" spans="1:9" x14ac:dyDescent="0.25">
      <c r="A7215">
        <v>353</v>
      </c>
      <c r="B7215" t="s">
        <v>2529</v>
      </c>
      <c r="C7215" t="s">
        <v>10</v>
      </c>
      <c r="D7215" t="s">
        <v>124</v>
      </c>
      <c r="E7215">
        <f t="shared" si="329"/>
        <v>7.5187969924812026E-3</v>
      </c>
      <c r="F7215">
        <v>9</v>
      </c>
      <c r="G7215">
        <f>LOG(382/(9+1))</f>
        <v>1.5820633629117087</v>
      </c>
      <c r="H7215">
        <f>0.0075187969924812*3.64283551561252</f>
        <v>2.7389740718891116E-2</v>
      </c>
      <c r="I7215">
        <v>2.7389740718891199E-2</v>
      </c>
    </row>
    <row r="7216" spans="1:9" x14ac:dyDescent="0.25">
      <c r="A7216">
        <v>353</v>
      </c>
      <c r="B7216" t="s">
        <v>2529</v>
      </c>
      <c r="C7216" t="s">
        <v>10</v>
      </c>
      <c r="D7216" t="s">
        <v>342</v>
      </c>
      <c r="E7216">
        <f t="shared" si="329"/>
        <v>7.5187969924812026E-3</v>
      </c>
      <c r="F7216">
        <v>35</v>
      </c>
      <c r="G7216">
        <f>LOG(382/(35+1))</f>
        <v>1.0257608621444214</v>
      </c>
      <c r="H7216">
        <f>0.0075187969924812*2.36190167015046</f>
        <v>1.7758659174063603E-2</v>
      </c>
      <c r="I7216">
        <v>1.7758659174063642E-2</v>
      </c>
    </row>
    <row r="7217" spans="1:9" x14ac:dyDescent="0.25">
      <c r="A7217">
        <v>353</v>
      </c>
      <c r="B7217" t="s">
        <v>2529</v>
      </c>
      <c r="C7217" t="s">
        <v>10</v>
      </c>
      <c r="D7217" t="s">
        <v>2226</v>
      </c>
      <c r="E7217">
        <f t="shared" si="329"/>
        <v>7.5187969924812026E-3</v>
      </c>
      <c r="F7217">
        <v>4</v>
      </c>
      <c r="G7217">
        <f>LOG(382/(4+1))</f>
        <v>1.8830933585756899</v>
      </c>
      <c r="H7217">
        <f>0.0075187969924812*4.33598269617247</f>
        <v>3.2601373655432093E-2</v>
      </c>
      <c r="I7217">
        <v>3.2601373655432142E-2</v>
      </c>
    </row>
    <row r="7218" spans="1:9" x14ac:dyDescent="0.25">
      <c r="A7218">
        <v>354</v>
      </c>
      <c r="B7218" t="s">
        <v>2545</v>
      </c>
      <c r="C7218" t="s">
        <v>10</v>
      </c>
      <c r="D7218" t="s">
        <v>1066</v>
      </c>
      <c r="E7218">
        <f>2/114</f>
        <v>1.7543859649122806E-2</v>
      </c>
      <c r="F7218">
        <v>3</v>
      </c>
      <c r="G7218">
        <f>LOG(382/(3+1))</f>
        <v>1.9800033715837464</v>
      </c>
      <c r="H7218">
        <f>0.0175438596491228*4.55912624748668</f>
        <v>7.9984671008538205E-2</v>
      </c>
      <c r="I7218">
        <v>7.9984671008538316E-2</v>
      </c>
    </row>
    <row r="7219" spans="1:9" x14ac:dyDescent="0.25">
      <c r="A7219">
        <v>354</v>
      </c>
      <c r="B7219" t="s">
        <v>2545</v>
      </c>
      <c r="C7219" t="s">
        <v>10</v>
      </c>
      <c r="D7219" t="s">
        <v>2546</v>
      </c>
      <c r="E7219">
        <f>2/114</f>
        <v>1.7543859649122806E-2</v>
      </c>
      <c r="F7219">
        <v>2</v>
      </c>
      <c r="G7219">
        <f>LOG(382/(2+1))</f>
        <v>2.1049421081920463</v>
      </c>
      <c r="H7219">
        <f>0.0175438596491228*4.84680831993846</f>
        <v>8.5031724911201007E-2</v>
      </c>
      <c r="I7219">
        <v>8.5031724911201145E-2</v>
      </c>
    </row>
    <row r="7220" spans="1:9" x14ac:dyDescent="0.25">
      <c r="A7220">
        <v>354</v>
      </c>
      <c r="B7220" t="s">
        <v>2545</v>
      </c>
      <c r="C7220" t="s">
        <v>10</v>
      </c>
      <c r="D7220" t="s">
        <v>16</v>
      </c>
      <c r="E7220">
        <f>5/114</f>
        <v>4.3859649122807015E-2</v>
      </c>
      <c r="F7220">
        <v>8</v>
      </c>
      <c r="G7220">
        <f>LOG(382/(8+1))</f>
        <v>1.6278208534723839</v>
      </c>
      <c r="H7220">
        <f>0.043859649122807*3.74819603127035</f>
        <v>0.1643945627750153</v>
      </c>
      <c r="I7220">
        <v>0.1643945627750156</v>
      </c>
    </row>
    <row r="7221" spans="1:9" x14ac:dyDescent="0.25">
      <c r="A7221">
        <v>354</v>
      </c>
      <c r="B7221" t="s">
        <v>2545</v>
      </c>
      <c r="C7221" t="s">
        <v>10</v>
      </c>
      <c r="D7221" t="s">
        <v>2547</v>
      </c>
      <c r="E7221">
        <f>1/114</f>
        <v>8.771929824561403E-3</v>
      </c>
      <c r="F7221">
        <v>1</v>
      </c>
      <c r="G7221">
        <f>LOG(382/(1+1))</f>
        <v>2.2810333672477277</v>
      </c>
      <c r="H7221">
        <f>0.0087719298245614*5.25227342804663</f>
        <v>4.6072573930233576E-2</v>
      </c>
      <c r="I7221">
        <v>4.607257393023359E-2</v>
      </c>
    </row>
    <row r="7222" spans="1:9" x14ac:dyDescent="0.25">
      <c r="A7222">
        <v>354</v>
      </c>
      <c r="B7222" t="s">
        <v>2545</v>
      </c>
      <c r="C7222" t="s">
        <v>10</v>
      </c>
      <c r="D7222" t="s">
        <v>245</v>
      </c>
      <c r="E7222">
        <f>2/114</f>
        <v>1.7543859649122806E-2</v>
      </c>
      <c r="F7222">
        <v>11</v>
      </c>
      <c r="G7222">
        <f>LOG(382/(11+1))</f>
        <v>1.5028821168640838</v>
      </c>
      <c r="H7222">
        <f>0.0175438596491228*3.46051395881857</f>
        <v>6.0710771207343306E-2</v>
      </c>
      <c r="I7222">
        <v>6.0710771207343417E-2</v>
      </c>
    </row>
    <row r="7223" spans="1:9" x14ac:dyDescent="0.25">
      <c r="A7223">
        <v>354</v>
      </c>
      <c r="B7223" t="s">
        <v>2545</v>
      </c>
      <c r="C7223" t="s">
        <v>10</v>
      </c>
      <c r="D7223" t="s">
        <v>41</v>
      </c>
      <c r="E7223">
        <f>3/114</f>
        <v>2.6315789473684209E-2</v>
      </c>
      <c r="F7223">
        <v>195</v>
      </c>
      <c r="G7223">
        <f>LOG(382/(195+1))</f>
        <v>0.28980729155523272</v>
      </c>
      <c r="H7223">
        <f>0.0263157894736842*0.667305949376058</f>
        <v>1.7560682878317309E-2</v>
      </c>
      <c r="I7223">
        <v>1.7560682878317319E-2</v>
      </c>
    </row>
    <row r="7224" spans="1:9" x14ac:dyDescent="0.25">
      <c r="A7224">
        <v>354</v>
      </c>
      <c r="B7224" t="s">
        <v>2545</v>
      </c>
      <c r="C7224" t="s">
        <v>10</v>
      </c>
      <c r="D7224" t="s">
        <v>42</v>
      </c>
      <c r="E7224">
        <f>1/114</f>
        <v>8.771929824561403E-3</v>
      </c>
      <c r="F7224">
        <v>251</v>
      </c>
      <c r="G7224">
        <f>LOG(382/(251+1))</f>
        <v>0.18066282213016463</v>
      </c>
      <c r="H7224">
        <f>0.0087719298245614*0.415991521095151</f>
        <v>3.6490484306592173E-3</v>
      </c>
      <c r="I7224">
        <v>3.6490484306592268E-3</v>
      </c>
    </row>
    <row r="7225" spans="1:9" x14ac:dyDescent="0.25">
      <c r="A7225">
        <v>354</v>
      </c>
      <c r="B7225" t="s">
        <v>2545</v>
      </c>
      <c r="C7225" t="s">
        <v>10</v>
      </c>
      <c r="D7225" t="s">
        <v>15</v>
      </c>
      <c r="E7225">
        <f>3/114</f>
        <v>2.6315789473684209E-2</v>
      </c>
      <c r="F7225">
        <v>112</v>
      </c>
      <c r="G7225">
        <f>LOG(382/(112+1))</f>
        <v>0.52898491942828896</v>
      </c>
      <c r="H7225">
        <f>0.0263157894736842*1.21803278989423</f>
        <v>3.2053494470900779E-2</v>
      </c>
      <c r="I7225">
        <v>3.205349447090091E-2</v>
      </c>
    </row>
    <row r="7226" spans="1:9" x14ac:dyDescent="0.25">
      <c r="A7226">
        <v>354</v>
      </c>
      <c r="B7226" t="s">
        <v>2545</v>
      </c>
      <c r="C7226" t="s">
        <v>10</v>
      </c>
      <c r="D7226" t="s">
        <v>17</v>
      </c>
      <c r="E7226">
        <f t="shared" ref="E7226:E7231" si="330">1/114</f>
        <v>8.771929824561403E-3</v>
      </c>
      <c r="F7226">
        <v>169</v>
      </c>
      <c r="G7226">
        <f>LOG(382/(169+1))</f>
        <v>0.3516144415334348</v>
      </c>
      <c r="H7226">
        <f>0.0087719298245614*0.809622171556313</f>
        <v>7.1019488733009882E-3</v>
      </c>
      <c r="I7226">
        <v>7.1019488733009943E-3</v>
      </c>
    </row>
    <row r="7227" spans="1:9" x14ac:dyDescent="0.25">
      <c r="A7227">
        <v>354</v>
      </c>
      <c r="B7227" t="s">
        <v>2545</v>
      </c>
      <c r="C7227" t="s">
        <v>10</v>
      </c>
      <c r="D7227" t="s">
        <v>18</v>
      </c>
      <c r="E7227">
        <f t="shared" si="330"/>
        <v>8.771929824561403E-3</v>
      </c>
      <c r="F7227">
        <v>7</v>
      </c>
      <c r="G7227">
        <f>LOG(382/(7+1))</f>
        <v>1.6789733759197651</v>
      </c>
      <c r="H7227">
        <f>0.0087719298245614*3.86597906692673</f>
        <v>3.3912097078304636E-2</v>
      </c>
      <c r="I7227">
        <v>3.3912097078304733E-2</v>
      </c>
    </row>
    <row r="7228" spans="1:9" x14ac:dyDescent="0.25">
      <c r="A7228">
        <v>354</v>
      </c>
      <c r="B7228" t="s">
        <v>2545</v>
      </c>
      <c r="C7228" t="s">
        <v>10</v>
      </c>
      <c r="D7228" t="s">
        <v>19</v>
      </c>
      <c r="E7228">
        <f t="shared" si="330"/>
        <v>8.771929824561403E-3</v>
      </c>
      <c r="F7228">
        <v>220</v>
      </c>
      <c r="G7228">
        <f>LOG(382/(220+1))</f>
        <v>0.23767108922659805</v>
      </c>
      <c r="H7228">
        <f>0.0087719298245614*0.547257907088822</f>
        <v>4.8005079569194897E-3</v>
      </c>
      <c r="I7228">
        <v>4.800507956919494E-3</v>
      </c>
    </row>
    <row r="7229" spans="1:9" x14ac:dyDescent="0.25">
      <c r="A7229">
        <v>354</v>
      </c>
      <c r="B7229" t="s">
        <v>2545</v>
      </c>
      <c r="C7229" t="s">
        <v>10</v>
      </c>
      <c r="D7229" t="s">
        <v>20</v>
      </c>
      <c r="E7229">
        <f t="shared" si="330"/>
        <v>8.771929824561403E-3</v>
      </c>
      <c r="F7229">
        <v>19</v>
      </c>
      <c r="G7229">
        <f>LOG(382/(19+1))</f>
        <v>1.2810333672477277</v>
      </c>
      <c r="H7229">
        <f>0.0087719298245614*2.94968833505258</f>
        <v>2.5874459079408586E-2</v>
      </c>
      <c r="I7229">
        <v>2.5874459079408631E-2</v>
      </c>
    </row>
    <row r="7230" spans="1:9" x14ac:dyDescent="0.25">
      <c r="A7230">
        <v>354</v>
      </c>
      <c r="B7230" t="s">
        <v>2545</v>
      </c>
      <c r="C7230" t="s">
        <v>10</v>
      </c>
      <c r="D7230" t="s">
        <v>22</v>
      </c>
      <c r="E7230">
        <f t="shared" si="330"/>
        <v>8.771929824561403E-3</v>
      </c>
      <c r="F7230">
        <v>259</v>
      </c>
      <c r="G7230">
        <f>LOG(382/(259+1))</f>
        <v>0.16709001494089079</v>
      </c>
      <c r="H7230">
        <f>0.0087719298245614*0.384738977591047</f>
        <v>3.3749033122021654E-3</v>
      </c>
      <c r="I7230">
        <v>3.3749033122021711E-3</v>
      </c>
    </row>
    <row r="7231" spans="1:9" x14ac:dyDescent="0.25">
      <c r="A7231">
        <v>354</v>
      </c>
      <c r="B7231" t="s">
        <v>2545</v>
      </c>
      <c r="C7231" t="s">
        <v>10</v>
      </c>
      <c r="D7231" t="s">
        <v>23</v>
      </c>
      <c r="E7231">
        <f t="shared" si="330"/>
        <v>8.771929824561403E-3</v>
      </c>
      <c r="F7231">
        <v>275</v>
      </c>
      <c r="G7231">
        <f>LOG(382/(275+1))</f>
        <v>0.14115428084649101</v>
      </c>
      <c r="H7231">
        <f>0.0087719298245614*0.325019742889425</f>
        <v>2.8510503762230249E-3</v>
      </c>
      <c r="I7231">
        <v>2.8510503762230271E-3</v>
      </c>
    </row>
    <row r="7232" spans="1:9" x14ac:dyDescent="0.25">
      <c r="A7232">
        <v>354</v>
      </c>
      <c r="B7232" t="s">
        <v>2545</v>
      </c>
      <c r="C7232" t="s">
        <v>10</v>
      </c>
      <c r="D7232" t="s">
        <v>204</v>
      </c>
      <c r="E7232">
        <f>2/114</f>
        <v>1.7543859649122806E-2</v>
      </c>
      <c r="F7232">
        <v>166</v>
      </c>
      <c r="G7232">
        <f>LOG(382/(166+1))</f>
        <v>0.35934689176412549</v>
      </c>
      <c r="H7232">
        <f>0.0175438596491228*0.82742679618982</f>
        <v>1.4516259582277537E-2</v>
      </c>
      <c r="I7232">
        <v>1.4516259582277541E-2</v>
      </c>
    </row>
    <row r="7233" spans="1:9" x14ac:dyDescent="0.25">
      <c r="A7233">
        <v>354</v>
      </c>
      <c r="B7233" t="s">
        <v>2545</v>
      </c>
      <c r="C7233" t="s">
        <v>10</v>
      </c>
      <c r="D7233" t="s">
        <v>2548</v>
      </c>
      <c r="E7233">
        <f>1/114</f>
        <v>8.771929824561403E-3</v>
      </c>
      <c r="F7233">
        <v>1</v>
      </c>
      <c r="G7233">
        <f>LOG(382/(1+1))</f>
        <v>2.2810333672477277</v>
      </c>
      <c r="H7233">
        <f>0.0087719298245614*5.25227342804663</f>
        <v>4.6072573930233576E-2</v>
      </c>
      <c r="I7233">
        <v>4.607257393023359E-2</v>
      </c>
    </row>
    <row r="7234" spans="1:9" x14ac:dyDescent="0.25">
      <c r="A7234">
        <v>354</v>
      </c>
      <c r="B7234" t="s">
        <v>2545</v>
      </c>
      <c r="C7234" t="s">
        <v>10</v>
      </c>
      <c r="D7234" t="s">
        <v>40</v>
      </c>
      <c r="E7234">
        <f>2/114</f>
        <v>1.7543859649122806E-2</v>
      </c>
      <c r="F7234">
        <v>159</v>
      </c>
      <c r="G7234">
        <f>LOG(382/(159+1))</f>
        <v>0.377943380255784</v>
      </c>
      <c r="H7234">
        <f>0.0175438596491228*0.870246793372748</f>
        <v>1.526748760303066E-2</v>
      </c>
      <c r="I7234">
        <v>1.526748760303067E-2</v>
      </c>
    </row>
    <row r="7235" spans="1:9" x14ac:dyDescent="0.25">
      <c r="A7235">
        <v>354</v>
      </c>
      <c r="B7235" t="s">
        <v>2545</v>
      </c>
      <c r="C7235" t="s">
        <v>10</v>
      </c>
      <c r="D7235" t="s">
        <v>26</v>
      </c>
      <c r="E7235">
        <f>1/114</f>
        <v>8.771929824561403E-3</v>
      </c>
      <c r="F7235">
        <v>40</v>
      </c>
      <c r="G7235">
        <f>LOG(382/(40+1))</f>
        <v>0.96927950619197323</v>
      </c>
      <c r="H7235">
        <f>0.0087719298245614*2.23184854190226</f>
        <v>1.9577618788616306E-2</v>
      </c>
      <c r="I7235">
        <v>1.9577618788616379E-2</v>
      </c>
    </row>
    <row r="7236" spans="1:9" x14ac:dyDescent="0.25">
      <c r="A7236">
        <v>354</v>
      </c>
      <c r="B7236" t="s">
        <v>2545</v>
      </c>
      <c r="C7236" t="s">
        <v>10</v>
      </c>
      <c r="D7236" t="s">
        <v>276</v>
      </c>
      <c r="E7236">
        <f>1/114</f>
        <v>8.771929824561403E-3</v>
      </c>
      <c r="F7236">
        <v>10</v>
      </c>
      <c r="G7236">
        <f>LOG(382/(10+1))</f>
        <v>1.5406706777534838</v>
      </c>
      <c r="H7236">
        <f>0.0087719298245614*3.5475253358082</f>
        <v>3.1118643296563147E-2</v>
      </c>
      <c r="I7236">
        <v>3.1118643296563199E-2</v>
      </c>
    </row>
    <row r="7237" spans="1:9" x14ac:dyDescent="0.25">
      <c r="A7237">
        <v>354</v>
      </c>
      <c r="B7237" t="s">
        <v>2545</v>
      </c>
      <c r="C7237" t="s">
        <v>10</v>
      </c>
      <c r="D7237" t="s">
        <v>237</v>
      </c>
      <c r="E7237">
        <f>2/114</f>
        <v>1.7543859649122806E-2</v>
      </c>
      <c r="F7237">
        <v>138</v>
      </c>
      <c r="G7237">
        <f>LOG(382/(138+1))</f>
        <v>0.43904856265761361</v>
      </c>
      <c r="H7237">
        <f>0.0175438596491228*1.01094667547588</f>
        <v>1.7735906587296131E-2</v>
      </c>
      <c r="I7237">
        <v>1.77359065872962E-2</v>
      </c>
    </row>
    <row r="7238" spans="1:9" x14ac:dyDescent="0.25">
      <c r="A7238">
        <v>354</v>
      </c>
      <c r="B7238" t="s">
        <v>2545</v>
      </c>
      <c r="C7238" t="s">
        <v>10</v>
      </c>
      <c r="D7238" t="s">
        <v>133</v>
      </c>
      <c r="E7238">
        <f>2/114</f>
        <v>1.7543859649122806E-2</v>
      </c>
      <c r="F7238">
        <v>142</v>
      </c>
      <c r="G7238">
        <f>LOG(382/(142+1))</f>
        <v>0.42672732544664693</v>
      </c>
      <c r="H7238">
        <f>0.0175438596491228*0.982575978346667</f>
        <v>1.7238175058713449E-2</v>
      </c>
      <c r="I7238">
        <v>1.723817505871347E-2</v>
      </c>
    </row>
    <row r="7239" spans="1:9" x14ac:dyDescent="0.25">
      <c r="A7239">
        <v>354</v>
      </c>
      <c r="B7239" t="s">
        <v>2545</v>
      </c>
      <c r="C7239" t="s">
        <v>10</v>
      </c>
      <c r="D7239" t="s">
        <v>487</v>
      </c>
      <c r="E7239">
        <f>1/114</f>
        <v>8.771929824561403E-3</v>
      </c>
      <c r="F7239">
        <v>32</v>
      </c>
      <c r="G7239">
        <f>LOG(382/(32+1))</f>
        <v>1.0635494230338212</v>
      </c>
      <c r="H7239">
        <f>0.0087719298245614*2.44891304714009</f>
        <v>2.1481693395965694E-2</v>
      </c>
      <c r="I7239">
        <v>2.1481693395965749E-2</v>
      </c>
    </row>
    <row r="7240" spans="1:9" x14ac:dyDescent="0.25">
      <c r="A7240">
        <v>354</v>
      </c>
      <c r="B7240" t="s">
        <v>2545</v>
      </c>
      <c r="C7240" t="s">
        <v>10</v>
      </c>
      <c r="D7240" t="s">
        <v>485</v>
      </c>
      <c r="E7240">
        <f>1/114</f>
        <v>8.771929824561403E-3</v>
      </c>
      <c r="F7240">
        <v>74</v>
      </c>
      <c r="G7240">
        <f>LOG(382/(74+1))</f>
        <v>0.7070020995200087</v>
      </c>
      <c r="H7240">
        <f>0.0087719298245614*1.62793249507026</f>
        <v>1.4280109605879467E-2</v>
      </c>
      <c r="I7240">
        <v>1.4280109605879511E-2</v>
      </c>
    </row>
    <row r="7241" spans="1:9" x14ac:dyDescent="0.25">
      <c r="A7241">
        <v>354</v>
      </c>
      <c r="B7241" t="s">
        <v>2545</v>
      </c>
      <c r="C7241" t="s">
        <v>10</v>
      </c>
      <c r="D7241" t="s">
        <v>77</v>
      </c>
      <c r="E7241">
        <f>2/114</f>
        <v>1.7543859649122806E-2</v>
      </c>
      <c r="F7241">
        <v>148</v>
      </c>
      <c r="G7241">
        <f>LOG(382/(148+1))</f>
        <v>0.40887709449943471</v>
      </c>
      <c r="H7241">
        <f>0.0175438596491228*0.941474302661116</f>
        <v>1.651709302914238E-2</v>
      </c>
      <c r="I7241">
        <v>1.651709302914239E-2</v>
      </c>
    </row>
    <row r="7242" spans="1:9" x14ac:dyDescent="0.25">
      <c r="A7242">
        <v>354</v>
      </c>
      <c r="B7242" t="s">
        <v>2545</v>
      </c>
      <c r="C7242" t="s">
        <v>10</v>
      </c>
      <c r="D7242" t="s">
        <v>726</v>
      </c>
      <c r="E7242">
        <f t="shared" ref="E7242:E7253" si="331">1/114</f>
        <v>8.771929824561403E-3</v>
      </c>
      <c r="F7242">
        <v>37</v>
      </c>
      <c r="G7242">
        <f>LOG(382/(37+1))</f>
        <v>1.0022797662948986</v>
      </c>
      <c r="H7242">
        <f>0.0087719298245614*2.30783444888018</f>
        <v>2.0244161832282271E-2</v>
      </c>
      <c r="I7242">
        <v>2.0244161832282361E-2</v>
      </c>
    </row>
    <row r="7243" spans="1:9" x14ac:dyDescent="0.25">
      <c r="A7243">
        <v>354</v>
      </c>
      <c r="B7243" t="s">
        <v>2545</v>
      </c>
      <c r="C7243" t="s">
        <v>10</v>
      </c>
      <c r="D7243" t="s">
        <v>932</v>
      </c>
      <c r="E7243">
        <f t="shared" si="331"/>
        <v>8.771929824561403E-3</v>
      </c>
      <c r="F7243">
        <v>35</v>
      </c>
      <c r="G7243">
        <f>LOG(382/(35+1))</f>
        <v>1.0257608621444214</v>
      </c>
      <c r="H7243">
        <f>0.0087719298245614*2.36190167015046</f>
        <v>2.07184357030742E-2</v>
      </c>
      <c r="I7243">
        <v>2.0718435703074248E-2</v>
      </c>
    </row>
    <row r="7244" spans="1:9" x14ac:dyDescent="0.25">
      <c r="A7244">
        <v>354</v>
      </c>
      <c r="B7244" t="s">
        <v>2545</v>
      </c>
      <c r="C7244" t="s">
        <v>10</v>
      </c>
      <c r="D7244" t="s">
        <v>322</v>
      </c>
      <c r="E7244">
        <f t="shared" si="331"/>
        <v>8.771929824561403E-3</v>
      </c>
      <c r="F7244">
        <v>128</v>
      </c>
      <c r="G7244">
        <f>LOG(382/(128+1))</f>
        <v>0.47147365261245977</v>
      </c>
      <c r="H7244">
        <f>0.0087719298245614*1.0856082042449</f>
        <v>9.5228789846043809E-3</v>
      </c>
      <c r="I7244">
        <v>9.5228789846044121E-3</v>
      </c>
    </row>
    <row r="7245" spans="1:9" x14ac:dyDescent="0.25">
      <c r="A7245">
        <v>354</v>
      </c>
      <c r="B7245" t="s">
        <v>2545</v>
      </c>
      <c r="C7245" t="s">
        <v>10</v>
      </c>
      <c r="D7245" t="s">
        <v>123</v>
      </c>
      <c r="E7245">
        <f t="shared" si="331"/>
        <v>8.771929824561403E-3</v>
      </c>
      <c r="F7245">
        <v>74</v>
      </c>
      <c r="G7245">
        <f>LOG(382/(74+1))</f>
        <v>0.7070020995200087</v>
      </c>
      <c r="H7245">
        <f>0.0087719298245614*1.62793249507026</f>
        <v>1.4280109605879467E-2</v>
      </c>
      <c r="I7245">
        <v>1.4280109605879511E-2</v>
      </c>
    </row>
    <row r="7246" spans="1:9" x14ac:dyDescent="0.25">
      <c r="A7246">
        <v>354</v>
      </c>
      <c r="B7246" t="s">
        <v>2545</v>
      </c>
      <c r="C7246" t="s">
        <v>10</v>
      </c>
      <c r="D7246" t="s">
        <v>2549</v>
      </c>
      <c r="E7246">
        <f t="shared" si="331"/>
        <v>8.771929824561403E-3</v>
      </c>
      <c r="F7246">
        <v>3</v>
      </c>
      <c r="G7246">
        <f>LOG(382/(3+1))</f>
        <v>1.9800033715837464</v>
      </c>
      <c r="H7246">
        <f>0.0087719298245614*4.55912624748668</f>
        <v>3.9992335504269103E-2</v>
      </c>
      <c r="I7246">
        <v>3.9992335504269158E-2</v>
      </c>
    </row>
    <row r="7247" spans="1:9" x14ac:dyDescent="0.25">
      <c r="A7247">
        <v>354</v>
      </c>
      <c r="B7247" t="s">
        <v>2545</v>
      </c>
      <c r="C7247" t="s">
        <v>10</v>
      </c>
      <c r="D7247" t="s">
        <v>2550</v>
      </c>
      <c r="E7247">
        <f t="shared" si="331"/>
        <v>8.771929824561403E-3</v>
      </c>
      <c r="F7247">
        <v>1</v>
      </c>
      <c r="G7247">
        <f>LOG(382/(1+1))</f>
        <v>2.2810333672477277</v>
      </c>
      <c r="H7247">
        <f>0.0087719298245614*5.25227342804663</f>
        <v>4.6072573930233576E-2</v>
      </c>
      <c r="I7247">
        <v>4.607257393023359E-2</v>
      </c>
    </row>
    <row r="7248" spans="1:9" x14ac:dyDescent="0.25">
      <c r="A7248">
        <v>354</v>
      </c>
      <c r="B7248" t="s">
        <v>2545</v>
      </c>
      <c r="C7248" t="s">
        <v>10</v>
      </c>
      <c r="D7248" t="s">
        <v>2551</v>
      </c>
      <c r="E7248">
        <f t="shared" si="331"/>
        <v>8.771929824561403E-3</v>
      </c>
      <c r="F7248">
        <v>1</v>
      </c>
      <c r="G7248">
        <f>LOG(382/(1+1))</f>
        <v>2.2810333672477277</v>
      </c>
      <c r="H7248">
        <f>0.0087719298245614*5.25227342804663</f>
        <v>4.6072573930233576E-2</v>
      </c>
      <c r="I7248">
        <v>4.607257393023359E-2</v>
      </c>
    </row>
    <row r="7249" spans="1:9" x14ac:dyDescent="0.25">
      <c r="A7249">
        <v>354</v>
      </c>
      <c r="B7249" t="s">
        <v>2545</v>
      </c>
      <c r="C7249" t="s">
        <v>10</v>
      </c>
      <c r="D7249" t="s">
        <v>363</v>
      </c>
      <c r="E7249">
        <f t="shared" si="331"/>
        <v>8.771929824561403E-3</v>
      </c>
      <c r="F7249">
        <v>36</v>
      </c>
      <c r="G7249">
        <f>LOG(382/(36+1))</f>
        <v>1.0138616388447137</v>
      </c>
      <c r="H7249">
        <f>0.0087719298245614*2.33450269596235</f>
        <v>2.0478093824231131E-2</v>
      </c>
      <c r="I7249">
        <v>2.0478093824231151E-2</v>
      </c>
    </row>
    <row r="7250" spans="1:9" x14ac:dyDescent="0.25">
      <c r="A7250">
        <v>354</v>
      </c>
      <c r="B7250" t="s">
        <v>2545</v>
      </c>
      <c r="C7250" t="s">
        <v>10</v>
      </c>
      <c r="D7250" t="s">
        <v>81</v>
      </c>
      <c r="E7250">
        <f t="shared" si="331"/>
        <v>8.771929824561403E-3</v>
      </c>
      <c r="F7250">
        <v>114</v>
      </c>
      <c r="G7250">
        <f>LOG(382/(114+1))</f>
        <v>0.52136552255809698</v>
      </c>
      <c r="H7250">
        <f>0.0087719298245614*1.20048848024332</f>
        <v>1.0530600703888768E-2</v>
      </c>
      <c r="I7250">
        <v>1.053060070388882E-2</v>
      </c>
    </row>
    <row r="7251" spans="1:9" x14ac:dyDescent="0.25">
      <c r="A7251">
        <v>354</v>
      </c>
      <c r="B7251" t="s">
        <v>2545</v>
      </c>
      <c r="C7251" t="s">
        <v>10</v>
      </c>
      <c r="D7251" t="s">
        <v>2552</v>
      </c>
      <c r="E7251">
        <f t="shared" si="331"/>
        <v>8.771929824561403E-3</v>
      </c>
      <c r="F7251">
        <v>1</v>
      </c>
      <c r="G7251">
        <f>LOG(382/(1+1))</f>
        <v>2.2810333672477277</v>
      </c>
      <c r="H7251">
        <f>0.0087719298245614*5.25227342804663</f>
        <v>4.6072573930233576E-2</v>
      </c>
      <c r="I7251">
        <v>4.607257393023359E-2</v>
      </c>
    </row>
    <row r="7252" spans="1:9" x14ac:dyDescent="0.25">
      <c r="A7252">
        <v>354</v>
      </c>
      <c r="B7252" t="s">
        <v>2545</v>
      </c>
      <c r="C7252" t="s">
        <v>10</v>
      </c>
      <c r="D7252" t="s">
        <v>2553</v>
      </c>
      <c r="E7252">
        <f t="shared" si="331"/>
        <v>8.771929824561403E-3</v>
      </c>
      <c r="F7252">
        <v>1</v>
      </c>
      <c r="G7252">
        <f>LOG(382/(1+1))</f>
        <v>2.2810333672477277</v>
      </c>
      <c r="H7252">
        <f>0.0087719298245614*5.25227342804663</f>
        <v>4.6072573930233576E-2</v>
      </c>
      <c r="I7252">
        <v>4.607257393023359E-2</v>
      </c>
    </row>
    <row r="7253" spans="1:9" x14ac:dyDescent="0.25">
      <c r="A7253">
        <v>354</v>
      </c>
      <c r="B7253" t="s">
        <v>2545</v>
      </c>
      <c r="C7253" t="s">
        <v>10</v>
      </c>
      <c r="D7253" t="s">
        <v>1855</v>
      </c>
      <c r="E7253">
        <f t="shared" si="331"/>
        <v>8.771929824561403E-3</v>
      </c>
      <c r="F7253">
        <v>17</v>
      </c>
      <c r="G7253">
        <f>LOG(382/(17+1))</f>
        <v>1.3267908578084027</v>
      </c>
      <c r="H7253">
        <f>0.0087719298245614*3.05504885071041</f>
        <v>2.679867412903867E-2</v>
      </c>
      <c r="I7253">
        <v>2.6798674129038681E-2</v>
      </c>
    </row>
    <row r="7254" spans="1:9" x14ac:dyDescent="0.25">
      <c r="A7254">
        <v>354</v>
      </c>
      <c r="B7254" t="s">
        <v>2545</v>
      </c>
      <c r="C7254" t="s">
        <v>10</v>
      </c>
      <c r="D7254" t="s">
        <v>331</v>
      </c>
      <c r="E7254">
        <f>3/114</f>
        <v>2.6315789473684209E-2</v>
      </c>
      <c r="F7254">
        <v>130</v>
      </c>
      <c r="G7254">
        <f>LOG(382/(130+1))</f>
        <v>0.46479206725594452</v>
      </c>
      <c r="H7254">
        <f>0.0263157894736842*1.07022328540542</f>
        <v>2.8163770668563674E-2</v>
      </c>
      <c r="I7254">
        <v>2.8163770668563778E-2</v>
      </c>
    </row>
    <row r="7255" spans="1:9" x14ac:dyDescent="0.25">
      <c r="A7255">
        <v>354</v>
      </c>
      <c r="B7255" t="s">
        <v>2545</v>
      </c>
      <c r="C7255" t="s">
        <v>10</v>
      </c>
      <c r="D7255" t="s">
        <v>754</v>
      </c>
      <c r="E7255">
        <f>2/114</f>
        <v>1.7543859649122806E-2</v>
      </c>
      <c r="F7255">
        <v>111</v>
      </c>
      <c r="G7255">
        <f>LOG(382/(111+1))</f>
        <v>0.53284534024152708</v>
      </c>
      <c r="H7255">
        <f>0.0175438596491228*1.22692173731148</f>
        <v>2.1524942759850518E-2</v>
      </c>
      <c r="I7255">
        <v>2.1524942759850538E-2</v>
      </c>
    </row>
    <row r="7256" spans="1:9" x14ac:dyDescent="0.25">
      <c r="A7256">
        <v>354</v>
      </c>
      <c r="B7256" t="s">
        <v>2545</v>
      </c>
      <c r="C7256" t="s">
        <v>10</v>
      </c>
      <c r="D7256" t="s">
        <v>1397</v>
      </c>
      <c r="E7256">
        <f>1/114</f>
        <v>8.771929824561403E-3</v>
      </c>
      <c r="F7256">
        <v>29</v>
      </c>
      <c r="G7256">
        <f>LOG(382/(29+1))</f>
        <v>1.1049421081920463</v>
      </c>
      <c r="H7256">
        <f>0.0087719298245614*2.54422322694442</f>
        <v>2.2317747604775603E-2</v>
      </c>
      <c r="I7256">
        <v>2.231774760477561E-2</v>
      </c>
    </row>
    <row r="7257" spans="1:9" x14ac:dyDescent="0.25">
      <c r="A7257">
        <v>354</v>
      </c>
      <c r="B7257" t="s">
        <v>2545</v>
      </c>
      <c r="C7257" t="s">
        <v>10</v>
      </c>
      <c r="D7257" t="s">
        <v>1076</v>
      </c>
      <c r="E7257">
        <f>1/114</f>
        <v>8.771929824561403E-3</v>
      </c>
      <c r="F7257">
        <v>13</v>
      </c>
      <c r="G7257">
        <f>LOG(382/(13+1))</f>
        <v>1.4359353272334707</v>
      </c>
      <c r="H7257">
        <f>0.0087719298245614*3.30636327899131</f>
        <v>2.9003186657818498E-2</v>
      </c>
      <c r="I7257">
        <v>2.900318665781856E-2</v>
      </c>
    </row>
    <row r="7258" spans="1:9" x14ac:dyDescent="0.25">
      <c r="A7258">
        <v>354</v>
      </c>
      <c r="B7258" t="s">
        <v>2545</v>
      </c>
      <c r="C7258" t="s">
        <v>10</v>
      </c>
      <c r="D7258" t="s">
        <v>2554</v>
      </c>
      <c r="E7258">
        <f>2/114</f>
        <v>1.7543859649122806E-2</v>
      </c>
      <c r="F7258">
        <v>22</v>
      </c>
      <c r="G7258">
        <f>LOG(382/(22+1))</f>
        <v>1.2203355268941158</v>
      </c>
      <c r="H7258">
        <f>0.0175438596491228*2.80992639267742</f>
        <v>4.9296954257498568E-2</v>
      </c>
      <c r="I7258">
        <v>4.9296954257498693E-2</v>
      </c>
    </row>
    <row r="7259" spans="1:9" x14ac:dyDescent="0.25">
      <c r="A7259">
        <v>354</v>
      </c>
      <c r="B7259" t="s">
        <v>2545</v>
      </c>
      <c r="C7259" t="s">
        <v>10</v>
      </c>
      <c r="D7259" t="s">
        <v>593</v>
      </c>
      <c r="E7259">
        <f>1/114</f>
        <v>8.771929824561403E-3</v>
      </c>
      <c r="F7259">
        <v>30</v>
      </c>
      <c r="G7259">
        <f>LOG(382/(30+1))</f>
        <v>1.090701669077436</v>
      </c>
      <c r="H7259">
        <f>0.0087719298245614*2.51143340412142</f>
        <v>2.2030117580012446E-2</v>
      </c>
      <c r="I7259">
        <v>2.2030117580012529E-2</v>
      </c>
    </row>
    <row r="7260" spans="1:9" x14ac:dyDescent="0.25">
      <c r="A7260">
        <v>354</v>
      </c>
      <c r="B7260" t="s">
        <v>2545</v>
      </c>
      <c r="C7260" t="s">
        <v>10</v>
      </c>
      <c r="D7260" t="s">
        <v>594</v>
      </c>
      <c r="E7260">
        <f>2/114</f>
        <v>1.7543859649122806E-2</v>
      </c>
      <c r="F7260">
        <v>36</v>
      </c>
      <c r="G7260">
        <f>LOG(382/(36+1))</f>
        <v>1.0138616388447137</v>
      </c>
      <c r="H7260">
        <f>0.0175438596491228*2.33450269596235</f>
        <v>4.0956187648462261E-2</v>
      </c>
      <c r="I7260">
        <v>4.0956187648462303E-2</v>
      </c>
    </row>
    <row r="7261" spans="1:9" x14ac:dyDescent="0.25">
      <c r="A7261">
        <v>354</v>
      </c>
      <c r="B7261" t="s">
        <v>2545</v>
      </c>
      <c r="C7261" t="s">
        <v>10</v>
      </c>
      <c r="D7261" t="s">
        <v>324</v>
      </c>
      <c r="E7261">
        <f t="shared" ref="E7261:E7281" si="332">1/114</f>
        <v>8.771929824561403E-3</v>
      </c>
      <c r="F7261">
        <v>82</v>
      </c>
      <c r="G7261">
        <f>LOG(382/(82+1))</f>
        <v>0.66298527053563483</v>
      </c>
      <c r="H7261">
        <f>0.0087719298245614*1.52658000080997</f>
        <v>1.3391052638683941E-2</v>
      </c>
      <c r="I7261">
        <v>1.3391052638684011E-2</v>
      </c>
    </row>
    <row r="7262" spans="1:9" x14ac:dyDescent="0.25">
      <c r="A7262">
        <v>354</v>
      </c>
      <c r="B7262" t="s">
        <v>2545</v>
      </c>
      <c r="C7262" t="s">
        <v>10</v>
      </c>
      <c r="D7262" t="s">
        <v>338</v>
      </c>
      <c r="E7262">
        <f t="shared" si="332"/>
        <v>8.771929824561403E-3</v>
      </c>
      <c r="F7262">
        <v>54</v>
      </c>
      <c r="G7262">
        <f>LOG(382/(54+1))</f>
        <v>0.84170067341746491</v>
      </c>
      <c r="H7262">
        <f>0.0087719298245614*1.9380874233741</f>
        <v>1.7000766871702624E-2</v>
      </c>
      <c r="I7262">
        <v>1.7000766871702669E-2</v>
      </c>
    </row>
    <row r="7263" spans="1:9" x14ac:dyDescent="0.25">
      <c r="A7263">
        <v>354</v>
      </c>
      <c r="B7263" t="s">
        <v>2545</v>
      </c>
      <c r="C7263" t="s">
        <v>10</v>
      </c>
      <c r="D7263" t="s">
        <v>362</v>
      </c>
      <c r="E7263">
        <f t="shared" si="332"/>
        <v>8.771929824561403E-3</v>
      </c>
      <c r="F7263">
        <v>81</v>
      </c>
      <c r="G7263">
        <f>LOG(382/(81+1))</f>
        <v>0.66824951052799197</v>
      </c>
      <c r="H7263">
        <f>0.0087719298245614*1.53870136134232</f>
        <v>1.3497380362651924E-2</v>
      </c>
      <c r="I7263">
        <v>1.349738036265195E-2</v>
      </c>
    </row>
    <row r="7264" spans="1:9" x14ac:dyDescent="0.25">
      <c r="A7264">
        <v>354</v>
      </c>
      <c r="B7264" t="s">
        <v>2545</v>
      </c>
      <c r="C7264" t="s">
        <v>10</v>
      </c>
      <c r="D7264" t="s">
        <v>2462</v>
      </c>
      <c r="E7264">
        <f t="shared" si="332"/>
        <v>8.771929824561403E-3</v>
      </c>
      <c r="F7264">
        <v>3</v>
      </c>
      <c r="G7264">
        <f>LOG(382/(3+1))</f>
        <v>1.9800033715837464</v>
      </c>
      <c r="H7264">
        <f>0.0087719298245614*4.55912624748668</f>
        <v>3.9992335504269103E-2</v>
      </c>
      <c r="I7264">
        <v>3.9992335504269158E-2</v>
      </c>
    </row>
    <row r="7265" spans="1:9" x14ac:dyDescent="0.25">
      <c r="A7265">
        <v>354</v>
      </c>
      <c r="B7265" t="s">
        <v>2545</v>
      </c>
      <c r="C7265" t="s">
        <v>10</v>
      </c>
      <c r="D7265" t="s">
        <v>1921</v>
      </c>
      <c r="E7265">
        <f t="shared" si="332"/>
        <v>8.771929824561403E-3</v>
      </c>
      <c r="F7265">
        <v>37</v>
      </c>
      <c r="G7265">
        <f>LOG(382/(37+1))</f>
        <v>1.0022797662948986</v>
      </c>
      <c r="H7265">
        <f>0.0087719298245614*2.30783444888018</f>
        <v>2.0244161832282271E-2</v>
      </c>
      <c r="I7265">
        <v>2.0244161832282361E-2</v>
      </c>
    </row>
    <row r="7266" spans="1:9" x14ac:dyDescent="0.25">
      <c r="A7266">
        <v>354</v>
      </c>
      <c r="B7266" t="s">
        <v>2545</v>
      </c>
      <c r="C7266" t="s">
        <v>10</v>
      </c>
      <c r="D7266" t="s">
        <v>82</v>
      </c>
      <c r="E7266">
        <f t="shared" si="332"/>
        <v>8.771929824561403E-3</v>
      </c>
      <c r="F7266">
        <v>92</v>
      </c>
      <c r="G7266">
        <f>LOG(382/(92+1))</f>
        <v>0.61358041435777355</v>
      </c>
      <c r="H7266">
        <f>0.0087719298245614*1.41282111545331</f>
        <v>1.2393167679414993E-2</v>
      </c>
      <c r="I7266">
        <v>1.239316767941508E-2</v>
      </c>
    </row>
    <row r="7267" spans="1:9" x14ac:dyDescent="0.25">
      <c r="A7267">
        <v>354</v>
      </c>
      <c r="B7267" t="s">
        <v>2545</v>
      </c>
      <c r="C7267" t="s">
        <v>10</v>
      </c>
      <c r="D7267" t="s">
        <v>1922</v>
      </c>
      <c r="E7267">
        <f t="shared" si="332"/>
        <v>8.771929824561403E-3</v>
      </c>
      <c r="F7267">
        <v>15</v>
      </c>
      <c r="G7267">
        <f>LOG(382/(15+1))</f>
        <v>1.3779433802557839</v>
      </c>
      <c r="H7267">
        <f>0.0087719298245614*3.17283188636679</f>
        <v>2.7831858652340252E-2</v>
      </c>
      <c r="I7267">
        <v>2.7831858652340301E-2</v>
      </c>
    </row>
    <row r="7268" spans="1:9" x14ac:dyDescent="0.25">
      <c r="A7268">
        <v>354</v>
      </c>
      <c r="B7268" t="s">
        <v>2545</v>
      </c>
      <c r="C7268" t="s">
        <v>10</v>
      </c>
      <c r="D7268" t="s">
        <v>2555</v>
      </c>
      <c r="E7268">
        <f t="shared" si="332"/>
        <v>8.771929824561403E-3</v>
      </c>
      <c r="F7268">
        <v>1</v>
      </c>
      <c r="G7268">
        <f>LOG(382/(1+1))</f>
        <v>2.2810333672477277</v>
      </c>
      <c r="H7268">
        <f>0.0087719298245614*5.25227342804663</f>
        <v>4.6072573930233576E-2</v>
      </c>
      <c r="I7268">
        <v>4.607257393023359E-2</v>
      </c>
    </row>
    <row r="7269" spans="1:9" x14ac:dyDescent="0.25">
      <c r="A7269">
        <v>354</v>
      </c>
      <c r="B7269" t="s">
        <v>2545</v>
      </c>
      <c r="C7269" t="s">
        <v>10</v>
      </c>
      <c r="D7269" t="s">
        <v>216</v>
      </c>
      <c r="E7269">
        <f t="shared" si="332"/>
        <v>8.771929824561403E-3</v>
      </c>
      <c r="F7269">
        <v>63</v>
      </c>
      <c r="G7269">
        <f>LOG(382/(63+1))</f>
        <v>0.7758833889278216</v>
      </c>
      <c r="H7269">
        <f>0.0087719298245614*1.7865375252469</f>
        <v>1.5671381800411395E-2</v>
      </c>
      <c r="I7269">
        <v>1.567138180041143E-2</v>
      </c>
    </row>
    <row r="7270" spans="1:9" x14ac:dyDescent="0.25">
      <c r="A7270">
        <v>354</v>
      </c>
      <c r="B7270" t="s">
        <v>2545</v>
      </c>
      <c r="C7270" t="s">
        <v>10</v>
      </c>
      <c r="D7270" t="s">
        <v>1303</v>
      </c>
      <c r="E7270">
        <f t="shared" si="332"/>
        <v>8.771929824561403E-3</v>
      </c>
      <c r="F7270">
        <v>17</v>
      </c>
      <c r="G7270">
        <f>LOG(382/(17+1))</f>
        <v>1.3267908578084027</v>
      </c>
      <c r="H7270">
        <f>0.0087719298245614*3.05504885071041</f>
        <v>2.679867412903867E-2</v>
      </c>
      <c r="I7270">
        <v>2.6798674129038681E-2</v>
      </c>
    </row>
    <row r="7271" spans="1:9" x14ac:dyDescent="0.25">
      <c r="A7271">
        <v>354</v>
      </c>
      <c r="B7271" t="s">
        <v>2545</v>
      </c>
      <c r="C7271" t="s">
        <v>10</v>
      </c>
      <c r="D7271" t="s">
        <v>1012</v>
      </c>
      <c r="E7271">
        <f t="shared" si="332"/>
        <v>8.771929824561403E-3</v>
      </c>
      <c r="F7271">
        <v>17</v>
      </c>
      <c r="G7271">
        <f>LOG(382/(17+1))</f>
        <v>1.3267908578084027</v>
      </c>
      <c r="H7271">
        <f>0.0087719298245614*3.05504885071041</f>
        <v>2.679867412903867E-2</v>
      </c>
      <c r="I7271">
        <v>2.6798674129038681E-2</v>
      </c>
    </row>
    <row r="7272" spans="1:9" x14ac:dyDescent="0.25">
      <c r="A7272">
        <v>354</v>
      </c>
      <c r="B7272" t="s">
        <v>2545</v>
      </c>
      <c r="C7272" t="s">
        <v>10</v>
      </c>
      <c r="D7272" t="s">
        <v>1398</v>
      </c>
      <c r="E7272">
        <f t="shared" si="332"/>
        <v>8.771929824561403E-3</v>
      </c>
      <c r="F7272">
        <v>29</v>
      </c>
      <c r="G7272">
        <f>LOG(382/(29+1))</f>
        <v>1.1049421081920463</v>
      </c>
      <c r="H7272">
        <f>0.0087719298245614*2.54422322694442</f>
        <v>2.2317747604775603E-2</v>
      </c>
      <c r="I7272">
        <v>2.231774760477561E-2</v>
      </c>
    </row>
    <row r="7273" spans="1:9" x14ac:dyDescent="0.25">
      <c r="A7273">
        <v>354</v>
      </c>
      <c r="B7273" t="s">
        <v>2545</v>
      </c>
      <c r="C7273" t="s">
        <v>10</v>
      </c>
      <c r="D7273" t="s">
        <v>542</v>
      </c>
      <c r="E7273">
        <f t="shared" si="332"/>
        <v>8.771929824561403E-3</v>
      </c>
      <c r="F7273">
        <v>42</v>
      </c>
      <c r="G7273">
        <f>LOG(382/(42+1))</f>
        <v>0.94859490733212215</v>
      </c>
      <c r="H7273">
        <f>0.0087719298245614*2.18422049291301</f>
        <v>1.9159828885201832E-2</v>
      </c>
      <c r="I7273">
        <v>1.915982888520187E-2</v>
      </c>
    </row>
    <row r="7274" spans="1:9" x14ac:dyDescent="0.25">
      <c r="A7274">
        <v>354</v>
      </c>
      <c r="B7274" t="s">
        <v>2545</v>
      </c>
      <c r="C7274" t="s">
        <v>10</v>
      </c>
      <c r="D7274" t="s">
        <v>2556</v>
      </c>
      <c r="E7274">
        <f t="shared" si="332"/>
        <v>8.771929824561403E-3</v>
      </c>
      <c r="F7274">
        <v>1</v>
      </c>
      <c r="G7274">
        <f>LOG(382/(1+1))</f>
        <v>2.2810333672477277</v>
      </c>
      <c r="H7274">
        <f>0.0087719298245614*5.25227342804663</f>
        <v>4.6072573930233576E-2</v>
      </c>
      <c r="I7274">
        <v>4.607257393023359E-2</v>
      </c>
    </row>
    <row r="7275" spans="1:9" x14ac:dyDescent="0.25">
      <c r="A7275">
        <v>354</v>
      </c>
      <c r="B7275" t="s">
        <v>2545</v>
      </c>
      <c r="C7275" t="s">
        <v>10</v>
      </c>
      <c r="D7275" t="s">
        <v>1433</v>
      </c>
      <c r="E7275">
        <f t="shared" si="332"/>
        <v>8.771929824561403E-3</v>
      </c>
      <c r="F7275">
        <v>21</v>
      </c>
      <c r="G7275">
        <f>LOG(382/(21+1))</f>
        <v>1.2396406820895025</v>
      </c>
      <c r="H7275">
        <f>0.0087719298245614*2.85437815524825</f>
        <v>2.5038404870598673E-2</v>
      </c>
      <c r="I7275">
        <v>2.503840487059876E-2</v>
      </c>
    </row>
    <row r="7276" spans="1:9" x14ac:dyDescent="0.25">
      <c r="A7276">
        <v>354</v>
      </c>
      <c r="B7276" t="s">
        <v>2545</v>
      </c>
      <c r="C7276" t="s">
        <v>10</v>
      </c>
      <c r="D7276" t="s">
        <v>1473</v>
      </c>
      <c r="E7276">
        <f t="shared" si="332"/>
        <v>8.771929824561403E-3</v>
      </c>
      <c r="F7276">
        <v>39</v>
      </c>
      <c r="G7276">
        <f>LOG(382/(39+1))</f>
        <v>0.9800033715837464</v>
      </c>
      <c r="H7276">
        <f>0.0087719298245614*2.25654115449263</f>
        <v>1.9794220653444116E-2</v>
      </c>
      <c r="I7276">
        <v>1.9794220653444199E-2</v>
      </c>
    </row>
    <row r="7277" spans="1:9" x14ac:dyDescent="0.25">
      <c r="A7277">
        <v>354</v>
      </c>
      <c r="B7277" t="s">
        <v>2545</v>
      </c>
      <c r="C7277" t="s">
        <v>10</v>
      </c>
      <c r="D7277" t="s">
        <v>2557</v>
      </c>
      <c r="E7277">
        <f t="shared" si="332"/>
        <v>8.771929824561403E-3</v>
      </c>
      <c r="F7277">
        <v>2</v>
      </c>
      <c r="G7277">
        <f>LOG(382/(2+1))</f>
        <v>2.1049421081920463</v>
      </c>
      <c r="H7277">
        <f>0.0087719298245614*4.84680831993846</f>
        <v>4.2515862455600503E-2</v>
      </c>
      <c r="I7277">
        <v>4.2515862455600573E-2</v>
      </c>
    </row>
    <row r="7278" spans="1:9" x14ac:dyDescent="0.25">
      <c r="A7278">
        <v>354</v>
      </c>
      <c r="B7278" t="s">
        <v>2545</v>
      </c>
      <c r="C7278" t="s">
        <v>10</v>
      </c>
      <c r="D7278" t="s">
        <v>1405</v>
      </c>
      <c r="E7278">
        <f t="shared" si="332"/>
        <v>8.771929824561403E-3</v>
      </c>
      <c r="F7278">
        <v>14</v>
      </c>
      <c r="G7278">
        <f>LOG(382/(14+1))</f>
        <v>1.4059721038560276</v>
      </c>
      <c r="H7278">
        <f>0.0087719298245614*3.23737040750436</f>
        <v>2.8397986030739987E-2</v>
      </c>
      <c r="I7278">
        <v>2.8397986030740039E-2</v>
      </c>
    </row>
    <row r="7279" spans="1:9" x14ac:dyDescent="0.25">
      <c r="A7279">
        <v>354</v>
      </c>
      <c r="B7279" t="s">
        <v>2545</v>
      </c>
      <c r="C7279" t="s">
        <v>10</v>
      </c>
      <c r="D7279" t="s">
        <v>863</v>
      </c>
      <c r="E7279">
        <f t="shared" si="332"/>
        <v>8.771929824561403E-3</v>
      </c>
      <c r="F7279">
        <v>14</v>
      </c>
      <c r="G7279">
        <f>LOG(382/(14+1))</f>
        <v>1.4059721038560276</v>
      </c>
      <c r="H7279">
        <f>0.0087719298245614*3.23737040750436</f>
        <v>2.8397986030739987E-2</v>
      </c>
      <c r="I7279">
        <v>2.8397986030740039E-2</v>
      </c>
    </row>
    <row r="7280" spans="1:9" x14ac:dyDescent="0.25">
      <c r="A7280">
        <v>354</v>
      </c>
      <c r="B7280" t="s">
        <v>2545</v>
      </c>
      <c r="C7280" t="s">
        <v>10</v>
      </c>
      <c r="D7280" t="s">
        <v>361</v>
      </c>
      <c r="E7280">
        <f t="shared" si="332"/>
        <v>8.771929824561403E-3</v>
      </c>
      <c r="F7280">
        <v>118</v>
      </c>
      <c r="G7280">
        <f>LOG(382/(118+1))</f>
        <v>0.50651640151917798</v>
      </c>
      <c r="H7280">
        <f>0.0087719298245614*1.16629711549504</f>
        <v>1.0230676451710871E-2</v>
      </c>
      <c r="I7280">
        <v>1.023067645171093E-2</v>
      </c>
    </row>
    <row r="7281" spans="1:9" x14ac:dyDescent="0.25">
      <c r="A7281">
        <v>354</v>
      </c>
      <c r="B7281" t="s">
        <v>2545</v>
      </c>
      <c r="C7281" t="s">
        <v>10</v>
      </c>
      <c r="D7281" t="s">
        <v>147</v>
      </c>
      <c r="E7281">
        <f t="shared" si="332"/>
        <v>8.771929824561403E-3</v>
      </c>
      <c r="F7281">
        <v>48</v>
      </c>
      <c r="G7281">
        <f>LOG(382/(48+1))</f>
        <v>0.89186728288319506</v>
      </c>
      <c r="H7281">
        <f>0.0087719298245614*2.05360031049594</f>
        <v>1.8014037811367886E-2</v>
      </c>
      <c r="I7281">
        <v>1.8014037811367969E-2</v>
      </c>
    </row>
    <row r="7282" spans="1:9" x14ac:dyDescent="0.25">
      <c r="A7282">
        <v>354</v>
      </c>
      <c r="B7282" t="s">
        <v>2545</v>
      </c>
      <c r="C7282" t="s">
        <v>10</v>
      </c>
      <c r="D7282" t="s">
        <v>600</v>
      </c>
      <c r="E7282">
        <f>2/114</f>
        <v>1.7543859649122806E-2</v>
      </c>
      <c r="F7282">
        <v>102</v>
      </c>
      <c r="G7282">
        <f>LOG(382/(102+1))</f>
        <v>0.56922613820653656</v>
      </c>
      <c r="H7282">
        <f>0.0175438596491228*1.31069162037693</f>
        <v>2.2994589831174202E-2</v>
      </c>
      <c r="I7282">
        <v>2.2994589831174379E-2</v>
      </c>
    </row>
    <row r="7283" spans="1:9" x14ac:dyDescent="0.25">
      <c r="A7283">
        <v>354</v>
      </c>
      <c r="B7283" t="s">
        <v>2545</v>
      </c>
      <c r="C7283" t="s">
        <v>10</v>
      </c>
      <c r="D7283" t="s">
        <v>2558</v>
      </c>
      <c r="E7283">
        <f>1/114</f>
        <v>8.771929824561403E-3</v>
      </c>
      <c r="F7283">
        <v>1</v>
      </c>
      <c r="G7283">
        <f>LOG(382/(1+1))</f>
        <v>2.2810333672477277</v>
      </c>
      <c r="H7283">
        <f>0.0087719298245614*5.25227342804663</f>
        <v>4.6072573930233576E-2</v>
      </c>
      <c r="I7283">
        <v>4.607257393023359E-2</v>
      </c>
    </row>
    <row r="7284" spans="1:9" x14ac:dyDescent="0.25">
      <c r="A7284">
        <v>354</v>
      </c>
      <c r="B7284" t="s">
        <v>2545</v>
      </c>
      <c r="C7284" t="s">
        <v>10</v>
      </c>
      <c r="D7284" t="s">
        <v>596</v>
      </c>
      <c r="E7284">
        <f>1/114</f>
        <v>8.771929824561403E-3</v>
      </c>
      <c r="F7284">
        <v>60</v>
      </c>
      <c r="G7284">
        <f>LOG(382/(60+1))</f>
        <v>0.79673352790094176</v>
      </c>
      <c r="H7284">
        <f>0.0087719298245614*1.83454674443326</f>
        <v>1.6092515302046133E-2</v>
      </c>
      <c r="I7284">
        <v>1.6092515302046171E-2</v>
      </c>
    </row>
    <row r="7285" spans="1:9" x14ac:dyDescent="0.25">
      <c r="A7285">
        <v>354</v>
      </c>
      <c r="B7285" t="s">
        <v>2545</v>
      </c>
      <c r="C7285" t="s">
        <v>10</v>
      </c>
      <c r="D7285" t="s">
        <v>201</v>
      </c>
      <c r="E7285">
        <f>1/114</f>
        <v>8.771929824561403E-3</v>
      </c>
      <c r="F7285">
        <v>72</v>
      </c>
      <c r="G7285">
        <f>LOG(382/(72+1))</f>
        <v>0.71874050279125279</v>
      </c>
      <c r="H7285">
        <f>0.0087719298245614*1.65496116745818</f>
        <v>1.451720322331736E-2</v>
      </c>
      <c r="I7285">
        <v>1.45172032233174E-2</v>
      </c>
    </row>
    <row r="7286" spans="1:9" x14ac:dyDescent="0.25">
      <c r="A7286">
        <v>354</v>
      </c>
      <c r="B7286" t="s">
        <v>2545</v>
      </c>
      <c r="C7286" t="s">
        <v>10</v>
      </c>
      <c r="D7286" t="s">
        <v>1626</v>
      </c>
      <c r="E7286">
        <f>1/114</f>
        <v>8.771929824561403E-3</v>
      </c>
      <c r="F7286">
        <v>32</v>
      </c>
      <c r="G7286">
        <f>LOG(382/(32+1))</f>
        <v>1.0635494230338212</v>
      </c>
      <c r="H7286">
        <f>0.0087719298245614*2.44891304714009</f>
        <v>2.1481693395965694E-2</v>
      </c>
      <c r="I7286">
        <v>2.1481693395965749E-2</v>
      </c>
    </row>
    <row r="7287" spans="1:9" x14ac:dyDescent="0.25">
      <c r="A7287">
        <v>354</v>
      </c>
      <c r="B7287" t="s">
        <v>2545</v>
      </c>
      <c r="C7287" t="s">
        <v>10</v>
      </c>
      <c r="D7287" t="s">
        <v>236</v>
      </c>
      <c r="E7287">
        <f>2/114</f>
        <v>1.7543859649122806E-2</v>
      </c>
      <c r="F7287">
        <v>87</v>
      </c>
      <c r="G7287">
        <f>LOG(382/(87+1))</f>
        <v>0.63758069076154011</v>
      </c>
      <c r="H7287">
        <f>0.0175438596491228*1.46808379412836</f>
        <v>2.5755856037339639E-2</v>
      </c>
      <c r="I7287">
        <v>2.5755856037339799E-2</v>
      </c>
    </row>
    <row r="7288" spans="1:9" x14ac:dyDescent="0.25">
      <c r="A7288">
        <v>354</v>
      </c>
      <c r="B7288" t="s">
        <v>2545</v>
      </c>
      <c r="C7288" t="s">
        <v>10</v>
      </c>
      <c r="D7288" t="s">
        <v>1469</v>
      </c>
      <c r="E7288">
        <f>2/114</f>
        <v>1.7543859649122806E-2</v>
      </c>
      <c r="F7288">
        <v>24</v>
      </c>
      <c r="G7288">
        <f>LOG(382/(24+1))</f>
        <v>1.1841233542396712</v>
      </c>
      <c r="H7288">
        <f>0.0175438596491228*2.72654478373837</f>
        <v>4.7834119012953834E-2</v>
      </c>
      <c r="I7288">
        <v>4.7834119012953931E-2</v>
      </c>
    </row>
    <row r="7289" spans="1:9" x14ac:dyDescent="0.25">
      <c r="A7289">
        <v>354</v>
      </c>
      <c r="B7289" t="s">
        <v>2545</v>
      </c>
      <c r="C7289" t="s">
        <v>10</v>
      </c>
      <c r="D7289" t="s">
        <v>439</v>
      </c>
      <c r="E7289">
        <f>1/114</f>
        <v>8.771929824561403E-3</v>
      </c>
      <c r="F7289">
        <v>28</v>
      </c>
      <c r="G7289">
        <f>LOG(382/(28+1))</f>
        <v>1.1196653650127526</v>
      </c>
      <c r="H7289">
        <f>0.0087719298245614*2.5781247786201</f>
        <v>2.2615129637018408E-2</v>
      </c>
      <c r="I7289">
        <v>2.2615129637018429E-2</v>
      </c>
    </row>
    <row r="7290" spans="1:9" x14ac:dyDescent="0.25">
      <c r="A7290">
        <v>354</v>
      </c>
      <c r="B7290" t="s">
        <v>2545</v>
      </c>
      <c r="C7290" t="s">
        <v>10</v>
      </c>
      <c r="D7290" t="s">
        <v>2476</v>
      </c>
      <c r="E7290">
        <f>1/114</f>
        <v>8.771929824561403E-3</v>
      </c>
      <c r="F7290">
        <v>12</v>
      </c>
      <c r="G7290">
        <f>LOG(382/(12+1))</f>
        <v>1.468120010604872</v>
      </c>
      <c r="H7290">
        <f>0.0087719298245614*3.38047125114503</f>
        <v>2.965325658899148E-2</v>
      </c>
      <c r="I7290">
        <v>2.965325658899156E-2</v>
      </c>
    </row>
    <row r="7291" spans="1:9" x14ac:dyDescent="0.25">
      <c r="A7291">
        <v>354</v>
      </c>
      <c r="B7291" t="s">
        <v>2545</v>
      </c>
      <c r="C7291" t="s">
        <v>10</v>
      </c>
      <c r="D7291" t="s">
        <v>2125</v>
      </c>
      <c r="E7291">
        <f>1/114</f>
        <v>8.771929824561403E-3</v>
      </c>
      <c r="F7291">
        <v>2</v>
      </c>
      <c r="G7291">
        <f>LOG(382/(2+1))</f>
        <v>2.1049421081920463</v>
      </c>
      <c r="H7291">
        <f>0.0087719298245614*4.84680831993846</f>
        <v>4.2515862455600503E-2</v>
      </c>
      <c r="I7291">
        <v>4.2515862455600573E-2</v>
      </c>
    </row>
    <row r="7292" spans="1:9" x14ac:dyDescent="0.25">
      <c r="A7292">
        <v>354</v>
      </c>
      <c r="B7292" t="s">
        <v>2545</v>
      </c>
      <c r="C7292" t="s">
        <v>10</v>
      </c>
      <c r="D7292" t="s">
        <v>309</v>
      </c>
      <c r="E7292">
        <f>1/114</f>
        <v>8.771929824561403E-3</v>
      </c>
      <c r="F7292">
        <v>25</v>
      </c>
      <c r="G7292">
        <f>LOG(382/(25+1))</f>
        <v>1.1670900149408907</v>
      </c>
      <c r="H7292">
        <f>0.0087719298245614*2.68732407058509</f>
        <v>2.3573018163027096E-2</v>
      </c>
      <c r="I7292">
        <v>2.3573018163027131E-2</v>
      </c>
    </row>
    <row r="7293" spans="1:9" x14ac:dyDescent="0.25">
      <c r="A7293">
        <v>354</v>
      </c>
      <c r="B7293" t="s">
        <v>2545</v>
      </c>
      <c r="C7293" t="s">
        <v>10</v>
      </c>
      <c r="D7293" t="s">
        <v>763</v>
      </c>
      <c r="E7293">
        <f>2/114</f>
        <v>1.7543859649122806E-2</v>
      </c>
      <c r="F7293">
        <v>47</v>
      </c>
      <c r="G7293">
        <f>LOG(382/(47+1))</f>
        <v>0.90082212553612151</v>
      </c>
      <c r="H7293">
        <f>0.0175438596491228*2.07421959769868</f>
        <v>3.6389817503485598E-2</v>
      </c>
      <c r="I7293">
        <v>3.6389817503485682E-2</v>
      </c>
    </row>
    <row r="7294" spans="1:9" x14ac:dyDescent="0.25">
      <c r="A7294">
        <v>354</v>
      </c>
      <c r="B7294" t="s">
        <v>2545</v>
      </c>
      <c r="C7294" t="s">
        <v>10</v>
      </c>
      <c r="D7294" t="s">
        <v>1831</v>
      </c>
      <c r="E7294">
        <f t="shared" ref="E7294:E7306" si="333">1/114</f>
        <v>8.771929824561403E-3</v>
      </c>
      <c r="F7294">
        <v>28</v>
      </c>
      <c r="G7294">
        <f>LOG(382/(28+1))</f>
        <v>1.1196653650127526</v>
      </c>
      <c r="H7294">
        <f>0.0087719298245614*2.5781247786201</f>
        <v>2.2615129637018408E-2</v>
      </c>
      <c r="I7294">
        <v>2.2615129637018429E-2</v>
      </c>
    </row>
    <row r="7295" spans="1:9" x14ac:dyDescent="0.25">
      <c r="A7295">
        <v>354</v>
      </c>
      <c r="B7295" t="s">
        <v>2545</v>
      </c>
      <c r="C7295" t="s">
        <v>10</v>
      </c>
      <c r="D7295" t="s">
        <v>1098</v>
      </c>
      <c r="E7295">
        <f t="shared" si="333"/>
        <v>8.771929824561403E-3</v>
      </c>
      <c r="F7295">
        <v>19</v>
      </c>
      <c r="G7295">
        <f>LOG(382/(19+1))</f>
        <v>1.2810333672477277</v>
      </c>
      <c r="H7295">
        <f>0.0087719298245614*2.94968833505258</f>
        <v>2.5874459079408586E-2</v>
      </c>
      <c r="I7295">
        <v>2.5874459079408631E-2</v>
      </c>
    </row>
    <row r="7296" spans="1:9" x14ac:dyDescent="0.25">
      <c r="A7296">
        <v>354</v>
      </c>
      <c r="B7296" t="s">
        <v>2545</v>
      </c>
      <c r="C7296" t="s">
        <v>10</v>
      </c>
      <c r="D7296" t="s">
        <v>1919</v>
      </c>
      <c r="E7296">
        <f t="shared" si="333"/>
        <v>8.771929824561403E-3</v>
      </c>
      <c r="F7296">
        <v>18</v>
      </c>
      <c r="G7296">
        <f>LOG(382/(18+1))</f>
        <v>1.3033097619588798</v>
      </c>
      <c r="H7296">
        <f>0.0087719298245614*3.00098162944013</f>
        <v>2.6324400258246745E-2</v>
      </c>
      <c r="I7296">
        <v>2.632440025824679E-2</v>
      </c>
    </row>
    <row r="7297" spans="1:9" x14ac:dyDescent="0.25">
      <c r="A7297">
        <v>354</v>
      </c>
      <c r="B7297" t="s">
        <v>2545</v>
      </c>
      <c r="C7297" t="s">
        <v>10</v>
      </c>
      <c r="D7297" t="s">
        <v>1918</v>
      </c>
      <c r="E7297">
        <f t="shared" si="333"/>
        <v>8.771929824561403E-3</v>
      </c>
      <c r="F7297">
        <v>25</v>
      </c>
      <c r="G7297">
        <f>LOG(382/(25+1))</f>
        <v>1.1670900149408907</v>
      </c>
      <c r="H7297">
        <f>0.0087719298245614*2.68732407058509</f>
        <v>2.3573018163027096E-2</v>
      </c>
      <c r="I7297">
        <v>2.3573018163027131E-2</v>
      </c>
    </row>
    <row r="7298" spans="1:9" x14ac:dyDescent="0.25">
      <c r="A7298">
        <v>354</v>
      </c>
      <c r="B7298" t="s">
        <v>2545</v>
      </c>
      <c r="C7298" t="s">
        <v>10</v>
      </c>
      <c r="D7298" t="s">
        <v>1920</v>
      </c>
      <c r="E7298">
        <f t="shared" si="333"/>
        <v>8.771929824561403E-3</v>
      </c>
      <c r="F7298">
        <v>18</v>
      </c>
      <c r="G7298">
        <f>LOG(382/(18+1))</f>
        <v>1.3033097619588798</v>
      </c>
      <c r="H7298">
        <f>0.0087719298245614*3.00098162944013</f>
        <v>2.6324400258246745E-2</v>
      </c>
      <c r="I7298">
        <v>2.632440025824679E-2</v>
      </c>
    </row>
    <row r="7299" spans="1:9" x14ac:dyDescent="0.25">
      <c r="A7299">
        <v>354</v>
      </c>
      <c r="B7299" t="s">
        <v>2545</v>
      </c>
      <c r="C7299" t="s">
        <v>10</v>
      </c>
      <c r="D7299" t="s">
        <v>244</v>
      </c>
      <c r="E7299">
        <f t="shared" si="333"/>
        <v>8.771929824561403E-3</v>
      </c>
      <c r="F7299">
        <v>8</v>
      </c>
      <c r="G7299">
        <f>LOG(382/(8+1))</f>
        <v>1.6278208534723839</v>
      </c>
      <c r="H7299">
        <f>0.0087719298245614*3.74819603127035</f>
        <v>3.2878912555003054E-2</v>
      </c>
      <c r="I7299">
        <v>3.2878912555003123E-2</v>
      </c>
    </row>
    <row r="7300" spans="1:9" x14ac:dyDescent="0.25">
      <c r="A7300">
        <v>354</v>
      </c>
      <c r="B7300" t="s">
        <v>2545</v>
      </c>
      <c r="C7300" t="s">
        <v>10</v>
      </c>
      <c r="D7300" t="s">
        <v>247</v>
      </c>
      <c r="E7300">
        <f t="shared" si="333"/>
        <v>8.771929824561403E-3</v>
      </c>
      <c r="F7300">
        <v>121</v>
      </c>
      <c r="G7300">
        <f>LOG(382/(121+1))</f>
        <v>0.49570353223696051</v>
      </c>
      <c r="H7300">
        <f>0.0087719298245614*1.14139956387331</f>
        <v>1.0012276876081663E-2</v>
      </c>
      <c r="I7300">
        <v>1.0012276876081741E-2</v>
      </c>
    </row>
    <row r="7301" spans="1:9" x14ac:dyDescent="0.25">
      <c r="A7301">
        <v>354</v>
      </c>
      <c r="B7301" t="s">
        <v>2545</v>
      </c>
      <c r="C7301" t="s">
        <v>10</v>
      </c>
      <c r="D7301" t="s">
        <v>34</v>
      </c>
      <c r="E7301">
        <f t="shared" si="333"/>
        <v>8.771929824561403E-3</v>
      </c>
      <c r="F7301">
        <v>11</v>
      </c>
      <c r="G7301">
        <f>LOG(382/(11+1))</f>
        <v>1.5028821168640838</v>
      </c>
      <c r="H7301">
        <f>0.0087719298245614*3.46051395881857</f>
        <v>3.0355385603671653E-2</v>
      </c>
      <c r="I7301">
        <v>3.0355385603671708E-2</v>
      </c>
    </row>
    <row r="7302" spans="1:9" x14ac:dyDescent="0.25">
      <c r="A7302">
        <v>354</v>
      </c>
      <c r="B7302" t="s">
        <v>2545</v>
      </c>
      <c r="C7302" t="s">
        <v>10</v>
      </c>
      <c r="D7302" t="s">
        <v>1866</v>
      </c>
      <c r="E7302">
        <f t="shared" si="333"/>
        <v>8.771929824561403E-3</v>
      </c>
      <c r="F7302">
        <v>18</v>
      </c>
      <c r="G7302">
        <f>LOG(382/(18+1))</f>
        <v>1.3033097619588798</v>
      </c>
      <c r="H7302">
        <f>0.0087719298245614*3.00098162944013</f>
        <v>2.6324400258246745E-2</v>
      </c>
      <c r="I7302">
        <v>2.632440025824679E-2</v>
      </c>
    </row>
    <row r="7303" spans="1:9" x14ac:dyDescent="0.25">
      <c r="A7303">
        <v>354</v>
      </c>
      <c r="B7303" t="s">
        <v>2545</v>
      </c>
      <c r="C7303" t="s">
        <v>10</v>
      </c>
      <c r="D7303" t="s">
        <v>1853</v>
      </c>
      <c r="E7303">
        <f t="shared" si="333"/>
        <v>8.771929824561403E-3</v>
      </c>
      <c r="F7303">
        <v>15</v>
      </c>
      <c r="G7303">
        <f>LOG(382/(15+1))</f>
        <v>1.3779433802557839</v>
      </c>
      <c r="H7303">
        <f>0.0087719298245614*3.17283188636679</f>
        <v>2.7831858652340252E-2</v>
      </c>
      <c r="I7303">
        <v>2.7831858652340301E-2</v>
      </c>
    </row>
    <row r="7304" spans="1:9" x14ac:dyDescent="0.25">
      <c r="A7304">
        <v>354</v>
      </c>
      <c r="B7304" t="s">
        <v>2545</v>
      </c>
      <c r="C7304" t="s">
        <v>10</v>
      </c>
      <c r="D7304" t="s">
        <v>76</v>
      </c>
      <c r="E7304">
        <f t="shared" si="333"/>
        <v>8.771929824561403E-3</v>
      </c>
      <c r="F7304">
        <v>140</v>
      </c>
      <c r="G7304">
        <f>LOG(382/(140+1))</f>
        <v>0.43284425025632883</v>
      </c>
      <c r="H7304">
        <f>0.0087719298245614*0.996660718228407</f>
        <v>8.7426378791965482E-3</v>
      </c>
      <c r="I7304">
        <v>8.7426378791965517E-3</v>
      </c>
    </row>
    <row r="7305" spans="1:9" x14ac:dyDescent="0.25">
      <c r="A7305">
        <v>354</v>
      </c>
      <c r="B7305" t="s">
        <v>2545</v>
      </c>
      <c r="C7305" t="s">
        <v>10</v>
      </c>
      <c r="D7305" t="s">
        <v>752</v>
      </c>
      <c r="E7305">
        <f t="shared" si="333"/>
        <v>8.771929824561403E-3</v>
      </c>
      <c r="F7305">
        <v>34</v>
      </c>
      <c r="G7305">
        <f>LOG(382/(34+1))</f>
        <v>1.037995318561433</v>
      </c>
      <c r="H7305">
        <f>0.0087719298245614*2.39007254711716</f>
        <v>2.0965548658922448E-2</v>
      </c>
      <c r="I7305">
        <v>2.0965548658922469E-2</v>
      </c>
    </row>
    <row r="7306" spans="1:9" x14ac:dyDescent="0.25">
      <c r="A7306">
        <v>354</v>
      </c>
      <c r="B7306" t="s">
        <v>2545</v>
      </c>
      <c r="C7306" t="s">
        <v>10</v>
      </c>
      <c r="D7306" t="s">
        <v>601</v>
      </c>
      <c r="E7306">
        <f t="shared" si="333"/>
        <v>8.771929824561403E-3</v>
      </c>
      <c r="F7306">
        <v>7</v>
      </c>
      <c r="G7306">
        <f>LOG(382/(7+1))</f>
        <v>1.6789733759197651</v>
      </c>
      <c r="H7306">
        <f>0.0087719298245614*3.86597906692673</f>
        <v>3.3912097078304636E-2</v>
      </c>
      <c r="I7306">
        <v>3.3912097078304733E-2</v>
      </c>
    </row>
    <row r="7307" spans="1:9" x14ac:dyDescent="0.25">
      <c r="A7307">
        <v>355</v>
      </c>
      <c r="B7307" t="s">
        <v>2559</v>
      </c>
      <c r="C7307" t="s">
        <v>10</v>
      </c>
      <c r="D7307" t="s">
        <v>2560</v>
      </c>
      <c r="E7307">
        <f>4/137</f>
        <v>2.9197080291970802E-2</v>
      </c>
      <c r="F7307">
        <v>1</v>
      </c>
      <c r="G7307">
        <f>LOG(382/(1+1))</f>
        <v>2.2810333672477277</v>
      </c>
      <c r="H7307">
        <f>0.0291970802919708*5.25227342804663</f>
        <v>0.15335104899406216</v>
      </c>
      <c r="I7307">
        <v>0.15335104899406221</v>
      </c>
    </row>
    <row r="7308" spans="1:9" x14ac:dyDescent="0.25">
      <c r="A7308">
        <v>355</v>
      </c>
      <c r="B7308" t="s">
        <v>2559</v>
      </c>
      <c r="C7308" t="s">
        <v>10</v>
      </c>
      <c r="D7308" t="s">
        <v>2561</v>
      </c>
      <c r="E7308">
        <f>3/137</f>
        <v>2.1897810218978103E-2</v>
      </c>
      <c r="F7308">
        <v>1</v>
      </c>
      <c r="G7308">
        <f>LOG(382/(1+1))</f>
        <v>2.2810333672477277</v>
      </c>
      <c r="H7308">
        <f>0.0218978102189781*5.25227342804663</f>
        <v>0.11501328674554663</v>
      </c>
      <c r="I7308">
        <v>0.1150132867455466</v>
      </c>
    </row>
    <row r="7309" spans="1:9" x14ac:dyDescent="0.25">
      <c r="A7309">
        <v>355</v>
      </c>
      <c r="B7309" t="s">
        <v>2559</v>
      </c>
      <c r="C7309" t="s">
        <v>10</v>
      </c>
      <c r="D7309" t="s">
        <v>247</v>
      </c>
      <c r="E7309">
        <f>1/137</f>
        <v>7.2992700729927005E-3</v>
      </c>
      <c r="F7309">
        <v>121</v>
      </c>
      <c r="G7309">
        <f>LOG(382/(121+1))</f>
        <v>0.49570353223696051</v>
      </c>
      <c r="H7309">
        <f>0.0072992700729927*1.14139956387331</f>
        <v>8.3313836779073721E-3</v>
      </c>
      <c r="I7309">
        <v>8.3313836779074363E-3</v>
      </c>
    </row>
    <row r="7310" spans="1:9" x14ac:dyDescent="0.25">
      <c r="A7310">
        <v>355</v>
      </c>
      <c r="B7310" t="s">
        <v>2559</v>
      </c>
      <c r="C7310" t="s">
        <v>10</v>
      </c>
      <c r="D7310" t="s">
        <v>39</v>
      </c>
      <c r="E7310">
        <f>2/137</f>
        <v>1.4598540145985401E-2</v>
      </c>
      <c r="F7310">
        <v>145</v>
      </c>
      <c r="G7310">
        <f>LOG(382/(145+1))</f>
        <v>0.41771050712727159</v>
      </c>
      <c r="H7310">
        <f>0.0145985401459854*0.961813986898238</f>
        <v>1.4041080100704203E-2</v>
      </c>
      <c r="I7310">
        <v>1.404108010070421E-2</v>
      </c>
    </row>
    <row r="7311" spans="1:9" x14ac:dyDescent="0.25">
      <c r="A7311">
        <v>355</v>
      </c>
      <c r="B7311" t="s">
        <v>2559</v>
      </c>
      <c r="C7311" t="s">
        <v>10</v>
      </c>
      <c r="D7311" t="s">
        <v>42</v>
      </c>
      <c r="E7311">
        <f t="shared" ref="E7311:E7320" si="334">1/137</f>
        <v>7.2992700729927005E-3</v>
      </c>
      <c r="F7311">
        <v>251</v>
      </c>
      <c r="G7311">
        <f>LOG(382/(251+1))</f>
        <v>0.18066282213016463</v>
      </c>
      <c r="H7311">
        <f>0.0072992700729927*0.415991521095151</f>
        <v>3.036434460548547E-3</v>
      </c>
      <c r="I7311">
        <v>3.036434460548553E-3</v>
      </c>
    </row>
    <row r="7312" spans="1:9" x14ac:dyDescent="0.25">
      <c r="A7312">
        <v>355</v>
      </c>
      <c r="B7312" t="s">
        <v>2559</v>
      </c>
      <c r="C7312" t="s">
        <v>10</v>
      </c>
      <c r="D7312" t="s">
        <v>15</v>
      </c>
      <c r="E7312">
        <f t="shared" si="334"/>
        <v>7.2992700729927005E-3</v>
      </c>
      <c r="F7312">
        <v>112</v>
      </c>
      <c r="G7312">
        <f>LOG(382/(112+1))</f>
        <v>0.52898491942828896</v>
      </c>
      <c r="H7312">
        <f>0.0072992700729927*1.21803278989423</f>
        <v>8.8907502911987572E-3</v>
      </c>
      <c r="I7312">
        <v>8.8907502911987936E-3</v>
      </c>
    </row>
    <row r="7313" spans="1:9" x14ac:dyDescent="0.25">
      <c r="A7313">
        <v>355</v>
      </c>
      <c r="B7313" t="s">
        <v>2559</v>
      </c>
      <c r="C7313" t="s">
        <v>10</v>
      </c>
      <c r="D7313" t="s">
        <v>2562</v>
      </c>
      <c r="E7313">
        <f t="shared" si="334"/>
        <v>7.2992700729927005E-3</v>
      </c>
      <c r="F7313">
        <v>1</v>
      </c>
      <c r="G7313">
        <f>LOG(382/(1+1))</f>
        <v>2.2810333672477277</v>
      </c>
      <c r="H7313">
        <f>0.0072992700729927*5.25227342804663</f>
        <v>3.8337762248515539E-2</v>
      </c>
      <c r="I7313">
        <v>3.8337762248515553E-2</v>
      </c>
    </row>
    <row r="7314" spans="1:9" x14ac:dyDescent="0.25">
      <c r="A7314">
        <v>355</v>
      </c>
      <c r="B7314" t="s">
        <v>2559</v>
      </c>
      <c r="C7314" t="s">
        <v>10</v>
      </c>
      <c r="D7314" t="s">
        <v>17</v>
      </c>
      <c r="E7314">
        <f t="shared" si="334"/>
        <v>7.2992700729927005E-3</v>
      </c>
      <c r="F7314">
        <v>169</v>
      </c>
      <c r="G7314">
        <f>LOG(382/(169+1))</f>
        <v>0.3516144415334348</v>
      </c>
      <c r="H7314">
        <f>0.0072992700729927*0.809622171556313</f>
        <v>5.9096508872723569E-3</v>
      </c>
      <c r="I7314">
        <v>5.9096508872723604E-3</v>
      </c>
    </row>
    <row r="7315" spans="1:9" x14ac:dyDescent="0.25">
      <c r="A7315">
        <v>355</v>
      </c>
      <c r="B7315" t="s">
        <v>2559</v>
      </c>
      <c r="C7315" t="s">
        <v>10</v>
      </c>
      <c r="D7315" t="s">
        <v>18</v>
      </c>
      <c r="E7315">
        <f t="shared" si="334"/>
        <v>7.2992700729927005E-3</v>
      </c>
      <c r="F7315">
        <v>7</v>
      </c>
      <c r="G7315">
        <f>LOG(382/(7+1))</f>
        <v>1.6789733759197651</v>
      </c>
      <c r="H7315">
        <f>0.0072992700729927*3.86597906692673</f>
        <v>2.8218825306034524E-2</v>
      </c>
      <c r="I7315">
        <v>2.8218825306034589E-2</v>
      </c>
    </row>
    <row r="7316" spans="1:9" x14ac:dyDescent="0.25">
      <c r="A7316">
        <v>355</v>
      </c>
      <c r="B7316" t="s">
        <v>2559</v>
      </c>
      <c r="C7316" t="s">
        <v>10</v>
      </c>
      <c r="D7316" t="s">
        <v>19</v>
      </c>
      <c r="E7316">
        <f t="shared" si="334"/>
        <v>7.2992700729927005E-3</v>
      </c>
      <c r="F7316">
        <v>220</v>
      </c>
      <c r="G7316">
        <f>LOG(382/(220+1))</f>
        <v>0.23767108922659805</v>
      </c>
      <c r="H7316">
        <f>0.0072992700729927*0.547257907088822</f>
        <v>3.9945832634220579E-3</v>
      </c>
      <c r="I7316">
        <v>3.9945832634220614E-3</v>
      </c>
    </row>
    <row r="7317" spans="1:9" x14ac:dyDescent="0.25">
      <c r="A7317">
        <v>355</v>
      </c>
      <c r="B7317" t="s">
        <v>2559</v>
      </c>
      <c r="C7317" t="s">
        <v>10</v>
      </c>
      <c r="D7317" t="s">
        <v>20</v>
      </c>
      <c r="E7317">
        <f t="shared" si="334"/>
        <v>7.2992700729927005E-3</v>
      </c>
      <c r="F7317">
        <v>19</v>
      </c>
      <c r="G7317">
        <f>LOG(382/(19+1))</f>
        <v>1.2810333672477277</v>
      </c>
      <c r="H7317">
        <f>0.0072992700729927*2.94968833505258</f>
        <v>2.1530571788704961E-2</v>
      </c>
      <c r="I7317">
        <v>2.1530571788704999E-2</v>
      </c>
    </row>
    <row r="7318" spans="1:9" x14ac:dyDescent="0.25">
      <c r="A7318">
        <v>355</v>
      </c>
      <c r="B7318" t="s">
        <v>2559</v>
      </c>
      <c r="C7318" t="s">
        <v>10</v>
      </c>
      <c r="D7318" t="s">
        <v>22</v>
      </c>
      <c r="E7318">
        <f t="shared" si="334"/>
        <v>7.2992700729927005E-3</v>
      </c>
      <c r="F7318">
        <v>259</v>
      </c>
      <c r="G7318">
        <f>LOG(382/(259+1))</f>
        <v>0.16709001494089079</v>
      </c>
      <c r="H7318">
        <f>0.0072992700729927*0.384738977591047</f>
        <v>2.8083137050441383E-3</v>
      </c>
      <c r="I7318">
        <v>2.8083137050441431E-3</v>
      </c>
    </row>
    <row r="7319" spans="1:9" x14ac:dyDescent="0.25">
      <c r="A7319">
        <v>355</v>
      </c>
      <c r="B7319" t="s">
        <v>2559</v>
      </c>
      <c r="C7319" t="s">
        <v>10</v>
      </c>
      <c r="D7319" t="s">
        <v>23</v>
      </c>
      <c r="E7319">
        <f t="shared" si="334"/>
        <v>7.2992700729927005E-3</v>
      </c>
      <c r="F7319">
        <v>275</v>
      </c>
      <c r="G7319">
        <f>LOG(382/(275+1))</f>
        <v>0.14115428084649101</v>
      </c>
      <c r="H7319">
        <f>0.0072992700729927*0.325019742889425</f>
        <v>2.3724068824045614E-3</v>
      </c>
      <c r="I7319">
        <v>2.3724068824045631E-3</v>
      </c>
    </row>
    <row r="7320" spans="1:9" x14ac:dyDescent="0.25">
      <c r="A7320">
        <v>355</v>
      </c>
      <c r="B7320" t="s">
        <v>2559</v>
      </c>
      <c r="C7320" t="s">
        <v>10</v>
      </c>
      <c r="D7320" t="s">
        <v>2563</v>
      </c>
      <c r="E7320">
        <f t="shared" si="334"/>
        <v>7.2992700729927005E-3</v>
      </c>
      <c r="F7320">
        <v>1</v>
      </c>
      <c r="G7320">
        <f>LOG(382/(1+1))</f>
        <v>2.2810333672477277</v>
      </c>
      <c r="H7320">
        <f>0.0072992700729927*5.25227342804663</f>
        <v>3.8337762248515539E-2</v>
      </c>
      <c r="I7320">
        <v>3.8337762248515553E-2</v>
      </c>
    </row>
    <row r="7321" spans="1:9" x14ac:dyDescent="0.25">
      <c r="A7321">
        <v>355</v>
      </c>
      <c r="B7321" t="s">
        <v>2559</v>
      </c>
      <c r="C7321" t="s">
        <v>10</v>
      </c>
      <c r="D7321" t="s">
        <v>363</v>
      </c>
      <c r="E7321">
        <f>2/137</f>
        <v>1.4598540145985401E-2</v>
      </c>
      <c r="F7321">
        <v>36</v>
      </c>
      <c r="G7321">
        <f>LOG(382/(36+1))</f>
        <v>1.0138616388447137</v>
      </c>
      <c r="H7321">
        <f>0.0145985401459854*2.33450269596235</f>
        <v>3.4080331327917511E-2</v>
      </c>
      <c r="I7321">
        <v>3.4080331327917532E-2</v>
      </c>
    </row>
    <row r="7322" spans="1:9" x14ac:dyDescent="0.25">
      <c r="A7322">
        <v>355</v>
      </c>
      <c r="B7322" t="s">
        <v>2559</v>
      </c>
      <c r="C7322" t="s">
        <v>10</v>
      </c>
      <c r="D7322" t="s">
        <v>755</v>
      </c>
      <c r="E7322">
        <f>2/137</f>
        <v>1.4598540145985401E-2</v>
      </c>
      <c r="F7322">
        <v>19</v>
      </c>
      <c r="G7322">
        <f>LOG(382/(19+1))</f>
        <v>1.2810333672477277</v>
      </c>
      <c r="H7322">
        <f>0.0145985401459854*2.94968833505258</f>
        <v>4.3061143577409922E-2</v>
      </c>
      <c r="I7322">
        <v>4.3061143577409991E-2</v>
      </c>
    </row>
    <row r="7323" spans="1:9" x14ac:dyDescent="0.25">
      <c r="A7323">
        <v>355</v>
      </c>
      <c r="B7323" t="s">
        <v>2559</v>
      </c>
      <c r="C7323" t="s">
        <v>10</v>
      </c>
      <c r="D7323" t="s">
        <v>31</v>
      </c>
      <c r="E7323">
        <f>1/137</f>
        <v>7.2992700729927005E-3</v>
      </c>
      <c r="F7323">
        <v>31</v>
      </c>
      <c r="G7323">
        <f>LOG(382/(31+1))</f>
        <v>1.0769133845918029</v>
      </c>
      <c r="H7323">
        <f>0.0072992700729927*2.47968470580684</f>
        <v>1.8099888363553574E-2</v>
      </c>
      <c r="I7323">
        <v>1.809988836355364E-2</v>
      </c>
    </row>
    <row r="7324" spans="1:9" x14ac:dyDescent="0.25">
      <c r="A7324">
        <v>355</v>
      </c>
      <c r="B7324" t="s">
        <v>2559</v>
      </c>
      <c r="C7324" t="s">
        <v>10</v>
      </c>
      <c r="D7324" t="s">
        <v>112</v>
      </c>
      <c r="E7324">
        <f>3/137</f>
        <v>2.1897810218978103E-2</v>
      </c>
      <c r="F7324">
        <v>52</v>
      </c>
      <c r="G7324">
        <f>LOG(382/(52+1))</f>
        <v>0.85778749331091964</v>
      </c>
      <c r="H7324">
        <f>0.0218978102189781*1.97512869505445</f>
        <v>4.3250993322360216E-2</v>
      </c>
      <c r="I7324">
        <v>4.3250993322360293E-2</v>
      </c>
    </row>
    <row r="7325" spans="1:9" x14ac:dyDescent="0.25">
      <c r="A7325">
        <v>355</v>
      </c>
      <c r="B7325" t="s">
        <v>2559</v>
      </c>
      <c r="C7325" t="s">
        <v>10</v>
      </c>
      <c r="D7325" t="s">
        <v>2564</v>
      </c>
      <c r="E7325">
        <f>2/137</f>
        <v>1.4598540145985401E-2</v>
      </c>
      <c r="F7325">
        <v>3</v>
      </c>
      <c r="G7325">
        <f>LOG(382/(3+1))</f>
        <v>1.9800033715837464</v>
      </c>
      <c r="H7325">
        <f>0.0145985401459854*4.55912624748668</f>
        <v>6.6556587554550059E-2</v>
      </c>
      <c r="I7325">
        <v>6.6556587554550142E-2</v>
      </c>
    </row>
    <row r="7326" spans="1:9" x14ac:dyDescent="0.25">
      <c r="A7326">
        <v>355</v>
      </c>
      <c r="B7326" t="s">
        <v>2559</v>
      </c>
      <c r="C7326" t="s">
        <v>10</v>
      </c>
      <c r="D7326" t="s">
        <v>2565</v>
      </c>
      <c r="E7326">
        <f>1/137</f>
        <v>7.2992700729927005E-3</v>
      </c>
      <c r="F7326">
        <v>1</v>
      </c>
      <c r="G7326">
        <f>LOG(382/(1+1))</f>
        <v>2.2810333672477277</v>
      </c>
      <c r="H7326">
        <f>0.0072992700729927*5.25227342804663</f>
        <v>3.8337762248515539E-2</v>
      </c>
      <c r="I7326">
        <v>3.8337762248515553E-2</v>
      </c>
    </row>
    <row r="7327" spans="1:9" x14ac:dyDescent="0.25">
      <c r="A7327">
        <v>355</v>
      </c>
      <c r="B7327" t="s">
        <v>2559</v>
      </c>
      <c r="C7327" t="s">
        <v>10</v>
      </c>
      <c r="D7327" t="s">
        <v>40</v>
      </c>
      <c r="E7327">
        <f>5/137</f>
        <v>3.6496350364963501E-2</v>
      </c>
      <c r="F7327">
        <v>159</v>
      </c>
      <c r="G7327">
        <f>LOG(382/(159+1))</f>
        <v>0.377943380255784</v>
      </c>
      <c r="H7327">
        <f>0.0364963503649635*0.870246793372748</f>
        <v>3.1760831874917808E-2</v>
      </c>
      <c r="I7327">
        <v>3.1760831874917822E-2</v>
      </c>
    </row>
    <row r="7328" spans="1:9" x14ac:dyDescent="0.25">
      <c r="A7328">
        <v>355</v>
      </c>
      <c r="B7328" t="s">
        <v>2559</v>
      </c>
      <c r="C7328" t="s">
        <v>10</v>
      </c>
      <c r="D7328" t="s">
        <v>41</v>
      </c>
      <c r="E7328">
        <f>4/137</f>
        <v>2.9197080291970802E-2</v>
      </c>
      <c r="F7328">
        <v>195</v>
      </c>
      <c r="G7328">
        <f>LOG(382/(195+1))</f>
        <v>0.28980729155523272</v>
      </c>
      <c r="H7328">
        <f>0.0291970802919708*0.667305949376058</f>
        <v>1.9483385383242569E-2</v>
      </c>
      <c r="I7328">
        <v>1.9483385383242569E-2</v>
      </c>
    </row>
    <row r="7329" spans="1:9" x14ac:dyDescent="0.25">
      <c r="A7329">
        <v>355</v>
      </c>
      <c r="B7329" t="s">
        <v>2559</v>
      </c>
      <c r="C7329" t="s">
        <v>10</v>
      </c>
      <c r="D7329" t="s">
        <v>76</v>
      </c>
      <c r="E7329">
        <f>2/137</f>
        <v>1.4598540145985401E-2</v>
      </c>
      <c r="F7329">
        <v>140</v>
      </c>
      <c r="G7329">
        <f>LOG(382/(140+1))</f>
        <v>0.43284425025632883</v>
      </c>
      <c r="H7329">
        <f>0.0145985401459854*0.996660718228407</f>
        <v>1.4549791506984041E-2</v>
      </c>
      <c r="I7329">
        <v>1.4549791506984039E-2</v>
      </c>
    </row>
    <row r="7330" spans="1:9" x14ac:dyDescent="0.25">
      <c r="A7330">
        <v>355</v>
      </c>
      <c r="B7330" t="s">
        <v>2559</v>
      </c>
      <c r="C7330" t="s">
        <v>10</v>
      </c>
      <c r="D7330" t="s">
        <v>331</v>
      </c>
      <c r="E7330">
        <f>7/137</f>
        <v>5.1094890510948905E-2</v>
      </c>
      <c r="F7330">
        <v>130</v>
      </c>
      <c r="G7330">
        <f>LOG(382/(130+1))</f>
        <v>0.46479206725594452</v>
      </c>
      <c r="H7330">
        <f>0.0510948905109489*1.07022328540542</f>
        <v>5.4682941590057953E-2</v>
      </c>
      <c r="I7330">
        <v>5.468294159005814E-2</v>
      </c>
    </row>
    <row r="7331" spans="1:9" x14ac:dyDescent="0.25">
      <c r="A7331">
        <v>355</v>
      </c>
      <c r="B7331" t="s">
        <v>2559</v>
      </c>
      <c r="C7331" t="s">
        <v>10</v>
      </c>
      <c r="D7331" t="s">
        <v>752</v>
      </c>
      <c r="E7331">
        <f>1/137</f>
        <v>7.2992700729927005E-3</v>
      </c>
      <c r="F7331">
        <v>34</v>
      </c>
      <c r="G7331">
        <f>LOG(382/(34+1))</f>
        <v>1.037995318561433</v>
      </c>
      <c r="H7331">
        <f>0.0072992700729927*2.39007254711716</f>
        <v>1.744578501545372E-2</v>
      </c>
      <c r="I7331">
        <v>1.744578501545373E-2</v>
      </c>
    </row>
    <row r="7332" spans="1:9" x14ac:dyDescent="0.25">
      <c r="A7332">
        <v>355</v>
      </c>
      <c r="B7332" t="s">
        <v>2559</v>
      </c>
      <c r="C7332" t="s">
        <v>10</v>
      </c>
      <c r="D7332" t="s">
        <v>78</v>
      </c>
      <c r="E7332">
        <f>1/137</f>
        <v>7.2992700729927005E-3</v>
      </c>
      <c r="F7332">
        <v>122</v>
      </c>
      <c r="G7332">
        <f>LOG(382/(122+1))</f>
        <v>0.49215825147231079</v>
      </c>
      <c r="H7332">
        <f>0.0072992700729927*1.13323625323415</f>
        <v>8.2717974688624081E-3</v>
      </c>
      <c r="I7332">
        <v>8.2717974688624636E-3</v>
      </c>
    </row>
    <row r="7333" spans="1:9" x14ac:dyDescent="0.25">
      <c r="A7333">
        <v>355</v>
      </c>
      <c r="B7333" t="s">
        <v>2559</v>
      </c>
      <c r="C7333" t="s">
        <v>10</v>
      </c>
      <c r="D7333" t="s">
        <v>483</v>
      </c>
      <c r="E7333">
        <f>2/137</f>
        <v>1.4598540145985401E-2</v>
      </c>
      <c r="F7333">
        <v>61</v>
      </c>
      <c r="G7333">
        <f>LOG(382/(61+1))</f>
        <v>0.7896716734134549</v>
      </c>
      <c r="H7333">
        <f>0.0145985401459854*1.81828622356148</f>
        <v>2.654432443155445E-2</v>
      </c>
      <c r="I7333">
        <v>2.6544324431554508E-2</v>
      </c>
    </row>
    <row r="7334" spans="1:9" x14ac:dyDescent="0.25">
      <c r="A7334">
        <v>355</v>
      </c>
      <c r="B7334" t="s">
        <v>2559</v>
      </c>
      <c r="C7334" t="s">
        <v>10</v>
      </c>
      <c r="D7334" t="s">
        <v>322</v>
      </c>
      <c r="E7334">
        <f>2/137</f>
        <v>1.4598540145985401E-2</v>
      </c>
      <c r="F7334">
        <v>128</v>
      </c>
      <c r="G7334">
        <f>LOG(382/(128+1))</f>
        <v>0.47147365261245977</v>
      </c>
      <c r="H7334">
        <f>0.0145985401459854*1.0856082042449</f>
        <v>1.5848294952480291E-2</v>
      </c>
      <c r="I7334">
        <v>1.584829495248034E-2</v>
      </c>
    </row>
    <row r="7335" spans="1:9" x14ac:dyDescent="0.25">
      <c r="A7335">
        <v>355</v>
      </c>
      <c r="B7335" t="s">
        <v>2559</v>
      </c>
      <c r="C7335" t="s">
        <v>10</v>
      </c>
      <c r="D7335" t="s">
        <v>123</v>
      </c>
      <c r="E7335">
        <f>3/137</f>
        <v>2.1897810218978103E-2</v>
      </c>
      <c r="F7335">
        <v>74</v>
      </c>
      <c r="G7335">
        <f>LOG(382/(74+1))</f>
        <v>0.7070020995200087</v>
      </c>
      <c r="H7335">
        <f>0.0218978102189781*1.62793249507026</f>
        <v>3.5648156826356053E-2</v>
      </c>
      <c r="I7335">
        <v>3.5648156826356157E-2</v>
      </c>
    </row>
    <row r="7336" spans="1:9" x14ac:dyDescent="0.25">
      <c r="A7336">
        <v>355</v>
      </c>
      <c r="B7336" t="s">
        <v>2559</v>
      </c>
      <c r="C7336" t="s">
        <v>10</v>
      </c>
      <c r="D7336" t="s">
        <v>1088</v>
      </c>
      <c r="E7336">
        <f>1/137</f>
        <v>7.2992700729927005E-3</v>
      </c>
      <c r="F7336">
        <v>4</v>
      </c>
      <c r="G7336">
        <f>LOG(382/(4+1))</f>
        <v>1.8830933585756899</v>
      </c>
      <c r="H7336">
        <f>0.0072992700729927*4.33598269617247</f>
        <v>3.164950873118591E-2</v>
      </c>
      <c r="I7336">
        <v>3.1649508731185938E-2</v>
      </c>
    </row>
    <row r="7337" spans="1:9" x14ac:dyDescent="0.25">
      <c r="A7337">
        <v>355</v>
      </c>
      <c r="B7337" t="s">
        <v>2559</v>
      </c>
      <c r="C7337" t="s">
        <v>10</v>
      </c>
      <c r="D7337" t="s">
        <v>2566</v>
      </c>
      <c r="E7337">
        <f>1/137</f>
        <v>7.2992700729927005E-3</v>
      </c>
      <c r="F7337">
        <v>1</v>
      </c>
      <c r="G7337">
        <f>LOG(382/(1+1))</f>
        <v>2.2810333672477277</v>
      </c>
      <c r="H7337">
        <f>0.0072992700729927*5.25227342804663</f>
        <v>3.8337762248515539E-2</v>
      </c>
      <c r="I7337">
        <v>3.8337762248515553E-2</v>
      </c>
    </row>
    <row r="7338" spans="1:9" x14ac:dyDescent="0.25">
      <c r="A7338">
        <v>355</v>
      </c>
      <c r="B7338" t="s">
        <v>2559</v>
      </c>
      <c r="C7338" t="s">
        <v>10</v>
      </c>
      <c r="D7338" t="s">
        <v>133</v>
      </c>
      <c r="E7338">
        <f>4/137</f>
        <v>2.9197080291970802E-2</v>
      </c>
      <c r="F7338">
        <v>142</v>
      </c>
      <c r="G7338">
        <f>LOG(382/(142+1))</f>
        <v>0.42672732544664693</v>
      </c>
      <c r="H7338">
        <f>0.0291970802919708*0.982575978346667</f>
        <v>2.8688349732749398E-2</v>
      </c>
      <c r="I7338">
        <v>2.8688349732749429E-2</v>
      </c>
    </row>
    <row r="7339" spans="1:9" x14ac:dyDescent="0.25">
      <c r="A7339">
        <v>355</v>
      </c>
      <c r="B7339" t="s">
        <v>2559</v>
      </c>
      <c r="C7339" t="s">
        <v>10</v>
      </c>
      <c r="D7339" t="s">
        <v>737</v>
      </c>
      <c r="E7339">
        <f t="shared" ref="E7339:E7344" si="335">1/137</f>
        <v>7.2992700729927005E-3</v>
      </c>
      <c r="F7339">
        <v>11</v>
      </c>
      <c r="G7339">
        <f>LOG(382/(11+1))</f>
        <v>1.5028821168640838</v>
      </c>
      <c r="H7339">
        <f>0.0072992700729927*3.46051395881857</f>
        <v>2.5259225976777881E-2</v>
      </c>
      <c r="I7339">
        <v>2.5259225976777919E-2</v>
      </c>
    </row>
    <row r="7340" spans="1:9" x14ac:dyDescent="0.25">
      <c r="A7340">
        <v>355</v>
      </c>
      <c r="B7340" t="s">
        <v>2559</v>
      </c>
      <c r="C7340" t="s">
        <v>10</v>
      </c>
      <c r="D7340" t="s">
        <v>799</v>
      </c>
      <c r="E7340">
        <f t="shared" si="335"/>
        <v>7.2992700729927005E-3</v>
      </c>
      <c r="F7340">
        <v>8</v>
      </c>
      <c r="G7340">
        <f>LOG(382/(8+1))</f>
        <v>1.6278208534723839</v>
      </c>
      <c r="H7340">
        <f>0.0072992700729927*3.74819603127035</f>
        <v>2.7359095118761674E-2</v>
      </c>
      <c r="I7340">
        <v>2.7359095118761719E-2</v>
      </c>
    </row>
    <row r="7341" spans="1:9" x14ac:dyDescent="0.25">
      <c r="A7341">
        <v>355</v>
      </c>
      <c r="B7341" t="s">
        <v>2559</v>
      </c>
      <c r="C7341" t="s">
        <v>10</v>
      </c>
      <c r="D7341" t="s">
        <v>218</v>
      </c>
      <c r="E7341">
        <f t="shared" si="335"/>
        <v>7.2992700729927005E-3</v>
      </c>
      <c r="F7341">
        <v>35</v>
      </c>
      <c r="G7341">
        <f>LOG(382/(35+1))</f>
        <v>1.0257608621444214</v>
      </c>
      <c r="H7341">
        <f>0.0072992700729927*2.36190167015046</f>
        <v>1.7240158176280728E-2</v>
      </c>
      <c r="I7341">
        <v>1.724015817628077E-2</v>
      </c>
    </row>
    <row r="7342" spans="1:9" x14ac:dyDescent="0.25">
      <c r="A7342">
        <v>355</v>
      </c>
      <c r="B7342" t="s">
        <v>2559</v>
      </c>
      <c r="C7342" t="s">
        <v>10</v>
      </c>
      <c r="D7342" t="s">
        <v>2567</v>
      </c>
      <c r="E7342">
        <f t="shared" si="335"/>
        <v>7.2992700729927005E-3</v>
      </c>
      <c r="F7342">
        <v>1</v>
      </c>
      <c r="G7342">
        <f>LOG(382/(1+1))</f>
        <v>2.2810333672477277</v>
      </c>
      <c r="H7342">
        <f>0.0072992700729927*5.25227342804663</f>
        <v>3.8337762248515539E-2</v>
      </c>
      <c r="I7342">
        <v>3.8337762248515553E-2</v>
      </c>
    </row>
    <row r="7343" spans="1:9" x14ac:dyDescent="0.25">
      <c r="A7343">
        <v>355</v>
      </c>
      <c r="B7343" t="s">
        <v>2559</v>
      </c>
      <c r="C7343" t="s">
        <v>10</v>
      </c>
      <c r="D7343" t="s">
        <v>2568</v>
      </c>
      <c r="E7343">
        <f t="shared" si="335"/>
        <v>7.2992700729927005E-3</v>
      </c>
      <c r="F7343">
        <v>1</v>
      </c>
      <c r="G7343">
        <f>LOG(382/(1+1))</f>
        <v>2.2810333672477277</v>
      </c>
      <c r="H7343">
        <f>0.0072992700729927*5.25227342804663</f>
        <v>3.8337762248515539E-2</v>
      </c>
      <c r="I7343">
        <v>3.8337762248515553E-2</v>
      </c>
    </row>
    <row r="7344" spans="1:9" x14ac:dyDescent="0.25">
      <c r="A7344">
        <v>355</v>
      </c>
      <c r="B7344" t="s">
        <v>2559</v>
      </c>
      <c r="C7344" t="s">
        <v>10</v>
      </c>
      <c r="D7344" t="s">
        <v>1857</v>
      </c>
      <c r="E7344">
        <f t="shared" si="335"/>
        <v>7.2992700729927005E-3</v>
      </c>
      <c r="F7344">
        <v>17</v>
      </c>
      <c r="G7344">
        <f>LOG(382/(17+1))</f>
        <v>1.3267908578084027</v>
      </c>
      <c r="H7344">
        <f>0.0072992700729927*3.05504885071041</f>
        <v>2.2299626647521237E-2</v>
      </c>
      <c r="I7344">
        <v>2.2299626647521241E-2</v>
      </c>
    </row>
    <row r="7345" spans="1:9" x14ac:dyDescent="0.25">
      <c r="A7345">
        <v>355</v>
      </c>
      <c r="B7345" t="s">
        <v>2559</v>
      </c>
      <c r="C7345" t="s">
        <v>10</v>
      </c>
      <c r="D7345" t="s">
        <v>754</v>
      </c>
      <c r="E7345">
        <f>2/137</f>
        <v>1.4598540145985401E-2</v>
      </c>
      <c r="F7345">
        <v>111</v>
      </c>
      <c r="G7345">
        <f>LOG(382/(111+1))</f>
        <v>0.53284534024152708</v>
      </c>
      <c r="H7345">
        <f>0.0145985401459854*1.22692173731148</f>
        <v>1.7911266238123794E-2</v>
      </c>
      <c r="I7345">
        <v>1.7911266238123801E-2</v>
      </c>
    </row>
    <row r="7346" spans="1:9" x14ac:dyDescent="0.25">
      <c r="A7346">
        <v>355</v>
      </c>
      <c r="B7346" t="s">
        <v>2559</v>
      </c>
      <c r="C7346" t="s">
        <v>10</v>
      </c>
      <c r="D7346" t="s">
        <v>81</v>
      </c>
      <c r="E7346">
        <f t="shared" ref="E7346:E7371" si="336">1/137</f>
        <v>7.2992700729927005E-3</v>
      </c>
      <c r="F7346">
        <v>114</v>
      </c>
      <c r="G7346">
        <f>LOG(382/(114+1))</f>
        <v>0.52136552255809698</v>
      </c>
      <c r="H7346">
        <f>0.0072992700729927*1.20048848024332</f>
        <v>8.7626896368125529E-3</v>
      </c>
      <c r="I7346">
        <v>8.7626896368125911E-3</v>
      </c>
    </row>
    <row r="7347" spans="1:9" x14ac:dyDescent="0.25">
      <c r="A7347">
        <v>355</v>
      </c>
      <c r="B7347" t="s">
        <v>2559</v>
      </c>
      <c r="C7347" t="s">
        <v>10</v>
      </c>
      <c r="D7347" t="s">
        <v>2549</v>
      </c>
      <c r="E7347">
        <f t="shared" si="336"/>
        <v>7.2992700729927005E-3</v>
      </c>
      <c r="F7347">
        <v>3</v>
      </c>
      <c r="G7347">
        <f>LOG(382/(3+1))</f>
        <v>1.9800033715837464</v>
      </c>
      <c r="H7347">
        <f>0.0072992700729927*4.55912624748668</f>
        <v>3.327829377727503E-2</v>
      </c>
      <c r="I7347">
        <v>3.3278293777275071E-2</v>
      </c>
    </row>
    <row r="7348" spans="1:9" x14ac:dyDescent="0.25">
      <c r="A7348">
        <v>355</v>
      </c>
      <c r="B7348" t="s">
        <v>2559</v>
      </c>
      <c r="C7348" t="s">
        <v>10</v>
      </c>
      <c r="D7348" t="s">
        <v>2211</v>
      </c>
      <c r="E7348">
        <f t="shared" si="336"/>
        <v>7.2992700729927005E-3</v>
      </c>
      <c r="F7348">
        <v>9</v>
      </c>
      <c r="G7348">
        <f>LOG(382/(9+1))</f>
        <v>1.5820633629117087</v>
      </c>
      <c r="H7348">
        <f>0.0072992700729927*3.64283551561252</f>
        <v>2.6590040259945397E-2</v>
      </c>
      <c r="I7348">
        <v>2.659004025994547E-2</v>
      </c>
    </row>
    <row r="7349" spans="1:9" x14ac:dyDescent="0.25">
      <c r="A7349">
        <v>355</v>
      </c>
      <c r="B7349" t="s">
        <v>2559</v>
      </c>
      <c r="C7349" t="s">
        <v>10</v>
      </c>
      <c r="D7349" t="s">
        <v>1614</v>
      </c>
      <c r="E7349">
        <f t="shared" si="336"/>
        <v>7.2992700729927005E-3</v>
      </c>
      <c r="F7349">
        <v>2</v>
      </c>
      <c r="G7349">
        <f>LOG(382/(2+1))</f>
        <v>2.1049421081920463</v>
      </c>
      <c r="H7349">
        <f>0.0072992700729927*4.84680831993846</f>
        <v>3.5378162919258827E-2</v>
      </c>
      <c r="I7349">
        <v>3.5378162919258868E-2</v>
      </c>
    </row>
    <row r="7350" spans="1:9" x14ac:dyDescent="0.25">
      <c r="A7350">
        <v>355</v>
      </c>
      <c r="B7350" t="s">
        <v>2559</v>
      </c>
      <c r="C7350" t="s">
        <v>10</v>
      </c>
      <c r="D7350" t="s">
        <v>65</v>
      </c>
      <c r="E7350">
        <f t="shared" si="336"/>
        <v>7.2992700729927005E-3</v>
      </c>
      <c r="F7350">
        <v>32</v>
      </c>
      <c r="G7350">
        <f>LOG(382/(32+1))</f>
        <v>1.0635494230338212</v>
      </c>
      <c r="H7350">
        <f>0.0072992700729927*2.44891304714009</f>
        <v>1.7875277716351022E-2</v>
      </c>
      <c r="I7350">
        <v>1.787527771635106E-2</v>
      </c>
    </row>
    <row r="7351" spans="1:9" x14ac:dyDescent="0.25">
      <c r="A7351">
        <v>355</v>
      </c>
      <c r="B7351" t="s">
        <v>2559</v>
      </c>
      <c r="C7351" t="s">
        <v>10</v>
      </c>
      <c r="D7351" t="s">
        <v>2569</v>
      </c>
      <c r="E7351">
        <f t="shared" si="336"/>
        <v>7.2992700729927005E-3</v>
      </c>
      <c r="F7351">
        <v>1</v>
      </c>
      <c r="G7351">
        <f>LOG(382/(1+1))</f>
        <v>2.2810333672477277</v>
      </c>
      <c r="H7351">
        <f>0.0072992700729927*5.25227342804663</f>
        <v>3.8337762248515539E-2</v>
      </c>
      <c r="I7351">
        <v>3.8337762248515553E-2</v>
      </c>
    </row>
    <row r="7352" spans="1:9" x14ac:dyDescent="0.25">
      <c r="A7352">
        <v>355</v>
      </c>
      <c r="B7352" t="s">
        <v>2559</v>
      </c>
      <c r="C7352" t="s">
        <v>10</v>
      </c>
      <c r="D7352" t="s">
        <v>2570</v>
      </c>
      <c r="E7352">
        <f t="shared" si="336"/>
        <v>7.2992700729927005E-3</v>
      </c>
      <c r="F7352">
        <v>1</v>
      </c>
      <c r="G7352">
        <f>LOG(382/(1+1))</f>
        <v>2.2810333672477277</v>
      </c>
      <c r="H7352">
        <f>0.0072992700729927*5.25227342804663</f>
        <v>3.8337762248515539E-2</v>
      </c>
      <c r="I7352">
        <v>3.8337762248515553E-2</v>
      </c>
    </row>
    <row r="7353" spans="1:9" x14ac:dyDescent="0.25">
      <c r="A7353">
        <v>355</v>
      </c>
      <c r="B7353" t="s">
        <v>2559</v>
      </c>
      <c r="C7353" t="s">
        <v>10</v>
      </c>
      <c r="D7353" t="s">
        <v>1834</v>
      </c>
      <c r="E7353">
        <f t="shared" si="336"/>
        <v>7.2992700729927005E-3</v>
      </c>
      <c r="F7353">
        <v>12</v>
      </c>
      <c r="G7353">
        <f>LOG(382/(12+1))</f>
        <v>1.468120010604872</v>
      </c>
      <c r="H7353">
        <f>0.0072992700729927*3.38047125114503</f>
        <v>2.4674972636095107E-2</v>
      </c>
      <c r="I7353">
        <v>2.4674972636095169E-2</v>
      </c>
    </row>
    <row r="7354" spans="1:9" x14ac:dyDescent="0.25">
      <c r="A7354">
        <v>355</v>
      </c>
      <c r="B7354" t="s">
        <v>2559</v>
      </c>
      <c r="C7354" t="s">
        <v>10</v>
      </c>
      <c r="D7354" t="s">
        <v>1952</v>
      </c>
      <c r="E7354">
        <f t="shared" si="336"/>
        <v>7.2992700729927005E-3</v>
      </c>
      <c r="F7354">
        <v>8</v>
      </c>
      <c r="G7354">
        <f>LOG(382/(8+1))</f>
        <v>1.6278208534723839</v>
      </c>
      <c r="H7354">
        <f>0.0072992700729927*3.74819603127035</f>
        <v>2.7359095118761674E-2</v>
      </c>
      <c r="I7354">
        <v>2.7359095118761719E-2</v>
      </c>
    </row>
    <row r="7355" spans="1:9" x14ac:dyDescent="0.25">
      <c r="A7355">
        <v>355</v>
      </c>
      <c r="B7355" t="s">
        <v>2559</v>
      </c>
      <c r="C7355" t="s">
        <v>10</v>
      </c>
      <c r="D7355" t="s">
        <v>1083</v>
      </c>
      <c r="E7355">
        <f t="shared" si="336"/>
        <v>7.2992700729927005E-3</v>
      </c>
      <c r="F7355">
        <v>51</v>
      </c>
      <c r="G7355">
        <f>LOG(382/(51+1))</f>
        <v>0.86606001927690957</v>
      </c>
      <c r="H7355">
        <f>0.0072992700729927*1.99417689002514</f>
        <v>1.4556035693614158E-2</v>
      </c>
      <c r="I7355">
        <v>1.455603569361422E-2</v>
      </c>
    </row>
    <row r="7356" spans="1:9" x14ac:dyDescent="0.25">
      <c r="A7356">
        <v>355</v>
      </c>
      <c r="B7356" t="s">
        <v>2559</v>
      </c>
      <c r="C7356" t="s">
        <v>10</v>
      </c>
      <c r="D7356" t="s">
        <v>2571</v>
      </c>
      <c r="E7356">
        <f t="shared" si="336"/>
        <v>7.2992700729927005E-3</v>
      </c>
      <c r="F7356">
        <v>1</v>
      </c>
      <c r="G7356">
        <f>LOG(382/(1+1))</f>
        <v>2.2810333672477277</v>
      </c>
      <c r="H7356">
        <f>0.0072992700729927*5.25227342804663</f>
        <v>3.8337762248515539E-2</v>
      </c>
      <c r="I7356">
        <v>3.8337762248515553E-2</v>
      </c>
    </row>
    <row r="7357" spans="1:9" x14ac:dyDescent="0.25">
      <c r="A7357">
        <v>355</v>
      </c>
      <c r="B7357" t="s">
        <v>2559</v>
      </c>
      <c r="C7357" t="s">
        <v>10</v>
      </c>
      <c r="D7357" t="s">
        <v>196</v>
      </c>
      <c r="E7357">
        <f t="shared" si="336"/>
        <v>7.2992700729927005E-3</v>
      </c>
      <c r="F7357">
        <v>33</v>
      </c>
      <c r="G7357">
        <f>LOG(382/(33+1))</f>
        <v>1.0505844458694535</v>
      </c>
      <c r="H7357">
        <f>0.0072992700729927*2.41906008399041</f>
        <v>1.7657372875842407E-2</v>
      </c>
      <c r="I7357">
        <v>1.7657372875842431E-2</v>
      </c>
    </row>
    <row r="7358" spans="1:9" x14ac:dyDescent="0.25">
      <c r="A7358">
        <v>355</v>
      </c>
      <c r="B7358" t="s">
        <v>2559</v>
      </c>
      <c r="C7358" t="s">
        <v>10</v>
      </c>
      <c r="D7358" t="s">
        <v>432</v>
      </c>
      <c r="E7358">
        <f t="shared" si="336"/>
        <v>7.2992700729927005E-3</v>
      </c>
      <c r="F7358">
        <v>67</v>
      </c>
      <c r="G7358">
        <f>LOG(382/(67+1))</f>
        <v>0.7495544502054724</v>
      </c>
      <c r="H7358">
        <f>0.0072992700729927*1.72591290343046</f>
        <v>1.2597904404601897E-2</v>
      </c>
      <c r="I7358">
        <v>1.259790440460196E-2</v>
      </c>
    </row>
    <row r="7359" spans="1:9" x14ac:dyDescent="0.25">
      <c r="A7359">
        <v>355</v>
      </c>
      <c r="B7359" t="s">
        <v>2559</v>
      </c>
      <c r="C7359" t="s">
        <v>10</v>
      </c>
      <c r="D7359" t="s">
        <v>2267</v>
      </c>
      <c r="E7359">
        <f t="shared" si="336"/>
        <v>7.2992700729927005E-3</v>
      </c>
      <c r="F7359">
        <v>9</v>
      </c>
      <c r="G7359">
        <f>LOG(382/(9+1))</f>
        <v>1.5820633629117087</v>
      </c>
      <c r="H7359">
        <f>0.0072992700729927*3.64283551561252</f>
        <v>2.6590040259945397E-2</v>
      </c>
      <c r="I7359">
        <v>2.659004025994547E-2</v>
      </c>
    </row>
    <row r="7360" spans="1:9" x14ac:dyDescent="0.25">
      <c r="A7360">
        <v>355</v>
      </c>
      <c r="B7360" t="s">
        <v>2559</v>
      </c>
      <c r="C7360" t="s">
        <v>10</v>
      </c>
      <c r="D7360" t="s">
        <v>542</v>
      </c>
      <c r="E7360">
        <f t="shared" si="336"/>
        <v>7.2992700729927005E-3</v>
      </c>
      <c r="F7360">
        <v>42</v>
      </c>
      <c r="G7360">
        <f>LOG(382/(42+1))</f>
        <v>0.94859490733212215</v>
      </c>
      <c r="H7360">
        <f>0.0072992700729927*2.18422049291301</f>
        <v>1.5943215276737296E-2</v>
      </c>
      <c r="I7360">
        <v>1.5943215276737321E-2</v>
      </c>
    </row>
    <row r="7361" spans="1:9" x14ac:dyDescent="0.25">
      <c r="A7361">
        <v>355</v>
      </c>
      <c r="B7361" t="s">
        <v>2559</v>
      </c>
      <c r="C7361" t="s">
        <v>10</v>
      </c>
      <c r="D7361" t="s">
        <v>360</v>
      </c>
      <c r="E7361">
        <f t="shared" si="336"/>
        <v>7.2992700729927005E-3</v>
      </c>
      <c r="F7361">
        <v>15</v>
      </c>
      <c r="G7361">
        <f>LOG(382/(15+1))</f>
        <v>1.3779433802557839</v>
      </c>
      <c r="H7361">
        <f>0.0072992700729927*3.17283188636679</f>
        <v>2.3159356834794084E-2</v>
      </c>
      <c r="I7361">
        <v>2.3159356834794122E-2</v>
      </c>
    </row>
    <row r="7362" spans="1:9" x14ac:dyDescent="0.25">
      <c r="A7362">
        <v>355</v>
      </c>
      <c r="B7362" t="s">
        <v>2559</v>
      </c>
      <c r="C7362" t="s">
        <v>10</v>
      </c>
      <c r="D7362" t="s">
        <v>361</v>
      </c>
      <c r="E7362">
        <f t="shared" si="336"/>
        <v>7.2992700729927005E-3</v>
      </c>
      <c r="F7362">
        <v>118</v>
      </c>
      <c r="G7362">
        <f>LOG(382/(118+1))</f>
        <v>0.50651640151917798</v>
      </c>
      <c r="H7362">
        <f>0.0072992700729927*1.16629711549504</f>
        <v>8.5131176313506546E-3</v>
      </c>
      <c r="I7362">
        <v>8.5131176313506998E-3</v>
      </c>
    </row>
    <row r="7363" spans="1:9" x14ac:dyDescent="0.25">
      <c r="A7363">
        <v>355</v>
      </c>
      <c r="B7363" t="s">
        <v>2559</v>
      </c>
      <c r="C7363" t="s">
        <v>10</v>
      </c>
      <c r="D7363" t="s">
        <v>600</v>
      </c>
      <c r="E7363">
        <f t="shared" si="336"/>
        <v>7.2992700729927005E-3</v>
      </c>
      <c r="F7363">
        <v>102</v>
      </c>
      <c r="G7363">
        <f>LOG(382/(102+1))</f>
        <v>0.56922613820653656</v>
      </c>
      <c r="H7363">
        <f>0.0072992700729927*1.31069162037693</f>
        <v>9.5670921195396344E-3</v>
      </c>
      <c r="I7363">
        <v>9.5670921195397038E-3</v>
      </c>
    </row>
    <row r="7364" spans="1:9" x14ac:dyDescent="0.25">
      <c r="A7364">
        <v>355</v>
      </c>
      <c r="B7364" t="s">
        <v>2559</v>
      </c>
      <c r="C7364" t="s">
        <v>10</v>
      </c>
      <c r="D7364" t="s">
        <v>596</v>
      </c>
      <c r="E7364">
        <f t="shared" si="336"/>
        <v>7.2992700729927005E-3</v>
      </c>
      <c r="F7364">
        <v>60</v>
      </c>
      <c r="G7364">
        <f>LOG(382/(60+1))</f>
        <v>0.79673352790094176</v>
      </c>
      <c r="H7364">
        <f>0.0072992700729927*1.83454674443326</f>
        <v>1.3390852149147882E-2</v>
      </c>
      <c r="I7364">
        <v>1.3390852149147909E-2</v>
      </c>
    </row>
    <row r="7365" spans="1:9" x14ac:dyDescent="0.25">
      <c r="A7365">
        <v>355</v>
      </c>
      <c r="B7365" t="s">
        <v>2559</v>
      </c>
      <c r="C7365" t="s">
        <v>10</v>
      </c>
      <c r="D7365" t="s">
        <v>1957</v>
      </c>
      <c r="E7365">
        <f t="shared" si="336"/>
        <v>7.2992700729927005E-3</v>
      </c>
      <c r="F7365">
        <v>2</v>
      </c>
      <c r="G7365">
        <f>LOG(382/(2+1))</f>
        <v>2.1049421081920463</v>
      </c>
      <c r="H7365">
        <f>0.0072992700729927*4.84680831993846</f>
        <v>3.5378162919258827E-2</v>
      </c>
      <c r="I7365">
        <v>3.5378162919258868E-2</v>
      </c>
    </row>
    <row r="7366" spans="1:9" x14ac:dyDescent="0.25">
      <c r="A7366">
        <v>355</v>
      </c>
      <c r="B7366" t="s">
        <v>2559</v>
      </c>
      <c r="C7366" t="s">
        <v>10</v>
      </c>
      <c r="D7366" t="s">
        <v>144</v>
      </c>
      <c r="E7366">
        <f t="shared" si="336"/>
        <v>7.2992700729927005E-3</v>
      </c>
      <c r="F7366">
        <v>105</v>
      </c>
      <c r="G7366">
        <f>LOG(382/(105+1))</f>
        <v>0.55675749764693849</v>
      </c>
      <c r="H7366">
        <f>0.0072992700729927*1.2819815144945</f>
        <v>9.3575293028795598E-3</v>
      </c>
      <c r="I7366">
        <v>9.3575293028796188E-3</v>
      </c>
    </row>
    <row r="7367" spans="1:9" x14ac:dyDescent="0.25">
      <c r="A7367">
        <v>355</v>
      </c>
      <c r="B7367" t="s">
        <v>2559</v>
      </c>
      <c r="C7367" t="s">
        <v>10</v>
      </c>
      <c r="D7367" t="s">
        <v>2572</v>
      </c>
      <c r="E7367">
        <f t="shared" si="336"/>
        <v>7.2992700729927005E-3</v>
      </c>
      <c r="F7367">
        <v>1</v>
      </c>
      <c r="G7367">
        <f>LOG(382/(1+1))</f>
        <v>2.2810333672477277</v>
      </c>
      <c r="H7367">
        <f>0.0072992700729927*5.25227342804663</f>
        <v>3.8337762248515539E-2</v>
      </c>
      <c r="I7367">
        <v>3.8337762248515553E-2</v>
      </c>
    </row>
    <row r="7368" spans="1:9" x14ac:dyDescent="0.25">
      <c r="A7368">
        <v>355</v>
      </c>
      <c r="B7368" t="s">
        <v>2559</v>
      </c>
      <c r="C7368" t="s">
        <v>10</v>
      </c>
      <c r="D7368" t="s">
        <v>811</v>
      </c>
      <c r="E7368">
        <f t="shared" si="336"/>
        <v>7.2992700729927005E-3</v>
      </c>
      <c r="F7368">
        <v>27</v>
      </c>
      <c r="G7368">
        <f>LOG(382/(27+1))</f>
        <v>1.1349053315694895</v>
      </c>
      <c r="H7368">
        <f>0.0072992700729927*2.61321609843137</f>
        <v>1.9074570061542846E-2</v>
      </c>
      <c r="I7368">
        <v>1.907457006154285E-2</v>
      </c>
    </row>
    <row r="7369" spans="1:9" x14ac:dyDescent="0.25">
      <c r="A7369">
        <v>355</v>
      </c>
      <c r="B7369" t="s">
        <v>2559</v>
      </c>
      <c r="C7369" t="s">
        <v>10</v>
      </c>
      <c r="D7369" t="s">
        <v>340</v>
      </c>
      <c r="E7369">
        <f t="shared" si="336"/>
        <v>7.2992700729927005E-3</v>
      </c>
      <c r="F7369">
        <v>28</v>
      </c>
      <c r="G7369">
        <f>LOG(382/(28+1))</f>
        <v>1.1196653650127526</v>
      </c>
      <c r="H7369">
        <f>0.0072992700729927*2.5781247786201</f>
        <v>1.8818429041022624E-2</v>
      </c>
      <c r="I7369">
        <v>1.8818429041022631E-2</v>
      </c>
    </row>
    <row r="7370" spans="1:9" x14ac:dyDescent="0.25">
      <c r="A7370">
        <v>355</v>
      </c>
      <c r="B7370" t="s">
        <v>2559</v>
      </c>
      <c r="C7370" t="s">
        <v>10</v>
      </c>
      <c r="D7370" t="s">
        <v>339</v>
      </c>
      <c r="E7370">
        <f t="shared" si="336"/>
        <v>7.2992700729927005E-3</v>
      </c>
      <c r="F7370">
        <v>66</v>
      </c>
      <c r="G7370">
        <f>LOG(382/(66+1))</f>
        <v>0.75598856021088234</v>
      </c>
      <c r="H7370">
        <f>0.0072992700729927*1.7407279892156</f>
        <v>1.2706043716902187E-2</v>
      </c>
      <c r="I7370">
        <v>1.270604371690226E-2</v>
      </c>
    </row>
    <row r="7371" spans="1:9" x14ac:dyDescent="0.25">
      <c r="A7371">
        <v>355</v>
      </c>
      <c r="B7371" t="s">
        <v>2559</v>
      </c>
      <c r="C7371" t="s">
        <v>10</v>
      </c>
      <c r="D7371" t="s">
        <v>119</v>
      </c>
      <c r="E7371">
        <f t="shared" si="336"/>
        <v>7.2992700729927005E-3</v>
      </c>
      <c r="F7371">
        <v>79</v>
      </c>
      <c r="G7371">
        <f>LOG(382/(79+1))</f>
        <v>0.67897337591976514</v>
      </c>
      <c r="H7371">
        <f>0.0072992700729927*1.56339397393269</f>
        <v>1.1411634846224013E-2</v>
      </c>
      <c r="I7371">
        <v>1.1411634846224041E-2</v>
      </c>
    </row>
    <row r="7372" spans="1:9" x14ac:dyDescent="0.25">
      <c r="A7372">
        <v>355</v>
      </c>
      <c r="B7372" t="s">
        <v>2559</v>
      </c>
      <c r="C7372" t="s">
        <v>10</v>
      </c>
      <c r="D7372" t="s">
        <v>77</v>
      </c>
      <c r="E7372">
        <f>2/137</f>
        <v>1.4598540145985401E-2</v>
      </c>
      <c r="F7372">
        <v>148</v>
      </c>
      <c r="G7372">
        <f>LOG(382/(148+1))</f>
        <v>0.40887709449943471</v>
      </c>
      <c r="H7372">
        <f>0.0145985401459854*0.941474302661116</f>
        <v>1.3744150403811909E-2</v>
      </c>
      <c r="I7372">
        <v>1.3744150403811909E-2</v>
      </c>
    </row>
    <row r="7373" spans="1:9" x14ac:dyDescent="0.25">
      <c r="A7373">
        <v>355</v>
      </c>
      <c r="B7373" t="s">
        <v>2559</v>
      </c>
      <c r="C7373" t="s">
        <v>10</v>
      </c>
      <c r="D7373" t="s">
        <v>915</v>
      </c>
      <c r="E7373">
        <f>1/137</f>
        <v>7.2992700729927005E-3</v>
      </c>
      <c r="F7373">
        <v>8</v>
      </c>
      <c r="G7373">
        <f>LOG(382/(8+1))</f>
        <v>1.6278208534723839</v>
      </c>
      <c r="H7373">
        <f>0.0072992700729927*3.74819603127035</f>
        <v>2.7359095118761674E-2</v>
      </c>
      <c r="I7373">
        <v>2.7359095118761719E-2</v>
      </c>
    </row>
    <row r="7374" spans="1:9" x14ac:dyDescent="0.25">
      <c r="A7374">
        <v>355</v>
      </c>
      <c r="B7374" t="s">
        <v>2559</v>
      </c>
      <c r="C7374" t="s">
        <v>10</v>
      </c>
      <c r="D7374" t="s">
        <v>379</v>
      </c>
      <c r="E7374">
        <f>2/137</f>
        <v>1.4598540145985401E-2</v>
      </c>
      <c r="F7374">
        <v>17</v>
      </c>
      <c r="G7374">
        <f>LOG(382/(17+1))</f>
        <v>1.3267908578084027</v>
      </c>
      <c r="H7374">
        <f>0.0145985401459854*3.05504885071041</f>
        <v>4.4599253295042475E-2</v>
      </c>
      <c r="I7374">
        <v>4.4599253295042482E-2</v>
      </c>
    </row>
    <row r="7375" spans="1:9" x14ac:dyDescent="0.25">
      <c r="A7375">
        <v>355</v>
      </c>
      <c r="B7375" t="s">
        <v>2559</v>
      </c>
      <c r="C7375" t="s">
        <v>10</v>
      </c>
      <c r="D7375" t="s">
        <v>2573</v>
      </c>
      <c r="E7375">
        <f>1/137</f>
        <v>7.2992700729927005E-3</v>
      </c>
      <c r="F7375">
        <v>1</v>
      </c>
      <c r="G7375">
        <f>LOG(382/(1+1))</f>
        <v>2.2810333672477277</v>
      </c>
      <c r="H7375">
        <f>0.0072992700729927*5.25227342804663</f>
        <v>3.8337762248515539E-2</v>
      </c>
      <c r="I7375">
        <v>3.8337762248515553E-2</v>
      </c>
    </row>
    <row r="7376" spans="1:9" x14ac:dyDescent="0.25">
      <c r="A7376">
        <v>355</v>
      </c>
      <c r="B7376" t="s">
        <v>2559</v>
      </c>
      <c r="C7376" t="s">
        <v>10</v>
      </c>
      <c r="D7376" t="s">
        <v>2574</v>
      </c>
      <c r="E7376">
        <f>1/137</f>
        <v>7.2992700729927005E-3</v>
      </c>
      <c r="F7376">
        <v>1</v>
      </c>
      <c r="G7376">
        <f>LOG(382/(1+1))</f>
        <v>2.2810333672477277</v>
      </c>
      <c r="H7376">
        <f>0.0072992700729927*5.25227342804663</f>
        <v>3.8337762248515539E-2</v>
      </c>
      <c r="I7376">
        <v>3.8337762248515553E-2</v>
      </c>
    </row>
    <row r="7377" spans="1:9" x14ac:dyDescent="0.25">
      <c r="A7377">
        <v>355</v>
      </c>
      <c r="B7377" t="s">
        <v>2559</v>
      </c>
      <c r="C7377" t="s">
        <v>10</v>
      </c>
      <c r="D7377" t="s">
        <v>243</v>
      </c>
      <c r="E7377">
        <f>2/137</f>
        <v>1.4598540145985401E-2</v>
      </c>
      <c r="F7377">
        <v>131</v>
      </c>
      <c r="G7377">
        <f>LOG(382/(131+1))</f>
        <v>0.46148943170585888</v>
      </c>
      <c r="H7377">
        <f>0.0145985401459854*1.0626186860202</f>
        <v>1.5512681547740144E-2</v>
      </c>
      <c r="I7377">
        <v>1.5512681547740209E-2</v>
      </c>
    </row>
    <row r="7378" spans="1:9" x14ac:dyDescent="0.25">
      <c r="A7378">
        <v>355</v>
      </c>
      <c r="B7378" t="s">
        <v>2559</v>
      </c>
      <c r="C7378" t="s">
        <v>10</v>
      </c>
      <c r="D7378" t="s">
        <v>1397</v>
      </c>
      <c r="E7378">
        <f>1/137</f>
        <v>7.2992700729927005E-3</v>
      </c>
      <c r="F7378">
        <v>29</v>
      </c>
      <c r="G7378">
        <f>LOG(382/(29+1))</f>
        <v>1.1049421081920463</v>
      </c>
      <c r="H7378">
        <f>0.0072992700729927*2.54422322694442</f>
        <v>1.8570972459448318E-2</v>
      </c>
      <c r="I7378">
        <v>1.8570972459448321E-2</v>
      </c>
    </row>
    <row r="7379" spans="1:9" x14ac:dyDescent="0.25">
      <c r="A7379">
        <v>355</v>
      </c>
      <c r="B7379" t="s">
        <v>2559</v>
      </c>
      <c r="C7379" t="s">
        <v>10</v>
      </c>
      <c r="D7379" t="s">
        <v>888</v>
      </c>
      <c r="E7379">
        <f>1/137</f>
        <v>7.2992700729927005E-3</v>
      </c>
      <c r="F7379">
        <v>21</v>
      </c>
      <c r="G7379">
        <f>LOG(382/(21+1))</f>
        <v>1.2396406820895025</v>
      </c>
      <c r="H7379">
        <f>0.0072992700729927*2.85437815524825</f>
        <v>2.0834877045607662E-2</v>
      </c>
      <c r="I7379">
        <v>2.0834877045607731E-2</v>
      </c>
    </row>
    <row r="7380" spans="1:9" x14ac:dyDescent="0.25">
      <c r="A7380">
        <v>355</v>
      </c>
      <c r="B7380" t="s">
        <v>2559</v>
      </c>
      <c r="C7380" t="s">
        <v>10</v>
      </c>
      <c r="D7380" t="s">
        <v>2575</v>
      </c>
      <c r="E7380">
        <f>2/137</f>
        <v>1.4598540145985401E-2</v>
      </c>
      <c r="F7380">
        <v>1</v>
      </c>
      <c r="G7380">
        <f>LOG(382/(1+1))</f>
        <v>2.2810333672477277</v>
      </c>
      <c r="H7380">
        <f>0.0145985401459854*5.25227342804663</f>
        <v>7.6675524497031078E-2</v>
      </c>
      <c r="I7380">
        <v>7.6675524497031092E-2</v>
      </c>
    </row>
    <row r="7381" spans="1:9" x14ac:dyDescent="0.25">
      <c r="A7381">
        <v>355</v>
      </c>
      <c r="B7381" t="s">
        <v>2559</v>
      </c>
      <c r="C7381" t="s">
        <v>10</v>
      </c>
      <c r="D7381" t="s">
        <v>1457</v>
      </c>
      <c r="E7381">
        <f t="shared" ref="E7381:E7391" si="337">1/137</f>
        <v>7.2992700729927005E-3</v>
      </c>
      <c r="F7381">
        <v>2</v>
      </c>
      <c r="G7381">
        <f>LOG(382/(2+1))</f>
        <v>2.1049421081920463</v>
      </c>
      <c r="H7381">
        <f>0.0072992700729927*4.84680831993846</f>
        <v>3.5378162919258827E-2</v>
      </c>
      <c r="I7381">
        <v>3.5378162919258868E-2</v>
      </c>
    </row>
    <row r="7382" spans="1:9" x14ac:dyDescent="0.25">
      <c r="A7382">
        <v>355</v>
      </c>
      <c r="B7382" t="s">
        <v>2559</v>
      </c>
      <c r="C7382" t="s">
        <v>10</v>
      </c>
      <c r="D7382" t="s">
        <v>2576</v>
      </c>
      <c r="E7382">
        <f t="shared" si="337"/>
        <v>7.2992700729927005E-3</v>
      </c>
      <c r="F7382">
        <v>1</v>
      </c>
      <c r="G7382">
        <f>LOG(382/(1+1))</f>
        <v>2.2810333672477277</v>
      </c>
      <c r="H7382">
        <f>0.0072992700729927*5.25227342804663</f>
        <v>3.8337762248515539E-2</v>
      </c>
      <c r="I7382">
        <v>3.8337762248515553E-2</v>
      </c>
    </row>
    <row r="7383" spans="1:9" x14ac:dyDescent="0.25">
      <c r="A7383">
        <v>355</v>
      </c>
      <c r="B7383" t="s">
        <v>2559</v>
      </c>
      <c r="C7383" t="s">
        <v>10</v>
      </c>
      <c r="D7383" t="s">
        <v>859</v>
      </c>
      <c r="E7383">
        <f t="shared" si="337"/>
        <v>7.2992700729927005E-3</v>
      </c>
      <c r="F7383">
        <v>6</v>
      </c>
      <c r="G7383">
        <f>LOG(382/(6+1))</f>
        <v>1.736965322897452</v>
      </c>
      <c r="H7383">
        <f>0.0072992700729927*3.99951045955126</f>
        <v>2.9193507004023792E-2</v>
      </c>
      <c r="I7383">
        <v>2.919350700402381E-2</v>
      </c>
    </row>
    <row r="7384" spans="1:9" x14ac:dyDescent="0.25">
      <c r="A7384">
        <v>355</v>
      </c>
      <c r="B7384" t="s">
        <v>2559</v>
      </c>
      <c r="C7384" t="s">
        <v>10</v>
      </c>
      <c r="D7384" t="s">
        <v>2577</v>
      </c>
      <c r="E7384">
        <f t="shared" si="337"/>
        <v>7.2992700729927005E-3</v>
      </c>
      <c r="F7384">
        <v>2</v>
      </c>
      <c r="G7384">
        <f>LOG(382/(2+1))</f>
        <v>2.1049421081920463</v>
      </c>
      <c r="H7384">
        <f>0.0072992700729927*4.84680831993846</f>
        <v>3.5378162919258827E-2</v>
      </c>
      <c r="I7384">
        <v>3.5378162919258868E-2</v>
      </c>
    </row>
    <row r="7385" spans="1:9" x14ac:dyDescent="0.25">
      <c r="A7385">
        <v>355</v>
      </c>
      <c r="B7385" t="s">
        <v>2559</v>
      </c>
      <c r="C7385" t="s">
        <v>10</v>
      </c>
      <c r="D7385" t="s">
        <v>770</v>
      </c>
      <c r="E7385">
        <f t="shared" si="337"/>
        <v>7.2992700729927005E-3</v>
      </c>
      <c r="F7385">
        <v>47</v>
      </c>
      <c r="G7385">
        <f>LOG(382/(47+1))</f>
        <v>0.90082212553612151</v>
      </c>
      <c r="H7385">
        <f>0.0072992700729927*2.07421959769868</f>
        <v>1.5140289034296933E-2</v>
      </c>
      <c r="I7385">
        <v>1.5140289034296961E-2</v>
      </c>
    </row>
    <row r="7386" spans="1:9" x14ac:dyDescent="0.25">
      <c r="A7386">
        <v>355</v>
      </c>
      <c r="B7386" t="s">
        <v>2559</v>
      </c>
      <c r="C7386" t="s">
        <v>10</v>
      </c>
      <c r="D7386" t="s">
        <v>429</v>
      </c>
      <c r="E7386">
        <f t="shared" si="337"/>
        <v>7.2992700729927005E-3</v>
      </c>
      <c r="F7386">
        <v>11</v>
      </c>
      <c r="G7386">
        <f>LOG(382/(11+1))</f>
        <v>1.5028821168640838</v>
      </c>
      <c r="H7386">
        <f>0.0072992700729927*3.46051395881857</f>
        <v>2.5259225976777881E-2</v>
      </c>
      <c r="I7386">
        <v>2.5259225976777919E-2</v>
      </c>
    </row>
    <row r="7387" spans="1:9" x14ac:dyDescent="0.25">
      <c r="A7387">
        <v>355</v>
      </c>
      <c r="B7387" t="s">
        <v>2559</v>
      </c>
      <c r="C7387" t="s">
        <v>10</v>
      </c>
      <c r="D7387" t="s">
        <v>2578</v>
      </c>
      <c r="E7387">
        <f t="shared" si="337"/>
        <v>7.2992700729927005E-3</v>
      </c>
      <c r="F7387">
        <v>1</v>
      </c>
      <c r="G7387">
        <f>LOG(382/(1+1))</f>
        <v>2.2810333672477277</v>
      </c>
      <c r="H7387">
        <f>0.0072992700729927*5.25227342804663</f>
        <v>3.8337762248515539E-2</v>
      </c>
      <c r="I7387">
        <v>3.8337762248515553E-2</v>
      </c>
    </row>
    <row r="7388" spans="1:9" x14ac:dyDescent="0.25">
      <c r="A7388">
        <v>355</v>
      </c>
      <c r="B7388" t="s">
        <v>2559</v>
      </c>
      <c r="C7388" t="s">
        <v>10</v>
      </c>
      <c r="D7388" t="s">
        <v>773</v>
      </c>
      <c r="E7388">
        <f t="shared" si="337"/>
        <v>7.2992700729927005E-3</v>
      </c>
      <c r="F7388">
        <v>10</v>
      </c>
      <c r="G7388">
        <f>LOG(382/(10+1))</f>
        <v>1.5406706777534838</v>
      </c>
      <c r="H7388">
        <f>0.0072992700729927*3.5475253358082</f>
        <v>2.5894345516848171E-2</v>
      </c>
      <c r="I7388">
        <v>2.5894345516848209E-2</v>
      </c>
    </row>
    <row r="7389" spans="1:9" x14ac:dyDescent="0.25">
      <c r="A7389">
        <v>355</v>
      </c>
      <c r="B7389" t="s">
        <v>2559</v>
      </c>
      <c r="C7389" t="s">
        <v>10</v>
      </c>
      <c r="D7389" t="s">
        <v>1456</v>
      </c>
      <c r="E7389">
        <f t="shared" si="337"/>
        <v>7.2992700729927005E-3</v>
      </c>
      <c r="F7389">
        <v>5</v>
      </c>
      <c r="G7389">
        <f>LOG(382/(5+1))</f>
        <v>1.803912112528065</v>
      </c>
      <c r="H7389">
        <f>0.0072992700729927*4.15366113937852</f>
        <v>3.031869444801839E-2</v>
      </c>
      <c r="I7389">
        <v>3.031869444801839E-2</v>
      </c>
    </row>
    <row r="7390" spans="1:9" x14ac:dyDescent="0.25">
      <c r="A7390">
        <v>355</v>
      </c>
      <c r="B7390" t="s">
        <v>2559</v>
      </c>
      <c r="C7390" t="s">
        <v>10</v>
      </c>
      <c r="D7390" t="s">
        <v>1019</v>
      </c>
      <c r="E7390">
        <f t="shared" si="337"/>
        <v>7.2992700729927005E-3</v>
      </c>
      <c r="F7390">
        <v>7</v>
      </c>
      <c r="G7390">
        <f>LOG(382/(7+1))</f>
        <v>1.6789733759197651</v>
      </c>
      <c r="H7390">
        <f>0.0072992700729927*3.86597906692673</f>
        <v>2.8218825306034524E-2</v>
      </c>
      <c r="I7390">
        <v>2.8218825306034589E-2</v>
      </c>
    </row>
    <row r="7391" spans="1:9" x14ac:dyDescent="0.25">
      <c r="A7391">
        <v>355</v>
      </c>
      <c r="B7391" t="s">
        <v>2559</v>
      </c>
      <c r="C7391" t="s">
        <v>10</v>
      </c>
      <c r="D7391" t="s">
        <v>1626</v>
      </c>
      <c r="E7391">
        <f t="shared" si="337"/>
        <v>7.2992700729927005E-3</v>
      </c>
      <c r="F7391">
        <v>32</v>
      </c>
      <c r="G7391">
        <f>LOG(382/(32+1))</f>
        <v>1.0635494230338212</v>
      </c>
      <c r="H7391">
        <f>0.0072992700729927*2.44891304714009</f>
        <v>1.7875277716351022E-2</v>
      </c>
      <c r="I7391">
        <v>1.787527771635106E-2</v>
      </c>
    </row>
    <row r="7392" spans="1:9" x14ac:dyDescent="0.25">
      <c r="A7392">
        <v>355</v>
      </c>
      <c r="B7392" t="s">
        <v>2559</v>
      </c>
      <c r="C7392" t="s">
        <v>10</v>
      </c>
      <c r="D7392" t="s">
        <v>236</v>
      </c>
      <c r="E7392">
        <f>2/137</f>
        <v>1.4598540145985401E-2</v>
      </c>
      <c r="F7392">
        <v>87</v>
      </c>
      <c r="G7392">
        <f>LOG(382/(87+1))</f>
        <v>0.63758069076154011</v>
      </c>
      <c r="H7392">
        <f>0.0145985401459854*1.46808379412836</f>
        <v>2.1431880206253428E-2</v>
      </c>
      <c r="I7392">
        <v>2.143188020625356E-2</v>
      </c>
    </row>
    <row r="7393" spans="1:9" x14ac:dyDescent="0.25">
      <c r="A7393">
        <v>355</v>
      </c>
      <c r="B7393" t="s">
        <v>2559</v>
      </c>
      <c r="C7393" t="s">
        <v>10</v>
      </c>
      <c r="D7393" t="s">
        <v>1469</v>
      </c>
      <c r="E7393">
        <f>2/137</f>
        <v>1.4598540145985401E-2</v>
      </c>
      <c r="F7393">
        <v>24</v>
      </c>
      <c r="G7393">
        <f>LOG(382/(24+1))</f>
        <v>1.1841233542396712</v>
      </c>
      <c r="H7393">
        <f>0.0145985401459854*2.72654478373837</f>
        <v>3.9803573485231669E-2</v>
      </c>
      <c r="I7393">
        <v>3.9803573485231739E-2</v>
      </c>
    </row>
    <row r="7394" spans="1:9" x14ac:dyDescent="0.25">
      <c r="A7394">
        <v>355</v>
      </c>
      <c r="B7394" t="s">
        <v>2559</v>
      </c>
      <c r="C7394" t="s">
        <v>10</v>
      </c>
      <c r="D7394" t="s">
        <v>2476</v>
      </c>
      <c r="E7394">
        <f>1/137</f>
        <v>7.2992700729927005E-3</v>
      </c>
      <c r="F7394">
        <v>12</v>
      </c>
      <c r="G7394">
        <f>LOG(382/(12+1))</f>
        <v>1.468120010604872</v>
      </c>
      <c r="H7394">
        <f>0.0072992700729927*3.38047125114503</f>
        <v>2.4674972636095107E-2</v>
      </c>
      <c r="I7394">
        <v>2.4674972636095169E-2</v>
      </c>
    </row>
    <row r="7395" spans="1:9" x14ac:dyDescent="0.25">
      <c r="A7395">
        <v>355</v>
      </c>
      <c r="B7395" t="s">
        <v>2559</v>
      </c>
      <c r="C7395" t="s">
        <v>10</v>
      </c>
      <c r="D7395" t="s">
        <v>309</v>
      </c>
      <c r="E7395">
        <f>1/137</f>
        <v>7.2992700729927005E-3</v>
      </c>
      <c r="F7395">
        <v>25</v>
      </c>
      <c r="G7395">
        <f>LOG(382/(25+1))</f>
        <v>1.1670900149408907</v>
      </c>
      <c r="H7395">
        <f>0.0072992700729927*2.68732407058509</f>
        <v>1.961550416485467E-2</v>
      </c>
      <c r="I7395">
        <v>1.9615504164854691E-2</v>
      </c>
    </row>
    <row r="7396" spans="1:9" x14ac:dyDescent="0.25">
      <c r="A7396">
        <v>355</v>
      </c>
      <c r="B7396" t="s">
        <v>2559</v>
      </c>
      <c r="C7396" t="s">
        <v>10</v>
      </c>
      <c r="D7396" t="s">
        <v>763</v>
      </c>
      <c r="E7396">
        <f>2/137</f>
        <v>1.4598540145985401E-2</v>
      </c>
      <c r="F7396">
        <v>47</v>
      </c>
      <c r="G7396">
        <f>LOG(382/(47+1))</f>
        <v>0.90082212553612151</v>
      </c>
      <c r="H7396">
        <f>0.0145985401459854*2.07421959769868</f>
        <v>3.0280578068593866E-2</v>
      </c>
      <c r="I7396">
        <v>3.0280578068593932E-2</v>
      </c>
    </row>
    <row r="7397" spans="1:9" x14ac:dyDescent="0.25">
      <c r="A7397">
        <v>355</v>
      </c>
      <c r="B7397" t="s">
        <v>2559</v>
      </c>
      <c r="C7397" t="s">
        <v>10</v>
      </c>
      <c r="D7397" t="s">
        <v>1831</v>
      </c>
      <c r="E7397">
        <f t="shared" ref="E7397:E7403" si="338">1/137</f>
        <v>7.2992700729927005E-3</v>
      </c>
      <c r="F7397">
        <v>28</v>
      </c>
      <c r="G7397">
        <f>LOG(382/(28+1))</f>
        <v>1.1196653650127526</v>
      </c>
      <c r="H7397">
        <f>0.0072992700729927*2.5781247786201</f>
        <v>1.8818429041022624E-2</v>
      </c>
      <c r="I7397">
        <v>1.8818429041022631E-2</v>
      </c>
    </row>
    <row r="7398" spans="1:9" x14ac:dyDescent="0.25">
      <c r="A7398">
        <v>355</v>
      </c>
      <c r="B7398" t="s">
        <v>2559</v>
      </c>
      <c r="C7398" t="s">
        <v>10</v>
      </c>
      <c r="D7398" t="s">
        <v>1098</v>
      </c>
      <c r="E7398">
        <f t="shared" si="338"/>
        <v>7.2992700729927005E-3</v>
      </c>
      <c r="F7398">
        <v>19</v>
      </c>
      <c r="G7398">
        <f>LOG(382/(19+1))</f>
        <v>1.2810333672477277</v>
      </c>
      <c r="H7398">
        <f>0.0072992700729927*2.94968833505258</f>
        <v>2.1530571788704961E-2</v>
      </c>
      <c r="I7398">
        <v>2.1530571788704999E-2</v>
      </c>
    </row>
    <row r="7399" spans="1:9" x14ac:dyDescent="0.25">
      <c r="A7399">
        <v>355</v>
      </c>
      <c r="B7399" t="s">
        <v>2559</v>
      </c>
      <c r="C7399" t="s">
        <v>10</v>
      </c>
      <c r="D7399" t="s">
        <v>1919</v>
      </c>
      <c r="E7399">
        <f t="shared" si="338"/>
        <v>7.2992700729927005E-3</v>
      </c>
      <c r="F7399">
        <v>18</v>
      </c>
      <c r="G7399">
        <f>LOG(382/(18+1))</f>
        <v>1.3033097619588798</v>
      </c>
      <c r="H7399">
        <f>0.0072992700729927*3.00098162944013</f>
        <v>2.1904975397373211E-2</v>
      </c>
      <c r="I7399">
        <v>2.1904975397373249E-2</v>
      </c>
    </row>
    <row r="7400" spans="1:9" x14ac:dyDescent="0.25">
      <c r="A7400">
        <v>355</v>
      </c>
      <c r="B7400" t="s">
        <v>2559</v>
      </c>
      <c r="C7400" t="s">
        <v>10</v>
      </c>
      <c r="D7400" t="s">
        <v>1918</v>
      </c>
      <c r="E7400">
        <f t="shared" si="338"/>
        <v>7.2992700729927005E-3</v>
      </c>
      <c r="F7400">
        <v>25</v>
      </c>
      <c r="G7400">
        <f>LOG(382/(25+1))</f>
        <v>1.1670900149408907</v>
      </c>
      <c r="H7400">
        <f>0.0072992700729927*2.68732407058509</f>
        <v>1.961550416485467E-2</v>
      </c>
      <c r="I7400">
        <v>1.9615504164854691E-2</v>
      </c>
    </row>
    <row r="7401" spans="1:9" x14ac:dyDescent="0.25">
      <c r="A7401">
        <v>355</v>
      </c>
      <c r="B7401" t="s">
        <v>2559</v>
      </c>
      <c r="C7401" t="s">
        <v>10</v>
      </c>
      <c r="D7401" t="s">
        <v>1920</v>
      </c>
      <c r="E7401">
        <f t="shared" si="338"/>
        <v>7.2992700729927005E-3</v>
      </c>
      <c r="F7401">
        <v>18</v>
      </c>
      <c r="G7401">
        <f>LOG(382/(18+1))</f>
        <v>1.3033097619588798</v>
      </c>
      <c r="H7401">
        <f>0.0072992700729927*3.00098162944013</f>
        <v>2.1904975397373211E-2</v>
      </c>
      <c r="I7401">
        <v>2.1904975397373249E-2</v>
      </c>
    </row>
    <row r="7402" spans="1:9" x14ac:dyDescent="0.25">
      <c r="A7402">
        <v>355</v>
      </c>
      <c r="B7402" t="s">
        <v>2559</v>
      </c>
      <c r="C7402" t="s">
        <v>10</v>
      </c>
      <c r="D7402" t="s">
        <v>204</v>
      </c>
      <c r="E7402">
        <f t="shared" si="338"/>
        <v>7.2992700729927005E-3</v>
      </c>
      <c r="F7402">
        <v>166</v>
      </c>
      <c r="G7402">
        <f>LOG(382/(166+1))</f>
        <v>0.35934689176412549</v>
      </c>
      <c r="H7402">
        <f>0.0072992700729927*0.82742679618982</f>
        <v>6.0396116510205823E-3</v>
      </c>
      <c r="I7402">
        <v>6.0396116510205841E-3</v>
      </c>
    </row>
    <row r="7403" spans="1:9" x14ac:dyDescent="0.25">
      <c r="A7403">
        <v>355</v>
      </c>
      <c r="B7403" t="s">
        <v>2559</v>
      </c>
      <c r="C7403" t="s">
        <v>10</v>
      </c>
      <c r="D7403" t="s">
        <v>764</v>
      </c>
      <c r="E7403">
        <f t="shared" si="338"/>
        <v>7.2992700729927005E-3</v>
      </c>
      <c r="F7403">
        <v>57</v>
      </c>
      <c r="G7403">
        <f>LOG(382/(57+1))</f>
        <v>0.81863536934877146</v>
      </c>
      <c r="H7403">
        <f>0.0072992700729927*1.88497759806015</f>
        <v>1.3758960569782114E-2</v>
      </c>
      <c r="I7403">
        <v>1.375896056978216E-2</v>
      </c>
    </row>
    <row r="7404" spans="1:9" x14ac:dyDescent="0.25">
      <c r="A7404">
        <v>356</v>
      </c>
      <c r="B7404" t="s">
        <v>2579</v>
      </c>
      <c r="C7404" t="s">
        <v>10</v>
      </c>
      <c r="D7404" t="s">
        <v>726</v>
      </c>
      <c r="E7404">
        <f>7/72</f>
        <v>9.7222222222222224E-2</v>
      </c>
      <c r="F7404">
        <v>37</v>
      </c>
      <c r="G7404">
        <f>LOG(382/(37+1))</f>
        <v>1.0022797662948986</v>
      </c>
      <c r="H7404">
        <f>0.0972222222222222*2.30783444888018</f>
        <v>0.22437279364112853</v>
      </c>
      <c r="I7404">
        <v>0.2243727936411295</v>
      </c>
    </row>
    <row r="7405" spans="1:9" x14ac:dyDescent="0.25">
      <c r="A7405">
        <v>356</v>
      </c>
      <c r="B7405" t="s">
        <v>2579</v>
      </c>
      <c r="C7405" t="s">
        <v>10</v>
      </c>
      <c r="D7405" t="s">
        <v>41</v>
      </c>
      <c r="E7405">
        <f>11/72</f>
        <v>0.15277777777777779</v>
      </c>
      <c r="F7405">
        <v>195</v>
      </c>
      <c r="G7405">
        <f>LOG(382/(195+1))</f>
        <v>0.28980729155523272</v>
      </c>
      <c r="H7405">
        <f>0.152777777777777*0.667305949376058</f>
        <v>0.1019495200435639</v>
      </c>
      <c r="I7405">
        <v>0.1019495200435644</v>
      </c>
    </row>
    <row r="7406" spans="1:9" x14ac:dyDescent="0.25">
      <c r="A7406">
        <v>356</v>
      </c>
      <c r="B7406" t="s">
        <v>2579</v>
      </c>
      <c r="C7406" t="s">
        <v>10</v>
      </c>
      <c r="D7406" t="s">
        <v>1576</v>
      </c>
      <c r="E7406">
        <f>1/72</f>
        <v>1.3888888888888888E-2</v>
      </c>
      <c r="F7406">
        <v>2</v>
      </c>
      <c r="G7406">
        <f>LOG(382/(2+1))</f>
        <v>2.1049421081920463</v>
      </c>
      <c r="H7406">
        <f>0.0138888888888888*4.84680831993846</f>
        <v>6.7316782221367069E-2</v>
      </c>
      <c r="I7406">
        <v>6.7316782221367569E-2</v>
      </c>
    </row>
    <row r="7407" spans="1:9" x14ac:dyDescent="0.25">
      <c r="A7407">
        <v>356</v>
      </c>
      <c r="B7407" t="s">
        <v>2579</v>
      </c>
      <c r="C7407" t="s">
        <v>10</v>
      </c>
      <c r="D7407" t="s">
        <v>2580</v>
      </c>
      <c r="E7407">
        <f>2/72</f>
        <v>2.7777777777777776E-2</v>
      </c>
      <c r="F7407">
        <v>1</v>
      </c>
      <c r="G7407">
        <f>LOG(382/(1+1))</f>
        <v>2.2810333672477277</v>
      </c>
      <c r="H7407">
        <f>0.0277777777777777*5.25227342804663</f>
        <v>0.14589648411240597</v>
      </c>
      <c r="I7407">
        <v>0.14589648411240641</v>
      </c>
    </row>
    <row r="7408" spans="1:9" x14ac:dyDescent="0.25">
      <c r="A7408">
        <v>356</v>
      </c>
      <c r="B7408" t="s">
        <v>2579</v>
      </c>
      <c r="C7408" t="s">
        <v>10</v>
      </c>
      <c r="D7408" t="s">
        <v>815</v>
      </c>
      <c r="E7408">
        <f>1/72</f>
        <v>1.3888888888888888E-2</v>
      </c>
      <c r="F7408">
        <v>5</v>
      </c>
      <c r="G7408">
        <f>LOG(382/(5+1))</f>
        <v>1.803912112528065</v>
      </c>
      <c r="H7408">
        <f>0.0138888888888888*4.15366113937852</f>
        <v>5.7689738046923518E-2</v>
      </c>
      <c r="I7408">
        <v>5.7689738046923893E-2</v>
      </c>
    </row>
    <row r="7409" spans="1:9" x14ac:dyDescent="0.25">
      <c r="A7409">
        <v>356</v>
      </c>
      <c r="B7409" t="s">
        <v>2579</v>
      </c>
      <c r="C7409" t="s">
        <v>10</v>
      </c>
      <c r="D7409" t="s">
        <v>42</v>
      </c>
      <c r="E7409">
        <f>1/72</f>
        <v>1.3888888888888888E-2</v>
      </c>
      <c r="F7409">
        <v>251</v>
      </c>
      <c r="G7409">
        <f>LOG(382/(251+1))</f>
        <v>0.18066282213016463</v>
      </c>
      <c r="H7409">
        <f>0.0138888888888888*0.415991521095151</f>
        <v>5.7776600152103933E-3</v>
      </c>
      <c r="I7409">
        <v>5.7776600152104418E-3</v>
      </c>
    </row>
    <row r="7410" spans="1:9" x14ac:dyDescent="0.25">
      <c r="A7410">
        <v>356</v>
      </c>
      <c r="B7410" t="s">
        <v>2579</v>
      </c>
      <c r="C7410" t="s">
        <v>10</v>
      </c>
      <c r="D7410" t="s">
        <v>21</v>
      </c>
      <c r="E7410">
        <f>1/72</f>
        <v>1.3888888888888888E-2</v>
      </c>
      <c r="F7410">
        <v>14</v>
      </c>
      <c r="G7410">
        <f>LOG(382/(14+1))</f>
        <v>1.4059721038560276</v>
      </c>
      <c r="H7410">
        <f>0.0138888888888888*3.23737040750436</f>
        <v>4.4963477882004707E-2</v>
      </c>
      <c r="I7410">
        <v>4.4963477882005068E-2</v>
      </c>
    </row>
    <row r="7411" spans="1:9" x14ac:dyDescent="0.25">
      <c r="A7411">
        <v>356</v>
      </c>
      <c r="B7411" t="s">
        <v>2579</v>
      </c>
      <c r="C7411" t="s">
        <v>10</v>
      </c>
      <c r="D7411" t="s">
        <v>22</v>
      </c>
      <c r="E7411">
        <f>2/72</f>
        <v>2.7777777777777776E-2</v>
      </c>
      <c r="F7411">
        <v>259</v>
      </c>
      <c r="G7411">
        <f>LOG(382/(259+1))</f>
        <v>0.16709001494089079</v>
      </c>
      <c r="H7411">
        <f>0.0277777777777777*0.384738977591047</f>
        <v>1.0687193821973499E-2</v>
      </c>
      <c r="I7411">
        <v>1.0687193821973541E-2</v>
      </c>
    </row>
    <row r="7412" spans="1:9" x14ac:dyDescent="0.25">
      <c r="A7412">
        <v>356</v>
      </c>
      <c r="B7412" t="s">
        <v>2579</v>
      </c>
      <c r="C7412" t="s">
        <v>10</v>
      </c>
      <c r="D7412" t="s">
        <v>23</v>
      </c>
      <c r="E7412">
        <f>2/72</f>
        <v>2.7777777777777776E-2</v>
      </c>
      <c r="F7412">
        <v>275</v>
      </c>
      <c r="G7412">
        <f>LOG(382/(275+1))</f>
        <v>0.14115428084649101</v>
      </c>
      <c r="H7412">
        <f>0.0277777777777777*0.325019742889425</f>
        <v>9.0283261913728912E-3</v>
      </c>
      <c r="I7412">
        <v>9.0283261913729207E-3</v>
      </c>
    </row>
    <row r="7413" spans="1:9" x14ac:dyDescent="0.25">
      <c r="A7413">
        <v>356</v>
      </c>
      <c r="B7413" t="s">
        <v>2579</v>
      </c>
      <c r="C7413" t="s">
        <v>10</v>
      </c>
      <c r="D7413" t="s">
        <v>24</v>
      </c>
      <c r="E7413">
        <f>2/72</f>
        <v>2.7777777777777776E-2</v>
      </c>
      <c r="F7413">
        <v>59</v>
      </c>
      <c r="G7413">
        <f>LOG(382/(59+1))</f>
        <v>0.80391211252806505</v>
      </c>
      <c r="H7413">
        <f>0.0277777777777777*1.85107604638447</f>
        <v>5.1418779066235133E-2</v>
      </c>
      <c r="I7413">
        <v>5.1418779066235397E-2</v>
      </c>
    </row>
    <row r="7414" spans="1:9" x14ac:dyDescent="0.25">
      <c r="A7414">
        <v>356</v>
      </c>
      <c r="B7414" t="s">
        <v>2579</v>
      </c>
      <c r="C7414" t="s">
        <v>10</v>
      </c>
      <c r="D7414" t="s">
        <v>1578</v>
      </c>
      <c r="E7414">
        <f>1/72</f>
        <v>1.3888888888888888E-2</v>
      </c>
      <c r="F7414">
        <v>8</v>
      </c>
      <c r="G7414">
        <f>LOG(382/(8+1))</f>
        <v>1.6278208534723839</v>
      </c>
      <c r="H7414">
        <f>0.0138888888888888*3.74819603127035</f>
        <v>5.2058278212087861E-2</v>
      </c>
      <c r="I7414">
        <v>5.205827821208827E-2</v>
      </c>
    </row>
    <row r="7415" spans="1:9" x14ac:dyDescent="0.25">
      <c r="A7415">
        <v>356</v>
      </c>
      <c r="B7415" t="s">
        <v>2579</v>
      </c>
      <c r="C7415" t="s">
        <v>10</v>
      </c>
      <c r="D7415" t="s">
        <v>1579</v>
      </c>
      <c r="E7415">
        <f>1/72</f>
        <v>1.3888888888888888E-2</v>
      </c>
      <c r="F7415">
        <v>6</v>
      </c>
      <c r="G7415">
        <f>LOG(382/(6+1))</f>
        <v>1.736965322897452</v>
      </c>
      <c r="H7415">
        <f>0.0138888888888888*3.99951045955126</f>
        <v>5.554875638265603E-2</v>
      </c>
      <c r="I7415">
        <v>5.5548756382656411E-2</v>
      </c>
    </row>
    <row r="7416" spans="1:9" x14ac:dyDescent="0.25">
      <c r="A7416">
        <v>356</v>
      </c>
      <c r="B7416" t="s">
        <v>2579</v>
      </c>
      <c r="C7416" t="s">
        <v>10</v>
      </c>
      <c r="D7416" t="s">
        <v>31</v>
      </c>
      <c r="E7416">
        <f>1/72</f>
        <v>1.3888888888888888E-2</v>
      </c>
      <c r="F7416">
        <v>31</v>
      </c>
      <c r="G7416">
        <f>LOG(382/(31+1))</f>
        <v>1.0769133845918029</v>
      </c>
      <c r="H7416">
        <f>0.0138888888888888*2.47968470580684</f>
        <v>3.4440065358428112E-2</v>
      </c>
      <c r="I7416">
        <v>3.4440065358428452E-2</v>
      </c>
    </row>
    <row r="7417" spans="1:9" x14ac:dyDescent="0.25">
      <c r="A7417">
        <v>356</v>
      </c>
      <c r="B7417" t="s">
        <v>2579</v>
      </c>
      <c r="C7417" t="s">
        <v>10</v>
      </c>
      <c r="D7417" t="s">
        <v>245</v>
      </c>
      <c r="E7417">
        <f>1/72</f>
        <v>1.3888888888888888E-2</v>
      </c>
      <c r="F7417">
        <v>11</v>
      </c>
      <c r="G7417">
        <f>LOG(382/(11+1))</f>
        <v>1.5028821168640838</v>
      </c>
      <c r="H7417">
        <f>0.0138888888888888*3.46051395881857</f>
        <v>4.8062693872479828E-2</v>
      </c>
      <c r="I7417">
        <v>4.8062693872480203E-2</v>
      </c>
    </row>
    <row r="7418" spans="1:9" x14ac:dyDescent="0.25">
      <c r="A7418">
        <v>356</v>
      </c>
      <c r="B7418" t="s">
        <v>2579</v>
      </c>
      <c r="C7418" t="s">
        <v>10</v>
      </c>
      <c r="D7418" t="s">
        <v>40</v>
      </c>
      <c r="E7418">
        <f>9/72</f>
        <v>0.125</v>
      </c>
      <c r="F7418">
        <v>159</v>
      </c>
      <c r="G7418">
        <f>LOG(382/(159+1))</f>
        <v>0.377943380255784</v>
      </c>
      <c r="H7418">
        <f>0.125*0.870246793372748</f>
        <v>0.1087808491715935</v>
      </c>
      <c r="I7418">
        <v>0.1087808491715935</v>
      </c>
    </row>
    <row r="7419" spans="1:9" x14ac:dyDescent="0.25">
      <c r="A7419">
        <v>356</v>
      </c>
      <c r="B7419" t="s">
        <v>2579</v>
      </c>
      <c r="C7419" t="s">
        <v>10</v>
      </c>
      <c r="D7419" t="s">
        <v>2581</v>
      </c>
      <c r="E7419">
        <f>1/72</f>
        <v>1.3888888888888888E-2</v>
      </c>
      <c r="F7419">
        <v>1</v>
      </c>
      <c r="G7419">
        <f>LOG(382/(1+1))</f>
        <v>2.2810333672477277</v>
      </c>
      <c r="H7419">
        <f>0.0138888888888888*5.25227342804663</f>
        <v>7.294824205620272E-2</v>
      </c>
      <c r="I7419">
        <v>7.2948242056203191E-2</v>
      </c>
    </row>
    <row r="7420" spans="1:9" x14ac:dyDescent="0.25">
      <c r="A7420">
        <v>356</v>
      </c>
      <c r="B7420" t="s">
        <v>2579</v>
      </c>
      <c r="C7420" t="s">
        <v>10</v>
      </c>
      <c r="D7420" t="s">
        <v>26</v>
      </c>
      <c r="E7420">
        <f>2/72</f>
        <v>2.7777777777777776E-2</v>
      </c>
      <c r="F7420">
        <v>40</v>
      </c>
      <c r="G7420">
        <f>LOG(382/(40+1))</f>
        <v>0.96927950619197323</v>
      </c>
      <c r="H7420">
        <f>0.0277777777777777*2.23184854190226</f>
        <v>6.1995792830618152E-2</v>
      </c>
      <c r="I7420">
        <v>6.1995792830618533E-2</v>
      </c>
    </row>
    <row r="7421" spans="1:9" x14ac:dyDescent="0.25">
      <c r="A7421">
        <v>356</v>
      </c>
      <c r="B7421" t="s">
        <v>2579</v>
      </c>
      <c r="C7421" t="s">
        <v>10</v>
      </c>
      <c r="D7421" t="s">
        <v>144</v>
      </c>
      <c r="E7421">
        <f>1/72</f>
        <v>1.3888888888888888E-2</v>
      </c>
      <c r="F7421">
        <v>105</v>
      </c>
      <c r="G7421">
        <f>LOG(382/(105+1))</f>
        <v>0.55675749764693849</v>
      </c>
      <c r="H7421">
        <f>0.0138888888888888*1.2819815144945</f>
        <v>1.7805298812423497E-2</v>
      </c>
      <c r="I7421">
        <v>1.7805298812423719E-2</v>
      </c>
    </row>
    <row r="7422" spans="1:9" x14ac:dyDescent="0.25">
      <c r="A7422">
        <v>356</v>
      </c>
      <c r="B7422" t="s">
        <v>2579</v>
      </c>
      <c r="C7422" t="s">
        <v>10</v>
      </c>
      <c r="D7422" t="s">
        <v>243</v>
      </c>
      <c r="E7422">
        <f>1/72</f>
        <v>1.3888888888888888E-2</v>
      </c>
      <c r="F7422">
        <v>131</v>
      </c>
      <c r="G7422">
        <f>LOG(382/(131+1))</f>
        <v>0.46148943170585888</v>
      </c>
      <c r="H7422">
        <f>0.0138888888888888*1.0626186860202</f>
        <v>1.4758592861391572E-2</v>
      </c>
      <c r="I7422">
        <v>1.4758592861391719E-2</v>
      </c>
    </row>
    <row r="7423" spans="1:9" x14ac:dyDescent="0.25">
      <c r="A7423">
        <v>356</v>
      </c>
      <c r="B7423" t="s">
        <v>2579</v>
      </c>
      <c r="C7423" t="s">
        <v>10</v>
      </c>
      <c r="D7423" t="s">
        <v>706</v>
      </c>
      <c r="E7423">
        <f>2/72</f>
        <v>2.7777777777777776E-2</v>
      </c>
      <c r="F7423">
        <v>6</v>
      </c>
      <c r="G7423">
        <f>LOG(382/(6+1))</f>
        <v>1.736965322897452</v>
      </c>
      <c r="H7423">
        <f>0.0277777777777777*3.99951045955126</f>
        <v>0.11109751276531246</v>
      </c>
      <c r="I7423">
        <v>0.11109751276531279</v>
      </c>
    </row>
    <row r="7424" spans="1:9" x14ac:dyDescent="0.25">
      <c r="A7424">
        <v>356</v>
      </c>
      <c r="B7424" t="s">
        <v>2579</v>
      </c>
      <c r="C7424" t="s">
        <v>10</v>
      </c>
      <c r="D7424" t="s">
        <v>1185</v>
      </c>
      <c r="E7424">
        <f>1/72</f>
        <v>1.3888888888888888E-2</v>
      </c>
      <c r="F7424">
        <v>9</v>
      </c>
      <c r="G7424">
        <f>LOG(382/(9+1))</f>
        <v>1.5820633629117087</v>
      </c>
      <c r="H7424">
        <f>0.0138888888888888*3.64283551561252</f>
        <v>5.0594937716840233E-2</v>
      </c>
      <c r="I7424">
        <v>5.0594937716840677E-2</v>
      </c>
    </row>
    <row r="7425" spans="1:9" x14ac:dyDescent="0.25">
      <c r="A7425">
        <v>356</v>
      </c>
      <c r="B7425" t="s">
        <v>2579</v>
      </c>
      <c r="C7425" t="s">
        <v>10</v>
      </c>
      <c r="D7425" t="s">
        <v>582</v>
      </c>
      <c r="E7425">
        <f>1/72</f>
        <v>1.3888888888888888E-2</v>
      </c>
      <c r="F7425">
        <v>14</v>
      </c>
      <c r="G7425">
        <f>LOG(382/(14+1))</f>
        <v>1.4059721038560276</v>
      </c>
      <c r="H7425">
        <f>0.0138888888888888*3.23737040750436</f>
        <v>4.4963477882004707E-2</v>
      </c>
      <c r="I7425">
        <v>4.4963477882005068E-2</v>
      </c>
    </row>
    <row r="7426" spans="1:9" x14ac:dyDescent="0.25">
      <c r="A7426">
        <v>356</v>
      </c>
      <c r="B7426" t="s">
        <v>2579</v>
      </c>
      <c r="C7426" t="s">
        <v>10</v>
      </c>
      <c r="D7426" t="s">
        <v>25</v>
      </c>
      <c r="E7426">
        <f>1/72</f>
        <v>1.3888888888888888E-2</v>
      </c>
      <c r="F7426">
        <v>106</v>
      </c>
      <c r="G7426">
        <f>LOG(382/(106+1))</f>
        <v>0.55267958522649907</v>
      </c>
      <c r="H7426">
        <f>0.0138888888888888*1.27259177414466</f>
        <v>1.7674885752009054E-2</v>
      </c>
      <c r="I7426">
        <v>1.7674885752009289E-2</v>
      </c>
    </row>
    <row r="7427" spans="1:9" x14ac:dyDescent="0.25">
      <c r="A7427">
        <v>356</v>
      </c>
      <c r="B7427" t="s">
        <v>2579</v>
      </c>
      <c r="C7427" t="s">
        <v>10</v>
      </c>
      <c r="D7427" t="s">
        <v>1284</v>
      </c>
      <c r="E7427">
        <f>1/72</f>
        <v>1.3888888888888888E-2</v>
      </c>
      <c r="F7427">
        <v>5</v>
      </c>
      <c r="G7427">
        <f>LOG(382/(5+1))</f>
        <v>1.803912112528065</v>
      </c>
      <c r="H7427">
        <f>0.0138888888888888*4.15366113937852</f>
        <v>5.7689738046923518E-2</v>
      </c>
      <c r="I7427">
        <v>5.7689738046923893E-2</v>
      </c>
    </row>
    <row r="7428" spans="1:9" x14ac:dyDescent="0.25">
      <c r="A7428">
        <v>356</v>
      </c>
      <c r="B7428" t="s">
        <v>2579</v>
      </c>
      <c r="C7428" t="s">
        <v>10</v>
      </c>
      <c r="D7428" t="s">
        <v>475</v>
      </c>
      <c r="E7428">
        <f>2/72</f>
        <v>2.7777777777777776E-2</v>
      </c>
      <c r="F7428">
        <v>16</v>
      </c>
      <c r="G7428">
        <f>LOG(382/(16+1))</f>
        <v>1.3516144415334348</v>
      </c>
      <c r="H7428">
        <f>0.0277777777777777*3.11220726455035</f>
        <v>8.6450201793065035E-2</v>
      </c>
      <c r="I7428">
        <v>8.645020179306552E-2</v>
      </c>
    </row>
    <row r="7429" spans="1:9" x14ac:dyDescent="0.25">
      <c r="A7429">
        <v>356</v>
      </c>
      <c r="B7429" t="s">
        <v>2579</v>
      </c>
      <c r="C7429" t="s">
        <v>10</v>
      </c>
      <c r="D7429" t="s">
        <v>828</v>
      </c>
      <c r="E7429">
        <f>1/72</f>
        <v>1.3888888888888888E-2</v>
      </c>
      <c r="F7429">
        <v>3</v>
      </c>
      <c r="G7429">
        <f>LOG(382/(3+1))</f>
        <v>1.9800033715837464</v>
      </c>
      <c r="H7429">
        <f>0.0138888888888888*4.55912624748668</f>
        <v>6.3321197881759037E-2</v>
      </c>
      <c r="I7429">
        <v>6.3321197881759508E-2</v>
      </c>
    </row>
    <row r="7430" spans="1:9" x14ac:dyDescent="0.25">
      <c r="A7430">
        <v>356</v>
      </c>
      <c r="B7430" t="s">
        <v>2579</v>
      </c>
      <c r="C7430" t="s">
        <v>10</v>
      </c>
      <c r="D7430" t="s">
        <v>589</v>
      </c>
      <c r="E7430">
        <f>1/72</f>
        <v>1.3888888888888888E-2</v>
      </c>
      <c r="F7430">
        <v>12</v>
      </c>
      <c r="G7430">
        <f>LOG(382/(12+1))</f>
        <v>1.468120010604872</v>
      </c>
      <c r="H7430">
        <f>0.0138888888888888*3.38047125114503</f>
        <v>4.6950989599236229E-2</v>
      </c>
      <c r="I7430">
        <v>4.6950989599236638E-2</v>
      </c>
    </row>
    <row r="7431" spans="1:9" x14ac:dyDescent="0.25">
      <c r="A7431">
        <v>356</v>
      </c>
      <c r="B7431" t="s">
        <v>2579</v>
      </c>
      <c r="C7431" t="s">
        <v>10</v>
      </c>
      <c r="D7431" t="s">
        <v>241</v>
      </c>
      <c r="E7431">
        <f>1/72</f>
        <v>1.3888888888888888E-2</v>
      </c>
      <c r="F7431">
        <v>19</v>
      </c>
      <c r="G7431">
        <f>LOG(382/(19+1))</f>
        <v>1.2810333672477277</v>
      </c>
      <c r="H7431">
        <f>0.0138888888888888*2.94968833505258</f>
        <v>4.0967893542396681E-2</v>
      </c>
      <c r="I7431">
        <v>4.0967893542397001E-2</v>
      </c>
    </row>
    <row r="7432" spans="1:9" x14ac:dyDescent="0.25">
      <c r="A7432">
        <v>356</v>
      </c>
      <c r="B7432" t="s">
        <v>2579</v>
      </c>
      <c r="C7432" t="s">
        <v>10</v>
      </c>
      <c r="D7432" t="s">
        <v>2582</v>
      </c>
      <c r="E7432">
        <f>1/72</f>
        <v>1.3888888888888888E-2</v>
      </c>
      <c r="F7432">
        <v>1</v>
      </c>
      <c r="G7432">
        <f>LOG(382/(1+1))</f>
        <v>2.2810333672477277</v>
      </c>
      <c r="H7432">
        <f>0.0138888888888888*5.25227342804663</f>
        <v>7.294824205620272E-2</v>
      </c>
      <c r="I7432">
        <v>7.2948242056203191E-2</v>
      </c>
    </row>
    <row r="7433" spans="1:9" x14ac:dyDescent="0.25">
      <c r="A7433">
        <v>356</v>
      </c>
      <c r="B7433" t="s">
        <v>2579</v>
      </c>
      <c r="C7433" t="s">
        <v>10</v>
      </c>
      <c r="D7433" t="s">
        <v>28</v>
      </c>
      <c r="E7433">
        <f>2/72</f>
        <v>2.7777777777777776E-2</v>
      </c>
      <c r="F7433">
        <v>35</v>
      </c>
      <c r="G7433">
        <f>LOG(382/(35+1))</f>
        <v>1.0257608621444214</v>
      </c>
      <c r="H7433">
        <f>0.0277777777777777*2.36190167015046</f>
        <v>6.5608379726401489E-2</v>
      </c>
      <c r="I7433">
        <v>6.5608379726401794E-2</v>
      </c>
    </row>
    <row r="7434" spans="1:9" x14ac:dyDescent="0.25">
      <c r="A7434">
        <v>356</v>
      </c>
      <c r="B7434" t="s">
        <v>2579</v>
      </c>
      <c r="C7434" t="s">
        <v>10</v>
      </c>
      <c r="D7434" t="s">
        <v>2583</v>
      </c>
      <c r="E7434">
        <f>1/72</f>
        <v>1.3888888888888888E-2</v>
      </c>
      <c r="F7434">
        <v>2</v>
      </c>
      <c r="G7434">
        <f>LOG(382/(2+1))</f>
        <v>2.1049421081920463</v>
      </c>
      <c r="H7434">
        <f>0.0138888888888888*4.84680831993846</f>
        <v>6.7316782221367069E-2</v>
      </c>
      <c r="I7434">
        <v>6.7316782221367569E-2</v>
      </c>
    </row>
    <row r="7435" spans="1:9" x14ac:dyDescent="0.25">
      <c r="A7435">
        <v>356</v>
      </c>
      <c r="B7435" t="s">
        <v>2579</v>
      </c>
      <c r="C7435" t="s">
        <v>10</v>
      </c>
      <c r="D7435" t="s">
        <v>476</v>
      </c>
      <c r="E7435">
        <f>1/72</f>
        <v>1.3888888888888888E-2</v>
      </c>
      <c r="F7435">
        <v>18</v>
      </c>
      <c r="G7435">
        <f>LOG(382/(18+1))</f>
        <v>1.3033097619588798</v>
      </c>
      <c r="H7435">
        <f>0.0138888888888888*3.00098162944013</f>
        <v>4.1680300408890432E-2</v>
      </c>
      <c r="I7435">
        <v>4.1680300408890758E-2</v>
      </c>
    </row>
    <row r="7436" spans="1:9" x14ac:dyDescent="0.25">
      <c r="A7436">
        <v>356</v>
      </c>
      <c r="B7436" t="s">
        <v>2579</v>
      </c>
      <c r="C7436" t="s">
        <v>10</v>
      </c>
      <c r="D7436" t="s">
        <v>929</v>
      </c>
      <c r="E7436">
        <f>1/72</f>
        <v>1.3888888888888888E-2</v>
      </c>
      <c r="F7436">
        <v>32</v>
      </c>
      <c r="G7436">
        <f>LOG(382/(32+1))</f>
        <v>1.0635494230338212</v>
      </c>
      <c r="H7436">
        <f>0.0138888888888888*2.44891304714009</f>
        <v>3.4012681210278811E-2</v>
      </c>
      <c r="I7436">
        <v>3.4012681210279103E-2</v>
      </c>
    </row>
    <row r="7437" spans="1:9" x14ac:dyDescent="0.25">
      <c r="A7437">
        <v>356</v>
      </c>
      <c r="B7437" t="s">
        <v>2579</v>
      </c>
      <c r="C7437" t="s">
        <v>10</v>
      </c>
      <c r="D7437" t="s">
        <v>68</v>
      </c>
      <c r="E7437">
        <f>2/72</f>
        <v>2.7777777777777776E-2</v>
      </c>
      <c r="F7437">
        <v>43</v>
      </c>
      <c r="G7437">
        <f>LOG(382/(43+1))</f>
        <v>0.93861068642552126</v>
      </c>
      <c r="H7437">
        <f>0.0277777777777777*2.16123097468831</f>
        <v>6.0034193741341772E-2</v>
      </c>
      <c r="I7437">
        <v>6.003419374134205E-2</v>
      </c>
    </row>
    <row r="7438" spans="1:9" x14ac:dyDescent="0.25">
      <c r="A7438">
        <v>356</v>
      </c>
      <c r="B7438" t="s">
        <v>2579</v>
      </c>
      <c r="C7438" t="s">
        <v>10</v>
      </c>
      <c r="D7438" t="s">
        <v>44</v>
      </c>
      <c r="E7438">
        <f>1/72</f>
        <v>1.3888888888888888E-2</v>
      </c>
      <c r="F7438">
        <v>151</v>
      </c>
      <c r="G7438">
        <f>LOG(382/(151+1))</f>
        <v>0.40021977496693617</v>
      </c>
      <c r="H7438">
        <f>0.0138888888888888*0.921540087760298</f>
        <v>1.2799167885559614E-2</v>
      </c>
      <c r="I7438">
        <v>1.27991678855597E-2</v>
      </c>
    </row>
    <row r="7439" spans="1:9" x14ac:dyDescent="0.25">
      <c r="A7439">
        <v>356</v>
      </c>
      <c r="B7439" t="s">
        <v>2579</v>
      </c>
      <c r="C7439" t="s">
        <v>10</v>
      </c>
      <c r="D7439" t="s">
        <v>262</v>
      </c>
      <c r="E7439">
        <f>1/72</f>
        <v>1.3888888888888888E-2</v>
      </c>
      <c r="F7439">
        <v>13</v>
      </c>
      <c r="G7439">
        <f>LOG(382/(13+1))</f>
        <v>1.4359353272334707</v>
      </c>
      <c r="H7439">
        <f>0.0138888888888888*3.30636327899131</f>
        <v>4.5921712208212347E-2</v>
      </c>
      <c r="I7439">
        <v>4.5921712208212728E-2</v>
      </c>
    </row>
    <row r="7440" spans="1:9" x14ac:dyDescent="0.25">
      <c r="A7440">
        <v>356</v>
      </c>
      <c r="B7440" t="s">
        <v>2579</v>
      </c>
      <c r="C7440" t="s">
        <v>10</v>
      </c>
      <c r="D7440" t="s">
        <v>936</v>
      </c>
      <c r="E7440">
        <f>1/72</f>
        <v>1.3888888888888888E-2</v>
      </c>
      <c r="F7440">
        <v>21</v>
      </c>
      <c r="G7440">
        <f>LOG(382/(21+1))</f>
        <v>1.2396406820895025</v>
      </c>
      <c r="H7440">
        <f>0.0138888888888888*2.85437815524825</f>
        <v>3.964414104511433E-2</v>
      </c>
      <c r="I7440">
        <v>3.9644141045114711E-2</v>
      </c>
    </row>
    <row r="7441" spans="1:9" x14ac:dyDescent="0.25">
      <c r="A7441">
        <v>356</v>
      </c>
      <c r="B7441" t="s">
        <v>2579</v>
      </c>
      <c r="C7441" t="s">
        <v>10</v>
      </c>
      <c r="D7441" t="s">
        <v>324</v>
      </c>
      <c r="E7441">
        <f>1/72</f>
        <v>1.3888888888888888E-2</v>
      </c>
      <c r="F7441">
        <v>82</v>
      </c>
      <c r="G7441">
        <f>LOG(382/(82+1))</f>
        <v>0.66298527053563483</v>
      </c>
      <c r="H7441">
        <f>0.0138888888888888*1.52658000080997</f>
        <v>2.1202500011249445E-2</v>
      </c>
      <c r="I7441">
        <v>2.1202500011249681E-2</v>
      </c>
    </row>
    <row r="7442" spans="1:9" x14ac:dyDescent="0.25">
      <c r="A7442">
        <v>356</v>
      </c>
      <c r="B7442" t="s">
        <v>2579</v>
      </c>
      <c r="C7442" t="s">
        <v>10</v>
      </c>
      <c r="D7442" t="s">
        <v>79</v>
      </c>
      <c r="E7442">
        <f>1/72</f>
        <v>1.3888888888888888E-2</v>
      </c>
      <c r="F7442">
        <v>26</v>
      </c>
      <c r="G7442">
        <f>LOG(382/(26+1))</f>
        <v>1.1506995987527215</v>
      </c>
      <c r="H7442">
        <f>0.0138888888888888*2.64958374260224</f>
        <v>3.6799774202808652E-2</v>
      </c>
      <c r="I7442">
        <v>3.6799774202808971E-2</v>
      </c>
    </row>
    <row r="7443" spans="1:9" x14ac:dyDescent="0.25">
      <c r="A7443">
        <v>357</v>
      </c>
      <c r="B7443" t="s">
        <v>2584</v>
      </c>
      <c r="C7443" t="s">
        <v>10</v>
      </c>
      <c r="D7443" t="s">
        <v>11</v>
      </c>
      <c r="E7443">
        <f>3/31</f>
        <v>9.6774193548387094E-2</v>
      </c>
      <c r="F7443">
        <v>83</v>
      </c>
      <c r="G7443">
        <f>LOG(382/(83+1))</f>
        <v>0.65778407684982709</v>
      </c>
      <c r="H7443">
        <f>0.0967741935483871*1.51460380976326</f>
        <v>0.14657456223515419</v>
      </c>
      <c r="I7443">
        <v>0.1465745622351543</v>
      </c>
    </row>
    <row r="7444" spans="1:9" x14ac:dyDescent="0.25">
      <c r="A7444">
        <v>357</v>
      </c>
      <c r="B7444" t="s">
        <v>2584</v>
      </c>
      <c r="C7444" t="s">
        <v>10</v>
      </c>
      <c r="D7444" t="s">
        <v>12</v>
      </c>
      <c r="E7444">
        <f>2/31</f>
        <v>6.4516129032258063E-2</v>
      </c>
      <c r="F7444">
        <v>28</v>
      </c>
      <c r="G7444">
        <f>LOG(382/(28+1))</f>
        <v>1.1196653650127526</v>
      </c>
      <c r="H7444">
        <f>0.064516129032258*2.5781247786201</f>
        <v>0.16633063087871594</v>
      </c>
      <c r="I7444">
        <v>0.16633063087871619</v>
      </c>
    </row>
    <row r="7445" spans="1:9" x14ac:dyDescent="0.25">
      <c r="A7445">
        <v>357</v>
      </c>
      <c r="B7445" t="s">
        <v>2584</v>
      </c>
      <c r="C7445" t="s">
        <v>10</v>
      </c>
      <c r="D7445" t="s">
        <v>2585</v>
      </c>
      <c r="E7445">
        <f t="shared" ref="E7445:E7450" si="339">1/31</f>
        <v>3.2258064516129031E-2</v>
      </c>
      <c r="F7445">
        <v>2</v>
      </c>
      <c r="G7445">
        <f>LOG(382/(2+1))</f>
        <v>2.1049421081920463</v>
      </c>
      <c r="H7445">
        <f>0.032258064516129*4.84680831993846</f>
        <v>0.15634865548188565</v>
      </c>
      <c r="I7445">
        <v>0.15634865548188601</v>
      </c>
    </row>
    <row r="7446" spans="1:9" x14ac:dyDescent="0.25">
      <c r="A7446">
        <v>357</v>
      </c>
      <c r="B7446" t="s">
        <v>2584</v>
      </c>
      <c r="C7446" t="s">
        <v>10</v>
      </c>
      <c r="D7446" t="s">
        <v>25</v>
      </c>
      <c r="E7446">
        <f t="shared" si="339"/>
        <v>3.2258064516129031E-2</v>
      </c>
      <c r="F7446">
        <v>106</v>
      </c>
      <c r="G7446">
        <f>LOG(382/(106+1))</f>
        <v>0.55267958522649907</v>
      </c>
      <c r="H7446">
        <f>0.032258064516129*1.27259177414466</f>
        <v>4.1051347553053501E-2</v>
      </c>
      <c r="I7446">
        <v>4.1051347553053841E-2</v>
      </c>
    </row>
    <row r="7447" spans="1:9" x14ac:dyDescent="0.25">
      <c r="A7447">
        <v>357</v>
      </c>
      <c r="B7447" t="s">
        <v>2584</v>
      </c>
      <c r="C7447" t="s">
        <v>10</v>
      </c>
      <c r="D7447" t="s">
        <v>26</v>
      </c>
      <c r="E7447">
        <f t="shared" si="339"/>
        <v>3.2258064516129031E-2</v>
      </c>
      <c r="F7447">
        <v>40</v>
      </c>
      <c r="G7447">
        <f>LOG(382/(40+1))</f>
        <v>0.96927950619197323</v>
      </c>
      <c r="H7447">
        <f>0.032258064516129*2.23184854190226</f>
        <v>7.1995114254911521E-2</v>
      </c>
      <c r="I7447">
        <v>7.1995114254911854E-2</v>
      </c>
    </row>
    <row r="7448" spans="1:9" x14ac:dyDescent="0.25">
      <c r="A7448">
        <v>357</v>
      </c>
      <c r="B7448" t="s">
        <v>2584</v>
      </c>
      <c r="C7448" t="s">
        <v>10</v>
      </c>
      <c r="D7448" t="s">
        <v>578</v>
      </c>
      <c r="E7448">
        <f t="shared" si="339"/>
        <v>3.2258064516129031E-2</v>
      </c>
      <c r="F7448">
        <v>4</v>
      </c>
      <c r="G7448">
        <f>LOG(382/(4+1))</f>
        <v>1.8830933585756899</v>
      </c>
      <c r="H7448">
        <f>0.032258064516129*4.33598269617247</f>
        <v>0.1398704095539505</v>
      </c>
      <c r="I7448">
        <v>0.1398704095539508</v>
      </c>
    </row>
    <row r="7449" spans="1:9" x14ac:dyDescent="0.25">
      <c r="A7449">
        <v>357</v>
      </c>
      <c r="B7449" t="s">
        <v>2584</v>
      </c>
      <c r="C7449" t="s">
        <v>10</v>
      </c>
      <c r="D7449" t="s">
        <v>204</v>
      </c>
      <c r="E7449">
        <f t="shared" si="339"/>
        <v>3.2258064516129031E-2</v>
      </c>
      <c r="F7449">
        <v>166</v>
      </c>
      <c r="G7449">
        <f>LOG(382/(166+1))</f>
        <v>0.35934689176412549</v>
      </c>
      <c r="H7449">
        <f>0.032258064516129*0.82742679618982</f>
        <v>2.669118697386513E-2</v>
      </c>
      <c r="I7449">
        <v>2.6691186973865161E-2</v>
      </c>
    </row>
    <row r="7450" spans="1:9" x14ac:dyDescent="0.25">
      <c r="A7450">
        <v>357</v>
      </c>
      <c r="B7450" t="s">
        <v>2584</v>
      </c>
      <c r="C7450" t="s">
        <v>10</v>
      </c>
      <c r="D7450" t="s">
        <v>76</v>
      </c>
      <c r="E7450">
        <f t="shared" si="339"/>
        <v>3.2258064516129031E-2</v>
      </c>
      <c r="F7450">
        <v>140</v>
      </c>
      <c r="G7450">
        <f>LOG(382/(140+1))</f>
        <v>0.43284425025632883</v>
      </c>
      <c r="H7450">
        <f>0.032258064516129*0.996660718228407</f>
        <v>3.2150345749303415E-2</v>
      </c>
      <c r="I7450">
        <v>3.2150345749303449E-2</v>
      </c>
    </row>
    <row r="7451" spans="1:9" x14ac:dyDescent="0.25">
      <c r="A7451">
        <v>357</v>
      </c>
      <c r="B7451" t="s">
        <v>2584</v>
      </c>
      <c r="C7451" t="s">
        <v>10</v>
      </c>
      <c r="D7451" t="s">
        <v>331</v>
      </c>
      <c r="E7451">
        <f>3/31</f>
        <v>9.6774193548387094E-2</v>
      </c>
      <c r="F7451">
        <v>130</v>
      </c>
      <c r="G7451">
        <f>LOG(382/(130+1))</f>
        <v>0.46479206725594452</v>
      </c>
      <c r="H7451">
        <f>0.0967741935483871*1.07022328540542</f>
        <v>0.10356999536181484</v>
      </c>
      <c r="I7451">
        <v>0.1035699953618152</v>
      </c>
    </row>
    <row r="7452" spans="1:9" x14ac:dyDescent="0.25">
      <c r="A7452">
        <v>357</v>
      </c>
      <c r="B7452" t="s">
        <v>2584</v>
      </c>
      <c r="C7452" t="s">
        <v>10</v>
      </c>
      <c r="D7452" t="s">
        <v>77</v>
      </c>
      <c r="E7452">
        <f>2/31</f>
        <v>6.4516129032258063E-2</v>
      </c>
      <c r="F7452">
        <v>148</v>
      </c>
      <c r="G7452">
        <f>LOG(382/(148+1))</f>
        <v>0.40887709449943471</v>
      </c>
      <c r="H7452">
        <f>0.064516129032258*0.941474302661116</f>
        <v>6.0740277591039671E-2</v>
      </c>
      <c r="I7452">
        <v>6.0740277591039747E-2</v>
      </c>
    </row>
    <row r="7453" spans="1:9" x14ac:dyDescent="0.25">
      <c r="A7453">
        <v>357</v>
      </c>
      <c r="B7453" t="s">
        <v>2584</v>
      </c>
      <c r="C7453" t="s">
        <v>10</v>
      </c>
      <c r="D7453" t="s">
        <v>1950</v>
      </c>
      <c r="E7453">
        <f t="shared" ref="E7453:E7462" si="340">1/31</f>
        <v>3.2258064516129031E-2</v>
      </c>
      <c r="F7453">
        <v>3</v>
      </c>
      <c r="G7453">
        <f>LOG(382/(3+1))</f>
        <v>1.9800033715837464</v>
      </c>
      <c r="H7453">
        <f>0.032258064516129*4.55912624748668</f>
        <v>0.14706858862860242</v>
      </c>
      <c r="I7453">
        <v>0.1470685886286027</v>
      </c>
    </row>
    <row r="7454" spans="1:9" x14ac:dyDescent="0.25">
      <c r="A7454">
        <v>357</v>
      </c>
      <c r="B7454" t="s">
        <v>2584</v>
      </c>
      <c r="C7454" t="s">
        <v>10</v>
      </c>
      <c r="D7454" t="s">
        <v>1535</v>
      </c>
      <c r="E7454">
        <f t="shared" si="340"/>
        <v>3.2258064516129031E-2</v>
      </c>
      <c r="F7454">
        <v>3</v>
      </c>
      <c r="G7454">
        <f>LOG(382/(3+1))</f>
        <v>1.9800033715837464</v>
      </c>
      <c r="H7454">
        <f>0.032258064516129*4.55912624748668</f>
        <v>0.14706858862860242</v>
      </c>
      <c r="I7454">
        <v>0.1470685886286027</v>
      </c>
    </row>
    <row r="7455" spans="1:9" x14ac:dyDescent="0.25">
      <c r="A7455">
        <v>357</v>
      </c>
      <c r="B7455" t="s">
        <v>2584</v>
      </c>
      <c r="C7455" t="s">
        <v>10</v>
      </c>
      <c r="D7455" t="s">
        <v>30</v>
      </c>
      <c r="E7455">
        <f t="shared" si="340"/>
        <v>3.2258064516129031E-2</v>
      </c>
      <c r="F7455">
        <v>7</v>
      </c>
      <c r="G7455">
        <f>LOG(382/(7+1))</f>
        <v>1.6789733759197651</v>
      </c>
      <c r="H7455">
        <f>0.032258064516129*3.86597906692673</f>
        <v>0.12470900215892665</v>
      </c>
      <c r="I7455">
        <v>0.12470900215892709</v>
      </c>
    </row>
    <row r="7456" spans="1:9" x14ac:dyDescent="0.25">
      <c r="A7456">
        <v>357</v>
      </c>
      <c r="B7456" t="s">
        <v>2584</v>
      </c>
      <c r="C7456" t="s">
        <v>10</v>
      </c>
      <c r="D7456" t="s">
        <v>932</v>
      </c>
      <c r="E7456">
        <f t="shared" si="340"/>
        <v>3.2258064516129031E-2</v>
      </c>
      <c r="F7456">
        <v>35</v>
      </c>
      <c r="G7456">
        <f>LOG(382/(35+1))</f>
        <v>1.0257608621444214</v>
      </c>
      <c r="H7456">
        <f>0.032258064516129*2.36190167015046</f>
        <v>7.6190376456466369E-2</v>
      </c>
      <c r="I7456">
        <v>7.6190376456466605E-2</v>
      </c>
    </row>
    <row r="7457" spans="1:9" x14ac:dyDescent="0.25">
      <c r="A7457">
        <v>357</v>
      </c>
      <c r="B7457" t="s">
        <v>2584</v>
      </c>
      <c r="C7457" t="s">
        <v>10</v>
      </c>
      <c r="D7457" t="s">
        <v>1396</v>
      </c>
      <c r="E7457">
        <f t="shared" si="340"/>
        <v>3.2258064516129031E-2</v>
      </c>
      <c r="F7457">
        <v>18</v>
      </c>
      <c r="G7457">
        <f>LOG(382/(18+1))</f>
        <v>1.3033097619588798</v>
      </c>
      <c r="H7457">
        <f>0.032258064516129*3.00098162944013</f>
        <v>9.6805859014197637E-2</v>
      </c>
      <c r="I7457">
        <v>9.6805859014197887E-2</v>
      </c>
    </row>
    <row r="7458" spans="1:9" x14ac:dyDescent="0.25">
      <c r="A7458">
        <v>357</v>
      </c>
      <c r="B7458" t="s">
        <v>2584</v>
      </c>
      <c r="C7458" t="s">
        <v>10</v>
      </c>
      <c r="D7458" t="s">
        <v>2586</v>
      </c>
      <c r="E7458">
        <f t="shared" si="340"/>
        <v>3.2258064516129031E-2</v>
      </c>
      <c r="F7458">
        <v>4</v>
      </c>
      <c r="G7458">
        <f>LOG(382/(4+1))</f>
        <v>1.8830933585756899</v>
      </c>
      <c r="H7458">
        <f>0.032258064516129*4.33598269617247</f>
        <v>0.1398704095539505</v>
      </c>
      <c r="I7458">
        <v>0.1398704095539508</v>
      </c>
    </row>
    <row r="7459" spans="1:9" x14ac:dyDescent="0.25">
      <c r="A7459">
        <v>357</v>
      </c>
      <c r="B7459" t="s">
        <v>2584</v>
      </c>
      <c r="C7459" t="s">
        <v>10</v>
      </c>
      <c r="D7459" t="s">
        <v>1709</v>
      </c>
      <c r="E7459">
        <f t="shared" si="340"/>
        <v>3.2258064516129031E-2</v>
      </c>
      <c r="F7459">
        <v>21</v>
      </c>
      <c r="G7459">
        <f>LOG(382/(21+1))</f>
        <v>1.2396406820895025</v>
      </c>
      <c r="H7459">
        <f>0.032258064516129*2.85437815524825</f>
        <v>9.2076714685427316E-2</v>
      </c>
      <c r="I7459">
        <v>9.2076714685427719E-2</v>
      </c>
    </row>
    <row r="7460" spans="1:9" x14ac:dyDescent="0.25">
      <c r="A7460">
        <v>357</v>
      </c>
      <c r="B7460" t="s">
        <v>2584</v>
      </c>
      <c r="C7460" t="s">
        <v>10</v>
      </c>
      <c r="D7460" t="s">
        <v>1745</v>
      </c>
      <c r="E7460">
        <f t="shared" si="340"/>
        <v>3.2258064516129031E-2</v>
      </c>
      <c r="F7460">
        <v>12</v>
      </c>
      <c r="G7460">
        <f>LOG(382/(12+1))</f>
        <v>1.468120010604872</v>
      </c>
      <c r="H7460">
        <f>0.032258064516129*3.38047125114503</f>
        <v>0.10904745971435569</v>
      </c>
      <c r="I7460">
        <v>0.1090474597143561</v>
      </c>
    </row>
    <row r="7461" spans="1:9" x14ac:dyDescent="0.25">
      <c r="A7461">
        <v>357</v>
      </c>
      <c r="B7461" t="s">
        <v>2584</v>
      </c>
      <c r="C7461" t="s">
        <v>10</v>
      </c>
      <c r="D7461" t="s">
        <v>78</v>
      </c>
      <c r="E7461">
        <f t="shared" si="340"/>
        <v>3.2258064516129031E-2</v>
      </c>
      <c r="F7461">
        <v>122</v>
      </c>
      <c r="G7461">
        <f>LOG(382/(122+1))</f>
        <v>0.49215825147231079</v>
      </c>
      <c r="H7461">
        <f>0.032258064516129*1.13323625323415</f>
        <v>3.655600816884351E-2</v>
      </c>
      <c r="I7461">
        <v>3.6556008168843787E-2</v>
      </c>
    </row>
    <row r="7462" spans="1:9" x14ac:dyDescent="0.25">
      <c r="A7462">
        <v>357</v>
      </c>
      <c r="B7462" t="s">
        <v>2584</v>
      </c>
      <c r="C7462" t="s">
        <v>10</v>
      </c>
      <c r="D7462" t="s">
        <v>937</v>
      </c>
      <c r="E7462">
        <f t="shared" si="340"/>
        <v>3.2258064516129031E-2</v>
      </c>
      <c r="F7462">
        <v>41</v>
      </c>
      <c r="G7462">
        <f>LOG(382/(41+1))</f>
        <v>0.95881407251380824</v>
      </c>
      <c r="H7462">
        <f>0.032258064516129*2.2077509903232</f>
        <v>7.121777388139347E-2</v>
      </c>
      <c r="I7462">
        <v>7.1217773881393762E-2</v>
      </c>
    </row>
    <row r="7463" spans="1:9" x14ac:dyDescent="0.25">
      <c r="A7463">
        <v>357</v>
      </c>
      <c r="B7463" t="s">
        <v>2584</v>
      </c>
      <c r="C7463" t="s">
        <v>10</v>
      </c>
      <c r="D7463" t="s">
        <v>680</v>
      </c>
      <c r="E7463">
        <f>2/31</f>
        <v>6.4516129032258063E-2</v>
      </c>
      <c r="F7463">
        <v>25</v>
      </c>
      <c r="G7463">
        <f>LOG(382/(25+1))</f>
        <v>1.1670900149408907</v>
      </c>
      <c r="H7463">
        <f>0.064516129032258*2.68732407058509</f>
        <v>0.17337574648936047</v>
      </c>
      <c r="I7463">
        <v>0.17337574648936091</v>
      </c>
    </row>
    <row r="7464" spans="1:9" x14ac:dyDescent="0.25">
      <c r="A7464">
        <v>357</v>
      </c>
      <c r="B7464" t="s">
        <v>2584</v>
      </c>
      <c r="C7464" t="s">
        <v>10</v>
      </c>
      <c r="D7464" t="s">
        <v>764</v>
      </c>
      <c r="E7464">
        <f>1/31</f>
        <v>3.2258064516129031E-2</v>
      </c>
      <c r="F7464">
        <v>57</v>
      </c>
      <c r="G7464">
        <f>LOG(382/(57+1))</f>
        <v>0.81863536934877146</v>
      </c>
      <c r="H7464">
        <f>0.032258064516129*1.88497759806015</f>
        <v>6.0805728969682192E-2</v>
      </c>
      <c r="I7464">
        <v>6.0805728969682442E-2</v>
      </c>
    </row>
    <row r="7465" spans="1:9" x14ac:dyDescent="0.25">
      <c r="A7465">
        <v>357</v>
      </c>
      <c r="B7465" t="s">
        <v>2584</v>
      </c>
      <c r="C7465" t="s">
        <v>10</v>
      </c>
      <c r="D7465" t="s">
        <v>1866</v>
      </c>
      <c r="E7465">
        <f>1/31</f>
        <v>3.2258064516129031E-2</v>
      </c>
      <c r="F7465">
        <v>18</v>
      </c>
      <c r="G7465">
        <f>LOG(382/(18+1))</f>
        <v>1.3033097619588798</v>
      </c>
      <c r="H7465">
        <f>0.032258064516129*3.00098162944013</f>
        <v>9.6805859014197637E-2</v>
      </c>
      <c r="I7465">
        <v>9.6805859014197887E-2</v>
      </c>
    </row>
    <row r="7466" spans="1:9" x14ac:dyDescent="0.25">
      <c r="A7466">
        <v>357</v>
      </c>
      <c r="B7466" t="s">
        <v>2584</v>
      </c>
      <c r="C7466" t="s">
        <v>10</v>
      </c>
      <c r="D7466" t="s">
        <v>133</v>
      </c>
      <c r="E7466">
        <f>1/31</f>
        <v>3.2258064516129031E-2</v>
      </c>
      <c r="F7466">
        <v>142</v>
      </c>
      <c r="G7466">
        <f>LOG(382/(142+1))</f>
        <v>0.42672732544664693</v>
      </c>
      <c r="H7466">
        <f>0.032258064516129*0.982575978346667</f>
        <v>3.1695999301505351E-2</v>
      </c>
      <c r="I7466">
        <v>3.1695999301505413E-2</v>
      </c>
    </row>
    <row r="7467" spans="1:9" x14ac:dyDescent="0.25">
      <c r="A7467">
        <v>358</v>
      </c>
      <c r="B7467" t="s">
        <v>2587</v>
      </c>
      <c r="C7467" t="s">
        <v>10</v>
      </c>
      <c r="D7467" t="s">
        <v>39</v>
      </c>
      <c r="E7467">
        <f>4/179</f>
        <v>2.23463687150838E-2</v>
      </c>
      <c r="F7467">
        <v>145</v>
      </c>
      <c r="G7467">
        <f>LOG(382/(145+1))</f>
        <v>0.41771050712727159</v>
      </c>
      <c r="H7467">
        <f>0.0223463687150838*0.961813986898238</f>
        <v>2.1493049986552805E-2</v>
      </c>
      <c r="I7467">
        <v>2.1493049986552819E-2</v>
      </c>
    </row>
    <row r="7468" spans="1:9" x14ac:dyDescent="0.25">
      <c r="A7468">
        <v>358</v>
      </c>
      <c r="B7468" t="s">
        <v>2587</v>
      </c>
      <c r="C7468" t="s">
        <v>10</v>
      </c>
      <c r="D7468" t="s">
        <v>760</v>
      </c>
      <c r="E7468">
        <f>2/179</f>
        <v>1.11731843575419E-2</v>
      </c>
      <c r="F7468">
        <v>4</v>
      </c>
      <c r="G7468">
        <f>LOG(382/(4+1))</f>
        <v>1.8830933585756899</v>
      </c>
      <c r="H7468">
        <f>0.0111731843575419*4.33598269617247</f>
        <v>4.8446734035446595E-2</v>
      </c>
      <c r="I7468">
        <v>4.8446734035446637E-2</v>
      </c>
    </row>
    <row r="7469" spans="1:9" x14ac:dyDescent="0.25">
      <c r="A7469">
        <v>358</v>
      </c>
      <c r="B7469" t="s">
        <v>2587</v>
      </c>
      <c r="C7469" t="s">
        <v>10</v>
      </c>
      <c r="D7469" t="s">
        <v>77</v>
      </c>
      <c r="E7469">
        <f>3/179</f>
        <v>1.6759776536312849E-2</v>
      </c>
      <c r="F7469">
        <v>148</v>
      </c>
      <c r="G7469">
        <f>LOG(382/(148+1))</f>
        <v>0.40887709449943471</v>
      </c>
      <c r="H7469">
        <f>0.0167597765363128*0.941474302661116</f>
        <v>1.5778898927281227E-2</v>
      </c>
      <c r="I7469">
        <v>1.5778898927281279E-2</v>
      </c>
    </row>
    <row r="7470" spans="1:9" x14ac:dyDescent="0.25">
      <c r="A7470">
        <v>358</v>
      </c>
      <c r="B7470" t="s">
        <v>2587</v>
      </c>
      <c r="C7470" t="s">
        <v>10</v>
      </c>
      <c r="D7470" t="s">
        <v>2588</v>
      </c>
      <c r="E7470">
        <f>1/179</f>
        <v>5.5865921787709499E-3</v>
      </c>
      <c r="F7470">
        <v>1</v>
      </c>
      <c r="G7470">
        <f>LOG(382/(1+1))</f>
        <v>2.2810333672477277</v>
      </c>
      <c r="H7470">
        <f>0.00558659217877095*5.25227342804663</f>
        <v>2.9342309653891788E-2</v>
      </c>
      <c r="I7470">
        <v>2.9342309653891788E-2</v>
      </c>
    </row>
    <row r="7471" spans="1:9" x14ac:dyDescent="0.25">
      <c r="A7471">
        <v>358</v>
      </c>
      <c r="B7471" t="s">
        <v>2587</v>
      </c>
      <c r="C7471" t="s">
        <v>10</v>
      </c>
      <c r="D7471" t="s">
        <v>247</v>
      </c>
      <c r="E7471">
        <f>1/179</f>
        <v>5.5865921787709499E-3</v>
      </c>
      <c r="F7471">
        <v>121</v>
      </c>
      <c r="G7471">
        <f>LOG(382/(121+1))</f>
        <v>0.49570353223696051</v>
      </c>
      <c r="H7471">
        <f>0.00558659217877095*1.14139956387331</f>
        <v>6.3765338763872078E-3</v>
      </c>
      <c r="I7471">
        <v>6.3765338763872564E-3</v>
      </c>
    </row>
    <row r="7472" spans="1:9" x14ac:dyDescent="0.25">
      <c r="A7472">
        <v>358</v>
      </c>
      <c r="B7472" t="s">
        <v>2587</v>
      </c>
      <c r="C7472" t="s">
        <v>10</v>
      </c>
      <c r="D7472" t="s">
        <v>331</v>
      </c>
      <c r="E7472">
        <f>5/179</f>
        <v>2.7932960893854747E-2</v>
      </c>
      <c r="F7472">
        <v>130</v>
      </c>
      <c r="G7472">
        <f>LOG(382/(130+1))</f>
        <v>0.46479206725594452</v>
      </c>
      <c r="H7472">
        <f>0.0279329608938547*1.07022328540542</f>
        <v>2.9894505178922295E-2</v>
      </c>
      <c r="I7472">
        <v>2.9894505178922452E-2</v>
      </c>
    </row>
    <row r="7473" spans="1:9" x14ac:dyDescent="0.25">
      <c r="A7473">
        <v>358</v>
      </c>
      <c r="B7473" t="s">
        <v>2587</v>
      </c>
      <c r="C7473" t="s">
        <v>10</v>
      </c>
      <c r="D7473" t="s">
        <v>42</v>
      </c>
      <c r="E7473">
        <f>2/179</f>
        <v>1.11731843575419E-2</v>
      </c>
      <c r="F7473">
        <v>251</v>
      </c>
      <c r="G7473">
        <f>LOG(382/(251+1))</f>
        <v>0.18066282213016463</v>
      </c>
      <c r="H7473">
        <f>0.0111731843575419*0.415991521095151</f>
        <v>4.6479499563704023E-3</v>
      </c>
      <c r="I7473">
        <v>4.6479499563704119E-3</v>
      </c>
    </row>
    <row r="7474" spans="1:9" x14ac:dyDescent="0.25">
      <c r="A7474">
        <v>358</v>
      </c>
      <c r="B7474" t="s">
        <v>2587</v>
      </c>
      <c r="C7474" t="s">
        <v>10</v>
      </c>
      <c r="D7474" t="s">
        <v>15</v>
      </c>
      <c r="E7474">
        <f>2/179</f>
        <v>1.11731843575419E-2</v>
      </c>
      <c r="F7474">
        <v>112</v>
      </c>
      <c r="G7474">
        <f>LOG(382/(112+1))</f>
        <v>0.52898491942828896</v>
      </c>
      <c r="H7474">
        <f>0.0111731843575419*1.21803278989423</f>
        <v>1.360930491501933E-2</v>
      </c>
      <c r="I7474">
        <v>1.3609304915019381E-2</v>
      </c>
    </row>
    <row r="7475" spans="1:9" x14ac:dyDescent="0.25">
      <c r="A7475">
        <v>358</v>
      </c>
      <c r="B7475" t="s">
        <v>2587</v>
      </c>
      <c r="C7475" t="s">
        <v>10</v>
      </c>
      <c r="D7475" t="s">
        <v>2589</v>
      </c>
      <c r="E7475">
        <f>2/179</f>
        <v>1.11731843575419E-2</v>
      </c>
      <c r="F7475">
        <v>3</v>
      </c>
      <c r="G7475">
        <f>LOG(382/(3+1))</f>
        <v>1.9800033715837464</v>
      </c>
      <c r="H7475">
        <f>0.0111731843575419*4.55912624748668</f>
        <v>5.0939958072476872E-2</v>
      </c>
      <c r="I7475">
        <v>5.0939958072476921E-2</v>
      </c>
    </row>
    <row r="7476" spans="1:9" x14ac:dyDescent="0.25">
      <c r="A7476">
        <v>358</v>
      </c>
      <c r="B7476" t="s">
        <v>2587</v>
      </c>
      <c r="C7476" t="s">
        <v>10</v>
      </c>
      <c r="D7476" t="s">
        <v>2590</v>
      </c>
      <c r="E7476">
        <f>2/179</f>
        <v>1.11731843575419E-2</v>
      </c>
      <c r="F7476">
        <v>2</v>
      </c>
      <c r="G7476">
        <f>LOG(382/(2+1))</f>
        <v>2.1049421081920463</v>
      </c>
      <c r="H7476">
        <f>0.0111731843575419*4.84680831993846</f>
        <v>5.4154282904340337E-2</v>
      </c>
      <c r="I7476">
        <v>5.4154282904340399E-2</v>
      </c>
    </row>
    <row r="7477" spans="1:9" x14ac:dyDescent="0.25">
      <c r="A7477">
        <v>358</v>
      </c>
      <c r="B7477" t="s">
        <v>2587</v>
      </c>
      <c r="C7477" t="s">
        <v>10</v>
      </c>
      <c r="D7477" t="s">
        <v>17</v>
      </c>
      <c r="E7477">
        <f>1/179</f>
        <v>5.5865921787709499E-3</v>
      </c>
      <c r="F7477">
        <v>169</v>
      </c>
      <c r="G7477">
        <f>LOG(382/(169+1))</f>
        <v>0.3516144415334348</v>
      </c>
      <c r="H7477">
        <f>0.00558659217877095*0.809622171556313</f>
        <v>4.5230288913760503E-3</v>
      </c>
      <c r="I7477">
        <v>4.5230288913760529E-3</v>
      </c>
    </row>
    <row r="7478" spans="1:9" x14ac:dyDescent="0.25">
      <c r="A7478">
        <v>358</v>
      </c>
      <c r="B7478" t="s">
        <v>2587</v>
      </c>
      <c r="C7478" t="s">
        <v>10</v>
      </c>
      <c r="D7478" t="s">
        <v>2591</v>
      </c>
      <c r="E7478">
        <f>2/179</f>
        <v>1.11731843575419E-2</v>
      </c>
      <c r="F7478">
        <v>3</v>
      </c>
      <c r="G7478">
        <f>LOG(382/(3+1))</f>
        <v>1.9800033715837464</v>
      </c>
      <c r="H7478">
        <f>0.0111731843575419*4.55912624748668</f>
        <v>5.0939958072476872E-2</v>
      </c>
      <c r="I7478">
        <v>5.0939958072476921E-2</v>
      </c>
    </row>
    <row r="7479" spans="1:9" x14ac:dyDescent="0.25">
      <c r="A7479">
        <v>358</v>
      </c>
      <c r="B7479" t="s">
        <v>2587</v>
      </c>
      <c r="C7479" t="s">
        <v>10</v>
      </c>
      <c r="D7479" t="s">
        <v>2592</v>
      </c>
      <c r="E7479">
        <f>2/179</f>
        <v>1.11731843575419E-2</v>
      </c>
      <c r="F7479">
        <v>2</v>
      </c>
      <c r="G7479">
        <f>LOG(382/(2+1))</f>
        <v>2.1049421081920463</v>
      </c>
      <c r="H7479">
        <f>0.0111731843575419*4.84680831993846</f>
        <v>5.4154282904340337E-2</v>
      </c>
      <c r="I7479">
        <v>5.4154282904340399E-2</v>
      </c>
    </row>
    <row r="7480" spans="1:9" x14ac:dyDescent="0.25">
      <c r="A7480">
        <v>358</v>
      </c>
      <c r="B7480" t="s">
        <v>2587</v>
      </c>
      <c r="C7480" t="s">
        <v>10</v>
      </c>
      <c r="D7480" t="s">
        <v>19</v>
      </c>
      <c r="E7480">
        <f>1/179</f>
        <v>5.5865921787709499E-3</v>
      </c>
      <c r="F7480">
        <v>220</v>
      </c>
      <c r="G7480">
        <f>LOG(382/(220+1))</f>
        <v>0.23767108922659805</v>
      </c>
      <c r="H7480">
        <f>0.00558659217877095*0.547257907088822</f>
        <v>3.0573067435129726E-3</v>
      </c>
      <c r="I7480">
        <v>3.0573067435129739E-3</v>
      </c>
    </row>
    <row r="7481" spans="1:9" x14ac:dyDescent="0.25">
      <c r="A7481">
        <v>358</v>
      </c>
      <c r="B7481" t="s">
        <v>2587</v>
      </c>
      <c r="C7481" t="s">
        <v>10</v>
      </c>
      <c r="D7481" t="s">
        <v>195</v>
      </c>
      <c r="E7481">
        <f>2/179</f>
        <v>1.11731843575419E-2</v>
      </c>
      <c r="F7481">
        <v>55</v>
      </c>
      <c r="G7481">
        <f>LOG(382/(55+1))</f>
        <v>0.83387533590550833</v>
      </c>
      <c r="H7481">
        <f>0.0111731843575419*1.92006891787142</f>
        <v>2.1453283998563354E-2</v>
      </c>
      <c r="I7481">
        <v>2.145328399856342E-2</v>
      </c>
    </row>
    <row r="7482" spans="1:9" x14ac:dyDescent="0.25">
      <c r="A7482">
        <v>358</v>
      </c>
      <c r="B7482" t="s">
        <v>2587</v>
      </c>
      <c r="C7482" t="s">
        <v>10</v>
      </c>
      <c r="D7482" t="s">
        <v>22</v>
      </c>
      <c r="E7482">
        <f>1/179</f>
        <v>5.5865921787709499E-3</v>
      </c>
      <c r="F7482">
        <v>259</v>
      </c>
      <c r="G7482">
        <f>LOG(382/(259+1))</f>
        <v>0.16709001494089079</v>
      </c>
      <c r="H7482">
        <f>0.00558659217877095*0.384738977591047</f>
        <v>2.1493797630784753E-3</v>
      </c>
      <c r="I7482">
        <v>2.1493797630784779E-3</v>
      </c>
    </row>
    <row r="7483" spans="1:9" x14ac:dyDescent="0.25">
      <c r="A7483">
        <v>358</v>
      </c>
      <c r="B7483" t="s">
        <v>2587</v>
      </c>
      <c r="C7483" t="s">
        <v>10</v>
      </c>
      <c r="D7483" t="s">
        <v>23</v>
      </c>
      <c r="E7483">
        <f>1/179</f>
        <v>5.5865921787709499E-3</v>
      </c>
      <c r="F7483">
        <v>275</v>
      </c>
      <c r="G7483">
        <f>LOG(382/(275+1))</f>
        <v>0.14115428084649101</v>
      </c>
      <c r="H7483">
        <f>0.00558659217877095*0.325019742889425</f>
        <v>1.8157527535722067E-3</v>
      </c>
      <c r="I7483">
        <v>1.815752753572208E-3</v>
      </c>
    </row>
    <row r="7484" spans="1:9" x14ac:dyDescent="0.25">
      <c r="A7484">
        <v>358</v>
      </c>
      <c r="B7484" t="s">
        <v>2587</v>
      </c>
      <c r="C7484" t="s">
        <v>10</v>
      </c>
      <c r="D7484" t="s">
        <v>26</v>
      </c>
      <c r="E7484">
        <f>2/179</f>
        <v>1.11731843575419E-2</v>
      </c>
      <c r="F7484">
        <v>40</v>
      </c>
      <c r="G7484">
        <f>LOG(382/(40+1))</f>
        <v>0.96927950619197323</v>
      </c>
      <c r="H7484">
        <f>0.0111731843575419*2.23184854190226</f>
        <v>2.4936855216785025E-2</v>
      </c>
      <c r="I7484">
        <v>2.4936855216785112E-2</v>
      </c>
    </row>
    <row r="7485" spans="1:9" x14ac:dyDescent="0.25">
      <c r="A7485">
        <v>358</v>
      </c>
      <c r="B7485" t="s">
        <v>2587</v>
      </c>
      <c r="C7485" t="s">
        <v>10</v>
      </c>
      <c r="D7485" t="s">
        <v>2593</v>
      </c>
      <c r="E7485">
        <f>1/179</f>
        <v>5.5865921787709499E-3</v>
      </c>
      <c r="F7485">
        <v>2</v>
      </c>
      <c r="G7485">
        <f>LOG(382/(2+1))</f>
        <v>2.1049421081920463</v>
      </c>
      <c r="H7485">
        <f>0.00558659217877095*4.84680831993846</f>
        <v>2.7077141452170168E-2</v>
      </c>
      <c r="I7485">
        <v>2.70771414521702E-2</v>
      </c>
    </row>
    <row r="7486" spans="1:9" x14ac:dyDescent="0.25">
      <c r="A7486">
        <v>358</v>
      </c>
      <c r="B7486" t="s">
        <v>2587</v>
      </c>
      <c r="C7486" t="s">
        <v>10</v>
      </c>
      <c r="D7486" t="s">
        <v>28</v>
      </c>
      <c r="E7486">
        <f>1/179</f>
        <v>5.5865921787709499E-3</v>
      </c>
      <c r="F7486">
        <v>35</v>
      </c>
      <c r="G7486">
        <f>LOG(382/(35+1))</f>
        <v>1.0257608621444214</v>
      </c>
      <c r="H7486">
        <f>0.00558659217877095*2.36190167015046</f>
        <v>1.3194981397488604E-2</v>
      </c>
      <c r="I7486">
        <v>1.319498139748863E-2</v>
      </c>
    </row>
    <row r="7487" spans="1:9" x14ac:dyDescent="0.25">
      <c r="A7487">
        <v>358</v>
      </c>
      <c r="B7487" t="s">
        <v>2587</v>
      </c>
      <c r="C7487" t="s">
        <v>10</v>
      </c>
      <c r="D7487" t="s">
        <v>2594</v>
      </c>
      <c r="E7487">
        <f>1/179</f>
        <v>5.5865921787709499E-3</v>
      </c>
      <c r="F7487">
        <v>1</v>
      </c>
      <c r="G7487">
        <f>LOG(382/(1+1))</f>
        <v>2.2810333672477277</v>
      </c>
      <c r="H7487">
        <f>0.00558659217877095*5.25227342804663</f>
        <v>2.9342309653891788E-2</v>
      </c>
      <c r="I7487">
        <v>2.9342309653891788E-2</v>
      </c>
    </row>
    <row r="7488" spans="1:9" x14ac:dyDescent="0.25">
      <c r="A7488">
        <v>358</v>
      </c>
      <c r="B7488" t="s">
        <v>2587</v>
      </c>
      <c r="C7488" t="s">
        <v>10</v>
      </c>
      <c r="D7488" t="s">
        <v>929</v>
      </c>
      <c r="E7488">
        <f>1/179</f>
        <v>5.5865921787709499E-3</v>
      </c>
      <c r="F7488">
        <v>32</v>
      </c>
      <c r="G7488">
        <f>LOG(382/(32+1))</f>
        <v>1.0635494230338212</v>
      </c>
      <c r="H7488">
        <f>0.00558659217877095*2.44891304714009</f>
        <v>1.3681078475642962E-2</v>
      </c>
      <c r="I7488">
        <v>1.368107847564299E-2</v>
      </c>
    </row>
    <row r="7489" spans="1:9" x14ac:dyDescent="0.25">
      <c r="A7489">
        <v>358</v>
      </c>
      <c r="B7489" t="s">
        <v>2587</v>
      </c>
      <c r="C7489" t="s">
        <v>10</v>
      </c>
      <c r="D7489" t="s">
        <v>2595</v>
      </c>
      <c r="E7489">
        <f>6/179</f>
        <v>3.3519553072625698E-2</v>
      </c>
      <c r="F7489">
        <v>2</v>
      </c>
      <c r="G7489">
        <f>LOG(382/(2+1))</f>
        <v>2.1049421081920463</v>
      </c>
      <c r="H7489">
        <f>0.0335195530726257*4.84680831993846</f>
        <v>0.162462848713021</v>
      </c>
      <c r="I7489">
        <v>0.16246284871302119</v>
      </c>
    </row>
    <row r="7490" spans="1:9" x14ac:dyDescent="0.25">
      <c r="A7490">
        <v>358</v>
      </c>
      <c r="B7490" t="s">
        <v>2587</v>
      </c>
      <c r="C7490" t="s">
        <v>10</v>
      </c>
      <c r="D7490" t="s">
        <v>1766</v>
      </c>
      <c r="E7490">
        <f>1/179</f>
        <v>5.5865921787709499E-3</v>
      </c>
      <c r="F7490">
        <v>4</v>
      </c>
      <c r="G7490">
        <f>LOG(382/(4+1))</f>
        <v>1.8830933585756899</v>
      </c>
      <c r="H7490">
        <f>0.00558659217877095*4.33598269617247</f>
        <v>2.4223367017723298E-2</v>
      </c>
      <c r="I7490">
        <v>2.4223367017723318E-2</v>
      </c>
    </row>
    <row r="7491" spans="1:9" x14ac:dyDescent="0.25">
      <c r="A7491">
        <v>358</v>
      </c>
      <c r="B7491" t="s">
        <v>2587</v>
      </c>
      <c r="C7491" t="s">
        <v>10</v>
      </c>
      <c r="D7491" t="s">
        <v>76</v>
      </c>
      <c r="E7491">
        <f>2/179</f>
        <v>1.11731843575419E-2</v>
      </c>
      <c r="F7491">
        <v>140</v>
      </c>
      <c r="G7491">
        <f>LOG(382/(140+1))</f>
        <v>0.43284425025632883</v>
      </c>
      <c r="H7491">
        <f>0.0111731843575419*0.996660718228407</f>
        <v>1.1135873946686112E-2</v>
      </c>
      <c r="I7491">
        <v>1.1135873946686111E-2</v>
      </c>
    </row>
    <row r="7492" spans="1:9" x14ac:dyDescent="0.25">
      <c r="A7492">
        <v>358</v>
      </c>
      <c r="B7492" t="s">
        <v>2587</v>
      </c>
      <c r="C7492" t="s">
        <v>10</v>
      </c>
      <c r="D7492" t="s">
        <v>1067</v>
      </c>
      <c r="E7492">
        <f>1/179</f>
        <v>5.5865921787709499E-3</v>
      </c>
      <c r="F7492">
        <v>9</v>
      </c>
      <c r="G7492">
        <f>LOG(382/(9+1))</f>
        <v>1.5820633629117087</v>
      </c>
      <c r="H7492">
        <f>0.00558659217877095*3.64283551561252</f>
        <v>2.0351036400069945E-2</v>
      </c>
      <c r="I7492">
        <v>2.0351036400070001E-2</v>
      </c>
    </row>
    <row r="7493" spans="1:9" x14ac:dyDescent="0.25">
      <c r="A7493">
        <v>358</v>
      </c>
      <c r="B7493" t="s">
        <v>2587</v>
      </c>
      <c r="C7493" t="s">
        <v>10</v>
      </c>
      <c r="D7493" t="s">
        <v>2596</v>
      </c>
      <c r="E7493">
        <f>1/179</f>
        <v>5.5865921787709499E-3</v>
      </c>
      <c r="F7493">
        <v>1</v>
      </c>
      <c r="G7493">
        <f>LOG(382/(1+1))</f>
        <v>2.2810333672477277</v>
      </c>
      <c r="H7493">
        <f>0.00558659217877095*5.25227342804663</f>
        <v>2.9342309653891788E-2</v>
      </c>
      <c r="I7493">
        <v>2.9342309653891788E-2</v>
      </c>
    </row>
    <row r="7494" spans="1:9" x14ac:dyDescent="0.25">
      <c r="A7494">
        <v>358</v>
      </c>
      <c r="B7494" t="s">
        <v>2587</v>
      </c>
      <c r="C7494" t="s">
        <v>10</v>
      </c>
      <c r="D7494" t="s">
        <v>40</v>
      </c>
      <c r="E7494">
        <f>2/179</f>
        <v>1.11731843575419E-2</v>
      </c>
      <c r="F7494">
        <v>159</v>
      </c>
      <c r="G7494">
        <f>LOG(382/(159+1))</f>
        <v>0.377943380255784</v>
      </c>
      <c r="H7494">
        <f>0.0111731843575419*0.870246793372748</f>
        <v>9.7234278589133864E-3</v>
      </c>
      <c r="I7494">
        <v>9.7234278589133898E-3</v>
      </c>
    </row>
    <row r="7495" spans="1:9" x14ac:dyDescent="0.25">
      <c r="A7495">
        <v>358</v>
      </c>
      <c r="B7495" t="s">
        <v>2587</v>
      </c>
      <c r="C7495" t="s">
        <v>10</v>
      </c>
      <c r="D7495" t="s">
        <v>41</v>
      </c>
      <c r="E7495">
        <f>2/179</f>
        <v>1.11731843575419E-2</v>
      </c>
      <c r="F7495">
        <v>195</v>
      </c>
      <c r="G7495">
        <f>LOG(382/(195+1))</f>
        <v>0.28980729155523272</v>
      </c>
      <c r="H7495">
        <f>0.0111731843575419*0.667305949376058</f>
        <v>7.4559323952632182E-3</v>
      </c>
      <c r="I7495">
        <v>7.4559323952632182E-3</v>
      </c>
    </row>
    <row r="7496" spans="1:9" x14ac:dyDescent="0.25">
      <c r="A7496">
        <v>358</v>
      </c>
      <c r="B7496" t="s">
        <v>2587</v>
      </c>
      <c r="C7496" t="s">
        <v>10</v>
      </c>
      <c r="D7496" t="s">
        <v>485</v>
      </c>
      <c r="E7496">
        <f>1/179</f>
        <v>5.5865921787709499E-3</v>
      </c>
      <c r="F7496">
        <v>74</v>
      </c>
      <c r="G7496">
        <f>LOG(382/(74+1))</f>
        <v>0.7070020995200087</v>
      </c>
      <c r="H7496">
        <f>0.00558659217877095*1.62793249507026</f>
        <v>9.0945949445265933E-3</v>
      </c>
      <c r="I7496">
        <v>9.0945949445266194E-3</v>
      </c>
    </row>
    <row r="7497" spans="1:9" x14ac:dyDescent="0.25">
      <c r="A7497">
        <v>358</v>
      </c>
      <c r="B7497" t="s">
        <v>2587</v>
      </c>
      <c r="C7497" t="s">
        <v>10</v>
      </c>
      <c r="D7497" t="s">
        <v>36</v>
      </c>
      <c r="E7497">
        <f>1/179</f>
        <v>5.5865921787709499E-3</v>
      </c>
      <c r="F7497">
        <v>58</v>
      </c>
      <c r="G7497">
        <f>LOG(382/(58+1))</f>
        <v>0.81121135126956456</v>
      </c>
      <c r="H7497">
        <f>0.00558659217877095*1.86788316470085</f>
        <v>1.0435101478775698E-2</v>
      </c>
      <c r="I7497">
        <v>1.043510147877573E-2</v>
      </c>
    </row>
    <row r="7498" spans="1:9" x14ac:dyDescent="0.25">
      <c r="A7498">
        <v>358</v>
      </c>
      <c r="B7498" t="s">
        <v>2587</v>
      </c>
      <c r="C7498" t="s">
        <v>10</v>
      </c>
      <c r="D7498" t="s">
        <v>161</v>
      </c>
      <c r="E7498">
        <f>1/179</f>
        <v>5.5865921787709499E-3</v>
      </c>
      <c r="F7498">
        <v>33</v>
      </c>
      <c r="G7498">
        <f>LOG(382/(33+1))</f>
        <v>1.0505844458694535</v>
      </c>
      <c r="H7498">
        <f>0.00558659217877095*2.41906008399041</f>
        <v>1.3514302145197823E-2</v>
      </c>
      <c r="I7498">
        <v>1.351430214519784E-2</v>
      </c>
    </row>
    <row r="7499" spans="1:9" x14ac:dyDescent="0.25">
      <c r="A7499">
        <v>358</v>
      </c>
      <c r="B7499" t="s">
        <v>2587</v>
      </c>
      <c r="C7499" t="s">
        <v>10</v>
      </c>
      <c r="D7499" t="s">
        <v>932</v>
      </c>
      <c r="E7499">
        <f>1/179</f>
        <v>5.5865921787709499E-3</v>
      </c>
      <c r="F7499">
        <v>35</v>
      </c>
      <c r="G7499">
        <f>LOG(382/(35+1))</f>
        <v>1.0257608621444214</v>
      </c>
      <c r="H7499">
        <f>0.00558659217877095*2.36190167015046</f>
        <v>1.3194981397488604E-2</v>
      </c>
      <c r="I7499">
        <v>1.319498139748863E-2</v>
      </c>
    </row>
    <row r="7500" spans="1:9" x14ac:dyDescent="0.25">
      <c r="A7500">
        <v>358</v>
      </c>
      <c r="B7500" t="s">
        <v>2587</v>
      </c>
      <c r="C7500" t="s">
        <v>10</v>
      </c>
      <c r="D7500" t="s">
        <v>1775</v>
      </c>
      <c r="E7500">
        <f>2/179</f>
        <v>1.11731843575419E-2</v>
      </c>
      <c r="F7500">
        <v>10</v>
      </c>
      <c r="G7500">
        <f>LOG(382/(10+1))</f>
        <v>1.5406706777534838</v>
      </c>
      <c r="H7500">
        <f>0.0111731843575419*3.5475253358082</f>
        <v>3.9637154590035757E-2</v>
      </c>
      <c r="I7500">
        <v>3.9637154590035813E-2</v>
      </c>
    </row>
    <row r="7501" spans="1:9" x14ac:dyDescent="0.25">
      <c r="A7501">
        <v>358</v>
      </c>
      <c r="B7501" t="s">
        <v>2587</v>
      </c>
      <c r="C7501" t="s">
        <v>10</v>
      </c>
      <c r="D7501" t="s">
        <v>322</v>
      </c>
      <c r="E7501">
        <f>2/179</f>
        <v>1.11731843575419E-2</v>
      </c>
      <c r="F7501">
        <v>128</v>
      </c>
      <c r="G7501">
        <f>LOG(382/(128+1))</f>
        <v>0.47147365261245977</v>
      </c>
      <c r="H7501">
        <f>0.0111731843575419*1.0856082042449</f>
        <v>1.2129700606088268E-2</v>
      </c>
      <c r="I7501">
        <v>1.21297006060883E-2</v>
      </c>
    </row>
    <row r="7502" spans="1:9" x14ac:dyDescent="0.25">
      <c r="A7502">
        <v>358</v>
      </c>
      <c r="B7502" t="s">
        <v>2587</v>
      </c>
      <c r="C7502" t="s">
        <v>10</v>
      </c>
      <c r="D7502" t="s">
        <v>123</v>
      </c>
      <c r="E7502">
        <f>2/179</f>
        <v>1.11731843575419E-2</v>
      </c>
      <c r="F7502">
        <v>74</v>
      </c>
      <c r="G7502">
        <f>LOG(382/(74+1))</f>
        <v>0.7070020995200087</v>
      </c>
      <c r="H7502">
        <f>0.0111731843575419*1.62793249507026</f>
        <v>1.8189189889053187E-2</v>
      </c>
      <c r="I7502">
        <v>1.8189189889053239E-2</v>
      </c>
    </row>
    <row r="7503" spans="1:9" x14ac:dyDescent="0.25">
      <c r="A7503">
        <v>358</v>
      </c>
      <c r="B7503" t="s">
        <v>2587</v>
      </c>
      <c r="C7503" t="s">
        <v>10</v>
      </c>
      <c r="D7503" t="s">
        <v>1855</v>
      </c>
      <c r="E7503">
        <f>1/179</f>
        <v>5.5865921787709499E-3</v>
      </c>
      <c r="F7503">
        <v>17</v>
      </c>
      <c r="G7503">
        <f>LOG(382/(17+1))</f>
        <v>1.3267908578084027</v>
      </c>
      <c r="H7503">
        <f>0.00558659217877095*3.05504885071041</f>
        <v>1.7067312015141955E-2</v>
      </c>
      <c r="I7503">
        <v>1.7067312015141958E-2</v>
      </c>
    </row>
    <row r="7504" spans="1:9" x14ac:dyDescent="0.25">
      <c r="A7504">
        <v>358</v>
      </c>
      <c r="B7504" t="s">
        <v>2587</v>
      </c>
      <c r="C7504" t="s">
        <v>10</v>
      </c>
      <c r="D7504" t="s">
        <v>237</v>
      </c>
      <c r="E7504">
        <f>3/179</f>
        <v>1.6759776536312849E-2</v>
      </c>
      <c r="F7504">
        <v>138</v>
      </c>
      <c r="G7504">
        <f>LOG(382/(138+1))</f>
        <v>0.43904856265761361</v>
      </c>
      <c r="H7504">
        <f>0.0167597765363128*1.01094667547588</f>
        <v>1.6943240371104083E-2</v>
      </c>
      <c r="I7504">
        <v>1.6943240371104191E-2</v>
      </c>
    </row>
    <row r="7505" spans="1:9" x14ac:dyDescent="0.25">
      <c r="A7505">
        <v>358</v>
      </c>
      <c r="B7505" t="s">
        <v>2587</v>
      </c>
      <c r="C7505" t="s">
        <v>10</v>
      </c>
      <c r="D7505" t="s">
        <v>133</v>
      </c>
      <c r="E7505">
        <f>3/179</f>
        <v>1.6759776536312849E-2</v>
      </c>
      <c r="F7505">
        <v>142</v>
      </c>
      <c r="G7505">
        <f>LOG(382/(142+1))</f>
        <v>0.42672732544664693</v>
      </c>
      <c r="H7505">
        <f>0.0167597765363128*0.982575978346667</f>
        <v>1.6467753827039064E-2</v>
      </c>
      <c r="I7505">
        <v>1.646775382703913E-2</v>
      </c>
    </row>
    <row r="7506" spans="1:9" x14ac:dyDescent="0.25">
      <c r="A7506">
        <v>358</v>
      </c>
      <c r="B7506" t="s">
        <v>2587</v>
      </c>
      <c r="C7506" t="s">
        <v>10</v>
      </c>
      <c r="D7506" t="s">
        <v>1857</v>
      </c>
      <c r="E7506">
        <f t="shared" ref="E7506:E7535" si="341">1/179</f>
        <v>5.5865921787709499E-3</v>
      </c>
      <c r="F7506">
        <v>17</v>
      </c>
      <c r="G7506">
        <f>LOG(382/(17+1))</f>
        <v>1.3267908578084027</v>
      </c>
      <c r="H7506">
        <f>0.00558659217877095*3.05504885071041</f>
        <v>1.7067312015141955E-2</v>
      </c>
      <c r="I7506">
        <v>1.7067312015141958E-2</v>
      </c>
    </row>
    <row r="7507" spans="1:9" x14ac:dyDescent="0.25">
      <c r="A7507">
        <v>358</v>
      </c>
      <c r="B7507" t="s">
        <v>2587</v>
      </c>
      <c r="C7507" t="s">
        <v>10</v>
      </c>
      <c r="D7507" t="s">
        <v>2597</v>
      </c>
      <c r="E7507">
        <f t="shared" si="341"/>
        <v>5.5865921787709499E-3</v>
      </c>
      <c r="F7507">
        <v>1</v>
      </c>
      <c r="G7507">
        <f>LOG(382/(1+1))</f>
        <v>2.2810333672477277</v>
      </c>
      <c r="H7507">
        <f>0.00558659217877095*5.25227342804663</f>
        <v>2.9342309653891788E-2</v>
      </c>
      <c r="I7507">
        <v>2.9342309653891788E-2</v>
      </c>
    </row>
    <row r="7508" spans="1:9" x14ac:dyDescent="0.25">
      <c r="A7508">
        <v>358</v>
      </c>
      <c r="B7508" t="s">
        <v>2587</v>
      </c>
      <c r="C7508" t="s">
        <v>10</v>
      </c>
      <c r="D7508" t="s">
        <v>2598</v>
      </c>
      <c r="E7508">
        <f t="shared" si="341"/>
        <v>5.5865921787709499E-3</v>
      </c>
      <c r="F7508">
        <v>1</v>
      </c>
      <c r="G7508">
        <f>LOG(382/(1+1))</f>
        <v>2.2810333672477277</v>
      </c>
      <c r="H7508">
        <f>0.00558659217877095*5.25227342804663</f>
        <v>2.9342309653891788E-2</v>
      </c>
      <c r="I7508">
        <v>2.9342309653891788E-2</v>
      </c>
    </row>
    <row r="7509" spans="1:9" x14ac:dyDescent="0.25">
      <c r="A7509">
        <v>358</v>
      </c>
      <c r="B7509" t="s">
        <v>2587</v>
      </c>
      <c r="C7509" t="s">
        <v>10</v>
      </c>
      <c r="D7509" t="s">
        <v>936</v>
      </c>
      <c r="E7509">
        <f t="shared" si="341"/>
        <v>5.5865921787709499E-3</v>
      </c>
      <c r="F7509">
        <v>21</v>
      </c>
      <c r="G7509">
        <f>LOG(382/(21+1))</f>
        <v>1.2396406820895025</v>
      </c>
      <c r="H7509">
        <f>0.00558659217877095*2.85437815524825</f>
        <v>1.5946246677364526E-2</v>
      </c>
      <c r="I7509">
        <v>1.5946246677364578E-2</v>
      </c>
    </row>
    <row r="7510" spans="1:9" x14ac:dyDescent="0.25">
      <c r="A7510">
        <v>358</v>
      </c>
      <c r="B7510" t="s">
        <v>2587</v>
      </c>
      <c r="C7510" t="s">
        <v>10</v>
      </c>
      <c r="D7510" t="s">
        <v>937</v>
      </c>
      <c r="E7510">
        <f t="shared" si="341"/>
        <v>5.5865921787709499E-3</v>
      </c>
      <c r="F7510">
        <v>41</v>
      </c>
      <c r="G7510">
        <f>LOG(382/(41+1))</f>
        <v>0.95881407251380824</v>
      </c>
      <c r="H7510">
        <f>0.00558659217877095*2.2077509903232</f>
        <v>1.2333804415213409E-2</v>
      </c>
      <c r="I7510">
        <v>1.2333804415213451E-2</v>
      </c>
    </row>
    <row r="7511" spans="1:9" x14ac:dyDescent="0.25">
      <c r="A7511">
        <v>358</v>
      </c>
      <c r="B7511" t="s">
        <v>2587</v>
      </c>
      <c r="C7511" t="s">
        <v>10</v>
      </c>
      <c r="D7511" t="s">
        <v>1727</v>
      </c>
      <c r="E7511">
        <f t="shared" si="341"/>
        <v>5.5865921787709499E-3</v>
      </c>
      <c r="F7511">
        <v>27</v>
      </c>
      <c r="G7511">
        <f>LOG(382/(27+1))</f>
        <v>1.1349053315694895</v>
      </c>
      <c r="H7511">
        <f>0.00558659217877095*2.61321609843137</f>
        <v>1.4598972616935029E-2</v>
      </c>
      <c r="I7511">
        <v>1.4598972616935031E-2</v>
      </c>
    </row>
    <row r="7512" spans="1:9" x14ac:dyDescent="0.25">
      <c r="A7512">
        <v>358</v>
      </c>
      <c r="B7512" t="s">
        <v>2587</v>
      </c>
      <c r="C7512" t="s">
        <v>10</v>
      </c>
      <c r="D7512" t="s">
        <v>752</v>
      </c>
      <c r="E7512">
        <f t="shared" si="341"/>
        <v>5.5865921787709499E-3</v>
      </c>
      <c r="F7512">
        <v>34</v>
      </c>
      <c r="G7512">
        <f>LOG(382/(34+1))</f>
        <v>1.037995318561433</v>
      </c>
      <c r="H7512">
        <f>0.00558659217877095*2.39007254711716</f>
        <v>1.3352360598419889E-2</v>
      </c>
      <c r="I7512">
        <v>1.3352360598419899E-2</v>
      </c>
    </row>
    <row r="7513" spans="1:9" x14ac:dyDescent="0.25">
      <c r="A7513">
        <v>358</v>
      </c>
      <c r="B7513" t="s">
        <v>2587</v>
      </c>
      <c r="C7513" t="s">
        <v>10</v>
      </c>
      <c r="D7513" t="s">
        <v>2599</v>
      </c>
      <c r="E7513">
        <f t="shared" si="341"/>
        <v>5.5865921787709499E-3</v>
      </c>
      <c r="F7513">
        <v>1</v>
      </c>
      <c r="G7513">
        <f>LOG(382/(1+1))</f>
        <v>2.2810333672477277</v>
      </c>
      <c r="H7513">
        <f>0.00558659217877095*5.25227342804663</f>
        <v>2.9342309653891788E-2</v>
      </c>
      <c r="I7513">
        <v>2.9342309653891788E-2</v>
      </c>
    </row>
    <row r="7514" spans="1:9" x14ac:dyDescent="0.25">
      <c r="A7514">
        <v>358</v>
      </c>
      <c r="B7514" t="s">
        <v>2587</v>
      </c>
      <c r="C7514" t="s">
        <v>10</v>
      </c>
      <c r="D7514" t="s">
        <v>2600</v>
      </c>
      <c r="E7514">
        <f t="shared" si="341"/>
        <v>5.5865921787709499E-3</v>
      </c>
      <c r="F7514">
        <v>2</v>
      </c>
      <c r="G7514">
        <f>LOG(382/(2+1))</f>
        <v>2.1049421081920463</v>
      </c>
      <c r="H7514">
        <f>0.00558659217877095*4.84680831993846</f>
        <v>2.7077141452170168E-2</v>
      </c>
      <c r="I7514">
        <v>2.70771414521702E-2</v>
      </c>
    </row>
    <row r="7515" spans="1:9" x14ac:dyDescent="0.25">
      <c r="A7515">
        <v>358</v>
      </c>
      <c r="B7515" t="s">
        <v>2587</v>
      </c>
      <c r="C7515" t="s">
        <v>10</v>
      </c>
      <c r="D7515" t="s">
        <v>2601</v>
      </c>
      <c r="E7515">
        <f t="shared" si="341"/>
        <v>5.5865921787709499E-3</v>
      </c>
      <c r="F7515">
        <v>1</v>
      </c>
      <c r="G7515">
        <f>LOG(382/(1+1))</f>
        <v>2.2810333672477277</v>
      </c>
      <c r="H7515">
        <f>0.00558659217877095*5.25227342804663</f>
        <v>2.9342309653891788E-2</v>
      </c>
      <c r="I7515">
        <v>2.9342309653891788E-2</v>
      </c>
    </row>
    <row r="7516" spans="1:9" x14ac:dyDescent="0.25">
      <c r="A7516">
        <v>358</v>
      </c>
      <c r="B7516" t="s">
        <v>2587</v>
      </c>
      <c r="C7516" t="s">
        <v>10</v>
      </c>
      <c r="D7516" t="s">
        <v>327</v>
      </c>
      <c r="E7516">
        <f t="shared" si="341"/>
        <v>5.5865921787709499E-3</v>
      </c>
      <c r="F7516">
        <v>46</v>
      </c>
      <c r="G7516">
        <f>LOG(382/(46+1))</f>
        <v>0.90996550497599127</v>
      </c>
      <c r="H7516">
        <f>0.00558659217877095*2.09527300689651</f>
        <v>1.1705435792717935E-2</v>
      </c>
      <c r="I7516">
        <v>1.170543579271797E-2</v>
      </c>
    </row>
    <row r="7517" spans="1:9" x14ac:dyDescent="0.25">
      <c r="A7517">
        <v>358</v>
      </c>
      <c r="B7517" t="s">
        <v>2587</v>
      </c>
      <c r="C7517" t="s">
        <v>10</v>
      </c>
      <c r="D7517" t="s">
        <v>594</v>
      </c>
      <c r="E7517">
        <f t="shared" si="341"/>
        <v>5.5865921787709499E-3</v>
      </c>
      <c r="F7517">
        <v>36</v>
      </c>
      <c r="G7517">
        <f>LOG(382/(36+1))</f>
        <v>1.0138616388447137</v>
      </c>
      <c r="H7517">
        <f>0.00558659217877095*2.33450269596235</f>
        <v>1.3041914502582961E-2</v>
      </c>
      <c r="I7517">
        <v>1.304191450258297E-2</v>
      </c>
    </row>
    <row r="7518" spans="1:9" x14ac:dyDescent="0.25">
      <c r="A7518">
        <v>358</v>
      </c>
      <c r="B7518" t="s">
        <v>2587</v>
      </c>
      <c r="C7518" t="s">
        <v>10</v>
      </c>
      <c r="D7518" t="s">
        <v>2602</v>
      </c>
      <c r="E7518">
        <f t="shared" si="341"/>
        <v>5.5865921787709499E-3</v>
      </c>
      <c r="F7518">
        <v>1</v>
      </c>
      <c r="G7518">
        <f>LOG(382/(1+1))</f>
        <v>2.2810333672477277</v>
      </c>
      <c r="H7518">
        <f>0.00558659217877095*5.25227342804663</f>
        <v>2.9342309653891788E-2</v>
      </c>
      <c r="I7518">
        <v>2.9342309653891788E-2</v>
      </c>
    </row>
    <row r="7519" spans="1:9" x14ac:dyDescent="0.25">
      <c r="A7519">
        <v>358</v>
      </c>
      <c r="B7519" t="s">
        <v>2587</v>
      </c>
      <c r="C7519" t="s">
        <v>10</v>
      </c>
      <c r="D7519" t="s">
        <v>2603</v>
      </c>
      <c r="E7519">
        <f t="shared" si="341"/>
        <v>5.5865921787709499E-3</v>
      </c>
      <c r="F7519">
        <v>1</v>
      </c>
      <c r="G7519">
        <f>LOG(382/(1+1))</f>
        <v>2.2810333672477277</v>
      </c>
      <c r="H7519">
        <f>0.00558659217877095*5.25227342804663</f>
        <v>2.9342309653891788E-2</v>
      </c>
      <c r="I7519">
        <v>2.9342309653891788E-2</v>
      </c>
    </row>
    <row r="7520" spans="1:9" x14ac:dyDescent="0.25">
      <c r="A7520">
        <v>358</v>
      </c>
      <c r="B7520" t="s">
        <v>2587</v>
      </c>
      <c r="C7520" t="s">
        <v>10</v>
      </c>
      <c r="D7520" t="s">
        <v>1853</v>
      </c>
      <c r="E7520">
        <f t="shared" si="341"/>
        <v>5.5865921787709499E-3</v>
      </c>
      <c r="F7520">
        <v>15</v>
      </c>
      <c r="G7520">
        <f>LOG(382/(15+1))</f>
        <v>1.3779433802557839</v>
      </c>
      <c r="H7520">
        <f>0.00558659217877095*3.17283188636679</f>
        <v>1.772531780093179E-2</v>
      </c>
      <c r="I7520">
        <v>1.7725317800931811E-2</v>
      </c>
    </row>
    <row r="7521" spans="1:9" x14ac:dyDescent="0.25">
      <c r="A7521">
        <v>358</v>
      </c>
      <c r="B7521" t="s">
        <v>2587</v>
      </c>
      <c r="C7521" t="s">
        <v>10</v>
      </c>
      <c r="D7521" t="s">
        <v>2604</v>
      </c>
      <c r="E7521">
        <f t="shared" si="341"/>
        <v>5.5865921787709499E-3</v>
      </c>
      <c r="F7521">
        <v>2</v>
      </c>
      <c r="G7521">
        <f>LOG(382/(2+1))</f>
        <v>2.1049421081920463</v>
      </c>
      <c r="H7521">
        <f>0.00558659217877095*4.84680831993846</f>
        <v>2.7077141452170168E-2</v>
      </c>
      <c r="I7521">
        <v>2.70771414521702E-2</v>
      </c>
    </row>
    <row r="7522" spans="1:9" x14ac:dyDescent="0.25">
      <c r="A7522">
        <v>358</v>
      </c>
      <c r="B7522" t="s">
        <v>2587</v>
      </c>
      <c r="C7522" t="s">
        <v>10</v>
      </c>
      <c r="D7522" t="s">
        <v>2605</v>
      </c>
      <c r="E7522">
        <f t="shared" si="341"/>
        <v>5.5865921787709499E-3</v>
      </c>
      <c r="F7522">
        <v>1</v>
      </c>
      <c r="G7522">
        <f>LOG(382/(1+1))</f>
        <v>2.2810333672477277</v>
      </c>
      <c r="H7522">
        <f>0.00558659217877095*5.25227342804663</f>
        <v>2.9342309653891788E-2</v>
      </c>
      <c r="I7522">
        <v>2.9342309653891788E-2</v>
      </c>
    </row>
    <row r="7523" spans="1:9" x14ac:dyDescent="0.25">
      <c r="A7523">
        <v>358</v>
      </c>
      <c r="B7523" t="s">
        <v>2587</v>
      </c>
      <c r="C7523" t="s">
        <v>10</v>
      </c>
      <c r="D7523" t="s">
        <v>2606</v>
      </c>
      <c r="E7523">
        <f t="shared" si="341"/>
        <v>5.5865921787709499E-3</v>
      </c>
      <c r="F7523">
        <v>1</v>
      </c>
      <c r="G7523">
        <f>LOG(382/(1+1))</f>
        <v>2.2810333672477277</v>
      </c>
      <c r="H7523">
        <f>0.00558659217877095*5.25227342804663</f>
        <v>2.9342309653891788E-2</v>
      </c>
      <c r="I7523">
        <v>2.9342309653891788E-2</v>
      </c>
    </row>
    <row r="7524" spans="1:9" x14ac:dyDescent="0.25">
      <c r="A7524">
        <v>358</v>
      </c>
      <c r="B7524" t="s">
        <v>2587</v>
      </c>
      <c r="C7524" t="s">
        <v>10</v>
      </c>
      <c r="D7524" t="s">
        <v>1985</v>
      </c>
      <c r="E7524">
        <f t="shared" si="341"/>
        <v>5.5865921787709499E-3</v>
      </c>
      <c r="F7524">
        <v>8</v>
      </c>
      <c r="G7524">
        <f>LOG(382/(8+1))</f>
        <v>1.6278208534723839</v>
      </c>
      <c r="H7524">
        <f>0.00558659217877095*3.74819603127035</f>
        <v>2.0939642632795252E-2</v>
      </c>
      <c r="I7524">
        <v>2.0939642632795279E-2</v>
      </c>
    </row>
    <row r="7525" spans="1:9" x14ac:dyDescent="0.25">
      <c r="A7525">
        <v>358</v>
      </c>
      <c r="B7525" t="s">
        <v>2587</v>
      </c>
      <c r="C7525" t="s">
        <v>10</v>
      </c>
      <c r="D7525" t="s">
        <v>720</v>
      </c>
      <c r="E7525">
        <f t="shared" si="341"/>
        <v>5.5865921787709499E-3</v>
      </c>
      <c r="F7525">
        <v>9</v>
      </c>
      <c r="G7525">
        <f>LOG(382/(9+1))</f>
        <v>1.5820633629117087</v>
      </c>
      <c r="H7525">
        <f>0.00558659217877095*3.64283551561252</f>
        <v>2.0351036400069945E-2</v>
      </c>
      <c r="I7525">
        <v>2.0351036400070001E-2</v>
      </c>
    </row>
    <row r="7526" spans="1:9" x14ac:dyDescent="0.25">
      <c r="A7526">
        <v>358</v>
      </c>
      <c r="B7526" t="s">
        <v>2587</v>
      </c>
      <c r="C7526" t="s">
        <v>10</v>
      </c>
      <c r="D7526" t="s">
        <v>2607</v>
      </c>
      <c r="E7526">
        <f t="shared" si="341"/>
        <v>5.5865921787709499E-3</v>
      </c>
      <c r="F7526">
        <v>1</v>
      </c>
      <c r="G7526">
        <f>LOG(382/(1+1))</f>
        <v>2.2810333672477277</v>
      </c>
      <c r="H7526">
        <f>0.00558659217877095*5.25227342804663</f>
        <v>2.9342309653891788E-2</v>
      </c>
      <c r="I7526">
        <v>2.9342309653891788E-2</v>
      </c>
    </row>
    <row r="7527" spans="1:9" x14ac:dyDescent="0.25">
      <c r="A7527">
        <v>358</v>
      </c>
      <c r="B7527" t="s">
        <v>2587</v>
      </c>
      <c r="C7527" t="s">
        <v>10</v>
      </c>
      <c r="D7527" t="s">
        <v>2608</v>
      </c>
      <c r="E7527">
        <f t="shared" si="341"/>
        <v>5.5865921787709499E-3</v>
      </c>
      <c r="F7527">
        <v>1</v>
      </c>
      <c r="G7527">
        <f>LOG(382/(1+1))</f>
        <v>2.2810333672477277</v>
      </c>
      <c r="H7527">
        <f>0.00558659217877095*5.25227342804663</f>
        <v>2.9342309653891788E-2</v>
      </c>
      <c r="I7527">
        <v>2.9342309653891788E-2</v>
      </c>
    </row>
    <row r="7528" spans="1:9" x14ac:dyDescent="0.25">
      <c r="A7528">
        <v>358</v>
      </c>
      <c r="B7528" t="s">
        <v>2587</v>
      </c>
      <c r="C7528" t="s">
        <v>10</v>
      </c>
      <c r="D7528" t="s">
        <v>1398</v>
      </c>
      <c r="E7528">
        <f t="shared" si="341"/>
        <v>5.5865921787709499E-3</v>
      </c>
      <c r="F7528">
        <v>29</v>
      </c>
      <c r="G7528">
        <f>LOG(382/(29+1))</f>
        <v>1.1049421081920463</v>
      </c>
      <c r="H7528">
        <f>0.00558659217877095*2.54422322694442</f>
        <v>1.4213537580695084E-2</v>
      </c>
      <c r="I7528">
        <v>1.4213537580695081E-2</v>
      </c>
    </row>
    <row r="7529" spans="1:9" x14ac:dyDescent="0.25">
      <c r="A7529">
        <v>358</v>
      </c>
      <c r="B7529" t="s">
        <v>2587</v>
      </c>
      <c r="C7529" t="s">
        <v>10</v>
      </c>
      <c r="D7529" t="s">
        <v>542</v>
      </c>
      <c r="E7529">
        <f t="shared" si="341"/>
        <v>5.5865921787709499E-3</v>
      </c>
      <c r="F7529">
        <v>42</v>
      </c>
      <c r="G7529">
        <f>LOG(382/(42+1))</f>
        <v>0.94859490733212215</v>
      </c>
      <c r="H7529">
        <f>0.00558659217877095*2.18422049291301</f>
        <v>1.220234912241905E-2</v>
      </c>
      <c r="I7529">
        <v>1.2202349122419069E-2</v>
      </c>
    </row>
    <row r="7530" spans="1:9" x14ac:dyDescent="0.25">
      <c r="A7530">
        <v>358</v>
      </c>
      <c r="B7530" t="s">
        <v>2587</v>
      </c>
      <c r="C7530" t="s">
        <v>10</v>
      </c>
      <c r="D7530" t="s">
        <v>2609</v>
      </c>
      <c r="E7530">
        <f t="shared" si="341"/>
        <v>5.5865921787709499E-3</v>
      </c>
      <c r="F7530">
        <v>1</v>
      </c>
      <c r="G7530">
        <f>LOG(382/(1+1))</f>
        <v>2.2810333672477277</v>
      </c>
      <c r="H7530">
        <f>0.00558659217877095*5.25227342804663</f>
        <v>2.9342309653891788E-2</v>
      </c>
      <c r="I7530">
        <v>2.9342309653891788E-2</v>
      </c>
    </row>
    <row r="7531" spans="1:9" x14ac:dyDescent="0.25">
      <c r="A7531">
        <v>358</v>
      </c>
      <c r="B7531" t="s">
        <v>2587</v>
      </c>
      <c r="C7531" t="s">
        <v>10</v>
      </c>
      <c r="D7531" t="s">
        <v>2610</v>
      </c>
      <c r="E7531">
        <f t="shared" si="341"/>
        <v>5.5865921787709499E-3</v>
      </c>
      <c r="F7531">
        <v>1</v>
      </c>
      <c r="G7531">
        <f>LOG(382/(1+1))</f>
        <v>2.2810333672477277</v>
      </c>
      <c r="H7531">
        <f>0.00558659217877095*5.25227342804663</f>
        <v>2.9342309653891788E-2</v>
      </c>
      <c r="I7531">
        <v>2.9342309653891788E-2</v>
      </c>
    </row>
    <row r="7532" spans="1:9" x14ac:dyDescent="0.25">
      <c r="A7532">
        <v>358</v>
      </c>
      <c r="B7532" t="s">
        <v>2587</v>
      </c>
      <c r="C7532" t="s">
        <v>10</v>
      </c>
      <c r="D7532" t="s">
        <v>1472</v>
      </c>
      <c r="E7532">
        <f t="shared" si="341"/>
        <v>5.5865921787709499E-3</v>
      </c>
      <c r="F7532">
        <v>7</v>
      </c>
      <c r="G7532">
        <f>LOG(382/(7+1))</f>
        <v>1.6789733759197651</v>
      </c>
      <c r="H7532">
        <f>0.00558659217877095*3.86597906692673</f>
        <v>2.1597648418585087E-2</v>
      </c>
      <c r="I7532">
        <v>2.1597648418585139E-2</v>
      </c>
    </row>
    <row r="7533" spans="1:9" x14ac:dyDescent="0.25">
      <c r="A7533">
        <v>358</v>
      </c>
      <c r="B7533" t="s">
        <v>2587</v>
      </c>
      <c r="C7533" t="s">
        <v>10</v>
      </c>
      <c r="D7533" t="s">
        <v>432</v>
      </c>
      <c r="E7533">
        <f t="shared" si="341"/>
        <v>5.5865921787709499E-3</v>
      </c>
      <c r="F7533">
        <v>67</v>
      </c>
      <c r="G7533">
        <f>LOG(382/(67+1))</f>
        <v>0.7495544502054724</v>
      </c>
      <c r="H7533">
        <f>0.00558659217877095*1.72591290343046</f>
        <v>9.6419715275444708E-3</v>
      </c>
      <c r="I7533">
        <v>9.6419715275445159E-3</v>
      </c>
    </row>
    <row r="7534" spans="1:9" x14ac:dyDescent="0.25">
      <c r="A7534">
        <v>358</v>
      </c>
      <c r="B7534" t="s">
        <v>2587</v>
      </c>
      <c r="C7534" t="s">
        <v>10</v>
      </c>
      <c r="D7534" t="s">
        <v>1473</v>
      </c>
      <c r="E7534">
        <f t="shared" si="341"/>
        <v>5.5865921787709499E-3</v>
      </c>
      <c r="F7534">
        <v>39</v>
      </c>
      <c r="G7534">
        <f>LOG(382/(39+1))</f>
        <v>0.9800033715837464</v>
      </c>
      <c r="H7534">
        <f>0.00558659217877095*2.25654115449263</f>
        <v>1.2606375164763298E-2</v>
      </c>
      <c r="I7534">
        <v>1.260637516476335E-2</v>
      </c>
    </row>
    <row r="7535" spans="1:9" x14ac:dyDescent="0.25">
      <c r="A7535">
        <v>358</v>
      </c>
      <c r="B7535" t="s">
        <v>2587</v>
      </c>
      <c r="C7535" t="s">
        <v>10</v>
      </c>
      <c r="D7535" t="s">
        <v>814</v>
      </c>
      <c r="E7535">
        <f t="shared" si="341"/>
        <v>5.5865921787709499E-3</v>
      </c>
      <c r="F7535">
        <v>18</v>
      </c>
      <c r="G7535">
        <f>LOG(382/(18+1))</f>
        <v>1.3033097619588798</v>
      </c>
      <c r="H7535">
        <f>0.00558659217877095*3.00098162944013</f>
        <v>1.6765260499665532E-2</v>
      </c>
      <c r="I7535">
        <v>1.676526049966556E-2</v>
      </c>
    </row>
    <row r="7536" spans="1:9" x14ac:dyDescent="0.25">
      <c r="A7536">
        <v>358</v>
      </c>
      <c r="B7536" t="s">
        <v>2587</v>
      </c>
      <c r="C7536" t="s">
        <v>10</v>
      </c>
      <c r="D7536" t="s">
        <v>1401</v>
      </c>
      <c r="E7536">
        <f>2/179</f>
        <v>1.11731843575419E-2</v>
      </c>
      <c r="F7536">
        <v>16</v>
      </c>
      <c r="G7536">
        <f>LOG(382/(16+1))</f>
        <v>1.3516144415334348</v>
      </c>
      <c r="H7536">
        <f>0.0111731843575419*3.11220726455035</f>
        <v>3.4773265525702236E-2</v>
      </c>
      <c r="I7536">
        <v>3.477326552570234E-2</v>
      </c>
    </row>
    <row r="7537" spans="1:9" x14ac:dyDescent="0.25">
      <c r="A7537">
        <v>358</v>
      </c>
      <c r="B7537" t="s">
        <v>2587</v>
      </c>
      <c r="C7537" t="s">
        <v>10</v>
      </c>
      <c r="D7537" t="s">
        <v>2611</v>
      </c>
      <c r="E7537">
        <f>1/179</f>
        <v>5.5865921787709499E-3</v>
      </c>
      <c r="F7537">
        <v>1</v>
      </c>
      <c r="G7537">
        <f>LOG(382/(1+1))</f>
        <v>2.2810333672477277</v>
      </c>
      <c r="H7537">
        <f>0.00558659217877095*5.25227342804663</f>
        <v>2.9342309653891788E-2</v>
      </c>
      <c r="I7537">
        <v>2.9342309653891788E-2</v>
      </c>
    </row>
    <row r="7538" spans="1:9" x14ac:dyDescent="0.25">
      <c r="A7538">
        <v>358</v>
      </c>
      <c r="B7538" t="s">
        <v>2587</v>
      </c>
      <c r="C7538" t="s">
        <v>10</v>
      </c>
      <c r="D7538" t="s">
        <v>599</v>
      </c>
      <c r="E7538">
        <f>1/179</f>
        <v>5.5865921787709499E-3</v>
      </c>
      <c r="F7538">
        <v>28</v>
      </c>
      <c r="G7538">
        <f>LOG(382/(28+1))</f>
        <v>1.1196653650127526</v>
      </c>
      <c r="H7538">
        <f>0.00558659217877095*2.5781247786201</f>
        <v>1.4402931724134637E-2</v>
      </c>
      <c r="I7538">
        <v>1.440293172413464E-2</v>
      </c>
    </row>
    <row r="7539" spans="1:9" x14ac:dyDescent="0.25">
      <c r="A7539">
        <v>358</v>
      </c>
      <c r="B7539" t="s">
        <v>2587</v>
      </c>
      <c r="C7539" t="s">
        <v>10</v>
      </c>
      <c r="D7539" t="s">
        <v>600</v>
      </c>
      <c r="E7539">
        <f>2/179</f>
        <v>1.11731843575419E-2</v>
      </c>
      <c r="F7539">
        <v>102</v>
      </c>
      <c r="G7539">
        <f>LOG(382/(102+1))</f>
        <v>0.56922613820653656</v>
      </c>
      <c r="H7539">
        <f>0.0111731843575419*1.31069162037693</f>
        <v>1.4644599110356761E-2</v>
      </c>
      <c r="I7539">
        <v>1.4644599110356871E-2</v>
      </c>
    </row>
    <row r="7540" spans="1:9" x14ac:dyDescent="0.25">
      <c r="A7540">
        <v>358</v>
      </c>
      <c r="B7540" t="s">
        <v>2587</v>
      </c>
      <c r="C7540" t="s">
        <v>10</v>
      </c>
      <c r="D7540" t="s">
        <v>2612</v>
      </c>
      <c r="E7540">
        <f>1/179</f>
        <v>5.5865921787709499E-3</v>
      </c>
      <c r="F7540">
        <v>1</v>
      </c>
      <c r="G7540">
        <f>LOG(382/(1+1))</f>
        <v>2.2810333672477277</v>
      </c>
      <c r="H7540">
        <f>0.00558659217877095*5.25227342804663</f>
        <v>2.9342309653891788E-2</v>
      </c>
      <c r="I7540">
        <v>2.9342309653891788E-2</v>
      </c>
    </row>
    <row r="7541" spans="1:9" x14ac:dyDescent="0.25">
      <c r="A7541">
        <v>358</v>
      </c>
      <c r="B7541" t="s">
        <v>2587</v>
      </c>
      <c r="C7541" t="s">
        <v>10</v>
      </c>
      <c r="D7541" t="s">
        <v>147</v>
      </c>
      <c r="E7541">
        <f>2/179</f>
        <v>1.11731843575419E-2</v>
      </c>
      <c r="F7541">
        <v>48</v>
      </c>
      <c r="G7541">
        <f>LOG(382/(48+1))</f>
        <v>0.89186728288319506</v>
      </c>
      <c r="H7541">
        <f>0.0111731843575419*2.05360031049594</f>
        <v>2.2945254865876424E-2</v>
      </c>
      <c r="I7541">
        <v>2.2945254865876522E-2</v>
      </c>
    </row>
    <row r="7542" spans="1:9" x14ac:dyDescent="0.25">
      <c r="A7542">
        <v>358</v>
      </c>
      <c r="B7542" t="s">
        <v>2587</v>
      </c>
      <c r="C7542" t="s">
        <v>10</v>
      </c>
      <c r="D7542" t="s">
        <v>2613</v>
      </c>
      <c r="E7542">
        <f>1/179</f>
        <v>5.5865921787709499E-3</v>
      </c>
      <c r="F7542">
        <v>1</v>
      </c>
      <c r="G7542">
        <f>LOG(382/(1+1))</f>
        <v>2.2810333672477277</v>
      </c>
      <c r="H7542">
        <f>0.00558659217877095*5.25227342804663</f>
        <v>2.9342309653891788E-2</v>
      </c>
      <c r="I7542">
        <v>2.9342309653891788E-2</v>
      </c>
    </row>
    <row r="7543" spans="1:9" x14ac:dyDescent="0.25">
      <c r="A7543">
        <v>358</v>
      </c>
      <c r="B7543" t="s">
        <v>2587</v>
      </c>
      <c r="C7543" t="s">
        <v>10</v>
      </c>
      <c r="D7543" t="s">
        <v>1501</v>
      </c>
      <c r="E7543">
        <f>2/179</f>
        <v>1.11731843575419E-2</v>
      </c>
      <c r="F7543">
        <v>3</v>
      </c>
      <c r="G7543">
        <f>LOG(382/(3+1))</f>
        <v>1.9800033715837464</v>
      </c>
      <c r="H7543">
        <f>0.0111731843575419*4.55912624748668</f>
        <v>5.0939958072476872E-2</v>
      </c>
      <c r="I7543">
        <v>5.0939958072476921E-2</v>
      </c>
    </row>
    <row r="7544" spans="1:9" x14ac:dyDescent="0.25">
      <c r="A7544">
        <v>358</v>
      </c>
      <c r="B7544" t="s">
        <v>2587</v>
      </c>
      <c r="C7544" t="s">
        <v>10</v>
      </c>
      <c r="D7544" t="s">
        <v>1505</v>
      </c>
      <c r="E7544">
        <f>2/179</f>
        <v>1.11731843575419E-2</v>
      </c>
      <c r="F7544">
        <v>6</v>
      </c>
      <c r="G7544">
        <f>LOG(382/(6+1))</f>
        <v>1.736965322897452</v>
      </c>
      <c r="H7544">
        <f>0.0111731843575419*3.99951045955126</f>
        <v>4.4687267704483356E-2</v>
      </c>
      <c r="I7544">
        <v>4.4687267704483377E-2</v>
      </c>
    </row>
    <row r="7545" spans="1:9" x14ac:dyDescent="0.25">
      <c r="A7545">
        <v>358</v>
      </c>
      <c r="B7545" t="s">
        <v>2587</v>
      </c>
      <c r="C7545" t="s">
        <v>10</v>
      </c>
      <c r="D7545" t="s">
        <v>2238</v>
      </c>
      <c r="E7545">
        <f>1/179</f>
        <v>5.5865921787709499E-3</v>
      </c>
      <c r="F7545">
        <v>68</v>
      </c>
      <c r="G7545">
        <f>LOG(382/(68+1))</f>
        <v>0.74321427217445335</v>
      </c>
      <c r="H7545">
        <f>0.00558659217877095*1.71131410400931</f>
        <v>9.560413988878828E-3</v>
      </c>
      <c r="I7545">
        <v>9.5604139888788593E-3</v>
      </c>
    </row>
    <row r="7546" spans="1:9" x14ac:dyDescent="0.25">
      <c r="A7546">
        <v>358</v>
      </c>
      <c r="B7546" t="s">
        <v>2587</v>
      </c>
      <c r="C7546" t="s">
        <v>10</v>
      </c>
      <c r="D7546" t="s">
        <v>2614</v>
      </c>
      <c r="E7546">
        <f>1/179</f>
        <v>5.5865921787709499E-3</v>
      </c>
      <c r="F7546">
        <v>1</v>
      </c>
      <c r="G7546">
        <f>LOG(382/(1+1))</f>
        <v>2.2810333672477277</v>
      </c>
      <c r="H7546">
        <f>0.00558659217877095*5.25227342804663</f>
        <v>2.9342309653891788E-2</v>
      </c>
      <c r="I7546">
        <v>2.9342309653891788E-2</v>
      </c>
    </row>
    <row r="7547" spans="1:9" x14ac:dyDescent="0.25">
      <c r="A7547">
        <v>358</v>
      </c>
      <c r="B7547" t="s">
        <v>2587</v>
      </c>
      <c r="C7547" t="s">
        <v>10</v>
      </c>
      <c r="D7547" t="s">
        <v>914</v>
      </c>
      <c r="E7547">
        <f>1/179</f>
        <v>5.5865921787709499E-3</v>
      </c>
      <c r="F7547">
        <v>4</v>
      </c>
      <c r="G7547">
        <f>LOG(382/(4+1))</f>
        <v>1.8830933585756899</v>
      </c>
      <c r="H7547">
        <f>0.00558659217877095*4.33598269617247</f>
        <v>2.4223367017723298E-2</v>
      </c>
      <c r="I7547">
        <v>2.4223367017723318E-2</v>
      </c>
    </row>
    <row r="7548" spans="1:9" x14ac:dyDescent="0.25">
      <c r="A7548">
        <v>358</v>
      </c>
      <c r="B7548" t="s">
        <v>2587</v>
      </c>
      <c r="C7548" t="s">
        <v>10</v>
      </c>
      <c r="D7548" t="s">
        <v>2615</v>
      </c>
      <c r="E7548">
        <f>1/179</f>
        <v>5.5865921787709499E-3</v>
      </c>
      <c r="F7548">
        <v>1</v>
      </c>
      <c r="G7548">
        <f>LOG(382/(1+1))</f>
        <v>2.2810333672477277</v>
      </c>
      <c r="H7548">
        <f>0.00558659217877095*5.25227342804663</f>
        <v>2.9342309653891788E-2</v>
      </c>
      <c r="I7548">
        <v>2.9342309653891788E-2</v>
      </c>
    </row>
    <row r="7549" spans="1:9" x14ac:dyDescent="0.25">
      <c r="A7549">
        <v>358</v>
      </c>
      <c r="B7549" t="s">
        <v>2587</v>
      </c>
      <c r="C7549" t="s">
        <v>10</v>
      </c>
      <c r="D7549" t="s">
        <v>724</v>
      </c>
      <c r="E7549">
        <f>1/179</f>
        <v>5.5865921787709499E-3</v>
      </c>
      <c r="F7549">
        <v>9</v>
      </c>
      <c r="G7549">
        <f>LOG(382/(9+1))</f>
        <v>1.5820633629117087</v>
      </c>
      <c r="H7549">
        <f>0.00558659217877095*3.64283551561252</f>
        <v>2.0351036400069945E-2</v>
      </c>
      <c r="I7549">
        <v>2.0351036400070001E-2</v>
      </c>
    </row>
    <row r="7550" spans="1:9" x14ac:dyDescent="0.25">
      <c r="A7550">
        <v>358</v>
      </c>
      <c r="B7550" t="s">
        <v>2587</v>
      </c>
      <c r="C7550" t="s">
        <v>10</v>
      </c>
      <c r="D7550" t="s">
        <v>361</v>
      </c>
      <c r="E7550">
        <f>2/179</f>
        <v>1.11731843575419E-2</v>
      </c>
      <c r="F7550">
        <v>118</v>
      </c>
      <c r="G7550">
        <f>LOG(382/(118+1))</f>
        <v>0.50651640151917798</v>
      </c>
      <c r="H7550">
        <f>0.0111731843575419*1.16629711549504</f>
        <v>1.3031252687095419E-2</v>
      </c>
      <c r="I7550">
        <v>1.303125268709548E-2</v>
      </c>
    </row>
    <row r="7551" spans="1:9" x14ac:dyDescent="0.25">
      <c r="A7551">
        <v>358</v>
      </c>
      <c r="B7551" t="s">
        <v>2587</v>
      </c>
      <c r="C7551" t="s">
        <v>10</v>
      </c>
      <c r="D7551" t="s">
        <v>434</v>
      </c>
      <c r="E7551">
        <f>2/179</f>
        <v>1.11731843575419E-2</v>
      </c>
      <c r="F7551">
        <v>97</v>
      </c>
      <c r="G7551">
        <f>LOG(382/(97+1))</f>
        <v>0.59083728721921391</v>
      </c>
      <c r="H7551">
        <f>0.0111731843575419*1.360453129936</f>
        <v>1.5200593630569834E-2</v>
      </c>
      <c r="I7551">
        <v>1.5200593630569871E-2</v>
      </c>
    </row>
    <row r="7552" spans="1:9" x14ac:dyDescent="0.25">
      <c r="A7552">
        <v>358</v>
      </c>
      <c r="B7552" t="s">
        <v>2587</v>
      </c>
      <c r="C7552" t="s">
        <v>10</v>
      </c>
      <c r="D7552" t="s">
        <v>444</v>
      </c>
      <c r="E7552">
        <f>3/179</f>
        <v>1.6759776536312849E-2</v>
      </c>
      <c r="F7552">
        <v>28</v>
      </c>
      <c r="G7552">
        <f>LOG(382/(28+1))</f>
        <v>1.1196653650127526</v>
      </c>
      <c r="H7552">
        <f>0.0167597765363128*2.5781247786201</f>
        <v>4.320879517240378E-2</v>
      </c>
      <c r="I7552">
        <v>4.3208795172403933E-2</v>
      </c>
    </row>
    <row r="7553" spans="1:9" x14ac:dyDescent="0.25">
      <c r="A7553">
        <v>358</v>
      </c>
      <c r="B7553" t="s">
        <v>2587</v>
      </c>
      <c r="C7553" t="s">
        <v>10</v>
      </c>
      <c r="D7553" t="s">
        <v>2616</v>
      </c>
      <c r="E7553">
        <f>1/179</f>
        <v>5.5865921787709499E-3</v>
      </c>
      <c r="F7553">
        <v>1</v>
      </c>
      <c r="G7553">
        <f>LOG(382/(1+1))</f>
        <v>2.2810333672477277</v>
      </c>
      <c r="H7553">
        <f>0.00558659217877095*5.25227342804663</f>
        <v>2.9342309653891788E-2</v>
      </c>
      <c r="I7553">
        <v>2.9342309653891788E-2</v>
      </c>
    </row>
    <row r="7554" spans="1:9" x14ac:dyDescent="0.25">
      <c r="A7554">
        <v>358</v>
      </c>
      <c r="B7554" t="s">
        <v>2587</v>
      </c>
      <c r="C7554" t="s">
        <v>10</v>
      </c>
      <c r="D7554" t="s">
        <v>310</v>
      </c>
      <c r="E7554">
        <f>1/179</f>
        <v>5.5865921787709499E-3</v>
      </c>
      <c r="F7554">
        <v>50</v>
      </c>
      <c r="G7554">
        <f>LOG(382/(50+1))</f>
        <v>0.87449318681377242</v>
      </c>
      <c r="H7554">
        <f>0.00558659217877095*2.01359497588224</f>
        <v>1.12491339434762E-2</v>
      </c>
      <c r="I7554">
        <v>1.124913394347626E-2</v>
      </c>
    </row>
    <row r="7555" spans="1:9" x14ac:dyDescent="0.25">
      <c r="A7555">
        <v>358</v>
      </c>
      <c r="B7555" t="s">
        <v>2587</v>
      </c>
      <c r="C7555" t="s">
        <v>10</v>
      </c>
      <c r="D7555" t="s">
        <v>1467</v>
      </c>
      <c r="E7555">
        <f>1/179</f>
        <v>5.5865921787709499E-3</v>
      </c>
      <c r="F7555">
        <v>21</v>
      </c>
      <c r="G7555">
        <f>LOG(382/(21+1))</f>
        <v>1.2396406820895025</v>
      </c>
      <c r="H7555">
        <f>0.00558659217877095*2.85437815524825</f>
        <v>1.5946246677364526E-2</v>
      </c>
      <c r="I7555">
        <v>1.5946246677364578E-2</v>
      </c>
    </row>
    <row r="7556" spans="1:9" x14ac:dyDescent="0.25">
      <c r="A7556">
        <v>358</v>
      </c>
      <c r="B7556" t="s">
        <v>2587</v>
      </c>
      <c r="C7556" t="s">
        <v>10</v>
      </c>
      <c r="D7556" t="s">
        <v>1468</v>
      </c>
      <c r="E7556">
        <f>1/179</f>
        <v>5.5865921787709499E-3</v>
      </c>
      <c r="F7556">
        <v>8</v>
      </c>
      <c r="G7556">
        <f>LOG(382/(8+1))</f>
        <v>1.6278208534723839</v>
      </c>
      <c r="H7556">
        <f>0.00558659217877095*3.74819603127035</f>
        <v>2.0939642632795252E-2</v>
      </c>
      <c r="I7556">
        <v>2.0939642632795279E-2</v>
      </c>
    </row>
    <row r="7557" spans="1:9" x14ac:dyDescent="0.25">
      <c r="A7557">
        <v>358</v>
      </c>
      <c r="B7557" t="s">
        <v>2587</v>
      </c>
      <c r="C7557" t="s">
        <v>10</v>
      </c>
      <c r="D7557" t="s">
        <v>214</v>
      </c>
      <c r="E7557">
        <f>1/179</f>
        <v>5.5865921787709499E-3</v>
      </c>
      <c r="F7557">
        <v>68</v>
      </c>
      <c r="G7557">
        <f>LOG(382/(68+1))</f>
        <v>0.74321427217445335</v>
      </c>
      <c r="H7557">
        <f>0.00558659217877095*1.71131410400931</f>
        <v>9.560413988878828E-3</v>
      </c>
      <c r="I7557">
        <v>9.5604139888788593E-3</v>
      </c>
    </row>
    <row r="7558" spans="1:9" x14ac:dyDescent="0.25">
      <c r="A7558">
        <v>358</v>
      </c>
      <c r="B7558" t="s">
        <v>2587</v>
      </c>
      <c r="C7558" t="s">
        <v>10</v>
      </c>
      <c r="D7558" t="s">
        <v>239</v>
      </c>
      <c r="E7558">
        <f>2/179</f>
        <v>1.11731843575419E-2</v>
      </c>
      <c r="F7558">
        <v>40</v>
      </c>
      <c r="G7558">
        <f>LOG(382/(40+1))</f>
        <v>0.96927950619197323</v>
      </c>
      <c r="H7558">
        <f>0.0111731843575419*2.23184854190226</f>
        <v>2.4936855216785025E-2</v>
      </c>
      <c r="I7558">
        <v>2.4936855216785112E-2</v>
      </c>
    </row>
    <row r="7559" spans="1:9" x14ac:dyDescent="0.25">
      <c r="A7559">
        <v>358</v>
      </c>
      <c r="B7559" t="s">
        <v>2587</v>
      </c>
      <c r="C7559" t="s">
        <v>10</v>
      </c>
      <c r="D7559" t="s">
        <v>445</v>
      </c>
      <c r="E7559">
        <f>1/179</f>
        <v>5.5865921787709499E-3</v>
      </c>
      <c r="F7559">
        <v>35</v>
      </c>
      <c r="G7559">
        <f>LOG(382/(35+1))</f>
        <v>1.0257608621444214</v>
      </c>
      <c r="H7559">
        <f>0.00558659217877095*2.36190167015046</f>
        <v>1.3194981397488604E-2</v>
      </c>
      <c r="I7559">
        <v>1.319498139748863E-2</v>
      </c>
    </row>
    <row r="7560" spans="1:9" x14ac:dyDescent="0.25">
      <c r="A7560">
        <v>358</v>
      </c>
      <c r="B7560" t="s">
        <v>2587</v>
      </c>
      <c r="C7560" t="s">
        <v>10</v>
      </c>
      <c r="D7560" t="s">
        <v>448</v>
      </c>
      <c r="E7560">
        <f>1/179</f>
        <v>5.5865921787709499E-3</v>
      </c>
      <c r="F7560">
        <v>19</v>
      </c>
      <c r="G7560">
        <f>LOG(382/(19+1))</f>
        <v>1.2810333672477277</v>
      </c>
      <c r="H7560">
        <f>0.00558659217877095*2.94968833505258</f>
        <v>1.6478705782416649E-2</v>
      </c>
      <c r="I7560">
        <v>1.6478705782416669E-2</v>
      </c>
    </row>
    <row r="7561" spans="1:9" x14ac:dyDescent="0.25">
      <c r="A7561">
        <v>358</v>
      </c>
      <c r="B7561" t="s">
        <v>2587</v>
      </c>
      <c r="C7561" t="s">
        <v>10</v>
      </c>
      <c r="D7561" t="s">
        <v>438</v>
      </c>
      <c r="E7561">
        <f>1/179</f>
        <v>5.5865921787709499E-3</v>
      </c>
      <c r="F7561">
        <v>37</v>
      </c>
      <c r="G7561">
        <f>LOG(382/(37+1))</f>
        <v>1.0022797662948986</v>
      </c>
      <c r="H7561">
        <f>0.00558659217877095*2.30783444888018</f>
        <v>1.2892929882012178E-2</v>
      </c>
      <c r="I7561">
        <v>1.289292988201223E-2</v>
      </c>
    </row>
    <row r="7562" spans="1:9" x14ac:dyDescent="0.25">
      <c r="A7562">
        <v>358</v>
      </c>
      <c r="B7562" t="s">
        <v>2587</v>
      </c>
      <c r="C7562" t="s">
        <v>10</v>
      </c>
      <c r="D7562" t="s">
        <v>307</v>
      </c>
      <c r="E7562">
        <f>2/179</f>
        <v>1.11731843575419E-2</v>
      </c>
      <c r="F7562">
        <v>67</v>
      </c>
      <c r="G7562">
        <f>LOG(382/(67+1))</f>
        <v>0.7495544502054724</v>
      </c>
      <c r="H7562">
        <f>0.0111731843575419*1.72591290343046</f>
        <v>1.9283943055088942E-2</v>
      </c>
      <c r="I7562">
        <v>1.9283943055089028E-2</v>
      </c>
    </row>
    <row r="7563" spans="1:9" x14ac:dyDescent="0.25">
      <c r="A7563">
        <v>358</v>
      </c>
      <c r="B7563" t="s">
        <v>2587</v>
      </c>
      <c r="C7563" t="s">
        <v>10</v>
      </c>
      <c r="D7563" t="s">
        <v>2617</v>
      </c>
      <c r="E7563">
        <f t="shared" ref="E7563:E7568" si="342">1/179</f>
        <v>5.5865921787709499E-3</v>
      </c>
      <c r="F7563">
        <v>1</v>
      </c>
      <c r="G7563">
        <f>LOG(382/(1+1))</f>
        <v>2.2810333672477277</v>
      </c>
      <c r="H7563">
        <f>0.00558659217877095*5.25227342804663</f>
        <v>2.9342309653891788E-2</v>
      </c>
      <c r="I7563">
        <v>2.9342309653891788E-2</v>
      </c>
    </row>
    <row r="7564" spans="1:9" x14ac:dyDescent="0.25">
      <c r="A7564">
        <v>358</v>
      </c>
      <c r="B7564" t="s">
        <v>2587</v>
      </c>
      <c r="C7564" t="s">
        <v>10</v>
      </c>
      <c r="D7564" t="s">
        <v>2618</v>
      </c>
      <c r="E7564">
        <f t="shared" si="342"/>
        <v>5.5865921787709499E-3</v>
      </c>
      <c r="F7564">
        <v>1</v>
      </c>
      <c r="G7564">
        <f>LOG(382/(1+1))</f>
        <v>2.2810333672477277</v>
      </c>
      <c r="H7564">
        <f>0.00558659217877095*5.25227342804663</f>
        <v>2.9342309653891788E-2</v>
      </c>
      <c r="I7564">
        <v>2.9342309653891788E-2</v>
      </c>
    </row>
    <row r="7565" spans="1:9" x14ac:dyDescent="0.25">
      <c r="A7565">
        <v>358</v>
      </c>
      <c r="B7565" t="s">
        <v>2587</v>
      </c>
      <c r="C7565" t="s">
        <v>10</v>
      </c>
      <c r="D7565" t="s">
        <v>2619</v>
      </c>
      <c r="E7565">
        <f t="shared" si="342"/>
        <v>5.5865921787709499E-3</v>
      </c>
      <c r="F7565">
        <v>1</v>
      </c>
      <c r="G7565">
        <f>LOG(382/(1+1))</f>
        <v>2.2810333672477277</v>
      </c>
      <c r="H7565">
        <f>0.00558659217877095*5.25227342804663</f>
        <v>2.9342309653891788E-2</v>
      </c>
      <c r="I7565">
        <v>2.9342309653891788E-2</v>
      </c>
    </row>
    <row r="7566" spans="1:9" x14ac:dyDescent="0.25">
      <c r="A7566">
        <v>358</v>
      </c>
      <c r="B7566" t="s">
        <v>2587</v>
      </c>
      <c r="C7566" t="s">
        <v>10</v>
      </c>
      <c r="D7566" t="s">
        <v>2620</v>
      </c>
      <c r="E7566">
        <f t="shared" si="342"/>
        <v>5.5865921787709499E-3</v>
      </c>
      <c r="F7566">
        <v>3</v>
      </c>
      <c r="G7566">
        <f>LOG(382/(3+1))</f>
        <v>1.9800033715837464</v>
      </c>
      <c r="H7566">
        <f>0.00558659217877095*4.55912624748668</f>
        <v>2.5469979036238436E-2</v>
      </c>
      <c r="I7566">
        <v>2.546997903623846E-2</v>
      </c>
    </row>
    <row r="7567" spans="1:9" x14ac:dyDescent="0.25">
      <c r="A7567">
        <v>358</v>
      </c>
      <c r="B7567" t="s">
        <v>2587</v>
      </c>
      <c r="C7567" t="s">
        <v>10</v>
      </c>
      <c r="D7567" t="s">
        <v>81</v>
      </c>
      <c r="E7567">
        <f t="shared" si="342"/>
        <v>5.5865921787709499E-3</v>
      </c>
      <c r="F7567">
        <v>114</v>
      </c>
      <c r="G7567">
        <f>LOG(382/(114+1))</f>
        <v>0.52136552255809698</v>
      </c>
      <c r="H7567">
        <f>0.00558659217877095*1.20048848024332</f>
        <v>6.7066395544319556E-3</v>
      </c>
      <c r="I7567">
        <v>6.7066395544319842E-3</v>
      </c>
    </row>
    <row r="7568" spans="1:9" x14ac:dyDescent="0.25">
      <c r="A7568">
        <v>358</v>
      </c>
      <c r="B7568" t="s">
        <v>2587</v>
      </c>
      <c r="C7568" t="s">
        <v>10</v>
      </c>
      <c r="D7568" t="s">
        <v>2621</v>
      </c>
      <c r="E7568">
        <f t="shared" si="342"/>
        <v>5.5865921787709499E-3</v>
      </c>
      <c r="F7568">
        <v>2</v>
      </c>
      <c r="G7568">
        <f>LOG(382/(2+1))</f>
        <v>2.1049421081920463</v>
      </c>
      <c r="H7568">
        <f>0.00558659217877095*4.84680831993846</f>
        <v>2.7077141452170168E-2</v>
      </c>
      <c r="I7568">
        <v>2.70771414521702E-2</v>
      </c>
    </row>
    <row r="7569" spans="1:9" x14ac:dyDescent="0.25">
      <c r="A7569">
        <v>358</v>
      </c>
      <c r="B7569" t="s">
        <v>2587</v>
      </c>
      <c r="C7569" t="s">
        <v>10</v>
      </c>
      <c r="D7569" t="s">
        <v>453</v>
      </c>
      <c r="E7569">
        <f>2/179</f>
        <v>1.11731843575419E-2</v>
      </c>
      <c r="F7569">
        <v>68</v>
      </c>
      <c r="G7569">
        <f>LOG(382/(68+1))</f>
        <v>0.74321427217445335</v>
      </c>
      <c r="H7569">
        <f>0.0111731843575419*1.71131410400931</f>
        <v>1.9120827977757656E-2</v>
      </c>
      <c r="I7569">
        <v>1.9120827977757719E-2</v>
      </c>
    </row>
    <row r="7570" spans="1:9" x14ac:dyDescent="0.25">
      <c r="A7570">
        <v>358</v>
      </c>
      <c r="B7570" t="s">
        <v>2587</v>
      </c>
      <c r="C7570" t="s">
        <v>10</v>
      </c>
      <c r="D7570" t="s">
        <v>2622</v>
      </c>
      <c r="E7570">
        <f>1/179</f>
        <v>5.5865921787709499E-3</v>
      </c>
      <c r="F7570">
        <v>2</v>
      </c>
      <c r="G7570">
        <f>LOG(382/(2+1))</f>
        <v>2.1049421081920463</v>
      </c>
      <c r="H7570">
        <f>0.00558659217877095*4.84680831993846</f>
        <v>2.7077141452170168E-2</v>
      </c>
      <c r="I7570">
        <v>2.70771414521702E-2</v>
      </c>
    </row>
    <row r="7571" spans="1:9" x14ac:dyDescent="0.25">
      <c r="A7571">
        <v>358</v>
      </c>
      <c r="B7571" t="s">
        <v>2587</v>
      </c>
      <c r="C7571" t="s">
        <v>10</v>
      </c>
      <c r="D7571" t="s">
        <v>1397</v>
      </c>
      <c r="E7571">
        <f>1/179</f>
        <v>5.5865921787709499E-3</v>
      </c>
      <c r="F7571">
        <v>29</v>
      </c>
      <c r="G7571">
        <f>LOG(382/(29+1))</f>
        <v>1.1049421081920463</v>
      </c>
      <c r="H7571">
        <f>0.00558659217877095*2.54422322694442</f>
        <v>1.4213537580695084E-2</v>
      </c>
      <c r="I7571">
        <v>1.4213537580695081E-2</v>
      </c>
    </row>
    <row r="7572" spans="1:9" x14ac:dyDescent="0.25">
      <c r="A7572">
        <v>358</v>
      </c>
      <c r="B7572" t="s">
        <v>2587</v>
      </c>
      <c r="C7572" t="s">
        <v>10</v>
      </c>
      <c r="D7572" t="s">
        <v>888</v>
      </c>
      <c r="E7572">
        <f>2/179</f>
        <v>1.11731843575419E-2</v>
      </c>
      <c r="F7572">
        <v>21</v>
      </c>
      <c r="G7572">
        <f>LOG(382/(21+1))</f>
        <v>1.2396406820895025</v>
      </c>
      <c r="H7572">
        <f>0.0111731843575419*2.85437815524825</f>
        <v>3.1892493354729053E-2</v>
      </c>
      <c r="I7572">
        <v>3.1892493354729157E-2</v>
      </c>
    </row>
    <row r="7573" spans="1:9" x14ac:dyDescent="0.25">
      <c r="A7573">
        <v>358</v>
      </c>
      <c r="B7573" t="s">
        <v>2587</v>
      </c>
      <c r="C7573" t="s">
        <v>10</v>
      </c>
      <c r="D7573" t="s">
        <v>2623</v>
      </c>
      <c r="E7573">
        <f>1/179</f>
        <v>5.5865921787709499E-3</v>
      </c>
      <c r="F7573">
        <v>1</v>
      </c>
      <c r="G7573">
        <f>LOG(382/(1+1))</f>
        <v>2.2810333672477277</v>
      </c>
      <c r="H7573">
        <f>0.00558659217877095*5.25227342804663</f>
        <v>2.9342309653891788E-2</v>
      </c>
      <c r="I7573">
        <v>2.9342309653891788E-2</v>
      </c>
    </row>
    <row r="7574" spans="1:9" x14ac:dyDescent="0.25">
      <c r="A7574">
        <v>358</v>
      </c>
      <c r="B7574" t="s">
        <v>2587</v>
      </c>
      <c r="C7574" t="s">
        <v>10</v>
      </c>
      <c r="D7574" t="s">
        <v>455</v>
      </c>
      <c r="E7574">
        <f>2/179</f>
        <v>1.11731843575419E-2</v>
      </c>
      <c r="F7574">
        <v>78</v>
      </c>
      <c r="G7574">
        <f>LOG(382/(78+1))</f>
        <v>0.6844362716212673</v>
      </c>
      <c r="H7574">
        <f>0.0111731843575419*1.57597275613955</f>
        <v>1.7608634146810614E-2</v>
      </c>
      <c r="I7574">
        <v>1.7608634146810659E-2</v>
      </c>
    </row>
    <row r="7575" spans="1:9" x14ac:dyDescent="0.25">
      <c r="A7575">
        <v>358</v>
      </c>
      <c r="B7575" t="s">
        <v>2587</v>
      </c>
      <c r="C7575" t="s">
        <v>10</v>
      </c>
      <c r="D7575" t="s">
        <v>2624</v>
      </c>
      <c r="E7575">
        <f>1/179</f>
        <v>5.5865921787709499E-3</v>
      </c>
      <c r="F7575">
        <v>1</v>
      </c>
      <c r="G7575">
        <f>LOG(382/(1+1))</f>
        <v>2.2810333672477277</v>
      </c>
      <c r="H7575">
        <f>0.00558659217877095*5.25227342804663</f>
        <v>2.9342309653891788E-2</v>
      </c>
      <c r="I7575">
        <v>2.9342309653891788E-2</v>
      </c>
    </row>
    <row r="7576" spans="1:9" x14ac:dyDescent="0.25">
      <c r="A7576">
        <v>358</v>
      </c>
      <c r="B7576" t="s">
        <v>2587</v>
      </c>
      <c r="C7576" t="s">
        <v>10</v>
      </c>
      <c r="D7576" t="s">
        <v>243</v>
      </c>
      <c r="E7576">
        <f>1/179</f>
        <v>5.5865921787709499E-3</v>
      </c>
      <c r="F7576">
        <v>131</v>
      </c>
      <c r="G7576">
        <f>LOG(382/(131+1))</f>
        <v>0.46148943170585888</v>
      </c>
      <c r="H7576">
        <f>0.00558659217877095*1.0626186860202</f>
        <v>5.9364172403363136E-3</v>
      </c>
      <c r="I7576">
        <v>5.936417240336337E-3</v>
      </c>
    </row>
    <row r="7577" spans="1:9" x14ac:dyDescent="0.25">
      <c r="A7577">
        <v>358</v>
      </c>
      <c r="B7577" t="s">
        <v>2587</v>
      </c>
      <c r="C7577" t="s">
        <v>10</v>
      </c>
      <c r="D7577" t="s">
        <v>887</v>
      </c>
      <c r="E7577">
        <f>1/179</f>
        <v>5.5865921787709499E-3</v>
      </c>
      <c r="F7577">
        <v>12</v>
      </c>
      <c r="G7577">
        <f>LOG(382/(12+1))</f>
        <v>1.468120010604872</v>
      </c>
      <c r="H7577">
        <f>0.00558659217877095*3.38047125114503</f>
        <v>1.8885314252206874E-2</v>
      </c>
      <c r="I7577">
        <v>1.8885314252206919E-2</v>
      </c>
    </row>
    <row r="7578" spans="1:9" x14ac:dyDescent="0.25">
      <c r="A7578">
        <v>358</v>
      </c>
      <c r="B7578" t="s">
        <v>2587</v>
      </c>
      <c r="C7578" t="s">
        <v>10</v>
      </c>
      <c r="D7578" t="s">
        <v>263</v>
      </c>
      <c r="E7578">
        <f>1/179</f>
        <v>5.5865921787709499E-3</v>
      </c>
      <c r="F7578">
        <v>41</v>
      </c>
      <c r="G7578">
        <f>LOG(382/(41+1))</f>
        <v>0.95881407251380824</v>
      </c>
      <c r="H7578">
        <f>0.00558659217877095*2.2077509903232</f>
        <v>1.2333804415213409E-2</v>
      </c>
      <c r="I7578">
        <v>1.2333804415213451E-2</v>
      </c>
    </row>
    <row r="7579" spans="1:9" x14ac:dyDescent="0.25">
      <c r="A7579">
        <v>358</v>
      </c>
      <c r="B7579" t="s">
        <v>2587</v>
      </c>
      <c r="C7579" t="s">
        <v>10</v>
      </c>
      <c r="D7579" t="s">
        <v>1626</v>
      </c>
      <c r="E7579">
        <f>1/179</f>
        <v>5.5865921787709499E-3</v>
      </c>
      <c r="F7579">
        <v>32</v>
      </c>
      <c r="G7579">
        <f>LOG(382/(32+1))</f>
        <v>1.0635494230338212</v>
      </c>
      <c r="H7579">
        <f>0.00558659217877095*2.44891304714009</f>
        <v>1.3681078475642962E-2</v>
      </c>
      <c r="I7579">
        <v>1.368107847564299E-2</v>
      </c>
    </row>
    <row r="7580" spans="1:9" x14ac:dyDescent="0.25">
      <c r="A7580">
        <v>358</v>
      </c>
      <c r="B7580" t="s">
        <v>2587</v>
      </c>
      <c r="C7580" t="s">
        <v>10</v>
      </c>
      <c r="D7580" t="s">
        <v>236</v>
      </c>
      <c r="E7580">
        <f>2/179</f>
        <v>1.11731843575419E-2</v>
      </c>
      <c r="F7580">
        <v>87</v>
      </c>
      <c r="G7580">
        <f>LOG(382/(87+1))</f>
        <v>0.63758069076154011</v>
      </c>
      <c r="H7580">
        <f>0.0111731843575419*1.46808379412836</f>
        <v>1.6403170884115754E-2</v>
      </c>
      <c r="I7580">
        <v>1.6403170884115852E-2</v>
      </c>
    </row>
    <row r="7581" spans="1:9" x14ac:dyDescent="0.25">
      <c r="A7581">
        <v>358</v>
      </c>
      <c r="B7581" t="s">
        <v>2587</v>
      </c>
      <c r="C7581" t="s">
        <v>10</v>
      </c>
      <c r="D7581" t="s">
        <v>1469</v>
      </c>
      <c r="E7581">
        <f>2/179</f>
        <v>1.11731843575419E-2</v>
      </c>
      <c r="F7581">
        <v>24</v>
      </c>
      <c r="G7581">
        <f>LOG(382/(24+1))</f>
        <v>1.1841233542396712</v>
      </c>
      <c r="H7581">
        <f>0.0111731843575419*2.72654478373837</f>
        <v>3.0464187527803017E-2</v>
      </c>
      <c r="I7581">
        <v>3.0464187527803069E-2</v>
      </c>
    </row>
    <row r="7582" spans="1:9" x14ac:dyDescent="0.25">
      <c r="A7582">
        <v>358</v>
      </c>
      <c r="B7582" t="s">
        <v>2587</v>
      </c>
      <c r="C7582" t="s">
        <v>10</v>
      </c>
      <c r="D7582" t="s">
        <v>439</v>
      </c>
      <c r="E7582">
        <f>1/179</f>
        <v>5.5865921787709499E-3</v>
      </c>
      <c r="F7582">
        <v>28</v>
      </c>
      <c r="G7582">
        <f>LOG(382/(28+1))</f>
        <v>1.1196653650127526</v>
      </c>
      <c r="H7582">
        <f>0.00558659217877095*2.5781247786201</f>
        <v>1.4402931724134637E-2</v>
      </c>
      <c r="I7582">
        <v>1.440293172413464E-2</v>
      </c>
    </row>
    <row r="7583" spans="1:9" x14ac:dyDescent="0.25">
      <c r="A7583">
        <v>358</v>
      </c>
      <c r="B7583" t="s">
        <v>2587</v>
      </c>
      <c r="C7583" t="s">
        <v>10</v>
      </c>
      <c r="D7583" t="s">
        <v>2476</v>
      </c>
      <c r="E7583">
        <f>1/179</f>
        <v>5.5865921787709499E-3</v>
      </c>
      <c r="F7583">
        <v>12</v>
      </c>
      <c r="G7583">
        <f>LOG(382/(12+1))</f>
        <v>1.468120010604872</v>
      </c>
      <c r="H7583">
        <f>0.00558659217877095*3.38047125114503</f>
        <v>1.8885314252206874E-2</v>
      </c>
      <c r="I7583">
        <v>1.8885314252206919E-2</v>
      </c>
    </row>
    <row r="7584" spans="1:9" x14ac:dyDescent="0.25">
      <c r="A7584">
        <v>358</v>
      </c>
      <c r="B7584" t="s">
        <v>2587</v>
      </c>
      <c r="C7584" t="s">
        <v>10</v>
      </c>
      <c r="D7584" t="s">
        <v>754</v>
      </c>
      <c r="E7584">
        <f>1/179</f>
        <v>5.5865921787709499E-3</v>
      </c>
      <c r="F7584">
        <v>111</v>
      </c>
      <c r="G7584">
        <f>LOG(382/(111+1))</f>
        <v>0.53284534024152708</v>
      </c>
      <c r="H7584">
        <f>0.00558659217877095*1.22692173731148</f>
        <v>6.85431138162838E-3</v>
      </c>
      <c r="I7584">
        <v>6.8543113816283844E-3</v>
      </c>
    </row>
    <row r="7585" spans="1:9" x14ac:dyDescent="0.25">
      <c r="A7585">
        <v>358</v>
      </c>
      <c r="B7585" t="s">
        <v>2587</v>
      </c>
      <c r="C7585" t="s">
        <v>10</v>
      </c>
      <c r="D7585" t="s">
        <v>309</v>
      </c>
      <c r="E7585">
        <f>1/179</f>
        <v>5.5865921787709499E-3</v>
      </c>
      <c r="F7585">
        <v>25</v>
      </c>
      <c r="G7585">
        <f>LOG(382/(25+1))</f>
        <v>1.1670900149408907</v>
      </c>
      <c r="H7585">
        <f>0.00558659217877095*2.68732407058509</f>
        <v>1.5012983634553577E-2</v>
      </c>
      <c r="I7585">
        <v>1.5012983634553591E-2</v>
      </c>
    </row>
    <row r="7586" spans="1:9" x14ac:dyDescent="0.25">
      <c r="A7586">
        <v>358</v>
      </c>
      <c r="B7586" t="s">
        <v>2587</v>
      </c>
      <c r="C7586" t="s">
        <v>10</v>
      </c>
      <c r="D7586" t="s">
        <v>763</v>
      </c>
      <c r="E7586">
        <f>2/179</f>
        <v>1.11731843575419E-2</v>
      </c>
      <c r="F7586">
        <v>47</v>
      </c>
      <c r="G7586">
        <f>LOG(382/(47+1))</f>
        <v>0.90082212553612151</v>
      </c>
      <c r="H7586">
        <f>0.0111731843575419*2.07421959769868</f>
        <v>2.3175637963113744E-2</v>
      </c>
      <c r="I7586">
        <v>2.3175637963113789E-2</v>
      </c>
    </row>
    <row r="7587" spans="1:9" x14ac:dyDescent="0.25">
      <c r="A7587">
        <v>358</v>
      </c>
      <c r="B7587" t="s">
        <v>2587</v>
      </c>
      <c r="C7587" t="s">
        <v>10</v>
      </c>
      <c r="D7587" t="s">
        <v>1831</v>
      </c>
      <c r="E7587">
        <f t="shared" ref="E7587:E7595" si="343">1/179</f>
        <v>5.5865921787709499E-3</v>
      </c>
      <c r="F7587">
        <v>28</v>
      </c>
      <c r="G7587">
        <f>LOG(382/(28+1))</f>
        <v>1.1196653650127526</v>
      </c>
      <c r="H7587">
        <f>0.00558659217877095*2.5781247786201</f>
        <v>1.4402931724134637E-2</v>
      </c>
      <c r="I7587">
        <v>1.440293172413464E-2</v>
      </c>
    </row>
    <row r="7588" spans="1:9" x14ac:dyDescent="0.25">
      <c r="A7588">
        <v>358</v>
      </c>
      <c r="B7588" t="s">
        <v>2587</v>
      </c>
      <c r="C7588" t="s">
        <v>10</v>
      </c>
      <c r="D7588" t="s">
        <v>1098</v>
      </c>
      <c r="E7588">
        <f t="shared" si="343"/>
        <v>5.5865921787709499E-3</v>
      </c>
      <c r="F7588">
        <v>19</v>
      </c>
      <c r="G7588">
        <f>LOG(382/(19+1))</f>
        <v>1.2810333672477277</v>
      </c>
      <c r="H7588">
        <f>0.00558659217877095*2.94968833505258</f>
        <v>1.6478705782416649E-2</v>
      </c>
      <c r="I7588">
        <v>1.6478705782416669E-2</v>
      </c>
    </row>
    <row r="7589" spans="1:9" x14ac:dyDescent="0.25">
      <c r="A7589">
        <v>358</v>
      </c>
      <c r="B7589" t="s">
        <v>2587</v>
      </c>
      <c r="C7589" t="s">
        <v>10</v>
      </c>
      <c r="D7589" t="s">
        <v>1919</v>
      </c>
      <c r="E7589">
        <f t="shared" si="343"/>
        <v>5.5865921787709499E-3</v>
      </c>
      <c r="F7589">
        <v>18</v>
      </c>
      <c r="G7589">
        <f>LOG(382/(18+1))</f>
        <v>1.3033097619588798</v>
      </c>
      <c r="H7589">
        <f>0.00558659217877095*3.00098162944013</f>
        <v>1.6765260499665532E-2</v>
      </c>
      <c r="I7589">
        <v>1.676526049966556E-2</v>
      </c>
    </row>
    <row r="7590" spans="1:9" x14ac:dyDescent="0.25">
      <c r="A7590">
        <v>358</v>
      </c>
      <c r="B7590" t="s">
        <v>2587</v>
      </c>
      <c r="C7590" t="s">
        <v>10</v>
      </c>
      <c r="D7590" t="s">
        <v>1918</v>
      </c>
      <c r="E7590">
        <f t="shared" si="343"/>
        <v>5.5865921787709499E-3</v>
      </c>
      <c r="F7590">
        <v>25</v>
      </c>
      <c r="G7590">
        <f>LOG(382/(25+1))</f>
        <v>1.1670900149408907</v>
      </c>
      <c r="H7590">
        <f>0.00558659217877095*2.68732407058509</f>
        <v>1.5012983634553577E-2</v>
      </c>
      <c r="I7590">
        <v>1.5012983634553591E-2</v>
      </c>
    </row>
    <row r="7591" spans="1:9" x14ac:dyDescent="0.25">
      <c r="A7591">
        <v>358</v>
      </c>
      <c r="B7591" t="s">
        <v>2587</v>
      </c>
      <c r="C7591" t="s">
        <v>10</v>
      </c>
      <c r="D7591" t="s">
        <v>1920</v>
      </c>
      <c r="E7591">
        <f t="shared" si="343"/>
        <v>5.5865921787709499E-3</v>
      </c>
      <c r="F7591">
        <v>18</v>
      </c>
      <c r="G7591">
        <f>LOG(382/(18+1))</f>
        <v>1.3033097619588798</v>
      </c>
      <c r="H7591">
        <f>0.00558659217877095*3.00098162944013</f>
        <v>1.6765260499665532E-2</v>
      </c>
      <c r="I7591">
        <v>1.676526049966556E-2</v>
      </c>
    </row>
    <row r="7592" spans="1:9" x14ac:dyDescent="0.25">
      <c r="A7592">
        <v>358</v>
      </c>
      <c r="B7592" t="s">
        <v>2587</v>
      </c>
      <c r="C7592" t="s">
        <v>10</v>
      </c>
      <c r="D7592" t="s">
        <v>204</v>
      </c>
      <c r="E7592">
        <f t="shared" si="343"/>
        <v>5.5865921787709499E-3</v>
      </c>
      <c r="F7592">
        <v>166</v>
      </c>
      <c r="G7592">
        <f>LOG(382/(166+1))</f>
        <v>0.35934689176412549</v>
      </c>
      <c r="H7592">
        <f>0.00558659217877095*0.82742679618982</f>
        <v>4.6224960680995532E-3</v>
      </c>
      <c r="I7592">
        <v>4.622496068099554E-3</v>
      </c>
    </row>
    <row r="7593" spans="1:9" x14ac:dyDescent="0.25">
      <c r="A7593">
        <v>358</v>
      </c>
      <c r="B7593" t="s">
        <v>2587</v>
      </c>
      <c r="C7593" t="s">
        <v>10</v>
      </c>
      <c r="D7593" t="s">
        <v>363</v>
      </c>
      <c r="E7593">
        <f t="shared" si="343"/>
        <v>5.5865921787709499E-3</v>
      </c>
      <c r="F7593">
        <v>36</v>
      </c>
      <c r="G7593">
        <f>LOG(382/(36+1))</f>
        <v>1.0138616388447137</v>
      </c>
      <c r="H7593">
        <f>0.00558659217877095*2.33450269596235</f>
        <v>1.3041914502582961E-2</v>
      </c>
      <c r="I7593">
        <v>1.304191450258297E-2</v>
      </c>
    </row>
    <row r="7594" spans="1:9" x14ac:dyDescent="0.25">
      <c r="A7594">
        <v>358</v>
      </c>
      <c r="B7594" t="s">
        <v>2587</v>
      </c>
      <c r="C7594" t="s">
        <v>10</v>
      </c>
      <c r="D7594" t="s">
        <v>483</v>
      </c>
      <c r="E7594">
        <f t="shared" si="343"/>
        <v>5.5865921787709499E-3</v>
      </c>
      <c r="F7594">
        <v>61</v>
      </c>
      <c r="G7594">
        <f>LOG(382/(61+1))</f>
        <v>0.7896716734134549</v>
      </c>
      <c r="H7594">
        <f>0.00558659217877095*1.81828622356148</f>
        <v>1.0158023595315532E-2</v>
      </c>
      <c r="I7594">
        <v>1.0158023595315551E-2</v>
      </c>
    </row>
    <row r="7595" spans="1:9" x14ac:dyDescent="0.25">
      <c r="A7595">
        <v>358</v>
      </c>
      <c r="B7595" t="s">
        <v>2587</v>
      </c>
      <c r="C7595" t="s">
        <v>10</v>
      </c>
      <c r="D7595" t="s">
        <v>764</v>
      </c>
      <c r="E7595">
        <f t="shared" si="343"/>
        <v>5.5865921787709499E-3</v>
      </c>
      <c r="F7595">
        <v>57</v>
      </c>
      <c r="G7595">
        <f>LOG(382/(57+1))</f>
        <v>0.81863536934877146</v>
      </c>
      <c r="H7595">
        <f>0.00558659217877095*1.88497759806015</f>
        <v>1.0530601106481284E-2</v>
      </c>
      <c r="I7595">
        <v>1.0530601106481321E-2</v>
      </c>
    </row>
    <row r="7596" spans="1:9" x14ac:dyDescent="0.25">
      <c r="A7596">
        <v>359</v>
      </c>
      <c r="B7596" t="s">
        <v>2625</v>
      </c>
      <c r="C7596" t="s">
        <v>10</v>
      </c>
      <c r="D7596" t="s">
        <v>315</v>
      </c>
      <c r="E7596">
        <f>7/152</f>
        <v>4.6052631578947366E-2</v>
      </c>
      <c r="F7596">
        <v>55</v>
      </c>
      <c r="G7596">
        <f>LOG(382/(55+1))</f>
        <v>0.83387533590550833</v>
      </c>
      <c r="H7596">
        <f>0.0460526315789473*1.92006891787142</f>
        <v>8.8424226480920534E-2</v>
      </c>
      <c r="I7596">
        <v>8.8424226480920923E-2</v>
      </c>
    </row>
    <row r="7597" spans="1:9" x14ac:dyDescent="0.25">
      <c r="A7597">
        <v>359</v>
      </c>
      <c r="B7597" t="s">
        <v>2625</v>
      </c>
      <c r="C7597" t="s">
        <v>10</v>
      </c>
      <c r="D7597" t="s">
        <v>1081</v>
      </c>
      <c r="E7597">
        <f>4/152</f>
        <v>2.6315789473684209E-2</v>
      </c>
      <c r="F7597">
        <v>27</v>
      </c>
      <c r="G7597">
        <f>LOG(382/(27+1))</f>
        <v>1.1349053315694895</v>
      </c>
      <c r="H7597">
        <f>0.0263157894736842*2.61321609843137</f>
        <v>6.8768844695562339E-2</v>
      </c>
      <c r="I7597">
        <v>6.8768844695562395E-2</v>
      </c>
    </row>
    <row r="7598" spans="1:9" x14ac:dyDescent="0.25">
      <c r="A7598">
        <v>359</v>
      </c>
      <c r="B7598" t="s">
        <v>2625</v>
      </c>
      <c r="C7598" t="s">
        <v>10</v>
      </c>
      <c r="D7598" t="s">
        <v>152</v>
      </c>
      <c r="E7598">
        <f>2/152</f>
        <v>1.3157894736842105E-2</v>
      </c>
      <c r="F7598">
        <v>31</v>
      </c>
      <c r="G7598">
        <f>LOG(382/(31+1))</f>
        <v>1.0769133845918029</v>
      </c>
      <c r="H7598">
        <f>0.0131578947368421*2.47968470580684</f>
        <v>3.2627430339563668E-2</v>
      </c>
      <c r="I7598">
        <v>3.26274303395638E-2</v>
      </c>
    </row>
    <row r="7599" spans="1:9" x14ac:dyDescent="0.25">
      <c r="A7599">
        <v>359</v>
      </c>
      <c r="B7599" t="s">
        <v>2625</v>
      </c>
      <c r="C7599" t="s">
        <v>10</v>
      </c>
      <c r="D7599" t="s">
        <v>2626</v>
      </c>
      <c r="E7599">
        <f>3/152</f>
        <v>1.9736842105263157E-2</v>
      </c>
      <c r="F7599">
        <v>1</v>
      </c>
      <c r="G7599">
        <f>LOG(382/(1+1))</f>
        <v>2.2810333672477277</v>
      </c>
      <c r="H7599">
        <f>0.0197368421052631*5.25227342804663</f>
        <v>0.10366329134302529</v>
      </c>
      <c r="I7599">
        <v>0.1036632913430256</v>
      </c>
    </row>
    <row r="7600" spans="1:9" x14ac:dyDescent="0.25">
      <c r="A7600">
        <v>359</v>
      </c>
      <c r="B7600" t="s">
        <v>2625</v>
      </c>
      <c r="C7600" t="s">
        <v>10</v>
      </c>
      <c r="D7600" t="s">
        <v>111</v>
      </c>
      <c r="E7600">
        <f>4/152</f>
        <v>2.6315789473684209E-2</v>
      </c>
      <c r="F7600">
        <v>33</v>
      </c>
      <c r="G7600">
        <f>LOG(382/(33+1))</f>
        <v>1.0505844458694535</v>
      </c>
      <c r="H7600">
        <f>0.0263157894736842*2.41906008399041</f>
        <v>6.3659475894484452E-2</v>
      </c>
      <c r="I7600">
        <v>6.3659475894484563E-2</v>
      </c>
    </row>
    <row r="7601" spans="1:9" x14ac:dyDescent="0.25">
      <c r="A7601">
        <v>359</v>
      </c>
      <c r="B7601" t="s">
        <v>2625</v>
      </c>
      <c r="C7601" t="s">
        <v>10</v>
      </c>
      <c r="D7601" t="s">
        <v>2627</v>
      </c>
      <c r="E7601">
        <f>1/152</f>
        <v>6.5789473684210523E-3</v>
      </c>
      <c r="F7601">
        <v>1</v>
      </c>
      <c r="G7601">
        <f>LOG(382/(1+1))</f>
        <v>2.2810333672477277</v>
      </c>
      <c r="H7601">
        <f>0.00657894736842105*5.25227342804663</f>
        <v>3.4554430447675179E-2</v>
      </c>
      <c r="I7601">
        <v>3.4554430447675193E-2</v>
      </c>
    </row>
    <row r="7602" spans="1:9" x14ac:dyDescent="0.25">
      <c r="A7602">
        <v>359</v>
      </c>
      <c r="B7602" t="s">
        <v>2625</v>
      </c>
      <c r="C7602" t="s">
        <v>10</v>
      </c>
      <c r="D7602" t="s">
        <v>42</v>
      </c>
      <c r="E7602">
        <f>1/152</f>
        <v>6.5789473684210523E-3</v>
      </c>
      <c r="F7602">
        <v>251</v>
      </c>
      <c r="G7602">
        <f>LOG(382/(251+1))</f>
        <v>0.18066282213016463</v>
      </c>
      <c r="H7602">
        <f>0.00657894736842105*0.415991521095151</f>
        <v>2.7367863229944131E-3</v>
      </c>
      <c r="I7602">
        <v>2.73678632299442E-3</v>
      </c>
    </row>
    <row r="7603" spans="1:9" x14ac:dyDescent="0.25">
      <c r="A7603">
        <v>359</v>
      </c>
      <c r="B7603" t="s">
        <v>2625</v>
      </c>
      <c r="C7603" t="s">
        <v>10</v>
      </c>
      <c r="D7603" t="s">
        <v>15</v>
      </c>
      <c r="E7603">
        <f>1/152</f>
        <v>6.5789473684210523E-3</v>
      </c>
      <c r="F7603">
        <v>112</v>
      </c>
      <c r="G7603">
        <f>LOG(382/(112+1))</f>
        <v>0.52898491942828896</v>
      </c>
      <c r="H7603">
        <f>0.00657894736842105*1.21803278989423</f>
        <v>8.0133736177251946E-3</v>
      </c>
      <c r="I7603">
        <v>8.0133736177252276E-3</v>
      </c>
    </row>
    <row r="7604" spans="1:9" x14ac:dyDescent="0.25">
      <c r="A7604">
        <v>359</v>
      </c>
      <c r="B7604" t="s">
        <v>2625</v>
      </c>
      <c r="C7604" t="s">
        <v>10</v>
      </c>
      <c r="D7604" t="s">
        <v>17</v>
      </c>
      <c r="E7604">
        <f>2/152</f>
        <v>1.3157894736842105E-2</v>
      </c>
      <c r="F7604">
        <v>169</v>
      </c>
      <c r="G7604">
        <f>LOG(382/(169+1))</f>
        <v>0.3516144415334348</v>
      </c>
      <c r="H7604">
        <f>0.0131578947368421*0.809622171556313</f>
        <v>1.0652923309951483E-2</v>
      </c>
      <c r="I7604">
        <v>1.065292330995149E-2</v>
      </c>
    </row>
    <row r="7605" spans="1:9" x14ac:dyDescent="0.25">
      <c r="A7605">
        <v>359</v>
      </c>
      <c r="B7605" t="s">
        <v>2625</v>
      </c>
      <c r="C7605" t="s">
        <v>10</v>
      </c>
      <c r="D7605" t="s">
        <v>1907</v>
      </c>
      <c r="E7605">
        <f>2/152</f>
        <v>1.3157894736842105E-2</v>
      </c>
      <c r="F7605">
        <v>20</v>
      </c>
      <c r="G7605">
        <f>LOG(382/(20+1))</f>
        <v>1.2598440681777894</v>
      </c>
      <c r="H7605">
        <f>0.0131578947368421*2.90089817088315</f>
        <v>3.8169712774778271E-2</v>
      </c>
      <c r="I7605">
        <v>3.8169712774778319E-2</v>
      </c>
    </row>
    <row r="7606" spans="1:9" x14ac:dyDescent="0.25">
      <c r="A7606">
        <v>359</v>
      </c>
      <c r="B7606" t="s">
        <v>2625</v>
      </c>
      <c r="C7606" t="s">
        <v>10</v>
      </c>
      <c r="D7606" t="s">
        <v>1908</v>
      </c>
      <c r="E7606">
        <f>2/152</f>
        <v>1.3157894736842105E-2</v>
      </c>
      <c r="F7606">
        <v>20</v>
      </c>
      <c r="G7606">
        <f>LOG(382/(20+1))</f>
        <v>1.2598440681777894</v>
      </c>
      <c r="H7606">
        <f>0.0131578947368421*2.90089817088315</f>
        <v>3.8169712774778271E-2</v>
      </c>
      <c r="I7606">
        <v>3.8169712774778319E-2</v>
      </c>
    </row>
    <row r="7607" spans="1:9" x14ac:dyDescent="0.25">
      <c r="A7607">
        <v>359</v>
      </c>
      <c r="B7607" t="s">
        <v>2625</v>
      </c>
      <c r="C7607" t="s">
        <v>10</v>
      </c>
      <c r="D7607" t="s">
        <v>91</v>
      </c>
      <c r="E7607">
        <f>2/152</f>
        <v>1.3157894736842105E-2</v>
      </c>
      <c r="F7607">
        <v>33</v>
      </c>
      <c r="G7607">
        <f>LOG(382/(33+1))</f>
        <v>1.0505844458694535</v>
      </c>
      <c r="H7607">
        <f>0.0131578947368421*2.41906008399041</f>
        <v>3.1829737947242226E-2</v>
      </c>
      <c r="I7607">
        <v>3.1829737947242281E-2</v>
      </c>
    </row>
    <row r="7608" spans="1:9" x14ac:dyDescent="0.25">
      <c r="A7608">
        <v>359</v>
      </c>
      <c r="B7608" t="s">
        <v>2625</v>
      </c>
      <c r="C7608" t="s">
        <v>10</v>
      </c>
      <c r="D7608" t="s">
        <v>19</v>
      </c>
      <c r="E7608">
        <f>2/152</f>
        <v>1.3157894736842105E-2</v>
      </c>
      <c r="F7608">
        <v>220</v>
      </c>
      <c r="G7608">
        <f>LOG(382/(220+1))</f>
        <v>0.23767108922659805</v>
      </c>
      <c r="H7608">
        <f>0.0131578947368421*0.547257907088822</f>
        <v>7.2007619353792341E-3</v>
      </c>
      <c r="I7608">
        <v>7.200761935379241E-3</v>
      </c>
    </row>
    <row r="7609" spans="1:9" x14ac:dyDescent="0.25">
      <c r="A7609">
        <v>359</v>
      </c>
      <c r="B7609" t="s">
        <v>2625</v>
      </c>
      <c r="C7609" t="s">
        <v>10</v>
      </c>
      <c r="D7609" t="s">
        <v>195</v>
      </c>
      <c r="E7609">
        <f>1/152</f>
        <v>6.5789473684210523E-3</v>
      </c>
      <c r="F7609">
        <v>55</v>
      </c>
      <c r="G7609">
        <f>LOG(382/(55+1))</f>
        <v>0.83387533590550833</v>
      </c>
      <c r="H7609">
        <f>0.00657894736842105*1.92006891787142</f>
        <v>1.2632032354417231E-2</v>
      </c>
      <c r="I7609">
        <v>1.2632032354417269E-2</v>
      </c>
    </row>
    <row r="7610" spans="1:9" x14ac:dyDescent="0.25">
      <c r="A7610">
        <v>359</v>
      </c>
      <c r="B7610" t="s">
        <v>2625</v>
      </c>
      <c r="C7610" t="s">
        <v>10</v>
      </c>
      <c r="D7610" t="s">
        <v>2628</v>
      </c>
      <c r="E7610">
        <f>1/152</f>
        <v>6.5789473684210523E-3</v>
      </c>
      <c r="F7610">
        <v>1</v>
      </c>
      <c r="G7610">
        <f>LOG(382/(1+1))</f>
        <v>2.2810333672477277</v>
      </c>
      <c r="H7610">
        <f>0.00657894736842105*5.25227342804663</f>
        <v>3.4554430447675179E-2</v>
      </c>
      <c r="I7610">
        <v>3.4554430447675193E-2</v>
      </c>
    </row>
    <row r="7611" spans="1:9" x14ac:dyDescent="0.25">
      <c r="A7611">
        <v>359</v>
      </c>
      <c r="B7611" t="s">
        <v>2625</v>
      </c>
      <c r="C7611" t="s">
        <v>10</v>
      </c>
      <c r="D7611" t="s">
        <v>23</v>
      </c>
      <c r="E7611">
        <f>2/152</f>
        <v>1.3157894736842105E-2</v>
      </c>
      <c r="F7611">
        <v>275</v>
      </c>
      <c r="G7611">
        <f>LOG(382/(275+1))</f>
        <v>0.14115428084649101</v>
      </c>
      <c r="H7611">
        <f>0.0131578947368421*0.325019742889425</f>
        <v>4.2765755643345369E-3</v>
      </c>
      <c r="I7611">
        <v>4.2765755643345412E-3</v>
      </c>
    </row>
    <row r="7612" spans="1:9" x14ac:dyDescent="0.25">
      <c r="A7612">
        <v>359</v>
      </c>
      <c r="B7612" t="s">
        <v>2625</v>
      </c>
      <c r="C7612" t="s">
        <v>10</v>
      </c>
      <c r="D7612" t="s">
        <v>204</v>
      </c>
      <c r="E7612">
        <f>2/152</f>
        <v>1.3157894736842105E-2</v>
      </c>
      <c r="F7612">
        <v>166</v>
      </c>
      <c r="G7612">
        <f>LOG(382/(166+1))</f>
        <v>0.35934689176412549</v>
      </c>
      <c r="H7612">
        <f>0.0131578947368421*0.82742679618982</f>
        <v>1.0887194686708153E-2</v>
      </c>
      <c r="I7612">
        <v>1.088719468670816E-2</v>
      </c>
    </row>
    <row r="7613" spans="1:9" x14ac:dyDescent="0.25">
      <c r="A7613">
        <v>359</v>
      </c>
      <c r="B7613" t="s">
        <v>2625</v>
      </c>
      <c r="C7613" t="s">
        <v>10</v>
      </c>
      <c r="D7613" t="s">
        <v>77</v>
      </c>
      <c r="E7613">
        <f>2/152</f>
        <v>1.3157894736842105E-2</v>
      </c>
      <c r="F7613">
        <v>148</v>
      </c>
      <c r="G7613">
        <f>LOG(382/(148+1))</f>
        <v>0.40887709449943471</v>
      </c>
      <c r="H7613">
        <f>0.0131578947368421*0.941474302661116</f>
        <v>1.2387819771856783E-2</v>
      </c>
      <c r="I7613">
        <v>1.238781977185679E-2</v>
      </c>
    </row>
    <row r="7614" spans="1:9" x14ac:dyDescent="0.25">
      <c r="A7614">
        <v>359</v>
      </c>
      <c r="B7614" t="s">
        <v>2625</v>
      </c>
      <c r="C7614" t="s">
        <v>10</v>
      </c>
      <c r="D7614" t="s">
        <v>2629</v>
      </c>
      <c r="E7614">
        <f>1/152</f>
        <v>6.5789473684210523E-3</v>
      </c>
      <c r="F7614">
        <v>1</v>
      </c>
      <c r="G7614">
        <f>LOG(382/(1+1))</f>
        <v>2.2810333672477277</v>
      </c>
      <c r="H7614">
        <f>0.00657894736842105*5.25227342804663</f>
        <v>3.4554430447675179E-2</v>
      </c>
      <c r="I7614">
        <v>3.4554430447675193E-2</v>
      </c>
    </row>
    <row r="7615" spans="1:9" x14ac:dyDescent="0.25">
      <c r="A7615">
        <v>359</v>
      </c>
      <c r="B7615" t="s">
        <v>2625</v>
      </c>
      <c r="C7615" t="s">
        <v>10</v>
      </c>
      <c r="D7615" t="s">
        <v>939</v>
      </c>
      <c r="E7615">
        <f>1/152</f>
        <v>6.5789473684210523E-3</v>
      </c>
      <c r="F7615">
        <v>35</v>
      </c>
      <c r="G7615">
        <f>LOG(382/(35+1))</f>
        <v>1.0257608621444214</v>
      </c>
      <c r="H7615">
        <f>0.00657894736842105*2.36190167015046</f>
        <v>1.5538826777305651E-2</v>
      </c>
      <c r="I7615">
        <v>1.5538826777305691E-2</v>
      </c>
    </row>
    <row r="7616" spans="1:9" x14ac:dyDescent="0.25">
      <c r="A7616">
        <v>359</v>
      </c>
      <c r="B7616" t="s">
        <v>2625</v>
      </c>
      <c r="C7616" t="s">
        <v>10</v>
      </c>
      <c r="D7616" t="s">
        <v>76</v>
      </c>
      <c r="E7616">
        <f>2/152</f>
        <v>1.3157894736842105E-2</v>
      </c>
      <c r="F7616">
        <v>140</v>
      </c>
      <c r="G7616">
        <f>LOG(382/(140+1))</f>
        <v>0.43284425025632883</v>
      </c>
      <c r="H7616">
        <f>0.0131578947368421*0.996660718228407</f>
        <v>1.3113956818794823E-2</v>
      </c>
      <c r="I7616">
        <v>1.311395681879483E-2</v>
      </c>
    </row>
    <row r="7617" spans="1:9" x14ac:dyDescent="0.25">
      <c r="A7617">
        <v>359</v>
      </c>
      <c r="B7617" t="s">
        <v>2625</v>
      </c>
      <c r="C7617" t="s">
        <v>10</v>
      </c>
      <c r="D7617" t="s">
        <v>40</v>
      </c>
      <c r="E7617">
        <f>4/152</f>
        <v>2.6315789473684209E-2</v>
      </c>
      <c r="F7617">
        <v>159</v>
      </c>
      <c r="G7617">
        <f>LOG(382/(159+1))</f>
        <v>0.377943380255784</v>
      </c>
      <c r="H7617">
        <f>0.0263157894736842*0.870246793372748</f>
        <v>2.2901231404545992E-2</v>
      </c>
      <c r="I7617">
        <v>2.2901231404546009E-2</v>
      </c>
    </row>
    <row r="7618" spans="1:9" x14ac:dyDescent="0.25">
      <c r="A7618">
        <v>359</v>
      </c>
      <c r="B7618" t="s">
        <v>2625</v>
      </c>
      <c r="C7618" t="s">
        <v>10</v>
      </c>
      <c r="D7618" t="s">
        <v>41</v>
      </c>
      <c r="E7618">
        <f>2/152</f>
        <v>1.3157894736842105E-2</v>
      </c>
      <c r="F7618">
        <v>195</v>
      </c>
      <c r="G7618">
        <f>LOG(382/(195+1))</f>
        <v>0.28980729155523272</v>
      </c>
      <c r="H7618">
        <f>0.0131578947368421*0.667305949376058</f>
        <v>8.7803414391586544E-3</v>
      </c>
      <c r="I7618">
        <v>8.7803414391586579E-3</v>
      </c>
    </row>
    <row r="7619" spans="1:9" x14ac:dyDescent="0.25">
      <c r="A7619">
        <v>359</v>
      </c>
      <c r="B7619" t="s">
        <v>2625</v>
      </c>
      <c r="C7619" t="s">
        <v>10</v>
      </c>
      <c r="D7619" t="s">
        <v>752</v>
      </c>
      <c r="E7619">
        <f>1/152</f>
        <v>6.5789473684210523E-3</v>
      </c>
      <c r="F7619">
        <v>34</v>
      </c>
      <c r="G7619">
        <f>LOG(382/(34+1))</f>
        <v>1.037995318561433</v>
      </c>
      <c r="H7619">
        <f>0.00657894736842105*2.39007254711716</f>
        <v>1.5724161494191834E-2</v>
      </c>
      <c r="I7619">
        <v>1.5724161494191851E-2</v>
      </c>
    </row>
    <row r="7620" spans="1:9" x14ac:dyDescent="0.25">
      <c r="A7620">
        <v>359</v>
      </c>
      <c r="B7620" t="s">
        <v>2625</v>
      </c>
      <c r="C7620" t="s">
        <v>10</v>
      </c>
      <c r="D7620" t="s">
        <v>322</v>
      </c>
      <c r="E7620">
        <f>2/152</f>
        <v>1.3157894736842105E-2</v>
      </c>
      <c r="F7620">
        <v>128</v>
      </c>
      <c r="G7620">
        <f>LOG(382/(128+1))</f>
        <v>0.47147365261245977</v>
      </c>
      <c r="H7620">
        <f>0.0131578947368421*1.0856082042449</f>
        <v>1.4284318476906572E-2</v>
      </c>
      <c r="I7620">
        <v>1.4284318476906621E-2</v>
      </c>
    </row>
    <row r="7621" spans="1:9" x14ac:dyDescent="0.25">
      <c r="A7621">
        <v>359</v>
      </c>
      <c r="B7621" t="s">
        <v>2625</v>
      </c>
      <c r="C7621" t="s">
        <v>10</v>
      </c>
      <c r="D7621" t="s">
        <v>123</v>
      </c>
      <c r="E7621">
        <f>2/152</f>
        <v>1.3157894736842105E-2</v>
      </c>
      <c r="F7621">
        <v>74</v>
      </c>
      <c r="G7621">
        <f>LOG(382/(74+1))</f>
        <v>0.7070020995200087</v>
      </c>
      <c r="H7621">
        <f>0.0131578947368421*1.62793249507026</f>
        <v>2.1420164408819203E-2</v>
      </c>
      <c r="I7621">
        <v>2.1420164408819269E-2</v>
      </c>
    </row>
    <row r="7622" spans="1:9" x14ac:dyDescent="0.25">
      <c r="A7622">
        <v>359</v>
      </c>
      <c r="B7622" t="s">
        <v>2625</v>
      </c>
      <c r="C7622" t="s">
        <v>10</v>
      </c>
      <c r="D7622" t="s">
        <v>1855</v>
      </c>
      <c r="E7622">
        <f t="shared" ref="E7622:E7627" si="344">1/152</f>
        <v>6.5789473684210523E-3</v>
      </c>
      <c r="F7622">
        <v>17</v>
      </c>
      <c r="G7622">
        <f>LOG(382/(17+1))</f>
        <v>1.3267908578084027</v>
      </c>
      <c r="H7622">
        <f>0.00657894736842105*3.05504885071041</f>
        <v>2.0099005596779004E-2</v>
      </c>
      <c r="I7622">
        <v>2.0099005596779011E-2</v>
      </c>
    </row>
    <row r="7623" spans="1:9" x14ac:dyDescent="0.25">
      <c r="A7623">
        <v>359</v>
      </c>
      <c r="B7623" t="s">
        <v>2625</v>
      </c>
      <c r="C7623" t="s">
        <v>10</v>
      </c>
      <c r="D7623" t="s">
        <v>2630</v>
      </c>
      <c r="E7623">
        <f t="shared" si="344"/>
        <v>6.5789473684210523E-3</v>
      </c>
      <c r="F7623">
        <v>1</v>
      </c>
      <c r="G7623">
        <f>LOG(382/(1+1))</f>
        <v>2.2810333672477277</v>
      </c>
      <c r="H7623">
        <f>0.00657894736842105*5.25227342804663</f>
        <v>3.4554430447675179E-2</v>
      </c>
      <c r="I7623">
        <v>3.4554430447675193E-2</v>
      </c>
    </row>
    <row r="7624" spans="1:9" x14ac:dyDescent="0.25">
      <c r="A7624">
        <v>359</v>
      </c>
      <c r="B7624" t="s">
        <v>2625</v>
      </c>
      <c r="C7624" t="s">
        <v>10</v>
      </c>
      <c r="D7624" t="s">
        <v>2631</v>
      </c>
      <c r="E7624">
        <f t="shared" si="344"/>
        <v>6.5789473684210523E-3</v>
      </c>
      <c r="F7624">
        <v>1</v>
      </c>
      <c r="G7624">
        <f>LOG(382/(1+1))</f>
        <v>2.2810333672477277</v>
      </c>
      <c r="H7624">
        <f>0.00657894736842105*5.25227342804663</f>
        <v>3.4554430447675179E-2</v>
      </c>
      <c r="I7624">
        <v>3.4554430447675193E-2</v>
      </c>
    </row>
    <row r="7625" spans="1:9" x14ac:dyDescent="0.25">
      <c r="A7625">
        <v>359</v>
      </c>
      <c r="B7625" t="s">
        <v>2625</v>
      </c>
      <c r="C7625" t="s">
        <v>10</v>
      </c>
      <c r="D7625" t="s">
        <v>1079</v>
      </c>
      <c r="E7625">
        <f t="shared" si="344"/>
        <v>6.5789473684210523E-3</v>
      </c>
      <c r="F7625">
        <v>34</v>
      </c>
      <c r="G7625">
        <f>LOG(382/(34+1))</f>
        <v>1.037995318561433</v>
      </c>
      <c r="H7625">
        <f>0.00657894736842105*2.39007254711716</f>
        <v>1.5724161494191834E-2</v>
      </c>
      <c r="I7625">
        <v>1.5724161494191851E-2</v>
      </c>
    </row>
    <row r="7626" spans="1:9" x14ac:dyDescent="0.25">
      <c r="A7626">
        <v>359</v>
      </c>
      <c r="B7626" t="s">
        <v>2625</v>
      </c>
      <c r="C7626" t="s">
        <v>10</v>
      </c>
      <c r="D7626" t="s">
        <v>2632</v>
      </c>
      <c r="E7626">
        <f t="shared" si="344"/>
        <v>6.5789473684210523E-3</v>
      </c>
      <c r="F7626">
        <v>2</v>
      </c>
      <c r="G7626">
        <f>LOG(382/(2+1))</f>
        <v>2.1049421081920463</v>
      </c>
      <c r="H7626">
        <f>0.00657894736842105*4.84680831993846</f>
        <v>3.1886896841700381E-2</v>
      </c>
      <c r="I7626">
        <v>3.1886896841700429E-2</v>
      </c>
    </row>
    <row r="7627" spans="1:9" x14ac:dyDescent="0.25">
      <c r="A7627">
        <v>359</v>
      </c>
      <c r="B7627" t="s">
        <v>2625</v>
      </c>
      <c r="C7627" t="s">
        <v>10</v>
      </c>
      <c r="D7627" t="s">
        <v>237</v>
      </c>
      <c r="E7627">
        <f t="shared" si="344"/>
        <v>6.5789473684210523E-3</v>
      </c>
      <c r="F7627">
        <v>138</v>
      </c>
      <c r="G7627">
        <f>LOG(382/(138+1))</f>
        <v>0.43904856265761361</v>
      </c>
      <c r="H7627">
        <f>0.00657894736842105*1.01094667547588</f>
        <v>6.65096497023605E-3</v>
      </c>
      <c r="I7627">
        <v>6.6509649702360743E-3</v>
      </c>
    </row>
    <row r="7628" spans="1:9" x14ac:dyDescent="0.25">
      <c r="A7628">
        <v>359</v>
      </c>
      <c r="B7628" t="s">
        <v>2625</v>
      </c>
      <c r="C7628" t="s">
        <v>10</v>
      </c>
      <c r="D7628" t="s">
        <v>133</v>
      </c>
      <c r="E7628">
        <f>2/152</f>
        <v>1.3157894736842105E-2</v>
      </c>
      <c r="F7628">
        <v>142</v>
      </c>
      <c r="G7628">
        <f>LOG(382/(142+1))</f>
        <v>0.42672732544664693</v>
      </c>
      <c r="H7628">
        <f>0.0131578947368421*0.982575978346667</f>
        <v>1.2928631294035086E-2</v>
      </c>
      <c r="I7628">
        <v>1.29286312940351E-2</v>
      </c>
    </row>
    <row r="7629" spans="1:9" x14ac:dyDescent="0.25">
      <c r="A7629">
        <v>359</v>
      </c>
      <c r="B7629" t="s">
        <v>2625</v>
      </c>
      <c r="C7629" t="s">
        <v>10</v>
      </c>
      <c r="D7629" t="s">
        <v>78</v>
      </c>
      <c r="E7629">
        <f>1/152</f>
        <v>6.5789473684210523E-3</v>
      </c>
      <c r="F7629">
        <v>122</v>
      </c>
      <c r="G7629">
        <f>LOG(382/(122+1))</f>
        <v>0.49215825147231079</v>
      </c>
      <c r="H7629">
        <f>0.00657894736842105*1.13323625323415</f>
        <v>7.4555016660141412E-3</v>
      </c>
      <c r="I7629">
        <v>7.4555016660141941E-3</v>
      </c>
    </row>
    <row r="7630" spans="1:9" x14ac:dyDescent="0.25">
      <c r="A7630">
        <v>359</v>
      </c>
      <c r="B7630" t="s">
        <v>2625</v>
      </c>
      <c r="C7630" t="s">
        <v>10</v>
      </c>
      <c r="D7630" t="s">
        <v>1727</v>
      </c>
      <c r="E7630">
        <f>1/152</f>
        <v>6.5789473684210523E-3</v>
      </c>
      <c r="F7630">
        <v>27</v>
      </c>
      <c r="G7630">
        <f>LOG(382/(27+1))</f>
        <v>1.1349053315694895</v>
      </c>
      <c r="H7630">
        <f>0.00657894736842105*2.61321609843137</f>
        <v>1.7192211173890585E-2</v>
      </c>
      <c r="I7630">
        <v>1.7192211173890599E-2</v>
      </c>
    </row>
    <row r="7631" spans="1:9" x14ac:dyDescent="0.25">
      <c r="A7631">
        <v>359</v>
      </c>
      <c r="B7631" t="s">
        <v>2625</v>
      </c>
      <c r="C7631" t="s">
        <v>10</v>
      </c>
      <c r="D7631" t="s">
        <v>65</v>
      </c>
      <c r="E7631">
        <f>2/152</f>
        <v>1.3157894736842105E-2</v>
      </c>
      <c r="F7631">
        <v>32</v>
      </c>
      <c r="G7631">
        <f>LOG(382/(32+1))</f>
        <v>1.0635494230338212</v>
      </c>
      <c r="H7631">
        <f>0.0131578947368421*2.44891304714009</f>
        <v>3.2222540093948537E-2</v>
      </c>
      <c r="I7631">
        <v>3.2222540093948621E-2</v>
      </c>
    </row>
    <row r="7632" spans="1:9" x14ac:dyDescent="0.25">
      <c r="A7632">
        <v>359</v>
      </c>
      <c r="B7632" t="s">
        <v>2625</v>
      </c>
      <c r="C7632" t="s">
        <v>10</v>
      </c>
      <c r="D7632" t="s">
        <v>676</v>
      </c>
      <c r="E7632">
        <f>1/152</f>
        <v>6.5789473684210523E-3</v>
      </c>
      <c r="F7632">
        <v>20</v>
      </c>
      <c r="G7632">
        <f>LOG(382/(20+1))</f>
        <v>1.2598440681777894</v>
      </c>
      <c r="H7632">
        <f>0.00657894736842105*2.90089817088315</f>
        <v>1.9084856387389135E-2</v>
      </c>
      <c r="I7632">
        <v>1.908485638738916E-2</v>
      </c>
    </row>
    <row r="7633" spans="1:9" x14ac:dyDescent="0.25">
      <c r="A7633">
        <v>359</v>
      </c>
      <c r="B7633" t="s">
        <v>2625</v>
      </c>
      <c r="C7633" t="s">
        <v>10</v>
      </c>
      <c r="D7633" t="s">
        <v>1853</v>
      </c>
      <c r="E7633">
        <f>2/152</f>
        <v>1.3157894736842105E-2</v>
      </c>
      <c r="F7633">
        <v>15</v>
      </c>
      <c r="G7633">
        <f>LOG(382/(15+1))</f>
        <v>1.3779433802557839</v>
      </c>
      <c r="H7633">
        <f>0.0131578947368421*3.17283188636679</f>
        <v>4.1747787978510378E-2</v>
      </c>
      <c r="I7633">
        <v>4.1747787978510448E-2</v>
      </c>
    </row>
    <row r="7634" spans="1:9" x14ac:dyDescent="0.25">
      <c r="A7634">
        <v>359</v>
      </c>
      <c r="B7634" t="s">
        <v>2625</v>
      </c>
      <c r="C7634" t="s">
        <v>10</v>
      </c>
      <c r="D7634" t="s">
        <v>134</v>
      </c>
      <c r="E7634">
        <f t="shared" ref="E7634:E7641" si="345">1/152</f>
        <v>6.5789473684210523E-3</v>
      </c>
      <c r="F7634">
        <v>21</v>
      </c>
      <c r="G7634">
        <f>LOG(382/(21+1))</f>
        <v>1.2396406820895025</v>
      </c>
      <c r="H7634">
        <f>0.00657894736842105*2.85437815524825</f>
        <v>1.8778803652949004E-2</v>
      </c>
      <c r="I7634">
        <v>1.877880365294907E-2</v>
      </c>
    </row>
    <row r="7635" spans="1:9" x14ac:dyDescent="0.25">
      <c r="A7635">
        <v>359</v>
      </c>
      <c r="B7635" t="s">
        <v>2625</v>
      </c>
      <c r="C7635" t="s">
        <v>10</v>
      </c>
      <c r="D7635" t="s">
        <v>136</v>
      </c>
      <c r="E7635">
        <f t="shared" si="345"/>
        <v>6.5789473684210523E-3</v>
      </c>
      <c r="F7635">
        <v>17</v>
      </c>
      <c r="G7635">
        <f>LOG(382/(17+1))</f>
        <v>1.3267908578084027</v>
      </c>
      <c r="H7635">
        <f>0.00657894736842105*3.05504885071041</f>
        <v>2.0099005596779004E-2</v>
      </c>
      <c r="I7635">
        <v>2.0099005596779011E-2</v>
      </c>
    </row>
    <row r="7636" spans="1:9" x14ac:dyDescent="0.25">
      <c r="A7636">
        <v>359</v>
      </c>
      <c r="B7636" t="s">
        <v>2625</v>
      </c>
      <c r="C7636" t="s">
        <v>10</v>
      </c>
      <c r="D7636" t="s">
        <v>487</v>
      </c>
      <c r="E7636">
        <f t="shared" si="345"/>
        <v>6.5789473684210523E-3</v>
      </c>
      <c r="F7636">
        <v>32</v>
      </c>
      <c r="G7636">
        <f>LOG(382/(32+1))</f>
        <v>1.0635494230338212</v>
      </c>
      <c r="H7636">
        <f>0.00657894736842105*2.44891304714009</f>
        <v>1.6111270046974269E-2</v>
      </c>
      <c r="I7636">
        <v>1.611127004697431E-2</v>
      </c>
    </row>
    <row r="7637" spans="1:9" x14ac:dyDescent="0.25">
      <c r="A7637">
        <v>359</v>
      </c>
      <c r="B7637" t="s">
        <v>2625</v>
      </c>
      <c r="C7637" t="s">
        <v>10</v>
      </c>
      <c r="D7637" t="s">
        <v>2633</v>
      </c>
      <c r="E7637">
        <f t="shared" si="345"/>
        <v>6.5789473684210523E-3</v>
      </c>
      <c r="F7637">
        <v>1</v>
      </c>
      <c r="G7637">
        <f>LOG(382/(1+1))</f>
        <v>2.2810333672477277</v>
      </c>
      <c r="H7637">
        <f>0.00657894736842105*5.25227342804663</f>
        <v>3.4554430447675179E-2</v>
      </c>
      <c r="I7637">
        <v>3.4554430447675193E-2</v>
      </c>
    </row>
    <row r="7638" spans="1:9" x14ac:dyDescent="0.25">
      <c r="A7638">
        <v>359</v>
      </c>
      <c r="B7638" t="s">
        <v>2625</v>
      </c>
      <c r="C7638" t="s">
        <v>10</v>
      </c>
      <c r="D7638" t="s">
        <v>2186</v>
      </c>
      <c r="E7638">
        <f t="shared" si="345"/>
        <v>6.5789473684210523E-3</v>
      </c>
      <c r="F7638">
        <v>2</v>
      </c>
      <c r="G7638">
        <f>LOG(382/(2+1))</f>
        <v>2.1049421081920463</v>
      </c>
      <c r="H7638">
        <f>0.00657894736842105*4.84680831993846</f>
        <v>3.1886896841700381E-2</v>
      </c>
      <c r="I7638">
        <v>3.1886896841700429E-2</v>
      </c>
    </row>
    <row r="7639" spans="1:9" x14ac:dyDescent="0.25">
      <c r="A7639">
        <v>359</v>
      </c>
      <c r="B7639" t="s">
        <v>2625</v>
      </c>
      <c r="C7639" t="s">
        <v>10</v>
      </c>
      <c r="D7639" t="s">
        <v>327</v>
      </c>
      <c r="E7639">
        <f t="shared" si="345"/>
        <v>6.5789473684210523E-3</v>
      </c>
      <c r="F7639">
        <v>46</v>
      </c>
      <c r="G7639">
        <f>LOG(382/(46+1))</f>
        <v>0.90996550497599127</v>
      </c>
      <c r="H7639">
        <f>0.00657894736842105*2.09527300689651</f>
        <v>1.3784690834845455E-2</v>
      </c>
      <c r="I7639">
        <v>1.3784690834845501E-2</v>
      </c>
    </row>
    <row r="7640" spans="1:9" x14ac:dyDescent="0.25">
      <c r="A7640">
        <v>359</v>
      </c>
      <c r="B7640" t="s">
        <v>2625</v>
      </c>
      <c r="C7640" t="s">
        <v>10</v>
      </c>
      <c r="D7640" t="s">
        <v>1866</v>
      </c>
      <c r="E7640">
        <f t="shared" si="345"/>
        <v>6.5789473684210523E-3</v>
      </c>
      <c r="F7640">
        <v>18</v>
      </c>
      <c r="G7640">
        <f>LOG(382/(18+1))</f>
        <v>1.3033097619588798</v>
      </c>
      <c r="H7640">
        <f>0.00657894736842105*3.00098162944013</f>
        <v>1.9743300193685059E-2</v>
      </c>
      <c r="I7640">
        <v>1.9743300193685091E-2</v>
      </c>
    </row>
    <row r="7641" spans="1:9" x14ac:dyDescent="0.25">
      <c r="A7641">
        <v>359</v>
      </c>
      <c r="B7641" t="s">
        <v>2625</v>
      </c>
      <c r="C7641" t="s">
        <v>10</v>
      </c>
      <c r="D7641" t="s">
        <v>2505</v>
      </c>
      <c r="E7641">
        <f t="shared" si="345"/>
        <v>6.5789473684210523E-3</v>
      </c>
      <c r="F7641">
        <v>9</v>
      </c>
      <c r="G7641">
        <f>LOG(382/(9+1))</f>
        <v>1.5820633629117087</v>
      </c>
      <c r="H7641">
        <f>0.00657894736842105*3.64283551561252</f>
        <v>2.3966023129029727E-2</v>
      </c>
      <c r="I7641">
        <v>2.39660231290298E-2</v>
      </c>
    </row>
    <row r="7642" spans="1:9" x14ac:dyDescent="0.25">
      <c r="A7642">
        <v>359</v>
      </c>
      <c r="B7642" t="s">
        <v>2625</v>
      </c>
      <c r="C7642" t="s">
        <v>10</v>
      </c>
      <c r="D7642" t="s">
        <v>765</v>
      </c>
      <c r="E7642">
        <f>2/152</f>
        <v>1.3157894736842105E-2</v>
      </c>
      <c r="F7642">
        <v>44</v>
      </c>
      <c r="G7642">
        <f>LOG(382/(44+1))</f>
        <v>0.92885084913636506</v>
      </c>
      <c r="H7642">
        <f>0.0131578947368421*2.13875811883625</f>
        <v>2.8141554195213803E-2</v>
      </c>
      <c r="I7642">
        <v>2.8141554195213879E-2</v>
      </c>
    </row>
    <row r="7643" spans="1:9" x14ac:dyDescent="0.25">
      <c r="A7643">
        <v>359</v>
      </c>
      <c r="B7643" t="s">
        <v>2625</v>
      </c>
      <c r="C7643" t="s">
        <v>10</v>
      </c>
      <c r="D7643" t="s">
        <v>764</v>
      </c>
      <c r="E7643">
        <f>2/152</f>
        <v>1.3157894736842105E-2</v>
      </c>
      <c r="F7643">
        <v>57</v>
      </c>
      <c r="G7643">
        <f>LOG(382/(57+1))</f>
        <v>0.81863536934877146</v>
      </c>
      <c r="H7643">
        <f>0.0131578947368421*1.88497759806015</f>
        <v>2.4802336816580908E-2</v>
      </c>
      <c r="I7643">
        <v>2.4802336816580998E-2</v>
      </c>
    </row>
    <row r="7644" spans="1:9" x14ac:dyDescent="0.25">
      <c r="A7644">
        <v>359</v>
      </c>
      <c r="B7644" t="s">
        <v>2625</v>
      </c>
      <c r="C7644" t="s">
        <v>10</v>
      </c>
      <c r="D7644" t="s">
        <v>222</v>
      </c>
      <c r="E7644">
        <f t="shared" ref="E7644:E7659" si="346">1/152</f>
        <v>6.5789473684210523E-3</v>
      </c>
      <c r="F7644">
        <v>22</v>
      </c>
      <c r="G7644">
        <f>LOG(382/(22+1))</f>
        <v>1.2203355268941158</v>
      </c>
      <c r="H7644">
        <f>0.00657894736842105*2.80992639267742</f>
        <v>1.8486357846561965E-2</v>
      </c>
      <c r="I7644">
        <v>1.848635784656201E-2</v>
      </c>
    </row>
    <row r="7645" spans="1:9" x14ac:dyDescent="0.25">
      <c r="A7645">
        <v>359</v>
      </c>
      <c r="B7645" t="s">
        <v>2625</v>
      </c>
      <c r="C7645" t="s">
        <v>10</v>
      </c>
      <c r="D7645" t="s">
        <v>97</v>
      </c>
      <c r="E7645">
        <f t="shared" si="346"/>
        <v>6.5789473684210523E-3</v>
      </c>
      <c r="F7645">
        <v>19</v>
      </c>
      <c r="G7645">
        <f>LOG(382/(19+1))</f>
        <v>1.2810333672477277</v>
      </c>
      <c r="H7645">
        <f>0.00657894736842105*2.94968833505258</f>
        <v>1.9405844309556438E-2</v>
      </c>
      <c r="I7645">
        <v>1.940584430955648E-2</v>
      </c>
    </row>
    <row r="7646" spans="1:9" x14ac:dyDescent="0.25">
      <c r="A7646">
        <v>359</v>
      </c>
      <c r="B7646" t="s">
        <v>2625</v>
      </c>
      <c r="C7646" t="s">
        <v>10</v>
      </c>
      <c r="D7646" t="s">
        <v>1533</v>
      </c>
      <c r="E7646">
        <f t="shared" si="346"/>
        <v>6.5789473684210523E-3</v>
      </c>
      <c r="F7646">
        <v>33</v>
      </c>
      <c r="G7646">
        <f>LOG(382/(33+1))</f>
        <v>1.0505844458694535</v>
      </c>
      <c r="H7646">
        <f>0.00657894736842105*2.41906008399041</f>
        <v>1.5914868973621113E-2</v>
      </c>
      <c r="I7646">
        <v>1.5914868973621141E-2</v>
      </c>
    </row>
    <row r="7647" spans="1:9" x14ac:dyDescent="0.25">
      <c r="A7647">
        <v>359</v>
      </c>
      <c r="B7647" t="s">
        <v>2625</v>
      </c>
      <c r="C7647" t="s">
        <v>10</v>
      </c>
      <c r="D7647" t="s">
        <v>324</v>
      </c>
      <c r="E7647">
        <f t="shared" si="346"/>
        <v>6.5789473684210523E-3</v>
      </c>
      <c r="F7647">
        <v>82</v>
      </c>
      <c r="G7647">
        <f>LOG(382/(82+1))</f>
        <v>0.66298527053563483</v>
      </c>
      <c r="H7647">
        <f>0.00657894736842105*1.52658000080997</f>
        <v>1.0043289479012955E-2</v>
      </c>
      <c r="I7647">
        <v>1.004328947901301E-2</v>
      </c>
    </row>
    <row r="7648" spans="1:9" x14ac:dyDescent="0.25">
      <c r="A7648">
        <v>359</v>
      </c>
      <c r="B7648" t="s">
        <v>2625</v>
      </c>
      <c r="C7648" t="s">
        <v>10</v>
      </c>
      <c r="D7648" t="s">
        <v>1345</v>
      </c>
      <c r="E7648">
        <f t="shared" si="346"/>
        <v>6.5789473684210523E-3</v>
      </c>
      <c r="F7648">
        <v>8</v>
      </c>
      <c r="G7648">
        <f>LOG(382/(8+1))</f>
        <v>1.6278208534723839</v>
      </c>
      <c r="H7648">
        <f>0.00657894736842105*3.74819603127035</f>
        <v>2.465918441625229E-2</v>
      </c>
      <c r="I7648">
        <v>2.4659184416252339E-2</v>
      </c>
    </row>
    <row r="7649" spans="1:9" x14ac:dyDescent="0.25">
      <c r="A7649">
        <v>359</v>
      </c>
      <c r="B7649" t="s">
        <v>2625</v>
      </c>
      <c r="C7649" t="s">
        <v>10</v>
      </c>
      <c r="D7649" t="s">
        <v>1398</v>
      </c>
      <c r="E7649">
        <f t="shared" si="346"/>
        <v>6.5789473684210523E-3</v>
      </c>
      <c r="F7649">
        <v>29</v>
      </c>
      <c r="G7649">
        <f>LOG(382/(29+1))</f>
        <v>1.1049421081920463</v>
      </c>
      <c r="H7649">
        <f>0.00657894736842105*2.54422322694442</f>
        <v>1.6738310703581703E-2</v>
      </c>
      <c r="I7649">
        <v>1.673831070358171E-2</v>
      </c>
    </row>
    <row r="7650" spans="1:9" x14ac:dyDescent="0.25">
      <c r="A7650">
        <v>359</v>
      </c>
      <c r="B7650" t="s">
        <v>2625</v>
      </c>
      <c r="C7650" t="s">
        <v>10</v>
      </c>
      <c r="D7650" t="s">
        <v>2634</v>
      </c>
      <c r="E7650">
        <f t="shared" si="346"/>
        <v>6.5789473684210523E-3</v>
      </c>
      <c r="F7650">
        <v>1</v>
      </c>
      <c r="G7650">
        <f>LOG(382/(1+1))</f>
        <v>2.2810333672477277</v>
      </c>
      <c r="H7650">
        <f>0.00657894736842105*5.25227342804663</f>
        <v>3.4554430447675179E-2</v>
      </c>
      <c r="I7650">
        <v>3.4554430447675193E-2</v>
      </c>
    </row>
    <row r="7651" spans="1:9" x14ac:dyDescent="0.25">
      <c r="A7651">
        <v>359</v>
      </c>
      <c r="B7651" t="s">
        <v>2625</v>
      </c>
      <c r="C7651" t="s">
        <v>10</v>
      </c>
      <c r="D7651" t="s">
        <v>339</v>
      </c>
      <c r="E7651">
        <f t="shared" si="346"/>
        <v>6.5789473684210523E-3</v>
      </c>
      <c r="F7651">
        <v>66</v>
      </c>
      <c r="G7651">
        <f>LOG(382/(66+1))</f>
        <v>0.75598856021088234</v>
      </c>
      <c r="H7651">
        <f>0.00657894736842105*1.7407279892156</f>
        <v>1.1452157823786837E-2</v>
      </c>
      <c r="I7651">
        <v>1.1452157823786901E-2</v>
      </c>
    </row>
    <row r="7652" spans="1:9" x14ac:dyDescent="0.25">
      <c r="A7652">
        <v>359</v>
      </c>
      <c r="B7652" t="s">
        <v>2625</v>
      </c>
      <c r="C7652" t="s">
        <v>10</v>
      </c>
      <c r="D7652" t="s">
        <v>600</v>
      </c>
      <c r="E7652">
        <f t="shared" si="346"/>
        <v>6.5789473684210523E-3</v>
      </c>
      <c r="F7652">
        <v>102</v>
      </c>
      <c r="G7652">
        <f>LOG(382/(102+1))</f>
        <v>0.56922613820653656</v>
      </c>
      <c r="H7652">
        <f>0.00657894736842105*1.31069162037693</f>
        <v>8.6229711866903265E-3</v>
      </c>
      <c r="I7652">
        <v>8.6229711866903907E-3</v>
      </c>
    </row>
    <row r="7653" spans="1:9" x14ac:dyDescent="0.25">
      <c r="A7653">
        <v>359</v>
      </c>
      <c r="B7653" t="s">
        <v>2625</v>
      </c>
      <c r="C7653" t="s">
        <v>10</v>
      </c>
      <c r="D7653" t="s">
        <v>2635</v>
      </c>
      <c r="E7653">
        <f t="shared" si="346"/>
        <v>6.5789473684210523E-3</v>
      </c>
      <c r="F7653">
        <v>1</v>
      </c>
      <c r="G7653">
        <f>LOG(382/(1+1))</f>
        <v>2.2810333672477277</v>
      </c>
      <c r="H7653">
        <f>0.00657894736842105*5.25227342804663</f>
        <v>3.4554430447675179E-2</v>
      </c>
      <c r="I7653">
        <v>3.4554430447675193E-2</v>
      </c>
    </row>
    <row r="7654" spans="1:9" x14ac:dyDescent="0.25">
      <c r="A7654">
        <v>359</v>
      </c>
      <c r="B7654" t="s">
        <v>2625</v>
      </c>
      <c r="C7654" t="s">
        <v>10</v>
      </c>
      <c r="D7654" t="s">
        <v>2636</v>
      </c>
      <c r="E7654">
        <f t="shared" si="346"/>
        <v>6.5789473684210523E-3</v>
      </c>
      <c r="F7654">
        <v>2</v>
      </c>
      <c r="G7654">
        <f>LOG(382/(2+1))</f>
        <v>2.1049421081920463</v>
      </c>
      <c r="H7654">
        <f>0.00657894736842105*4.84680831993846</f>
        <v>3.1886896841700381E-2</v>
      </c>
      <c r="I7654">
        <v>3.1886896841700429E-2</v>
      </c>
    </row>
    <row r="7655" spans="1:9" x14ac:dyDescent="0.25">
      <c r="A7655">
        <v>359</v>
      </c>
      <c r="B7655" t="s">
        <v>2625</v>
      </c>
      <c r="C7655" t="s">
        <v>10</v>
      </c>
      <c r="D7655" t="s">
        <v>147</v>
      </c>
      <c r="E7655">
        <f t="shared" si="346"/>
        <v>6.5789473684210523E-3</v>
      </c>
      <c r="F7655">
        <v>48</v>
      </c>
      <c r="G7655">
        <f>LOG(382/(48+1))</f>
        <v>0.89186728288319506</v>
      </c>
      <c r="H7655">
        <f>0.00657894736842105*2.05360031049594</f>
        <v>1.3510528358525915E-2</v>
      </c>
      <c r="I7655">
        <v>1.3510528358525981E-2</v>
      </c>
    </row>
    <row r="7656" spans="1:9" x14ac:dyDescent="0.25">
      <c r="A7656">
        <v>359</v>
      </c>
      <c r="B7656" t="s">
        <v>2625</v>
      </c>
      <c r="C7656" t="s">
        <v>10</v>
      </c>
      <c r="D7656" t="s">
        <v>1196</v>
      </c>
      <c r="E7656">
        <f t="shared" si="346"/>
        <v>6.5789473684210523E-3</v>
      </c>
      <c r="F7656">
        <v>7</v>
      </c>
      <c r="G7656">
        <f>LOG(382/(7+1))</f>
        <v>1.6789733759197651</v>
      </c>
      <c r="H7656">
        <f>0.00657894736842105*3.86597906692673</f>
        <v>2.5434072808728475E-2</v>
      </c>
      <c r="I7656">
        <v>2.5434072808728541E-2</v>
      </c>
    </row>
    <row r="7657" spans="1:9" x14ac:dyDescent="0.25">
      <c r="A7657">
        <v>359</v>
      </c>
      <c r="B7657" t="s">
        <v>2625</v>
      </c>
      <c r="C7657" t="s">
        <v>10</v>
      </c>
      <c r="D7657" t="s">
        <v>2637</v>
      </c>
      <c r="E7657">
        <f t="shared" si="346"/>
        <v>6.5789473684210523E-3</v>
      </c>
      <c r="F7657">
        <v>1</v>
      </c>
      <c r="G7657">
        <f>LOG(382/(1+1))</f>
        <v>2.2810333672477277</v>
      </c>
      <c r="H7657">
        <f>0.00657894736842105*5.25227342804663</f>
        <v>3.4554430447675179E-2</v>
      </c>
      <c r="I7657">
        <v>3.4554430447675193E-2</v>
      </c>
    </row>
    <row r="7658" spans="1:9" x14ac:dyDescent="0.25">
      <c r="A7658">
        <v>359</v>
      </c>
      <c r="B7658" t="s">
        <v>2625</v>
      </c>
      <c r="C7658" t="s">
        <v>10</v>
      </c>
      <c r="D7658" t="s">
        <v>22</v>
      </c>
      <c r="E7658">
        <f t="shared" si="346"/>
        <v>6.5789473684210523E-3</v>
      </c>
      <c r="F7658">
        <v>259</v>
      </c>
      <c r="G7658">
        <f>LOG(382/(259+1))</f>
        <v>0.16709001494089079</v>
      </c>
      <c r="H7658">
        <f>0.00657894736842105*0.384738977591047</f>
        <v>2.5311774841516241E-3</v>
      </c>
      <c r="I7658">
        <v>2.531177484151628E-3</v>
      </c>
    </row>
    <row r="7659" spans="1:9" x14ac:dyDescent="0.25">
      <c r="A7659">
        <v>359</v>
      </c>
      <c r="B7659" t="s">
        <v>2625</v>
      </c>
      <c r="C7659" t="s">
        <v>10</v>
      </c>
      <c r="D7659" t="s">
        <v>2291</v>
      </c>
      <c r="E7659">
        <f t="shared" si="346"/>
        <v>6.5789473684210523E-3</v>
      </c>
      <c r="F7659">
        <v>17</v>
      </c>
      <c r="G7659">
        <f>LOG(382/(17+1))</f>
        <v>1.3267908578084027</v>
      </c>
      <c r="H7659">
        <f>0.00657894736842105*3.05504885071041</f>
        <v>2.0099005596779004E-2</v>
      </c>
      <c r="I7659">
        <v>2.0099005596779011E-2</v>
      </c>
    </row>
    <row r="7660" spans="1:9" x14ac:dyDescent="0.25">
      <c r="A7660">
        <v>359</v>
      </c>
      <c r="B7660" t="s">
        <v>2625</v>
      </c>
      <c r="C7660" t="s">
        <v>10</v>
      </c>
      <c r="D7660" t="s">
        <v>2638</v>
      </c>
      <c r="E7660">
        <f>2/152</f>
        <v>1.3157894736842105E-2</v>
      </c>
      <c r="F7660">
        <v>1</v>
      </c>
      <c r="G7660">
        <f>LOG(382/(1+1))</f>
        <v>2.2810333672477277</v>
      </c>
      <c r="H7660">
        <f>0.0131578947368421*5.25227342804663</f>
        <v>6.9108860895350357E-2</v>
      </c>
      <c r="I7660">
        <v>6.9108860895350385E-2</v>
      </c>
    </row>
    <row r="7661" spans="1:9" x14ac:dyDescent="0.25">
      <c r="A7661">
        <v>359</v>
      </c>
      <c r="B7661" t="s">
        <v>2625</v>
      </c>
      <c r="C7661" t="s">
        <v>10</v>
      </c>
      <c r="D7661" t="s">
        <v>361</v>
      </c>
      <c r="E7661">
        <f>2/152</f>
        <v>1.3157894736842105E-2</v>
      </c>
      <c r="F7661">
        <v>118</v>
      </c>
      <c r="G7661">
        <f>LOG(382/(118+1))</f>
        <v>0.50651640151917798</v>
      </c>
      <c r="H7661">
        <f>0.0131578947368421*1.16629711549504</f>
        <v>1.5346014677566307E-2</v>
      </c>
      <c r="I7661">
        <v>1.534601467756639E-2</v>
      </c>
    </row>
    <row r="7662" spans="1:9" x14ac:dyDescent="0.25">
      <c r="A7662">
        <v>359</v>
      </c>
      <c r="B7662" t="s">
        <v>2625</v>
      </c>
      <c r="C7662" t="s">
        <v>10</v>
      </c>
      <c r="D7662" t="s">
        <v>434</v>
      </c>
      <c r="E7662">
        <f>1/152</f>
        <v>6.5789473684210523E-3</v>
      </c>
      <c r="F7662">
        <v>97</v>
      </c>
      <c r="G7662">
        <f>LOG(382/(97+1))</f>
        <v>0.59083728721921391</v>
      </c>
      <c r="H7662">
        <f>0.00657894736842105*1.360453129936</f>
        <v>8.9503495390526287E-3</v>
      </c>
      <c r="I7662">
        <v>8.950349539052653E-3</v>
      </c>
    </row>
    <row r="7663" spans="1:9" x14ac:dyDescent="0.25">
      <c r="A7663">
        <v>359</v>
      </c>
      <c r="B7663" t="s">
        <v>2625</v>
      </c>
      <c r="C7663" t="s">
        <v>10</v>
      </c>
      <c r="D7663" t="s">
        <v>444</v>
      </c>
      <c r="E7663">
        <f>3/152</f>
        <v>1.9736842105263157E-2</v>
      </c>
      <c r="F7663">
        <v>28</v>
      </c>
      <c r="G7663">
        <f>LOG(382/(28+1))</f>
        <v>1.1196653650127526</v>
      </c>
      <c r="H7663">
        <f>0.0197368421052631*2.5781247786201</f>
        <v>5.0884041683291296E-2</v>
      </c>
      <c r="I7663">
        <v>5.088404168329147E-2</v>
      </c>
    </row>
    <row r="7664" spans="1:9" x14ac:dyDescent="0.25">
      <c r="A7664">
        <v>359</v>
      </c>
      <c r="B7664" t="s">
        <v>2625</v>
      </c>
      <c r="C7664" t="s">
        <v>10</v>
      </c>
      <c r="D7664" t="s">
        <v>445</v>
      </c>
      <c r="E7664">
        <f>2/152</f>
        <v>1.3157894736842105E-2</v>
      </c>
      <c r="F7664">
        <v>35</v>
      </c>
      <c r="G7664">
        <f>LOG(382/(35+1))</f>
        <v>1.0257608621444214</v>
      </c>
      <c r="H7664">
        <f>0.0131578947368421*2.36190167015046</f>
        <v>3.1077653554611302E-2</v>
      </c>
      <c r="I7664">
        <v>3.1077653554611381E-2</v>
      </c>
    </row>
    <row r="7665" spans="1:9" x14ac:dyDescent="0.25">
      <c r="A7665">
        <v>359</v>
      </c>
      <c r="B7665" t="s">
        <v>2625</v>
      </c>
      <c r="C7665" t="s">
        <v>10</v>
      </c>
      <c r="D7665" t="s">
        <v>2639</v>
      </c>
      <c r="E7665">
        <f t="shared" ref="E7665:E7670" si="347">1/152</f>
        <v>6.5789473684210523E-3</v>
      </c>
      <c r="F7665">
        <v>1</v>
      </c>
      <c r="G7665">
        <f>LOG(382/(1+1))</f>
        <v>2.2810333672477277</v>
      </c>
      <c r="H7665">
        <f>0.00657894736842105*5.25227342804663</f>
        <v>3.4554430447675179E-2</v>
      </c>
      <c r="I7665">
        <v>3.4554430447675193E-2</v>
      </c>
    </row>
    <row r="7666" spans="1:9" x14ac:dyDescent="0.25">
      <c r="A7666">
        <v>359</v>
      </c>
      <c r="B7666" t="s">
        <v>2625</v>
      </c>
      <c r="C7666" t="s">
        <v>10</v>
      </c>
      <c r="D7666" t="s">
        <v>310</v>
      </c>
      <c r="E7666">
        <f t="shared" si="347"/>
        <v>6.5789473684210523E-3</v>
      </c>
      <c r="F7666">
        <v>50</v>
      </c>
      <c r="G7666">
        <f>LOG(382/(50+1))</f>
        <v>0.87449318681377242</v>
      </c>
      <c r="H7666">
        <f>0.00657894736842105*2.01359497588224</f>
        <v>1.3247335367646308E-2</v>
      </c>
      <c r="I7666">
        <v>1.3247335367646379E-2</v>
      </c>
    </row>
    <row r="7667" spans="1:9" x14ac:dyDescent="0.25">
      <c r="A7667">
        <v>359</v>
      </c>
      <c r="B7667" t="s">
        <v>2625</v>
      </c>
      <c r="C7667" t="s">
        <v>10</v>
      </c>
      <c r="D7667" t="s">
        <v>2640</v>
      </c>
      <c r="E7667">
        <f t="shared" si="347"/>
        <v>6.5789473684210523E-3</v>
      </c>
      <c r="F7667">
        <v>1</v>
      </c>
      <c r="G7667">
        <f>LOG(382/(1+1))</f>
        <v>2.2810333672477277</v>
      </c>
      <c r="H7667">
        <f>0.00657894736842105*5.25227342804663</f>
        <v>3.4554430447675179E-2</v>
      </c>
      <c r="I7667">
        <v>3.4554430447675193E-2</v>
      </c>
    </row>
    <row r="7668" spans="1:9" x14ac:dyDescent="0.25">
      <c r="A7668">
        <v>359</v>
      </c>
      <c r="B7668" t="s">
        <v>2625</v>
      </c>
      <c r="C7668" t="s">
        <v>10</v>
      </c>
      <c r="D7668" t="s">
        <v>2641</v>
      </c>
      <c r="E7668">
        <f t="shared" si="347"/>
        <v>6.5789473684210523E-3</v>
      </c>
      <c r="F7668">
        <v>2</v>
      </c>
      <c r="G7668">
        <f>LOG(382/(2+1))</f>
        <v>2.1049421081920463</v>
      </c>
      <c r="H7668">
        <f>0.00657894736842105*4.84680831993846</f>
        <v>3.1886896841700381E-2</v>
      </c>
      <c r="I7668">
        <v>3.1886896841700429E-2</v>
      </c>
    </row>
    <row r="7669" spans="1:9" x14ac:dyDescent="0.25">
      <c r="A7669">
        <v>359</v>
      </c>
      <c r="B7669" t="s">
        <v>2625</v>
      </c>
      <c r="C7669" t="s">
        <v>10</v>
      </c>
      <c r="D7669" t="s">
        <v>1467</v>
      </c>
      <c r="E7669">
        <f t="shared" si="347"/>
        <v>6.5789473684210523E-3</v>
      </c>
      <c r="F7669">
        <v>21</v>
      </c>
      <c r="G7669">
        <f>LOG(382/(21+1))</f>
        <v>1.2396406820895025</v>
      </c>
      <c r="H7669">
        <f>0.00657894736842105*2.85437815524825</f>
        <v>1.8778803652949004E-2</v>
      </c>
      <c r="I7669">
        <v>1.877880365294907E-2</v>
      </c>
    </row>
    <row r="7670" spans="1:9" x14ac:dyDescent="0.25">
      <c r="A7670">
        <v>359</v>
      </c>
      <c r="B7670" t="s">
        <v>2625</v>
      </c>
      <c r="C7670" t="s">
        <v>10</v>
      </c>
      <c r="D7670" t="s">
        <v>2642</v>
      </c>
      <c r="E7670">
        <f t="shared" si="347"/>
        <v>6.5789473684210523E-3</v>
      </c>
      <c r="F7670">
        <v>1</v>
      </c>
      <c r="G7670">
        <f>LOG(382/(1+1))</f>
        <v>2.2810333672477277</v>
      </c>
      <c r="H7670">
        <f>0.00657894736842105*5.25227342804663</f>
        <v>3.4554430447675179E-2</v>
      </c>
      <c r="I7670">
        <v>3.4554430447675193E-2</v>
      </c>
    </row>
    <row r="7671" spans="1:9" x14ac:dyDescent="0.25">
      <c r="A7671">
        <v>359</v>
      </c>
      <c r="B7671" t="s">
        <v>2625</v>
      </c>
      <c r="C7671" t="s">
        <v>10</v>
      </c>
      <c r="D7671" t="s">
        <v>239</v>
      </c>
      <c r="E7671">
        <f>2/152</f>
        <v>1.3157894736842105E-2</v>
      </c>
      <c r="F7671">
        <v>40</v>
      </c>
      <c r="G7671">
        <f>LOG(382/(40+1))</f>
        <v>0.96927950619197323</v>
      </c>
      <c r="H7671">
        <f>0.0131578947368421*2.23184854190226</f>
        <v>2.9366428182924457E-2</v>
      </c>
      <c r="I7671">
        <v>2.9366428182924571E-2</v>
      </c>
    </row>
    <row r="7672" spans="1:9" x14ac:dyDescent="0.25">
      <c r="A7672">
        <v>359</v>
      </c>
      <c r="B7672" t="s">
        <v>2625</v>
      </c>
      <c r="C7672" t="s">
        <v>10</v>
      </c>
      <c r="D7672" t="s">
        <v>448</v>
      </c>
      <c r="E7672">
        <f>1/152</f>
        <v>6.5789473684210523E-3</v>
      </c>
      <c r="F7672">
        <v>19</v>
      </c>
      <c r="G7672">
        <f>LOG(382/(19+1))</f>
        <v>1.2810333672477277</v>
      </c>
      <c r="H7672">
        <f>0.00657894736842105*2.94968833505258</f>
        <v>1.9405844309556438E-2</v>
      </c>
      <c r="I7672">
        <v>1.940584430955648E-2</v>
      </c>
    </row>
    <row r="7673" spans="1:9" x14ac:dyDescent="0.25">
      <c r="A7673">
        <v>359</v>
      </c>
      <c r="B7673" t="s">
        <v>2625</v>
      </c>
      <c r="C7673" t="s">
        <v>10</v>
      </c>
      <c r="D7673" t="s">
        <v>438</v>
      </c>
      <c r="E7673">
        <f>1/152</f>
        <v>6.5789473684210523E-3</v>
      </c>
      <c r="F7673">
        <v>37</v>
      </c>
      <c r="G7673">
        <f>LOG(382/(37+1))</f>
        <v>1.0022797662948986</v>
      </c>
      <c r="H7673">
        <f>0.00657894736842105*2.30783444888018</f>
        <v>1.5183121374211702E-2</v>
      </c>
      <c r="I7673">
        <v>1.518312137421177E-2</v>
      </c>
    </row>
    <row r="7674" spans="1:9" x14ac:dyDescent="0.25">
      <c r="A7674">
        <v>359</v>
      </c>
      <c r="B7674" t="s">
        <v>2625</v>
      </c>
      <c r="C7674" t="s">
        <v>10</v>
      </c>
      <c r="D7674" t="s">
        <v>307</v>
      </c>
      <c r="E7674">
        <f>1/152</f>
        <v>6.5789473684210523E-3</v>
      </c>
      <c r="F7674">
        <v>67</v>
      </c>
      <c r="G7674">
        <f>LOG(382/(67+1))</f>
        <v>0.7495544502054724</v>
      </c>
      <c r="H7674">
        <f>0.00657894736842105*1.72591290343046</f>
        <v>1.1354690154147759E-2</v>
      </c>
      <c r="I7674">
        <v>1.135469015414782E-2</v>
      </c>
    </row>
    <row r="7675" spans="1:9" x14ac:dyDescent="0.25">
      <c r="A7675">
        <v>359</v>
      </c>
      <c r="B7675" t="s">
        <v>2625</v>
      </c>
      <c r="C7675" t="s">
        <v>10</v>
      </c>
      <c r="D7675" t="s">
        <v>1812</v>
      </c>
      <c r="E7675">
        <f>1/152</f>
        <v>6.5789473684210523E-3</v>
      </c>
      <c r="F7675">
        <v>10</v>
      </c>
      <c r="G7675">
        <f>LOG(382/(10+1))</f>
        <v>1.5406706777534838</v>
      </c>
      <c r="H7675">
        <f>0.00657894736842105*3.5475253358082</f>
        <v>2.3338982472422359E-2</v>
      </c>
      <c r="I7675">
        <v>2.3338982472422401E-2</v>
      </c>
    </row>
    <row r="7676" spans="1:9" x14ac:dyDescent="0.25">
      <c r="A7676">
        <v>359</v>
      </c>
      <c r="B7676" t="s">
        <v>2625</v>
      </c>
      <c r="C7676" t="s">
        <v>10</v>
      </c>
      <c r="D7676" t="s">
        <v>236</v>
      </c>
      <c r="E7676">
        <f>3/152</f>
        <v>1.9736842105263157E-2</v>
      </c>
      <c r="F7676">
        <v>87</v>
      </c>
      <c r="G7676">
        <f>LOG(382/(87+1))</f>
        <v>0.63758069076154011</v>
      </c>
      <c r="H7676">
        <f>0.0197368421052631*1.46808379412836</f>
        <v>2.8975338042007023E-2</v>
      </c>
      <c r="I7676">
        <v>2.8975338042007279E-2</v>
      </c>
    </row>
    <row r="7677" spans="1:9" x14ac:dyDescent="0.25">
      <c r="A7677">
        <v>359</v>
      </c>
      <c r="B7677" t="s">
        <v>2625</v>
      </c>
      <c r="C7677" t="s">
        <v>10</v>
      </c>
      <c r="D7677" t="s">
        <v>2643</v>
      </c>
      <c r="E7677">
        <f>1/152</f>
        <v>6.5789473684210523E-3</v>
      </c>
      <c r="F7677">
        <v>1</v>
      </c>
      <c r="G7677">
        <f>LOG(382/(1+1))</f>
        <v>2.2810333672477277</v>
      </c>
      <c r="H7677">
        <f>0.00657894736842105*5.25227342804663</f>
        <v>3.4554430447675179E-2</v>
      </c>
      <c r="I7677">
        <v>3.4554430447675193E-2</v>
      </c>
    </row>
    <row r="7678" spans="1:9" x14ac:dyDescent="0.25">
      <c r="A7678">
        <v>359</v>
      </c>
      <c r="B7678" t="s">
        <v>2625</v>
      </c>
      <c r="C7678" t="s">
        <v>10</v>
      </c>
      <c r="D7678" t="s">
        <v>2644</v>
      </c>
      <c r="E7678">
        <f>1/152</f>
        <v>6.5789473684210523E-3</v>
      </c>
      <c r="F7678">
        <v>1</v>
      </c>
      <c r="G7678">
        <f>LOG(382/(1+1))</f>
        <v>2.2810333672477277</v>
      </c>
      <c r="H7678">
        <f>0.00657894736842105*5.25227342804663</f>
        <v>3.4554430447675179E-2</v>
      </c>
      <c r="I7678">
        <v>3.4554430447675193E-2</v>
      </c>
    </row>
    <row r="7679" spans="1:9" x14ac:dyDescent="0.25">
      <c r="A7679">
        <v>359</v>
      </c>
      <c r="B7679" t="s">
        <v>2625</v>
      </c>
      <c r="C7679" t="s">
        <v>10</v>
      </c>
      <c r="D7679" t="s">
        <v>81</v>
      </c>
      <c r="E7679">
        <f>1/152</f>
        <v>6.5789473684210523E-3</v>
      </c>
      <c r="F7679">
        <v>114</v>
      </c>
      <c r="G7679">
        <f>LOG(382/(114+1))</f>
        <v>0.52136552255809698</v>
      </c>
      <c r="H7679">
        <f>0.00657894736842105*1.20048848024332</f>
        <v>7.8979505279165758E-3</v>
      </c>
      <c r="I7679">
        <v>7.8979505279166123E-3</v>
      </c>
    </row>
    <row r="7680" spans="1:9" x14ac:dyDescent="0.25">
      <c r="A7680">
        <v>359</v>
      </c>
      <c r="B7680" t="s">
        <v>2625</v>
      </c>
      <c r="C7680" t="s">
        <v>10</v>
      </c>
      <c r="D7680" t="s">
        <v>453</v>
      </c>
      <c r="E7680">
        <f>2/152</f>
        <v>1.3157894736842105E-2</v>
      </c>
      <c r="F7680">
        <v>68</v>
      </c>
      <c r="G7680">
        <f>LOG(382/(68+1))</f>
        <v>0.74321427217445335</v>
      </c>
      <c r="H7680">
        <f>0.0131578947368421*1.71131410400931</f>
        <v>2.2517290842227755E-2</v>
      </c>
      <c r="I7680">
        <v>2.2517290842227838E-2</v>
      </c>
    </row>
    <row r="7681" spans="1:9" x14ac:dyDescent="0.25">
      <c r="A7681">
        <v>359</v>
      </c>
      <c r="B7681" t="s">
        <v>2625</v>
      </c>
      <c r="C7681" t="s">
        <v>10</v>
      </c>
      <c r="D7681" t="s">
        <v>2645</v>
      </c>
      <c r="E7681">
        <f>1/152</f>
        <v>6.5789473684210523E-3</v>
      </c>
      <c r="F7681">
        <v>1</v>
      </c>
      <c r="G7681">
        <f>LOG(382/(1+1))</f>
        <v>2.2810333672477277</v>
      </c>
      <c r="H7681">
        <f>0.00657894736842105*5.25227342804663</f>
        <v>3.4554430447675179E-2</v>
      </c>
      <c r="I7681">
        <v>3.4554430447675193E-2</v>
      </c>
    </row>
    <row r="7682" spans="1:9" x14ac:dyDescent="0.25">
      <c r="A7682">
        <v>359</v>
      </c>
      <c r="B7682" t="s">
        <v>2625</v>
      </c>
      <c r="C7682" t="s">
        <v>10</v>
      </c>
      <c r="D7682" t="s">
        <v>1397</v>
      </c>
      <c r="E7682">
        <f>1/152</f>
        <v>6.5789473684210523E-3</v>
      </c>
      <c r="F7682">
        <v>29</v>
      </c>
      <c r="G7682">
        <f>LOG(382/(29+1))</f>
        <v>1.1049421081920463</v>
      </c>
      <c r="H7682">
        <f>0.00657894736842105*2.54422322694442</f>
        <v>1.6738310703581703E-2</v>
      </c>
      <c r="I7682">
        <v>1.673831070358171E-2</v>
      </c>
    </row>
    <row r="7683" spans="1:9" x14ac:dyDescent="0.25">
      <c r="A7683">
        <v>359</v>
      </c>
      <c r="B7683" t="s">
        <v>2625</v>
      </c>
      <c r="C7683" t="s">
        <v>10</v>
      </c>
      <c r="D7683" t="s">
        <v>455</v>
      </c>
      <c r="E7683">
        <f>1/152</f>
        <v>6.5789473684210523E-3</v>
      </c>
      <c r="F7683">
        <v>78</v>
      </c>
      <c r="G7683">
        <f>LOG(382/(78+1))</f>
        <v>0.6844362716212673</v>
      </c>
      <c r="H7683">
        <f>0.00657894736842105*1.57597275613955</f>
        <v>1.0368241816707561E-2</v>
      </c>
      <c r="I7683">
        <v>1.0368241816707591E-2</v>
      </c>
    </row>
    <row r="7684" spans="1:9" x14ac:dyDescent="0.25">
      <c r="A7684">
        <v>359</v>
      </c>
      <c r="B7684" t="s">
        <v>2625</v>
      </c>
      <c r="C7684" t="s">
        <v>10</v>
      </c>
      <c r="D7684" t="s">
        <v>2646</v>
      </c>
      <c r="E7684">
        <f>1/152</f>
        <v>6.5789473684210523E-3</v>
      </c>
      <c r="F7684">
        <v>1</v>
      </c>
      <c r="G7684">
        <f>LOG(382/(1+1))</f>
        <v>2.2810333672477277</v>
      </c>
      <c r="H7684">
        <f>0.00657894736842105*5.25227342804663</f>
        <v>3.4554430447675179E-2</v>
      </c>
      <c r="I7684">
        <v>3.4554430447675193E-2</v>
      </c>
    </row>
    <row r="7685" spans="1:9" x14ac:dyDescent="0.25">
      <c r="A7685">
        <v>359</v>
      </c>
      <c r="B7685" t="s">
        <v>2625</v>
      </c>
      <c r="C7685" t="s">
        <v>10</v>
      </c>
      <c r="D7685" t="s">
        <v>1626</v>
      </c>
      <c r="E7685">
        <f>1/152</f>
        <v>6.5789473684210523E-3</v>
      </c>
      <c r="F7685">
        <v>32</v>
      </c>
      <c r="G7685">
        <f>LOG(382/(32+1))</f>
        <v>1.0635494230338212</v>
      </c>
      <c r="H7685">
        <f>0.00657894736842105*2.44891304714009</f>
        <v>1.6111270046974269E-2</v>
      </c>
      <c r="I7685">
        <v>1.611127004697431E-2</v>
      </c>
    </row>
    <row r="7686" spans="1:9" x14ac:dyDescent="0.25">
      <c r="A7686">
        <v>359</v>
      </c>
      <c r="B7686" t="s">
        <v>2625</v>
      </c>
      <c r="C7686" t="s">
        <v>10</v>
      </c>
      <c r="D7686" t="s">
        <v>1469</v>
      </c>
      <c r="E7686">
        <f>2/152</f>
        <v>1.3157894736842105E-2</v>
      </c>
      <c r="F7686">
        <v>24</v>
      </c>
      <c r="G7686">
        <f>LOG(382/(24+1))</f>
        <v>1.1841233542396712</v>
      </c>
      <c r="H7686">
        <f>0.0131578947368421*2.72654478373837</f>
        <v>3.5875589259715374E-2</v>
      </c>
      <c r="I7686">
        <v>3.587558925971545E-2</v>
      </c>
    </row>
    <row r="7687" spans="1:9" x14ac:dyDescent="0.25">
      <c r="A7687">
        <v>359</v>
      </c>
      <c r="B7687" t="s">
        <v>2625</v>
      </c>
      <c r="C7687" t="s">
        <v>10</v>
      </c>
      <c r="D7687" t="s">
        <v>439</v>
      </c>
      <c r="E7687">
        <f>1/152</f>
        <v>6.5789473684210523E-3</v>
      </c>
      <c r="F7687">
        <v>28</v>
      </c>
      <c r="G7687">
        <f>LOG(382/(28+1))</f>
        <v>1.1196653650127526</v>
      </c>
      <c r="H7687">
        <f>0.00657894736842105*2.5781247786201</f>
        <v>1.6961347227763806E-2</v>
      </c>
      <c r="I7687">
        <v>1.696134722776382E-2</v>
      </c>
    </row>
    <row r="7688" spans="1:9" x14ac:dyDescent="0.25">
      <c r="A7688">
        <v>359</v>
      </c>
      <c r="B7688" t="s">
        <v>2625</v>
      </c>
      <c r="C7688" t="s">
        <v>10</v>
      </c>
      <c r="D7688" t="s">
        <v>2476</v>
      </c>
      <c r="E7688">
        <f>1/152</f>
        <v>6.5789473684210523E-3</v>
      </c>
      <c r="F7688">
        <v>12</v>
      </c>
      <c r="G7688">
        <f>LOG(382/(12+1))</f>
        <v>1.468120010604872</v>
      </c>
      <c r="H7688">
        <f>0.00657894736842105*3.38047125114503</f>
        <v>2.2239942441743609E-2</v>
      </c>
      <c r="I7688">
        <v>2.2239942441743678E-2</v>
      </c>
    </row>
    <row r="7689" spans="1:9" x14ac:dyDescent="0.25">
      <c r="A7689">
        <v>359</v>
      </c>
      <c r="B7689" t="s">
        <v>2625</v>
      </c>
      <c r="C7689" t="s">
        <v>10</v>
      </c>
      <c r="D7689" t="s">
        <v>754</v>
      </c>
      <c r="E7689">
        <f>1/152</f>
        <v>6.5789473684210523E-3</v>
      </c>
      <c r="F7689">
        <v>111</v>
      </c>
      <c r="G7689">
        <f>LOG(382/(111+1))</f>
        <v>0.53284534024152708</v>
      </c>
      <c r="H7689">
        <f>0.00657894736842105*1.22692173731148</f>
        <v>8.0718535349439437E-3</v>
      </c>
      <c r="I7689">
        <v>8.0718535349439506E-3</v>
      </c>
    </row>
    <row r="7690" spans="1:9" x14ac:dyDescent="0.25">
      <c r="A7690">
        <v>359</v>
      </c>
      <c r="B7690" t="s">
        <v>2625</v>
      </c>
      <c r="C7690" t="s">
        <v>10</v>
      </c>
      <c r="D7690" t="s">
        <v>309</v>
      </c>
      <c r="E7690">
        <f>1/152</f>
        <v>6.5789473684210523E-3</v>
      </c>
      <c r="F7690">
        <v>25</v>
      </c>
      <c r="G7690">
        <f>LOG(382/(25+1))</f>
        <v>1.1670900149408907</v>
      </c>
      <c r="H7690">
        <f>0.00657894736842105*2.68732407058509</f>
        <v>1.767976362227032E-2</v>
      </c>
      <c r="I7690">
        <v>1.7679763622270351E-2</v>
      </c>
    </row>
    <row r="7691" spans="1:9" x14ac:dyDescent="0.25">
      <c r="A7691">
        <v>359</v>
      </c>
      <c r="B7691" t="s">
        <v>2625</v>
      </c>
      <c r="C7691" t="s">
        <v>10</v>
      </c>
      <c r="D7691" t="s">
        <v>763</v>
      </c>
      <c r="E7691">
        <f>2/152</f>
        <v>1.3157894736842105E-2</v>
      </c>
      <c r="F7691">
        <v>47</v>
      </c>
      <c r="G7691">
        <f>LOG(382/(47+1))</f>
        <v>0.90082212553612151</v>
      </c>
      <c r="H7691">
        <f>0.0131578947368421*2.07421959769868</f>
        <v>2.72923631276142E-2</v>
      </c>
      <c r="I7691">
        <v>2.7292363127614259E-2</v>
      </c>
    </row>
    <row r="7692" spans="1:9" x14ac:dyDescent="0.25">
      <c r="A7692">
        <v>359</v>
      </c>
      <c r="B7692" t="s">
        <v>2625</v>
      </c>
      <c r="C7692" t="s">
        <v>10</v>
      </c>
      <c r="D7692" t="s">
        <v>1831</v>
      </c>
      <c r="E7692">
        <f>1/152</f>
        <v>6.5789473684210523E-3</v>
      </c>
      <c r="F7692">
        <v>28</v>
      </c>
      <c r="G7692">
        <f>LOG(382/(28+1))</f>
        <v>1.1196653650127526</v>
      </c>
      <c r="H7692">
        <f>0.00657894736842105*2.5781247786201</f>
        <v>1.6961347227763806E-2</v>
      </c>
      <c r="I7692">
        <v>1.696134722776382E-2</v>
      </c>
    </row>
    <row r="7693" spans="1:9" x14ac:dyDescent="0.25">
      <c r="A7693">
        <v>359</v>
      </c>
      <c r="B7693" t="s">
        <v>2625</v>
      </c>
      <c r="C7693" t="s">
        <v>10</v>
      </c>
      <c r="D7693" t="s">
        <v>1098</v>
      </c>
      <c r="E7693">
        <f>1/152</f>
        <v>6.5789473684210523E-3</v>
      </c>
      <c r="F7693">
        <v>19</v>
      </c>
      <c r="G7693">
        <f>LOG(382/(19+1))</f>
        <v>1.2810333672477277</v>
      </c>
      <c r="H7693">
        <f>0.00657894736842105*2.94968833505258</f>
        <v>1.9405844309556438E-2</v>
      </c>
      <c r="I7693">
        <v>1.940584430955648E-2</v>
      </c>
    </row>
    <row r="7694" spans="1:9" x14ac:dyDescent="0.25">
      <c r="A7694">
        <v>359</v>
      </c>
      <c r="B7694" t="s">
        <v>2625</v>
      </c>
      <c r="C7694" t="s">
        <v>10</v>
      </c>
      <c r="D7694" t="s">
        <v>1919</v>
      </c>
      <c r="E7694">
        <f>1/152</f>
        <v>6.5789473684210523E-3</v>
      </c>
      <c r="F7694">
        <v>18</v>
      </c>
      <c r="G7694">
        <f>LOG(382/(18+1))</f>
        <v>1.3033097619588798</v>
      </c>
      <c r="H7694">
        <f>0.00657894736842105*3.00098162944013</f>
        <v>1.9743300193685059E-2</v>
      </c>
      <c r="I7694">
        <v>1.9743300193685091E-2</v>
      </c>
    </row>
    <row r="7695" spans="1:9" x14ac:dyDescent="0.25">
      <c r="A7695">
        <v>359</v>
      </c>
      <c r="B7695" t="s">
        <v>2625</v>
      </c>
      <c r="C7695" t="s">
        <v>10</v>
      </c>
      <c r="D7695" t="s">
        <v>1918</v>
      </c>
      <c r="E7695">
        <f>1/152</f>
        <v>6.5789473684210523E-3</v>
      </c>
      <c r="F7695">
        <v>25</v>
      </c>
      <c r="G7695">
        <f>LOG(382/(25+1))</f>
        <v>1.1670900149408907</v>
      </c>
      <c r="H7695">
        <f>0.00657894736842105*2.68732407058509</f>
        <v>1.767976362227032E-2</v>
      </c>
      <c r="I7695">
        <v>1.7679763622270351E-2</v>
      </c>
    </row>
    <row r="7696" spans="1:9" x14ac:dyDescent="0.25">
      <c r="A7696">
        <v>359</v>
      </c>
      <c r="B7696" t="s">
        <v>2625</v>
      </c>
      <c r="C7696" t="s">
        <v>10</v>
      </c>
      <c r="D7696" t="s">
        <v>1920</v>
      </c>
      <c r="E7696">
        <f>1/152</f>
        <v>6.5789473684210523E-3</v>
      </c>
      <c r="F7696">
        <v>18</v>
      </c>
      <c r="G7696">
        <f>LOG(382/(18+1))</f>
        <v>1.3033097619588798</v>
      </c>
      <c r="H7696">
        <f>0.00657894736842105*3.00098162944013</f>
        <v>1.9743300193685059E-2</v>
      </c>
      <c r="I7696">
        <v>1.9743300193685091E-2</v>
      </c>
    </row>
    <row r="7697" spans="1:9" x14ac:dyDescent="0.25">
      <c r="A7697">
        <v>359</v>
      </c>
      <c r="B7697" t="s">
        <v>2625</v>
      </c>
      <c r="C7697" t="s">
        <v>10</v>
      </c>
      <c r="D7697" t="s">
        <v>331</v>
      </c>
      <c r="E7697">
        <f>2/152</f>
        <v>1.3157894736842105E-2</v>
      </c>
      <c r="F7697">
        <v>130</v>
      </c>
      <c r="G7697">
        <f>LOG(382/(130+1))</f>
        <v>0.46479206725594452</v>
      </c>
      <c r="H7697">
        <f>0.0131578947368421*1.07022328540542</f>
        <v>1.4081885334281837E-2</v>
      </c>
      <c r="I7697">
        <v>1.4081885334281889E-2</v>
      </c>
    </row>
    <row r="7698" spans="1:9" x14ac:dyDescent="0.25">
      <c r="A7698">
        <v>359</v>
      </c>
      <c r="B7698" t="s">
        <v>2625</v>
      </c>
      <c r="C7698" t="s">
        <v>10</v>
      </c>
      <c r="D7698" t="s">
        <v>39</v>
      </c>
      <c r="E7698">
        <f>1/152</f>
        <v>6.5789473684210523E-3</v>
      </c>
      <c r="F7698">
        <v>145</v>
      </c>
      <c r="G7698">
        <f>LOG(382/(145+1))</f>
        <v>0.41771050712727159</v>
      </c>
      <c r="H7698">
        <f>0.00657894736842105*0.961813986898238</f>
        <v>6.3277235980147215E-3</v>
      </c>
      <c r="I7698">
        <v>6.3277235980147284E-3</v>
      </c>
    </row>
    <row r="7699" spans="1:9" x14ac:dyDescent="0.25">
      <c r="A7699">
        <v>359</v>
      </c>
      <c r="B7699" t="s">
        <v>2625</v>
      </c>
      <c r="C7699" t="s">
        <v>10</v>
      </c>
      <c r="D7699" t="s">
        <v>363</v>
      </c>
      <c r="E7699">
        <f>1/152</f>
        <v>6.5789473684210523E-3</v>
      </c>
      <c r="F7699">
        <v>36</v>
      </c>
      <c r="G7699">
        <f>LOG(382/(36+1))</f>
        <v>1.0138616388447137</v>
      </c>
      <c r="H7699">
        <f>0.00657894736842105*2.33450269596235</f>
        <v>1.5358570368173348E-2</v>
      </c>
      <c r="I7699">
        <v>1.535857036817336E-2</v>
      </c>
    </row>
    <row r="7700" spans="1:9" x14ac:dyDescent="0.25">
      <c r="A7700">
        <v>359</v>
      </c>
      <c r="B7700" t="s">
        <v>2625</v>
      </c>
      <c r="C7700" t="s">
        <v>10</v>
      </c>
      <c r="D7700" t="s">
        <v>483</v>
      </c>
      <c r="E7700">
        <f>1/152</f>
        <v>6.5789473684210523E-3</v>
      </c>
      <c r="F7700">
        <v>61</v>
      </c>
      <c r="G7700">
        <f>LOG(382/(61+1))</f>
        <v>0.7896716734134549</v>
      </c>
      <c r="H7700">
        <f>0.00657894736842105*1.81828622356148</f>
        <v>1.1962409365536048E-2</v>
      </c>
      <c r="I7700">
        <v>1.1962409365536081E-2</v>
      </c>
    </row>
    <row r="7701" spans="1:9" x14ac:dyDescent="0.25">
      <c r="A7701">
        <v>360</v>
      </c>
      <c r="B7701" t="s">
        <v>2647</v>
      </c>
      <c r="C7701" t="s">
        <v>10</v>
      </c>
      <c r="D7701" t="s">
        <v>157</v>
      </c>
      <c r="E7701">
        <f>7/69</f>
        <v>0.10144927536231885</v>
      </c>
      <c r="F7701">
        <v>16</v>
      </c>
      <c r="G7701">
        <f>LOG(382/(16+1))</f>
        <v>1.3516144415334348</v>
      </c>
      <c r="H7701">
        <f>0.101449275362318*3.11220726455035</f>
        <v>0.31573117176597493</v>
      </c>
      <c r="I7701">
        <v>0.31573117176597848</v>
      </c>
    </row>
    <row r="7702" spans="1:9" x14ac:dyDescent="0.25">
      <c r="A7702">
        <v>360</v>
      </c>
      <c r="B7702" t="s">
        <v>2647</v>
      </c>
      <c r="C7702" t="s">
        <v>10</v>
      </c>
      <c r="D7702" t="s">
        <v>39</v>
      </c>
      <c r="E7702">
        <f>1/69</f>
        <v>1.4492753623188406E-2</v>
      </c>
      <c r="F7702">
        <v>145</v>
      </c>
      <c r="G7702">
        <f>LOG(382/(145+1))</f>
        <v>0.41771050712727159</v>
      </c>
      <c r="H7702">
        <f>0.0144927536231884*0.961813986898238</f>
        <v>1.393933314345272E-2</v>
      </c>
      <c r="I7702">
        <v>1.3939333143452739E-2</v>
      </c>
    </row>
    <row r="7703" spans="1:9" x14ac:dyDescent="0.25">
      <c r="A7703">
        <v>360</v>
      </c>
      <c r="B7703" t="s">
        <v>2647</v>
      </c>
      <c r="C7703" t="s">
        <v>10</v>
      </c>
      <c r="D7703" t="s">
        <v>40</v>
      </c>
      <c r="E7703">
        <f>7/69</f>
        <v>0.10144927536231885</v>
      </c>
      <c r="F7703">
        <v>159</v>
      </c>
      <c r="G7703">
        <f>LOG(382/(159+1))</f>
        <v>0.377943380255784</v>
      </c>
      <c r="H7703">
        <f>0.101449275362318*0.870246793372748</f>
        <v>8.8285906574046169E-2</v>
      </c>
      <c r="I7703">
        <v>8.8285906574046946E-2</v>
      </c>
    </row>
    <row r="7704" spans="1:9" x14ac:dyDescent="0.25">
      <c r="A7704">
        <v>360</v>
      </c>
      <c r="B7704" t="s">
        <v>2647</v>
      </c>
      <c r="C7704" t="s">
        <v>10</v>
      </c>
      <c r="D7704" t="s">
        <v>41</v>
      </c>
      <c r="E7704">
        <f>4/69</f>
        <v>5.7971014492753624E-2</v>
      </c>
      <c r="F7704">
        <v>195</v>
      </c>
      <c r="G7704">
        <f>LOG(382/(195+1))</f>
        <v>0.28980729155523272</v>
      </c>
      <c r="H7704">
        <f>0.0579710144927536*0.667305949376058</f>
        <v>3.868440286238016E-2</v>
      </c>
      <c r="I7704">
        <v>3.8684402862380167E-2</v>
      </c>
    </row>
    <row r="7705" spans="1:9" x14ac:dyDescent="0.25">
      <c r="A7705">
        <v>360</v>
      </c>
      <c r="B7705" t="s">
        <v>2647</v>
      </c>
      <c r="C7705" t="s">
        <v>10</v>
      </c>
      <c r="D7705" t="s">
        <v>22</v>
      </c>
      <c r="E7705">
        <f>2/69</f>
        <v>2.8985507246376812E-2</v>
      </c>
      <c r="F7705">
        <v>259</v>
      </c>
      <c r="G7705">
        <f>LOG(382/(259+1))</f>
        <v>0.16709001494089079</v>
      </c>
      <c r="H7705">
        <f>0.0289855072463768*0.384738977591047</f>
        <v>1.1151854422928896E-2</v>
      </c>
      <c r="I7705">
        <v>1.115185442292891E-2</v>
      </c>
    </row>
    <row r="7706" spans="1:9" x14ac:dyDescent="0.25">
      <c r="A7706">
        <v>360</v>
      </c>
      <c r="B7706" t="s">
        <v>2647</v>
      </c>
      <c r="C7706" t="s">
        <v>10</v>
      </c>
      <c r="D7706" t="s">
        <v>23</v>
      </c>
      <c r="E7706">
        <f>2/69</f>
        <v>2.8985507246376812E-2</v>
      </c>
      <c r="F7706">
        <v>275</v>
      </c>
      <c r="G7706">
        <f>LOG(382/(275+1))</f>
        <v>0.14115428084649101</v>
      </c>
      <c r="H7706">
        <f>0.0289855072463768*0.325019742889425</f>
        <v>9.4208621127369521E-3</v>
      </c>
      <c r="I7706">
        <v>9.4208621127369607E-3</v>
      </c>
    </row>
    <row r="7707" spans="1:9" x14ac:dyDescent="0.25">
      <c r="A7707">
        <v>360</v>
      </c>
      <c r="B7707" t="s">
        <v>2647</v>
      </c>
      <c r="C7707" t="s">
        <v>10</v>
      </c>
      <c r="D7707" t="s">
        <v>153</v>
      </c>
      <c r="E7707">
        <f>2/69</f>
        <v>2.8985507246376812E-2</v>
      </c>
      <c r="F7707">
        <v>10</v>
      </c>
      <c r="G7707">
        <f>LOG(382/(10+1))</f>
        <v>1.5406706777534838</v>
      </c>
      <c r="H7707">
        <f>0.0289855072463768*3.5475253358082</f>
        <v>0.10282682132777388</v>
      </c>
      <c r="I7707">
        <v>0.102826821327774</v>
      </c>
    </row>
    <row r="7708" spans="1:9" x14ac:dyDescent="0.25">
      <c r="A7708">
        <v>360</v>
      </c>
      <c r="B7708" t="s">
        <v>2647</v>
      </c>
      <c r="C7708" t="s">
        <v>10</v>
      </c>
      <c r="D7708" t="s">
        <v>101</v>
      </c>
      <c r="E7708">
        <f>2/69</f>
        <v>2.8985507246376812E-2</v>
      </c>
      <c r="F7708">
        <v>7</v>
      </c>
      <c r="G7708">
        <f>LOG(382/(7+1))</f>
        <v>1.6789733759197651</v>
      </c>
      <c r="H7708">
        <f>0.0289855072463768*3.86597906692673</f>
        <v>0.11205736425874577</v>
      </c>
      <c r="I7708">
        <v>0.1120573642587461</v>
      </c>
    </row>
    <row r="7709" spans="1:9" x14ac:dyDescent="0.25">
      <c r="A7709">
        <v>360</v>
      </c>
      <c r="B7709" t="s">
        <v>2647</v>
      </c>
      <c r="C7709" t="s">
        <v>10</v>
      </c>
      <c r="D7709" t="s">
        <v>16</v>
      </c>
      <c r="E7709">
        <f>2/69</f>
        <v>2.8985507246376812E-2</v>
      </c>
      <c r="F7709">
        <v>8</v>
      </c>
      <c r="G7709">
        <f>LOG(382/(8+1))</f>
        <v>1.6278208534723839</v>
      </c>
      <c r="H7709">
        <f>0.0289855072463768*3.74819603127035</f>
        <v>0.1086433632252275</v>
      </c>
      <c r="I7709">
        <v>0.1086433632252277</v>
      </c>
    </row>
    <row r="7710" spans="1:9" x14ac:dyDescent="0.25">
      <c r="A7710">
        <v>360</v>
      </c>
      <c r="B7710" t="s">
        <v>2647</v>
      </c>
      <c r="C7710" t="s">
        <v>10</v>
      </c>
      <c r="D7710" t="s">
        <v>42</v>
      </c>
      <c r="E7710">
        <f>3/69</f>
        <v>4.3478260869565216E-2</v>
      </c>
      <c r="F7710">
        <v>251</v>
      </c>
      <c r="G7710">
        <f>LOG(382/(251+1))</f>
        <v>0.18066282213016463</v>
      </c>
      <c r="H7710">
        <f>0.0434782608695652*0.415991521095151</f>
        <v>1.8086587873702209E-2</v>
      </c>
      <c r="I7710">
        <v>1.8086587873702251E-2</v>
      </c>
    </row>
    <row r="7711" spans="1:9" x14ac:dyDescent="0.25">
      <c r="A7711">
        <v>360</v>
      </c>
      <c r="B7711" t="s">
        <v>2647</v>
      </c>
      <c r="C7711" t="s">
        <v>10</v>
      </c>
      <c r="D7711" t="s">
        <v>19</v>
      </c>
      <c r="E7711">
        <f>3/69</f>
        <v>4.3478260869565216E-2</v>
      </c>
      <c r="F7711">
        <v>220</v>
      </c>
      <c r="G7711">
        <f>LOG(382/(220+1))</f>
        <v>0.23767108922659805</v>
      </c>
      <c r="H7711">
        <f>0.0434782608695652*0.547257907088822</f>
        <v>2.3793822047340082E-2</v>
      </c>
      <c r="I7711">
        <v>2.37938220473401E-2</v>
      </c>
    </row>
    <row r="7712" spans="1:9" x14ac:dyDescent="0.25">
      <c r="A7712">
        <v>360</v>
      </c>
      <c r="B7712" t="s">
        <v>2647</v>
      </c>
      <c r="C7712" t="s">
        <v>10</v>
      </c>
      <c r="D7712" t="s">
        <v>2648</v>
      </c>
      <c r="E7712">
        <f>2/69</f>
        <v>2.8985507246376812E-2</v>
      </c>
      <c r="F7712">
        <v>2</v>
      </c>
      <c r="G7712">
        <f>LOG(382/(2+1))</f>
        <v>2.1049421081920463</v>
      </c>
      <c r="H7712">
        <f>0.0289855072463768*4.84680831993846</f>
        <v>0.14048719767937559</v>
      </c>
      <c r="I7712">
        <v>0.14048719767937581</v>
      </c>
    </row>
    <row r="7713" spans="1:9" x14ac:dyDescent="0.25">
      <c r="A7713">
        <v>360</v>
      </c>
      <c r="B7713" t="s">
        <v>2647</v>
      </c>
      <c r="C7713" t="s">
        <v>10</v>
      </c>
      <c r="D7713" t="s">
        <v>1492</v>
      </c>
      <c r="E7713">
        <f>2/69</f>
        <v>2.8985507246376812E-2</v>
      </c>
      <c r="F7713">
        <v>8</v>
      </c>
      <c r="G7713">
        <f>LOG(382/(8+1))</f>
        <v>1.6278208534723839</v>
      </c>
      <c r="H7713">
        <f>0.0289855072463768*3.74819603127035</f>
        <v>0.1086433632252275</v>
      </c>
      <c r="I7713">
        <v>0.1086433632252277</v>
      </c>
    </row>
    <row r="7714" spans="1:9" x14ac:dyDescent="0.25">
      <c r="A7714">
        <v>360</v>
      </c>
      <c r="B7714" t="s">
        <v>2647</v>
      </c>
      <c r="C7714" t="s">
        <v>10</v>
      </c>
      <c r="D7714" t="s">
        <v>2649</v>
      </c>
      <c r="E7714">
        <f>1/69</f>
        <v>1.4492753623188406E-2</v>
      </c>
      <c r="F7714">
        <v>1</v>
      </c>
      <c r="G7714">
        <f>LOG(382/(1+1))</f>
        <v>2.2810333672477277</v>
      </c>
      <c r="H7714">
        <f>0.0144927536231884*5.25227342804663</f>
        <v>7.6119904754298959E-2</v>
      </c>
      <c r="I7714">
        <v>7.6119904754298987E-2</v>
      </c>
    </row>
    <row r="7715" spans="1:9" x14ac:dyDescent="0.25">
      <c r="A7715">
        <v>360</v>
      </c>
      <c r="B7715" t="s">
        <v>2647</v>
      </c>
      <c r="C7715" t="s">
        <v>10</v>
      </c>
      <c r="D7715" t="s">
        <v>2650</v>
      </c>
      <c r="E7715">
        <f>1/69</f>
        <v>1.4492753623188406E-2</v>
      </c>
      <c r="F7715">
        <v>1</v>
      </c>
      <c r="G7715">
        <f>LOG(382/(1+1))</f>
        <v>2.2810333672477277</v>
      </c>
      <c r="H7715">
        <f>0.0144927536231884*5.25227342804663</f>
        <v>7.6119904754298959E-2</v>
      </c>
      <c r="I7715">
        <v>7.6119904754298987E-2</v>
      </c>
    </row>
    <row r="7716" spans="1:9" x14ac:dyDescent="0.25">
      <c r="A7716">
        <v>360</v>
      </c>
      <c r="B7716" t="s">
        <v>2647</v>
      </c>
      <c r="C7716" t="s">
        <v>10</v>
      </c>
      <c r="D7716" t="s">
        <v>2651</v>
      </c>
      <c r="E7716">
        <f>1/69</f>
        <v>1.4492753623188406E-2</v>
      </c>
      <c r="F7716">
        <v>1</v>
      </c>
      <c r="G7716">
        <f>LOG(382/(1+1))</f>
        <v>2.2810333672477277</v>
      </c>
      <c r="H7716">
        <f>0.0144927536231884*5.25227342804663</f>
        <v>7.6119904754298959E-2</v>
      </c>
      <c r="I7716">
        <v>7.6119904754298987E-2</v>
      </c>
    </row>
    <row r="7717" spans="1:9" x14ac:dyDescent="0.25">
      <c r="A7717">
        <v>360</v>
      </c>
      <c r="B7717" t="s">
        <v>2647</v>
      </c>
      <c r="C7717" t="s">
        <v>10</v>
      </c>
      <c r="D7717" t="s">
        <v>2652</v>
      </c>
      <c r="E7717">
        <f>1/69</f>
        <v>1.4492753623188406E-2</v>
      </c>
      <c r="F7717">
        <v>1</v>
      </c>
      <c r="G7717">
        <f>LOG(382/(1+1))</f>
        <v>2.2810333672477277</v>
      </c>
      <c r="H7717">
        <f>0.0144927536231884*5.25227342804663</f>
        <v>7.6119904754298959E-2</v>
      </c>
      <c r="I7717">
        <v>7.6119904754298987E-2</v>
      </c>
    </row>
    <row r="7718" spans="1:9" x14ac:dyDescent="0.25">
      <c r="A7718">
        <v>360</v>
      </c>
      <c r="B7718" t="s">
        <v>2647</v>
      </c>
      <c r="C7718" t="s">
        <v>10</v>
      </c>
      <c r="D7718" t="s">
        <v>25</v>
      </c>
      <c r="E7718">
        <f>3/69</f>
        <v>4.3478260869565216E-2</v>
      </c>
      <c r="F7718">
        <v>106</v>
      </c>
      <c r="G7718">
        <f>LOG(382/(106+1))</f>
        <v>0.55267958522649907</v>
      </c>
      <c r="H7718">
        <f>0.0434782608695652*1.27259177414466</f>
        <v>5.5330077136724325E-2</v>
      </c>
      <c r="I7718">
        <v>5.5330077136724741E-2</v>
      </c>
    </row>
    <row r="7719" spans="1:9" x14ac:dyDescent="0.25">
      <c r="A7719">
        <v>360</v>
      </c>
      <c r="B7719" t="s">
        <v>2647</v>
      </c>
      <c r="C7719" t="s">
        <v>10</v>
      </c>
      <c r="D7719" t="s">
        <v>322</v>
      </c>
      <c r="E7719">
        <f>1/69</f>
        <v>1.4492753623188406E-2</v>
      </c>
      <c r="F7719">
        <v>128</v>
      </c>
      <c r="G7719">
        <f>LOG(382/(128+1))</f>
        <v>0.47147365261245977</v>
      </c>
      <c r="H7719">
        <f>0.0144927536231884*1.0856082042449</f>
        <v>1.5733452235433328E-2</v>
      </c>
      <c r="I7719">
        <v>1.573345223543338E-2</v>
      </c>
    </row>
    <row r="7720" spans="1:9" x14ac:dyDescent="0.25">
      <c r="A7720">
        <v>360</v>
      </c>
      <c r="B7720" t="s">
        <v>2647</v>
      </c>
      <c r="C7720" t="s">
        <v>10</v>
      </c>
      <c r="D7720" t="s">
        <v>2653</v>
      </c>
      <c r="E7720">
        <f>1/69</f>
        <v>1.4492753623188406E-2</v>
      </c>
      <c r="F7720">
        <v>1</v>
      </c>
      <c r="G7720">
        <f>LOG(382/(1+1))</f>
        <v>2.2810333672477277</v>
      </c>
      <c r="H7720">
        <f>0.0144927536231884*5.25227342804663</f>
        <v>7.6119904754298959E-2</v>
      </c>
      <c r="I7720">
        <v>7.6119904754298987E-2</v>
      </c>
    </row>
    <row r="7721" spans="1:9" x14ac:dyDescent="0.25">
      <c r="A7721">
        <v>360</v>
      </c>
      <c r="B7721" t="s">
        <v>2647</v>
      </c>
      <c r="C7721" t="s">
        <v>10</v>
      </c>
      <c r="D7721" t="s">
        <v>2654</v>
      </c>
      <c r="E7721">
        <f>1/69</f>
        <v>1.4492753623188406E-2</v>
      </c>
      <c r="F7721">
        <v>1</v>
      </c>
      <c r="G7721">
        <f>LOG(382/(1+1))</f>
        <v>2.2810333672477277</v>
      </c>
      <c r="H7721">
        <f>0.0144927536231884*5.25227342804663</f>
        <v>7.6119904754298959E-2</v>
      </c>
      <c r="I7721">
        <v>7.6119904754298987E-2</v>
      </c>
    </row>
    <row r="7722" spans="1:9" x14ac:dyDescent="0.25">
      <c r="A7722">
        <v>360</v>
      </c>
      <c r="B7722" t="s">
        <v>2647</v>
      </c>
      <c r="C7722" t="s">
        <v>10</v>
      </c>
      <c r="D7722" t="s">
        <v>339</v>
      </c>
      <c r="E7722">
        <f>3/69</f>
        <v>4.3478260869565216E-2</v>
      </c>
      <c r="F7722">
        <v>66</v>
      </c>
      <c r="G7722">
        <f>LOG(382/(66+1))</f>
        <v>0.75598856021088234</v>
      </c>
      <c r="H7722">
        <f>0.0434782608695652*1.7407279892156</f>
        <v>7.5683825618069536E-2</v>
      </c>
      <c r="I7722">
        <v>7.5683825618069966E-2</v>
      </c>
    </row>
    <row r="7723" spans="1:9" x14ac:dyDescent="0.25">
      <c r="A7723">
        <v>360</v>
      </c>
      <c r="B7723" t="s">
        <v>2647</v>
      </c>
      <c r="C7723" t="s">
        <v>10</v>
      </c>
      <c r="D7723" t="s">
        <v>635</v>
      </c>
      <c r="E7723">
        <f>2/69</f>
        <v>2.8985507246376812E-2</v>
      </c>
      <c r="F7723">
        <v>4</v>
      </c>
      <c r="G7723">
        <f>LOG(382/(4+1))</f>
        <v>1.8830933585756899</v>
      </c>
      <c r="H7723">
        <f>0.0289855072463768*4.33598269617247</f>
        <v>0.12568065786007157</v>
      </c>
      <c r="I7723">
        <v>0.12568065786007171</v>
      </c>
    </row>
    <row r="7724" spans="1:9" x14ac:dyDescent="0.25">
      <c r="A7724">
        <v>360</v>
      </c>
      <c r="B7724" t="s">
        <v>2647</v>
      </c>
      <c r="C7724" t="s">
        <v>10</v>
      </c>
      <c r="D7724" t="s">
        <v>823</v>
      </c>
      <c r="E7724">
        <f>3/69</f>
        <v>4.3478260869565216E-2</v>
      </c>
      <c r="F7724">
        <v>45</v>
      </c>
      <c r="G7724">
        <f>LOG(382/(45+1))</f>
        <v>0.9193055312301347</v>
      </c>
      <c r="H7724">
        <f>0.0434782608695652*2.11677921211748</f>
        <v>9.2033878787716503E-2</v>
      </c>
      <c r="I7724">
        <v>9.203387878771653E-2</v>
      </c>
    </row>
    <row r="7725" spans="1:9" x14ac:dyDescent="0.25">
      <c r="A7725">
        <v>360</v>
      </c>
      <c r="B7725" t="s">
        <v>2647</v>
      </c>
      <c r="C7725" t="s">
        <v>10</v>
      </c>
      <c r="D7725" t="s">
        <v>2655</v>
      </c>
      <c r="E7725">
        <f>2/69</f>
        <v>2.8985507246376812E-2</v>
      </c>
      <c r="F7725">
        <v>3</v>
      </c>
      <c r="G7725">
        <f>LOG(382/(3+1))</f>
        <v>1.9800033715837464</v>
      </c>
      <c r="H7725">
        <f>0.0289855072463768*4.55912624748668</f>
        <v>0.13214858688367184</v>
      </c>
      <c r="I7725">
        <v>0.13214858688367201</v>
      </c>
    </row>
    <row r="7726" spans="1:9" x14ac:dyDescent="0.25">
      <c r="A7726">
        <v>360</v>
      </c>
      <c r="B7726" t="s">
        <v>2647</v>
      </c>
      <c r="C7726" t="s">
        <v>10</v>
      </c>
      <c r="D7726" t="s">
        <v>2656</v>
      </c>
      <c r="E7726">
        <f>2/69</f>
        <v>2.8985507246376812E-2</v>
      </c>
      <c r="F7726">
        <v>2</v>
      </c>
      <c r="G7726">
        <f>LOG(382/(2+1))</f>
        <v>2.1049421081920463</v>
      </c>
      <c r="H7726">
        <f>0.0289855072463768*4.84680831993846</f>
        <v>0.14048719767937559</v>
      </c>
      <c r="I7726">
        <v>0.14048719767937581</v>
      </c>
    </row>
    <row r="7727" spans="1:9" x14ac:dyDescent="0.25">
      <c r="A7727">
        <v>360</v>
      </c>
      <c r="B7727" t="s">
        <v>2647</v>
      </c>
      <c r="C7727" t="s">
        <v>10</v>
      </c>
      <c r="D7727" t="s">
        <v>2657</v>
      </c>
      <c r="E7727">
        <f>2/69</f>
        <v>2.8985507246376812E-2</v>
      </c>
      <c r="F7727">
        <v>2</v>
      </c>
      <c r="G7727">
        <f>LOG(382/(2+1))</f>
        <v>2.1049421081920463</v>
      </c>
      <c r="H7727">
        <f>0.0289855072463768*4.84680831993846</f>
        <v>0.14048719767937559</v>
      </c>
      <c r="I7727">
        <v>0.14048719767937581</v>
      </c>
    </row>
    <row r="7728" spans="1:9" x14ac:dyDescent="0.25">
      <c r="A7728">
        <v>360</v>
      </c>
      <c r="B7728" t="s">
        <v>2647</v>
      </c>
      <c r="C7728" t="s">
        <v>10</v>
      </c>
      <c r="D7728" t="s">
        <v>44</v>
      </c>
      <c r="E7728">
        <f>2/69</f>
        <v>2.8985507246376812E-2</v>
      </c>
      <c r="F7728">
        <v>151</v>
      </c>
      <c r="G7728">
        <f>LOG(382/(151+1))</f>
        <v>0.40021977496693617</v>
      </c>
      <c r="H7728">
        <f>0.0289855072463768*0.921540087760298</f>
        <v>2.6711306891602834E-2</v>
      </c>
      <c r="I7728">
        <v>2.6711306891602862E-2</v>
      </c>
    </row>
    <row r="7729" spans="1:9" x14ac:dyDescent="0.25">
      <c r="A7729">
        <v>360</v>
      </c>
      <c r="B7729" t="s">
        <v>2647</v>
      </c>
      <c r="C7729" t="s">
        <v>10</v>
      </c>
      <c r="D7729" t="s">
        <v>38</v>
      </c>
      <c r="E7729">
        <f>1/69</f>
        <v>1.4492753623188406E-2</v>
      </c>
      <c r="F7729">
        <v>86</v>
      </c>
      <c r="G7729">
        <f>LOG(382/(86+1))</f>
        <v>0.64254411029309022</v>
      </c>
      <c r="H7729">
        <f>0.0144927536231884*1.47951248995199</f>
        <v>2.1442209999304195E-2</v>
      </c>
      <c r="I7729">
        <v>2.144220999930422E-2</v>
      </c>
    </row>
    <row r="7730" spans="1:9" x14ac:dyDescent="0.25">
      <c r="A7730">
        <v>360</v>
      </c>
      <c r="B7730" t="s">
        <v>2647</v>
      </c>
      <c r="C7730" t="s">
        <v>10</v>
      </c>
      <c r="D7730" t="s">
        <v>805</v>
      </c>
      <c r="E7730">
        <f>1/69</f>
        <v>1.4492753623188406E-2</v>
      </c>
      <c r="F7730">
        <v>19</v>
      </c>
      <c r="G7730">
        <f>LOG(382/(19+1))</f>
        <v>1.2810333672477277</v>
      </c>
      <c r="H7730">
        <f>0.0144927536231884*2.94968833505258</f>
        <v>4.2749106305109842E-2</v>
      </c>
      <c r="I7730">
        <v>4.2749106305109918E-2</v>
      </c>
    </row>
    <row r="7731" spans="1:9" x14ac:dyDescent="0.25">
      <c r="A7731">
        <v>360</v>
      </c>
      <c r="B7731" t="s">
        <v>2647</v>
      </c>
      <c r="C7731" t="s">
        <v>10</v>
      </c>
      <c r="D7731" t="s">
        <v>20</v>
      </c>
      <c r="E7731">
        <f>1/69</f>
        <v>1.4492753623188406E-2</v>
      </c>
      <c r="F7731">
        <v>19</v>
      </c>
      <c r="G7731">
        <f>LOG(382/(19+1))</f>
        <v>1.2810333672477277</v>
      </c>
      <c r="H7731">
        <f>0.0144927536231884*2.94968833505258</f>
        <v>4.2749106305109842E-2</v>
      </c>
      <c r="I7731">
        <v>4.2749106305109918E-2</v>
      </c>
    </row>
    <row r="7732" spans="1:9" x14ac:dyDescent="0.25">
      <c r="A7732">
        <v>360</v>
      </c>
      <c r="B7732" t="s">
        <v>2647</v>
      </c>
      <c r="C7732" t="s">
        <v>10</v>
      </c>
      <c r="D7732" t="s">
        <v>2658</v>
      </c>
      <c r="E7732">
        <f>1/69</f>
        <v>1.4492753623188406E-2</v>
      </c>
      <c r="F7732">
        <v>2</v>
      </c>
      <c r="G7732">
        <f>LOG(382/(2+1))</f>
        <v>2.1049421081920463</v>
      </c>
      <c r="H7732">
        <f>0.0144927536231884*4.84680831993846</f>
        <v>7.0243598839687796E-2</v>
      </c>
      <c r="I7732">
        <v>7.0243598839687907E-2</v>
      </c>
    </row>
    <row r="7733" spans="1:9" x14ac:dyDescent="0.25">
      <c r="A7733">
        <v>361</v>
      </c>
      <c r="B7733" t="s">
        <v>2659</v>
      </c>
      <c r="C7733" t="s">
        <v>10</v>
      </c>
      <c r="D7733" t="s">
        <v>2660</v>
      </c>
      <c r="E7733">
        <f>4/126</f>
        <v>3.1746031746031744E-2</v>
      </c>
      <c r="F7733">
        <v>1</v>
      </c>
      <c r="G7733">
        <f>LOG(382/(1+1))</f>
        <v>2.2810333672477277</v>
      </c>
      <c r="H7733">
        <f>0.0317460317460317*5.25227342804663</f>
        <v>0.16673883898560707</v>
      </c>
      <c r="I7733">
        <v>0.16673883898560729</v>
      </c>
    </row>
    <row r="7734" spans="1:9" x14ac:dyDescent="0.25">
      <c r="A7734">
        <v>361</v>
      </c>
      <c r="B7734" t="s">
        <v>2659</v>
      </c>
      <c r="C7734" t="s">
        <v>10</v>
      </c>
      <c r="D7734" t="s">
        <v>2661</v>
      </c>
      <c r="E7734">
        <f>4/126</f>
        <v>3.1746031746031744E-2</v>
      </c>
      <c r="F7734">
        <v>1</v>
      </c>
      <c r="G7734">
        <f>LOG(382/(1+1))</f>
        <v>2.2810333672477277</v>
      </c>
      <c r="H7734">
        <f>0.0317460317460317*5.25227342804663</f>
        <v>0.16673883898560707</v>
      </c>
      <c r="I7734">
        <v>0.16673883898560729</v>
      </c>
    </row>
    <row r="7735" spans="1:9" x14ac:dyDescent="0.25">
      <c r="A7735">
        <v>361</v>
      </c>
      <c r="B7735" t="s">
        <v>2659</v>
      </c>
      <c r="C7735" t="s">
        <v>10</v>
      </c>
      <c r="D7735" t="s">
        <v>40</v>
      </c>
      <c r="E7735">
        <f>7/126</f>
        <v>5.5555555555555552E-2</v>
      </c>
      <c r="F7735">
        <v>159</v>
      </c>
      <c r="G7735">
        <f>LOG(382/(159+1))</f>
        <v>0.377943380255784</v>
      </c>
      <c r="H7735">
        <f>0.0555555555555555*0.870246793372748</f>
        <v>4.834704407626373E-2</v>
      </c>
      <c r="I7735">
        <v>4.8347044076263793E-2</v>
      </c>
    </row>
    <row r="7736" spans="1:9" x14ac:dyDescent="0.25">
      <c r="A7736">
        <v>361</v>
      </c>
      <c r="B7736" t="s">
        <v>2659</v>
      </c>
      <c r="C7736" t="s">
        <v>10</v>
      </c>
      <c r="D7736" t="s">
        <v>42</v>
      </c>
      <c r="E7736">
        <f>1/126</f>
        <v>7.9365079365079361E-3</v>
      </c>
      <c r="F7736">
        <v>251</v>
      </c>
      <c r="G7736">
        <f>LOG(382/(251+1))</f>
        <v>0.18066282213016463</v>
      </c>
      <c r="H7736">
        <f>0.00793650793650793*0.415991521095151</f>
        <v>3.301520008691672E-3</v>
      </c>
      <c r="I7736">
        <v>3.3015200086916811E-3</v>
      </c>
    </row>
    <row r="7737" spans="1:9" x14ac:dyDescent="0.25">
      <c r="A7737">
        <v>361</v>
      </c>
      <c r="B7737" t="s">
        <v>2659</v>
      </c>
      <c r="C7737" t="s">
        <v>10</v>
      </c>
      <c r="D7737" t="s">
        <v>68</v>
      </c>
      <c r="E7737">
        <f>2/126</f>
        <v>1.5873015873015872E-2</v>
      </c>
      <c r="F7737">
        <v>43</v>
      </c>
      <c r="G7737">
        <f>LOG(382/(43+1))</f>
        <v>0.93861068642552126</v>
      </c>
      <c r="H7737">
        <f>0.0158730158730158*2.16123097468831</f>
        <v>3.4305253566480946E-2</v>
      </c>
      <c r="I7737">
        <v>3.4305253566481168E-2</v>
      </c>
    </row>
    <row r="7738" spans="1:9" x14ac:dyDescent="0.25">
      <c r="A7738">
        <v>361</v>
      </c>
      <c r="B7738" t="s">
        <v>2659</v>
      </c>
      <c r="C7738" t="s">
        <v>10</v>
      </c>
      <c r="D7738" t="s">
        <v>44</v>
      </c>
      <c r="E7738">
        <f>3/126</f>
        <v>2.3809523809523808E-2</v>
      </c>
      <c r="F7738">
        <v>151</v>
      </c>
      <c r="G7738">
        <f>LOG(382/(151+1))</f>
        <v>0.40021977496693617</v>
      </c>
      <c r="H7738">
        <f>0.0238095238095238*0.921540087760298</f>
        <v>2.1941430660959469E-2</v>
      </c>
      <c r="I7738">
        <v>2.194143066095949E-2</v>
      </c>
    </row>
    <row r="7739" spans="1:9" x14ac:dyDescent="0.25">
      <c r="A7739">
        <v>361</v>
      </c>
      <c r="B7739" t="s">
        <v>2659</v>
      </c>
      <c r="C7739" t="s">
        <v>10</v>
      </c>
      <c r="D7739" t="s">
        <v>2662</v>
      </c>
      <c r="E7739">
        <f>1/126</f>
        <v>7.9365079365079361E-3</v>
      </c>
      <c r="F7739">
        <v>1</v>
      </c>
      <c r="G7739">
        <f>LOG(382/(1+1))</f>
        <v>2.2810333672477277</v>
      </c>
      <c r="H7739">
        <f>0.00793650793650793*5.25227342804663</f>
        <v>4.1684709746401795E-2</v>
      </c>
      <c r="I7739">
        <v>4.1684709746401823E-2</v>
      </c>
    </row>
    <row r="7740" spans="1:9" x14ac:dyDescent="0.25">
      <c r="A7740">
        <v>361</v>
      </c>
      <c r="B7740" t="s">
        <v>2659</v>
      </c>
      <c r="C7740" t="s">
        <v>10</v>
      </c>
      <c r="D7740" t="s">
        <v>15</v>
      </c>
      <c r="E7740">
        <f>2/126</f>
        <v>1.5873015873015872E-2</v>
      </c>
      <c r="F7740">
        <v>112</v>
      </c>
      <c r="G7740">
        <f>LOG(382/(112+1))</f>
        <v>0.52898491942828896</v>
      </c>
      <c r="H7740">
        <f>0.0158730158730158*1.21803278989423</f>
        <v>1.9333853807844831E-2</v>
      </c>
      <c r="I7740">
        <v>1.933385380784499E-2</v>
      </c>
    </row>
    <row r="7741" spans="1:9" x14ac:dyDescent="0.25">
      <c r="A7741">
        <v>361</v>
      </c>
      <c r="B7741" t="s">
        <v>2659</v>
      </c>
      <c r="C7741" t="s">
        <v>10</v>
      </c>
      <c r="D7741" t="s">
        <v>2663</v>
      </c>
      <c r="E7741">
        <f>2/126</f>
        <v>1.5873015873015872E-2</v>
      </c>
      <c r="F7741">
        <v>1</v>
      </c>
      <c r="G7741">
        <f>LOG(382/(1+1))</f>
        <v>2.2810333672477277</v>
      </c>
      <c r="H7741">
        <f>0.0158730158730158*5.25227342804663</f>
        <v>8.3369419492803257E-2</v>
      </c>
      <c r="I7741">
        <v>8.3369419492803645E-2</v>
      </c>
    </row>
    <row r="7742" spans="1:9" x14ac:dyDescent="0.25">
      <c r="A7742">
        <v>361</v>
      </c>
      <c r="B7742" t="s">
        <v>2659</v>
      </c>
      <c r="C7742" t="s">
        <v>10</v>
      </c>
      <c r="D7742" t="s">
        <v>41</v>
      </c>
      <c r="E7742">
        <f>1/126</f>
        <v>7.9365079365079361E-3</v>
      </c>
      <c r="F7742">
        <v>195</v>
      </c>
      <c r="G7742">
        <f>LOG(382/(195+1))</f>
        <v>0.28980729155523272</v>
      </c>
      <c r="H7742">
        <f>0.00793650793650793*0.667305949376058</f>
        <v>5.2960789633020441E-3</v>
      </c>
      <c r="I7742">
        <v>5.2960789633020476E-3</v>
      </c>
    </row>
    <row r="7743" spans="1:9" x14ac:dyDescent="0.25">
      <c r="A7743">
        <v>361</v>
      </c>
      <c r="B7743" t="s">
        <v>2659</v>
      </c>
      <c r="C7743" t="s">
        <v>10</v>
      </c>
      <c r="D7743" t="s">
        <v>17</v>
      </c>
      <c r="E7743">
        <f>2/126</f>
        <v>1.5873015873015872E-2</v>
      </c>
      <c r="F7743">
        <v>169</v>
      </c>
      <c r="G7743">
        <f>LOG(382/(169+1))</f>
        <v>0.3516144415334348</v>
      </c>
      <c r="H7743">
        <f>0.0158730158730158*0.809622171556313</f>
        <v>1.2851145580258877E-2</v>
      </c>
      <c r="I7743">
        <v>1.2851145580258939E-2</v>
      </c>
    </row>
    <row r="7744" spans="1:9" x14ac:dyDescent="0.25">
      <c r="A7744">
        <v>361</v>
      </c>
      <c r="B7744" t="s">
        <v>2659</v>
      </c>
      <c r="C7744" t="s">
        <v>10</v>
      </c>
      <c r="D7744" t="s">
        <v>925</v>
      </c>
      <c r="E7744">
        <f>1/126</f>
        <v>7.9365079365079361E-3</v>
      </c>
      <c r="F7744">
        <v>2</v>
      </c>
      <c r="G7744">
        <f>LOG(382/(2+1))</f>
        <v>2.1049421081920463</v>
      </c>
      <c r="H7744">
        <f>0.00793650793650793*4.84680831993846</f>
        <v>3.8466732697924257E-2</v>
      </c>
      <c r="I7744">
        <v>3.8466732697924333E-2</v>
      </c>
    </row>
    <row r="7745" spans="1:9" x14ac:dyDescent="0.25">
      <c r="A7745">
        <v>361</v>
      </c>
      <c r="B7745" t="s">
        <v>2659</v>
      </c>
      <c r="C7745" t="s">
        <v>10</v>
      </c>
      <c r="D7745" t="s">
        <v>467</v>
      </c>
      <c r="E7745">
        <f>1/126</f>
        <v>7.9365079365079361E-3</v>
      </c>
      <c r="F7745">
        <v>3</v>
      </c>
      <c r="G7745">
        <f>LOG(382/(3+1))</f>
        <v>1.9800033715837464</v>
      </c>
      <c r="H7745">
        <f>0.00793650793650793*4.55912624748668</f>
        <v>3.6183541646719657E-2</v>
      </c>
      <c r="I7745">
        <v>3.6183541646719719E-2</v>
      </c>
    </row>
    <row r="7746" spans="1:9" x14ac:dyDescent="0.25">
      <c r="A7746">
        <v>361</v>
      </c>
      <c r="B7746" t="s">
        <v>2659</v>
      </c>
      <c r="C7746" t="s">
        <v>10</v>
      </c>
      <c r="D7746" t="s">
        <v>19</v>
      </c>
      <c r="E7746">
        <f>2/126</f>
        <v>1.5873015873015872E-2</v>
      </c>
      <c r="F7746">
        <v>220</v>
      </c>
      <c r="G7746">
        <f>LOG(382/(220+1))</f>
        <v>0.23767108922659805</v>
      </c>
      <c r="H7746">
        <f>0.0158730158730158*0.547257907088822</f>
        <v>8.686633445854278E-3</v>
      </c>
      <c r="I7746">
        <v>8.6866334458543231E-3</v>
      </c>
    </row>
    <row r="7747" spans="1:9" x14ac:dyDescent="0.25">
      <c r="A7747">
        <v>361</v>
      </c>
      <c r="B7747" t="s">
        <v>2659</v>
      </c>
      <c r="C7747" t="s">
        <v>10</v>
      </c>
      <c r="D7747" t="s">
        <v>22</v>
      </c>
      <c r="E7747">
        <f>2/126</f>
        <v>1.5873015873015872E-2</v>
      </c>
      <c r="F7747">
        <v>259</v>
      </c>
      <c r="G7747">
        <f>LOG(382/(259+1))</f>
        <v>0.16709001494089079</v>
      </c>
      <c r="H7747">
        <f>0.0158730158730158*0.384738977591047</f>
        <v>6.1069678982705591E-3</v>
      </c>
      <c r="I7747">
        <v>6.1069678982705964E-3</v>
      </c>
    </row>
    <row r="7748" spans="1:9" x14ac:dyDescent="0.25">
      <c r="A7748">
        <v>361</v>
      </c>
      <c r="B7748" t="s">
        <v>2659</v>
      </c>
      <c r="C7748" t="s">
        <v>10</v>
      </c>
      <c r="D7748" t="s">
        <v>23</v>
      </c>
      <c r="E7748">
        <f t="shared" ref="E7748:E7758" si="348">1/126</f>
        <v>7.9365079365079361E-3</v>
      </c>
      <c r="F7748">
        <v>275</v>
      </c>
      <c r="G7748">
        <f>LOG(382/(275+1))</f>
        <v>0.14115428084649101</v>
      </c>
      <c r="H7748">
        <f>0.00793650793650793*0.325019742889425</f>
        <v>2.5795217689636883E-3</v>
      </c>
      <c r="I7748">
        <v>2.5795217689636909E-3</v>
      </c>
    </row>
    <row r="7749" spans="1:9" x14ac:dyDescent="0.25">
      <c r="A7749">
        <v>361</v>
      </c>
      <c r="B7749" t="s">
        <v>2659</v>
      </c>
      <c r="C7749" t="s">
        <v>10</v>
      </c>
      <c r="D7749" t="s">
        <v>25</v>
      </c>
      <c r="E7749">
        <f t="shared" si="348"/>
        <v>7.9365079365079361E-3</v>
      </c>
      <c r="F7749">
        <v>106</v>
      </c>
      <c r="G7749">
        <f>LOG(382/(106+1))</f>
        <v>0.55267958522649907</v>
      </c>
      <c r="H7749">
        <f>0.00793650793650793*1.27259177414466</f>
        <v>1.0099934715433802E-2</v>
      </c>
      <c r="I7749">
        <v>1.009993471543388E-2</v>
      </c>
    </row>
    <row r="7750" spans="1:9" x14ac:dyDescent="0.25">
      <c r="A7750">
        <v>361</v>
      </c>
      <c r="B7750" t="s">
        <v>2659</v>
      </c>
      <c r="C7750" t="s">
        <v>10</v>
      </c>
      <c r="D7750" t="s">
        <v>1355</v>
      </c>
      <c r="E7750">
        <f t="shared" si="348"/>
        <v>7.9365079365079361E-3</v>
      </c>
      <c r="F7750">
        <v>7</v>
      </c>
      <c r="G7750">
        <f>LOG(382/(7+1))</f>
        <v>1.6789733759197651</v>
      </c>
      <c r="H7750">
        <f>0.00793650793650793*3.86597906692673</f>
        <v>3.0682373547037518E-2</v>
      </c>
      <c r="I7750">
        <v>3.0682373547037609E-2</v>
      </c>
    </row>
    <row r="7751" spans="1:9" x14ac:dyDescent="0.25">
      <c r="A7751">
        <v>361</v>
      </c>
      <c r="B7751" t="s">
        <v>2659</v>
      </c>
      <c r="C7751" t="s">
        <v>10</v>
      </c>
      <c r="D7751" t="s">
        <v>216</v>
      </c>
      <c r="E7751">
        <f t="shared" si="348"/>
        <v>7.9365079365079361E-3</v>
      </c>
      <c r="F7751">
        <v>63</v>
      </c>
      <c r="G7751">
        <f>LOG(382/(63+1))</f>
        <v>0.7758833889278216</v>
      </c>
      <c r="H7751">
        <f>0.00793650793650793*1.7865375252469</f>
        <v>1.417886924799126E-2</v>
      </c>
      <c r="I7751">
        <v>1.41788692479913E-2</v>
      </c>
    </row>
    <row r="7752" spans="1:9" x14ac:dyDescent="0.25">
      <c r="A7752">
        <v>361</v>
      </c>
      <c r="B7752" t="s">
        <v>2659</v>
      </c>
      <c r="C7752" t="s">
        <v>10</v>
      </c>
      <c r="D7752" t="s">
        <v>85</v>
      </c>
      <c r="E7752">
        <f t="shared" si="348"/>
        <v>7.9365079365079361E-3</v>
      </c>
      <c r="F7752">
        <v>13</v>
      </c>
      <c r="G7752">
        <f>LOG(382/(13+1))</f>
        <v>1.4359353272334707</v>
      </c>
      <c r="H7752">
        <f>0.00793650793650793*3.30636327899131</f>
        <v>2.624097840469292E-2</v>
      </c>
      <c r="I7752">
        <v>2.6240978404692989E-2</v>
      </c>
    </row>
    <row r="7753" spans="1:9" x14ac:dyDescent="0.25">
      <c r="A7753">
        <v>361</v>
      </c>
      <c r="B7753" t="s">
        <v>2659</v>
      </c>
      <c r="C7753" t="s">
        <v>10</v>
      </c>
      <c r="D7753" t="s">
        <v>2664</v>
      </c>
      <c r="E7753">
        <f t="shared" si="348"/>
        <v>7.9365079365079361E-3</v>
      </c>
      <c r="F7753">
        <v>1</v>
      </c>
      <c r="G7753">
        <f>LOG(382/(1+1))</f>
        <v>2.2810333672477277</v>
      </c>
      <c r="H7753">
        <f>0.00793650793650793*5.25227342804663</f>
        <v>4.1684709746401795E-2</v>
      </c>
      <c r="I7753">
        <v>4.1684709746401823E-2</v>
      </c>
    </row>
    <row r="7754" spans="1:9" x14ac:dyDescent="0.25">
      <c r="A7754">
        <v>361</v>
      </c>
      <c r="B7754" t="s">
        <v>2659</v>
      </c>
      <c r="C7754" t="s">
        <v>10</v>
      </c>
      <c r="D7754" t="s">
        <v>2665</v>
      </c>
      <c r="E7754">
        <f t="shared" si="348"/>
        <v>7.9365079365079361E-3</v>
      </c>
      <c r="F7754">
        <v>1</v>
      </c>
      <c r="G7754">
        <f>LOG(382/(1+1))</f>
        <v>2.2810333672477277</v>
      </c>
      <c r="H7754">
        <f>0.00793650793650793*5.25227342804663</f>
        <v>4.1684709746401795E-2</v>
      </c>
      <c r="I7754">
        <v>4.1684709746401823E-2</v>
      </c>
    </row>
    <row r="7755" spans="1:9" x14ac:dyDescent="0.25">
      <c r="A7755">
        <v>361</v>
      </c>
      <c r="B7755" t="s">
        <v>2659</v>
      </c>
      <c r="C7755" t="s">
        <v>10</v>
      </c>
      <c r="D7755" t="s">
        <v>2666</v>
      </c>
      <c r="E7755">
        <f t="shared" si="348"/>
        <v>7.9365079365079361E-3</v>
      </c>
      <c r="F7755">
        <v>1</v>
      </c>
      <c r="G7755">
        <f>LOG(382/(1+1))</f>
        <v>2.2810333672477277</v>
      </c>
      <c r="H7755">
        <f>0.00793650793650793*5.25227342804663</f>
        <v>4.1684709746401795E-2</v>
      </c>
      <c r="I7755">
        <v>4.1684709746401823E-2</v>
      </c>
    </row>
    <row r="7756" spans="1:9" x14ac:dyDescent="0.25">
      <c r="A7756">
        <v>361</v>
      </c>
      <c r="B7756" t="s">
        <v>2659</v>
      </c>
      <c r="C7756" t="s">
        <v>10</v>
      </c>
      <c r="D7756" t="s">
        <v>530</v>
      </c>
      <c r="E7756">
        <f t="shared" si="348"/>
        <v>7.9365079365079361E-3</v>
      </c>
      <c r="F7756">
        <v>3</v>
      </c>
      <c r="G7756">
        <f>LOG(382/(3+1))</f>
        <v>1.9800033715837464</v>
      </c>
      <c r="H7756">
        <f>0.00793650793650793*4.55912624748668</f>
        <v>3.6183541646719657E-2</v>
      </c>
      <c r="I7756">
        <v>3.6183541646719719E-2</v>
      </c>
    </row>
    <row r="7757" spans="1:9" x14ac:dyDescent="0.25">
      <c r="A7757">
        <v>361</v>
      </c>
      <c r="B7757" t="s">
        <v>2659</v>
      </c>
      <c r="C7757" t="s">
        <v>10</v>
      </c>
      <c r="D7757" t="s">
        <v>2667</v>
      </c>
      <c r="E7757">
        <f t="shared" si="348"/>
        <v>7.9365079365079361E-3</v>
      </c>
      <c r="F7757">
        <v>3</v>
      </c>
      <c r="G7757">
        <f>LOG(382/(3+1))</f>
        <v>1.9800033715837464</v>
      </c>
      <c r="H7757">
        <f>0.00793650793650793*4.55912624748668</f>
        <v>3.6183541646719657E-2</v>
      </c>
      <c r="I7757">
        <v>3.6183541646719719E-2</v>
      </c>
    </row>
    <row r="7758" spans="1:9" x14ac:dyDescent="0.25">
      <c r="A7758">
        <v>361</v>
      </c>
      <c r="B7758" t="s">
        <v>2659</v>
      </c>
      <c r="C7758" t="s">
        <v>10</v>
      </c>
      <c r="D7758" t="s">
        <v>2668</v>
      </c>
      <c r="E7758">
        <f t="shared" si="348"/>
        <v>7.9365079365079361E-3</v>
      </c>
      <c r="F7758">
        <v>1</v>
      </c>
      <c r="G7758">
        <f>LOG(382/(1+1))</f>
        <v>2.2810333672477277</v>
      </c>
      <c r="H7758">
        <f>0.00793650793650793*5.25227342804663</f>
        <v>4.1684709746401795E-2</v>
      </c>
      <c r="I7758">
        <v>4.1684709746401823E-2</v>
      </c>
    </row>
    <row r="7759" spans="1:9" x14ac:dyDescent="0.25">
      <c r="A7759">
        <v>361</v>
      </c>
      <c r="B7759" t="s">
        <v>2659</v>
      </c>
      <c r="C7759" t="s">
        <v>10</v>
      </c>
      <c r="D7759" t="s">
        <v>2669</v>
      </c>
      <c r="E7759">
        <f>2/126</f>
        <v>1.5873015873015872E-2</v>
      </c>
      <c r="F7759">
        <v>1</v>
      </c>
      <c r="G7759">
        <f>LOG(382/(1+1))</f>
        <v>2.2810333672477277</v>
      </c>
      <c r="H7759">
        <f>0.0158730158730158*5.25227342804663</f>
        <v>8.3369419492803257E-2</v>
      </c>
      <c r="I7759">
        <v>8.3369419492803645E-2</v>
      </c>
    </row>
    <row r="7760" spans="1:9" x14ac:dyDescent="0.25">
      <c r="A7760">
        <v>361</v>
      </c>
      <c r="B7760" t="s">
        <v>2659</v>
      </c>
      <c r="C7760" t="s">
        <v>10</v>
      </c>
      <c r="D7760" t="s">
        <v>322</v>
      </c>
      <c r="E7760">
        <f>1/126</f>
        <v>7.9365079365079361E-3</v>
      </c>
      <c r="F7760">
        <v>128</v>
      </c>
      <c r="G7760">
        <f>LOG(382/(128+1))</f>
        <v>0.47147365261245977</v>
      </c>
      <c r="H7760">
        <f>0.00793650793650793*1.0856082042449</f>
        <v>8.6159381289277713E-3</v>
      </c>
      <c r="I7760">
        <v>8.6159381289278025E-3</v>
      </c>
    </row>
    <row r="7761" spans="1:9" x14ac:dyDescent="0.25">
      <c r="A7761">
        <v>361</v>
      </c>
      <c r="B7761" t="s">
        <v>2659</v>
      </c>
      <c r="C7761" t="s">
        <v>10</v>
      </c>
      <c r="D7761" t="s">
        <v>123</v>
      </c>
      <c r="E7761">
        <f>3/126</f>
        <v>2.3809523809523808E-2</v>
      </c>
      <c r="F7761">
        <v>74</v>
      </c>
      <c r="G7761">
        <f>LOG(382/(74+1))</f>
        <v>0.7070020995200087</v>
      </c>
      <c r="H7761">
        <f>0.0238095238095238*1.62793249507026</f>
        <v>3.8760297501672848E-2</v>
      </c>
      <c r="I7761">
        <v>3.8760297501672973E-2</v>
      </c>
    </row>
    <row r="7762" spans="1:9" x14ac:dyDescent="0.25">
      <c r="A7762">
        <v>361</v>
      </c>
      <c r="B7762" t="s">
        <v>2659</v>
      </c>
      <c r="C7762" t="s">
        <v>10</v>
      </c>
      <c r="D7762" t="s">
        <v>2670</v>
      </c>
      <c r="E7762">
        <f>1/126</f>
        <v>7.9365079365079361E-3</v>
      </c>
      <c r="F7762">
        <v>1</v>
      </c>
      <c r="G7762">
        <f>LOG(382/(1+1))</f>
        <v>2.2810333672477277</v>
      </c>
      <c r="H7762">
        <f>0.00793650793650793*5.25227342804663</f>
        <v>4.1684709746401795E-2</v>
      </c>
      <c r="I7762">
        <v>4.1684709746401823E-2</v>
      </c>
    </row>
    <row r="7763" spans="1:9" x14ac:dyDescent="0.25">
      <c r="A7763">
        <v>361</v>
      </c>
      <c r="B7763" t="s">
        <v>2659</v>
      </c>
      <c r="C7763" t="s">
        <v>10</v>
      </c>
      <c r="D7763" t="s">
        <v>2671</v>
      </c>
      <c r="E7763">
        <f>2/126</f>
        <v>1.5873015873015872E-2</v>
      </c>
      <c r="F7763">
        <v>1</v>
      </c>
      <c r="G7763">
        <f>LOG(382/(1+1))</f>
        <v>2.2810333672477277</v>
      </c>
      <c r="H7763">
        <f>0.0158730158730158*5.25227342804663</f>
        <v>8.3369419492803257E-2</v>
      </c>
      <c r="I7763">
        <v>8.3369419492803645E-2</v>
      </c>
    </row>
    <row r="7764" spans="1:9" x14ac:dyDescent="0.25">
      <c r="A7764">
        <v>361</v>
      </c>
      <c r="B7764" t="s">
        <v>2659</v>
      </c>
      <c r="C7764" t="s">
        <v>10</v>
      </c>
      <c r="D7764" t="s">
        <v>2672</v>
      </c>
      <c r="E7764">
        <f>1/126</f>
        <v>7.9365079365079361E-3</v>
      </c>
      <c r="F7764">
        <v>1</v>
      </c>
      <c r="G7764">
        <f>LOG(382/(1+1))</f>
        <v>2.2810333672477277</v>
      </c>
      <c r="H7764">
        <f>0.00793650793650793*5.25227342804663</f>
        <v>4.1684709746401795E-2</v>
      </c>
      <c r="I7764">
        <v>4.1684709746401823E-2</v>
      </c>
    </row>
    <row r="7765" spans="1:9" x14ac:dyDescent="0.25">
      <c r="A7765">
        <v>361</v>
      </c>
      <c r="B7765" t="s">
        <v>2659</v>
      </c>
      <c r="C7765" t="s">
        <v>10</v>
      </c>
      <c r="D7765" t="s">
        <v>133</v>
      </c>
      <c r="E7765">
        <f>1/126</f>
        <v>7.9365079365079361E-3</v>
      </c>
      <c r="F7765">
        <v>142</v>
      </c>
      <c r="G7765">
        <f>LOG(382/(142+1))</f>
        <v>0.42672732544664693</v>
      </c>
      <c r="H7765">
        <f>0.00793650793650793*0.982575978346667</f>
        <v>7.7982220503703672E-3</v>
      </c>
      <c r="I7765">
        <v>7.7982220503703794E-3</v>
      </c>
    </row>
    <row r="7766" spans="1:9" x14ac:dyDescent="0.25">
      <c r="A7766">
        <v>361</v>
      </c>
      <c r="B7766" t="s">
        <v>2659</v>
      </c>
      <c r="C7766" t="s">
        <v>10</v>
      </c>
      <c r="D7766" t="s">
        <v>324</v>
      </c>
      <c r="E7766">
        <f>1/126</f>
        <v>7.9365079365079361E-3</v>
      </c>
      <c r="F7766">
        <v>82</v>
      </c>
      <c r="G7766">
        <f>LOG(382/(82+1))</f>
        <v>0.66298527053563483</v>
      </c>
      <c r="H7766">
        <f>0.00793650793650793*1.52658000080997</f>
        <v>1.211571429214261E-2</v>
      </c>
      <c r="I7766">
        <v>1.2115714292142679E-2</v>
      </c>
    </row>
    <row r="7767" spans="1:9" x14ac:dyDescent="0.25">
      <c r="A7767">
        <v>361</v>
      </c>
      <c r="B7767" t="s">
        <v>2659</v>
      </c>
      <c r="C7767" t="s">
        <v>10</v>
      </c>
      <c r="D7767" t="s">
        <v>720</v>
      </c>
      <c r="E7767">
        <f>1/126</f>
        <v>7.9365079365079361E-3</v>
      </c>
      <c r="F7767">
        <v>9</v>
      </c>
      <c r="G7767">
        <f>LOG(382/(9+1))</f>
        <v>1.5820633629117087</v>
      </c>
      <c r="H7767">
        <f>0.00793650793650793*3.64283551561252</f>
        <v>2.8911392981051727E-2</v>
      </c>
      <c r="I7767">
        <v>2.8911392981051821E-2</v>
      </c>
    </row>
    <row r="7768" spans="1:9" x14ac:dyDescent="0.25">
      <c r="A7768">
        <v>361</v>
      </c>
      <c r="B7768" t="s">
        <v>2659</v>
      </c>
      <c r="C7768" t="s">
        <v>10</v>
      </c>
      <c r="D7768" t="s">
        <v>77</v>
      </c>
      <c r="E7768">
        <f>2/126</f>
        <v>1.5873015873015872E-2</v>
      </c>
      <c r="F7768">
        <v>148</v>
      </c>
      <c r="G7768">
        <f>LOG(382/(148+1))</f>
        <v>0.40887709449943471</v>
      </c>
      <c r="H7768">
        <f>0.0158730158730158*0.941474302661116</f>
        <v>1.4944036550176374E-2</v>
      </c>
      <c r="I7768">
        <v>1.494403655017645E-2</v>
      </c>
    </row>
    <row r="7769" spans="1:9" x14ac:dyDescent="0.25">
      <c r="A7769">
        <v>361</v>
      </c>
      <c r="B7769" t="s">
        <v>2659</v>
      </c>
      <c r="C7769" t="s">
        <v>10</v>
      </c>
      <c r="D7769" t="s">
        <v>331</v>
      </c>
      <c r="E7769">
        <f>3/126</f>
        <v>2.3809523809523808E-2</v>
      </c>
      <c r="F7769">
        <v>130</v>
      </c>
      <c r="G7769">
        <f>LOG(382/(130+1))</f>
        <v>0.46479206725594452</v>
      </c>
      <c r="H7769">
        <f>0.0238095238095238*1.07022328540542</f>
        <v>2.5481506795367138E-2</v>
      </c>
      <c r="I7769">
        <v>2.5481506795367231E-2</v>
      </c>
    </row>
    <row r="7770" spans="1:9" x14ac:dyDescent="0.25">
      <c r="A7770">
        <v>361</v>
      </c>
      <c r="B7770" t="s">
        <v>2659</v>
      </c>
      <c r="C7770" t="s">
        <v>10</v>
      </c>
      <c r="D7770" t="s">
        <v>1096</v>
      </c>
      <c r="E7770">
        <f t="shared" ref="E7770:E7777" si="349">1/126</f>
        <v>7.9365079365079361E-3</v>
      </c>
      <c r="F7770">
        <v>5</v>
      </c>
      <c r="G7770">
        <f>LOG(382/(5+1))</f>
        <v>1.803912112528065</v>
      </c>
      <c r="H7770">
        <f>0.00793650793650793*4.15366113937852</f>
        <v>3.2965564598242195E-2</v>
      </c>
      <c r="I7770">
        <v>3.2965564598242222E-2</v>
      </c>
    </row>
    <row r="7771" spans="1:9" x14ac:dyDescent="0.25">
      <c r="A7771">
        <v>361</v>
      </c>
      <c r="B7771" t="s">
        <v>2659</v>
      </c>
      <c r="C7771" t="s">
        <v>10</v>
      </c>
      <c r="D7771" t="s">
        <v>201</v>
      </c>
      <c r="E7771">
        <f t="shared" si="349"/>
        <v>7.9365079365079361E-3</v>
      </c>
      <c r="F7771">
        <v>72</v>
      </c>
      <c r="G7771">
        <f>LOG(382/(72+1))</f>
        <v>0.71874050279125279</v>
      </c>
      <c r="H7771">
        <f>0.00793650793650793*1.65496116745818</f>
        <v>1.3134612440144276E-2</v>
      </c>
      <c r="I7771">
        <v>1.3134612440144321E-2</v>
      </c>
    </row>
    <row r="7772" spans="1:9" x14ac:dyDescent="0.25">
      <c r="A7772">
        <v>361</v>
      </c>
      <c r="B7772" t="s">
        <v>2659</v>
      </c>
      <c r="C7772" t="s">
        <v>10</v>
      </c>
      <c r="D7772" t="s">
        <v>2673</v>
      </c>
      <c r="E7772">
        <f t="shared" si="349"/>
        <v>7.9365079365079361E-3</v>
      </c>
      <c r="F7772">
        <v>1</v>
      </c>
      <c r="G7772">
        <f>LOG(382/(1+1))</f>
        <v>2.2810333672477277</v>
      </c>
      <c r="H7772">
        <f>0.00793650793650793*5.25227342804663</f>
        <v>4.1684709746401795E-2</v>
      </c>
      <c r="I7772">
        <v>4.1684709746401823E-2</v>
      </c>
    </row>
    <row r="7773" spans="1:9" x14ac:dyDescent="0.25">
      <c r="A7773">
        <v>361</v>
      </c>
      <c r="B7773" t="s">
        <v>2659</v>
      </c>
      <c r="C7773" t="s">
        <v>10</v>
      </c>
      <c r="D7773" t="s">
        <v>1398</v>
      </c>
      <c r="E7773">
        <f t="shared" si="349"/>
        <v>7.9365079365079361E-3</v>
      </c>
      <c r="F7773">
        <v>29</v>
      </c>
      <c r="G7773">
        <f>LOG(382/(29+1))</f>
        <v>1.1049421081920463</v>
      </c>
      <c r="H7773">
        <f>0.00793650793650793*2.54422322694442</f>
        <v>2.0192247832892207E-2</v>
      </c>
      <c r="I7773">
        <v>2.019224783289222E-2</v>
      </c>
    </row>
    <row r="7774" spans="1:9" x14ac:dyDescent="0.25">
      <c r="A7774">
        <v>361</v>
      </c>
      <c r="B7774" t="s">
        <v>2659</v>
      </c>
      <c r="C7774" t="s">
        <v>10</v>
      </c>
      <c r="D7774" t="s">
        <v>339</v>
      </c>
      <c r="E7774">
        <f t="shared" si="349"/>
        <v>7.9365079365079361E-3</v>
      </c>
      <c r="F7774">
        <v>66</v>
      </c>
      <c r="G7774">
        <f>LOG(382/(66+1))</f>
        <v>0.75598856021088234</v>
      </c>
      <c r="H7774">
        <f>0.00793650793650793*1.7407279892156</f>
        <v>1.3815301501711102E-2</v>
      </c>
      <c r="I7774">
        <v>1.381530150171118E-2</v>
      </c>
    </row>
    <row r="7775" spans="1:9" x14ac:dyDescent="0.25">
      <c r="A7775">
        <v>361</v>
      </c>
      <c r="B7775" t="s">
        <v>2659</v>
      </c>
      <c r="C7775" t="s">
        <v>10</v>
      </c>
      <c r="D7775" t="s">
        <v>415</v>
      </c>
      <c r="E7775">
        <f t="shared" si="349"/>
        <v>7.9365079365079361E-3</v>
      </c>
      <c r="F7775">
        <v>6</v>
      </c>
      <c r="G7775">
        <f>LOG(382/(6+1))</f>
        <v>1.736965322897452</v>
      </c>
      <c r="H7775">
        <f>0.00793650793650793*3.99951045955126</f>
        <v>3.1742146504375054E-2</v>
      </c>
      <c r="I7775">
        <v>3.1742146504375089E-2</v>
      </c>
    </row>
    <row r="7776" spans="1:9" x14ac:dyDescent="0.25">
      <c r="A7776">
        <v>361</v>
      </c>
      <c r="B7776" t="s">
        <v>2659</v>
      </c>
      <c r="C7776" t="s">
        <v>10</v>
      </c>
      <c r="D7776" t="s">
        <v>2674</v>
      </c>
      <c r="E7776">
        <f t="shared" si="349"/>
        <v>7.9365079365079361E-3</v>
      </c>
      <c r="F7776">
        <v>1</v>
      </c>
      <c r="G7776">
        <f>LOG(382/(1+1))</f>
        <v>2.2810333672477277</v>
      </c>
      <c r="H7776">
        <f>0.00793650793650793*5.25227342804663</f>
        <v>4.1684709746401795E-2</v>
      </c>
      <c r="I7776">
        <v>4.1684709746401823E-2</v>
      </c>
    </row>
    <row r="7777" spans="1:9" x14ac:dyDescent="0.25">
      <c r="A7777">
        <v>361</v>
      </c>
      <c r="B7777" t="s">
        <v>2659</v>
      </c>
      <c r="C7777" t="s">
        <v>10</v>
      </c>
      <c r="D7777" t="s">
        <v>2675</v>
      </c>
      <c r="E7777">
        <f t="shared" si="349"/>
        <v>7.9365079365079361E-3</v>
      </c>
      <c r="F7777">
        <v>1</v>
      </c>
      <c r="G7777">
        <f>LOG(382/(1+1))</f>
        <v>2.2810333672477277</v>
      </c>
      <c r="H7777">
        <f>0.00793650793650793*5.25227342804663</f>
        <v>4.1684709746401795E-2</v>
      </c>
      <c r="I7777">
        <v>4.1684709746401823E-2</v>
      </c>
    </row>
    <row r="7778" spans="1:9" x14ac:dyDescent="0.25">
      <c r="A7778">
        <v>361</v>
      </c>
      <c r="B7778" t="s">
        <v>2659</v>
      </c>
      <c r="C7778" t="s">
        <v>10</v>
      </c>
      <c r="D7778" t="s">
        <v>243</v>
      </c>
      <c r="E7778">
        <f>3/126</f>
        <v>2.3809523809523808E-2</v>
      </c>
      <c r="F7778">
        <v>131</v>
      </c>
      <c r="G7778">
        <f>LOG(382/(131+1))</f>
        <v>0.46148943170585888</v>
      </c>
      <c r="H7778">
        <f>0.0238095238095238*1.0626186860202</f>
        <v>2.5300444905242848E-2</v>
      </c>
      <c r="I7778">
        <v>2.5300444905242959E-2</v>
      </c>
    </row>
    <row r="7779" spans="1:9" x14ac:dyDescent="0.25">
      <c r="A7779">
        <v>361</v>
      </c>
      <c r="B7779" t="s">
        <v>2659</v>
      </c>
      <c r="C7779" t="s">
        <v>10</v>
      </c>
      <c r="D7779" t="s">
        <v>307</v>
      </c>
      <c r="E7779">
        <f>2/126</f>
        <v>1.5873015873015872E-2</v>
      </c>
      <c r="F7779">
        <v>67</v>
      </c>
      <c r="G7779">
        <f>LOG(382/(67+1))</f>
        <v>0.7495544502054724</v>
      </c>
      <c r="H7779">
        <f>0.0158730158730158*1.72591290343046</f>
        <v>2.7395442911594476E-2</v>
      </c>
      <c r="I7779">
        <v>2.7395442911594729E-2</v>
      </c>
    </row>
    <row r="7780" spans="1:9" x14ac:dyDescent="0.25">
      <c r="A7780">
        <v>361</v>
      </c>
      <c r="B7780" t="s">
        <v>2659</v>
      </c>
      <c r="C7780" t="s">
        <v>10</v>
      </c>
      <c r="D7780" t="s">
        <v>2676</v>
      </c>
      <c r="E7780">
        <f t="shared" ref="E7780:E7785" si="350">1/126</f>
        <v>7.9365079365079361E-3</v>
      </c>
      <c r="F7780">
        <v>1</v>
      </c>
      <c r="G7780">
        <f>LOG(382/(1+1))</f>
        <v>2.2810333672477277</v>
      </c>
      <c r="H7780">
        <f>0.00793650793650793*5.25227342804663</f>
        <v>4.1684709746401795E-2</v>
      </c>
      <c r="I7780">
        <v>4.1684709746401823E-2</v>
      </c>
    </row>
    <row r="7781" spans="1:9" x14ac:dyDescent="0.25">
      <c r="A7781">
        <v>361</v>
      </c>
      <c r="B7781" t="s">
        <v>2659</v>
      </c>
      <c r="C7781" t="s">
        <v>10</v>
      </c>
      <c r="D7781" t="s">
        <v>455</v>
      </c>
      <c r="E7781">
        <f t="shared" si="350"/>
        <v>7.9365079365079361E-3</v>
      </c>
      <c r="F7781">
        <v>78</v>
      </c>
      <c r="G7781">
        <f>LOG(382/(78+1))</f>
        <v>0.6844362716212673</v>
      </c>
      <c r="H7781">
        <f>0.00793650793650793*1.57597275613955</f>
        <v>1.2507720286821816E-2</v>
      </c>
      <c r="I7781">
        <v>1.2507720286821849E-2</v>
      </c>
    </row>
    <row r="7782" spans="1:9" x14ac:dyDescent="0.25">
      <c r="A7782">
        <v>361</v>
      </c>
      <c r="B7782" t="s">
        <v>2659</v>
      </c>
      <c r="C7782" t="s">
        <v>10</v>
      </c>
      <c r="D7782" t="s">
        <v>2677</v>
      </c>
      <c r="E7782">
        <f t="shared" si="350"/>
        <v>7.9365079365079361E-3</v>
      </c>
      <c r="F7782">
        <v>1</v>
      </c>
      <c r="G7782">
        <f>LOG(382/(1+1))</f>
        <v>2.2810333672477277</v>
      </c>
      <c r="H7782">
        <f>0.00793650793650793*5.25227342804663</f>
        <v>4.1684709746401795E-2</v>
      </c>
      <c r="I7782">
        <v>4.1684709746401823E-2</v>
      </c>
    </row>
    <row r="7783" spans="1:9" x14ac:dyDescent="0.25">
      <c r="A7783">
        <v>361</v>
      </c>
      <c r="B7783" t="s">
        <v>2659</v>
      </c>
      <c r="C7783" t="s">
        <v>10</v>
      </c>
      <c r="D7783" t="s">
        <v>457</v>
      </c>
      <c r="E7783">
        <f t="shared" si="350"/>
        <v>7.9365079365079361E-3</v>
      </c>
      <c r="F7783">
        <v>6</v>
      </c>
      <c r="G7783">
        <f>LOG(382/(6+1))</f>
        <v>1.736965322897452</v>
      </c>
      <c r="H7783">
        <f>0.00793650793650793*3.99951045955126</f>
        <v>3.1742146504375054E-2</v>
      </c>
      <c r="I7783">
        <v>3.1742146504375089E-2</v>
      </c>
    </row>
    <row r="7784" spans="1:9" x14ac:dyDescent="0.25">
      <c r="A7784">
        <v>361</v>
      </c>
      <c r="B7784" t="s">
        <v>2659</v>
      </c>
      <c r="C7784" t="s">
        <v>10</v>
      </c>
      <c r="D7784" t="s">
        <v>2678</v>
      </c>
      <c r="E7784">
        <f t="shared" si="350"/>
        <v>7.9365079365079361E-3</v>
      </c>
      <c r="F7784">
        <v>1</v>
      </c>
      <c r="G7784">
        <f>LOG(382/(1+1))</f>
        <v>2.2810333672477277</v>
      </c>
      <c r="H7784">
        <f>0.00793650793650793*5.25227342804663</f>
        <v>4.1684709746401795E-2</v>
      </c>
      <c r="I7784">
        <v>4.1684709746401823E-2</v>
      </c>
    </row>
    <row r="7785" spans="1:9" x14ac:dyDescent="0.25">
      <c r="A7785">
        <v>361</v>
      </c>
      <c r="B7785" t="s">
        <v>2659</v>
      </c>
      <c r="C7785" t="s">
        <v>10</v>
      </c>
      <c r="D7785" t="s">
        <v>2255</v>
      </c>
      <c r="E7785">
        <f t="shared" si="350"/>
        <v>7.9365079365079361E-3</v>
      </c>
      <c r="F7785">
        <v>2</v>
      </c>
      <c r="G7785">
        <f>LOG(382/(2+1))</f>
        <v>2.1049421081920463</v>
      </c>
      <c r="H7785">
        <f>0.00793650793650793*4.84680831993846</f>
        <v>3.8466732697924257E-2</v>
      </c>
      <c r="I7785">
        <v>3.8466732697924333E-2</v>
      </c>
    </row>
    <row r="7786" spans="1:9" x14ac:dyDescent="0.25">
      <c r="A7786">
        <v>361</v>
      </c>
      <c r="B7786" t="s">
        <v>2659</v>
      </c>
      <c r="C7786" t="s">
        <v>10</v>
      </c>
      <c r="D7786" t="s">
        <v>361</v>
      </c>
      <c r="E7786">
        <f>2/126</f>
        <v>1.5873015873015872E-2</v>
      </c>
      <c r="F7786">
        <v>118</v>
      </c>
      <c r="G7786">
        <f>LOG(382/(118+1))</f>
        <v>0.50651640151917798</v>
      </c>
      <c r="H7786">
        <f>0.0158730158730158*1.16629711549504</f>
        <v>1.851265262690531E-2</v>
      </c>
      <c r="I7786">
        <v>1.851265262690549E-2</v>
      </c>
    </row>
    <row r="7787" spans="1:9" x14ac:dyDescent="0.25">
      <c r="A7787">
        <v>361</v>
      </c>
      <c r="B7787" t="s">
        <v>2659</v>
      </c>
      <c r="C7787" t="s">
        <v>10</v>
      </c>
      <c r="D7787" t="s">
        <v>434</v>
      </c>
      <c r="E7787">
        <f>2/126</f>
        <v>1.5873015873015872E-2</v>
      </c>
      <c r="F7787">
        <v>97</v>
      </c>
      <c r="G7787">
        <f>LOG(382/(97+1))</f>
        <v>0.59083728721921391</v>
      </c>
      <c r="H7787">
        <f>0.0158730158730158*1.360453129936</f>
        <v>2.1594494125968155E-2</v>
      </c>
      <c r="I7787">
        <v>2.1594494125968301E-2</v>
      </c>
    </row>
    <row r="7788" spans="1:9" x14ac:dyDescent="0.25">
      <c r="A7788">
        <v>361</v>
      </c>
      <c r="B7788" t="s">
        <v>2659</v>
      </c>
      <c r="C7788" t="s">
        <v>10</v>
      </c>
      <c r="D7788" t="s">
        <v>444</v>
      </c>
      <c r="E7788">
        <f>1/126</f>
        <v>7.9365079365079361E-3</v>
      </c>
      <c r="F7788">
        <v>28</v>
      </c>
      <c r="G7788">
        <f>LOG(382/(28+1))</f>
        <v>1.1196653650127526</v>
      </c>
      <c r="H7788">
        <f>0.00793650793650793*2.5781247786201</f>
        <v>2.0461307766826173E-2</v>
      </c>
      <c r="I7788">
        <v>2.0461307766826201E-2</v>
      </c>
    </row>
    <row r="7789" spans="1:9" x14ac:dyDescent="0.25">
      <c r="A7789">
        <v>361</v>
      </c>
      <c r="B7789" t="s">
        <v>2659</v>
      </c>
      <c r="C7789" t="s">
        <v>10</v>
      </c>
      <c r="D7789" t="s">
        <v>445</v>
      </c>
      <c r="E7789">
        <f>2/126</f>
        <v>1.5873015873015872E-2</v>
      </c>
      <c r="F7789">
        <v>35</v>
      </c>
      <c r="G7789">
        <f>LOG(382/(35+1))</f>
        <v>1.0257608621444214</v>
      </c>
      <c r="H7789">
        <f>0.0158730158730158*2.36190167015046</f>
        <v>3.749050270080078E-2</v>
      </c>
      <c r="I7789">
        <v>3.749050270080103E-2</v>
      </c>
    </row>
    <row r="7790" spans="1:9" x14ac:dyDescent="0.25">
      <c r="A7790">
        <v>361</v>
      </c>
      <c r="B7790" t="s">
        <v>2659</v>
      </c>
      <c r="C7790" t="s">
        <v>10</v>
      </c>
      <c r="D7790" t="s">
        <v>2679</v>
      </c>
      <c r="E7790">
        <f t="shared" ref="E7790:E7797" si="351">1/126</f>
        <v>7.9365079365079361E-3</v>
      </c>
      <c r="F7790">
        <v>1</v>
      </c>
      <c r="G7790">
        <f>LOG(382/(1+1))</f>
        <v>2.2810333672477277</v>
      </c>
      <c r="H7790">
        <f>0.00793650793650793*5.25227342804663</f>
        <v>4.1684709746401795E-2</v>
      </c>
      <c r="I7790">
        <v>4.1684709746401823E-2</v>
      </c>
    </row>
    <row r="7791" spans="1:9" x14ac:dyDescent="0.25">
      <c r="A7791">
        <v>361</v>
      </c>
      <c r="B7791" t="s">
        <v>2659</v>
      </c>
      <c r="C7791" t="s">
        <v>10</v>
      </c>
      <c r="D7791" t="s">
        <v>2680</v>
      </c>
      <c r="E7791">
        <f t="shared" si="351"/>
        <v>7.9365079365079361E-3</v>
      </c>
      <c r="F7791">
        <v>1</v>
      </c>
      <c r="G7791">
        <f>LOG(382/(1+1))</f>
        <v>2.2810333672477277</v>
      </c>
      <c r="H7791">
        <f>0.00793650793650793*5.25227342804663</f>
        <v>4.1684709746401795E-2</v>
      </c>
      <c r="I7791">
        <v>4.1684709746401823E-2</v>
      </c>
    </row>
    <row r="7792" spans="1:9" x14ac:dyDescent="0.25">
      <c r="A7792">
        <v>361</v>
      </c>
      <c r="B7792" t="s">
        <v>2659</v>
      </c>
      <c r="C7792" t="s">
        <v>10</v>
      </c>
      <c r="D7792" t="s">
        <v>438</v>
      </c>
      <c r="E7792">
        <f t="shared" si="351"/>
        <v>7.9365079365079361E-3</v>
      </c>
      <c r="F7792">
        <v>37</v>
      </c>
      <c r="G7792">
        <f>LOG(382/(37+1))</f>
        <v>1.0022797662948986</v>
      </c>
      <c r="H7792">
        <f>0.00793650793650793*2.30783444888018</f>
        <v>1.8316146419683953E-2</v>
      </c>
      <c r="I7792">
        <v>1.8316146419684039E-2</v>
      </c>
    </row>
    <row r="7793" spans="1:9" x14ac:dyDescent="0.25">
      <c r="A7793">
        <v>361</v>
      </c>
      <c r="B7793" t="s">
        <v>2659</v>
      </c>
      <c r="C7793" t="s">
        <v>10</v>
      </c>
      <c r="D7793" t="s">
        <v>453</v>
      </c>
      <c r="E7793">
        <f t="shared" si="351"/>
        <v>7.9365079365079361E-3</v>
      </c>
      <c r="F7793">
        <v>68</v>
      </c>
      <c r="G7793">
        <f>LOG(382/(68+1))</f>
        <v>0.74321427217445335</v>
      </c>
      <c r="H7793">
        <f>0.00793650793650793*1.71131410400931</f>
        <v>1.3581857968327848E-2</v>
      </c>
      <c r="I7793">
        <v>1.35818579683279E-2</v>
      </c>
    </row>
    <row r="7794" spans="1:9" x14ac:dyDescent="0.25">
      <c r="A7794">
        <v>361</v>
      </c>
      <c r="B7794" t="s">
        <v>2659</v>
      </c>
      <c r="C7794" t="s">
        <v>10</v>
      </c>
      <c r="D7794" t="s">
        <v>2681</v>
      </c>
      <c r="E7794">
        <f t="shared" si="351"/>
        <v>7.9365079365079361E-3</v>
      </c>
      <c r="F7794">
        <v>3</v>
      </c>
      <c r="G7794">
        <f>LOG(382/(3+1))</f>
        <v>1.9800033715837464</v>
      </c>
      <c r="H7794">
        <f>0.00793650793650793*4.55912624748668</f>
        <v>3.6183541646719657E-2</v>
      </c>
      <c r="I7794">
        <v>3.6183541646719719E-2</v>
      </c>
    </row>
    <row r="7795" spans="1:9" x14ac:dyDescent="0.25">
      <c r="A7795">
        <v>361</v>
      </c>
      <c r="B7795" t="s">
        <v>2659</v>
      </c>
      <c r="C7795" t="s">
        <v>10</v>
      </c>
      <c r="D7795" t="s">
        <v>2682</v>
      </c>
      <c r="E7795">
        <f t="shared" si="351"/>
        <v>7.9365079365079361E-3</v>
      </c>
      <c r="F7795">
        <v>1</v>
      </c>
      <c r="G7795">
        <f>LOG(382/(1+1))</f>
        <v>2.2810333672477277</v>
      </c>
      <c r="H7795">
        <f>0.00793650793650793*5.25227342804663</f>
        <v>4.1684709746401795E-2</v>
      </c>
      <c r="I7795">
        <v>4.1684709746401823E-2</v>
      </c>
    </row>
    <row r="7796" spans="1:9" x14ac:dyDescent="0.25">
      <c r="A7796">
        <v>361</v>
      </c>
      <c r="B7796" t="s">
        <v>2659</v>
      </c>
      <c r="C7796" t="s">
        <v>10</v>
      </c>
      <c r="D7796" t="s">
        <v>2620</v>
      </c>
      <c r="E7796">
        <f t="shared" si="351"/>
        <v>7.9365079365079361E-3</v>
      </c>
      <c r="F7796">
        <v>3</v>
      </c>
      <c r="G7796">
        <f>LOG(382/(3+1))</f>
        <v>1.9800033715837464</v>
      </c>
      <c r="H7796">
        <f>0.00793650793650793*4.55912624748668</f>
        <v>3.6183541646719657E-2</v>
      </c>
      <c r="I7796">
        <v>3.6183541646719719E-2</v>
      </c>
    </row>
    <row r="7797" spans="1:9" x14ac:dyDescent="0.25">
      <c r="A7797">
        <v>361</v>
      </c>
      <c r="B7797" t="s">
        <v>2659</v>
      </c>
      <c r="C7797" t="s">
        <v>10</v>
      </c>
      <c r="D7797" t="s">
        <v>1626</v>
      </c>
      <c r="E7797">
        <f t="shared" si="351"/>
        <v>7.9365079365079361E-3</v>
      </c>
      <c r="F7797">
        <v>32</v>
      </c>
      <c r="G7797">
        <f>LOG(382/(32+1))</f>
        <v>1.0635494230338212</v>
      </c>
      <c r="H7797">
        <f>0.00793650793650793*2.44891304714009</f>
        <v>1.9435817834445146E-2</v>
      </c>
      <c r="I7797">
        <v>1.9435817834445202E-2</v>
      </c>
    </row>
    <row r="7798" spans="1:9" x14ac:dyDescent="0.25">
      <c r="A7798">
        <v>361</v>
      </c>
      <c r="B7798" t="s">
        <v>2659</v>
      </c>
      <c r="C7798" t="s">
        <v>10</v>
      </c>
      <c r="D7798" t="s">
        <v>236</v>
      </c>
      <c r="E7798">
        <f>2/126</f>
        <v>1.5873015873015872E-2</v>
      </c>
      <c r="F7798">
        <v>87</v>
      </c>
      <c r="G7798">
        <f>LOG(382/(87+1))</f>
        <v>0.63758069076154011</v>
      </c>
      <c r="H7798">
        <f>0.0158730158730158*1.46808379412836</f>
        <v>2.3302917367116718E-2</v>
      </c>
      <c r="I7798">
        <v>2.3302917367116961E-2</v>
      </c>
    </row>
    <row r="7799" spans="1:9" x14ac:dyDescent="0.25">
      <c r="A7799">
        <v>361</v>
      </c>
      <c r="B7799" t="s">
        <v>2659</v>
      </c>
      <c r="C7799" t="s">
        <v>10</v>
      </c>
      <c r="D7799" t="s">
        <v>1469</v>
      </c>
      <c r="E7799">
        <f>2/126</f>
        <v>1.5873015873015872E-2</v>
      </c>
      <c r="F7799">
        <v>24</v>
      </c>
      <c r="G7799">
        <f>LOG(382/(24+1))</f>
        <v>1.1841233542396712</v>
      </c>
      <c r="H7799">
        <f>0.0158730158730158*2.72654478373837</f>
        <v>4.3278488630767574E-2</v>
      </c>
      <c r="I7799">
        <v>4.3278488630767838E-2</v>
      </c>
    </row>
    <row r="7800" spans="1:9" x14ac:dyDescent="0.25">
      <c r="A7800">
        <v>361</v>
      </c>
      <c r="B7800" t="s">
        <v>2659</v>
      </c>
      <c r="C7800" t="s">
        <v>10</v>
      </c>
      <c r="D7800" t="s">
        <v>439</v>
      </c>
      <c r="E7800">
        <f>1/126</f>
        <v>7.9365079365079361E-3</v>
      </c>
      <c r="F7800">
        <v>28</v>
      </c>
      <c r="G7800">
        <f>LOG(382/(28+1))</f>
        <v>1.1196653650127526</v>
      </c>
      <c r="H7800">
        <f>0.00793650793650793*2.5781247786201</f>
        <v>2.0461307766826173E-2</v>
      </c>
      <c r="I7800">
        <v>2.0461307766826201E-2</v>
      </c>
    </row>
    <row r="7801" spans="1:9" x14ac:dyDescent="0.25">
      <c r="A7801">
        <v>361</v>
      </c>
      <c r="B7801" t="s">
        <v>2659</v>
      </c>
      <c r="C7801" t="s">
        <v>10</v>
      </c>
      <c r="D7801" t="s">
        <v>2476</v>
      </c>
      <c r="E7801">
        <f>1/126</f>
        <v>7.9365079365079361E-3</v>
      </c>
      <c r="F7801">
        <v>12</v>
      </c>
      <c r="G7801">
        <f>LOG(382/(12+1))</f>
        <v>1.468120010604872</v>
      </c>
      <c r="H7801">
        <f>0.00793650793650793*3.38047125114503</f>
        <v>2.6829136913849427E-2</v>
      </c>
      <c r="I7801">
        <v>2.682913691384951E-2</v>
      </c>
    </row>
    <row r="7802" spans="1:9" x14ac:dyDescent="0.25">
      <c r="A7802">
        <v>361</v>
      </c>
      <c r="B7802" t="s">
        <v>2659</v>
      </c>
      <c r="C7802" t="s">
        <v>10</v>
      </c>
      <c r="D7802" t="s">
        <v>2683</v>
      </c>
      <c r="E7802">
        <f>1/126</f>
        <v>7.9365079365079361E-3</v>
      </c>
      <c r="F7802">
        <v>1</v>
      </c>
      <c r="G7802">
        <f>LOG(382/(1+1))</f>
        <v>2.2810333672477277</v>
      </c>
      <c r="H7802">
        <f>0.00793650793650793*5.25227342804663</f>
        <v>4.1684709746401795E-2</v>
      </c>
      <c r="I7802">
        <v>4.1684709746401823E-2</v>
      </c>
    </row>
    <row r="7803" spans="1:9" x14ac:dyDescent="0.25">
      <c r="A7803">
        <v>361</v>
      </c>
      <c r="B7803" t="s">
        <v>2659</v>
      </c>
      <c r="C7803" t="s">
        <v>10</v>
      </c>
      <c r="D7803" t="s">
        <v>309</v>
      </c>
      <c r="E7803">
        <f>1/126</f>
        <v>7.9365079365079361E-3</v>
      </c>
      <c r="F7803">
        <v>25</v>
      </c>
      <c r="G7803">
        <f>LOG(382/(25+1))</f>
        <v>1.1670900149408907</v>
      </c>
      <c r="H7803">
        <f>0.00793650793650793*2.68732407058509</f>
        <v>2.1327968814167365E-2</v>
      </c>
      <c r="I7803">
        <v>2.132796881416741E-2</v>
      </c>
    </row>
    <row r="7804" spans="1:9" x14ac:dyDescent="0.25">
      <c r="A7804">
        <v>361</v>
      </c>
      <c r="B7804" t="s">
        <v>2659</v>
      </c>
      <c r="C7804" t="s">
        <v>10</v>
      </c>
      <c r="D7804" t="s">
        <v>763</v>
      </c>
      <c r="E7804">
        <f>2/126</f>
        <v>1.5873015873015872E-2</v>
      </c>
      <c r="F7804">
        <v>47</v>
      </c>
      <c r="G7804">
        <f>LOG(382/(47+1))</f>
        <v>0.90082212553612151</v>
      </c>
      <c r="H7804">
        <f>0.0158730158730158*2.07421959769868</f>
        <v>3.2924120598391594E-2</v>
      </c>
      <c r="I7804">
        <v>3.2924120598391809E-2</v>
      </c>
    </row>
    <row r="7805" spans="1:9" x14ac:dyDescent="0.25">
      <c r="A7805">
        <v>361</v>
      </c>
      <c r="B7805" t="s">
        <v>2659</v>
      </c>
      <c r="C7805" t="s">
        <v>10</v>
      </c>
      <c r="D7805" t="s">
        <v>1831</v>
      </c>
      <c r="E7805">
        <f t="shared" ref="E7805:E7810" si="352">1/126</f>
        <v>7.9365079365079361E-3</v>
      </c>
      <c r="F7805">
        <v>28</v>
      </c>
      <c r="G7805">
        <f>LOG(382/(28+1))</f>
        <v>1.1196653650127526</v>
      </c>
      <c r="H7805">
        <f>0.00793650793650793*2.5781247786201</f>
        <v>2.0461307766826173E-2</v>
      </c>
      <c r="I7805">
        <v>2.0461307766826201E-2</v>
      </c>
    </row>
    <row r="7806" spans="1:9" x14ac:dyDescent="0.25">
      <c r="A7806">
        <v>361</v>
      </c>
      <c r="B7806" t="s">
        <v>2659</v>
      </c>
      <c r="C7806" t="s">
        <v>10</v>
      </c>
      <c r="D7806" t="s">
        <v>1098</v>
      </c>
      <c r="E7806">
        <f t="shared" si="352"/>
        <v>7.9365079365079361E-3</v>
      </c>
      <c r="F7806">
        <v>19</v>
      </c>
      <c r="G7806">
        <f>LOG(382/(19+1))</f>
        <v>1.2810333672477277</v>
      </c>
      <c r="H7806">
        <f>0.00793650793650793*2.94968833505258</f>
        <v>2.3410224881369665E-2</v>
      </c>
      <c r="I7806">
        <v>2.3410224881369721E-2</v>
      </c>
    </row>
    <row r="7807" spans="1:9" x14ac:dyDescent="0.25">
      <c r="A7807">
        <v>361</v>
      </c>
      <c r="B7807" t="s">
        <v>2659</v>
      </c>
      <c r="C7807" t="s">
        <v>10</v>
      </c>
      <c r="D7807" t="s">
        <v>1919</v>
      </c>
      <c r="E7807">
        <f t="shared" si="352"/>
        <v>7.9365079365079361E-3</v>
      </c>
      <c r="F7807">
        <v>18</v>
      </c>
      <c r="G7807">
        <f>LOG(382/(18+1))</f>
        <v>1.3033097619588798</v>
      </c>
      <c r="H7807">
        <f>0.00793650793650793*3.00098162944013</f>
        <v>2.3817314519366094E-2</v>
      </c>
      <c r="I7807">
        <v>2.381731451936615E-2</v>
      </c>
    </row>
    <row r="7808" spans="1:9" x14ac:dyDescent="0.25">
      <c r="A7808">
        <v>361</v>
      </c>
      <c r="B7808" t="s">
        <v>2659</v>
      </c>
      <c r="C7808" t="s">
        <v>10</v>
      </c>
      <c r="D7808" t="s">
        <v>1918</v>
      </c>
      <c r="E7808">
        <f t="shared" si="352"/>
        <v>7.9365079365079361E-3</v>
      </c>
      <c r="F7808">
        <v>25</v>
      </c>
      <c r="G7808">
        <f>LOG(382/(25+1))</f>
        <v>1.1670900149408907</v>
      </c>
      <c r="H7808">
        <f>0.00793650793650793*2.68732407058509</f>
        <v>2.1327968814167365E-2</v>
      </c>
      <c r="I7808">
        <v>2.132796881416741E-2</v>
      </c>
    </row>
    <row r="7809" spans="1:9" x14ac:dyDescent="0.25">
      <c r="A7809">
        <v>361</v>
      </c>
      <c r="B7809" t="s">
        <v>2659</v>
      </c>
      <c r="C7809" t="s">
        <v>10</v>
      </c>
      <c r="D7809" t="s">
        <v>1920</v>
      </c>
      <c r="E7809">
        <f t="shared" si="352"/>
        <v>7.9365079365079361E-3</v>
      </c>
      <c r="F7809">
        <v>18</v>
      </c>
      <c r="G7809">
        <f>LOG(382/(18+1))</f>
        <v>1.3033097619588798</v>
      </c>
      <c r="H7809">
        <f>0.00793650793650793*3.00098162944013</f>
        <v>2.3817314519366094E-2</v>
      </c>
      <c r="I7809">
        <v>2.381731451936615E-2</v>
      </c>
    </row>
    <row r="7810" spans="1:9" x14ac:dyDescent="0.25">
      <c r="A7810">
        <v>361</v>
      </c>
      <c r="B7810" t="s">
        <v>2659</v>
      </c>
      <c r="C7810" t="s">
        <v>10</v>
      </c>
      <c r="D7810" t="s">
        <v>204</v>
      </c>
      <c r="E7810">
        <f t="shared" si="352"/>
        <v>7.9365079365079361E-3</v>
      </c>
      <c r="F7810">
        <v>166</v>
      </c>
      <c r="G7810">
        <f>LOG(382/(166+1))</f>
        <v>0.35934689176412549</v>
      </c>
      <c r="H7810">
        <f>0.00793650793650793*0.82742679618982</f>
        <v>6.5668793348398358E-3</v>
      </c>
      <c r="I7810">
        <v>6.566879334839841E-3</v>
      </c>
    </row>
    <row r="7811" spans="1:9" x14ac:dyDescent="0.25">
      <c r="A7811">
        <v>361</v>
      </c>
      <c r="B7811" t="s">
        <v>2659</v>
      </c>
      <c r="C7811" t="s">
        <v>10</v>
      </c>
      <c r="D7811" t="s">
        <v>39</v>
      </c>
      <c r="E7811">
        <f>2/126</f>
        <v>1.5873015873015872E-2</v>
      </c>
      <c r="F7811">
        <v>145</v>
      </c>
      <c r="G7811">
        <f>LOG(382/(145+1))</f>
        <v>0.41771050712727159</v>
      </c>
      <c r="H7811">
        <f>0.0158730158730158*0.961813986898238</f>
        <v>1.5266888680924342E-2</v>
      </c>
      <c r="I7811">
        <v>1.526688868092442E-2</v>
      </c>
    </row>
    <row r="7812" spans="1:9" x14ac:dyDescent="0.25">
      <c r="A7812">
        <v>361</v>
      </c>
      <c r="B7812" t="s">
        <v>2659</v>
      </c>
      <c r="C7812" t="s">
        <v>10</v>
      </c>
      <c r="D7812" t="s">
        <v>363</v>
      </c>
      <c r="E7812">
        <f t="shared" ref="E7812:E7821" si="353">1/126</f>
        <v>7.9365079365079361E-3</v>
      </c>
      <c r="F7812">
        <v>36</v>
      </c>
      <c r="G7812">
        <f>LOG(382/(36+1))</f>
        <v>1.0138616388447137</v>
      </c>
      <c r="H7812">
        <f>0.00793650793650793*2.33450269596235</f>
        <v>1.8527799174304353E-2</v>
      </c>
      <c r="I7812">
        <v>1.8527799174304371E-2</v>
      </c>
    </row>
    <row r="7813" spans="1:9" x14ac:dyDescent="0.25">
      <c r="A7813">
        <v>361</v>
      </c>
      <c r="B7813" t="s">
        <v>2659</v>
      </c>
      <c r="C7813" t="s">
        <v>10</v>
      </c>
      <c r="D7813" t="s">
        <v>626</v>
      </c>
      <c r="E7813">
        <f t="shared" si="353"/>
        <v>7.9365079365079361E-3</v>
      </c>
      <c r="F7813">
        <v>12</v>
      </c>
      <c r="G7813">
        <f>LOG(382/(12+1))</f>
        <v>1.468120010604872</v>
      </c>
      <c r="H7813">
        <f>0.00793650793650793*3.38047125114503</f>
        <v>2.6829136913849427E-2</v>
      </c>
      <c r="I7813">
        <v>2.682913691384951E-2</v>
      </c>
    </row>
    <row r="7814" spans="1:9" x14ac:dyDescent="0.25">
      <c r="A7814">
        <v>361</v>
      </c>
      <c r="B7814" t="s">
        <v>2659</v>
      </c>
      <c r="C7814" t="s">
        <v>10</v>
      </c>
      <c r="D7814" t="s">
        <v>52</v>
      </c>
      <c r="E7814">
        <f t="shared" si="353"/>
        <v>7.9365079365079361E-3</v>
      </c>
      <c r="F7814">
        <v>35</v>
      </c>
      <c r="G7814">
        <f>LOG(382/(35+1))</f>
        <v>1.0257608621444214</v>
      </c>
      <c r="H7814">
        <f>0.00793650793650793*2.36190167015046</f>
        <v>1.8745251350400463E-2</v>
      </c>
      <c r="I7814">
        <v>1.8745251350400519E-2</v>
      </c>
    </row>
    <row r="7815" spans="1:9" x14ac:dyDescent="0.25">
      <c r="A7815">
        <v>361</v>
      </c>
      <c r="B7815" t="s">
        <v>2659</v>
      </c>
      <c r="C7815" t="s">
        <v>10</v>
      </c>
      <c r="D7815" t="s">
        <v>53</v>
      </c>
      <c r="E7815">
        <f t="shared" si="353"/>
        <v>7.9365079365079361E-3</v>
      </c>
      <c r="F7815">
        <v>57</v>
      </c>
      <c r="G7815">
        <f>LOG(382/(57+1))</f>
        <v>0.81863536934877146</v>
      </c>
      <c r="H7815">
        <f>0.00793650793650793*1.88497759806015</f>
        <v>1.4960139667144037E-2</v>
      </c>
      <c r="I7815">
        <v>1.4960139667144091E-2</v>
      </c>
    </row>
    <row r="7816" spans="1:9" x14ac:dyDescent="0.25">
      <c r="A7816">
        <v>361</v>
      </c>
      <c r="B7816" t="s">
        <v>2659</v>
      </c>
      <c r="C7816" t="s">
        <v>10</v>
      </c>
      <c r="D7816" t="s">
        <v>207</v>
      </c>
      <c r="E7816">
        <f t="shared" si="353"/>
        <v>7.9365079365079361E-3</v>
      </c>
      <c r="F7816">
        <v>21</v>
      </c>
      <c r="G7816">
        <f>LOG(382/(21+1))</f>
        <v>1.2396406820895025</v>
      </c>
      <c r="H7816">
        <f>0.00793650793650793*2.85437815524825</f>
        <v>2.2653794882922601E-2</v>
      </c>
      <c r="I7816">
        <v>2.2653794882922691E-2</v>
      </c>
    </row>
    <row r="7817" spans="1:9" x14ac:dyDescent="0.25">
      <c r="A7817">
        <v>361</v>
      </c>
      <c r="B7817" t="s">
        <v>2659</v>
      </c>
      <c r="C7817" t="s">
        <v>10</v>
      </c>
      <c r="D7817" t="s">
        <v>1296</v>
      </c>
      <c r="E7817">
        <f t="shared" si="353"/>
        <v>7.9365079365079361E-3</v>
      </c>
      <c r="F7817">
        <v>14</v>
      </c>
      <c r="G7817">
        <f>LOG(382/(14+1))</f>
        <v>1.4059721038560276</v>
      </c>
      <c r="H7817">
        <f>0.00793650793650793*3.23737040750436</f>
        <v>2.5693415932574265E-2</v>
      </c>
      <c r="I7817">
        <v>2.5693415932574321E-2</v>
      </c>
    </row>
    <row r="7818" spans="1:9" x14ac:dyDescent="0.25">
      <c r="A7818">
        <v>361</v>
      </c>
      <c r="B7818" t="s">
        <v>2659</v>
      </c>
      <c r="C7818" t="s">
        <v>10</v>
      </c>
      <c r="D7818" t="s">
        <v>2684</v>
      </c>
      <c r="E7818">
        <f t="shared" si="353"/>
        <v>7.9365079365079361E-3</v>
      </c>
      <c r="F7818">
        <v>2</v>
      </c>
      <c r="G7818">
        <f>LOG(382/(2+1))</f>
        <v>2.1049421081920463</v>
      </c>
      <c r="H7818">
        <f>0.00793650793650793*4.84680831993846</f>
        <v>3.8466732697924257E-2</v>
      </c>
      <c r="I7818">
        <v>3.8466732697924333E-2</v>
      </c>
    </row>
    <row r="7819" spans="1:9" x14ac:dyDescent="0.25">
      <c r="A7819">
        <v>361</v>
      </c>
      <c r="B7819" t="s">
        <v>2659</v>
      </c>
      <c r="C7819" t="s">
        <v>10</v>
      </c>
      <c r="D7819" t="s">
        <v>124</v>
      </c>
      <c r="E7819">
        <f t="shared" si="353"/>
        <v>7.9365079365079361E-3</v>
      </c>
      <c r="F7819">
        <v>9</v>
      </c>
      <c r="G7819">
        <f>LOG(382/(9+1))</f>
        <v>1.5820633629117087</v>
      </c>
      <c r="H7819">
        <f>0.00793650793650793*3.64283551561252</f>
        <v>2.8911392981051727E-2</v>
      </c>
      <c r="I7819">
        <v>2.8911392981051821E-2</v>
      </c>
    </row>
    <row r="7820" spans="1:9" x14ac:dyDescent="0.25">
      <c r="A7820">
        <v>361</v>
      </c>
      <c r="B7820" t="s">
        <v>2659</v>
      </c>
      <c r="C7820" t="s">
        <v>10</v>
      </c>
      <c r="D7820" t="s">
        <v>342</v>
      </c>
      <c r="E7820">
        <f t="shared" si="353"/>
        <v>7.9365079365079361E-3</v>
      </c>
      <c r="F7820">
        <v>35</v>
      </c>
      <c r="G7820">
        <f>LOG(382/(35+1))</f>
        <v>1.0257608621444214</v>
      </c>
      <c r="H7820">
        <f>0.00793650793650793*2.36190167015046</f>
        <v>1.8745251350400463E-2</v>
      </c>
      <c r="I7820">
        <v>1.8745251350400519E-2</v>
      </c>
    </row>
    <row r="7821" spans="1:9" x14ac:dyDescent="0.25">
      <c r="A7821">
        <v>361</v>
      </c>
      <c r="B7821" t="s">
        <v>2659</v>
      </c>
      <c r="C7821" t="s">
        <v>10</v>
      </c>
      <c r="D7821" t="s">
        <v>247</v>
      </c>
      <c r="E7821">
        <f t="shared" si="353"/>
        <v>7.9365079365079361E-3</v>
      </c>
      <c r="F7821">
        <v>121</v>
      </c>
      <c r="G7821">
        <f>LOG(382/(121+1))</f>
        <v>0.49570353223696051</v>
      </c>
      <c r="H7821">
        <f>0.00793650793650793*1.14139956387331</f>
        <v>9.0587266974072166E-3</v>
      </c>
      <c r="I7821">
        <v>9.0587266974072912E-3</v>
      </c>
    </row>
    <row r="7822" spans="1:9" x14ac:dyDescent="0.25">
      <c r="A7822">
        <v>362</v>
      </c>
      <c r="B7822" t="s">
        <v>2685</v>
      </c>
      <c r="C7822" t="s">
        <v>10</v>
      </c>
      <c r="D7822" t="s">
        <v>157</v>
      </c>
      <c r="E7822">
        <f>6/93</f>
        <v>6.4516129032258063E-2</v>
      </c>
      <c r="F7822">
        <v>16</v>
      </c>
      <c r="G7822">
        <f>LOG(382/(16+1))</f>
        <v>1.3516144415334348</v>
      </c>
      <c r="H7822">
        <f>0.064516129032258*3.11220726455035</f>
        <v>0.20078756545486107</v>
      </c>
      <c r="I7822">
        <v>0.2007875654548619</v>
      </c>
    </row>
    <row r="7823" spans="1:9" x14ac:dyDescent="0.25">
      <c r="A7823">
        <v>362</v>
      </c>
      <c r="B7823" t="s">
        <v>2685</v>
      </c>
      <c r="C7823" t="s">
        <v>10</v>
      </c>
      <c r="D7823" t="s">
        <v>368</v>
      </c>
      <c r="E7823">
        <f>4/93</f>
        <v>4.3010752688172046E-2</v>
      </c>
      <c r="F7823">
        <v>17</v>
      </c>
      <c r="G7823">
        <f>LOG(382/(17+1))</f>
        <v>1.3267908578084027</v>
      </c>
      <c r="H7823">
        <f>0.043010752688172*3.05504885071041</f>
        <v>0.13139995056818954</v>
      </c>
      <c r="I7823">
        <v>0.13139995056818971</v>
      </c>
    </row>
    <row r="7824" spans="1:9" x14ac:dyDescent="0.25">
      <c r="A7824">
        <v>362</v>
      </c>
      <c r="B7824" t="s">
        <v>2685</v>
      </c>
      <c r="C7824" t="s">
        <v>10</v>
      </c>
      <c r="D7824" t="s">
        <v>19</v>
      </c>
      <c r="E7824">
        <f t="shared" ref="E7824:E7845" si="354">1/93</f>
        <v>1.0752688172043012E-2</v>
      </c>
      <c r="F7824">
        <v>220</v>
      </c>
      <c r="G7824">
        <f>LOG(382/(220+1))</f>
        <v>0.23767108922659805</v>
      </c>
      <c r="H7824">
        <f>0.010752688172043*0.547257907088822</f>
        <v>5.8844936246109838E-3</v>
      </c>
      <c r="I7824">
        <v>5.8844936246109942E-3</v>
      </c>
    </row>
    <row r="7825" spans="1:9" x14ac:dyDescent="0.25">
      <c r="A7825">
        <v>362</v>
      </c>
      <c r="B7825" t="s">
        <v>2685</v>
      </c>
      <c r="C7825" t="s">
        <v>10</v>
      </c>
      <c r="D7825" t="s">
        <v>370</v>
      </c>
      <c r="E7825">
        <f t="shared" si="354"/>
        <v>1.0752688172043012E-2</v>
      </c>
      <c r="F7825">
        <v>14</v>
      </c>
      <c r="G7825">
        <f>LOG(382/(14+1))</f>
        <v>1.4059721038560276</v>
      </c>
      <c r="H7825">
        <f>0.010752688172043*3.23737040750436</f>
        <v>3.4810434489294155E-2</v>
      </c>
      <c r="I7825">
        <v>3.4810434489294252E-2</v>
      </c>
    </row>
    <row r="7826" spans="1:9" x14ac:dyDescent="0.25">
      <c r="A7826">
        <v>362</v>
      </c>
      <c r="B7826" t="s">
        <v>2685</v>
      </c>
      <c r="C7826" t="s">
        <v>10</v>
      </c>
      <c r="D7826" t="s">
        <v>465</v>
      </c>
      <c r="E7826">
        <f t="shared" si="354"/>
        <v>1.0752688172043012E-2</v>
      </c>
      <c r="F7826">
        <v>36</v>
      </c>
      <c r="G7826">
        <f>LOG(382/(36+1))</f>
        <v>1.0138616388447137</v>
      </c>
      <c r="H7826">
        <f>0.010752688172043*2.33450269596235</f>
        <v>2.5102179526476857E-2</v>
      </c>
      <c r="I7826">
        <v>2.5102179526476889E-2</v>
      </c>
    </row>
    <row r="7827" spans="1:9" x14ac:dyDescent="0.25">
      <c r="A7827">
        <v>362</v>
      </c>
      <c r="B7827" t="s">
        <v>2685</v>
      </c>
      <c r="C7827" t="s">
        <v>10</v>
      </c>
      <c r="D7827" t="s">
        <v>758</v>
      </c>
      <c r="E7827">
        <f t="shared" si="354"/>
        <v>1.0752688172043012E-2</v>
      </c>
      <c r="F7827">
        <v>26</v>
      </c>
      <c r="G7827">
        <f>LOG(382/(26+1))</f>
        <v>1.1506995987527215</v>
      </c>
      <c r="H7827">
        <f>0.010752688172043*2.64958374260224</f>
        <v>2.849014776991653E-2</v>
      </c>
      <c r="I7827">
        <v>2.8490147769916631E-2</v>
      </c>
    </row>
    <row r="7828" spans="1:9" x14ac:dyDescent="0.25">
      <c r="A7828">
        <v>362</v>
      </c>
      <c r="B7828" t="s">
        <v>2685</v>
      </c>
      <c r="C7828" t="s">
        <v>10</v>
      </c>
      <c r="D7828" t="s">
        <v>313</v>
      </c>
      <c r="E7828">
        <f t="shared" si="354"/>
        <v>1.0752688172043012E-2</v>
      </c>
      <c r="F7828">
        <v>13</v>
      </c>
      <c r="G7828">
        <f>LOG(382/(13+1))</f>
        <v>1.4359353272334707</v>
      </c>
      <c r="H7828">
        <f>0.010752688172043*3.30636327899131</f>
        <v>3.5552293322487168E-2</v>
      </c>
      <c r="I7828">
        <v>3.5552293322487279E-2</v>
      </c>
    </row>
    <row r="7829" spans="1:9" x14ac:dyDescent="0.25">
      <c r="A7829">
        <v>362</v>
      </c>
      <c r="B7829" t="s">
        <v>2685</v>
      </c>
      <c r="C7829" t="s">
        <v>10</v>
      </c>
      <c r="D7829" t="s">
        <v>2274</v>
      </c>
      <c r="E7829">
        <f t="shared" si="354"/>
        <v>1.0752688172043012E-2</v>
      </c>
      <c r="F7829">
        <v>4</v>
      </c>
      <c r="G7829">
        <f>LOG(382/(4+1))</f>
        <v>1.8830933585756899</v>
      </c>
      <c r="H7829">
        <f>0.010752688172043*4.33598269617247</f>
        <v>4.6623469851316837E-2</v>
      </c>
      <c r="I7829">
        <v>4.6623469851316927E-2</v>
      </c>
    </row>
    <row r="7830" spans="1:9" x14ac:dyDescent="0.25">
      <c r="A7830">
        <v>362</v>
      </c>
      <c r="B7830" t="s">
        <v>2685</v>
      </c>
      <c r="C7830" t="s">
        <v>10</v>
      </c>
      <c r="D7830" t="s">
        <v>2648</v>
      </c>
      <c r="E7830">
        <f t="shared" si="354"/>
        <v>1.0752688172043012E-2</v>
      </c>
      <c r="F7830">
        <v>2</v>
      </c>
      <c r="G7830">
        <f>LOG(382/(2+1))</f>
        <v>2.1049421081920463</v>
      </c>
      <c r="H7830">
        <f>0.010752688172043*4.84680831993846</f>
        <v>5.2116218493961877E-2</v>
      </c>
      <c r="I7830">
        <v>5.2116218493962002E-2</v>
      </c>
    </row>
    <row r="7831" spans="1:9" x14ac:dyDescent="0.25">
      <c r="A7831">
        <v>362</v>
      </c>
      <c r="B7831" t="s">
        <v>2685</v>
      </c>
      <c r="C7831" t="s">
        <v>10</v>
      </c>
      <c r="D7831" t="s">
        <v>40</v>
      </c>
      <c r="E7831">
        <f t="shared" si="354"/>
        <v>1.0752688172043012E-2</v>
      </c>
      <c r="F7831">
        <v>159</v>
      </c>
      <c r="G7831">
        <f>LOG(382/(159+1))</f>
        <v>0.377943380255784</v>
      </c>
      <c r="H7831">
        <f>0.010752688172043*0.870246793372748</f>
        <v>9.3574924018574954E-3</v>
      </c>
      <c r="I7831">
        <v>9.3574924018575093E-3</v>
      </c>
    </row>
    <row r="7832" spans="1:9" x14ac:dyDescent="0.25">
      <c r="A7832">
        <v>362</v>
      </c>
      <c r="B7832" t="s">
        <v>2685</v>
      </c>
      <c r="C7832" t="s">
        <v>10</v>
      </c>
      <c r="D7832" t="s">
        <v>41</v>
      </c>
      <c r="E7832">
        <f t="shared" si="354"/>
        <v>1.0752688172043012E-2</v>
      </c>
      <c r="F7832">
        <v>195</v>
      </c>
      <c r="G7832">
        <f>LOG(382/(195+1))</f>
        <v>0.28980729155523272</v>
      </c>
      <c r="H7832">
        <f>0.010752688172043*0.667305949376058</f>
        <v>7.1753327889898634E-3</v>
      </c>
      <c r="I7832">
        <v>7.1753327889898721E-3</v>
      </c>
    </row>
    <row r="7833" spans="1:9" x14ac:dyDescent="0.25">
      <c r="A7833">
        <v>362</v>
      </c>
      <c r="B7833" t="s">
        <v>2685</v>
      </c>
      <c r="C7833" t="s">
        <v>10</v>
      </c>
      <c r="D7833" t="s">
        <v>2686</v>
      </c>
      <c r="E7833">
        <f t="shared" si="354"/>
        <v>1.0752688172043012E-2</v>
      </c>
      <c r="F7833">
        <v>1</v>
      </c>
      <c r="G7833">
        <f>LOG(382/(1+1))</f>
        <v>2.2810333672477277</v>
      </c>
      <c r="H7833">
        <f>0.010752688172043*5.25227342804663</f>
        <v>5.6476058366092735E-2</v>
      </c>
      <c r="I7833">
        <v>5.6476058366092798E-2</v>
      </c>
    </row>
    <row r="7834" spans="1:9" x14ac:dyDescent="0.25">
      <c r="A7834">
        <v>362</v>
      </c>
      <c r="B7834" t="s">
        <v>2685</v>
      </c>
      <c r="C7834" t="s">
        <v>10</v>
      </c>
      <c r="D7834" t="s">
        <v>60</v>
      </c>
      <c r="E7834">
        <f t="shared" si="354"/>
        <v>1.0752688172043012E-2</v>
      </c>
      <c r="F7834">
        <v>24</v>
      </c>
      <c r="G7834">
        <f>LOG(382/(24+1))</f>
        <v>1.1841233542396712</v>
      </c>
      <c r="H7834">
        <f>0.010752688172043*2.72654478373837</f>
        <v>2.9317685846649108E-2</v>
      </c>
      <c r="I7834">
        <v>2.9317685846649191E-2</v>
      </c>
    </row>
    <row r="7835" spans="1:9" x14ac:dyDescent="0.25">
      <c r="A7835">
        <v>362</v>
      </c>
      <c r="B7835" t="s">
        <v>2685</v>
      </c>
      <c r="C7835" t="s">
        <v>10</v>
      </c>
      <c r="D7835" t="s">
        <v>2687</v>
      </c>
      <c r="E7835">
        <f t="shared" si="354"/>
        <v>1.0752688172043012E-2</v>
      </c>
      <c r="F7835">
        <v>1</v>
      </c>
      <c r="G7835">
        <f>LOG(382/(1+1))</f>
        <v>2.2810333672477277</v>
      </c>
      <c r="H7835">
        <f>0.010752688172043*5.25227342804663</f>
        <v>5.6476058366092735E-2</v>
      </c>
      <c r="I7835">
        <v>5.6476058366092798E-2</v>
      </c>
    </row>
    <row r="7836" spans="1:9" x14ac:dyDescent="0.25">
      <c r="A7836">
        <v>362</v>
      </c>
      <c r="B7836" t="s">
        <v>2685</v>
      </c>
      <c r="C7836" t="s">
        <v>10</v>
      </c>
      <c r="D7836" t="s">
        <v>2688</v>
      </c>
      <c r="E7836">
        <f t="shared" si="354"/>
        <v>1.0752688172043012E-2</v>
      </c>
      <c r="F7836">
        <v>1</v>
      </c>
      <c r="G7836">
        <f>LOG(382/(1+1))</f>
        <v>2.2810333672477277</v>
      </c>
      <c r="H7836">
        <f>0.010752688172043*5.25227342804663</f>
        <v>5.6476058366092735E-2</v>
      </c>
      <c r="I7836">
        <v>5.6476058366092798E-2</v>
      </c>
    </row>
    <row r="7837" spans="1:9" x14ac:dyDescent="0.25">
      <c r="A7837">
        <v>362</v>
      </c>
      <c r="B7837" t="s">
        <v>2685</v>
      </c>
      <c r="C7837" t="s">
        <v>10</v>
      </c>
      <c r="D7837" t="s">
        <v>2521</v>
      </c>
      <c r="E7837">
        <f t="shared" si="354"/>
        <v>1.0752688172043012E-2</v>
      </c>
      <c r="F7837">
        <v>3</v>
      </c>
      <c r="G7837">
        <f>LOG(382/(3+1))</f>
        <v>1.9800033715837464</v>
      </c>
      <c r="H7837">
        <f>0.010752688172043*4.55912624748668</f>
        <v>4.9022862876200807E-2</v>
      </c>
      <c r="I7837">
        <v>4.9022862876200911E-2</v>
      </c>
    </row>
    <row r="7838" spans="1:9" x14ac:dyDescent="0.25">
      <c r="A7838">
        <v>362</v>
      </c>
      <c r="B7838" t="s">
        <v>2685</v>
      </c>
      <c r="C7838" t="s">
        <v>10</v>
      </c>
      <c r="D7838" t="s">
        <v>1639</v>
      </c>
      <c r="E7838">
        <f t="shared" si="354"/>
        <v>1.0752688172043012E-2</v>
      </c>
      <c r="F7838">
        <v>10</v>
      </c>
      <c r="G7838">
        <f>LOG(382/(10+1))</f>
        <v>1.5406706777534838</v>
      </c>
      <c r="H7838">
        <f>0.010752688172043*3.5475253358082</f>
        <v>3.8145433718367705E-2</v>
      </c>
      <c r="I7838">
        <v>3.8145433718367802E-2</v>
      </c>
    </row>
    <row r="7839" spans="1:9" x14ac:dyDescent="0.25">
      <c r="A7839">
        <v>362</v>
      </c>
      <c r="B7839" t="s">
        <v>2685</v>
      </c>
      <c r="C7839" t="s">
        <v>10</v>
      </c>
      <c r="D7839" t="s">
        <v>2689</v>
      </c>
      <c r="E7839">
        <f t="shared" si="354"/>
        <v>1.0752688172043012E-2</v>
      </c>
      <c r="F7839">
        <v>1</v>
      </c>
      <c r="G7839">
        <f>LOG(382/(1+1))</f>
        <v>2.2810333672477277</v>
      </c>
      <c r="H7839">
        <f>0.010752688172043*5.25227342804663</f>
        <v>5.6476058366092735E-2</v>
      </c>
      <c r="I7839">
        <v>5.6476058366092798E-2</v>
      </c>
    </row>
    <row r="7840" spans="1:9" x14ac:dyDescent="0.25">
      <c r="A7840">
        <v>362</v>
      </c>
      <c r="B7840" t="s">
        <v>2685</v>
      </c>
      <c r="C7840" t="s">
        <v>10</v>
      </c>
      <c r="D7840" t="s">
        <v>776</v>
      </c>
      <c r="E7840">
        <f t="shared" si="354"/>
        <v>1.0752688172043012E-2</v>
      </c>
      <c r="F7840">
        <v>15</v>
      </c>
      <c r="G7840">
        <f>LOG(382/(15+1))</f>
        <v>1.3779433802557839</v>
      </c>
      <c r="H7840">
        <f>0.010752688172043*3.17283188636679</f>
        <v>3.4116471896417061E-2</v>
      </c>
      <c r="I7840">
        <v>3.4116471896417137E-2</v>
      </c>
    </row>
    <row r="7841" spans="1:9" x14ac:dyDescent="0.25">
      <c r="A7841">
        <v>362</v>
      </c>
      <c r="B7841" t="s">
        <v>2685</v>
      </c>
      <c r="C7841" t="s">
        <v>10</v>
      </c>
      <c r="D7841" t="s">
        <v>442</v>
      </c>
      <c r="E7841">
        <f t="shared" si="354"/>
        <v>1.0752688172043012E-2</v>
      </c>
      <c r="F7841">
        <v>9</v>
      </c>
      <c r="G7841">
        <f>LOG(382/(9+1))</f>
        <v>1.5820633629117087</v>
      </c>
      <c r="H7841">
        <f>0.010752688172043*3.64283551561252</f>
        <v>3.9170274361424909E-2</v>
      </c>
      <c r="I7841">
        <v>3.9170274361425048E-2</v>
      </c>
    </row>
    <row r="7842" spans="1:9" x14ac:dyDescent="0.25">
      <c r="A7842">
        <v>362</v>
      </c>
      <c r="B7842" t="s">
        <v>2685</v>
      </c>
      <c r="C7842" t="s">
        <v>10</v>
      </c>
      <c r="D7842" t="s">
        <v>2656</v>
      </c>
      <c r="E7842">
        <f t="shared" si="354"/>
        <v>1.0752688172043012E-2</v>
      </c>
      <c r="F7842">
        <v>2</v>
      </c>
      <c r="G7842">
        <f>LOG(382/(2+1))</f>
        <v>2.1049421081920463</v>
      </c>
      <c r="H7842">
        <f>0.010752688172043*4.84680831993846</f>
        <v>5.2116218493961877E-2</v>
      </c>
      <c r="I7842">
        <v>5.2116218493962002E-2</v>
      </c>
    </row>
    <row r="7843" spans="1:9" x14ac:dyDescent="0.25">
      <c r="A7843">
        <v>362</v>
      </c>
      <c r="B7843" t="s">
        <v>2685</v>
      </c>
      <c r="C7843" t="s">
        <v>10</v>
      </c>
      <c r="D7843" t="s">
        <v>2657</v>
      </c>
      <c r="E7843">
        <f t="shared" si="354"/>
        <v>1.0752688172043012E-2</v>
      </c>
      <c r="F7843">
        <v>2</v>
      </c>
      <c r="G7843">
        <f>LOG(382/(2+1))</f>
        <v>2.1049421081920463</v>
      </c>
      <c r="H7843">
        <f>0.010752688172043*4.84680831993846</f>
        <v>5.2116218493961877E-2</v>
      </c>
      <c r="I7843">
        <v>5.2116218493962002E-2</v>
      </c>
    </row>
    <row r="7844" spans="1:9" x14ac:dyDescent="0.25">
      <c r="A7844">
        <v>362</v>
      </c>
      <c r="B7844" t="s">
        <v>2685</v>
      </c>
      <c r="C7844" t="s">
        <v>10</v>
      </c>
      <c r="D7844" t="s">
        <v>81</v>
      </c>
      <c r="E7844">
        <f t="shared" si="354"/>
        <v>1.0752688172043012E-2</v>
      </c>
      <c r="F7844">
        <v>114</v>
      </c>
      <c r="G7844">
        <f>LOG(382/(114+1))</f>
        <v>0.52136552255809698</v>
      </c>
      <c r="H7844">
        <f>0.010752688172043*1.20048848024332</f>
        <v>1.2908478282186223E-2</v>
      </c>
      <c r="I7844">
        <v>1.2908478282186289E-2</v>
      </c>
    </row>
    <row r="7845" spans="1:9" x14ac:dyDescent="0.25">
      <c r="A7845">
        <v>362</v>
      </c>
      <c r="B7845" t="s">
        <v>2685</v>
      </c>
      <c r="C7845" t="s">
        <v>10</v>
      </c>
      <c r="D7845" t="s">
        <v>339</v>
      </c>
      <c r="E7845">
        <f t="shared" si="354"/>
        <v>1.0752688172043012E-2</v>
      </c>
      <c r="F7845">
        <v>66</v>
      </c>
      <c r="G7845">
        <f>LOG(382/(66+1))</f>
        <v>0.75598856021088234</v>
      </c>
      <c r="H7845">
        <f>0.010752688172043*1.7407279892156</f>
        <v>1.8717505260382777E-2</v>
      </c>
      <c r="I7845">
        <v>1.8717505260382891E-2</v>
      </c>
    </row>
    <row r="7846" spans="1:9" x14ac:dyDescent="0.25">
      <c r="A7846">
        <v>362</v>
      </c>
      <c r="B7846" t="s">
        <v>2685</v>
      </c>
      <c r="C7846" t="s">
        <v>10</v>
      </c>
      <c r="D7846" t="s">
        <v>635</v>
      </c>
      <c r="E7846">
        <f>2/93</f>
        <v>2.1505376344086023E-2</v>
      </c>
      <c r="F7846">
        <v>4</v>
      </c>
      <c r="G7846">
        <f>LOG(382/(4+1))</f>
        <v>1.8830933585756899</v>
      </c>
      <c r="H7846">
        <f>0.021505376344086*4.33598269617247</f>
        <v>9.3246939702633674E-2</v>
      </c>
      <c r="I7846">
        <v>9.3246939702633869E-2</v>
      </c>
    </row>
    <row r="7847" spans="1:9" x14ac:dyDescent="0.25">
      <c r="A7847">
        <v>362</v>
      </c>
      <c r="B7847" t="s">
        <v>2685</v>
      </c>
      <c r="C7847" t="s">
        <v>10</v>
      </c>
      <c r="D7847" t="s">
        <v>823</v>
      </c>
      <c r="E7847">
        <f>1/93</f>
        <v>1.0752688172043012E-2</v>
      </c>
      <c r="F7847">
        <v>45</v>
      </c>
      <c r="G7847">
        <f>LOG(382/(45+1))</f>
        <v>0.9193055312301347</v>
      </c>
      <c r="H7847">
        <f>0.010752688172043*2.11677921211748</f>
        <v>2.2761066796962128E-2</v>
      </c>
      <c r="I7847">
        <v>2.2761066796962159E-2</v>
      </c>
    </row>
    <row r="7848" spans="1:9" x14ac:dyDescent="0.25">
      <c r="A7848">
        <v>362</v>
      </c>
      <c r="B7848" t="s">
        <v>2685</v>
      </c>
      <c r="C7848" t="s">
        <v>10</v>
      </c>
      <c r="D7848" t="s">
        <v>2655</v>
      </c>
      <c r="E7848">
        <f>2/93</f>
        <v>2.1505376344086023E-2</v>
      </c>
      <c r="F7848">
        <v>3</v>
      </c>
      <c r="G7848">
        <f>LOG(382/(3+1))</f>
        <v>1.9800033715837464</v>
      </c>
      <c r="H7848">
        <f>0.021505376344086*4.55912624748668</f>
        <v>9.8045725752401613E-2</v>
      </c>
      <c r="I7848">
        <v>9.8045725752401822E-2</v>
      </c>
    </row>
    <row r="7849" spans="1:9" x14ac:dyDescent="0.25">
      <c r="A7849">
        <v>362</v>
      </c>
      <c r="B7849" t="s">
        <v>2685</v>
      </c>
      <c r="C7849" t="s">
        <v>10</v>
      </c>
      <c r="D7849" t="s">
        <v>767</v>
      </c>
      <c r="E7849">
        <f>2/93</f>
        <v>2.1505376344086023E-2</v>
      </c>
      <c r="F7849">
        <v>47</v>
      </c>
      <c r="G7849">
        <f>LOG(382/(47+1))</f>
        <v>0.90082212553612151</v>
      </c>
      <c r="H7849">
        <f>0.021505376344086*2.07421959769868</f>
        <v>4.4606873068788772E-2</v>
      </c>
      <c r="I7849">
        <v>4.460687306878891E-2</v>
      </c>
    </row>
    <row r="7850" spans="1:9" x14ac:dyDescent="0.25">
      <c r="A7850">
        <v>362</v>
      </c>
      <c r="B7850" t="s">
        <v>2685</v>
      </c>
      <c r="C7850" t="s">
        <v>10</v>
      </c>
      <c r="D7850" t="s">
        <v>1492</v>
      </c>
      <c r="E7850">
        <f>2/93</f>
        <v>2.1505376344086023E-2</v>
      </c>
      <c r="F7850">
        <v>8</v>
      </c>
      <c r="G7850">
        <f>LOG(382/(8+1))</f>
        <v>1.6278208534723839</v>
      </c>
      <c r="H7850">
        <f>0.021505376344086*3.74819603127035</f>
        <v>8.0606366263878404E-2</v>
      </c>
      <c r="I7850">
        <v>8.0606366263878626E-2</v>
      </c>
    </row>
    <row r="7851" spans="1:9" x14ac:dyDescent="0.25">
      <c r="A7851">
        <v>362</v>
      </c>
      <c r="B7851" t="s">
        <v>2685</v>
      </c>
      <c r="C7851" t="s">
        <v>10</v>
      </c>
      <c r="D7851" t="s">
        <v>2658</v>
      </c>
      <c r="E7851">
        <f t="shared" ref="E7851:E7857" si="355">1/93</f>
        <v>1.0752688172043012E-2</v>
      </c>
      <c r="F7851">
        <v>2</v>
      </c>
      <c r="G7851">
        <f>LOG(382/(2+1))</f>
        <v>2.1049421081920463</v>
      </c>
      <c r="H7851">
        <f>0.010752688172043*4.84680831993846</f>
        <v>5.2116218493961877E-2</v>
      </c>
      <c r="I7851">
        <v>5.2116218493962002E-2</v>
      </c>
    </row>
    <row r="7852" spans="1:9" x14ac:dyDescent="0.25">
      <c r="A7852">
        <v>362</v>
      </c>
      <c r="B7852" t="s">
        <v>2685</v>
      </c>
      <c r="C7852" t="s">
        <v>10</v>
      </c>
      <c r="D7852" t="s">
        <v>671</v>
      </c>
      <c r="E7852">
        <f t="shared" si="355"/>
        <v>1.0752688172043012E-2</v>
      </c>
      <c r="F7852">
        <v>10</v>
      </c>
      <c r="G7852">
        <f>LOG(382/(10+1))</f>
        <v>1.5406706777534838</v>
      </c>
      <c r="H7852">
        <f>0.010752688172043*3.5475253358082</f>
        <v>3.8145433718367705E-2</v>
      </c>
      <c r="I7852">
        <v>3.8145433718367802E-2</v>
      </c>
    </row>
    <row r="7853" spans="1:9" x14ac:dyDescent="0.25">
      <c r="A7853">
        <v>362</v>
      </c>
      <c r="B7853" t="s">
        <v>2685</v>
      </c>
      <c r="C7853" t="s">
        <v>10</v>
      </c>
      <c r="D7853" t="s">
        <v>2690</v>
      </c>
      <c r="E7853">
        <f t="shared" si="355"/>
        <v>1.0752688172043012E-2</v>
      </c>
      <c r="F7853">
        <v>1</v>
      </c>
      <c r="G7853">
        <f>LOG(382/(1+1))</f>
        <v>2.2810333672477277</v>
      </c>
      <c r="H7853">
        <f>0.010752688172043*5.25227342804663</f>
        <v>5.6476058366092735E-2</v>
      </c>
      <c r="I7853">
        <v>5.6476058366092798E-2</v>
      </c>
    </row>
    <row r="7854" spans="1:9" x14ac:dyDescent="0.25">
      <c r="A7854">
        <v>362</v>
      </c>
      <c r="B7854" t="s">
        <v>2685</v>
      </c>
      <c r="C7854" t="s">
        <v>10</v>
      </c>
      <c r="D7854" t="s">
        <v>2691</v>
      </c>
      <c r="E7854">
        <f t="shared" si="355"/>
        <v>1.0752688172043012E-2</v>
      </c>
      <c r="F7854">
        <v>1</v>
      </c>
      <c r="G7854">
        <f>LOG(382/(1+1))</f>
        <v>2.2810333672477277</v>
      </c>
      <c r="H7854">
        <f>0.010752688172043*5.25227342804663</f>
        <v>5.6476058366092735E-2</v>
      </c>
      <c r="I7854">
        <v>5.6476058366092798E-2</v>
      </c>
    </row>
    <row r="7855" spans="1:9" x14ac:dyDescent="0.25">
      <c r="A7855">
        <v>362</v>
      </c>
      <c r="B7855" t="s">
        <v>2685</v>
      </c>
      <c r="C7855" t="s">
        <v>10</v>
      </c>
      <c r="D7855" t="s">
        <v>1631</v>
      </c>
      <c r="E7855">
        <f t="shared" si="355"/>
        <v>1.0752688172043012E-2</v>
      </c>
      <c r="F7855">
        <v>5</v>
      </c>
      <c r="G7855">
        <f>LOG(382/(5+1))</f>
        <v>1.803912112528065</v>
      </c>
      <c r="H7855">
        <f>0.010752688172043*4.15366113937852</f>
        <v>4.466302300407006E-2</v>
      </c>
      <c r="I7855">
        <v>4.4663023004070108E-2</v>
      </c>
    </row>
    <row r="7856" spans="1:9" x14ac:dyDescent="0.25">
      <c r="A7856">
        <v>362</v>
      </c>
      <c r="B7856" t="s">
        <v>2685</v>
      </c>
      <c r="C7856" t="s">
        <v>10</v>
      </c>
      <c r="D7856" t="s">
        <v>307</v>
      </c>
      <c r="E7856">
        <f t="shared" si="355"/>
        <v>1.0752688172043012E-2</v>
      </c>
      <c r="F7856">
        <v>67</v>
      </c>
      <c r="G7856">
        <f>LOG(382/(67+1))</f>
        <v>0.7495544502054724</v>
      </c>
      <c r="H7856">
        <f>0.010752688172043*1.72591290343046</f>
        <v>1.8558203262693099E-2</v>
      </c>
      <c r="I7856">
        <v>1.855820326269321E-2</v>
      </c>
    </row>
    <row r="7857" spans="1:9" x14ac:dyDescent="0.25">
      <c r="A7857">
        <v>362</v>
      </c>
      <c r="B7857" t="s">
        <v>2685</v>
      </c>
      <c r="C7857" t="s">
        <v>10</v>
      </c>
      <c r="D7857" t="s">
        <v>2692</v>
      </c>
      <c r="E7857">
        <f t="shared" si="355"/>
        <v>1.0752688172043012E-2</v>
      </c>
      <c r="F7857">
        <v>1</v>
      </c>
      <c r="G7857">
        <f>LOG(382/(1+1))</f>
        <v>2.2810333672477277</v>
      </c>
      <c r="H7857">
        <f>0.010752688172043*5.25227342804663</f>
        <v>5.6476058366092735E-2</v>
      </c>
      <c r="I7857">
        <v>5.6476058366092798E-2</v>
      </c>
    </row>
    <row r="7858" spans="1:9" x14ac:dyDescent="0.25">
      <c r="A7858">
        <v>362</v>
      </c>
      <c r="B7858" t="s">
        <v>2685</v>
      </c>
      <c r="C7858" t="s">
        <v>10</v>
      </c>
      <c r="D7858" t="s">
        <v>485</v>
      </c>
      <c r="E7858">
        <f>7/93</f>
        <v>7.5268817204301078E-2</v>
      </c>
      <c r="F7858">
        <v>74</v>
      </c>
      <c r="G7858">
        <f>LOG(382/(74+1))</f>
        <v>0.7070020995200087</v>
      </c>
      <c r="H7858">
        <f>0.075268817204301*1.62793249507026</f>
        <v>0.12253255339238503</v>
      </c>
      <c r="I7858">
        <v>0.1225325533923855</v>
      </c>
    </row>
    <row r="7859" spans="1:9" x14ac:dyDescent="0.25">
      <c r="A7859">
        <v>362</v>
      </c>
      <c r="B7859" t="s">
        <v>2685</v>
      </c>
      <c r="C7859" t="s">
        <v>10</v>
      </c>
      <c r="D7859" t="s">
        <v>324</v>
      </c>
      <c r="E7859">
        <f>1/93</f>
        <v>1.0752688172043012E-2</v>
      </c>
      <c r="F7859">
        <v>82</v>
      </c>
      <c r="G7859">
        <f>LOG(382/(82+1))</f>
        <v>0.66298527053563483</v>
      </c>
      <c r="H7859">
        <f>0.010752688172043*1.52658000080997</f>
        <v>1.6414838718386757E-2</v>
      </c>
      <c r="I7859">
        <v>1.6414838718386851E-2</v>
      </c>
    </row>
    <row r="7860" spans="1:9" x14ac:dyDescent="0.25">
      <c r="A7860">
        <v>362</v>
      </c>
      <c r="B7860" t="s">
        <v>2685</v>
      </c>
      <c r="C7860" t="s">
        <v>10</v>
      </c>
      <c r="D7860" t="s">
        <v>2693</v>
      </c>
      <c r="E7860">
        <f>1/93</f>
        <v>1.0752688172043012E-2</v>
      </c>
      <c r="F7860">
        <v>1</v>
      </c>
      <c r="G7860">
        <f>LOG(382/(1+1))</f>
        <v>2.2810333672477277</v>
      </c>
      <c r="H7860">
        <f>0.010752688172043*5.25227342804663</f>
        <v>5.6476058366092735E-2</v>
      </c>
      <c r="I7860">
        <v>5.6476058366092798E-2</v>
      </c>
    </row>
    <row r="7861" spans="1:9" x14ac:dyDescent="0.25">
      <c r="A7861">
        <v>362</v>
      </c>
      <c r="B7861" t="s">
        <v>2685</v>
      </c>
      <c r="C7861" t="s">
        <v>10</v>
      </c>
      <c r="D7861" t="s">
        <v>1222</v>
      </c>
      <c r="E7861">
        <f>2/93</f>
        <v>2.1505376344086023E-2</v>
      </c>
      <c r="F7861">
        <v>56</v>
      </c>
      <c r="G7861">
        <f>LOG(382/(56+1))</f>
        <v>0.82618850723921733</v>
      </c>
      <c r="H7861">
        <f>0.021505376344086*1.90236934077202</f>
        <v>4.0911168618753074E-2</v>
      </c>
      <c r="I7861">
        <v>4.0911168618753227E-2</v>
      </c>
    </row>
    <row r="7862" spans="1:9" x14ac:dyDescent="0.25">
      <c r="A7862">
        <v>362</v>
      </c>
      <c r="B7862" t="s">
        <v>2685</v>
      </c>
      <c r="C7862" t="s">
        <v>10</v>
      </c>
      <c r="D7862" t="s">
        <v>596</v>
      </c>
      <c r="E7862">
        <f>3/93</f>
        <v>3.2258064516129031E-2</v>
      </c>
      <c r="F7862">
        <v>60</v>
      </c>
      <c r="G7862">
        <f>LOG(382/(60+1))</f>
        <v>0.79673352790094176</v>
      </c>
      <c r="H7862">
        <f>0.032258064516129*1.83454674443326</f>
        <v>5.9178927239782513E-2</v>
      </c>
      <c r="I7862">
        <v>5.9178927239782707E-2</v>
      </c>
    </row>
    <row r="7863" spans="1:9" x14ac:dyDescent="0.25">
      <c r="A7863">
        <v>362</v>
      </c>
      <c r="B7863" t="s">
        <v>2685</v>
      </c>
      <c r="C7863" t="s">
        <v>10</v>
      </c>
      <c r="D7863" t="s">
        <v>2694</v>
      </c>
      <c r="E7863">
        <f>1/93</f>
        <v>1.0752688172043012E-2</v>
      </c>
      <c r="F7863">
        <v>1</v>
      </c>
      <c r="G7863">
        <f>LOG(382/(1+1))</f>
        <v>2.2810333672477277</v>
      </c>
      <c r="H7863">
        <f>0.010752688172043*5.25227342804663</f>
        <v>5.6476058366092735E-2</v>
      </c>
      <c r="I7863">
        <v>5.6476058366092798E-2</v>
      </c>
    </row>
    <row r="7864" spans="1:9" x14ac:dyDescent="0.25">
      <c r="A7864">
        <v>362</v>
      </c>
      <c r="B7864" t="s">
        <v>2685</v>
      </c>
      <c r="C7864" t="s">
        <v>10</v>
      </c>
      <c r="D7864" t="s">
        <v>2538</v>
      </c>
      <c r="E7864">
        <f>6/93</f>
        <v>6.4516129032258063E-2</v>
      </c>
      <c r="F7864">
        <v>4</v>
      </c>
      <c r="G7864">
        <f>LOG(382/(4+1))</f>
        <v>1.8830933585756899</v>
      </c>
      <c r="H7864">
        <f>0.064516129032258*4.33598269617247</f>
        <v>0.279740819107901</v>
      </c>
      <c r="I7864">
        <v>0.27974081910790161</v>
      </c>
    </row>
    <row r="7865" spans="1:9" x14ac:dyDescent="0.25">
      <c r="A7865">
        <v>362</v>
      </c>
      <c r="B7865" t="s">
        <v>2685</v>
      </c>
      <c r="C7865" t="s">
        <v>10</v>
      </c>
      <c r="D7865" t="s">
        <v>2142</v>
      </c>
      <c r="E7865">
        <f>6/93</f>
        <v>6.4516129032258063E-2</v>
      </c>
      <c r="F7865">
        <v>2</v>
      </c>
      <c r="G7865">
        <f>LOG(382/(2+1))</f>
        <v>2.1049421081920463</v>
      </c>
      <c r="H7865">
        <f>0.064516129032258*4.84680831993846</f>
        <v>0.31269731096377129</v>
      </c>
      <c r="I7865">
        <v>0.31269731096377201</v>
      </c>
    </row>
    <row r="7866" spans="1:9" x14ac:dyDescent="0.25">
      <c r="A7866">
        <v>362</v>
      </c>
      <c r="B7866" t="s">
        <v>2685</v>
      </c>
      <c r="C7866" t="s">
        <v>10</v>
      </c>
      <c r="D7866" t="s">
        <v>215</v>
      </c>
      <c r="E7866">
        <f>1/93</f>
        <v>1.0752688172043012E-2</v>
      </c>
      <c r="F7866">
        <v>25</v>
      </c>
      <c r="G7866">
        <f>LOG(382/(25+1))</f>
        <v>1.1670900149408907</v>
      </c>
      <c r="H7866">
        <f>0.010752688172043*2.68732407058509</f>
        <v>2.8895957748226744E-2</v>
      </c>
      <c r="I7866">
        <v>2.889595774822681E-2</v>
      </c>
    </row>
    <row r="7867" spans="1:9" x14ac:dyDescent="0.25">
      <c r="A7867">
        <v>362</v>
      </c>
      <c r="B7867" t="s">
        <v>2685</v>
      </c>
      <c r="C7867" t="s">
        <v>10</v>
      </c>
      <c r="D7867" t="s">
        <v>733</v>
      </c>
      <c r="E7867">
        <f>1/93</f>
        <v>1.0752688172043012E-2</v>
      </c>
      <c r="F7867">
        <v>6</v>
      </c>
      <c r="G7867">
        <f>LOG(382/(6+1))</f>
        <v>1.736965322897452</v>
      </c>
      <c r="H7867">
        <f>0.010752688172043*3.99951045955126</f>
        <v>4.3005488812379096E-2</v>
      </c>
      <c r="I7867">
        <v>4.3005488812379172E-2</v>
      </c>
    </row>
    <row r="7868" spans="1:9" x14ac:dyDescent="0.25">
      <c r="A7868">
        <v>362</v>
      </c>
      <c r="B7868" t="s">
        <v>2685</v>
      </c>
      <c r="C7868" t="s">
        <v>10</v>
      </c>
      <c r="D7868" t="s">
        <v>589</v>
      </c>
      <c r="E7868">
        <f>1/93</f>
        <v>1.0752688172043012E-2</v>
      </c>
      <c r="F7868">
        <v>12</v>
      </c>
      <c r="G7868">
        <f>LOG(382/(12+1))</f>
        <v>1.468120010604872</v>
      </c>
      <c r="H7868">
        <f>0.010752688172043*3.38047125114503</f>
        <v>3.6349153238118569E-2</v>
      </c>
      <c r="I7868">
        <v>3.6349153238118687E-2</v>
      </c>
    </row>
    <row r="7869" spans="1:9" x14ac:dyDescent="0.25">
      <c r="A7869">
        <v>362</v>
      </c>
      <c r="B7869" t="s">
        <v>2685</v>
      </c>
      <c r="C7869" t="s">
        <v>10</v>
      </c>
      <c r="D7869" t="s">
        <v>1399</v>
      </c>
      <c r="E7869">
        <f>2/93</f>
        <v>2.1505376344086023E-2</v>
      </c>
      <c r="F7869">
        <v>7</v>
      </c>
      <c r="G7869">
        <f>LOG(382/(7+1))</f>
        <v>1.6789733759197651</v>
      </c>
      <c r="H7869">
        <f>0.021505376344086*3.86597906692673</f>
        <v>8.3139334772617771E-2</v>
      </c>
      <c r="I7869">
        <v>8.3139334772618048E-2</v>
      </c>
    </row>
    <row r="7870" spans="1:9" x14ac:dyDescent="0.25">
      <c r="A7870">
        <v>362</v>
      </c>
      <c r="B7870" t="s">
        <v>2685</v>
      </c>
      <c r="C7870" t="s">
        <v>10</v>
      </c>
      <c r="D7870" t="s">
        <v>863</v>
      </c>
      <c r="E7870">
        <f t="shared" ref="E7870:E7882" si="356">1/93</f>
        <v>1.0752688172043012E-2</v>
      </c>
      <c r="F7870">
        <v>14</v>
      </c>
      <c r="G7870">
        <f>LOG(382/(14+1))</f>
        <v>1.4059721038560276</v>
      </c>
      <c r="H7870">
        <f>0.010752688172043*3.23737040750436</f>
        <v>3.4810434489294155E-2</v>
      </c>
      <c r="I7870">
        <v>3.4810434489294252E-2</v>
      </c>
    </row>
    <row r="7871" spans="1:9" x14ac:dyDescent="0.25">
      <c r="A7871">
        <v>362</v>
      </c>
      <c r="B7871" t="s">
        <v>2685</v>
      </c>
      <c r="C7871" t="s">
        <v>10</v>
      </c>
      <c r="D7871" t="s">
        <v>1942</v>
      </c>
      <c r="E7871">
        <f t="shared" si="356"/>
        <v>1.0752688172043012E-2</v>
      </c>
      <c r="F7871">
        <v>3</v>
      </c>
      <c r="G7871">
        <f>LOG(382/(3+1))</f>
        <v>1.9800033715837464</v>
      </c>
      <c r="H7871">
        <f>0.010752688172043*4.55912624748668</f>
        <v>4.9022862876200807E-2</v>
      </c>
      <c r="I7871">
        <v>4.9022862876200911E-2</v>
      </c>
    </row>
    <row r="7872" spans="1:9" x14ac:dyDescent="0.25">
      <c r="A7872">
        <v>362</v>
      </c>
      <c r="B7872" t="s">
        <v>2685</v>
      </c>
      <c r="C7872" t="s">
        <v>10</v>
      </c>
      <c r="D7872" t="s">
        <v>72</v>
      </c>
      <c r="E7872">
        <f t="shared" si="356"/>
        <v>1.0752688172043012E-2</v>
      </c>
      <c r="F7872">
        <v>13</v>
      </c>
      <c r="G7872">
        <f>LOG(382/(13+1))</f>
        <v>1.4359353272334707</v>
      </c>
      <c r="H7872">
        <f>0.010752688172043*3.30636327899131</f>
        <v>3.5552293322487168E-2</v>
      </c>
      <c r="I7872">
        <v>3.5552293322487279E-2</v>
      </c>
    </row>
    <row r="7873" spans="1:9" x14ac:dyDescent="0.25">
      <c r="A7873">
        <v>362</v>
      </c>
      <c r="B7873" t="s">
        <v>2685</v>
      </c>
      <c r="C7873" t="s">
        <v>10</v>
      </c>
      <c r="D7873" t="s">
        <v>2695</v>
      </c>
      <c r="E7873">
        <f t="shared" si="356"/>
        <v>1.0752688172043012E-2</v>
      </c>
      <c r="F7873">
        <v>1</v>
      </c>
      <c r="G7873">
        <f>LOG(382/(1+1))</f>
        <v>2.2810333672477277</v>
      </c>
      <c r="H7873">
        <f>0.010752688172043*5.25227342804663</f>
        <v>5.6476058366092735E-2</v>
      </c>
      <c r="I7873">
        <v>5.6476058366092798E-2</v>
      </c>
    </row>
    <row r="7874" spans="1:9" x14ac:dyDescent="0.25">
      <c r="A7874">
        <v>362</v>
      </c>
      <c r="B7874" t="s">
        <v>2685</v>
      </c>
      <c r="C7874" t="s">
        <v>10</v>
      </c>
      <c r="D7874" t="s">
        <v>2696</v>
      </c>
      <c r="E7874">
        <f t="shared" si="356"/>
        <v>1.0752688172043012E-2</v>
      </c>
      <c r="F7874">
        <v>1</v>
      </c>
      <c r="G7874">
        <f>LOG(382/(1+1))</f>
        <v>2.2810333672477277</v>
      </c>
      <c r="H7874">
        <f>0.010752688172043*5.25227342804663</f>
        <v>5.6476058366092735E-2</v>
      </c>
      <c r="I7874">
        <v>5.6476058366092798E-2</v>
      </c>
    </row>
    <row r="7875" spans="1:9" x14ac:dyDescent="0.25">
      <c r="A7875">
        <v>362</v>
      </c>
      <c r="B7875" t="s">
        <v>2685</v>
      </c>
      <c r="C7875" t="s">
        <v>10</v>
      </c>
      <c r="D7875" t="s">
        <v>600</v>
      </c>
      <c r="E7875">
        <f t="shared" si="356"/>
        <v>1.0752688172043012E-2</v>
      </c>
      <c r="F7875">
        <v>102</v>
      </c>
      <c r="G7875">
        <f>LOG(382/(102+1))</f>
        <v>0.56922613820653656</v>
      </c>
      <c r="H7875">
        <f>0.010752688172043*1.31069162037693</f>
        <v>1.4093458283622889E-2</v>
      </c>
      <c r="I7875">
        <v>1.4093458283623E-2</v>
      </c>
    </row>
    <row r="7876" spans="1:9" x14ac:dyDescent="0.25">
      <c r="A7876">
        <v>362</v>
      </c>
      <c r="B7876" t="s">
        <v>2685</v>
      </c>
      <c r="C7876" t="s">
        <v>10</v>
      </c>
      <c r="D7876" t="s">
        <v>2697</v>
      </c>
      <c r="E7876">
        <f t="shared" si="356"/>
        <v>1.0752688172043012E-2</v>
      </c>
      <c r="F7876">
        <v>1</v>
      </c>
      <c r="G7876">
        <f>LOG(382/(1+1))</f>
        <v>2.2810333672477277</v>
      </c>
      <c r="H7876">
        <f>0.010752688172043*5.25227342804663</f>
        <v>5.6476058366092735E-2</v>
      </c>
      <c r="I7876">
        <v>5.6476058366092798E-2</v>
      </c>
    </row>
    <row r="7877" spans="1:9" x14ac:dyDescent="0.25">
      <c r="A7877">
        <v>362</v>
      </c>
      <c r="B7877" t="s">
        <v>2685</v>
      </c>
      <c r="C7877" t="s">
        <v>10</v>
      </c>
      <c r="D7877" t="s">
        <v>2698</v>
      </c>
      <c r="E7877">
        <f t="shared" si="356"/>
        <v>1.0752688172043012E-2</v>
      </c>
      <c r="F7877">
        <v>1</v>
      </c>
      <c r="G7877">
        <f>LOG(382/(1+1))</f>
        <v>2.2810333672477277</v>
      </c>
      <c r="H7877">
        <f>0.010752688172043*5.25227342804663</f>
        <v>5.6476058366092735E-2</v>
      </c>
      <c r="I7877">
        <v>5.6476058366092798E-2</v>
      </c>
    </row>
    <row r="7878" spans="1:9" x14ac:dyDescent="0.25">
      <c r="A7878">
        <v>362</v>
      </c>
      <c r="B7878" t="s">
        <v>2685</v>
      </c>
      <c r="C7878" t="s">
        <v>10</v>
      </c>
      <c r="D7878" t="s">
        <v>2699</v>
      </c>
      <c r="E7878">
        <f t="shared" si="356"/>
        <v>1.0752688172043012E-2</v>
      </c>
      <c r="F7878">
        <v>1</v>
      </c>
      <c r="G7878">
        <f>LOG(382/(1+1))</f>
        <v>2.2810333672477277</v>
      </c>
      <c r="H7878">
        <f>0.010752688172043*5.25227342804663</f>
        <v>5.6476058366092735E-2</v>
      </c>
      <c r="I7878">
        <v>5.6476058366092798E-2</v>
      </c>
    </row>
    <row r="7879" spans="1:9" x14ac:dyDescent="0.25">
      <c r="A7879">
        <v>362</v>
      </c>
      <c r="B7879" t="s">
        <v>2685</v>
      </c>
      <c r="C7879" t="s">
        <v>10</v>
      </c>
      <c r="D7879" t="s">
        <v>2700</v>
      </c>
      <c r="E7879">
        <f t="shared" si="356"/>
        <v>1.0752688172043012E-2</v>
      </c>
      <c r="F7879">
        <v>1</v>
      </c>
      <c r="G7879">
        <f>LOG(382/(1+1))</f>
        <v>2.2810333672477277</v>
      </c>
      <c r="H7879">
        <f>0.010752688172043*5.25227342804663</f>
        <v>5.6476058366092735E-2</v>
      </c>
      <c r="I7879">
        <v>5.6476058366092798E-2</v>
      </c>
    </row>
    <row r="7880" spans="1:9" x14ac:dyDescent="0.25">
      <c r="A7880">
        <v>362</v>
      </c>
      <c r="B7880" t="s">
        <v>2685</v>
      </c>
      <c r="C7880" t="s">
        <v>10</v>
      </c>
      <c r="D7880" t="s">
        <v>2701</v>
      </c>
      <c r="E7880">
        <f t="shared" si="356"/>
        <v>1.0752688172043012E-2</v>
      </c>
      <c r="F7880">
        <v>1</v>
      </c>
      <c r="G7880">
        <f>LOG(382/(1+1))</f>
        <v>2.2810333672477277</v>
      </c>
      <c r="H7880">
        <f>0.010752688172043*5.25227342804663</f>
        <v>5.6476058366092735E-2</v>
      </c>
      <c r="I7880">
        <v>5.6476058366092798E-2</v>
      </c>
    </row>
    <row r="7881" spans="1:9" x14ac:dyDescent="0.25">
      <c r="A7881">
        <v>362</v>
      </c>
      <c r="B7881" t="s">
        <v>2685</v>
      </c>
      <c r="C7881" t="s">
        <v>10</v>
      </c>
      <c r="D7881" t="s">
        <v>360</v>
      </c>
      <c r="E7881">
        <f t="shared" si="356"/>
        <v>1.0752688172043012E-2</v>
      </c>
      <c r="F7881">
        <v>15</v>
      </c>
      <c r="G7881">
        <f>LOG(382/(15+1))</f>
        <v>1.3779433802557839</v>
      </c>
      <c r="H7881">
        <f>0.010752688172043*3.17283188636679</f>
        <v>3.4116471896417061E-2</v>
      </c>
      <c r="I7881">
        <v>3.4116471896417137E-2</v>
      </c>
    </row>
    <row r="7882" spans="1:9" x14ac:dyDescent="0.25">
      <c r="A7882">
        <v>362</v>
      </c>
      <c r="B7882" t="s">
        <v>2685</v>
      </c>
      <c r="C7882" t="s">
        <v>10</v>
      </c>
      <c r="D7882" t="s">
        <v>2702</v>
      </c>
      <c r="E7882">
        <f t="shared" si="356"/>
        <v>1.0752688172043012E-2</v>
      </c>
      <c r="F7882">
        <v>3</v>
      </c>
      <c r="G7882">
        <f>LOG(382/(3+1))</f>
        <v>1.9800033715837464</v>
      </c>
      <c r="H7882">
        <f>0.010752688172043*4.55912624748668</f>
        <v>4.9022862876200807E-2</v>
      </c>
      <c r="I7882">
        <v>4.9022862876200911E-2</v>
      </c>
    </row>
    <row r="7883" spans="1:9" x14ac:dyDescent="0.25">
      <c r="A7883">
        <v>363</v>
      </c>
      <c r="B7883" t="s">
        <v>2703</v>
      </c>
      <c r="C7883" t="s">
        <v>48</v>
      </c>
      <c r="D7883" t="s">
        <v>15</v>
      </c>
      <c r="E7883">
        <f>8/142</f>
        <v>5.6338028169014086E-2</v>
      </c>
      <c r="F7883">
        <v>112</v>
      </c>
      <c r="G7883">
        <f>LOG(382/(112+1))</f>
        <v>0.52898491942828896</v>
      </c>
      <c r="H7883">
        <f>0.056338028169014*1.21803278989423</f>
        <v>6.8621565627843842E-2</v>
      </c>
      <c r="I7883">
        <v>6.8621565627844203E-2</v>
      </c>
    </row>
    <row r="7884" spans="1:9" x14ac:dyDescent="0.25">
      <c r="A7884">
        <v>363</v>
      </c>
      <c r="B7884" t="s">
        <v>2703</v>
      </c>
      <c r="C7884" t="s">
        <v>48</v>
      </c>
      <c r="D7884" t="s">
        <v>39</v>
      </c>
      <c r="E7884">
        <f>5/142</f>
        <v>3.5211267605633804E-2</v>
      </c>
      <c r="F7884">
        <v>145</v>
      </c>
      <c r="G7884">
        <f>LOG(382/(145+1))</f>
        <v>0.41771050712727159</v>
      </c>
      <c r="H7884">
        <f>0.0352112676056338*0.961813986898238</f>
        <v>3.3866689679515422E-2</v>
      </c>
      <c r="I7884">
        <v>3.3866689679515449E-2</v>
      </c>
    </row>
    <row r="7885" spans="1:9" x14ac:dyDescent="0.25">
      <c r="A7885">
        <v>363</v>
      </c>
      <c r="B7885" t="s">
        <v>2703</v>
      </c>
      <c r="C7885" t="s">
        <v>48</v>
      </c>
      <c r="D7885" t="s">
        <v>64</v>
      </c>
      <c r="E7885">
        <f>6/142</f>
        <v>4.2253521126760563E-2</v>
      </c>
      <c r="F7885">
        <v>16</v>
      </c>
      <c r="G7885">
        <f>LOG(382/(16+1))</f>
        <v>1.3516144415334348</v>
      </c>
      <c r="H7885">
        <f>0.0422535211267605*3.11220726455035</f>
        <v>0.13150171540353572</v>
      </c>
      <c r="I7885">
        <v>0.13150171540353631</v>
      </c>
    </row>
    <row r="7886" spans="1:9" x14ac:dyDescent="0.25">
      <c r="A7886">
        <v>363</v>
      </c>
      <c r="B7886" t="s">
        <v>2703</v>
      </c>
      <c r="C7886" t="s">
        <v>48</v>
      </c>
      <c r="D7886" t="s">
        <v>42</v>
      </c>
      <c r="E7886">
        <f>1/142</f>
        <v>7.0422535211267607E-3</v>
      </c>
      <c r="F7886">
        <v>251</v>
      </c>
      <c r="G7886">
        <f>LOG(382/(251+1))</f>
        <v>0.18066282213016463</v>
      </c>
      <c r="H7886">
        <f>0.00704225352112676*0.415991521095151</f>
        <v>2.9295177541912038E-3</v>
      </c>
      <c r="I7886">
        <v>2.9295177541912099E-3</v>
      </c>
    </row>
    <row r="7887" spans="1:9" x14ac:dyDescent="0.25">
      <c r="A7887">
        <v>363</v>
      </c>
      <c r="B7887" t="s">
        <v>2703</v>
      </c>
      <c r="C7887" t="s">
        <v>48</v>
      </c>
      <c r="D7887" t="s">
        <v>66</v>
      </c>
      <c r="E7887">
        <f>1/142</f>
        <v>7.0422535211267607E-3</v>
      </c>
      <c r="F7887">
        <v>3</v>
      </c>
      <c r="G7887">
        <f>LOG(382/(3+1))</f>
        <v>1.9800033715837464</v>
      </c>
      <c r="H7887">
        <f>0.00704225352112676*4.55912624748668</f>
        <v>3.2106522869624503E-2</v>
      </c>
      <c r="I7887">
        <v>3.2106522869624537E-2</v>
      </c>
    </row>
    <row r="7888" spans="1:9" x14ac:dyDescent="0.25">
      <c r="A7888">
        <v>363</v>
      </c>
      <c r="B7888" t="s">
        <v>2703</v>
      </c>
      <c r="C7888" t="s">
        <v>48</v>
      </c>
      <c r="D7888" t="s">
        <v>67</v>
      </c>
      <c r="E7888">
        <f>1/142</f>
        <v>7.0422535211267607E-3</v>
      </c>
      <c r="F7888">
        <v>7</v>
      </c>
      <c r="G7888">
        <f>LOG(382/(7+1))</f>
        <v>1.6789733759197651</v>
      </c>
      <c r="H7888">
        <f>0.00704225352112676*3.86597906692673</f>
        <v>2.7225204696667112E-2</v>
      </c>
      <c r="I7888">
        <v>2.7225204696667182E-2</v>
      </c>
    </row>
    <row r="7889" spans="1:9" x14ac:dyDescent="0.25">
      <c r="A7889">
        <v>363</v>
      </c>
      <c r="B7889" t="s">
        <v>2703</v>
      </c>
      <c r="C7889" t="s">
        <v>48</v>
      </c>
      <c r="D7889" t="s">
        <v>68</v>
      </c>
      <c r="E7889">
        <f>3/142</f>
        <v>2.1126760563380281E-2</v>
      </c>
      <c r="F7889">
        <v>43</v>
      </c>
      <c r="G7889">
        <f>LOG(382/(43+1))</f>
        <v>0.93861068642552126</v>
      </c>
      <c r="H7889">
        <f>0.0211267605633802*2.16123097468831</f>
        <v>4.5659809324400738E-2</v>
      </c>
      <c r="I7889">
        <v>4.5659809324400988E-2</v>
      </c>
    </row>
    <row r="7890" spans="1:9" x14ac:dyDescent="0.25">
      <c r="A7890">
        <v>363</v>
      </c>
      <c r="B7890" t="s">
        <v>2703</v>
      </c>
      <c r="C7890" t="s">
        <v>48</v>
      </c>
      <c r="D7890" t="s">
        <v>44</v>
      </c>
      <c r="E7890">
        <f>3/142</f>
        <v>2.1126760563380281E-2</v>
      </c>
      <c r="F7890">
        <v>151</v>
      </c>
      <c r="G7890">
        <f>LOG(382/(151+1))</f>
        <v>0.40021977496693617</v>
      </c>
      <c r="H7890">
        <f>0.0211267605633802*0.921540087760298</f>
        <v>1.9469156783668194E-2</v>
      </c>
      <c r="I7890">
        <v>1.9469156783668281E-2</v>
      </c>
    </row>
    <row r="7891" spans="1:9" x14ac:dyDescent="0.25">
      <c r="A7891">
        <v>363</v>
      </c>
      <c r="B7891" t="s">
        <v>2703</v>
      </c>
      <c r="C7891" t="s">
        <v>48</v>
      </c>
      <c r="D7891" t="s">
        <v>40</v>
      </c>
      <c r="E7891">
        <f>1/142</f>
        <v>7.0422535211267607E-3</v>
      </c>
      <c r="F7891">
        <v>159</v>
      </c>
      <c r="G7891">
        <f>LOG(382/(159+1))</f>
        <v>0.377943380255784</v>
      </c>
      <c r="H7891">
        <f>0.00704225352112676*0.870246793372748</f>
        <v>6.1284985448785065E-3</v>
      </c>
      <c r="I7891">
        <v>6.12849854487851E-3</v>
      </c>
    </row>
    <row r="7892" spans="1:9" x14ac:dyDescent="0.25">
      <c r="A7892">
        <v>363</v>
      </c>
      <c r="B7892" t="s">
        <v>2703</v>
      </c>
      <c r="C7892" t="s">
        <v>48</v>
      </c>
      <c r="D7892" t="s">
        <v>41</v>
      </c>
      <c r="E7892">
        <f>1/142</f>
        <v>7.0422535211267607E-3</v>
      </c>
      <c r="F7892">
        <v>195</v>
      </c>
      <c r="G7892">
        <f>LOG(382/(195+1))</f>
        <v>0.28980729155523272</v>
      </c>
      <c r="H7892">
        <f>0.00704225352112676*0.667305949376058</f>
        <v>4.6993376716623798E-3</v>
      </c>
      <c r="I7892">
        <v>4.6993376716623807E-3</v>
      </c>
    </row>
    <row r="7893" spans="1:9" x14ac:dyDescent="0.25">
      <c r="A7893">
        <v>363</v>
      </c>
      <c r="B7893" t="s">
        <v>2703</v>
      </c>
      <c r="C7893" t="s">
        <v>48</v>
      </c>
      <c r="D7893" t="s">
        <v>22</v>
      </c>
      <c r="E7893">
        <f>1/142</f>
        <v>7.0422535211267607E-3</v>
      </c>
      <c r="F7893">
        <v>259</v>
      </c>
      <c r="G7893">
        <f>LOG(382/(259+1))</f>
        <v>0.16709001494089079</v>
      </c>
      <c r="H7893">
        <f>0.00704225352112676*0.384738977591047</f>
        <v>2.7094294196552604E-3</v>
      </c>
      <c r="I7893">
        <v>2.7094294196552638E-3</v>
      </c>
    </row>
    <row r="7894" spans="1:9" x14ac:dyDescent="0.25">
      <c r="A7894">
        <v>363</v>
      </c>
      <c r="B7894" t="s">
        <v>2703</v>
      </c>
      <c r="C7894" t="s">
        <v>48</v>
      </c>
      <c r="D7894" t="s">
        <v>23</v>
      </c>
      <c r="E7894">
        <f>2/142</f>
        <v>1.4084507042253521E-2</v>
      </c>
      <c r="F7894">
        <v>275</v>
      </c>
      <c r="G7894">
        <f>LOG(382/(275+1))</f>
        <v>0.14115428084649101</v>
      </c>
      <c r="H7894">
        <f>0.0140845070422535*0.325019742889425</f>
        <v>4.5777428575975287E-3</v>
      </c>
      <c r="I7894">
        <v>4.5777428575975374E-3</v>
      </c>
    </row>
    <row r="7895" spans="1:9" x14ac:dyDescent="0.25">
      <c r="A7895">
        <v>363</v>
      </c>
      <c r="B7895" t="s">
        <v>2703</v>
      </c>
      <c r="C7895" t="s">
        <v>48</v>
      </c>
      <c r="D7895" t="s">
        <v>247</v>
      </c>
      <c r="E7895">
        <f>1/142</f>
        <v>7.0422535211267607E-3</v>
      </c>
      <c r="F7895">
        <v>121</v>
      </c>
      <c r="G7895">
        <f>LOG(382/(121+1))</f>
        <v>0.49570353223696051</v>
      </c>
      <c r="H7895">
        <f>0.00704225352112676*1.14139956387331</f>
        <v>8.0380250976993667E-3</v>
      </c>
      <c r="I7895">
        <v>8.0380250976994274E-3</v>
      </c>
    </row>
    <row r="7896" spans="1:9" x14ac:dyDescent="0.25">
      <c r="A7896">
        <v>363</v>
      </c>
      <c r="B7896" t="s">
        <v>2703</v>
      </c>
      <c r="C7896" t="s">
        <v>48</v>
      </c>
      <c r="D7896" t="s">
        <v>204</v>
      </c>
      <c r="E7896">
        <f>1/142</f>
        <v>7.0422535211267607E-3</v>
      </c>
      <c r="F7896">
        <v>166</v>
      </c>
      <c r="G7896">
        <f>LOG(382/(166+1))</f>
        <v>0.35934689176412549</v>
      </c>
      <c r="H7896">
        <f>0.00704225352112676*0.82742679618982</f>
        <v>5.8269492689423932E-3</v>
      </c>
      <c r="I7896">
        <v>5.8269492689423949E-3</v>
      </c>
    </row>
    <row r="7897" spans="1:9" x14ac:dyDescent="0.25">
      <c r="A7897">
        <v>363</v>
      </c>
      <c r="B7897" t="s">
        <v>2703</v>
      </c>
      <c r="C7897" t="s">
        <v>48</v>
      </c>
      <c r="D7897" t="s">
        <v>331</v>
      </c>
      <c r="E7897">
        <f>1/142</f>
        <v>7.0422535211267607E-3</v>
      </c>
      <c r="F7897">
        <v>130</v>
      </c>
      <c r="G7897">
        <f>LOG(382/(130+1))</f>
        <v>0.46479206725594452</v>
      </c>
      <c r="H7897">
        <f>0.00704225352112676*1.07022328540542</f>
        <v>7.5367837000381689E-3</v>
      </c>
      <c r="I7897">
        <v>7.536783700038195E-3</v>
      </c>
    </row>
    <row r="7898" spans="1:9" x14ac:dyDescent="0.25">
      <c r="A7898">
        <v>363</v>
      </c>
      <c r="B7898" t="s">
        <v>2703</v>
      </c>
      <c r="C7898" t="s">
        <v>48</v>
      </c>
      <c r="D7898" t="s">
        <v>379</v>
      </c>
      <c r="E7898">
        <f>1/142</f>
        <v>7.0422535211267607E-3</v>
      </c>
      <c r="F7898">
        <v>17</v>
      </c>
      <c r="G7898">
        <f>LOG(382/(17+1))</f>
        <v>1.3267908578084027</v>
      </c>
      <c r="H7898">
        <f>0.00704225352112676*3.05504885071041</f>
        <v>2.1514428526129645E-2</v>
      </c>
      <c r="I7898">
        <v>2.1514428526129649E-2</v>
      </c>
    </row>
    <row r="7899" spans="1:9" x14ac:dyDescent="0.25">
      <c r="A7899">
        <v>363</v>
      </c>
      <c r="B7899" t="s">
        <v>2703</v>
      </c>
      <c r="C7899" t="s">
        <v>48</v>
      </c>
      <c r="D7899" t="s">
        <v>237</v>
      </c>
      <c r="E7899">
        <f>2/142</f>
        <v>1.4084507042253521E-2</v>
      </c>
      <c r="F7899">
        <v>138</v>
      </c>
      <c r="G7899">
        <f>LOG(382/(138+1))</f>
        <v>0.43904856265761361</v>
      </c>
      <c r="H7899">
        <f>0.0140845070422535*1.01094667547588</f>
        <v>1.4238685570082796E-2</v>
      </c>
      <c r="I7899">
        <v>1.423868557008286E-2</v>
      </c>
    </row>
    <row r="7900" spans="1:9" x14ac:dyDescent="0.25">
      <c r="A7900">
        <v>363</v>
      </c>
      <c r="B7900" t="s">
        <v>2703</v>
      </c>
      <c r="C7900" t="s">
        <v>48</v>
      </c>
      <c r="D7900" t="s">
        <v>207</v>
      </c>
      <c r="E7900">
        <f>1/142</f>
        <v>7.0422535211267607E-3</v>
      </c>
      <c r="F7900">
        <v>21</v>
      </c>
      <c r="G7900">
        <f>LOG(382/(21+1))</f>
        <v>1.2396406820895025</v>
      </c>
      <c r="H7900">
        <f>0.00704225352112676*2.85437815524825</f>
        <v>2.0101254614424292E-2</v>
      </c>
      <c r="I7900">
        <v>2.0101254614424361E-2</v>
      </c>
    </row>
    <row r="7901" spans="1:9" x14ac:dyDescent="0.25">
      <c r="A7901">
        <v>363</v>
      </c>
      <c r="B7901" t="s">
        <v>2703</v>
      </c>
      <c r="C7901" t="s">
        <v>48</v>
      </c>
      <c r="D7901" t="s">
        <v>53</v>
      </c>
      <c r="E7901">
        <f>2/142</f>
        <v>1.4084507042253521E-2</v>
      </c>
      <c r="F7901">
        <v>57</v>
      </c>
      <c r="G7901">
        <f>LOG(382/(57+1))</f>
        <v>0.81863536934877146</v>
      </c>
      <c r="H7901">
        <f>0.0140845070422535*1.88497759806015</f>
        <v>2.6548980254368269E-2</v>
      </c>
      <c r="I7901">
        <v>2.6548980254368391E-2</v>
      </c>
    </row>
    <row r="7902" spans="1:9" x14ac:dyDescent="0.25">
      <c r="A7902">
        <v>363</v>
      </c>
      <c r="B7902" t="s">
        <v>2703</v>
      </c>
      <c r="C7902" t="s">
        <v>48</v>
      </c>
      <c r="D7902" t="s">
        <v>52</v>
      </c>
      <c r="E7902">
        <f>2/142</f>
        <v>1.4084507042253521E-2</v>
      </c>
      <c r="F7902">
        <v>35</v>
      </c>
      <c r="G7902">
        <f>LOG(382/(35+1))</f>
        <v>1.0257608621444214</v>
      </c>
      <c r="H7902">
        <f>0.0140845070422535*2.36190167015046</f>
        <v>3.3266220706344461E-2</v>
      </c>
      <c r="I7902">
        <v>3.3266220706344579E-2</v>
      </c>
    </row>
    <row r="7903" spans="1:9" x14ac:dyDescent="0.25">
      <c r="A7903">
        <v>363</v>
      </c>
      <c r="B7903" t="s">
        <v>2703</v>
      </c>
      <c r="C7903" t="s">
        <v>48</v>
      </c>
      <c r="D7903" t="s">
        <v>50</v>
      </c>
      <c r="E7903">
        <f>8/142</f>
        <v>5.6338028169014086E-2</v>
      </c>
      <c r="F7903">
        <v>109</v>
      </c>
      <c r="G7903">
        <f>LOG(382/(109+1))</f>
        <v>0.54067067775348365</v>
      </c>
      <c r="H7903">
        <f>0.056338028169014*1.24494024281415</f>
        <v>7.0137478468402722E-2</v>
      </c>
      <c r="I7903">
        <v>7.0137478468403319E-2</v>
      </c>
    </row>
    <row r="7904" spans="1:9" x14ac:dyDescent="0.25">
      <c r="A7904">
        <v>363</v>
      </c>
      <c r="B7904" t="s">
        <v>2703</v>
      </c>
      <c r="C7904" t="s">
        <v>48</v>
      </c>
      <c r="D7904" t="s">
        <v>542</v>
      </c>
      <c r="E7904">
        <f>1/142</f>
        <v>7.0422535211267607E-3</v>
      </c>
      <c r="F7904">
        <v>42</v>
      </c>
      <c r="G7904">
        <f>LOG(382/(42+1))</f>
        <v>0.94859490733212215</v>
      </c>
      <c r="H7904">
        <f>0.00704225352112676*2.18422049291301</f>
        <v>1.5381834457133869E-2</v>
      </c>
      <c r="I7904">
        <v>1.538183445713389E-2</v>
      </c>
    </row>
    <row r="7905" spans="1:9" x14ac:dyDescent="0.25">
      <c r="A7905">
        <v>363</v>
      </c>
      <c r="B7905" t="s">
        <v>2703</v>
      </c>
      <c r="C7905" t="s">
        <v>48</v>
      </c>
      <c r="D7905" t="s">
        <v>119</v>
      </c>
      <c r="E7905">
        <f>5/142</f>
        <v>3.5211267605633804E-2</v>
      </c>
      <c r="F7905">
        <v>79</v>
      </c>
      <c r="G7905">
        <f>LOG(382/(79+1))</f>
        <v>0.67897337591976514</v>
      </c>
      <c r="H7905">
        <f>0.0352112676056338*1.56339397393269</f>
        <v>5.5049083589179218E-2</v>
      </c>
      <c r="I7905">
        <v>5.5049083589179357E-2</v>
      </c>
    </row>
    <row r="7906" spans="1:9" x14ac:dyDescent="0.25">
      <c r="A7906">
        <v>363</v>
      </c>
      <c r="B7906" t="s">
        <v>2703</v>
      </c>
      <c r="C7906" t="s">
        <v>48</v>
      </c>
      <c r="D7906" t="s">
        <v>1405</v>
      </c>
      <c r="E7906">
        <f>1/142</f>
        <v>7.0422535211267607E-3</v>
      </c>
      <c r="F7906">
        <v>14</v>
      </c>
      <c r="G7906">
        <f>LOG(382/(14+1))</f>
        <v>1.4059721038560276</v>
      </c>
      <c r="H7906">
        <f>0.00704225352112676*3.23737040750436</f>
        <v>2.2798383151439151E-2</v>
      </c>
      <c r="I7906">
        <v>2.279838315143919E-2</v>
      </c>
    </row>
    <row r="7907" spans="1:9" x14ac:dyDescent="0.25">
      <c r="A7907">
        <v>363</v>
      </c>
      <c r="B7907" t="s">
        <v>2703</v>
      </c>
      <c r="C7907" t="s">
        <v>48</v>
      </c>
      <c r="D7907" t="s">
        <v>600</v>
      </c>
      <c r="E7907">
        <f>1/142</f>
        <v>7.0422535211267607E-3</v>
      </c>
      <c r="F7907">
        <v>102</v>
      </c>
      <c r="G7907">
        <f>LOG(382/(102+1))</f>
        <v>0.56922613820653656</v>
      </c>
      <c r="H7907">
        <f>0.00704225352112676*1.31069162037693</f>
        <v>9.2302226787107748E-3</v>
      </c>
      <c r="I7907">
        <v>9.2302226787108407E-3</v>
      </c>
    </row>
    <row r="7908" spans="1:9" x14ac:dyDescent="0.25">
      <c r="A7908">
        <v>363</v>
      </c>
      <c r="B7908" t="s">
        <v>2703</v>
      </c>
      <c r="C7908" t="s">
        <v>48</v>
      </c>
      <c r="D7908" t="s">
        <v>2704</v>
      </c>
      <c r="E7908">
        <f>1/142</f>
        <v>7.0422535211267607E-3</v>
      </c>
      <c r="F7908">
        <v>1</v>
      </c>
      <c r="G7908">
        <f>LOG(382/(1+1))</f>
        <v>2.2810333672477277</v>
      </c>
      <c r="H7908">
        <f>0.00704225352112676*5.25227342804663</f>
        <v>3.6987841042581897E-2</v>
      </c>
      <c r="I7908">
        <v>3.6987841042581897E-2</v>
      </c>
    </row>
    <row r="7909" spans="1:9" x14ac:dyDescent="0.25">
      <c r="A7909">
        <v>363</v>
      </c>
      <c r="B7909" t="s">
        <v>2703</v>
      </c>
      <c r="C7909" t="s">
        <v>48</v>
      </c>
      <c r="D7909" t="s">
        <v>361</v>
      </c>
      <c r="E7909">
        <f>2/142</f>
        <v>1.4084507042253521E-2</v>
      </c>
      <c r="F7909">
        <v>118</v>
      </c>
      <c r="G7909">
        <f>LOG(382/(118+1))</f>
        <v>0.50651640151917798</v>
      </c>
      <c r="H7909">
        <f>0.0140845070422535*1.16629711549504</f>
        <v>1.6426719936549834E-2</v>
      </c>
      <c r="I7909">
        <v>1.6426719936549941E-2</v>
      </c>
    </row>
    <row r="7910" spans="1:9" x14ac:dyDescent="0.25">
      <c r="A7910">
        <v>363</v>
      </c>
      <c r="B7910" t="s">
        <v>2703</v>
      </c>
      <c r="C7910" t="s">
        <v>48</v>
      </c>
      <c r="D7910" t="s">
        <v>432</v>
      </c>
      <c r="E7910">
        <f t="shared" ref="E7910:E7921" si="357">1/142</f>
        <v>7.0422535211267607E-3</v>
      </c>
      <c r="F7910">
        <v>67</v>
      </c>
      <c r="G7910">
        <f>LOG(382/(67+1))</f>
        <v>0.7495544502054724</v>
      </c>
      <c r="H7910">
        <f>0.00704225352112676*1.72591290343046</f>
        <v>1.2154316221341267E-2</v>
      </c>
      <c r="I7910">
        <v>1.2154316221341331E-2</v>
      </c>
    </row>
    <row r="7911" spans="1:9" x14ac:dyDescent="0.25">
      <c r="A7911">
        <v>363</v>
      </c>
      <c r="B7911" t="s">
        <v>2703</v>
      </c>
      <c r="C7911" t="s">
        <v>48</v>
      </c>
      <c r="D7911" t="s">
        <v>1473</v>
      </c>
      <c r="E7911">
        <f t="shared" si="357"/>
        <v>7.0422535211267607E-3</v>
      </c>
      <c r="F7911">
        <v>39</v>
      </c>
      <c r="G7911">
        <f>LOG(382/(39+1))</f>
        <v>0.9800033715837464</v>
      </c>
      <c r="H7911">
        <f>0.00704225352112676*2.25654115449263</f>
        <v>1.589113489079317E-2</v>
      </c>
      <c r="I7911">
        <v>1.5891134890793229E-2</v>
      </c>
    </row>
    <row r="7912" spans="1:9" x14ac:dyDescent="0.25">
      <c r="A7912">
        <v>363</v>
      </c>
      <c r="B7912" t="s">
        <v>2703</v>
      </c>
      <c r="C7912" t="s">
        <v>48</v>
      </c>
      <c r="D7912" t="s">
        <v>157</v>
      </c>
      <c r="E7912">
        <f t="shared" si="357"/>
        <v>7.0422535211267607E-3</v>
      </c>
      <c r="F7912">
        <v>16</v>
      </c>
      <c r="G7912">
        <f>LOG(382/(16+1))</f>
        <v>1.3516144415334348</v>
      </c>
      <c r="H7912">
        <f>0.00704225352112676*3.11220726455035</f>
        <v>2.1916952567255982E-2</v>
      </c>
      <c r="I7912">
        <v>2.1916952567256051E-2</v>
      </c>
    </row>
    <row r="7913" spans="1:9" x14ac:dyDescent="0.25">
      <c r="A7913">
        <v>363</v>
      </c>
      <c r="B7913" t="s">
        <v>2703</v>
      </c>
      <c r="C7913" t="s">
        <v>48</v>
      </c>
      <c r="D7913" t="s">
        <v>147</v>
      </c>
      <c r="E7913">
        <f t="shared" si="357"/>
        <v>7.0422535211267607E-3</v>
      </c>
      <c r="F7913">
        <v>48</v>
      </c>
      <c r="G7913">
        <f>LOG(382/(48+1))</f>
        <v>0.89186728288319506</v>
      </c>
      <c r="H7913">
        <f>0.00704225352112676*2.05360031049594</f>
        <v>1.4461974017577041E-2</v>
      </c>
      <c r="I7913">
        <v>1.4461974017577111E-2</v>
      </c>
    </row>
    <row r="7914" spans="1:9" x14ac:dyDescent="0.25">
      <c r="A7914">
        <v>363</v>
      </c>
      <c r="B7914" t="s">
        <v>2703</v>
      </c>
      <c r="C7914" t="s">
        <v>48</v>
      </c>
      <c r="D7914" t="s">
        <v>596</v>
      </c>
      <c r="E7914">
        <f t="shared" si="357"/>
        <v>7.0422535211267607E-3</v>
      </c>
      <c r="F7914">
        <v>60</v>
      </c>
      <c r="G7914">
        <f>LOG(382/(60+1))</f>
        <v>0.79673352790094176</v>
      </c>
      <c r="H7914">
        <f>0.00704225352112676*1.83454674443326</f>
        <v>1.2919343270656759E-2</v>
      </c>
      <c r="I7914">
        <v>1.291934327065679E-2</v>
      </c>
    </row>
    <row r="7915" spans="1:9" x14ac:dyDescent="0.25">
      <c r="A7915">
        <v>363</v>
      </c>
      <c r="B7915" t="s">
        <v>2703</v>
      </c>
      <c r="C7915" t="s">
        <v>48</v>
      </c>
      <c r="D7915" t="s">
        <v>597</v>
      </c>
      <c r="E7915">
        <f t="shared" si="357"/>
        <v>7.0422535211267607E-3</v>
      </c>
      <c r="F7915">
        <v>51</v>
      </c>
      <c r="G7915">
        <f>LOG(382/(51+1))</f>
        <v>0.86606001927690957</v>
      </c>
      <c r="H7915">
        <f>0.00704225352112676*1.99417689002514</f>
        <v>1.4043499225529154E-2</v>
      </c>
      <c r="I7915">
        <v>1.4043499225529211E-2</v>
      </c>
    </row>
    <row r="7916" spans="1:9" x14ac:dyDescent="0.25">
      <c r="A7916">
        <v>363</v>
      </c>
      <c r="B7916" t="s">
        <v>2703</v>
      </c>
      <c r="C7916" t="s">
        <v>48</v>
      </c>
      <c r="D7916" t="s">
        <v>1953</v>
      </c>
      <c r="E7916">
        <f t="shared" si="357"/>
        <v>7.0422535211267607E-3</v>
      </c>
      <c r="F7916">
        <v>11</v>
      </c>
      <c r="G7916">
        <f>LOG(382/(11+1))</f>
        <v>1.5028821168640838</v>
      </c>
      <c r="H7916">
        <f>0.00704225352112676*3.46051395881857</f>
        <v>2.4369816611398379E-2</v>
      </c>
      <c r="I7916">
        <v>2.436981661139842E-2</v>
      </c>
    </row>
    <row r="7917" spans="1:9" x14ac:dyDescent="0.25">
      <c r="A7917">
        <v>363</v>
      </c>
      <c r="B7917" t="s">
        <v>2703</v>
      </c>
      <c r="C7917" t="s">
        <v>48</v>
      </c>
      <c r="D7917" t="s">
        <v>1474</v>
      </c>
      <c r="E7917">
        <f t="shared" si="357"/>
        <v>7.0422535211267607E-3</v>
      </c>
      <c r="F7917">
        <v>6</v>
      </c>
      <c r="G7917">
        <f>LOG(382/(6+1))</f>
        <v>1.736965322897452</v>
      </c>
      <c r="H7917">
        <f>0.00704225352112676*3.99951045955126</f>
        <v>2.8165566616558165E-2</v>
      </c>
      <c r="I7917">
        <v>2.8165566616558179E-2</v>
      </c>
    </row>
    <row r="7918" spans="1:9" x14ac:dyDescent="0.25">
      <c r="A7918">
        <v>363</v>
      </c>
      <c r="B7918" t="s">
        <v>2703</v>
      </c>
      <c r="C7918" t="s">
        <v>48</v>
      </c>
      <c r="D7918" t="s">
        <v>2705</v>
      </c>
      <c r="E7918">
        <f t="shared" si="357"/>
        <v>7.0422535211267607E-3</v>
      </c>
      <c r="F7918">
        <v>1</v>
      </c>
      <c r="G7918">
        <f>LOG(382/(1+1))</f>
        <v>2.2810333672477277</v>
      </c>
      <c r="H7918">
        <f>0.00704225352112676*5.25227342804663</f>
        <v>3.6987841042581897E-2</v>
      </c>
      <c r="I7918">
        <v>3.6987841042581897E-2</v>
      </c>
    </row>
    <row r="7919" spans="1:9" x14ac:dyDescent="0.25">
      <c r="A7919">
        <v>363</v>
      </c>
      <c r="B7919" t="s">
        <v>2703</v>
      </c>
      <c r="C7919" t="s">
        <v>48</v>
      </c>
      <c r="D7919" t="s">
        <v>599</v>
      </c>
      <c r="E7919">
        <f t="shared" si="357"/>
        <v>7.0422535211267607E-3</v>
      </c>
      <c r="F7919">
        <v>28</v>
      </c>
      <c r="G7919">
        <f>LOG(382/(28+1))</f>
        <v>1.1196653650127526</v>
      </c>
      <c r="H7919">
        <f>0.00704225352112676*2.5781247786201</f>
        <v>1.8155808300141546E-2</v>
      </c>
      <c r="I7919">
        <v>1.815580830014156E-2</v>
      </c>
    </row>
    <row r="7920" spans="1:9" x14ac:dyDescent="0.25">
      <c r="A7920">
        <v>363</v>
      </c>
      <c r="B7920" t="s">
        <v>2703</v>
      </c>
      <c r="C7920" t="s">
        <v>48</v>
      </c>
      <c r="D7920" t="s">
        <v>1631</v>
      </c>
      <c r="E7920">
        <f t="shared" si="357"/>
        <v>7.0422535211267607E-3</v>
      </c>
      <c r="F7920">
        <v>5</v>
      </c>
      <c r="G7920">
        <f>LOG(382/(5+1))</f>
        <v>1.803912112528065</v>
      </c>
      <c r="H7920">
        <f>0.00704225352112676*4.15366113937852</f>
        <v>2.9251134784355769E-2</v>
      </c>
      <c r="I7920">
        <v>2.9251134784355769E-2</v>
      </c>
    </row>
    <row r="7921" spans="1:9" x14ac:dyDescent="0.25">
      <c r="A7921">
        <v>363</v>
      </c>
      <c r="B7921" t="s">
        <v>2703</v>
      </c>
      <c r="C7921" t="s">
        <v>48</v>
      </c>
      <c r="D7921" t="s">
        <v>153</v>
      </c>
      <c r="E7921">
        <f t="shared" si="357"/>
        <v>7.0422535211267607E-3</v>
      </c>
      <c r="F7921">
        <v>10</v>
      </c>
      <c r="G7921">
        <f>LOG(382/(10+1))</f>
        <v>1.5406706777534838</v>
      </c>
      <c r="H7921">
        <f>0.00704225352112676*3.5475253358082</f>
        <v>2.4982572787381689E-2</v>
      </c>
      <c r="I7921">
        <v>2.498257278738172E-2</v>
      </c>
    </row>
    <row r="7922" spans="1:9" x14ac:dyDescent="0.25">
      <c r="A7922">
        <v>363</v>
      </c>
      <c r="B7922" t="s">
        <v>2703</v>
      </c>
      <c r="C7922" t="s">
        <v>48</v>
      </c>
      <c r="D7922" t="s">
        <v>131</v>
      </c>
      <c r="E7922">
        <f>3/142</f>
        <v>2.1126760563380281E-2</v>
      </c>
      <c r="F7922">
        <v>38</v>
      </c>
      <c r="G7922">
        <f>LOG(382/(38+1))</f>
        <v>0.99099875588520958</v>
      </c>
      <c r="H7922">
        <f>0.0211267605633802*2.28185896247692</f>
        <v>4.8208287939653059E-2</v>
      </c>
      <c r="I7922">
        <v>4.8208287939653427E-2</v>
      </c>
    </row>
    <row r="7923" spans="1:9" x14ac:dyDescent="0.25">
      <c r="A7923">
        <v>363</v>
      </c>
      <c r="B7923" t="s">
        <v>2703</v>
      </c>
      <c r="C7923" t="s">
        <v>48</v>
      </c>
      <c r="D7923" t="s">
        <v>336</v>
      </c>
      <c r="E7923">
        <f>1/142</f>
        <v>7.0422535211267607E-3</v>
      </c>
      <c r="F7923">
        <v>10</v>
      </c>
      <c r="G7923">
        <f>LOG(382/(10+1))</f>
        <v>1.5406706777534838</v>
      </c>
      <c r="H7923">
        <f>0.00704225352112676*3.5475253358082</f>
        <v>2.4982572787381689E-2</v>
      </c>
      <c r="I7923">
        <v>2.498257278738172E-2</v>
      </c>
    </row>
    <row r="7924" spans="1:9" x14ac:dyDescent="0.25">
      <c r="A7924">
        <v>363</v>
      </c>
      <c r="B7924" t="s">
        <v>2703</v>
      </c>
      <c r="C7924" t="s">
        <v>48</v>
      </c>
      <c r="D7924" t="s">
        <v>1127</v>
      </c>
      <c r="E7924">
        <f>2/142</f>
        <v>1.4084507042253521E-2</v>
      </c>
      <c r="F7924">
        <v>18</v>
      </c>
      <c r="G7924">
        <f>LOG(382/(18+1))</f>
        <v>1.3033097619588798</v>
      </c>
      <c r="H7924">
        <f>0.0140845070422535*3.00098162944013</f>
        <v>4.2267346893522899E-2</v>
      </c>
      <c r="I7924">
        <v>4.2267346893523017E-2</v>
      </c>
    </row>
    <row r="7925" spans="1:9" x14ac:dyDescent="0.25">
      <c r="A7925">
        <v>363</v>
      </c>
      <c r="B7925" t="s">
        <v>2703</v>
      </c>
      <c r="C7925" t="s">
        <v>48</v>
      </c>
      <c r="D7925" t="s">
        <v>558</v>
      </c>
      <c r="E7925">
        <f t="shared" ref="E7925:E7930" si="358">1/142</f>
        <v>7.0422535211267607E-3</v>
      </c>
      <c r="F7925">
        <v>2</v>
      </c>
      <c r="G7925">
        <f>LOG(382/(2+1))</f>
        <v>2.1049421081920463</v>
      </c>
      <c r="H7925">
        <f>0.00704225352112676*4.84680831993846</f>
        <v>3.4132452957313097E-2</v>
      </c>
      <c r="I7925">
        <v>3.4132452957313139E-2</v>
      </c>
    </row>
    <row r="7926" spans="1:9" x14ac:dyDescent="0.25">
      <c r="A7926">
        <v>363</v>
      </c>
      <c r="B7926" t="s">
        <v>2703</v>
      </c>
      <c r="C7926" t="s">
        <v>48</v>
      </c>
      <c r="D7926" t="s">
        <v>2706</v>
      </c>
      <c r="E7926">
        <f t="shared" si="358"/>
        <v>7.0422535211267607E-3</v>
      </c>
      <c r="F7926">
        <v>2</v>
      </c>
      <c r="G7926">
        <f>LOG(382/(2+1))</f>
        <v>2.1049421081920463</v>
      </c>
      <c r="H7926">
        <f>0.00704225352112676*4.84680831993846</f>
        <v>3.4132452957313097E-2</v>
      </c>
      <c r="I7926">
        <v>3.4132452957313139E-2</v>
      </c>
    </row>
    <row r="7927" spans="1:9" x14ac:dyDescent="0.25">
      <c r="A7927">
        <v>363</v>
      </c>
      <c r="B7927" t="s">
        <v>2703</v>
      </c>
      <c r="C7927" t="s">
        <v>48</v>
      </c>
      <c r="D7927" t="s">
        <v>2707</v>
      </c>
      <c r="E7927">
        <f t="shared" si="358"/>
        <v>7.0422535211267607E-3</v>
      </c>
      <c r="F7927">
        <v>2</v>
      </c>
      <c r="G7927">
        <f>LOG(382/(2+1))</f>
        <v>2.1049421081920463</v>
      </c>
      <c r="H7927">
        <f>0.00704225352112676*4.84680831993846</f>
        <v>3.4132452957313097E-2</v>
      </c>
      <c r="I7927">
        <v>3.4132452957313139E-2</v>
      </c>
    </row>
    <row r="7928" spans="1:9" x14ac:dyDescent="0.25">
      <c r="A7928">
        <v>363</v>
      </c>
      <c r="B7928" t="s">
        <v>2703</v>
      </c>
      <c r="C7928" t="s">
        <v>48</v>
      </c>
      <c r="D7928" t="s">
        <v>313</v>
      </c>
      <c r="E7928">
        <f t="shared" si="358"/>
        <v>7.0422535211267607E-3</v>
      </c>
      <c r="F7928">
        <v>13</v>
      </c>
      <c r="G7928">
        <f>LOG(382/(13+1))</f>
        <v>1.4359353272334707</v>
      </c>
      <c r="H7928">
        <f>0.00704225352112676*3.30636327899131</f>
        <v>2.3284248443600775E-2</v>
      </c>
      <c r="I7928">
        <v>2.328424844360082E-2</v>
      </c>
    </row>
    <row r="7929" spans="1:9" x14ac:dyDescent="0.25">
      <c r="A7929">
        <v>363</v>
      </c>
      <c r="B7929" t="s">
        <v>2703</v>
      </c>
      <c r="C7929" t="s">
        <v>48</v>
      </c>
      <c r="D7929" t="s">
        <v>2708</v>
      </c>
      <c r="E7929">
        <f t="shared" si="358"/>
        <v>7.0422535211267607E-3</v>
      </c>
      <c r="F7929">
        <v>2</v>
      </c>
      <c r="G7929">
        <f>LOG(382/(2+1))</f>
        <v>2.1049421081920463</v>
      </c>
      <c r="H7929">
        <f>0.00704225352112676*4.84680831993846</f>
        <v>3.4132452957313097E-2</v>
      </c>
      <c r="I7929">
        <v>3.4132452957313139E-2</v>
      </c>
    </row>
    <row r="7930" spans="1:9" x14ac:dyDescent="0.25">
      <c r="A7930">
        <v>363</v>
      </c>
      <c r="B7930" t="s">
        <v>2703</v>
      </c>
      <c r="C7930" t="s">
        <v>48</v>
      </c>
      <c r="D7930" t="s">
        <v>2709</v>
      </c>
      <c r="E7930">
        <f t="shared" si="358"/>
        <v>7.0422535211267607E-3</v>
      </c>
      <c r="F7930">
        <v>1</v>
      </c>
      <c r="G7930">
        <f>LOG(382/(1+1))</f>
        <v>2.2810333672477277</v>
      </c>
      <c r="H7930">
        <f>0.00704225352112676*5.25227342804663</f>
        <v>3.6987841042581897E-2</v>
      </c>
      <c r="I7930">
        <v>3.6987841042581897E-2</v>
      </c>
    </row>
    <row r="7931" spans="1:9" x14ac:dyDescent="0.25">
      <c r="A7931">
        <v>363</v>
      </c>
      <c r="B7931" t="s">
        <v>2703</v>
      </c>
      <c r="C7931" t="s">
        <v>48</v>
      </c>
      <c r="D7931" t="s">
        <v>1884</v>
      </c>
      <c r="E7931">
        <f>2/142</f>
        <v>1.4084507042253521E-2</v>
      </c>
      <c r="F7931">
        <v>9</v>
      </c>
      <c r="G7931">
        <f>LOG(382/(9+1))</f>
        <v>1.5820633629117087</v>
      </c>
      <c r="H7931">
        <f>0.0140845070422535*3.64283551561252</f>
        <v>5.13075424734157E-2</v>
      </c>
      <c r="I7931">
        <v>5.1307542473415908E-2</v>
      </c>
    </row>
    <row r="7932" spans="1:9" x14ac:dyDescent="0.25">
      <c r="A7932">
        <v>363</v>
      </c>
      <c r="B7932" t="s">
        <v>2703</v>
      </c>
      <c r="C7932" t="s">
        <v>48</v>
      </c>
      <c r="D7932" t="s">
        <v>1453</v>
      </c>
      <c r="E7932">
        <f>1/142</f>
        <v>7.0422535211267607E-3</v>
      </c>
      <c r="F7932">
        <v>23</v>
      </c>
      <c r="G7932">
        <f>LOG(382/(23+1))</f>
        <v>1.2018521212001028</v>
      </c>
      <c r="H7932">
        <f>0.00704225352112676*2.76736677825862</f>
        <v>1.9488498438440985E-2</v>
      </c>
      <c r="I7932">
        <v>1.9488498438441051E-2</v>
      </c>
    </row>
    <row r="7933" spans="1:9" x14ac:dyDescent="0.25">
      <c r="A7933">
        <v>363</v>
      </c>
      <c r="B7933" t="s">
        <v>2703</v>
      </c>
      <c r="C7933" t="s">
        <v>48</v>
      </c>
      <c r="D7933" t="s">
        <v>211</v>
      </c>
      <c r="E7933">
        <f>1/142</f>
        <v>7.0422535211267607E-3</v>
      </c>
      <c r="F7933">
        <v>10</v>
      </c>
      <c r="G7933">
        <f>LOG(382/(10+1))</f>
        <v>1.5406706777534838</v>
      </c>
      <c r="H7933">
        <f>0.00704225352112676*3.5475253358082</f>
        <v>2.4982572787381689E-2</v>
      </c>
      <c r="I7933">
        <v>2.498257278738172E-2</v>
      </c>
    </row>
    <row r="7934" spans="1:9" x14ac:dyDescent="0.25">
      <c r="A7934">
        <v>363</v>
      </c>
      <c r="B7934" t="s">
        <v>2703</v>
      </c>
      <c r="C7934" t="s">
        <v>48</v>
      </c>
      <c r="D7934" t="s">
        <v>108</v>
      </c>
      <c r="E7934">
        <f>2/142</f>
        <v>1.4084507042253521E-2</v>
      </c>
      <c r="F7934">
        <v>9</v>
      </c>
      <c r="G7934">
        <f>LOG(382/(9+1))</f>
        <v>1.5820633629117087</v>
      </c>
      <c r="H7934">
        <f>0.0140845070422535*3.64283551561252</f>
        <v>5.13075424734157E-2</v>
      </c>
      <c r="I7934">
        <v>5.1307542473415908E-2</v>
      </c>
    </row>
    <row r="7935" spans="1:9" x14ac:dyDescent="0.25">
      <c r="A7935">
        <v>363</v>
      </c>
      <c r="B7935" t="s">
        <v>2703</v>
      </c>
      <c r="C7935" t="s">
        <v>48</v>
      </c>
      <c r="D7935" t="s">
        <v>1704</v>
      </c>
      <c r="E7935">
        <f t="shared" ref="E7935:E7944" si="359">1/142</f>
        <v>7.0422535211267607E-3</v>
      </c>
      <c r="F7935">
        <v>4</v>
      </c>
      <c r="G7935">
        <f>LOG(382/(4+1))</f>
        <v>1.8830933585756899</v>
      </c>
      <c r="H7935">
        <f>0.00704225352112676*4.33598269617247</f>
        <v>3.0535089409665282E-2</v>
      </c>
      <c r="I7935">
        <v>3.053508940966532E-2</v>
      </c>
    </row>
    <row r="7936" spans="1:9" x14ac:dyDescent="0.25">
      <c r="A7936">
        <v>363</v>
      </c>
      <c r="B7936" t="s">
        <v>2703</v>
      </c>
      <c r="C7936" t="s">
        <v>48</v>
      </c>
      <c r="D7936" t="s">
        <v>2710</v>
      </c>
      <c r="E7936">
        <f t="shared" si="359"/>
        <v>7.0422535211267607E-3</v>
      </c>
      <c r="F7936">
        <v>5</v>
      </c>
      <c r="G7936">
        <f>LOG(382/(5+1))</f>
        <v>1.803912112528065</v>
      </c>
      <c r="H7936">
        <f>0.00704225352112676*4.15366113937852</f>
        <v>2.9251134784355769E-2</v>
      </c>
      <c r="I7936">
        <v>2.9251134784355769E-2</v>
      </c>
    </row>
    <row r="7937" spans="1:9" x14ac:dyDescent="0.25">
      <c r="A7937">
        <v>363</v>
      </c>
      <c r="B7937" t="s">
        <v>2703</v>
      </c>
      <c r="C7937" t="s">
        <v>48</v>
      </c>
      <c r="D7937" t="s">
        <v>113</v>
      </c>
      <c r="E7937">
        <f t="shared" si="359"/>
        <v>7.0422535211267607E-3</v>
      </c>
      <c r="F7937">
        <v>8</v>
      </c>
      <c r="G7937">
        <f>LOG(382/(8+1))</f>
        <v>1.6278208534723839</v>
      </c>
      <c r="H7937">
        <f>0.00704225352112676*3.74819603127035</f>
        <v>2.639574669908697E-2</v>
      </c>
      <c r="I7937">
        <v>2.6395746699087012E-2</v>
      </c>
    </row>
    <row r="7938" spans="1:9" x14ac:dyDescent="0.25">
      <c r="A7938">
        <v>363</v>
      </c>
      <c r="B7938" t="s">
        <v>2703</v>
      </c>
      <c r="C7938" t="s">
        <v>48</v>
      </c>
      <c r="D7938" t="s">
        <v>2711</v>
      </c>
      <c r="E7938">
        <f t="shared" si="359"/>
        <v>7.0422535211267607E-3</v>
      </c>
      <c r="F7938">
        <v>3</v>
      </c>
      <c r="G7938">
        <f>LOG(382/(3+1))</f>
        <v>1.9800033715837464</v>
      </c>
      <c r="H7938">
        <f>0.00704225352112676*4.55912624748668</f>
        <v>3.2106522869624503E-2</v>
      </c>
      <c r="I7938">
        <v>3.2106522869624537E-2</v>
      </c>
    </row>
    <row r="7939" spans="1:9" x14ac:dyDescent="0.25">
      <c r="A7939">
        <v>363</v>
      </c>
      <c r="B7939" t="s">
        <v>2703</v>
      </c>
      <c r="C7939" t="s">
        <v>48</v>
      </c>
      <c r="D7939" t="s">
        <v>786</v>
      </c>
      <c r="E7939">
        <f t="shared" si="359"/>
        <v>7.0422535211267607E-3</v>
      </c>
      <c r="F7939">
        <v>11</v>
      </c>
      <c r="G7939">
        <f>LOG(382/(11+1))</f>
        <v>1.5028821168640838</v>
      </c>
      <c r="H7939">
        <f>0.00704225352112676*3.46051395881857</f>
        <v>2.4369816611398379E-2</v>
      </c>
      <c r="I7939">
        <v>2.436981661139842E-2</v>
      </c>
    </row>
    <row r="7940" spans="1:9" x14ac:dyDescent="0.25">
      <c r="A7940">
        <v>363</v>
      </c>
      <c r="B7940" t="s">
        <v>2703</v>
      </c>
      <c r="C7940" t="s">
        <v>48</v>
      </c>
      <c r="D7940" t="s">
        <v>819</v>
      </c>
      <c r="E7940">
        <f t="shared" si="359"/>
        <v>7.0422535211267607E-3</v>
      </c>
      <c r="F7940">
        <v>3</v>
      </c>
      <c r="G7940">
        <f>LOG(382/(3+1))</f>
        <v>1.9800033715837464</v>
      </c>
      <c r="H7940">
        <f>0.00704225352112676*4.55912624748668</f>
        <v>3.2106522869624503E-2</v>
      </c>
      <c r="I7940">
        <v>3.2106522869624537E-2</v>
      </c>
    </row>
    <row r="7941" spans="1:9" x14ac:dyDescent="0.25">
      <c r="A7941">
        <v>363</v>
      </c>
      <c r="B7941" t="s">
        <v>2703</v>
      </c>
      <c r="C7941" t="s">
        <v>48</v>
      </c>
      <c r="D7941" t="s">
        <v>273</v>
      </c>
      <c r="E7941">
        <f t="shared" si="359"/>
        <v>7.0422535211267607E-3</v>
      </c>
      <c r="F7941">
        <v>6</v>
      </c>
      <c r="G7941">
        <f>LOG(382/(6+1))</f>
        <v>1.736965322897452</v>
      </c>
      <c r="H7941">
        <f>0.00704225352112676*3.99951045955126</f>
        <v>2.8165566616558165E-2</v>
      </c>
      <c r="I7941">
        <v>2.8165566616558179E-2</v>
      </c>
    </row>
    <row r="7942" spans="1:9" x14ac:dyDescent="0.25">
      <c r="A7942">
        <v>363</v>
      </c>
      <c r="B7942" t="s">
        <v>2703</v>
      </c>
      <c r="C7942" t="s">
        <v>48</v>
      </c>
      <c r="D7942" t="s">
        <v>2712</v>
      </c>
      <c r="E7942">
        <f t="shared" si="359"/>
        <v>7.0422535211267607E-3</v>
      </c>
      <c r="F7942">
        <v>1</v>
      </c>
      <c r="G7942">
        <f>LOG(382/(1+1))</f>
        <v>2.2810333672477277</v>
      </c>
      <c r="H7942">
        <f>0.00704225352112676*5.25227342804663</f>
        <v>3.6987841042581897E-2</v>
      </c>
      <c r="I7942">
        <v>3.6987841042581897E-2</v>
      </c>
    </row>
    <row r="7943" spans="1:9" x14ac:dyDescent="0.25">
      <c r="A7943">
        <v>363</v>
      </c>
      <c r="B7943" t="s">
        <v>2703</v>
      </c>
      <c r="C7943" t="s">
        <v>48</v>
      </c>
      <c r="D7943" t="s">
        <v>1452</v>
      </c>
      <c r="E7943">
        <f t="shared" si="359"/>
        <v>7.0422535211267607E-3</v>
      </c>
      <c r="F7943">
        <v>8</v>
      </c>
      <c r="G7943">
        <f>LOG(382/(8+1))</f>
        <v>1.6278208534723839</v>
      </c>
      <c r="H7943">
        <f>0.00704225352112676*3.74819603127035</f>
        <v>2.639574669908697E-2</v>
      </c>
      <c r="I7943">
        <v>2.6395746699087012E-2</v>
      </c>
    </row>
    <row r="7944" spans="1:9" x14ac:dyDescent="0.25">
      <c r="A7944">
        <v>363</v>
      </c>
      <c r="B7944" t="s">
        <v>2703</v>
      </c>
      <c r="C7944" t="s">
        <v>48</v>
      </c>
      <c r="D7944" t="s">
        <v>612</v>
      </c>
      <c r="E7944">
        <f t="shared" si="359"/>
        <v>7.0422535211267607E-3</v>
      </c>
      <c r="F7944">
        <v>5</v>
      </c>
      <c r="G7944">
        <f>LOG(382/(5+1))</f>
        <v>1.803912112528065</v>
      </c>
      <c r="H7944">
        <f>0.00704225352112676*4.15366113937852</f>
        <v>2.9251134784355769E-2</v>
      </c>
      <c r="I7944">
        <v>2.9251134784355769E-2</v>
      </c>
    </row>
    <row r="7945" spans="1:9" x14ac:dyDescent="0.25">
      <c r="A7945">
        <v>363</v>
      </c>
      <c r="B7945" t="s">
        <v>2703</v>
      </c>
      <c r="C7945" t="s">
        <v>48</v>
      </c>
      <c r="D7945" t="s">
        <v>133</v>
      </c>
      <c r="E7945">
        <f>2/142</f>
        <v>1.4084507042253521E-2</v>
      </c>
      <c r="F7945">
        <v>142</v>
      </c>
      <c r="G7945">
        <f>LOG(382/(142+1))</f>
        <v>0.42672732544664693</v>
      </c>
      <c r="H7945">
        <f>0.0140845070422535*0.982575978346667</f>
        <v>1.3839098286572754E-2</v>
      </c>
      <c r="I7945">
        <v>1.3839098286572789E-2</v>
      </c>
    </row>
    <row r="7946" spans="1:9" x14ac:dyDescent="0.25">
      <c r="A7946">
        <v>363</v>
      </c>
      <c r="B7946" t="s">
        <v>2703</v>
      </c>
      <c r="C7946" t="s">
        <v>48</v>
      </c>
      <c r="D7946" t="s">
        <v>78</v>
      </c>
      <c r="E7946">
        <f>1/142</f>
        <v>7.0422535211267607E-3</v>
      </c>
      <c r="F7946">
        <v>122</v>
      </c>
      <c r="G7946">
        <f>LOG(382/(122+1))</f>
        <v>0.49215825147231079</v>
      </c>
      <c r="H7946">
        <f>0.00704225352112676*1.13323625323415</f>
        <v>7.9805369946066886E-3</v>
      </c>
      <c r="I7946">
        <v>7.9805369946067441E-3</v>
      </c>
    </row>
    <row r="7947" spans="1:9" x14ac:dyDescent="0.25">
      <c r="A7947">
        <v>363</v>
      </c>
      <c r="B7947" t="s">
        <v>2703</v>
      </c>
      <c r="C7947" t="s">
        <v>48</v>
      </c>
      <c r="D7947" t="s">
        <v>98</v>
      </c>
      <c r="E7947">
        <f>2/142</f>
        <v>1.4084507042253521E-2</v>
      </c>
      <c r="F7947">
        <v>56</v>
      </c>
      <c r="G7947">
        <f>LOG(382/(56+1))</f>
        <v>0.82618850723921733</v>
      </c>
      <c r="H7947">
        <f>0.0140845070422535*1.90236934077202</f>
        <v>2.6793934377070665E-2</v>
      </c>
      <c r="I7947">
        <v>2.6793934377070779E-2</v>
      </c>
    </row>
    <row r="7948" spans="1:9" x14ac:dyDescent="0.25">
      <c r="A7948">
        <v>363</v>
      </c>
      <c r="B7948" t="s">
        <v>2703</v>
      </c>
      <c r="C7948" t="s">
        <v>48</v>
      </c>
      <c r="D7948" t="s">
        <v>126</v>
      </c>
      <c r="E7948">
        <f>2/142</f>
        <v>1.4084507042253521E-2</v>
      </c>
      <c r="F7948">
        <v>79</v>
      </c>
      <c r="G7948">
        <f>LOG(382/(79+1))</f>
        <v>0.67897337591976514</v>
      </c>
      <c r="H7948">
        <f>0.0140845070422535*1.56339397393269</f>
        <v>2.2019633435671659E-2</v>
      </c>
      <c r="I7948">
        <v>2.2019633435671739E-2</v>
      </c>
    </row>
    <row r="7949" spans="1:9" x14ac:dyDescent="0.25">
      <c r="A7949">
        <v>363</v>
      </c>
      <c r="B7949" t="s">
        <v>2703</v>
      </c>
      <c r="C7949" t="s">
        <v>48</v>
      </c>
      <c r="D7949" t="s">
        <v>2713</v>
      </c>
      <c r="E7949">
        <f>1/142</f>
        <v>7.0422535211267607E-3</v>
      </c>
      <c r="F7949">
        <v>4</v>
      </c>
      <c r="G7949">
        <f>LOG(382/(4+1))</f>
        <v>1.8830933585756899</v>
      </c>
      <c r="H7949">
        <f>0.00704225352112676*4.33598269617247</f>
        <v>3.0535089409665282E-2</v>
      </c>
      <c r="I7949">
        <v>3.053508940966532E-2</v>
      </c>
    </row>
    <row r="7950" spans="1:9" x14ac:dyDescent="0.25">
      <c r="A7950">
        <v>363</v>
      </c>
      <c r="B7950" t="s">
        <v>2703</v>
      </c>
      <c r="C7950" t="s">
        <v>48</v>
      </c>
      <c r="D7950" t="s">
        <v>746</v>
      </c>
      <c r="E7950">
        <f>2/142</f>
        <v>1.4084507042253521E-2</v>
      </c>
      <c r="F7950">
        <v>58</v>
      </c>
      <c r="G7950">
        <f>LOG(382/(58+1))</f>
        <v>0.81121135126956456</v>
      </c>
      <c r="H7950">
        <f>0.0140845070422535*1.86788316470085</f>
        <v>2.6308213587335878E-2</v>
      </c>
      <c r="I7950">
        <v>2.6308213587336E-2</v>
      </c>
    </row>
    <row r="7951" spans="1:9" x14ac:dyDescent="0.25">
      <c r="A7951">
        <v>363</v>
      </c>
      <c r="B7951" t="s">
        <v>2703</v>
      </c>
      <c r="C7951" t="s">
        <v>48</v>
      </c>
      <c r="D7951" t="s">
        <v>38</v>
      </c>
      <c r="E7951">
        <f t="shared" ref="E7951:E7959" si="360">1/142</f>
        <v>7.0422535211267607E-3</v>
      </c>
      <c r="F7951">
        <v>86</v>
      </c>
      <c r="G7951">
        <f>LOG(382/(86+1))</f>
        <v>0.64254411029309022</v>
      </c>
      <c r="H7951">
        <f>0.00704225352112676*1.47951248995199</f>
        <v>1.0419102041915422E-2</v>
      </c>
      <c r="I7951">
        <v>1.0419102041915431E-2</v>
      </c>
    </row>
    <row r="7952" spans="1:9" x14ac:dyDescent="0.25">
      <c r="A7952">
        <v>363</v>
      </c>
      <c r="B7952" t="s">
        <v>2703</v>
      </c>
      <c r="C7952" t="s">
        <v>48</v>
      </c>
      <c r="D7952" t="s">
        <v>975</v>
      </c>
      <c r="E7952">
        <f t="shared" si="360"/>
        <v>7.0422535211267607E-3</v>
      </c>
      <c r="F7952">
        <v>5</v>
      </c>
      <c r="G7952">
        <f>LOG(382/(5+1))</f>
        <v>1.803912112528065</v>
      </c>
      <c r="H7952">
        <f>0.00704225352112676*4.15366113937852</f>
        <v>2.9251134784355769E-2</v>
      </c>
      <c r="I7952">
        <v>2.9251134784355769E-2</v>
      </c>
    </row>
    <row r="7953" spans="1:9" x14ac:dyDescent="0.25">
      <c r="A7953">
        <v>363</v>
      </c>
      <c r="B7953" t="s">
        <v>2703</v>
      </c>
      <c r="C7953" t="s">
        <v>48</v>
      </c>
      <c r="D7953" t="s">
        <v>445</v>
      </c>
      <c r="E7953">
        <f t="shared" si="360"/>
        <v>7.0422535211267607E-3</v>
      </c>
      <c r="F7953">
        <v>35</v>
      </c>
      <c r="G7953">
        <f>LOG(382/(35+1))</f>
        <v>1.0257608621444214</v>
      </c>
      <c r="H7953">
        <f>0.00704225352112676*2.36190167015046</f>
        <v>1.6633110353172251E-2</v>
      </c>
      <c r="I7953">
        <v>1.663311035317229E-2</v>
      </c>
    </row>
    <row r="7954" spans="1:9" x14ac:dyDescent="0.25">
      <c r="A7954">
        <v>363</v>
      </c>
      <c r="B7954" t="s">
        <v>2703</v>
      </c>
      <c r="C7954" t="s">
        <v>48</v>
      </c>
      <c r="D7954" t="s">
        <v>823</v>
      </c>
      <c r="E7954">
        <f t="shared" si="360"/>
        <v>7.0422535211267607E-3</v>
      </c>
      <c r="F7954">
        <v>45</v>
      </c>
      <c r="G7954">
        <f>LOG(382/(45+1))</f>
        <v>0.9193055312301347</v>
      </c>
      <c r="H7954">
        <f>0.00704225352112676*2.11677921211748</f>
        <v>1.4906895859982254E-2</v>
      </c>
      <c r="I7954">
        <v>1.4906895859982261E-2</v>
      </c>
    </row>
    <row r="7955" spans="1:9" x14ac:dyDescent="0.25">
      <c r="A7955">
        <v>363</v>
      </c>
      <c r="B7955" t="s">
        <v>2703</v>
      </c>
      <c r="C7955" t="s">
        <v>48</v>
      </c>
      <c r="D7955" t="s">
        <v>2154</v>
      </c>
      <c r="E7955">
        <f t="shared" si="360"/>
        <v>7.0422535211267607E-3</v>
      </c>
      <c r="F7955">
        <v>9</v>
      </c>
      <c r="G7955">
        <f>LOG(382/(9+1))</f>
        <v>1.5820633629117087</v>
      </c>
      <c r="H7955">
        <f>0.00704225352112676*3.64283551561252</f>
        <v>2.5653771236707885E-2</v>
      </c>
      <c r="I7955">
        <v>2.5653771236707951E-2</v>
      </c>
    </row>
    <row r="7956" spans="1:9" x14ac:dyDescent="0.25">
      <c r="A7956">
        <v>363</v>
      </c>
      <c r="B7956" t="s">
        <v>2703</v>
      </c>
      <c r="C7956" t="s">
        <v>48</v>
      </c>
      <c r="D7956" t="s">
        <v>215</v>
      </c>
      <c r="E7956">
        <f t="shared" si="360"/>
        <v>7.0422535211267607E-3</v>
      </c>
      <c r="F7956">
        <v>25</v>
      </c>
      <c r="G7956">
        <f>LOG(382/(25+1))</f>
        <v>1.1670900149408907</v>
      </c>
      <c r="H7956">
        <f>0.00704225352112676*2.68732407058509</f>
        <v>1.8924817398486549E-2</v>
      </c>
      <c r="I7956">
        <v>1.892481739848657E-2</v>
      </c>
    </row>
    <row r="7957" spans="1:9" x14ac:dyDescent="0.25">
      <c r="A7957">
        <v>363</v>
      </c>
      <c r="B7957" t="s">
        <v>2703</v>
      </c>
      <c r="C7957" t="s">
        <v>48</v>
      </c>
      <c r="D7957" t="s">
        <v>216</v>
      </c>
      <c r="E7957">
        <f t="shared" si="360"/>
        <v>7.0422535211267607E-3</v>
      </c>
      <c r="F7957">
        <v>63</v>
      </c>
      <c r="G7957">
        <f>LOG(382/(63+1))</f>
        <v>0.7758833889278216</v>
      </c>
      <c r="H7957">
        <f>0.00704225352112676*1.7865375252469</f>
        <v>1.2581250177795069E-2</v>
      </c>
      <c r="I7957">
        <v>1.25812501777951E-2</v>
      </c>
    </row>
    <row r="7958" spans="1:9" x14ac:dyDescent="0.25">
      <c r="A7958">
        <v>363</v>
      </c>
      <c r="B7958" t="s">
        <v>2703</v>
      </c>
      <c r="C7958" t="s">
        <v>48</v>
      </c>
      <c r="D7958" t="s">
        <v>240</v>
      </c>
      <c r="E7958">
        <f t="shared" si="360"/>
        <v>7.0422535211267607E-3</v>
      </c>
      <c r="F7958">
        <v>15</v>
      </c>
      <c r="G7958">
        <f>LOG(382/(15+1))</f>
        <v>1.3779433802557839</v>
      </c>
      <c r="H7958">
        <f>0.00704225352112676*3.17283188636679</f>
        <v>2.2343886523709788E-2</v>
      </c>
      <c r="I7958">
        <v>2.2343886523709819E-2</v>
      </c>
    </row>
    <row r="7959" spans="1:9" x14ac:dyDescent="0.25">
      <c r="A7959">
        <v>363</v>
      </c>
      <c r="B7959" t="s">
        <v>2703</v>
      </c>
      <c r="C7959" t="s">
        <v>48</v>
      </c>
      <c r="D7959" t="s">
        <v>1967</v>
      </c>
      <c r="E7959">
        <f t="shared" si="360"/>
        <v>7.0422535211267607E-3</v>
      </c>
      <c r="F7959">
        <v>5</v>
      </c>
      <c r="G7959">
        <f>LOG(382/(5+1))</f>
        <v>1.803912112528065</v>
      </c>
      <c r="H7959">
        <f>0.00704225352112676*4.15366113937852</f>
        <v>2.9251134784355769E-2</v>
      </c>
      <c r="I7959">
        <v>2.9251134784355769E-2</v>
      </c>
    </row>
    <row r="7960" spans="1:9" x14ac:dyDescent="0.25">
      <c r="A7960">
        <v>363</v>
      </c>
      <c r="B7960" t="s">
        <v>2703</v>
      </c>
      <c r="C7960" t="s">
        <v>48</v>
      </c>
      <c r="D7960" t="s">
        <v>105</v>
      </c>
      <c r="E7960">
        <f>3/142</f>
        <v>2.1126760563380281E-2</v>
      </c>
      <c r="F7960">
        <v>122</v>
      </c>
      <c r="G7960">
        <f>LOG(382/(122+1))</f>
        <v>0.49215825147231079</v>
      </c>
      <c r="H7960">
        <f>0.0211267605633802*1.13323625323415</f>
        <v>2.3941610983819979E-2</v>
      </c>
      <c r="I7960">
        <v>2.3941610983820229E-2</v>
      </c>
    </row>
    <row r="7961" spans="1:9" x14ac:dyDescent="0.25">
      <c r="A7961">
        <v>363</v>
      </c>
      <c r="B7961" t="s">
        <v>2703</v>
      </c>
      <c r="C7961" t="s">
        <v>48</v>
      </c>
      <c r="D7961" t="s">
        <v>112</v>
      </c>
      <c r="E7961">
        <f>1/142</f>
        <v>7.0422535211267607E-3</v>
      </c>
      <c r="F7961">
        <v>52</v>
      </c>
      <c r="G7961">
        <f>LOG(382/(52+1))</f>
        <v>0.85778749331091964</v>
      </c>
      <c r="H7961">
        <f>0.00704225352112676*1.97512869505445</f>
        <v>1.3909357007425703E-2</v>
      </c>
      <c r="I7961">
        <v>1.3909357007425731E-2</v>
      </c>
    </row>
    <row r="7962" spans="1:9" x14ac:dyDescent="0.25">
      <c r="A7962">
        <v>363</v>
      </c>
      <c r="B7962" t="s">
        <v>2703</v>
      </c>
      <c r="C7962" t="s">
        <v>48</v>
      </c>
      <c r="D7962" t="s">
        <v>54</v>
      </c>
      <c r="E7962">
        <f>2/142</f>
        <v>1.4084507042253521E-2</v>
      </c>
      <c r="F7962">
        <v>25</v>
      </c>
      <c r="G7962">
        <f>LOG(382/(25+1))</f>
        <v>1.1670900149408907</v>
      </c>
      <c r="H7962">
        <f>0.0140845070422535*2.68732407058509</f>
        <v>3.7849634796973043E-2</v>
      </c>
      <c r="I7962">
        <v>3.7849634796973147E-2</v>
      </c>
    </row>
    <row r="7963" spans="1:9" x14ac:dyDescent="0.25">
      <c r="A7963">
        <v>363</v>
      </c>
      <c r="B7963" t="s">
        <v>2703</v>
      </c>
      <c r="C7963" t="s">
        <v>48</v>
      </c>
      <c r="D7963" t="s">
        <v>857</v>
      </c>
      <c r="E7963">
        <f>1/142</f>
        <v>7.0422535211267607E-3</v>
      </c>
      <c r="F7963">
        <v>5</v>
      </c>
      <c r="G7963">
        <f>LOG(382/(5+1))</f>
        <v>1.803912112528065</v>
      </c>
      <c r="H7963">
        <f>0.00704225352112676*4.15366113937852</f>
        <v>2.9251134784355769E-2</v>
      </c>
      <c r="I7963">
        <v>2.9251134784355769E-2</v>
      </c>
    </row>
    <row r="7964" spans="1:9" x14ac:dyDescent="0.25">
      <c r="A7964">
        <v>363</v>
      </c>
      <c r="B7964" t="s">
        <v>2703</v>
      </c>
      <c r="C7964" t="s">
        <v>48</v>
      </c>
      <c r="D7964" t="s">
        <v>363</v>
      </c>
      <c r="E7964">
        <f>1/142</f>
        <v>7.0422535211267607E-3</v>
      </c>
      <c r="F7964">
        <v>36</v>
      </c>
      <c r="G7964">
        <f>LOG(382/(36+1))</f>
        <v>1.0138616388447137</v>
      </c>
      <c r="H7964">
        <f>0.00704225352112676*2.33450269596235</f>
        <v>1.6440159830720773E-2</v>
      </c>
      <c r="I7964">
        <v>1.644015983072078E-2</v>
      </c>
    </row>
    <row r="7965" spans="1:9" x14ac:dyDescent="0.25">
      <c r="A7965">
        <v>363</v>
      </c>
      <c r="B7965" t="s">
        <v>2703</v>
      </c>
      <c r="C7965" t="s">
        <v>48</v>
      </c>
      <c r="D7965" t="s">
        <v>106</v>
      </c>
      <c r="E7965">
        <f>2/142</f>
        <v>1.4084507042253521E-2</v>
      </c>
      <c r="F7965">
        <v>17</v>
      </c>
      <c r="G7965">
        <f>LOG(382/(17+1))</f>
        <v>1.3267908578084027</v>
      </c>
      <c r="H7965">
        <f>0.0140845070422535*3.05504885071041</f>
        <v>4.3028857052259228E-2</v>
      </c>
      <c r="I7965">
        <v>4.3028857052259298E-2</v>
      </c>
    </row>
    <row r="7966" spans="1:9" x14ac:dyDescent="0.25">
      <c r="A7966">
        <v>363</v>
      </c>
      <c r="B7966" t="s">
        <v>2703</v>
      </c>
      <c r="C7966" t="s">
        <v>48</v>
      </c>
      <c r="D7966" t="s">
        <v>107</v>
      </c>
      <c r="E7966">
        <f t="shared" ref="E7966:E7975" si="361">1/142</f>
        <v>7.0422535211267607E-3</v>
      </c>
      <c r="F7966">
        <v>6</v>
      </c>
      <c r="G7966">
        <f>LOG(382/(6+1))</f>
        <v>1.736965322897452</v>
      </c>
      <c r="H7966">
        <f>0.00704225352112676*3.99951045955126</f>
        <v>2.8165566616558165E-2</v>
      </c>
      <c r="I7966">
        <v>2.8165566616558179E-2</v>
      </c>
    </row>
    <row r="7967" spans="1:9" x14ac:dyDescent="0.25">
      <c r="A7967">
        <v>363</v>
      </c>
      <c r="B7967" t="s">
        <v>2703</v>
      </c>
      <c r="C7967" t="s">
        <v>48</v>
      </c>
      <c r="D7967" t="s">
        <v>1296</v>
      </c>
      <c r="E7967">
        <f t="shared" si="361"/>
        <v>7.0422535211267607E-3</v>
      </c>
      <c r="F7967">
        <v>14</v>
      </c>
      <c r="G7967">
        <f>LOG(382/(14+1))</f>
        <v>1.4059721038560276</v>
      </c>
      <c r="H7967">
        <f>0.00704225352112676*3.23737040750436</f>
        <v>2.2798383151439151E-2</v>
      </c>
      <c r="I7967">
        <v>2.279838315143919E-2</v>
      </c>
    </row>
    <row r="7968" spans="1:9" x14ac:dyDescent="0.25">
      <c r="A7968">
        <v>363</v>
      </c>
      <c r="B7968" t="s">
        <v>2703</v>
      </c>
      <c r="C7968" t="s">
        <v>48</v>
      </c>
      <c r="D7968" t="s">
        <v>2714</v>
      </c>
      <c r="E7968">
        <f t="shared" si="361"/>
        <v>7.0422535211267607E-3</v>
      </c>
      <c r="F7968">
        <v>3</v>
      </c>
      <c r="G7968">
        <f>LOG(382/(3+1))</f>
        <v>1.9800033715837464</v>
      </c>
      <c r="H7968">
        <f>0.00704225352112676*4.55912624748668</f>
        <v>3.2106522869624503E-2</v>
      </c>
      <c r="I7968">
        <v>3.2106522869624537E-2</v>
      </c>
    </row>
    <row r="7969" spans="1:9" x14ac:dyDescent="0.25">
      <c r="A7969">
        <v>363</v>
      </c>
      <c r="B7969" t="s">
        <v>2703</v>
      </c>
      <c r="C7969" t="s">
        <v>48</v>
      </c>
      <c r="D7969" t="s">
        <v>607</v>
      </c>
      <c r="E7969">
        <f t="shared" si="361"/>
        <v>7.0422535211267607E-3</v>
      </c>
      <c r="F7969">
        <v>6</v>
      </c>
      <c r="G7969">
        <f>LOG(382/(6+1))</f>
        <v>1.736965322897452</v>
      </c>
      <c r="H7969">
        <f>0.00704225352112676*3.99951045955126</f>
        <v>2.8165566616558165E-2</v>
      </c>
      <c r="I7969">
        <v>2.8165566616558179E-2</v>
      </c>
    </row>
    <row r="7970" spans="1:9" x14ac:dyDescent="0.25">
      <c r="A7970">
        <v>363</v>
      </c>
      <c r="B7970" t="s">
        <v>2703</v>
      </c>
      <c r="C7970" t="s">
        <v>48</v>
      </c>
      <c r="D7970" t="s">
        <v>289</v>
      </c>
      <c r="E7970">
        <f t="shared" si="361"/>
        <v>7.0422535211267607E-3</v>
      </c>
      <c r="F7970">
        <v>8</v>
      </c>
      <c r="G7970">
        <f>LOG(382/(8+1))</f>
        <v>1.6278208534723839</v>
      </c>
      <c r="H7970">
        <f>0.00704225352112676*3.74819603127035</f>
        <v>2.639574669908697E-2</v>
      </c>
      <c r="I7970">
        <v>2.6395746699087012E-2</v>
      </c>
    </row>
    <row r="7971" spans="1:9" x14ac:dyDescent="0.25">
      <c r="A7971">
        <v>363</v>
      </c>
      <c r="B7971" t="s">
        <v>2703</v>
      </c>
      <c r="C7971" t="s">
        <v>48</v>
      </c>
      <c r="D7971" t="s">
        <v>104</v>
      </c>
      <c r="E7971">
        <f t="shared" si="361"/>
        <v>7.0422535211267607E-3</v>
      </c>
      <c r="F7971">
        <v>49</v>
      </c>
      <c r="G7971">
        <f>LOG(382/(49+1))</f>
        <v>0.88309335857568994</v>
      </c>
      <c r="H7971">
        <f>0.00704225352112676*2.03339760317842</f>
        <v>1.4319701430833942E-2</v>
      </c>
      <c r="I7971">
        <v>1.431970143083401E-2</v>
      </c>
    </row>
    <row r="7972" spans="1:9" x14ac:dyDescent="0.25">
      <c r="A7972">
        <v>363</v>
      </c>
      <c r="B7972" t="s">
        <v>2703</v>
      </c>
      <c r="C7972" t="s">
        <v>48</v>
      </c>
      <c r="D7972" t="s">
        <v>1130</v>
      </c>
      <c r="E7972">
        <f t="shared" si="361"/>
        <v>7.0422535211267607E-3</v>
      </c>
      <c r="F7972">
        <v>12</v>
      </c>
      <c r="G7972">
        <f>LOG(382/(12+1))</f>
        <v>1.468120010604872</v>
      </c>
      <c r="H7972">
        <f>0.00704225352112676*3.38047125114503</f>
        <v>2.380613557144387E-2</v>
      </c>
      <c r="I7972">
        <v>2.3806135571443929E-2</v>
      </c>
    </row>
    <row r="7973" spans="1:9" x14ac:dyDescent="0.25">
      <c r="A7973">
        <v>363</v>
      </c>
      <c r="B7973" t="s">
        <v>2703</v>
      </c>
      <c r="C7973" t="s">
        <v>48</v>
      </c>
      <c r="D7973" t="s">
        <v>961</v>
      </c>
      <c r="E7973">
        <f t="shared" si="361"/>
        <v>7.0422535211267607E-3</v>
      </c>
      <c r="F7973">
        <v>5</v>
      </c>
      <c r="G7973">
        <f>LOG(382/(5+1))</f>
        <v>1.803912112528065</v>
      </c>
      <c r="H7973">
        <f>0.00704225352112676*4.15366113937852</f>
        <v>2.9251134784355769E-2</v>
      </c>
      <c r="I7973">
        <v>2.9251134784355769E-2</v>
      </c>
    </row>
    <row r="7974" spans="1:9" x14ac:dyDescent="0.25">
      <c r="A7974">
        <v>363</v>
      </c>
      <c r="B7974" t="s">
        <v>2703</v>
      </c>
      <c r="C7974" t="s">
        <v>48</v>
      </c>
      <c r="D7974" t="s">
        <v>77</v>
      </c>
      <c r="E7974">
        <f t="shared" si="361"/>
        <v>7.0422535211267607E-3</v>
      </c>
      <c r="F7974">
        <v>148</v>
      </c>
      <c r="G7974">
        <f>LOG(382/(148+1))</f>
        <v>0.40887709449943471</v>
      </c>
      <c r="H7974">
        <f>0.00704225352112676*0.941474302661116</f>
        <v>6.6301007229656048E-3</v>
      </c>
      <c r="I7974">
        <v>6.6301007229656074E-3</v>
      </c>
    </row>
    <row r="7975" spans="1:9" x14ac:dyDescent="0.25">
      <c r="A7975">
        <v>363</v>
      </c>
      <c r="B7975" t="s">
        <v>2703</v>
      </c>
      <c r="C7975" t="s">
        <v>48</v>
      </c>
      <c r="D7975" t="s">
        <v>219</v>
      </c>
      <c r="E7975">
        <f t="shared" si="361"/>
        <v>7.0422535211267607E-3</v>
      </c>
      <c r="F7975">
        <v>19</v>
      </c>
      <c r="G7975">
        <f>LOG(382/(19+1))</f>
        <v>1.2810333672477277</v>
      </c>
      <c r="H7975">
        <f>0.00704225352112676*2.94968833505258</f>
        <v>2.077245306375056E-2</v>
      </c>
      <c r="I7975">
        <v>2.0772453063750591E-2</v>
      </c>
    </row>
    <row r="7976" spans="1:9" x14ac:dyDescent="0.25">
      <c r="A7976">
        <v>364</v>
      </c>
      <c r="B7976" t="s">
        <v>2715</v>
      </c>
      <c r="C7976" t="s">
        <v>10</v>
      </c>
      <c r="D7976" t="s">
        <v>726</v>
      </c>
      <c r="E7976">
        <f>4/29</f>
        <v>0.13793103448275862</v>
      </c>
      <c r="F7976">
        <v>37</v>
      </c>
      <c r="G7976">
        <f>LOG(382/(37+1))</f>
        <v>1.0022797662948986</v>
      </c>
      <c r="H7976">
        <f>0.137931034482758*2.30783444888018</f>
        <v>0.31832199294898889</v>
      </c>
      <c r="I7976">
        <v>0.31832199294899161</v>
      </c>
    </row>
    <row r="7977" spans="1:9" x14ac:dyDescent="0.25">
      <c r="A7977">
        <v>364</v>
      </c>
      <c r="B7977" t="s">
        <v>2715</v>
      </c>
      <c r="C7977" t="s">
        <v>10</v>
      </c>
      <c r="D7977" t="s">
        <v>1193</v>
      </c>
      <c r="E7977">
        <f t="shared" ref="E7977:E7984" si="362">1/29</f>
        <v>3.4482758620689655E-2</v>
      </c>
      <c r="F7977">
        <v>2</v>
      </c>
      <c r="G7977">
        <f>LOG(382/(2+1))</f>
        <v>2.1049421081920463</v>
      </c>
      <c r="H7977">
        <f>0.0344827586206896*4.84680831993846</f>
        <v>0.167131321377188</v>
      </c>
      <c r="I7977">
        <v>0.16713132137718839</v>
      </c>
    </row>
    <row r="7978" spans="1:9" x14ac:dyDescent="0.25">
      <c r="A7978">
        <v>364</v>
      </c>
      <c r="B7978" t="s">
        <v>2715</v>
      </c>
      <c r="C7978" t="s">
        <v>10</v>
      </c>
      <c r="D7978" t="s">
        <v>1194</v>
      </c>
      <c r="E7978">
        <f t="shared" si="362"/>
        <v>3.4482758620689655E-2</v>
      </c>
      <c r="F7978">
        <v>2</v>
      </c>
      <c r="G7978">
        <f>LOG(382/(2+1))</f>
        <v>2.1049421081920463</v>
      </c>
      <c r="H7978">
        <f>0.0344827586206896*4.84680831993846</f>
        <v>0.167131321377188</v>
      </c>
      <c r="I7978">
        <v>0.16713132137718839</v>
      </c>
    </row>
    <row r="7979" spans="1:9" x14ac:dyDescent="0.25">
      <c r="A7979">
        <v>364</v>
      </c>
      <c r="B7979" t="s">
        <v>2715</v>
      </c>
      <c r="C7979" t="s">
        <v>10</v>
      </c>
      <c r="D7979" t="s">
        <v>2716</v>
      </c>
      <c r="E7979">
        <f t="shared" si="362"/>
        <v>3.4482758620689655E-2</v>
      </c>
      <c r="F7979">
        <v>1</v>
      </c>
      <c r="G7979">
        <f>LOG(382/(1+1))</f>
        <v>2.2810333672477277</v>
      </c>
      <c r="H7979">
        <f>0.0344827586206896*5.25227342804663</f>
        <v>0.18111287682919383</v>
      </c>
      <c r="I7979">
        <v>0.18111287682919411</v>
      </c>
    </row>
    <row r="7980" spans="1:9" x14ac:dyDescent="0.25">
      <c r="A7980">
        <v>364</v>
      </c>
      <c r="B7980" t="s">
        <v>2715</v>
      </c>
      <c r="C7980" t="s">
        <v>10</v>
      </c>
      <c r="D7980" t="s">
        <v>272</v>
      </c>
      <c r="E7980">
        <f t="shared" si="362"/>
        <v>3.4482758620689655E-2</v>
      </c>
      <c r="F7980">
        <v>17</v>
      </c>
      <c r="G7980">
        <f>LOG(382/(17+1))</f>
        <v>1.3267908578084027</v>
      </c>
      <c r="H7980">
        <f>0.0344827586206896*3.05504885071041</f>
        <v>0.10534651209346224</v>
      </c>
      <c r="I7980">
        <v>0.10534651209346239</v>
      </c>
    </row>
    <row r="7981" spans="1:9" x14ac:dyDescent="0.25">
      <c r="A7981">
        <v>364</v>
      </c>
      <c r="B7981" t="s">
        <v>2715</v>
      </c>
      <c r="C7981" t="s">
        <v>10</v>
      </c>
      <c r="D7981" t="s">
        <v>2717</v>
      </c>
      <c r="E7981">
        <f t="shared" si="362"/>
        <v>3.4482758620689655E-2</v>
      </c>
      <c r="F7981">
        <v>1</v>
      </c>
      <c r="G7981">
        <f>LOG(382/(1+1))</f>
        <v>2.2810333672477277</v>
      </c>
      <c r="H7981">
        <f>0.0344827586206896*5.25227342804663</f>
        <v>0.18111287682919383</v>
      </c>
      <c r="I7981">
        <v>0.18111287682919411</v>
      </c>
    </row>
    <row r="7982" spans="1:9" x14ac:dyDescent="0.25">
      <c r="A7982">
        <v>364</v>
      </c>
      <c r="B7982" t="s">
        <v>2715</v>
      </c>
      <c r="C7982" t="s">
        <v>10</v>
      </c>
      <c r="D7982" t="s">
        <v>2718</v>
      </c>
      <c r="E7982">
        <f t="shared" si="362"/>
        <v>3.4482758620689655E-2</v>
      </c>
      <c r="F7982">
        <v>1</v>
      </c>
      <c r="G7982">
        <f>LOG(382/(1+1))</f>
        <v>2.2810333672477277</v>
      </c>
      <c r="H7982">
        <f>0.0344827586206896*5.25227342804663</f>
        <v>0.18111287682919383</v>
      </c>
      <c r="I7982">
        <v>0.18111287682919411</v>
      </c>
    </row>
    <row r="7983" spans="1:9" x14ac:dyDescent="0.25">
      <c r="A7983">
        <v>364</v>
      </c>
      <c r="B7983" t="s">
        <v>2715</v>
      </c>
      <c r="C7983" t="s">
        <v>10</v>
      </c>
      <c r="D7983" t="s">
        <v>183</v>
      </c>
      <c r="E7983">
        <f t="shared" si="362"/>
        <v>3.4482758620689655E-2</v>
      </c>
      <c r="F7983">
        <v>46</v>
      </c>
      <c r="G7983">
        <f>LOG(382/(46+1))</f>
        <v>0.90996550497599127</v>
      </c>
      <c r="H7983">
        <f>0.0344827586206896*2.09527300689651</f>
        <v>7.2250793341258848E-2</v>
      </c>
      <c r="I7983">
        <v>7.2250793341259181E-2</v>
      </c>
    </row>
    <row r="7984" spans="1:9" x14ac:dyDescent="0.25">
      <c r="A7984">
        <v>364</v>
      </c>
      <c r="B7984" t="s">
        <v>2715</v>
      </c>
      <c r="C7984" t="s">
        <v>10</v>
      </c>
      <c r="D7984" t="s">
        <v>38</v>
      </c>
      <c r="E7984">
        <f t="shared" si="362"/>
        <v>3.4482758620689655E-2</v>
      </c>
      <c r="F7984">
        <v>86</v>
      </c>
      <c r="G7984">
        <f>LOG(382/(86+1))</f>
        <v>0.64254411029309022</v>
      </c>
      <c r="H7984">
        <f>0.0344827586206896*1.47951248995199</f>
        <v>5.1017672067309922E-2</v>
      </c>
      <c r="I7984">
        <v>5.1017672067310053E-2</v>
      </c>
    </row>
    <row r="7985" spans="1:9" x14ac:dyDescent="0.25">
      <c r="A7985">
        <v>364</v>
      </c>
      <c r="B7985" t="s">
        <v>2715</v>
      </c>
      <c r="C7985" t="s">
        <v>10</v>
      </c>
      <c r="D7985" t="s">
        <v>24</v>
      </c>
      <c r="E7985">
        <f>2/29</f>
        <v>6.8965517241379309E-2</v>
      </c>
      <c r="F7985">
        <v>59</v>
      </c>
      <c r="G7985">
        <f>LOG(382/(59+1))</f>
        <v>0.80391211252806505</v>
      </c>
      <c r="H7985">
        <f>0.0689655172413793*1.85107604638447</f>
        <v>0.12766041699203237</v>
      </c>
      <c r="I7985">
        <v>0.1276604169920327</v>
      </c>
    </row>
    <row r="7986" spans="1:9" x14ac:dyDescent="0.25">
      <c r="A7986">
        <v>364</v>
      </c>
      <c r="B7986" t="s">
        <v>2715</v>
      </c>
      <c r="C7986" t="s">
        <v>10</v>
      </c>
      <c r="D7986" t="s">
        <v>42</v>
      </c>
      <c r="E7986">
        <f>1/29</f>
        <v>3.4482758620689655E-2</v>
      </c>
      <c r="F7986">
        <v>251</v>
      </c>
      <c r="G7986">
        <f>LOG(382/(251+1))</f>
        <v>0.18066282213016463</v>
      </c>
      <c r="H7986">
        <f>0.0344827586206896*0.415991521095151</f>
        <v>1.4344535210177596E-2</v>
      </c>
      <c r="I7986">
        <v>1.434453521017765E-2</v>
      </c>
    </row>
    <row r="7987" spans="1:9" x14ac:dyDescent="0.25">
      <c r="A7987">
        <v>364</v>
      </c>
      <c r="B7987" t="s">
        <v>2715</v>
      </c>
      <c r="C7987" t="s">
        <v>10</v>
      </c>
      <c r="D7987" t="s">
        <v>21</v>
      </c>
      <c r="E7987">
        <f>1/29</f>
        <v>3.4482758620689655E-2</v>
      </c>
      <c r="F7987">
        <v>14</v>
      </c>
      <c r="G7987">
        <f>LOG(382/(14+1))</f>
        <v>1.4059721038560276</v>
      </c>
      <c r="H7987">
        <f>0.0344827586206896*3.23737040750436</f>
        <v>0.11163346232773637</v>
      </c>
      <c r="I7987">
        <v>0.1116334623277367</v>
      </c>
    </row>
    <row r="7988" spans="1:9" x14ac:dyDescent="0.25">
      <c r="A7988">
        <v>364</v>
      </c>
      <c r="B7988" t="s">
        <v>2715</v>
      </c>
      <c r="C7988" t="s">
        <v>10</v>
      </c>
      <c r="D7988" t="s">
        <v>22</v>
      </c>
      <c r="E7988">
        <f>1/29</f>
        <v>3.4482758620689655E-2</v>
      </c>
      <c r="F7988">
        <v>259</v>
      </c>
      <c r="G7988">
        <f>LOG(382/(259+1))</f>
        <v>0.16709001494089079</v>
      </c>
      <c r="H7988">
        <f>0.0344827586206896*0.384738977591047</f>
        <v>1.3266861296242979E-2</v>
      </c>
      <c r="I7988">
        <v>1.3266861296243019E-2</v>
      </c>
    </row>
    <row r="7989" spans="1:9" x14ac:dyDescent="0.25">
      <c r="A7989">
        <v>364</v>
      </c>
      <c r="B7989" t="s">
        <v>2715</v>
      </c>
      <c r="C7989" t="s">
        <v>10</v>
      </c>
      <c r="D7989" t="s">
        <v>23</v>
      </c>
      <c r="E7989">
        <f>1/29</f>
        <v>3.4482758620689655E-2</v>
      </c>
      <c r="F7989">
        <v>275</v>
      </c>
      <c r="G7989">
        <f>LOG(382/(275+1))</f>
        <v>0.14115428084649101</v>
      </c>
      <c r="H7989">
        <f>0.0344827586206896*0.325019742889425</f>
        <v>1.1207577341014636E-2</v>
      </c>
      <c r="I7989">
        <v>1.1207577341014661E-2</v>
      </c>
    </row>
    <row r="7990" spans="1:9" x14ac:dyDescent="0.25">
      <c r="A7990">
        <v>364</v>
      </c>
      <c r="B7990" t="s">
        <v>2715</v>
      </c>
      <c r="C7990" t="s">
        <v>10</v>
      </c>
      <c r="D7990" t="s">
        <v>725</v>
      </c>
      <c r="E7990">
        <f>2/29</f>
        <v>6.8965517241379309E-2</v>
      </c>
      <c r="F7990">
        <v>12</v>
      </c>
      <c r="G7990">
        <f>LOG(382/(12+1))</f>
        <v>1.468120010604872</v>
      </c>
      <c r="H7990">
        <f>0.0689655172413793*3.38047125114503</f>
        <v>0.23313594835482962</v>
      </c>
      <c r="I7990">
        <v>0.2331359483548302</v>
      </c>
    </row>
    <row r="7991" spans="1:9" x14ac:dyDescent="0.25">
      <c r="A7991">
        <v>364</v>
      </c>
      <c r="B7991" t="s">
        <v>2715</v>
      </c>
      <c r="C7991" t="s">
        <v>10</v>
      </c>
      <c r="D7991" t="s">
        <v>2719</v>
      </c>
      <c r="E7991">
        <f>2/29</f>
        <v>6.8965517241379309E-2</v>
      </c>
      <c r="F7991">
        <v>3</v>
      </c>
      <c r="G7991">
        <f>LOG(382/(3+1))</f>
        <v>1.9800033715837464</v>
      </c>
      <c r="H7991">
        <f>0.0689655172413793*4.55912624748668</f>
        <v>0.31442249982666753</v>
      </c>
      <c r="I7991">
        <v>0.31442249982666792</v>
      </c>
    </row>
    <row r="7992" spans="1:9" x14ac:dyDescent="0.25">
      <c r="A7992">
        <v>364</v>
      </c>
      <c r="B7992" t="s">
        <v>2715</v>
      </c>
      <c r="C7992" t="s">
        <v>10</v>
      </c>
      <c r="D7992" t="s">
        <v>1478</v>
      </c>
      <c r="E7992">
        <f t="shared" ref="E7992:E7998" si="363">1/29</f>
        <v>3.4482758620689655E-2</v>
      </c>
      <c r="F7992">
        <v>17</v>
      </c>
      <c r="G7992">
        <f>LOG(382/(17+1))</f>
        <v>1.3267908578084027</v>
      </c>
      <c r="H7992">
        <f>0.0344827586206896*3.05504885071041</f>
        <v>0.10534651209346224</v>
      </c>
      <c r="I7992">
        <v>0.10534651209346239</v>
      </c>
    </row>
    <row r="7993" spans="1:9" x14ac:dyDescent="0.25">
      <c r="A7993">
        <v>364</v>
      </c>
      <c r="B7993" t="s">
        <v>2715</v>
      </c>
      <c r="C7993" t="s">
        <v>10</v>
      </c>
      <c r="D7993" t="s">
        <v>2720</v>
      </c>
      <c r="E7993">
        <f t="shared" si="363"/>
        <v>3.4482758620689655E-2</v>
      </c>
      <c r="F7993">
        <v>1</v>
      </c>
      <c r="G7993">
        <f>LOG(382/(1+1))</f>
        <v>2.2810333672477277</v>
      </c>
      <c r="H7993">
        <f>0.0344827586206896*5.25227342804663</f>
        <v>0.18111287682919383</v>
      </c>
      <c r="I7993">
        <v>0.18111287682919411</v>
      </c>
    </row>
    <row r="7994" spans="1:9" x14ac:dyDescent="0.25">
      <c r="A7994">
        <v>364</v>
      </c>
      <c r="B7994" t="s">
        <v>2715</v>
      </c>
      <c r="C7994" t="s">
        <v>10</v>
      </c>
      <c r="D7994" t="s">
        <v>779</v>
      </c>
      <c r="E7994">
        <f t="shared" si="363"/>
        <v>3.4482758620689655E-2</v>
      </c>
      <c r="F7994">
        <v>25</v>
      </c>
      <c r="G7994">
        <f>LOG(382/(25+1))</f>
        <v>1.1670900149408907</v>
      </c>
      <c r="H7994">
        <f>0.0344827586206896*2.68732407058509</f>
        <v>9.2666347261554677E-2</v>
      </c>
      <c r="I7994">
        <v>9.2666347261554941E-2</v>
      </c>
    </row>
    <row r="7995" spans="1:9" x14ac:dyDescent="0.25">
      <c r="A7995">
        <v>364</v>
      </c>
      <c r="B7995" t="s">
        <v>2715</v>
      </c>
      <c r="C7995" t="s">
        <v>10</v>
      </c>
      <c r="D7995" t="s">
        <v>913</v>
      </c>
      <c r="E7995">
        <f t="shared" si="363"/>
        <v>3.4482758620689655E-2</v>
      </c>
      <c r="F7995">
        <v>14</v>
      </c>
      <c r="G7995">
        <f>LOG(382/(14+1))</f>
        <v>1.4059721038560276</v>
      </c>
      <c r="H7995">
        <f>0.0344827586206896*3.23737040750436</f>
        <v>0.11163346232773637</v>
      </c>
      <c r="I7995">
        <v>0.1116334623277367</v>
      </c>
    </row>
    <row r="7996" spans="1:9" x14ac:dyDescent="0.25">
      <c r="A7996">
        <v>364</v>
      </c>
      <c r="B7996" t="s">
        <v>2715</v>
      </c>
      <c r="C7996" t="s">
        <v>10</v>
      </c>
      <c r="D7996" t="s">
        <v>929</v>
      </c>
      <c r="E7996">
        <f t="shared" si="363"/>
        <v>3.4482758620689655E-2</v>
      </c>
      <c r="F7996">
        <v>32</v>
      </c>
      <c r="G7996">
        <f>LOG(382/(32+1))</f>
        <v>1.0635494230338212</v>
      </c>
      <c r="H7996">
        <f>0.0344827586206896*2.44891304714009</f>
        <v>8.4445277487589177E-2</v>
      </c>
      <c r="I7996">
        <v>8.4445277487589482E-2</v>
      </c>
    </row>
    <row r="7997" spans="1:9" x14ac:dyDescent="0.25">
      <c r="A7997">
        <v>364</v>
      </c>
      <c r="B7997" t="s">
        <v>2715</v>
      </c>
      <c r="C7997" t="s">
        <v>10</v>
      </c>
      <c r="D7997" t="s">
        <v>2721</v>
      </c>
      <c r="E7997">
        <f t="shared" si="363"/>
        <v>3.4482758620689655E-2</v>
      </c>
      <c r="F7997">
        <v>2</v>
      </c>
      <c r="G7997">
        <f>LOG(382/(2+1))</f>
        <v>2.1049421081920463</v>
      </c>
      <c r="H7997">
        <f>0.0344827586206896*4.84680831993846</f>
        <v>0.167131321377188</v>
      </c>
      <c r="I7997">
        <v>0.16713132137718839</v>
      </c>
    </row>
    <row r="7998" spans="1:9" x14ac:dyDescent="0.25">
      <c r="A7998">
        <v>364</v>
      </c>
      <c r="B7998" t="s">
        <v>2715</v>
      </c>
      <c r="C7998" t="s">
        <v>10</v>
      </c>
      <c r="D7998" t="s">
        <v>432</v>
      </c>
      <c r="E7998">
        <f t="shared" si="363"/>
        <v>3.4482758620689655E-2</v>
      </c>
      <c r="F7998">
        <v>67</v>
      </c>
      <c r="G7998">
        <f>LOG(382/(67+1))</f>
        <v>0.7495544502054724</v>
      </c>
      <c r="H7998">
        <f>0.0344827586206896*1.72591290343046</f>
        <v>5.9514238049326117E-2</v>
      </c>
      <c r="I7998">
        <v>5.9514238049326491E-2</v>
      </c>
    </row>
    <row r="7999" spans="1:9" x14ac:dyDescent="0.25">
      <c r="A7999">
        <v>366</v>
      </c>
      <c r="B7999" t="s">
        <v>2722</v>
      </c>
      <c r="C7999" t="s">
        <v>10</v>
      </c>
      <c r="D7999" t="s">
        <v>36</v>
      </c>
      <c r="E7999">
        <f>3/19</f>
        <v>0.15789473684210525</v>
      </c>
      <c r="F7999">
        <v>58</v>
      </c>
      <c r="G7999">
        <f>LOG(382/(58+1))</f>
        <v>0.81121135126956456</v>
      </c>
      <c r="H7999">
        <f>0.157894736842105*1.86788316470085</f>
        <v>0.29492892074223898</v>
      </c>
      <c r="I7999">
        <v>0.29492892074224042</v>
      </c>
    </row>
    <row r="8000" spans="1:9" x14ac:dyDescent="0.25">
      <c r="A8000">
        <v>366</v>
      </c>
      <c r="B8000" t="s">
        <v>2722</v>
      </c>
      <c r="C8000" t="s">
        <v>10</v>
      </c>
      <c r="D8000" t="s">
        <v>1302</v>
      </c>
      <c r="E8000">
        <f t="shared" ref="E8000:E8015" si="364">1/19</f>
        <v>5.2631578947368418E-2</v>
      </c>
      <c r="F8000">
        <v>4</v>
      </c>
      <c r="G8000">
        <f>LOG(382/(4+1))</f>
        <v>1.8830933585756899</v>
      </c>
      <c r="H8000">
        <f>0.0526315789473684*4.33598269617247</f>
        <v>0.22820961558802466</v>
      </c>
      <c r="I8000">
        <v>0.22820961558802499</v>
      </c>
    </row>
    <row r="8001" spans="1:9" x14ac:dyDescent="0.25">
      <c r="A8001">
        <v>366</v>
      </c>
      <c r="B8001" t="s">
        <v>2722</v>
      </c>
      <c r="C8001" t="s">
        <v>10</v>
      </c>
      <c r="D8001" t="s">
        <v>2723</v>
      </c>
      <c r="E8001">
        <f t="shared" si="364"/>
        <v>5.2631578947368418E-2</v>
      </c>
      <c r="F8001">
        <v>1</v>
      </c>
      <c r="G8001">
        <f>LOG(382/(1+1))</f>
        <v>2.2810333672477277</v>
      </c>
      <c r="H8001">
        <f>0.0526315789473684*5.25227342804663</f>
        <v>0.27643544358140143</v>
      </c>
      <c r="I8001">
        <v>0.27643544358140149</v>
      </c>
    </row>
    <row r="8002" spans="1:9" x14ac:dyDescent="0.25">
      <c r="A8002">
        <v>366</v>
      </c>
      <c r="B8002" t="s">
        <v>2722</v>
      </c>
      <c r="C8002" t="s">
        <v>10</v>
      </c>
      <c r="D8002" t="s">
        <v>38</v>
      </c>
      <c r="E8002">
        <f t="shared" si="364"/>
        <v>5.2631578947368418E-2</v>
      </c>
      <c r="F8002">
        <v>86</v>
      </c>
      <c r="G8002">
        <f>LOG(382/(86+1))</f>
        <v>0.64254411029309022</v>
      </c>
      <c r="H8002">
        <f>0.0526315789473684*1.47951248995199</f>
        <v>7.786907841852575E-2</v>
      </c>
      <c r="I8002">
        <v>7.7869078418525861E-2</v>
      </c>
    </row>
    <row r="8003" spans="1:9" x14ac:dyDescent="0.25">
      <c r="A8003">
        <v>366</v>
      </c>
      <c r="B8003" t="s">
        <v>2722</v>
      </c>
      <c r="C8003" t="s">
        <v>10</v>
      </c>
      <c r="D8003" t="s">
        <v>42</v>
      </c>
      <c r="E8003">
        <f t="shared" si="364"/>
        <v>5.2631578947368418E-2</v>
      </c>
      <c r="F8003">
        <v>251</v>
      </c>
      <c r="G8003">
        <f>LOG(382/(251+1))</f>
        <v>0.18066282213016463</v>
      </c>
      <c r="H8003">
        <f>0.0526315789473684*0.415991521095151</f>
        <v>2.1894290583955305E-2</v>
      </c>
      <c r="I8003">
        <v>2.189429058395536E-2</v>
      </c>
    </row>
    <row r="8004" spans="1:9" x14ac:dyDescent="0.25">
      <c r="A8004">
        <v>366</v>
      </c>
      <c r="B8004" t="s">
        <v>2722</v>
      </c>
      <c r="C8004" t="s">
        <v>10</v>
      </c>
      <c r="D8004" t="s">
        <v>2724</v>
      </c>
      <c r="E8004">
        <f t="shared" si="364"/>
        <v>5.2631578947368418E-2</v>
      </c>
      <c r="F8004">
        <v>1</v>
      </c>
      <c r="G8004">
        <f>LOG(382/(1+1))</f>
        <v>2.2810333672477277</v>
      </c>
      <c r="H8004">
        <f>0.0526315789473684*5.25227342804663</f>
        <v>0.27643544358140143</v>
      </c>
      <c r="I8004">
        <v>0.27643544358140149</v>
      </c>
    </row>
    <row r="8005" spans="1:9" x14ac:dyDescent="0.25">
      <c r="A8005">
        <v>366</v>
      </c>
      <c r="B8005" t="s">
        <v>2722</v>
      </c>
      <c r="C8005" t="s">
        <v>10</v>
      </c>
      <c r="D8005" t="s">
        <v>18</v>
      </c>
      <c r="E8005">
        <f t="shared" si="364"/>
        <v>5.2631578947368418E-2</v>
      </c>
      <c r="F8005">
        <v>7</v>
      </c>
      <c r="G8005">
        <f>LOG(382/(7+1))</f>
        <v>1.6789733759197651</v>
      </c>
      <c r="H8005">
        <f>0.0526315789473684*3.86597906692673</f>
        <v>0.2034725824698278</v>
      </c>
      <c r="I8005">
        <v>0.20347258246982841</v>
      </c>
    </row>
    <row r="8006" spans="1:9" x14ac:dyDescent="0.25">
      <c r="A8006">
        <v>366</v>
      </c>
      <c r="B8006" t="s">
        <v>2722</v>
      </c>
      <c r="C8006" t="s">
        <v>10</v>
      </c>
      <c r="D8006" t="s">
        <v>20</v>
      </c>
      <c r="E8006">
        <f t="shared" si="364"/>
        <v>5.2631578947368418E-2</v>
      </c>
      <c r="F8006">
        <v>19</v>
      </c>
      <c r="G8006">
        <f>LOG(382/(19+1))</f>
        <v>1.2810333672477277</v>
      </c>
      <c r="H8006">
        <f>0.0526315789473684*2.94968833505258</f>
        <v>0.1552467544764515</v>
      </c>
      <c r="I8006">
        <v>0.15524675447645181</v>
      </c>
    </row>
    <row r="8007" spans="1:9" x14ac:dyDescent="0.25">
      <c r="A8007">
        <v>366</v>
      </c>
      <c r="B8007" t="s">
        <v>2722</v>
      </c>
      <c r="C8007" t="s">
        <v>10</v>
      </c>
      <c r="D8007" t="s">
        <v>21</v>
      </c>
      <c r="E8007">
        <f t="shared" si="364"/>
        <v>5.2631578947368418E-2</v>
      </c>
      <c r="F8007">
        <v>14</v>
      </c>
      <c r="G8007">
        <f>LOG(382/(14+1))</f>
        <v>1.4059721038560276</v>
      </c>
      <c r="H8007">
        <f>0.0526315789473684*3.23737040750436</f>
        <v>0.17038791618443991</v>
      </c>
      <c r="I8007">
        <v>0.1703879161844403</v>
      </c>
    </row>
    <row r="8008" spans="1:9" x14ac:dyDescent="0.25">
      <c r="A8008">
        <v>366</v>
      </c>
      <c r="B8008" t="s">
        <v>2722</v>
      </c>
      <c r="C8008" t="s">
        <v>10</v>
      </c>
      <c r="D8008" t="s">
        <v>22</v>
      </c>
      <c r="E8008">
        <f t="shared" si="364"/>
        <v>5.2631578947368418E-2</v>
      </c>
      <c r="F8008">
        <v>259</v>
      </c>
      <c r="G8008">
        <f>LOG(382/(259+1))</f>
        <v>0.16709001494089079</v>
      </c>
      <c r="H8008">
        <f>0.0526315789473684*0.384738977591047</f>
        <v>2.0249419873212993E-2</v>
      </c>
      <c r="I8008">
        <v>2.0249419873213031E-2</v>
      </c>
    </row>
    <row r="8009" spans="1:9" x14ac:dyDescent="0.25">
      <c r="A8009">
        <v>366</v>
      </c>
      <c r="B8009" t="s">
        <v>2722</v>
      </c>
      <c r="C8009" t="s">
        <v>10</v>
      </c>
      <c r="D8009" t="s">
        <v>23</v>
      </c>
      <c r="E8009">
        <f t="shared" si="364"/>
        <v>5.2631578947368418E-2</v>
      </c>
      <c r="F8009">
        <v>275</v>
      </c>
      <c r="G8009">
        <f>LOG(382/(275+1))</f>
        <v>0.14115428084649101</v>
      </c>
      <c r="H8009">
        <f>0.0526315789473684*0.325019742889425</f>
        <v>1.7106302257338148E-2</v>
      </c>
      <c r="I8009">
        <v>1.7106302257338162E-2</v>
      </c>
    </row>
    <row r="8010" spans="1:9" x14ac:dyDescent="0.25">
      <c r="A8010">
        <v>366</v>
      </c>
      <c r="B8010" t="s">
        <v>2722</v>
      </c>
      <c r="C8010" t="s">
        <v>10</v>
      </c>
      <c r="D8010" t="s">
        <v>25</v>
      </c>
      <c r="E8010">
        <f t="shared" si="364"/>
        <v>5.2631578947368418E-2</v>
      </c>
      <c r="F8010">
        <v>106</v>
      </c>
      <c r="G8010">
        <f>LOG(382/(106+1))</f>
        <v>0.55267958522649907</v>
      </c>
      <c r="H8010">
        <f>0.0526315789473684*1.27259177414466</f>
        <v>6.6978514428666286E-2</v>
      </c>
      <c r="I8010">
        <v>6.6978514428666786E-2</v>
      </c>
    </row>
    <row r="8011" spans="1:9" x14ac:dyDescent="0.25">
      <c r="A8011">
        <v>366</v>
      </c>
      <c r="B8011" t="s">
        <v>2722</v>
      </c>
      <c r="C8011" t="s">
        <v>10</v>
      </c>
      <c r="D8011" t="s">
        <v>26</v>
      </c>
      <c r="E8011">
        <f t="shared" si="364"/>
        <v>5.2631578947368418E-2</v>
      </c>
      <c r="F8011">
        <v>40</v>
      </c>
      <c r="G8011">
        <f>LOG(382/(40+1))</f>
        <v>0.96927950619197323</v>
      </c>
      <c r="H8011">
        <f>0.0526315789473684*2.23184854190226</f>
        <v>0.11746571273169783</v>
      </c>
      <c r="I8011">
        <v>0.1174657127316983</v>
      </c>
    </row>
    <row r="8012" spans="1:9" x14ac:dyDescent="0.25">
      <c r="A8012">
        <v>366</v>
      </c>
      <c r="B8012" t="s">
        <v>2722</v>
      </c>
      <c r="C8012" t="s">
        <v>10</v>
      </c>
      <c r="D8012" t="s">
        <v>2725</v>
      </c>
      <c r="E8012">
        <f t="shared" si="364"/>
        <v>5.2631578947368418E-2</v>
      </c>
      <c r="F8012">
        <v>2</v>
      </c>
      <c r="G8012">
        <f>LOG(382/(2+1))</f>
        <v>2.1049421081920463</v>
      </c>
      <c r="H8012">
        <f>0.0526315789473684*4.84680831993846</f>
        <v>0.25509517473360305</v>
      </c>
      <c r="I8012">
        <v>0.25509517473360338</v>
      </c>
    </row>
    <row r="8013" spans="1:9" x14ac:dyDescent="0.25">
      <c r="A8013">
        <v>366</v>
      </c>
      <c r="B8013" t="s">
        <v>2722</v>
      </c>
      <c r="C8013" t="s">
        <v>10</v>
      </c>
      <c r="D8013" t="s">
        <v>28</v>
      </c>
      <c r="E8013">
        <f t="shared" si="364"/>
        <v>5.2631578947368418E-2</v>
      </c>
      <c r="F8013">
        <v>35</v>
      </c>
      <c r="G8013">
        <f>LOG(382/(35+1))</f>
        <v>1.0257608621444214</v>
      </c>
      <c r="H8013">
        <f>0.0526315789473684*2.36190167015046</f>
        <v>0.12431061421844521</v>
      </c>
      <c r="I8013">
        <v>0.1243106142184455</v>
      </c>
    </row>
    <row r="8014" spans="1:9" x14ac:dyDescent="0.25">
      <c r="A8014">
        <v>366</v>
      </c>
      <c r="B8014" t="s">
        <v>2722</v>
      </c>
      <c r="C8014" t="s">
        <v>10</v>
      </c>
      <c r="D8014" t="s">
        <v>476</v>
      </c>
      <c r="E8014">
        <f t="shared" si="364"/>
        <v>5.2631578947368418E-2</v>
      </c>
      <c r="F8014">
        <v>18</v>
      </c>
      <c r="G8014">
        <f>LOG(382/(18+1))</f>
        <v>1.3033097619588798</v>
      </c>
      <c r="H8014">
        <f>0.0526315789473684*3.00098162944013</f>
        <v>0.15794640154948048</v>
      </c>
      <c r="I8014">
        <v>0.15794640154948081</v>
      </c>
    </row>
    <row r="8015" spans="1:9" x14ac:dyDescent="0.25">
      <c r="A8015">
        <v>366</v>
      </c>
      <c r="B8015" t="s">
        <v>2722</v>
      </c>
      <c r="C8015" t="s">
        <v>10</v>
      </c>
      <c r="D8015" t="s">
        <v>929</v>
      </c>
      <c r="E8015">
        <f t="shared" si="364"/>
        <v>5.2631578947368418E-2</v>
      </c>
      <c r="F8015">
        <v>32</v>
      </c>
      <c r="G8015">
        <f>LOG(382/(32+1))</f>
        <v>1.0635494230338212</v>
      </c>
      <c r="H8015">
        <f>0.0526315789473684*2.44891304714009</f>
        <v>0.12889016037579415</v>
      </c>
      <c r="I8015">
        <v>0.12889016037579451</v>
      </c>
    </row>
    <row r="8016" spans="1:9" x14ac:dyDescent="0.25">
      <c r="A8016">
        <v>367</v>
      </c>
      <c r="B8016" t="s">
        <v>2726</v>
      </c>
      <c r="C8016" t="s">
        <v>48</v>
      </c>
      <c r="D8016" t="s">
        <v>106</v>
      </c>
      <c r="E8016">
        <f>7/128</f>
        <v>5.46875E-2</v>
      </c>
      <c r="F8016">
        <v>17</v>
      </c>
      <c r="G8016">
        <f>LOG(382/(17+1))</f>
        <v>1.3267908578084027</v>
      </c>
      <c r="H8016">
        <f>0.0546875*3.05504885071041</f>
        <v>0.16707298402322554</v>
      </c>
      <c r="I8016">
        <v>0.1670729840232256</v>
      </c>
    </row>
    <row r="8017" spans="1:9" x14ac:dyDescent="0.25">
      <c r="A8017">
        <v>367</v>
      </c>
      <c r="B8017" t="s">
        <v>2726</v>
      </c>
      <c r="C8017" t="s">
        <v>48</v>
      </c>
      <c r="D8017" t="s">
        <v>576</v>
      </c>
      <c r="E8017">
        <f>6/128</f>
        <v>4.6875E-2</v>
      </c>
      <c r="F8017">
        <v>5</v>
      </c>
      <c r="G8017">
        <f>LOG(382/(5+1))</f>
        <v>1.803912112528065</v>
      </c>
      <c r="H8017">
        <f>0.046875*4.15366113937852</f>
        <v>0.19470286590836811</v>
      </c>
      <c r="I8017">
        <v>0.19470286590836811</v>
      </c>
    </row>
    <row r="8018" spans="1:9" x14ac:dyDescent="0.25">
      <c r="A8018">
        <v>367</v>
      </c>
      <c r="B8018" t="s">
        <v>2726</v>
      </c>
      <c r="C8018" t="s">
        <v>48</v>
      </c>
      <c r="D8018" t="s">
        <v>2727</v>
      </c>
      <c r="E8018">
        <f>1/128</f>
        <v>7.8125E-3</v>
      </c>
      <c r="F8018">
        <v>1</v>
      </c>
      <c r="G8018">
        <f>LOG(382/(1+1))</f>
        <v>2.2810333672477277</v>
      </c>
      <c r="H8018">
        <f>0.0078125*5.25227342804663</f>
        <v>4.1033386156614296E-2</v>
      </c>
      <c r="I8018">
        <v>4.1033386156614303E-2</v>
      </c>
    </row>
    <row r="8019" spans="1:9" x14ac:dyDescent="0.25">
      <c r="A8019">
        <v>367</v>
      </c>
      <c r="B8019" t="s">
        <v>2726</v>
      </c>
      <c r="C8019" t="s">
        <v>48</v>
      </c>
      <c r="D8019" t="s">
        <v>603</v>
      </c>
      <c r="E8019">
        <f>7/128</f>
        <v>5.46875E-2</v>
      </c>
      <c r="F8019">
        <v>4</v>
      </c>
      <c r="G8019">
        <f>LOG(382/(4+1))</f>
        <v>1.8830933585756899</v>
      </c>
      <c r="H8019">
        <f>0.0546875*4.33598269617247</f>
        <v>0.23712405369693196</v>
      </c>
      <c r="I8019">
        <v>0.23712405369693221</v>
      </c>
    </row>
    <row r="8020" spans="1:9" x14ac:dyDescent="0.25">
      <c r="A8020">
        <v>367</v>
      </c>
      <c r="B8020" t="s">
        <v>2726</v>
      </c>
      <c r="C8020" t="s">
        <v>48</v>
      </c>
      <c r="D8020" t="s">
        <v>2728</v>
      </c>
      <c r="E8020">
        <f>1/128</f>
        <v>7.8125E-3</v>
      </c>
      <c r="F8020">
        <v>1</v>
      </c>
      <c r="G8020">
        <f>LOG(382/(1+1))</f>
        <v>2.2810333672477277</v>
      </c>
      <c r="H8020">
        <f>0.0078125*5.25227342804663</f>
        <v>4.1033386156614296E-2</v>
      </c>
      <c r="I8020">
        <v>4.1033386156614303E-2</v>
      </c>
    </row>
    <row r="8021" spans="1:9" x14ac:dyDescent="0.25">
      <c r="A8021">
        <v>367</v>
      </c>
      <c r="B8021" t="s">
        <v>2726</v>
      </c>
      <c r="C8021" t="s">
        <v>48</v>
      </c>
      <c r="D8021" t="s">
        <v>44</v>
      </c>
      <c r="E8021">
        <f>1/128</f>
        <v>7.8125E-3</v>
      </c>
      <c r="F8021">
        <v>151</v>
      </c>
      <c r="G8021">
        <f>LOG(382/(151+1))</f>
        <v>0.40021977496693617</v>
      </c>
      <c r="H8021">
        <f>0.0078125*0.921540087760298</f>
        <v>7.1995319356273286E-3</v>
      </c>
      <c r="I8021">
        <v>7.1995319356273338E-3</v>
      </c>
    </row>
    <row r="8022" spans="1:9" x14ac:dyDescent="0.25">
      <c r="A8022">
        <v>367</v>
      </c>
      <c r="B8022" t="s">
        <v>2726</v>
      </c>
      <c r="C8022" t="s">
        <v>48</v>
      </c>
      <c r="D8022" t="s">
        <v>22</v>
      </c>
      <c r="E8022">
        <f>2/128</f>
        <v>1.5625E-2</v>
      </c>
      <c r="F8022">
        <v>259</v>
      </c>
      <c r="G8022">
        <f>LOG(382/(259+1))</f>
        <v>0.16709001494089079</v>
      </c>
      <c r="H8022">
        <f>0.015625*0.384738977591047</f>
        <v>6.0115465248601098E-3</v>
      </c>
      <c r="I8022">
        <v>6.0115465248601176E-3</v>
      </c>
    </row>
    <row r="8023" spans="1:9" x14ac:dyDescent="0.25">
      <c r="A8023">
        <v>367</v>
      </c>
      <c r="B8023" t="s">
        <v>2726</v>
      </c>
      <c r="C8023" t="s">
        <v>48</v>
      </c>
      <c r="D8023" t="s">
        <v>23</v>
      </c>
      <c r="E8023">
        <f>2/128</f>
        <v>1.5625E-2</v>
      </c>
      <c r="F8023">
        <v>275</v>
      </c>
      <c r="G8023">
        <f>LOG(382/(275+1))</f>
        <v>0.14115428084649101</v>
      </c>
      <c r="H8023">
        <f>0.015625*0.325019742889425</f>
        <v>5.0784334826472653E-3</v>
      </c>
      <c r="I8023">
        <v>5.0784334826472679E-3</v>
      </c>
    </row>
    <row r="8024" spans="1:9" x14ac:dyDescent="0.25">
      <c r="A8024">
        <v>367</v>
      </c>
      <c r="B8024" t="s">
        <v>2726</v>
      </c>
      <c r="C8024" t="s">
        <v>48</v>
      </c>
      <c r="D8024" t="s">
        <v>2729</v>
      </c>
      <c r="E8024">
        <f>1/128</f>
        <v>7.8125E-3</v>
      </c>
      <c r="F8024">
        <v>2</v>
      </c>
      <c r="G8024">
        <f>LOG(382/(2+1))</f>
        <v>2.1049421081920463</v>
      </c>
      <c r="H8024">
        <f>0.0078125*4.84680831993846</f>
        <v>3.7865689999519218E-2</v>
      </c>
      <c r="I8024">
        <v>3.786568999951926E-2</v>
      </c>
    </row>
    <row r="8025" spans="1:9" x14ac:dyDescent="0.25">
      <c r="A8025">
        <v>367</v>
      </c>
      <c r="B8025" t="s">
        <v>2726</v>
      </c>
      <c r="C8025" t="s">
        <v>48</v>
      </c>
      <c r="D8025" t="s">
        <v>26</v>
      </c>
      <c r="E8025">
        <f>4/128</f>
        <v>3.125E-2</v>
      </c>
      <c r="F8025">
        <v>40</v>
      </c>
      <c r="G8025">
        <f>LOG(382/(40+1))</f>
        <v>0.96927950619197323</v>
      </c>
      <c r="H8025">
        <f>0.03125*2.23184854190226</f>
        <v>6.9745266934445618E-2</v>
      </c>
      <c r="I8025">
        <v>6.9745266934445854E-2</v>
      </c>
    </row>
    <row r="8026" spans="1:9" x14ac:dyDescent="0.25">
      <c r="A8026">
        <v>367</v>
      </c>
      <c r="B8026" t="s">
        <v>2726</v>
      </c>
      <c r="C8026" t="s">
        <v>48</v>
      </c>
      <c r="D8026" t="s">
        <v>582</v>
      </c>
      <c r="E8026">
        <f>2/128</f>
        <v>1.5625E-2</v>
      </c>
      <c r="F8026">
        <v>14</v>
      </c>
      <c r="G8026">
        <f>LOG(382/(14+1))</f>
        <v>1.4059721038560276</v>
      </c>
      <c r="H8026">
        <f>0.015625*3.23737040750436</f>
        <v>5.0583912617255623E-2</v>
      </c>
      <c r="I8026">
        <v>5.0583912617255707E-2</v>
      </c>
    </row>
    <row r="8027" spans="1:9" x14ac:dyDescent="0.25">
      <c r="A8027">
        <v>367</v>
      </c>
      <c r="B8027" t="s">
        <v>2726</v>
      </c>
      <c r="C8027" t="s">
        <v>48</v>
      </c>
      <c r="D8027" t="s">
        <v>579</v>
      </c>
      <c r="E8027">
        <f>2/128</f>
        <v>1.5625E-2</v>
      </c>
      <c r="F8027">
        <v>2</v>
      </c>
      <c r="G8027">
        <f>LOG(382/(2+1))</f>
        <v>2.1049421081920463</v>
      </c>
      <c r="H8027">
        <f>0.015625*4.84680831993846</f>
        <v>7.5731379999038437E-2</v>
      </c>
      <c r="I8027">
        <v>7.573137999903852E-2</v>
      </c>
    </row>
    <row r="8028" spans="1:9" x14ac:dyDescent="0.25">
      <c r="A8028">
        <v>367</v>
      </c>
      <c r="B8028" t="s">
        <v>2726</v>
      </c>
      <c r="C8028" t="s">
        <v>48</v>
      </c>
      <c r="D8028" t="s">
        <v>28</v>
      </c>
      <c r="E8028">
        <f>3/128</f>
        <v>2.34375E-2</v>
      </c>
      <c r="F8028">
        <v>35</v>
      </c>
      <c r="G8028">
        <f>LOG(382/(35+1))</f>
        <v>1.0257608621444214</v>
      </c>
      <c r="H8028">
        <f>0.0234375*2.36190167015046</f>
        <v>5.5357070394151407E-2</v>
      </c>
      <c r="I8028">
        <v>5.5357070394151532E-2</v>
      </c>
    </row>
    <row r="8029" spans="1:9" x14ac:dyDescent="0.25">
      <c r="A8029">
        <v>367</v>
      </c>
      <c r="B8029" t="s">
        <v>2726</v>
      </c>
      <c r="C8029" t="s">
        <v>48</v>
      </c>
      <c r="D8029" t="s">
        <v>822</v>
      </c>
      <c r="E8029">
        <f>3/128</f>
        <v>2.34375E-2</v>
      </c>
      <c r="F8029">
        <v>4</v>
      </c>
      <c r="G8029">
        <f>LOG(382/(4+1))</f>
        <v>1.8830933585756899</v>
      </c>
      <c r="H8029">
        <f>0.0234375*4.33598269617247</f>
        <v>0.10162459444154227</v>
      </c>
      <c r="I8029">
        <v>0.1016245944415424</v>
      </c>
    </row>
    <row r="8030" spans="1:9" x14ac:dyDescent="0.25">
      <c r="A8030">
        <v>367</v>
      </c>
      <c r="B8030" t="s">
        <v>2726</v>
      </c>
      <c r="C8030" t="s">
        <v>48</v>
      </c>
      <c r="D8030" t="s">
        <v>350</v>
      </c>
      <c r="E8030">
        <f>1/128</f>
        <v>7.8125E-3</v>
      </c>
      <c r="F8030">
        <v>5</v>
      </c>
      <c r="G8030">
        <f>LOG(382/(5+1))</f>
        <v>1.803912112528065</v>
      </c>
      <c r="H8030">
        <f>0.0078125*4.15366113937852</f>
        <v>3.2450477651394687E-2</v>
      </c>
      <c r="I8030">
        <v>3.2450477651394687E-2</v>
      </c>
    </row>
    <row r="8031" spans="1:9" x14ac:dyDescent="0.25">
      <c r="A8031">
        <v>367</v>
      </c>
      <c r="B8031" t="s">
        <v>2726</v>
      </c>
      <c r="C8031" t="s">
        <v>48</v>
      </c>
      <c r="D8031" t="s">
        <v>216</v>
      </c>
      <c r="E8031">
        <f>1/128</f>
        <v>7.8125E-3</v>
      </c>
      <c r="F8031">
        <v>63</v>
      </c>
      <c r="G8031">
        <f>LOG(382/(63+1))</f>
        <v>0.7758833889278216</v>
      </c>
      <c r="H8031">
        <f>0.0078125*1.7865375252469</f>
        <v>1.3957324415991406E-2</v>
      </c>
      <c r="I8031">
        <v>1.3957324415991431E-2</v>
      </c>
    </row>
    <row r="8032" spans="1:9" x14ac:dyDescent="0.25">
      <c r="A8032">
        <v>367</v>
      </c>
      <c r="B8032" t="s">
        <v>2726</v>
      </c>
      <c r="C8032" t="s">
        <v>48</v>
      </c>
      <c r="D8032" t="s">
        <v>144</v>
      </c>
      <c r="E8032">
        <f>2/128</f>
        <v>1.5625E-2</v>
      </c>
      <c r="F8032">
        <v>105</v>
      </c>
      <c r="G8032">
        <f>LOG(382/(105+1))</f>
        <v>0.55675749764693849</v>
      </c>
      <c r="H8032">
        <f>0.015625*1.2819815144945</f>
        <v>2.0030961163976561E-2</v>
      </c>
      <c r="I8032">
        <v>2.003096116397669E-2</v>
      </c>
    </row>
    <row r="8033" spans="1:9" x14ac:dyDescent="0.25">
      <c r="A8033">
        <v>367</v>
      </c>
      <c r="B8033" t="s">
        <v>2726</v>
      </c>
      <c r="C8033" t="s">
        <v>48</v>
      </c>
      <c r="D8033" t="s">
        <v>42</v>
      </c>
      <c r="E8033">
        <f>1/128</f>
        <v>7.8125E-3</v>
      </c>
      <c r="F8033">
        <v>251</v>
      </c>
      <c r="G8033">
        <f>LOG(382/(251+1))</f>
        <v>0.18066282213016463</v>
      </c>
      <c r="H8033">
        <f>0.0078125*0.415991521095151</f>
        <v>3.249933758555867E-3</v>
      </c>
      <c r="I8033">
        <v>3.2499337585558739E-3</v>
      </c>
    </row>
    <row r="8034" spans="1:9" x14ac:dyDescent="0.25">
      <c r="A8034">
        <v>367</v>
      </c>
      <c r="B8034" t="s">
        <v>2726</v>
      </c>
      <c r="C8034" t="s">
        <v>48</v>
      </c>
      <c r="D8034" t="s">
        <v>36</v>
      </c>
      <c r="E8034">
        <f>6/128</f>
        <v>4.6875E-2</v>
      </c>
      <c r="F8034">
        <v>58</v>
      </c>
      <c r="G8034">
        <f>LOG(382/(58+1))</f>
        <v>0.81121135126956456</v>
      </c>
      <c r="H8034">
        <f>0.046875*1.86788316470085</f>
        <v>8.7557023345352342E-2</v>
      </c>
      <c r="I8034">
        <v>8.7557023345352605E-2</v>
      </c>
    </row>
    <row r="8035" spans="1:9" x14ac:dyDescent="0.25">
      <c r="A8035">
        <v>367</v>
      </c>
      <c r="B8035" t="s">
        <v>2726</v>
      </c>
      <c r="C8035" t="s">
        <v>48</v>
      </c>
      <c r="D8035" t="s">
        <v>17</v>
      </c>
      <c r="E8035">
        <f t="shared" ref="E8035:E8059" si="365">1/128</f>
        <v>7.8125E-3</v>
      </c>
      <c r="F8035">
        <v>169</v>
      </c>
      <c r="G8035">
        <f>LOG(382/(169+1))</f>
        <v>0.3516144415334348</v>
      </c>
      <c r="H8035">
        <f>0.0078125*0.809622171556313</f>
        <v>6.3251732152836953E-3</v>
      </c>
      <c r="I8035">
        <v>6.3251732152836988E-3</v>
      </c>
    </row>
    <row r="8036" spans="1:9" x14ac:dyDescent="0.25">
      <c r="A8036">
        <v>367</v>
      </c>
      <c r="B8036" t="s">
        <v>2726</v>
      </c>
      <c r="C8036" t="s">
        <v>48</v>
      </c>
      <c r="D8036" t="s">
        <v>2730</v>
      </c>
      <c r="E8036">
        <f t="shared" si="365"/>
        <v>7.8125E-3</v>
      </c>
      <c r="F8036">
        <v>1</v>
      </c>
      <c r="G8036">
        <f>LOG(382/(1+1))</f>
        <v>2.2810333672477277</v>
      </c>
      <c r="H8036">
        <f>0.0078125*5.25227342804663</f>
        <v>4.1033386156614296E-2</v>
      </c>
      <c r="I8036">
        <v>4.1033386156614303E-2</v>
      </c>
    </row>
    <row r="8037" spans="1:9" x14ac:dyDescent="0.25">
      <c r="A8037">
        <v>367</v>
      </c>
      <c r="B8037" t="s">
        <v>2726</v>
      </c>
      <c r="C8037" t="s">
        <v>48</v>
      </c>
      <c r="D8037" t="s">
        <v>19</v>
      </c>
      <c r="E8037">
        <f t="shared" si="365"/>
        <v>7.8125E-3</v>
      </c>
      <c r="F8037">
        <v>220</v>
      </c>
      <c r="G8037">
        <f>LOG(382/(220+1))</f>
        <v>0.23767108922659805</v>
      </c>
      <c r="H8037">
        <f>0.0078125*0.547257907088822</f>
        <v>4.2754523991314223E-3</v>
      </c>
      <c r="I8037">
        <v>4.2754523991314249E-3</v>
      </c>
    </row>
    <row r="8038" spans="1:9" x14ac:dyDescent="0.25">
      <c r="A8038">
        <v>367</v>
      </c>
      <c r="B8038" t="s">
        <v>2726</v>
      </c>
      <c r="C8038" t="s">
        <v>48</v>
      </c>
      <c r="D8038" t="s">
        <v>2506</v>
      </c>
      <c r="E8038">
        <f t="shared" si="365"/>
        <v>7.8125E-3</v>
      </c>
      <c r="F8038">
        <v>4</v>
      </c>
      <c r="G8038">
        <f>LOG(382/(4+1))</f>
        <v>1.8830933585756899</v>
      </c>
      <c r="H8038">
        <f>0.0078125*4.33598269617247</f>
        <v>3.3874864813847425E-2</v>
      </c>
      <c r="I8038">
        <v>3.3874864813847459E-2</v>
      </c>
    </row>
    <row r="8039" spans="1:9" x14ac:dyDescent="0.25">
      <c r="A8039">
        <v>367</v>
      </c>
      <c r="B8039" t="s">
        <v>2726</v>
      </c>
      <c r="C8039" t="s">
        <v>48</v>
      </c>
      <c r="D8039" t="s">
        <v>2731</v>
      </c>
      <c r="E8039">
        <f t="shared" si="365"/>
        <v>7.8125E-3</v>
      </c>
      <c r="F8039">
        <v>1</v>
      </c>
      <c r="G8039">
        <f>LOG(382/(1+1))</f>
        <v>2.2810333672477277</v>
      </c>
      <c r="H8039">
        <f>0.0078125*5.25227342804663</f>
        <v>4.1033386156614296E-2</v>
      </c>
      <c r="I8039">
        <v>4.1033386156614303E-2</v>
      </c>
    </row>
    <row r="8040" spans="1:9" x14ac:dyDescent="0.25">
      <c r="A8040">
        <v>367</v>
      </c>
      <c r="B8040" t="s">
        <v>2726</v>
      </c>
      <c r="C8040" t="s">
        <v>48</v>
      </c>
      <c r="D8040" t="s">
        <v>577</v>
      </c>
      <c r="E8040">
        <f t="shared" si="365"/>
        <v>7.8125E-3</v>
      </c>
      <c r="F8040">
        <v>4</v>
      </c>
      <c r="G8040">
        <f>LOG(382/(4+1))</f>
        <v>1.8830933585756899</v>
      </c>
      <c r="H8040">
        <f>0.0078125*4.33598269617247</f>
        <v>3.3874864813847425E-2</v>
      </c>
      <c r="I8040">
        <v>3.3874864813847459E-2</v>
      </c>
    </row>
    <row r="8041" spans="1:9" x14ac:dyDescent="0.25">
      <c r="A8041">
        <v>367</v>
      </c>
      <c r="B8041" t="s">
        <v>2726</v>
      </c>
      <c r="C8041" t="s">
        <v>48</v>
      </c>
      <c r="D8041" t="s">
        <v>2732</v>
      </c>
      <c r="E8041">
        <f t="shared" si="365"/>
        <v>7.8125E-3</v>
      </c>
      <c r="F8041">
        <v>1</v>
      </c>
      <c r="G8041">
        <f>LOG(382/(1+1))</f>
        <v>2.2810333672477277</v>
      </c>
      <c r="H8041">
        <f>0.0078125*5.25227342804663</f>
        <v>4.1033386156614296E-2</v>
      </c>
      <c r="I8041">
        <v>4.1033386156614303E-2</v>
      </c>
    </row>
    <row r="8042" spans="1:9" x14ac:dyDescent="0.25">
      <c r="A8042">
        <v>367</v>
      </c>
      <c r="B8042" t="s">
        <v>2726</v>
      </c>
      <c r="C8042" t="s">
        <v>48</v>
      </c>
      <c r="D8042" t="s">
        <v>585</v>
      </c>
      <c r="E8042">
        <f t="shared" si="365"/>
        <v>7.8125E-3</v>
      </c>
      <c r="F8042">
        <v>2</v>
      </c>
      <c r="G8042">
        <f>LOG(382/(2+1))</f>
        <v>2.1049421081920463</v>
      </c>
      <c r="H8042">
        <f>0.0078125*4.84680831993846</f>
        <v>3.7865689999519218E-2</v>
      </c>
      <c r="I8042">
        <v>3.786568999951926E-2</v>
      </c>
    </row>
    <row r="8043" spans="1:9" x14ac:dyDescent="0.25">
      <c r="A8043">
        <v>367</v>
      </c>
      <c r="B8043" t="s">
        <v>2726</v>
      </c>
      <c r="C8043" t="s">
        <v>48</v>
      </c>
      <c r="D8043" t="s">
        <v>586</v>
      </c>
      <c r="E8043">
        <f t="shared" si="365"/>
        <v>7.8125E-3</v>
      </c>
      <c r="F8043">
        <v>2</v>
      </c>
      <c r="G8043">
        <f>LOG(382/(2+1))</f>
        <v>2.1049421081920463</v>
      </c>
      <c r="H8043">
        <f>0.0078125*4.84680831993846</f>
        <v>3.7865689999519218E-2</v>
      </c>
      <c r="I8043">
        <v>3.786568999951926E-2</v>
      </c>
    </row>
    <row r="8044" spans="1:9" x14ac:dyDescent="0.25">
      <c r="A8044">
        <v>367</v>
      </c>
      <c r="B8044" t="s">
        <v>2726</v>
      </c>
      <c r="C8044" t="s">
        <v>48</v>
      </c>
      <c r="D8044" t="s">
        <v>587</v>
      </c>
      <c r="E8044">
        <f t="shared" si="365"/>
        <v>7.8125E-3</v>
      </c>
      <c r="F8044">
        <v>2</v>
      </c>
      <c r="G8044">
        <f>LOG(382/(2+1))</f>
        <v>2.1049421081920463</v>
      </c>
      <c r="H8044">
        <f>0.0078125*4.84680831993846</f>
        <v>3.7865689999519218E-2</v>
      </c>
      <c r="I8044">
        <v>3.786568999951926E-2</v>
      </c>
    </row>
    <row r="8045" spans="1:9" x14ac:dyDescent="0.25">
      <c r="A8045">
        <v>367</v>
      </c>
      <c r="B8045" t="s">
        <v>2726</v>
      </c>
      <c r="C8045" t="s">
        <v>48</v>
      </c>
      <c r="D8045" t="s">
        <v>2733</v>
      </c>
      <c r="E8045">
        <f t="shared" si="365"/>
        <v>7.8125E-3</v>
      </c>
      <c r="F8045">
        <v>1</v>
      </c>
      <c r="G8045">
        <f>LOG(382/(1+1))</f>
        <v>2.2810333672477277</v>
      </c>
      <c r="H8045">
        <f>0.0078125*5.25227342804663</f>
        <v>4.1033386156614296E-2</v>
      </c>
      <c r="I8045">
        <v>4.1033386156614303E-2</v>
      </c>
    </row>
    <row r="8046" spans="1:9" x14ac:dyDescent="0.25">
      <c r="A8046">
        <v>367</v>
      </c>
      <c r="B8046" t="s">
        <v>2726</v>
      </c>
      <c r="C8046" t="s">
        <v>48</v>
      </c>
      <c r="D8046" t="s">
        <v>25</v>
      </c>
      <c r="E8046">
        <f t="shared" si="365"/>
        <v>7.8125E-3</v>
      </c>
      <c r="F8046">
        <v>106</v>
      </c>
      <c r="G8046">
        <f>LOG(382/(106+1))</f>
        <v>0.55267958522649907</v>
      </c>
      <c r="H8046">
        <f>0.0078125*1.27259177414466</f>
        <v>9.9421232355051559E-3</v>
      </c>
      <c r="I8046">
        <v>9.9421232355052271E-3</v>
      </c>
    </row>
    <row r="8047" spans="1:9" x14ac:dyDescent="0.25">
      <c r="A8047">
        <v>367</v>
      </c>
      <c r="B8047" t="s">
        <v>2726</v>
      </c>
      <c r="C8047" t="s">
        <v>48</v>
      </c>
      <c r="D8047" t="s">
        <v>589</v>
      </c>
      <c r="E8047">
        <f t="shared" si="365"/>
        <v>7.8125E-3</v>
      </c>
      <c r="F8047">
        <v>12</v>
      </c>
      <c r="G8047">
        <f>LOG(382/(12+1))</f>
        <v>1.468120010604872</v>
      </c>
      <c r="H8047">
        <f>0.0078125*3.38047125114503</f>
        <v>2.6409931649570548E-2</v>
      </c>
      <c r="I8047">
        <v>2.640993164957061E-2</v>
      </c>
    </row>
    <row r="8048" spans="1:9" x14ac:dyDescent="0.25">
      <c r="A8048">
        <v>367</v>
      </c>
      <c r="B8048" t="s">
        <v>2726</v>
      </c>
      <c r="C8048" t="s">
        <v>48</v>
      </c>
      <c r="D8048" t="s">
        <v>2734</v>
      </c>
      <c r="E8048">
        <f t="shared" si="365"/>
        <v>7.8125E-3</v>
      </c>
      <c r="F8048">
        <v>1</v>
      </c>
      <c r="G8048">
        <f>LOG(382/(1+1))</f>
        <v>2.2810333672477277</v>
      </c>
      <c r="H8048">
        <f>0.0078125*5.25227342804663</f>
        <v>4.1033386156614296E-2</v>
      </c>
      <c r="I8048">
        <v>4.1033386156614303E-2</v>
      </c>
    </row>
    <row r="8049" spans="1:9" x14ac:dyDescent="0.25">
      <c r="A8049">
        <v>367</v>
      </c>
      <c r="B8049" t="s">
        <v>2726</v>
      </c>
      <c r="C8049" t="s">
        <v>48</v>
      </c>
      <c r="D8049" t="s">
        <v>2735</v>
      </c>
      <c r="E8049">
        <f t="shared" si="365"/>
        <v>7.8125E-3</v>
      </c>
      <c r="F8049">
        <v>1</v>
      </c>
      <c r="G8049">
        <f>LOG(382/(1+1))</f>
        <v>2.2810333672477277</v>
      </c>
      <c r="H8049">
        <f>0.0078125*5.25227342804663</f>
        <v>4.1033386156614296E-2</v>
      </c>
      <c r="I8049">
        <v>4.1033386156614303E-2</v>
      </c>
    </row>
    <row r="8050" spans="1:9" x14ac:dyDescent="0.25">
      <c r="A8050">
        <v>367</v>
      </c>
      <c r="B8050" t="s">
        <v>2726</v>
      </c>
      <c r="C8050" t="s">
        <v>48</v>
      </c>
      <c r="D8050" t="s">
        <v>60</v>
      </c>
      <c r="E8050">
        <f t="shared" si="365"/>
        <v>7.8125E-3</v>
      </c>
      <c r="F8050">
        <v>24</v>
      </c>
      <c r="G8050">
        <f>LOG(382/(24+1))</f>
        <v>1.1841233542396712</v>
      </c>
      <c r="H8050">
        <f>0.0078125*2.72654478373837</f>
        <v>2.1301131122956014E-2</v>
      </c>
      <c r="I8050">
        <v>2.1301131122956049E-2</v>
      </c>
    </row>
    <row r="8051" spans="1:9" x14ac:dyDescent="0.25">
      <c r="A8051">
        <v>367</v>
      </c>
      <c r="B8051" t="s">
        <v>2726</v>
      </c>
      <c r="C8051" t="s">
        <v>48</v>
      </c>
      <c r="D8051" t="s">
        <v>2736</v>
      </c>
      <c r="E8051">
        <f t="shared" si="365"/>
        <v>7.8125E-3</v>
      </c>
      <c r="F8051">
        <v>1</v>
      </c>
      <c r="G8051">
        <f>LOG(382/(1+1))</f>
        <v>2.2810333672477277</v>
      </c>
      <c r="H8051">
        <f>0.0078125*5.25227342804663</f>
        <v>4.1033386156614296E-2</v>
      </c>
      <c r="I8051">
        <v>4.1033386156614303E-2</v>
      </c>
    </row>
    <row r="8052" spans="1:9" x14ac:dyDescent="0.25">
      <c r="A8052">
        <v>367</v>
      </c>
      <c r="B8052" t="s">
        <v>2726</v>
      </c>
      <c r="C8052" t="s">
        <v>48</v>
      </c>
      <c r="D8052" t="s">
        <v>228</v>
      </c>
      <c r="E8052">
        <f t="shared" si="365"/>
        <v>7.8125E-3</v>
      </c>
      <c r="F8052">
        <v>3</v>
      </c>
      <c r="G8052">
        <f>LOG(382/(3+1))</f>
        <v>1.9800033715837464</v>
      </c>
      <c r="H8052">
        <f>0.0078125*4.55912624748668</f>
        <v>3.5618173808489688E-2</v>
      </c>
      <c r="I8052">
        <v>3.5618173808489723E-2</v>
      </c>
    </row>
    <row r="8053" spans="1:9" x14ac:dyDescent="0.25">
      <c r="A8053">
        <v>367</v>
      </c>
      <c r="B8053" t="s">
        <v>2726</v>
      </c>
      <c r="C8053" t="s">
        <v>48</v>
      </c>
      <c r="D8053" t="s">
        <v>2737</v>
      </c>
      <c r="E8053">
        <f t="shared" si="365"/>
        <v>7.8125E-3</v>
      </c>
      <c r="F8053">
        <v>2</v>
      </c>
      <c r="G8053">
        <f>LOG(382/(2+1))</f>
        <v>2.1049421081920463</v>
      </c>
      <c r="H8053">
        <f>0.0078125*4.84680831993846</f>
        <v>3.7865689999519218E-2</v>
      </c>
      <c r="I8053">
        <v>3.786568999951926E-2</v>
      </c>
    </row>
    <row r="8054" spans="1:9" x14ac:dyDescent="0.25">
      <c r="A8054">
        <v>367</v>
      </c>
      <c r="B8054" t="s">
        <v>2726</v>
      </c>
      <c r="C8054" t="s">
        <v>48</v>
      </c>
      <c r="D8054" t="s">
        <v>540</v>
      </c>
      <c r="E8054">
        <f t="shared" si="365"/>
        <v>7.8125E-3</v>
      </c>
      <c r="F8054">
        <v>5</v>
      </c>
      <c r="G8054">
        <f>LOG(382/(5+1))</f>
        <v>1.803912112528065</v>
      </c>
      <c r="H8054">
        <f>0.0078125*4.15366113937852</f>
        <v>3.2450477651394687E-2</v>
      </c>
      <c r="I8054">
        <v>3.2450477651394687E-2</v>
      </c>
    </row>
    <row r="8055" spans="1:9" x14ac:dyDescent="0.25">
      <c r="A8055">
        <v>367</v>
      </c>
      <c r="B8055" t="s">
        <v>2726</v>
      </c>
      <c r="C8055" t="s">
        <v>48</v>
      </c>
      <c r="D8055" t="s">
        <v>1371</v>
      </c>
      <c r="E8055">
        <f t="shared" si="365"/>
        <v>7.8125E-3</v>
      </c>
      <c r="F8055">
        <v>2</v>
      </c>
      <c r="G8055">
        <f>LOG(382/(2+1))</f>
        <v>2.1049421081920463</v>
      </c>
      <c r="H8055">
        <f>0.0078125*4.84680831993846</f>
        <v>3.7865689999519218E-2</v>
      </c>
      <c r="I8055">
        <v>3.786568999951926E-2</v>
      </c>
    </row>
    <row r="8056" spans="1:9" x14ac:dyDescent="0.25">
      <c r="A8056">
        <v>367</v>
      </c>
      <c r="B8056" t="s">
        <v>2726</v>
      </c>
      <c r="C8056" t="s">
        <v>48</v>
      </c>
      <c r="D8056" t="s">
        <v>1398</v>
      </c>
      <c r="E8056">
        <f t="shared" si="365"/>
        <v>7.8125E-3</v>
      </c>
      <c r="F8056">
        <v>29</v>
      </c>
      <c r="G8056">
        <f>LOG(382/(29+1))</f>
        <v>1.1049421081920463</v>
      </c>
      <c r="H8056">
        <f>0.0078125*2.54422322694442</f>
        <v>1.987674396050328E-2</v>
      </c>
      <c r="I8056">
        <v>1.987674396050328E-2</v>
      </c>
    </row>
    <row r="8057" spans="1:9" x14ac:dyDescent="0.25">
      <c r="A8057">
        <v>367</v>
      </c>
      <c r="B8057" t="s">
        <v>2726</v>
      </c>
      <c r="C8057" t="s">
        <v>48</v>
      </c>
      <c r="D8057" t="s">
        <v>2738</v>
      </c>
      <c r="E8057">
        <f t="shared" si="365"/>
        <v>7.8125E-3</v>
      </c>
      <c r="F8057">
        <v>1</v>
      </c>
      <c r="G8057">
        <f>LOG(382/(1+1))</f>
        <v>2.2810333672477277</v>
      </c>
      <c r="H8057">
        <f>0.0078125*5.25227342804663</f>
        <v>4.1033386156614296E-2</v>
      </c>
      <c r="I8057">
        <v>4.1033386156614303E-2</v>
      </c>
    </row>
    <row r="8058" spans="1:9" x14ac:dyDescent="0.25">
      <c r="A8058">
        <v>367</v>
      </c>
      <c r="B8058" t="s">
        <v>2726</v>
      </c>
      <c r="C8058" t="s">
        <v>48</v>
      </c>
      <c r="D8058" t="s">
        <v>339</v>
      </c>
      <c r="E8058">
        <f t="shared" si="365"/>
        <v>7.8125E-3</v>
      </c>
      <c r="F8058">
        <v>66</v>
      </c>
      <c r="G8058">
        <f>LOG(382/(66+1))</f>
        <v>0.75598856021088234</v>
      </c>
      <c r="H8058">
        <f>0.0078125*1.7407279892156</f>
        <v>1.3599437415746875E-2</v>
      </c>
      <c r="I8058">
        <v>1.359943741574695E-2</v>
      </c>
    </row>
    <row r="8059" spans="1:9" x14ac:dyDescent="0.25">
      <c r="A8059">
        <v>367</v>
      </c>
      <c r="B8059" t="s">
        <v>2726</v>
      </c>
      <c r="C8059" t="s">
        <v>48</v>
      </c>
      <c r="D8059" t="s">
        <v>600</v>
      </c>
      <c r="E8059">
        <f t="shared" si="365"/>
        <v>7.8125E-3</v>
      </c>
      <c r="F8059">
        <v>102</v>
      </c>
      <c r="G8059">
        <f>LOG(382/(102+1))</f>
        <v>0.56922613820653656</v>
      </c>
      <c r="H8059">
        <f>0.0078125*1.31069162037693</f>
        <v>1.0239778284194766E-2</v>
      </c>
      <c r="I8059">
        <v>1.0239778284194839E-2</v>
      </c>
    </row>
    <row r="8060" spans="1:9" x14ac:dyDescent="0.25">
      <c r="A8060">
        <v>367</v>
      </c>
      <c r="B8060" t="s">
        <v>2726</v>
      </c>
      <c r="C8060" t="s">
        <v>48</v>
      </c>
      <c r="D8060" t="s">
        <v>204</v>
      </c>
      <c r="E8060">
        <f>2/128</f>
        <v>1.5625E-2</v>
      </c>
      <c r="F8060">
        <v>166</v>
      </c>
      <c r="G8060">
        <f>LOG(382/(166+1))</f>
        <v>0.35934689176412549</v>
      </c>
      <c r="H8060">
        <f>0.015625*0.82742679618982</f>
        <v>1.2928543690465937E-2</v>
      </c>
      <c r="I8060">
        <v>1.292854369046594E-2</v>
      </c>
    </row>
    <row r="8061" spans="1:9" x14ac:dyDescent="0.25">
      <c r="A8061">
        <v>367</v>
      </c>
      <c r="B8061" t="s">
        <v>2726</v>
      </c>
      <c r="C8061" t="s">
        <v>48</v>
      </c>
      <c r="D8061" t="s">
        <v>76</v>
      </c>
      <c r="E8061">
        <f>3/128</f>
        <v>2.34375E-2</v>
      </c>
      <c r="F8061">
        <v>140</v>
      </c>
      <c r="G8061">
        <f>LOG(382/(140+1))</f>
        <v>0.43284425025632883</v>
      </c>
      <c r="H8061">
        <f>0.0234375*0.996660718228407</f>
        <v>2.3359235583478289E-2</v>
      </c>
      <c r="I8061">
        <v>2.3359235583478289E-2</v>
      </c>
    </row>
    <row r="8062" spans="1:9" x14ac:dyDescent="0.25">
      <c r="A8062">
        <v>367</v>
      </c>
      <c r="B8062" t="s">
        <v>2726</v>
      </c>
      <c r="C8062" t="s">
        <v>48</v>
      </c>
      <c r="D8062" t="s">
        <v>77</v>
      </c>
      <c r="E8062">
        <f>2/128</f>
        <v>1.5625E-2</v>
      </c>
      <c r="F8062">
        <v>148</v>
      </c>
      <c r="G8062">
        <f>LOG(382/(148+1))</f>
        <v>0.40887709449943471</v>
      </c>
      <c r="H8062">
        <f>0.015625*0.941474302661116</f>
        <v>1.4710535979079937E-2</v>
      </c>
      <c r="I8062">
        <v>1.4710535979079941E-2</v>
      </c>
    </row>
    <row r="8063" spans="1:9" x14ac:dyDescent="0.25">
      <c r="A8063">
        <v>367</v>
      </c>
      <c r="B8063" t="s">
        <v>2726</v>
      </c>
      <c r="C8063" t="s">
        <v>48</v>
      </c>
      <c r="D8063" t="s">
        <v>2739</v>
      </c>
      <c r="E8063">
        <f t="shared" ref="E8063:E8082" si="366">1/128</f>
        <v>7.8125E-3</v>
      </c>
      <c r="F8063">
        <v>1</v>
      </c>
      <c r="G8063">
        <f>LOG(382/(1+1))</f>
        <v>2.2810333672477277</v>
      </c>
      <c r="H8063">
        <f>0.0078125*5.25227342804663</f>
        <v>4.1033386156614296E-2</v>
      </c>
      <c r="I8063">
        <v>4.1033386156614303E-2</v>
      </c>
    </row>
    <row r="8064" spans="1:9" x14ac:dyDescent="0.25">
      <c r="A8064">
        <v>367</v>
      </c>
      <c r="B8064" t="s">
        <v>2726</v>
      </c>
      <c r="C8064" t="s">
        <v>48</v>
      </c>
      <c r="D8064" t="s">
        <v>754</v>
      </c>
      <c r="E8064">
        <f t="shared" si="366"/>
        <v>7.8125E-3</v>
      </c>
      <c r="F8064">
        <v>111</v>
      </c>
      <c r="G8064">
        <f>LOG(382/(111+1))</f>
        <v>0.53284534024152708</v>
      </c>
      <c r="H8064">
        <f>0.0078125*1.22692173731148</f>
        <v>9.5853260727459377E-3</v>
      </c>
      <c r="I8064">
        <v>9.5853260727459429E-3</v>
      </c>
    </row>
    <row r="8065" spans="1:9" x14ac:dyDescent="0.25">
      <c r="A8065">
        <v>367</v>
      </c>
      <c r="B8065" t="s">
        <v>2726</v>
      </c>
      <c r="C8065" t="s">
        <v>48</v>
      </c>
      <c r="D8065" t="s">
        <v>2740</v>
      </c>
      <c r="E8065">
        <f t="shared" si="366"/>
        <v>7.8125E-3</v>
      </c>
      <c r="F8065">
        <v>1</v>
      </c>
      <c r="G8065">
        <f>LOG(382/(1+1))</f>
        <v>2.2810333672477277</v>
      </c>
      <c r="H8065">
        <f>0.0078125*5.25227342804663</f>
        <v>4.1033386156614296E-2</v>
      </c>
      <c r="I8065">
        <v>4.1033386156614303E-2</v>
      </c>
    </row>
    <row r="8066" spans="1:9" x14ac:dyDescent="0.25">
      <c r="A8066">
        <v>367</v>
      </c>
      <c r="B8066" t="s">
        <v>2726</v>
      </c>
      <c r="C8066" t="s">
        <v>48</v>
      </c>
      <c r="D8066" t="s">
        <v>123</v>
      </c>
      <c r="E8066">
        <f t="shared" si="366"/>
        <v>7.8125E-3</v>
      </c>
      <c r="F8066">
        <v>74</v>
      </c>
      <c r="G8066">
        <f>LOG(382/(74+1))</f>
        <v>0.7070020995200087</v>
      </c>
      <c r="H8066">
        <f>0.0078125*1.62793249507026</f>
        <v>1.2718222617736407E-2</v>
      </c>
      <c r="I8066">
        <v>1.271822261773644E-2</v>
      </c>
    </row>
    <row r="8067" spans="1:9" x14ac:dyDescent="0.25">
      <c r="A8067">
        <v>367</v>
      </c>
      <c r="B8067" t="s">
        <v>2726</v>
      </c>
      <c r="C8067" t="s">
        <v>48</v>
      </c>
      <c r="D8067" t="s">
        <v>39</v>
      </c>
      <c r="E8067">
        <f t="shared" si="366"/>
        <v>7.8125E-3</v>
      </c>
      <c r="F8067">
        <v>145</v>
      </c>
      <c r="G8067">
        <f>LOG(382/(145+1))</f>
        <v>0.41771050712727159</v>
      </c>
      <c r="H8067">
        <f>0.0078125*0.961813986898238</f>
        <v>7.5141717726424848E-3</v>
      </c>
      <c r="I8067">
        <v>7.51417177264249E-3</v>
      </c>
    </row>
    <row r="8068" spans="1:9" x14ac:dyDescent="0.25">
      <c r="A8068">
        <v>367</v>
      </c>
      <c r="B8068" t="s">
        <v>2726</v>
      </c>
      <c r="C8068" t="s">
        <v>48</v>
      </c>
      <c r="D8068" t="s">
        <v>1545</v>
      </c>
      <c r="E8068">
        <f t="shared" si="366"/>
        <v>7.8125E-3</v>
      </c>
      <c r="F8068">
        <v>5</v>
      </c>
      <c r="G8068">
        <f>LOG(382/(5+1))</f>
        <v>1.803912112528065</v>
      </c>
      <c r="H8068">
        <f>0.0078125*4.15366113937852</f>
        <v>3.2450477651394687E-2</v>
      </c>
      <c r="I8068">
        <v>3.2450477651394687E-2</v>
      </c>
    </row>
    <row r="8069" spans="1:9" x14ac:dyDescent="0.25">
      <c r="A8069">
        <v>367</v>
      </c>
      <c r="B8069" t="s">
        <v>2726</v>
      </c>
      <c r="C8069" t="s">
        <v>48</v>
      </c>
      <c r="D8069" t="s">
        <v>247</v>
      </c>
      <c r="E8069">
        <f t="shared" si="366"/>
        <v>7.8125E-3</v>
      </c>
      <c r="F8069">
        <v>121</v>
      </c>
      <c r="G8069">
        <f>LOG(382/(121+1))</f>
        <v>0.49570353223696051</v>
      </c>
      <c r="H8069">
        <f>0.0078125*1.14139956387331</f>
        <v>8.9171840927602351E-3</v>
      </c>
      <c r="I8069">
        <v>8.9171840927603028E-3</v>
      </c>
    </row>
    <row r="8070" spans="1:9" x14ac:dyDescent="0.25">
      <c r="A8070">
        <v>367</v>
      </c>
      <c r="B8070" t="s">
        <v>2726</v>
      </c>
      <c r="C8070" t="s">
        <v>48</v>
      </c>
      <c r="D8070" t="s">
        <v>2741</v>
      </c>
      <c r="E8070">
        <f t="shared" si="366"/>
        <v>7.8125E-3</v>
      </c>
      <c r="F8070">
        <v>2</v>
      </c>
      <c r="G8070">
        <f>LOG(382/(2+1))</f>
        <v>2.1049421081920463</v>
      </c>
      <c r="H8070">
        <f>0.0078125*4.84680831993846</f>
        <v>3.7865689999519218E-2</v>
      </c>
      <c r="I8070">
        <v>3.786568999951926E-2</v>
      </c>
    </row>
    <row r="8071" spans="1:9" x14ac:dyDescent="0.25">
      <c r="A8071">
        <v>367</v>
      </c>
      <c r="B8071" t="s">
        <v>2726</v>
      </c>
      <c r="C8071" t="s">
        <v>48</v>
      </c>
      <c r="D8071" t="s">
        <v>2742</v>
      </c>
      <c r="E8071">
        <f t="shared" si="366"/>
        <v>7.8125E-3</v>
      </c>
      <c r="F8071">
        <v>1</v>
      </c>
      <c r="G8071">
        <f>LOG(382/(1+1))</f>
        <v>2.2810333672477277</v>
      </c>
      <c r="H8071">
        <f>0.0078125*5.25227342804663</f>
        <v>4.1033386156614296E-2</v>
      </c>
      <c r="I8071">
        <v>4.1033386156614303E-2</v>
      </c>
    </row>
    <row r="8072" spans="1:9" x14ac:dyDescent="0.25">
      <c r="A8072">
        <v>367</v>
      </c>
      <c r="B8072" t="s">
        <v>2726</v>
      </c>
      <c r="C8072" t="s">
        <v>48</v>
      </c>
      <c r="D8072" t="s">
        <v>2743</v>
      </c>
      <c r="E8072">
        <f t="shared" si="366"/>
        <v>7.8125E-3</v>
      </c>
      <c r="F8072">
        <v>1</v>
      </c>
      <c r="G8072">
        <f>LOG(382/(1+1))</f>
        <v>2.2810333672477277</v>
      </c>
      <c r="H8072">
        <f>0.0078125*5.25227342804663</f>
        <v>4.1033386156614296E-2</v>
      </c>
      <c r="I8072">
        <v>4.1033386156614303E-2</v>
      </c>
    </row>
    <row r="8073" spans="1:9" x14ac:dyDescent="0.25">
      <c r="A8073">
        <v>367</v>
      </c>
      <c r="B8073" t="s">
        <v>2726</v>
      </c>
      <c r="C8073" t="s">
        <v>48</v>
      </c>
      <c r="D8073" t="s">
        <v>962</v>
      </c>
      <c r="E8073">
        <f t="shared" si="366"/>
        <v>7.8125E-3</v>
      </c>
      <c r="F8073">
        <v>8</v>
      </c>
      <c r="G8073">
        <f>LOG(382/(8+1))</f>
        <v>1.6278208534723839</v>
      </c>
      <c r="H8073">
        <f>0.0078125*3.74819603127035</f>
        <v>2.9282781494299609E-2</v>
      </c>
      <c r="I8073">
        <v>2.9282781494299651E-2</v>
      </c>
    </row>
    <row r="8074" spans="1:9" x14ac:dyDescent="0.25">
      <c r="A8074">
        <v>367</v>
      </c>
      <c r="B8074" t="s">
        <v>2726</v>
      </c>
      <c r="C8074" t="s">
        <v>48</v>
      </c>
      <c r="D8074" t="s">
        <v>2744</v>
      </c>
      <c r="E8074">
        <f t="shared" si="366"/>
        <v>7.8125E-3</v>
      </c>
      <c r="F8074">
        <v>1</v>
      </c>
      <c r="G8074">
        <f>LOG(382/(1+1))</f>
        <v>2.2810333672477277</v>
      </c>
      <c r="H8074">
        <f>0.0078125*5.25227342804663</f>
        <v>4.1033386156614296E-2</v>
      </c>
      <c r="I8074">
        <v>4.1033386156614303E-2</v>
      </c>
    </row>
    <row r="8075" spans="1:9" x14ac:dyDescent="0.25">
      <c r="A8075">
        <v>367</v>
      </c>
      <c r="B8075" t="s">
        <v>2726</v>
      </c>
      <c r="C8075" t="s">
        <v>48</v>
      </c>
      <c r="D8075" t="s">
        <v>580</v>
      </c>
      <c r="E8075">
        <f t="shared" si="366"/>
        <v>7.8125E-3</v>
      </c>
      <c r="F8075">
        <v>17</v>
      </c>
      <c r="G8075">
        <f>LOG(382/(17+1))</f>
        <v>1.3267908578084027</v>
      </c>
      <c r="H8075">
        <f>0.0078125*3.05504885071041</f>
        <v>2.3867569146175077E-2</v>
      </c>
      <c r="I8075">
        <v>2.3867569146175081E-2</v>
      </c>
    </row>
    <row r="8076" spans="1:9" x14ac:dyDescent="0.25">
      <c r="A8076">
        <v>367</v>
      </c>
      <c r="B8076" t="s">
        <v>2726</v>
      </c>
      <c r="C8076" t="s">
        <v>48</v>
      </c>
      <c r="D8076" t="s">
        <v>487</v>
      </c>
      <c r="E8076">
        <f t="shared" si="366"/>
        <v>7.8125E-3</v>
      </c>
      <c r="F8076">
        <v>32</v>
      </c>
      <c r="G8076">
        <f>LOG(382/(32+1))</f>
        <v>1.0635494230338212</v>
      </c>
      <c r="H8076">
        <f>0.0078125*2.44891304714009</f>
        <v>1.9132133180781954E-2</v>
      </c>
      <c r="I8076">
        <v>1.9132133180781989E-2</v>
      </c>
    </row>
    <row r="8077" spans="1:9" x14ac:dyDescent="0.25">
      <c r="A8077">
        <v>367</v>
      </c>
      <c r="B8077" t="s">
        <v>2726</v>
      </c>
      <c r="C8077" t="s">
        <v>48</v>
      </c>
      <c r="D8077" t="s">
        <v>40</v>
      </c>
      <c r="E8077">
        <f t="shared" si="366"/>
        <v>7.8125E-3</v>
      </c>
      <c r="F8077">
        <v>159</v>
      </c>
      <c r="G8077">
        <f>LOG(382/(159+1))</f>
        <v>0.377943380255784</v>
      </c>
      <c r="H8077">
        <f>0.0078125*0.870246793372748</f>
        <v>6.7988030732245939E-3</v>
      </c>
      <c r="I8077">
        <v>6.7988030732245956E-3</v>
      </c>
    </row>
    <row r="8078" spans="1:9" x14ac:dyDescent="0.25">
      <c r="A8078">
        <v>367</v>
      </c>
      <c r="B8078" t="s">
        <v>2726</v>
      </c>
      <c r="C8078" t="s">
        <v>48</v>
      </c>
      <c r="D8078" t="s">
        <v>41</v>
      </c>
      <c r="E8078">
        <f t="shared" si="366"/>
        <v>7.8125E-3</v>
      </c>
      <c r="F8078">
        <v>195</v>
      </c>
      <c r="G8078">
        <f>LOG(382/(195+1))</f>
        <v>0.28980729155523272</v>
      </c>
      <c r="H8078">
        <f>0.0078125*0.667305949376058</f>
        <v>5.2133277295004533E-3</v>
      </c>
      <c r="I8078">
        <v>5.2133277295004533E-3</v>
      </c>
    </row>
    <row r="8079" spans="1:9" x14ac:dyDescent="0.25">
      <c r="A8079">
        <v>367</v>
      </c>
      <c r="B8079" t="s">
        <v>2726</v>
      </c>
      <c r="C8079" t="s">
        <v>48</v>
      </c>
      <c r="D8079" t="s">
        <v>939</v>
      </c>
      <c r="E8079">
        <f t="shared" si="366"/>
        <v>7.8125E-3</v>
      </c>
      <c r="F8079">
        <v>35</v>
      </c>
      <c r="G8079">
        <f>LOG(382/(35+1))</f>
        <v>1.0257608621444214</v>
      </c>
      <c r="H8079">
        <f>0.0078125*2.36190167015046</f>
        <v>1.8452356798050469E-2</v>
      </c>
      <c r="I8079">
        <v>1.8452356798050511E-2</v>
      </c>
    </row>
    <row r="8080" spans="1:9" x14ac:dyDescent="0.25">
      <c r="A8080">
        <v>367</v>
      </c>
      <c r="B8080" t="s">
        <v>2726</v>
      </c>
      <c r="C8080" t="s">
        <v>48</v>
      </c>
      <c r="D8080" t="s">
        <v>2745</v>
      </c>
      <c r="E8080">
        <f t="shared" si="366"/>
        <v>7.8125E-3</v>
      </c>
      <c r="F8080">
        <v>1</v>
      </c>
      <c r="G8080">
        <f>LOG(382/(1+1))</f>
        <v>2.2810333672477277</v>
      </c>
      <c r="H8080">
        <f>0.0078125*5.25227342804663</f>
        <v>4.1033386156614296E-2</v>
      </c>
      <c r="I8080">
        <v>4.1033386156614303E-2</v>
      </c>
    </row>
    <row r="8081" spans="1:9" x14ac:dyDescent="0.25">
      <c r="A8081">
        <v>367</v>
      </c>
      <c r="B8081" t="s">
        <v>2726</v>
      </c>
      <c r="C8081" t="s">
        <v>48</v>
      </c>
      <c r="D8081" t="s">
        <v>1853</v>
      </c>
      <c r="E8081">
        <f t="shared" si="366"/>
        <v>7.8125E-3</v>
      </c>
      <c r="F8081">
        <v>15</v>
      </c>
      <c r="G8081">
        <f>LOG(382/(15+1))</f>
        <v>1.3779433802557839</v>
      </c>
      <c r="H8081">
        <f>0.0078125*3.17283188636679</f>
        <v>2.4787749112240548E-2</v>
      </c>
      <c r="I8081">
        <v>2.4787749112240579E-2</v>
      </c>
    </row>
    <row r="8082" spans="1:9" x14ac:dyDescent="0.25">
      <c r="A8082">
        <v>367</v>
      </c>
      <c r="B8082" t="s">
        <v>2726</v>
      </c>
      <c r="C8082" t="s">
        <v>48</v>
      </c>
      <c r="D8082" t="s">
        <v>1626</v>
      </c>
      <c r="E8082">
        <f t="shared" si="366"/>
        <v>7.8125E-3</v>
      </c>
      <c r="F8082">
        <v>32</v>
      </c>
      <c r="G8082">
        <f>LOG(382/(32+1))</f>
        <v>1.0635494230338212</v>
      </c>
      <c r="H8082">
        <f>0.0078125*2.44891304714009</f>
        <v>1.9132133180781954E-2</v>
      </c>
      <c r="I8082">
        <v>1.9132133180781989E-2</v>
      </c>
    </row>
    <row r="8083" spans="1:9" x14ac:dyDescent="0.25">
      <c r="A8083">
        <v>367</v>
      </c>
      <c r="B8083" t="s">
        <v>2726</v>
      </c>
      <c r="C8083" t="s">
        <v>48</v>
      </c>
      <c r="D8083" t="s">
        <v>236</v>
      </c>
      <c r="E8083">
        <f>2/128</f>
        <v>1.5625E-2</v>
      </c>
      <c r="F8083">
        <v>87</v>
      </c>
      <c r="G8083">
        <f>LOG(382/(87+1))</f>
        <v>0.63758069076154011</v>
      </c>
      <c r="H8083">
        <f>0.015625*1.46808379412836</f>
        <v>2.2938809283255625E-2</v>
      </c>
      <c r="I8083">
        <v>2.293880928325576E-2</v>
      </c>
    </row>
    <row r="8084" spans="1:9" x14ac:dyDescent="0.25">
      <c r="A8084">
        <v>367</v>
      </c>
      <c r="B8084" t="s">
        <v>2726</v>
      </c>
      <c r="C8084" t="s">
        <v>48</v>
      </c>
      <c r="D8084" t="s">
        <v>693</v>
      </c>
      <c r="E8084">
        <f>2/128</f>
        <v>1.5625E-2</v>
      </c>
      <c r="F8084">
        <v>25</v>
      </c>
      <c r="G8084">
        <f>LOG(382/(25+1))</f>
        <v>1.1670900149408907</v>
      </c>
      <c r="H8084">
        <f>0.015625*2.68732407058509</f>
        <v>4.1989438602892032E-2</v>
      </c>
      <c r="I8084">
        <v>4.198943860289208E-2</v>
      </c>
    </row>
    <row r="8085" spans="1:9" x14ac:dyDescent="0.25">
      <c r="A8085">
        <v>367</v>
      </c>
      <c r="B8085" t="s">
        <v>2726</v>
      </c>
      <c r="C8085" t="s">
        <v>48</v>
      </c>
      <c r="D8085" t="s">
        <v>438</v>
      </c>
      <c r="E8085">
        <f t="shared" ref="E8085:E8103" si="367">1/128</f>
        <v>7.8125E-3</v>
      </c>
      <c r="F8085">
        <v>37</v>
      </c>
      <c r="G8085">
        <f>LOG(382/(37+1))</f>
        <v>1.0022797662948986</v>
      </c>
      <c r="H8085">
        <f>0.0078125*2.30783444888018</f>
        <v>1.8029956631876405E-2</v>
      </c>
      <c r="I8085">
        <v>1.8029956631876481E-2</v>
      </c>
    </row>
    <row r="8086" spans="1:9" x14ac:dyDescent="0.25">
      <c r="A8086">
        <v>367</v>
      </c>
      <c r="B8086" t="s">
        <v>2726</v>
      </c>
      <c r="C8086" t="s">
        <v>48</v>
      </c>
      <c r="D8086" t="s">
        <v>436</v>
      </c>
      <c r="E8086">
        <f t="shared" si="367"/>
        <v>7.8125E-3</v>
      </c>
      <c r="F8086">
        <v>20</v>
      </c>
      <c r="G8086">
        <f>LOG(382/(20+1))</f>
        <v>1.2598440681777894</v>
      </c>
      <c r="H8086">
        <f>0.0078125*2.90089817088315</f>
        <v>2.266326696002461E-2</v>
      </c>
      <c r="I8086">
        <v>2.2663266960024631E-2</v>
      </c>
    </row>
    <row r="8087" spans="1:9" x14ac:dyDescent="0.25">
      <c r="A8087">
        <v>367</v>
      </c>
      <c r="B8087" t="s">
        <v>2726</v>
      </c>
      <c r="C8087" t="s">
        <v>48</v>
      </c>
      <c r="D8087" t="s">
        <v>437</v>
      </c>
      <c r="E8087">
        <f t="shared" si="367"/>
        <v>7.8125E-3</v>
      </c>
      <c r="F8087">
        <v>18</v>
      </c>
      <c r="G8087">
        <f>LOG(382/(18+1))</f>
        <v>1.3033097619588798</v>
      </c>
      <c r="H8087">
        <f>0.0078125*3.00098162944013</f>
        <v>2.3445168980001017E-2</v>
      </c>
      <c r="I8087">
        <v>2.3445168980001051E-2</v>
      </c>
    </row>
    <row r="8088" spans="1:9" x14ac:dyDescent="0.25">
      <c r="A8088">
        <v>367</v>
      </c>
      <c r="B8088" t="s">
        <v>2726</v>
      </c>
      <c r="C8088" t="s">
        <v>48</v>
      </c>
      <c r="D8088" t="s">
        <v>133</v>
      </c>
      <c r="E8088">
        <f t="shared" si="367"/>
        <v>7.8125E-3</v>
      </c>
      <c r="F8088">
        <v>142</v>
      </c>
      <c r="G8088">
        <f>LOG(382/(142+1))</f>
        <v>0.42672732544664693</v>
      </c>
      <c r="H8088">
        <f>0.0078125*0.982575978346667</f>
        <v>7.6763748308333359E-3</v>
      </c>
      <c r="I8088">
        <v>7.6763748308333428E-3</v>
      </c>
    </row>
    <row r="8089" spans="1:9" x14ac:dyDescent="0.25">
      <c r="A8089">
        <v>367</v>
      </c>
      <c r="B8089" t="s">
        <v>2726</v>
      </c>
      <c r="C8089" t="s">
        <v>48</v>
      </c>
      <c r="D8089" t="s">
        <v>2746</v>
      </c>
      <c r="E8089">
        <f t="shared" si="367"/>
        <v>7.8125E-3</v>
      </c>
      <c r="F8089">
        <v>5</v>
      </c>
      <c r="G8089">
        <f>LOG(382/(5+1))</f>
        <v>1.803912112528065</v>
      </c>
      <c r="H8089">
        <f>0.0078125*4.15366113937852</f>
        <v>3.2450477651394687E-2</v>
      </c>
      <c r="I8089">
        <v>3.2450477651394687E-2</v>
      </c>
    </row>
    <row r="8090" spans="1:9" x14ac:dyDescent="0.25">
      <c r="A8090">
        <v>367</v>
      </c>
      <c r="B8090" t="s">
        <v>2726</v>
      </c>
      <c r="C8090" t="s">
        <v>48</v>
      </c>
      <c r="D8090" t="s">
        <v>1181</v>
      </c>
      <c r="E8090">
        <f t="shared" si="367"/>
        <v>7.8125E-3</v>
      </c>
      <c r="F8090">
        <v>11</v>
      </c>
      <c r="G8090">
        <f>LOG(382/(11+1))</f>
        <v>1.5028821168640838</v>
      </c>
      <c r="H8090">
        <f>0.0078125*3.46051395881857</f>
        <v>2.7035265303270078E-2</v>
      </c>
      <c r="I8090">
        <v>2.703526530327012E-2</v>
      </c>
    </row>
    <row r="8091" spans="1:9" x14ac:dyDescent="0.25">
      <c r="A8091">
        <v>367</v>
      </c>
      <c r="B8091" t="s">
        <v>2726</v>
      </c>
      <c r="C8091" t="s">
        <v>48</v>
      </c>
      <c r="D8091" t="s">
        <v>1521</v>
      </c>
      <c r="E8091">
        <f t="shared" si="367"/>
        <v>7.8125E-3</v>
      </c>
      <c r="F8091">
        <v>6</v>
      </c>
      <c r="G8091">
        <f>LOG(382/(6+1))</f>
        <v>1.736965322897452</v>
      </c>
      <c r="H8091">
        <f>0.0078125*3.99951045955126</f>
        <v>3.1246175465244219E-2</v>
      </c>
      <c r="I8091">
        <v>3.124617546524423E-2</v>
      </c>
    </row>
    <row r="8092" spans="1:9" x14ac:dyDescent="0.25">
      <c r="A8092">
        <v>367</v>
      </c>
      <c r="B8092" t="s">
        <v>2726</v>
      </c>
      <c r="C8092" t="s">
        <v>48</v>
      </c>
      <c r="D8092" t="s">
        <v>775</v>
      </c>
      <c r="E8092">
        <f t="shared" si="367"/>
        <v>7.8125E-3</v>
      </c>
      <c r="F8092">
        <v>20</v>
      </c>
      <c r="G8092">
        <f>LOG(382/(20+1))</f>
        <v>1.2598440681777894</v>
      </c>
      <c r="H8092">
        <f>0.0078125*2.90089817088315</f>
        <v>2.266326696002461E-2</v>
      </c>
      <c r="I8092">
        <v>2.2663266960024631E-2</v>
      </c>
    </row>
    <row r="8093" spans="1:9" x14ac:dyDescent="0.25">
      <c r="A8093">
        <v>367</v>
      </c>
      <c r="B8093" t="s">
        <v>2726</v>
      </c>
      <c r="C8093" t="s">
        <v>48</v>
      </c>
      <c r="D8093" t="s">
        <v>688</v>
      </c>
      <c r="E8093">
        <f t="shared" si="367"/>
        <v>7.8125E-3</v>
      </c>
      <c r="F8093">
        <v>23</v>
      </c>
      <c r="G8093">
        <f>LOG(382/(23+1))</f>
        <v>1.2018521212001028</v>
      </c>
      <c r="H8093">
        <f>0.0078125*2.76736677825862</f>
        <v>2.162005295514547E-2</v>
      </c>
      <c r="I8093">
        <v>2.162005295514554E-2</v>
      </c>
    </row>
    <row r="8094" spans="1:9" x14ac:dyDescent="0.25">
      <c r="A8094">
        <v>367</v>
      </c>
      <c r="B8094" t="s">
        <v>2726</v>
      </c>
      <c r="C8094" t="s">
        <v>48</v>
      </c>
      <c r="D8094" t="s">
        <v>2747</v>
      </c>
      <c r="E8094">
        <f t="shared" si="367"/>
        <v>7.8125E-3</v>
      </c>
      <c r="F8094">
        <v>2</v>
      </c>
      <c r="G8094">
        <f>LOG(382/(2+1))</f>
        <v>2.1049421081920463</v>
      </c>
      <c r="H8094">
        <f>0.0078125*4.84680831993846</f>
        <v>3.7865689999519218E-2</v>
      </c>
      <c r="I8094">
        <v>3.786568999951926E-2</v>
      </c>
    </row>
    <row r="8095" spans="1:9" x14ac:dyDescent="0.25">
      <c r="A8095">
        <v>367</v>
      </c>
      <c r="B8095" t="s">
        <v>2726</v>
      </c>
      <c r="C8095" t="s">
        <v>48</v>
      </c>
      <c r="D8095" t="s">
        <v>2748</v>
      </c>
      <c r="E8095">
        <f t="shared" si="367"/>
        <v>7.8125E-3</v>
      </c>
      <c r="F8095">
        <v>2</v>
      </c>
      <c r="G8095">
        <f>LOG(382/(2+1))</f>
        <v>2.1049421081920463</v>
      </c>
      <c r="H8095">
        <f>0.0078125*4.84680831993846</f>
        <v>3.7865689999519218E-2</v>
      </c>
      <c r="I8095">
        <v>3.786568999951926E-2</v>
      </c>
    </row>
    <row r="8096" spans="1:9" x14ac:dyDescent="0.25">
      <c r="A8096">
        <v>367</v>
      </c>
      <c r="B8096" t="s">
        <v>2726</v>
      </c>
      <c r="C8096" t="s">
        <v>48</v>
      </c>
      <c r="D8096" t="s">
        <v>1985</v>
      </c>
      <c r="E8096">
        <f t="shared" si="367"/>
        <v>7.8125E-3</v>
      </c>
      <c r="F8096">
        <v>8</v>
      </c>
      <c r="G8096">
        <f>LOG(382/(8+1))</f>
        <v>1.6278208534723839</v>
      </c>
      <c r="H8096">
        <f>0.0078125*3.74819603127035</f>
        <v>2.9282781494299609E-2</v>
      </c>
      <c r="I8096">
        <v>2.9282781494299651E-2</v>
      </c>
    </row>
    <row r="8097" spans="1:9" x14ac:dyDescent="0.25">
      <c r="A8097">
        <v>367</v>
      </c>
      <c r="B8097" t="s">
        <v>2726</v>
      </c>
      <c r="C8097" t="s">
        <v>48</v>
      </c>
      <c r="D8097" t="s">
        <v>388</v>
      </c>
      <c r="E8097">
        <f t="shared" si="367"/>
        <v>7.8125E-3</v>
      </c>
      <c r="F8097">
        <v>44</v>
      </c>
      <c r="G8097">
        <f>LOG(382/(44+1))</f>
        <v>0.92885084913636506</v>
      </c>
      <c r="H8097">
        <f>0.0078125*2.13875811883625</f>
        <v>1.6709047803408202E-2</v>
      </c>
      <c r="I8097">
        <v>1.670904780340824E-2</v>
      </c>
    </row>
    <row r="8098" spans="1:9" x14ac:dyDescent="0.25">
      <c r="A8098">
        <v>367</v>
      </c>
      <c r="B8098" t="s">
        <v>2726</v>
      </c>
      <c r="C8098" t="s">
        <v>48</v>
      </c>
      <c r="D8098" t="s">
        <v>338</v>
      </c>
      <c r="E8098">
        <f t="shared" si="367"/>
        <v>7.8125E-3</v>
      </c>
      <c r="F8098">
        <v>54</v>
      </c>
      <c r="G8098">
        <f>LOG(382/(54+1))</f>
        <v>0.84170067341746491</v>
      </c>
      <c r="H8098">
        <f>0.0078125*1.9380874233741</f>
        <v>1.5141307995110155E-2</v>
      </c>
      <c r="I8098">
        <v>1.514130799511019E-2</v>
      </c>
    </row>
    <row r="8099" spans="1:9" x14ac:dyDescent="0.25">
      <c r="A8099">
        <v>367</v>
      </c>
      <c r="B8099" t="s">
        <v>2726</v>
      </c>
      <c r="C8099" t="s">
        <v>48</v>
      </c>
      <c r="D8099" t="s">
        <v>243</v>
      </c>
      <c r="E8099">
        <f t="shared" si="367"/>
        <v>7.8125E-3</v>
      </c>
      <c r="F8099">
        <v>131</v>
      </c>
      <c r="G8099">
        <f>LOG(382/(131+1))</f>
        <v>0.46148943170585888</v>
      </c>
      <c r="H8099">
        <f>0.0078125*1.0626186860202</f>
        <v>8.3017084845328128E-3</v>
      </c>
      <c r="I8099">
        <v>8.3017084845328458E-3</v>
      </c>
    </row>
    <row r="8100" spans="1:9" x14ac:dyDescent="0.25">
      <c r="A8100">
        <v>367</v>
      </c>
      <c r="B8100" t="s">
        <v>2726</v>
      </c>
      <c r="C8100" t="s">
        <v>48</v>
      </c>
      <c r="D8100" t="s">
        <v>237</v>
      </c>
      <c r="E8100">
        <f t="shared" si="367"/>
        <v>7.8125E-3</v>
      </c>
      <c r="F8100">
        <v>138</v>
      </c>
      <c r="G8100">
        <f>LOG(382/(138+1))</f>
        <v>0.43904856265761361</v>
      </c>
      <c r="H8100">
        <f>0.0078125*1.01094667547588</f>
        <v>7.8980209021553126E-3</v>
      </c>
      <c r="I8100">
        <v>7.8980209021553387E-3</v>
      </c>
    </row>
    <row r="8101" spans="1:9" x14ac:dyDescent="0.25">
      <c r="A8101">
        <v>367</v>
      </c>
      <c r="B8101" t="s">
        <v>2726</v>
      </c>
      <c r="C8101" t="s">
        <v>48</v>
      </c>
      <c r="D8101" t="s">
        <v>881</v>
      </c>
      <c r="E8101">
        <f t="shared" si="367"/>
        <v>7.8125E-3</v>
      </c>
      <c r="F8101">
        <v>15</v>
      </c>
      <c r="G8101">
        <f>LOG(382/(15+1))</f>
        <v>1.3779433802557839</v>
      </c>
      <c r="H8101">
        <f>0.0078125*3.17283188636679</f>
        <v>2.4787749112240548E-2</v>
      </c>
      <c r="I8101">
        <v>2.4787749112240579E-2</v>
      </c>
    </row>
    <row r="8102" spans="1:9" x14ac:dyDescent="0.25">
      <c r="A8102">
        <v>367</v>
      </c>
      <c r="B8102" t="s">
        <v>2726</v>
      </c>
      <c r="C8102" t="s">
        <v>48</v>
      </c>
      <c r="D8102" t="s">
        <v>2749</v>
      </c>
      <c r="E8102">
        <f t="shared" si="367"/>
        <v>7.8125E-3</v>
      </c>
      <c r="F8102">
        <v>1</v>
      </c>
      <c r="G8102">
        <f>LOG(382/(1+1))</f>
        <v>2.2810333672477277</v>
      </c>
      <c r="H8102">
        <f>0.0078125*5.25227342804663</f>
        <v>4.1033386156614296E-2</v>
      </c>
      <c r="I8102">
        <v>4.1033386156614303E-2</v>
      </c>
    </row>
    <row r="8103" spans="1:9" x14ac:dyDescent="0.25">
      <c r="A8103">
        <v>367</v>
      </c>
      <c r="B8103" t="s">
        <v>2726</v>
      </c>
      <c r="C8103" t="s">
        <v>48</v>
      </c>
      <c r="D8103" t="s">
        <v>342</v>
      </c>
      <c r="E8103">
        <f t="shared" si="367"/>
        <v>7.8125E-3</v>
      </c>
      <c r="F8103">
        <v>35</v>
      </c>
      <c r="G8103">
        <f>LOG(382/(35+1))</f>
        <v>1.0257608621444214</v>
      </c>
      <c r="H8103">
        <f>0.0078125*2.36190167015046</f>
        <v>1.8452356798050469E-2</v>
      </c>
      <c r="I8103">
        <v>1.8452356798050511E-2</v>
      </c>
    </row>
    <row r="8104" spans="1:9" x14ac:dyDescent="0.25">
      <c r="A8104">
        <v>368</v>
      </c>
      <c r="B8104" t="s">
        <v>2750</v>
      </c>
      <c r="C8104" t="s">
        <v>10</v>
      </c>
      <c r="D8104" t="s">
        <v>1355</v>
      </c>
      <c r="E8104">
        <f>2/28</f>
        <v>7.1428571428571425E-2</v>
      </c>
      <c r="F8104">
        <v>7</v>
      </c>
      <c r="G8104">
        <f>LOG(382/(7+1))</f>
        <v>1.6789733759197651</v>
      </c>
      <c r="H8104">
        <f>0.0714285714285714*3.86597906692673</f>
        <v>0.27614136192333777</v>
      </c>
      <c r="I8104">
        <v>0.27614136192333849</v>
      </c>
    </row>
    <row r="8105" spans="1:9" x14ac:dyDescent="0.25">
      <c r="A8105">
        <v>368</v>
      </c>
      <c r="B8105" t="s">
        <v>2750</v>
      </c>
      <c r="C8105" t="s">
        <v>10</v>
      </c>
      <c r="D8105" t="s">
        <v>40</v>
      </c>
      <c r="E8105">
        <f>3/28</f>
        <v>0.10714285714285714</v>
      </c>
      <c r="F8105">
        <v>159</v>
      </c>
      <c r="G8105">
        <f>LOG(382/(159+1))</f>
        <v>0.377943380255784</v>
      </c>
      <c r="H8105">
        <f>0.107142857142857*0.870246793372748</f>
        <v>9.3240727861365738E-2</v>
      </c>
      <c r="I8105">
        <v>9.3240727861365891E-2</v>
      </c>
    </row>
    <row r="8106" spans="1:9" x14ac:dyDescent="0.25">
      <c r="A8106">
        <v>368</v>
      </c>
      <c r="B8106" t="s">
        <v>2750</v>
      </c>
      <c r="C8106" t="s">
        <v>10</v>
      </c>
      <c r="D8106" t="s">
        <v>41</v>
      </c>
      <c r="E8106">
        <f>3/28</f>
        <v>0.10714285714285714</v>
      </c>
      <c r="F8106">
        <v>195</v>
      </c>
      <c r="G8106">
        <f>LOG(382/(195+1))</f>
        <v>0.28980729155523272</v>
      </c>
      <c r="H8106">
        <f>0.107142857142857*0.667305949376058</f>
        <v>7.1497066004577545E-2</v>
      </c>
      <c r="I8106">
        <v>7.1497066004577642E-2</v>
      </c>
    </row>
    <row r="8107" spans="1:9" x14ac:dyDescent="0.25">
      <c r="A8107">
        <v>368</v>
      </c>
      <c r="B8107" t="s">
        <v>2750</v>
      </c>
      <c r="C8107" t="s">
        <v>10</v>
      </c>
      <c r="D8107" t="s">
        <v>2751</v>
      </c>
      <c r="E8107">
        <f t="shared" ref="E8107:E8121" si="368">1/28</f>
        <v>3.5714285714285712E-2</v>
      </c>
      <c r="F8107">
        <v>1</v>
      </c>
      <c r="G8107">
        <f>LOG(382/(1+1))</f>
        <v>2.2810333672477277</v>
      </c>
      <c r="H8107">
        <f>0.0357142857142857*5.25227342804663</f>
        <v>0.18758119385880812</v>
      </c>
      <c r="I8107">
        <v>0.1875811938588082</v>
      </c>
    </row>
    <row r="8108" spans="1:9" x14ac:dyDescent="0.25">
      <c r="A8108">
        <v>368</v>
      </c>
      <c r="B8108" t="s">
        <v>2750</v>
      </c>
      <c r="C8108" t="s">
        <v>10</v>
      </c>
      <c r="D8108" t="s">
        <v>490</v>
      </c>
      <c r="E8108">
        <f t="shared" si="368"/>
        <v>3.5714285714285712E-2</v>
      </c>
      <c r="F8108">
        <v>31</v>
      </c>
      <c r="G8108">
        <f>LOG(382/(31+1))</f>
        <v>1.0769133845918029</v>
      </c>
      <c r="H8108">
        <f>0.0357142857142857*2.47968470580684</f>
        <v>8.8560168064529959E-2</v>
      </c>
      <c r="I8108">
        <v>8.8560168064530306E-2</v>
      </c>
    </row>
    <row r="8109" spans="1:9" x14ac:dyDescent="0.25">
      <c r="A8109">
        <v>368</v>
      </c>
      <c r="B8109" t="s">
        <v>2750</v>
      </c>
      <c r="C8109" t="s">
        <v>10</v>
      </c>
      <c r="D8109" t="s">
        <v>50</v>
      </c>
      <c r="E8109">
        <f t="shared" si="368"/>
        <v>3.5714285714285712E-2</v>
      </c>
      <c r="F8109">
        <v>109</v>
      </c>
      <c r="G8109">
        <f>LOG(382/(109+1))</f>
        <v>0.54067067775348365</v>
      </c>
      <c r="H8109">
        <f>0.0357142857142857*1.24494024281415</f>
        <v>4.4462151529076767E-2</v>
      </c>
      <c r="I8109">
        <v>4.44621515290771E-2</v>
      </c>
    </row>
    <row r="8110" spans="1:9" x14ac:dyDescent="0.25">
      <c r="A8110">
        <v>368</v>
      </c>
      <c r="B8110" t="s">
        <v>2750</v>
      </c>
      <c r="C8110" t="s">
        <v>10</v>
      </c>
      <c r="D8110" t="s">
        <v>22</v>
      </c>
      <c r="E8110">
        <f t="shared" si="368"/>
        <v>3.5714285714285712E-2</v>
      </c>
      <c r="F8110">
        <v>259</v>
      </c>
      <c r="G8110">
        <f>LOG(382/(259+1))</f>
        <v>0.16709001494089079</v>
      </c>
      <c r="H8110">
        <f>0.0357142857142857*0.384738977591047</f>
        <v>1.3740677771108815E-2</v>
      </c>
      <c r="I8110">
        <v>1.374067777110884E-2</v>
      </c>
    </row>
    <row r="8111" spans="1:9" x14ac:dyDescent="0.25">
      <c r="A8111">
        <v>368</v>
      </c>
      <c r="B8111" t="s">
        <v>2750</v>
      </c>
      <c r="C8111" t="s">
        <v>10</v>
      </c>
      <c r="D8111" t="s">
        <v>23</v>
      </c>
      <c r="E8111">
        <f t="shared" si="368"/>
        <v>3.5714285714285712E-2</v>
      </c>
      <c r="F8111">
        <v>275</v>
      </c>
      <c r="G8111">
        <f>LOG(382/(275+1))</f>
        <v>0.14115428084649101</v>
      </c>
      <c r="H8111">
        <f>0.0357142857142857*0.325019742889425</f>
        <v>1.1607847960336601E-2</v>
      </c>
      <c r="I8111">
        <v>1.160784796033661E-2</v>
      </c>
    </row>
    <row r="8112" spans="1:9" x14ac:dyDescent="0.25">
      <c r="A8112">
        <v>368</v>
      </c>
      <c r="B8112" t="s">
        <v>2750</v>
      </c>
      <c r="C8112" t="s">
        <v>10</v>
      </c>
      <c r="D8112" t="s">
        <v>289</v>
      </c>
      <c r="E8112">
        <f t="shared" si="368"/>
        <v>3.5714285714285712E-2</v>
      </c>
      <c r="F8112">
        <v>8</v>
      </c>
      <c r="G8112">
        <f>LOG(382/(8+1))</f>
        <v>1.6278208534723839</v>
      </c>
      <c r="H8112">
        <f>0.0357142857142857*3.74819603127035</f>
        <v>0.133864143973941</v>
      </c>
      <c r="I8112">
        <v>0.13386414397394131</v>
      </c>
    </row>
    <row r="8113" spans="1:9" x14ac:dyDescent="0.25">
      <c r="A8113">
        <v>368</v>
      </c>
      <c r="B8113" t="s">
        <v>2750</v>
      </c>
      <c r="C8113" t="s">
        <v>10</v>
      </c>
      <c r="D8113" t="s">
        <v>183</v>
      </c>
      <c r="E8113">
        <f t="shared" si="368"/>
        <v>3.5714285714285712E-2</v>
      </c>
      <c r="F8113">
        <v>46</v>
      </c>
      <c r="G8113">
        <f>LOG(382/(46+1))</f>
        <v>0.90996550497599127</v>
      </c>
      <c r="H8113">
        <f>0.0357142857142857*2.09527300689651</f>
        <v>7.4831178817732477E-2</v>
      </c>
      <c r="I8113">
        <v>7.4831178817732727E-2</v>
      </c>
    </row>
    <row r="8114" spans="1:9" x14ac:dyDescent="0.25">
      <c r="A8114">
        <v>368</v>
      </c>
      <c r="B8114" t="s">
        <v>2750</v>
      </c>
      <c r="C8114" t="s">
        <v>10</v>
      </c>
      <c r="D8114" t="s">
        <v>401</v>
      </c>
      <c r="E8114">
        <f t="shared" si="368"/>
        <v>3.5714285714285712E-2</v>
      </c>
      <c r="F8114">
        <v>5</v>
      </c>
      <c r="G8114">
        <f>LOG(382/(5+1))</f>
        <v>1.803912112528065</v>
      </c>
      <c r="H8114">
        <f>0.0357142857142857*4.15366113937852</f>
        <v>0.14834504069208992</v>
      </c>
      <c r="I8114">
        <v>0.14834504069209001</v>
      </c>
    </row>
    <row r="8115" spans="1:9" x14ac:dyDescent="0.25">
      <c r="A8115">
        <v>368</v>
      </c>
      <c r="B8115" t="s">
        <v>2750</v>
      </c>
      <c r="C8115" t="s">
        <v>10</v>
      </c>
      <c r="D8115" t="s">
        <v>2752</v>
      </c>
      <c r="E8115">
        <f t="shared" si="368"/>
        <v>3.5714285714285712E-2</v>
      </c>
      <c r="F8115">
        <v>1</v>
      </c>
      <c r="G8115">
        <f>LOG(382/(1+1))</f>
        <v>2.2810333672477277</v>
      </c>
      <c r="H8115">
        <f>0.0357142857142857*5.25227342804663</f>
        <v>0.18758119385880812</v>
      </c>
      <c r="I8115">
        <v>0.1875811938588082</v>
      </c>
    </row>
    <row r="8116" spans="1:9" x14ac:dyDescent="0.25">
      <c r="A8116">
        <v>368</v>
      </c>
      <c r="B8116" t="s">
        <v>2750</v>
      </c>
      <c r="C8116" t="s">
        <v>10</v>
      </c>
      <c r="D8116" t="s">
        <v>405</v>
      </c>
      <c r="E8116">
        <f t="shared" si="368"/>
        <v>3.5714285714285712E-2</v>
      </c>
      <c r="F8116">
        <v>10</v>
      </c>
      <c r="G8116">
        <f>LOG(382/(10+1))</f>
        <v>1.5406706777534838</v>
      </c>
      <c r="H8116">
        <f>0.0357142857142857*3.5475253358082</f>
        <v>0.12669733342172138</v>
      </c>
      <c r="I8116">
        <v>0.1266973334217216</v>
      </c>
    </row>
    <row r="8117" spans="1:9" x14ac:dyDescent="0.25">
      <c r="A8117">
        <v>368</v>
      </c>
      <c r="B8117" t="s">
        <v>2750</v>
      </c>
      <c r="C8117" t="s">
        <v>10</v>
      </c>
      <c r="D8117" t="s">
        <v>331</v>
      </c>
      <c r="E8117">
        <f t="shared" si="368"/>
        <v>3.5714285714285712E-2</v>
      </c>
      <c r="F8117">
        <v>130</v>
      </c>
      <c r="G8117">
        <f>LOG(382/(130+1))</f>
        <v>0.46479206725594452</v>
      </c>
      <c r="H8117">
        <f>0.0357142857142857*1.07022328540542</f>
        <v>3.8222260193050701E-2</v>
      </c>
      <c r="I8117">
        <v>3.822226019305084E-2</v>
      </c>
    </row>
    <row r="8118" spans="1:9" x14ac:dyDescent="0.25">
      <c r="A8118">
        <v>368</v>
      </c>
      <c r="B8118" t="s">
        <v>2750</v>
      </c>
      <c r="C8118" t="s">
        <v>10</v>
      </c>
      <c r="D8118" t="s">
        <v>2753</v>
      </c>
      <c r="E8118">
        <f t="shared" si="368"/>
        <v>3.5714285714285712E-2</v>
      </c>
      <c r="F8118">
        <v>1</v>
      </c>
      <c r="G8118">
        <f>LOG(382/(1+1))</f>
        <v>2.2810333672477277</v>
      </c>
      <c r="H8118">
        <f>0.0357142857142857*5.25227342804663</f>
        <v>0.18758119385880812</v>
      </c>
      <c r="I8118">
        <v>0.1875811938588082</v>
      </c>
    </row>
    <row r="8119" spans="1:9" x14ac:dyDescent="0.25">
      <c r="A8119">
        <v>368</v>
      </c>
      <c r="B8119" t="s">
        <v>2750</v>
      </c>
      <c r="C8119" t="s">
        <v>10</v>
      </c>
      <c r="D8119" t="s">
        <v>1447</v>
      </c>
      <c r="E8119">
        <f t="shared" si="368"/>
        <v>3.5714285714285712E-2</v>
      </c>
      <c r="F8119">
        <v>6</v>
      </c>
      <c r="G8119">
        <f>LOG(382/(6+1))</f>
        <v>1.736965322897452</v>
      </c>
      <c r="H8119">
        <f>0.0357142857142857*3.99951045955126</f>
        <v>0.14283965926968781</v>
      </c>
      <c r="I8119">
        <v>0.14283965926968789</v>
      </c>
    </row>
    <row r="8120" spans="1:9" x14ac:dyDescent="0.25">
      <c r="A8120">
        <v>368</v>
      </c>
      <c r="B8120" t="s">
        <v>2750</v>
      </c>
      <c r="C8120" t="s">
        <v>10</v>
      </c>
      <c r="D8120" t="s">
        <v>30</v>
      </c>
      <c r="E8120">
        <f t="shared" si="368"/>
        <v>3.5714285714285712E-2</v>
      </c>
      <c r="F8120">
        <v>7</v>
      </c>
      <c r="G8120">
        <f>LOG(382/(7+1))</f>
        <v>1.6789733759197651</v>
      </c>
      <c r="H8120">
        <f>0.0357142857142857*3.86597906692673</f>
        <v>0.13807068096166888</v>
      </c>
      <c r="I8120">
        <v>0.13807068096166919</v>
      </c>
    </row>
    <row r="8121" spans="1:9" x14ac:dyDescent="0.25">
      <c r="A8121">
        <v>368</v>
      </c>
      <c r="B8121" t="s">
        <v>2750</v>
      </c>
      <c r="C8121" t="s">
        <v>10</v>
      </c>
      <c r="D8121" t="s">
        <v>31</v>
      </c>
      <c r="E8121">
        <f t="shared" si="368"/>
        <v>3.5714285714285712E-2</v>
      </c>
      <c r="F8121">
        <v>31</v>
      </c>
      <c r="G8121">
        <f>LOG(382/(31+1))</f>
        <v>1.0769133845918029</v>
      </c>
      <c r="H8121">
        <f>0.0357142857142857*2.47968470580684</f>
        <v>8.8560168064529959E-2</v>
      </c>
      <c r="I8121">
        <v>8.8560168064530306E-2</v>
      </c>
    </row>
    <row r="8122" spans="1:9" x14ac:dyDescent="0.25">
      <c r="A8122">
        <v>368</v>
      </c>
      <c r="B8122" t="s">
        <v>2750</v>
      </c>
      <c r="C8122" t="s">
        <v>10</v>
      </c>
      <c r="D8122" t="s">
        <v>485</v>
      </c>
      <c r="E8122">
        <f>2/28</f>
        <v>7.1428571428571425E-2</v>
      </c>
      <c r="F8122">
        <v>74</v>
      </c>
      <c r="G8122">
        <f>LOG(382/(74+1))</f>
        <v>0.7070020995200087</v>
      </c>
      <c r="H8122">
        <f>0.0714285714285714*1.62793249507026</f>
        <v>0.11628089250501852</v>
      </c>
      <c r="I8122">
        <v>0.1162808925050189</v>
      </c>
    </row>
    <row r="8123" spans="1:9" x14ac:dyDescent="0.25">
      <c r="A8123">
        <v>368</v>
      </c>
      <c r="B8123" t="s">
        <v>2750</v>
      </c>
      <c r="C8123" t="s">
        <v>10</v>
      </c>
      <c r="D8123" t="s">
        <v>105</v>
      </c>
      <c r="E8123">
        <f>1/28</f>
        <v>3.5714285714285712E-2</v>
      </c>
      <c r="F8123">
        <v>122</v>
      </c>
      <c r="G8123">
        <f>LOG(382/(122+1))</f>
        <v>0.49215825147231079</v>
      </c>
      <c r="H8123">
        <f>0.0357142857142857*1.13323625323415</f>
        <v>4.0472723329791051E-2</v>
      </c>
      <c r="I8123">
        <v>4.0472723329791342E-2</v>
      </c>
    </row>
    <row r="8124" spans="1:9" x14ac:dyDescent="0.25">
      <c r="A8124">
        <v>368</v>
      </c>
      <c r="B8124" t="s">
        <v>2750</v>
      </c>
      <c r="C8124" t="s">
        <v>10</v>
      </c>
      <c r="D8124" t="s">
        <v>131</v>
      </c>
      <c r="E8124">
        <f>1/28</f>
        <v>3.5714285714285712E-2</v>
      </c>
      <c r="F8124">
        <v>38</v>
      </c>
      <c r="G8124">
        <f>LOG(382/(38+1))</f>
        <v>0.99099875588520958</v>
      </c>
      <c r="H8124">
        <f>0.0357142857142857*2.28185896247692</f>
        <v>8.1494962945604252E-2</v>
      </c>
      <c r="I8124">
        <v>8.1494962945604599E-2</v>
      </c>
    </row>
    <row r="8125" spans="1:9" x14ac:dyDescent="0.25">
      <c r="A8125">
        <v>368</v>
      </c>
      <c r="B8125" t="s">
        <v>2750</v>
      </c>
      <c r="C8125" t="s">
        <v>10</v>
      </c>
      <c r="D8125" t="s">
        <v>1182</v>
      </c>
      <c r="E8125">
        <f>1/28</f>
        <v>3.5714285714285712E-2</v>
      </c>
      <c r="F8125">
        <v>3</v>
      </c>
      <c r="G8125">
        <f>LOG(382/(3+1))</f>
        <v>1.9800033715837464</v>
      </c>
      <c r="H8125">
        <f>0.0357142857142857*4.55912624748668</f>
        <v>0.16282593741023851</v>
      </c>
      <c r="I8125">
        <v>0.16282593741023871</v>
      </c>
    </row>
    <row r="8126" spans="1:9" x14ac:dyDescent="0.25">
      <c r="A8126">
        <v>369</v>
      </c>
      <c r="B8126" t="s">
        <v>2754</v>
      </c>
      <c r="C8126" t="s">
        <v>10</v>
      </c>
      <c r="D8126" t="s">
        <v>2755</v>
      </c>
      <c r="E8126">
        <f>4/107</f>
        <v>3.7383177570093455E-2</v>
      </c>
      <c r="F8126">
        <v>1</v>
      </c>
      <c r="G8126">
        <f>LOG(382/(1+1))</f>
        <v>2.2810333672477277</v>
      </c>
      <c r="H8126">
        <f>0.0373831775700934*5.25227342804663</f>
        <v>0.19634667020735033</v>
      </c>
      <c r="I8126">
        <v>0.19634667020735061</v>
      </c>
    </row>
    <row r="8127" spans="1:9" x14ac:dyDescent="0.25">
      <c r="A8127">
        <v>369</v>
      </c>
      <c r="B8127" t="s">
        <v>2754</v>
      </c>
      <c r="C8127" t="s">
        <v>10</v>
      </c>
      <c r="D8127" t="s">
        <v>2756</v>
      </c>
      <c r="E8127">
        <f>5/107</f>
        <v>4.6728971962616821E-2</v>
      </c>
      <c r="F8127">
        <v>3</v>
      </c>
      <c r="G8127">
        <f>LOG(382/(3+1))</f>
        <v>1.9800033715837464</v>
      </c>
      <c r="H8127">
        <f>0.0467289719626168*4.55912624748668</f>
        <v>0.21304328259283542</v>
      </c>
      <c r="I8127">
        <v>0.2130432825928357</v>
      </c>
    </row>
    <row r="8128" spans="1:9" x14ac:dyDescent="0.25">
      <c r="A8128">
        <v>369</v>
      </c>
      <c r="B8128" t="s">
        <v>2754</v>
      </c>
      <c r="C8128" t="s">
        <v>10</v>
      </c>
      <c r="D8128" t="s">
        <v>42</v>
      </c>
      <c r="E8128">
        <f>1/107</f>
        <v>9.3457943925233638E-3</v>
      </c>
      <c r="F8128">
        <v>251</v>
      </c>
      <c r="G8128">
        <f>LOG(382/(251+1))</f>
        <v>0.18066282213016463</v>
      </c>
      <c r="H8128">
        <f>0.00934579439252336*0.415991521095151</f>
        <v>3.887771225188325E-3</v>
      </c>
      <c r="I8128">
        <v>3.8877712251883349E-3</v>
      </c>
    </row>
    <row r="8129" spans="1:9" x14ac:dyDescent="0.25">
      <c r="A8129">
        <v>369</v>
      </c>
      <c r="B8129" t="s">
        <v>2754</v>
      </c>
      <c r="C8129" t="s">
        <v>10</v>
      </c>
      <c r="D8129" t="s">
        <v>574</v>
      </c>
      <c r="E8129">
        <f>2/107</f>
        <v>1.8691588785046728E-2</v>
      </c>
      <c r="F8129">
        <v>3</v>
      </c>
      <c r="G8129">
        <f>LOG(382/(3+1))</f>
        <v>1.9800033715837464</v>
      </c>
      <c r="H8129">
        <f>0.0186915887850467*4.55912624748668</f>
        <v>8.5217313037134076E-2</v>
      </c>
      <c r="I8129">
        <v>8.5217313037134285E-2</v>
      </c>
    </row>
    <row r="8130" spans="1:9" x14ac:dyDescent="0.25">
      <c r="A8130">
        <v>369</v>
      </c>
      <c r="B8130" t="s">
        <v>2754</v>
      </c>
      <c r="C8130" t="s">
        <v>10</v>
      </c>
      <c r="D8130" t="s">
        <v>17</v>
      </c>
      <c r="E8130">
        <f t="shared" ref="E8130:E8138" si="369">1/107</f>
        <v>9.3457943925233638E-3</v>
      </c>
      <c r="F8130">
        <v>169</v>
      </c>
      <c r="G8130">
        <f>LOG(382/(169+1))</f>
        <v>0.3516144415334348</v>
      </c>
      <c r="H8130">
        <f>0.00934579439252336*0.809622171556313</f>
        <v>7.566562350993576E-3</v>
      </c>
      <c r="I8130">
        <v>7.5665623509935829E-3</v>
      </c>
    </row>
    <row r="8131" spans="1:9" x14ac:dyDescent="0.25">
      <c r="A8131">
        <v>369</v>
      </c>
      <c r="B8131" t="s">
        <v>2754</v>
      </c>
      <c r="C8131" t="s">
        <v>10</v>
      </c>
      <c r="D8131" t="s">
        <v>250</v>
      </c>
      <c r="E8131">
        <f t="shared" si="369"/>
        <v>9.3457943925233638E-3</v>
      </c>
      <c r="F8131">
        <v>14</v>
      </c>
      <c r="G8131">
        <f>LOG(382/(14+1))</f>
        <v>1.4059721038560276</v>
      </c>
      <c r="H8131">
        <f>0.00934579439252336*3.23737040750436</f>
        <v>3.0255798200975313E-2</v>
      </c>
      <c r="I8131">
        <v>3.0255798200975369E-2</v>
      </c>
    </row>
    <row r="8132" spans="1:9" x14ac:dyDescent="0.25">
      <c r="A8132">
        <v>369</v>
      </c>
      <c r="B8132" t="s">
        <v>2754</v>
      </c>
      <c r="C8132" t="s">
        <v>10</v>
      </c>
      <c r="D8132" t="s">
        <v>19</v>
      </c>
      <c r="E8132">
        <f t="shared" si="369"/>
        <v>9.3457943925233638E-3</v>
      </c>
      <c r="F8132">
        <v>220</v>
      </c>
      <c r="G8132">
        <f>LOG(382/(220+1))</f>
        <v>0.23767108922659805</v>
      </c>
      <c r="H8132">
        <f>0.00934579439252336*0.547257907088822</f>
        <v>5.1145598793347832E-3</v>
      </c>
      <c r="I8132">
        <v>5.1145598793347876E-3</v>
      </c>
    </row>
    <row r="8133" spans="1:9" x14ac:dyDescent="0.25">
      <c r="A8133">
        <v>369</v>
      </c>
      <c r="B8133" t="s">
        <v>2754</v>
      </c>
      <c r="C8133" t="s">
        <v>10</v>
      </c>
      <c r="D8133" t="s">
        <v>44</v>
      </c>
      <c r="E8133">
        <f t="shared" si="369"/>
        <v>9.3457943925233638E-3</v>
      </c>
      <c r="F8133">
        <v>151</v>
      </c>
      <c r="G8133">
        <f>LOG(382/(151+1))</f>
        <v>0.40021977496693617</v>
      </c>
      <c r="H8133">
        <f>0.00934579439252336*0.921540087760298</f>
        <v>8.6125241846756791E-3</v>
      </c>
      <c r="I8133">
        <v>8.6125241846756878E-3</v>
      </c>
    </row>
    <row r="8134" spans="1:9" x14ac:dyDescent="0.25">
      <c r="A8134">
        <v>369</v>
      </c>
      <c r="B8134" t="s">
        <v>2754</v>
      </c>
      <c r="C8134" t="s">
        <v>10</v>
      </c>
      <c r="D8134" t="s">
        <v>22</v>
      </c>
      <c r="E8134">
        <f t="shared" si="369"/>
        <v>9.3457943925233638E-3</v>
      </c>
      <c r="F8134">
        <v>259</v>
      </c>
      <c r="G8134">
        <f>LOG(382/(259+1))</f>
        <v>0.16709001494089079</v>
      </c>
      <c r="H8134">
        <f>0.00934579439252336*0.384738977591047</f>
        <v>3.595691379355578E-3</v>
      </c>
      <c r="I8134">
        <v>3.5956913793555841E-3</v>
      </c>
    </row>
    <row r="8135" spans="1:9" x14ac:dyDescent="0.25">
      <c r="A8135">
        <v>369</v>
      </c>
      <c r="B8135" t="s">
        <v>2754</v>
      </c>
      <c r="C8135" t="s">
        <v>10</v>
      </c>
      <c r="D8135" t="s">
        <v>23</v>
      </c>
      <c r="E8135">
        <f t="shared" si="369"/>
        <v>9.3457943925233638E-3</v>
      </c>
      <c r="F8135">
        <v>275</v>
      </c>
      <c r="G8135">
        <f>LOG(382/(275+1))</f>
        <v>0.14115428084649101</v>
      </c>
      <c r="H8135">
        <f>0.00934579439252336*0.325019742889425</f>
        <v>3.0375676905553721E-3</v>
      </c>
      <c r="I8135">
        <v>3.0375676905553752E-3</v>
      </c>
    </row>
    <row r="8136" spans="1:9" x14ac:dyDescent="0.25">
      <c r="A8136">
        <v>369</v>
      </c>
      <c r="B8136" t="s">
        <v>2754</v>
      </c>
      <c r="C8136" t="s">
        <v>10</v>
      </c>
      <c r="D8136" t="s">
        <v>204</v>
      </c>
      <c r="E8136">
        <f t="shared" si="369"/>
        <v>9.3457943925233638E-3</v>
      </c>
      <c r="F8136">
        <v>166</v>
      </c>
      <c r="G8136">
        <f>LOG(382/(166+1))</f>
        <v>0.35934689176412549</v>
      </c>
      <c r="H8136">
        <f>0.00934579439252336*0.82742679618982</f>
        <v>7.7329607120543891E-3</v>
      </c>
      <c r="I8136">
        <v>7.7329607120543934E-3</v>
      </c>
    </row>
    <row r="8137" spans="1:9" x14ac:dyDescent="0.25">
      <c r="A8137">
        <v>369</v>
      </c>
      <c r="B8137" t="s">
        <v>2754</v>
      </c>
      <c r="C8137" t="s">
        <v>10</v>
      </c>
      <c r="D8137" t="s">
        <v>76</v>
      </c>
      <c r="E8137">
        <f t="shared" si="369"/>
        <v>9.3457943925233638E-3</v>
      </c>
      <c r="F8137">
        <v>140</v>
      </c>
      <c r="G8137">
        <f>LOG(382/(140+1))</f>
        <v>0.43284425025632883</v>
      </c>
      <c r="H8137">
        <f>0.00934579439252336*0.996660718228407</f>
        <v>9.3145861516673503E-3</v>
      </c>
      <c r="I8137">
        <v>9.3145861516673537E-3</v>
      </c>
    </row>
    <row r="8138" spans="1:9" x14ac:dyDescent="0.25">
      <c r="A8138">
        <v>369</v>
      </c>
      <c r="B8138" t="s">
        <v>2754</v>
      </c>
      <c r="C8138" t="s">
        <v>10</v>
      </c>
      <c r="D8138" t="s">
        <v>1067</v>
      </c>
      <c r="E8138">
        <f t="shared" si="369"/>
        <v>9.3457943925233638E-3</v>
      </c>
      <c r="F8138">
        <v>9</v>
      </c>
      <c r="G8138">
        <f>LOG(382/(9+1))</f>
        <v>1.5820633629117087</v>
      </c>
      <c r="H8138">
        <f>0.00934579439252336*3.64283551561252</f>
        <v>3.4045191734696431E-2</v>
      </c>
      <c r="I8138">
        <v>3.4045191734696542E-2</v>
      </c>
    </row>
    <row r="8139" spans="1:9" x14ac:dyDescent="0.25">
      <c r="A8139">
        <v>369</v>
      </c>
      <c r="B8139" t="s">
        <v>2754</v>
      </c>
      <c r="C8139" t="s">
        <v>10</v>
      </c>
      <c r="D8139" t="s">
        <v>40</v>
      </c>
      <c r="E8139">
        <f>2/107</f>
        <v>1.8691588785046728E-2</v>
      </c>
      <c r="F8139">
        <v>159</v>
      </c>
      <c r="G8139">
        <f>LOG(382/(159+1))</f>
        <v>0.377943380255784</v>
      </c>
      <c r="H8139">
        <f>0.0186915887850467*0.870246793372748</f>
        <v>1.6266295203228909E-2</v>
      </c>
      <c r="I8139">
        <v>1.6266295203228941E-2</v>
      </c>
    </row>
    <row r="8140" spans="1:9" x14ac:dyDescent="0.25">
      <c r="A8140">
        <v>369</v>
      </c>
      <c r="B8140" t="s">
        <v>2754</v>
      </c>
      <c r="C8140" t="s">
        <v>10</v>
      </c>
      <c r="D8140" t="s">
        <v>41</v>
      </c>
      <c r="E8140">
        <f>2/107</f>
        <v>1.8691588785046728E-2</v>
      </c>
      <c r="F8140">
        <v>195</v>
      </c>
      <c r="G8140">
        <f>LOG(382/(195+1))</f>
        <v>0.28980729155523272</v>
      </c>
      <c r="H8140">
        <f>0.0186915887850467*0.667305949376058</f>
        <v>1.2473008399552466E-2</v>
      </c>
      <c r="I8140">
        <v>1.2473008399552491E-2</v>
      </c>
    </row>
    <row r="8141" spans="1:9" x14ac:dyDescent="0.25">
      <c r="A8141">
        <v>369</v>
      </c>
      <c r="B8141" t="s">
        <v>2754</v>
      </c>
      <c r="C8141" t="s">
        <v>10</v>
      </c>
      <c r="D8141" t="s">
        <v>26</v>
      </c>
      <c r="E8141">
        <f t="shared" ref="E8141:E8149" si="370">1/107</f>
        <v>9.3457943925233638E-3</v>
      </c>
      <c r="F8141">
        <v>40</v>
      </c>
      <c r="G8141">
        <f>LOG(382/(40+1))</f>
        <v>0.96927950619197323</v>
      </c>
      <c r="H8141">
        <f>0.00934579439252336*2.23184854190226</f>
        <v>2.0858397587871579E-2</v>
      </c>
      <c r="I8141">
        <v>2.0858397587871651E-2</v>
      </c>
    </row>
    <row r="8142" spans="1:9" x14ac:dyDescent="0.25">
      <c r="A8142">
        <v>369</v>
      </c>
      <c r="B8142" t="s">
        <v>2754</v>
      </c>
      <c r="C8142" t="s">
        <v>10</v>
      </c>
      <c r="D8142" t="s">
        <v>932</v>
      </c>
      <c r="E8142">
        <f t="shared" si="370"/>
        <v>9.3457943925233638E-3</v>
      </c>
      <c r="F8142">
        <v>35</v>
      </c>
      <c r="G8142">
        <f>LOG(382/(35+1))</f>
        <v>1.0257608621444214</v>
      </c>
      <c r="H8142">
        <f>0.00934579439252336*2.36190167015046</f>
        <v>2.207384738458373E-2</v>
      </c>
      <c r="I8142">
        <v>2.2073847384583779E-2</v>
      </c>
    </row>
    <row r="8143" spans="1:9" x14ac:dyDescent="0.25">
      <c r="A8143">
        <v>369</v>
      </c>
      <c r="B8143" t="s">
        <v>2754</v>
      </c>
      <c r="C8143" t="s">
        <v>10</v>
      </c>
      <c r="D8143" t="s">
        <v>2757</v>
      </c>
      <c r="E8143">
        <f t="shared" si="370"/>
        <v>9.3457943925233638E-3</v>
      </c>
      <c r="F8143">
        <v>1</v>
      </c>
      <c r="G8143">
        <f>LOG(382/(1+1))</f>
        <v>2.2810333672477277</v>
      </c>
      <c r="H8143">
        <f>0.00934579439252336*5.25227342804663</f>
        <v>4.9086667551837639E-2</v>
      </c>
      <c r="I8143">
        <v>4.9086667551837659E-2</v>
      </c>
    </row>
    <row r="8144" spans="1:9" x14ac:dyDescent="0.25">
      <c r="A8144">
        <v>369</v>
      </c>
      <c r="B8144" t="s">
        <v>2754</v>
      </c>
      <c r="C8144" t="s">
        <v>10</v>
      </c>
      <c r="D8144" t="s">
        <v>2384</v>
      </c>
      <c r="E8144">
        <f t="shared" si="370"/>
        <v>9.3457943925233638E-3</v>
      </c>
      <c r="F8144">
        <v>5</v>
      </c>
      <c r="G8144">
        <f>LOG(382/(5+1))</f>
        <v>1.803912112528065</v>
      </c>
      <c r="H8144">
        <f>0.00934579439252336*4.15366113937852</f>
        <v>3.8819262984845962E-2</v>
      </c>
      <c r="I8144">
        <v>3.8819262984845983E-2</v>
      </c>
    </row>
    <row r="8145" spans="1:9" x14ac:dyDescent="0.25">
      <c r="A8145">
        <v>369</v>
      </c>
      <c r="B8145" t="s">
        <v>2754</v>
      </c>
      <c r="C8145" t="s">
        <v>10</v>
      </c>
      <c r="D8145" t="s">
        <v>2260</v>
      </c>
      <c r="E8145">
        <f t="shared" si="370"/>
        <v>9.3457943925233638E-3</v>
      </c>
      <c r="F8145">
        <v>3</v>
      </c>
      <c r="G8145">
        <f>LOG(382/(3+1))</f>
        <v>1.9800033715837464</v>
      </c>
      <c r="H8145">
        <f>0.00934579439252336*4.55912624748668</f>
        <v>4.2608656518567087E-2</v>
      </c>
      <c r="I8145">
        <v>4.2608656518567142E-2</v>
      </c>
    </row>
    <row r="8146" spans="1:9" x14ac:dyDescent="0.25">
      <c r="A8146">
        <v>369</v>
      </c>
      <c r="B8146" t="s">
        <v>2754</v>
      </c>
      <c r="C8146" t="s">
        <v>10</v>
      </c>
      <c r="D8146" t="s">
        <v>247</v>
      </c>
      <c r="E8146">
        <f t="shared" si="370"/>
        <v>9.3457943925233638E-3</v>
      </c>
      <c r="F8146">
        <v>121</v>
      </c>
      <c r="G8146">
        <f>LOG(382/(121+1))</f>
        <v>0.49570353223696051</v>
      </c>
      <c r="H8146">
        <f>0.00934579439252336*1.14139956387331</f>
        <v>1.066728564367579E-2</v>
      </c>
      <c r="I8146">
        <v>1.066728564367588E-2</v>
      </c>
    </row>
    <row r="8147" spans="1:9" x14ac:dyDescent="0.25">
      <c r="A8147">
        <v>369</v>
      </c>
      <c r="B8147" t="s">
        <v>2754</v>
      </c>
      <c r="C8147" t="s">
        <v>10</v>
      </c>
      <c r="D8147" t="s">
        <v>2758</v>
      </c>
      <c r="E8147">
        <f t="shared" si="370"/>
        <v>9.3457943925233638E-3</v>
      </c>
      <c r="F8147">
        <v>1</v>
      </c>
      <c r="G8147">
        <f>LOG(382/(1+1))</f>
        <v>2.2810333672477277</v>
      </c>
      <c r="H8147">
        <f>0.00934579439252336*5.25227342804663</f>
        <v>4.9086667551837639E-2</v>
      </c>
      <c r="I8147">
        <v>4.9086667551837659E-2</v>
      </c>
    </row>
    <row r="8148" spans="1:9" x14ac:dyDescent="0.25">
      <c r="A8148">
        <v>369</v>
      </c>
      <c r="B8148" t="s">
        <v>2754</v>
      </c>
      <c r="C8148" t="s">
        <v>10</v>
      </c>
      <c r="D8148" t="s">
        <v>119</v>
      </c>
      <c r="E8148">
        <f t="shared" si="370"/>
        <v>9.3457943925233638E-3</v>
      </c>
      <c r="F8148">
        <v>79</v>
      </c>
      <c r="G8148">
        <f>LOG(382/(79+1))</f>
        <v>0.67897337591976514</v>
      </c>
      <c r="H8148">
        <f>0.00934579439252336*1.56339397393269</f>
        <v>1.4611158634884948E-2</v>
      </c>
      <c r="I8148">
        <v>1.4611158634884989E-2</v>
      </c>
    </row>
    <row r="8149" spans="1:9" x14ac:dyDescent="0.25">
      <c r="A8149">
        <v>369</v>
      </c>
      <c r="B8149" t="s">
        <v>2754</v>
      </c>
      <c r="C8149" t="s">
        <v>10</v>
      </c>
      <c r="D8149" t="s">
        <v>520</v>
      </c>
      <c r="E8149">
        <f t="shared" si="370"/>
        <v>9.3457943925233638E-3</v>
      </c>
      <c r="F8149">
        <v>25</v>
      </c>
      <c r="G8149">
        <f>LOG(382/(25+1))</f>
        <v>1.1670900149408907</v>
      </c>
      <c r="H8149">
        <f>0.00934579439252336*2.68732407058509</f>
        <v>2.5115178229767186E-2</v>
      </c>
      <c r="I8149">
        <v>2.5115178229767221E-2</v>
      </c>
    </row>
    <row r="8150" spans="1:9" x14ac:dyDescent="0.25">
      <c r="A8150">
        <v>369</v>
      </c>
      <c r="B8150" t="s">
        <v>2754</v>
      </c>
      <c r="C8150" t="s">
        <v>10</v>
      </c>
      <c r="D8150" t="s">
        <v>78</v>
      </c>
      <c r="E8150">
        <f>2/107</f>
        <v>1.8691588785046728E-2</v>
      </c>
      <c r="F8150">
        <v>122</v>
      </c>
      <c r="G8150">
        <f>LOG(382/(122+1))</f>
        <v>0.49215825147231079</v>
      </c>
      <c r="H8150">
        <f>0.0186915887850467*1.13323625323415</f>
        <v>2.118198604175978E-2</v>
      </c>
      <c r="I8150">
        <v>2.118198604175995E-2</v>
      </c>
    </row>
    <row r="8151" spans="1:9" x14ac:dyDescent="0.25">
      <c r="A8151">
        <v>369</v>
      </c>
      <c r="B8151" t="s">
        <v>2754</v>
      </c>
      <c r="C8151" t="s">
        <v>10</v>
      </c>
      <c r="D8151" t="s">
        <v>483</v>
      </c>
      <c r="E8151">
        <f>2/107</f>
        <v>1.8691588785046728E-2</v>
      </c>
      <c r="F8151">
        <v>61</v>
      </c>
      <c r="G8151">
        <f>LOG(382/(61+1))</f>
        <v>0.7896716734134549</v>
      </c>
      <c r="H8151">
        <f>0.0186915887850467*1.81828622356148</f>
        <v>3.3986658384326678E-2</v>
      </c>
      <c r="I8151">
        <v>3.3986658384326802E-2</v>
      </c>
    </row>
    <row r="8152" spans="1:9" x14ac:dyDescent="0.25">
      <c r="A8152">
        <v>369</v>
      </c>
      <c r="B8152" t="s">
        <v>2754</v>
      </c>
      <c r="C8152" t="s">
        <v>10</v>
      </c>
      <c r="D8152" t="s">
        <v>680</v>
      </c>
      <c r="E8152">
        <f t="shared" ref="E8152:E8160" si="371">1/107</f>
        <v>9.3457943925233638E-3</v>
      </c>
      <c r="F8152">
        <v>25</v>
      </c>
      <c r="G8152">
        <f>LOG(382/(25+1))</f>
        <v>1.1670900149408907</v>
      </c>
      <c r="H8152">
        <f>0.00934579439252336*2.68732407058509</f>
        <v>2.5115178229767186E-2</v>
      </c>
      <c r="I8152">
        <v>2.5115178229767221E-2</v>
      </c>
    </row>
    <row r="8153" spans="1:9" x14ac:dyDescent="0.25">
      <c r="A8153">
        <v>369</v>
      </c>
      <c r="B8153" t="s">
        <v>2754</v>
      </c>
      <c r="C8153" t="s">
        <v>10</v>
      </c>
      <c r="D8153" t="s">
        <v>2759</v>
      </c>
      <c r="E8153">
        <f t="shared" si="371"/>
        <v>9.3457943925233638E-3</v>
      </c>
      <c r="F8153">
        <v>1</v>
      </c>
      <c r="G8153">
        <f>LOG(382/(1+1))</f>
        <v>2.2810333672477277</v>
      </c>
      <c r="H8153">
        <f>0.00934579439252336*5.25227342804663</f>
        <v>4.9086667551837639E-2</v>
      </c>
      <c r="I8153">
        <v>4.9086667551837659E-2</v>
      </c>
    </row>
    <row r="8154" spans="1:9" x14ac:dyDescent="0.25">
      <c r="A8154">
        <v>369</v>
      </c>
      <c r="B8154" t="s">
        <v>2754</v>
      </c>
      <c r="C8154" t="s">
        <v>10</v>
      </c>
      <c r="D8154" t="s">
        <v>322</v>
      </c>
      <c r="E8154">
        <f t="shared" si="371"/>
        <v>9.3457943925233638E-3</v>
      </c>
      <c r="F8154">
        <v>128</v>
      </c>
      <c r="G8154">
        <f>LOG(382/(128+1))</f>
        <v>0.47147365261245977</v>
      </c>
      <c r="H8154">
        <f>0.00934579439252336*1.0856082042449</f>
        <v>1.0145871067709341E-2</v>
      </c>
      <c r="I8154">
        <v>1.014587106770937E-2</v>
      </c>
    </row>
    <row r="8155" spans="1:9" x14ac:dyDescent="0.25">
      <c r="A8155">
        <v>369</v>
      </c>
      <c r="B8155" t="s">
        <v>2754</v>
      </c>
      <c r="C8155" t="s">
        <v>10</v>
      </c>
      <c r="D8155" t="s">
        <v>2461</v>
      </c>
      <c r="E8155">
        <f t="shared" si="371"/>
        <v>9.3457943925233638E-3</v>
      </c>
      <c r="F8155">
        <v>2</v>
      </c>
      <c r="G8155">
        <f>LOG(382/(2+1))</f>
        <v>2.1049421081920463</v>
      </c>
      <c r="H8155">
        <f>0.00934579439252336*4.84680831993846</f>
        <v>4.529727401811643E-2</v>
      </c>
      <c r="I8155">
        <v>4.5297274018116493E-2</v>
      </c>
    </row>
    <row r="8156" spans="1:9" x14ac:dyDescent="0.25">
      <c r="A8156">
        <v>369</v>
      </c>
      <c r="B8156" t="s">
        <v>2754</v>
      </c>
      <c r="C8156" t="s">
        <v>10</v>
      </c>
      <c r="D8156" t="s">
        <v>2760</v>
      </c>
      <c r="E8156">
        <f t="shared" si="371"/>
        <v>9.3457943925233638E-3</v>
      </c>
      <c r="F8156">
        <v>1</v>
      </c>
      <c r="G8156">
        <f>LOG(382/(1+1))</f>
        <v>2.2810333672477277</v>
      </c>
      <c r="H8156">
        <f>0.00934579439252336*5.25227342804663</f>
        <v>4.9086667551837639E-2</v>
      </c>
      <c r="I8156">
        <v>4.9086667551837659E-2</v>
      </c>
    </row>
    <row r="8157" spans="1:9" x14ac:dyDescent="0.25">
      <c r="A8157">
        <v>369</v>
      </c>
      <c r="B8157" t="s">
        <v>2754</v>
      </c>
      <c r="C8157" t="s">
        <v>10</v>
      </c>
      <c r="D8157" t="s">
        <v>133</v>
      </c>
      <c r="E8157">
        <f t="shared" si="371"/>
        <v>9.3457943925233638E-3</v>
      </c>
      <c r="F8157">
        <v>142</v>
      </c>
      <c r="G8157">
        <f>LOG(382/(142+1))</f>
        <v>0.42672732544664693</v>
      </c>
      <c r="H8157">
        <f>0.00934579439252336*0.982575978346667</f>
        <v>9.1829530686604356E-3</v>
      </c>
      <c r="I8157">
        <v>9.182953068660446E-3</v>
      </c>
    </row>
    <row r="8158" spans="1:9" x14ac:dyDescent="0.25">
      <c r="A8158">
        <v>369</v>
      </c>
      <c r="B8158" t="s">
        <v>2754</v>
      </c>
      <c r="C8158" t="s">
        <v>10</v>
      </c>
      <c r="D8158" t="s">
        <v>487</v>
      </c>
      <c r="E8158">
        <f t="shared" si="371"/>
        <v>9.3457943925233638E-3</v>
      </c>
      <c r="F8158">
        <v>32</v>
      </c>
      <c r="G8158">
        <f>LOG(382/(32+1))</f>
        <v>1.0635494230338212</v>
      </c>
      <c r="H8158">
        <f>0.00934579439252336*2.44891304714009</f>
        <v>2.2887037823739149E-2</v>
      </c>
      <c r="I8158">
        <v>2.2887037823739201E-2</v>
      </c>
    </row>
    <row r="8159" spans="1:9" x14ac:dyDescent="0.25">
      <c r="A8159">
        <v>369</v>
      </c>
      <c r="B8159" t="s">
        <v>2754</v>
      </c>
      <c r="C8159" t="s">
        <v>10</v>
      </c>
      <c r="D8159" t="s">
        <v>939</v>
      </c>
      <c r="E8159">
        <f t="shared" si="371"/>
        <v>9.3457943925233638E-3</v>
      </c>
      <c r="F8159">
        <v>35</v>
      </c>
      <c r="G8159">
        <f>LOG(382/(35+1))</f>
        <v>1.0257608621444214</v>
      </c>
      <c r="H8159">
        <f>0.00934579439252336*2.36190167015046</f>
        <v>2.207384738458373E-2</v>
      </c>
      <c r="I8159">
        <v>2.2073847384583779E-2</v>
      </c>
    </row>
    <row r="8160" spans="1:9" x14ac:dyDescent="0.25">
      <c r="A8160">
        <v>369</v>
      </c>
      <c r="B8160" t="s">
        <v>2754</v>
      </c>
      <c r="C8160" t="s">
        <v>10</v>
      </c>
      <c r="D8160" t="s">
        <v>580</v>
      </c>
      <c r="E8160">
        <f t="shared" si="371"/>
        <v>9.3457943925233638E-3</v>
      </c>
      <c r="F8160">
        <v>17</v>
      </c>
      <c r="G8160">
        <f>LOG(382/(17+1))</f>
        <v>1.3267908578084027</v>
      </c>
      <c r="H8160">
        <f>0.00934579439252336*3.05504885071041</f>
        <v>2.8551858417854285E-2</v>
      </c>
      <c r="I8160">
        <v>2.8551858417854299E-2</v>
      </c>
    </row>
    <row r="8161" spans="1:9" x14ac:dyDescent="0.25">
      <c r="A8161">
        <v>369</v>
      </c>
      <c r="B8161" t="s">
        <v>2754</v>
      </c>
      <c r="C8161" t="s">
        <v>10</v>
      </c>
      <c r="D8161" t="s">
        <v>36</v>
      </c>
      <c r="E8161">
        <f>2/107</f>
        <v>1.8691588785046728E-2</v>
      </c>
      <c r="F8161">
        <v>58</v>
      </c>
      <c r="G8161">
        <f>LOG(382/(58+1))</f>
        <v>0.81121135126956456</v>
      </c>
      <c r="H8161">
        <f>0.0186915887850467*1.86788316470085</f>
        <v>3.4913704013099948E-2</v>
      </c>
      <c r="I8161">
        <v>3.4913704013100101E-2</v>
      </c>
    </row>
    <row r="8162" spans="1:9" x14ac:dyDescent="0.25">
      <c r="A8162">
        <v>369</v>
      </c>
      <c r="B8162" t="s">
        <v>2754</v>
      </c>
      <c r="C8162" t="s">
        <v>10</v>
      </c>
      <c r="D8162" t="s">
        <v>1853</v>
      </c>
      <c r="E8162">
        <f t="shared" ref="E8162:E8167" si="372">1/107</f>
        <v>9.3457943925233638E-3</v>
      </c>
      <c r="F8162">
        <v>15</v>
      </c>
      <c r="G8162">
        <f>LOG(382/(15+1))</f>
        <v>1.3779433802557839</v>
      </c>
      <c r="H8162">
        <f>0.00934579439252336*3.17283188636679</f>
        <v>2.9652634452026063E-2</v>
      </c>
      <c r="I8162">
        <v>2.9652634452026112E-2</v>
      </c>
    </row>
    <row r="8163" spans="1:9" x14ac:dyDescent="0.25">
      <c r="A8163">
        <v>369</v>
      </c>
      <c r="B8163" t="s">
        <v>2754</v>
      </c>
      <c r="C8163" t="s">
        <v>10</v>
      </c>
      <c r="D8163" t="s">
        <v>593</v>
      </c>
      <c r="E8163">
        <f t="shared" si="372"/>
        <v>9.3457943925233638E-3</v>
      </c>
      <c r="F8163">
        <v>30</v>
      </c>
      <c r="G8163">
        <f>LOG(382/(30+1))</f>
        <v>1.090701669077436</v>
      </c>
      <c r="H8163">
        <f>0.00934579439252336*2.51143340412142</f>
        <v>2.3471340225433821E-2</v>
      </c>
      <c r="I8163">
        <v>2.3471340225433911E-2</v>
      </c>
    </row>
    <row r="8164" spans="1:9" x14ac:dyDescent="0.25">
      <c r="A8164">
        <v>369</v>
      </c>
      <c r="B8164" t="s">
        <v>2754</v>
      </c>
      <c r="C8164" t="s">
        <v>10</v>
      </c>
      <c r="D8164" t="s">
        <v>327</v>
      </c>
      <c r="E8164">
        <f t="shared" si="372"/>
        <v>9.3457943925233638E-3</v>
      </c>
      <c r="F8164">
        <v>46</v>
      </c>
      <c r="G8164">
        <f>LOG(382/(46+1))</f>
        <v>0.90996550497599127</v>
      </c>
      <c r="H8164">
        <f>0.00934579439252336*2.09527300689651</f>
        <v>1.9581990718658966E-2</v>
      </c>
      <c r="I8164">
        <v>1.9581990718659029E-2</v>
      </c>
    </row>
    <row r="8165" spans="1:9" x14ac:dyDescent="0.25">
      <c r="A8165">
        <v>369</v>
      </c>
      <c r="B8165" t="s">
        <v>2754</v>
      </c>
      <c r="C8165" t="s">
        <v>10</v>
      </c>
      <c r="D8165" t="s">
        <v>2761</v>
      </c>
      <c r="E8165">
        <f t="shared" si="372"/>
        <v>9.3457943925233638E-3</v>
      </c>
      <c r="F8165">
        <v>1</v>
      </c>
      <c r="G8165">
        <f>LOG(382/(1+1))</f>
        <v>2.2810333672477277</v>
      </c>
      <c r="H8165">
        <f>0.00934579439252336*5.25227342804663</f>
        <v>4.9086667551837639E-2</v>
      </c>
      <c r="I8165">
        <v>4.9086667551837659E-2</v>
      </c>
    </row>
    <row r="8166" spans="1:9" x14ac:dyDescent="0.25">
      <c r="A8166">
        <v>369</v>
      </c>
      <c r="B8166" t="s">
        <v>2754</v>
      </c>
      <c r="C8166" t="s">
        <v>10</v>
      </c>
      <c r="D8166" t="s">
        <v>469</v>
      </c>
      <c r="E8166">
        <f t="shared" si="372"/>
        <v>9.3457943925233638E-3</v>
      </c>
      <c r="F8166">
        <v>13</v>
      </c>
      <c r="G8166">
        <f>LOG(382/(13+1))</f>
        <v>1.4359353272334707</v>
      </c>
      <c r="H8166">
        <f>0.00934579439252336*3.30636327899131</f>
        <v>3.0900591392442139E-2</v>
      </c>
      <c r="I8166">
        <v>3.0900591392442209E-2</v>
      </c>
    </row>
    <row r="8167" spans="1:9" x14ac:dyDescent="0.25">
      <c r="A8167">
        <v>369</v>
      </c>
      <c r="B8167" t="s">
        <v>2754</v>
      </c>
      <c r="C8167" t="s">
        <v>10</v>
      </c>
      <c r="D8167" t="s">
        <v>331</v>
      </c>
      <c r="E8167">
        <f t="shared" si="372"/>
        <v>9.3457943925233638E-3</v>
      </c>
      <c r="F8167">
        <v>130</v>
      </c>
      <c r="G8167">
        <f>LOG(382/(130+1))</f>
        <v>0.46479206725594452</v>
      </c>
      <c r="H8167">
        <f>0.00934579439252336*1.07022328540542</f>
        <v>1.0002086779489903E-2</v>
      </c>
      <c r="I8167">
        <v>1.000208677948994E-2</v>
      </c>
    </row>
    <row r="8168" spans="1:9" x14ac:dyDescent="0.25">
      <c r="A8168">
        <v>369</v>
      </c>
      <c r="B8168" t="s">
        <v>2754</v>
      </c>
      <c r="C8168" t="s">
        <v>10</v>
      </c>
      <c r="D8168" t="s">
        <v>77</v>
      </c>
      <c r="E8168">
        <f>2/107</f>
        <v>1.8691588785046728E-2</v>
      </c>
      <c r="F8168">
        <v>148</v>
      </c>
      <c r="G8168">
        <f>LOG(382/(148+1))</f>
        <v>0.40887709449943471</v>
      </c>
      <c r="H8168">
        <f>0.0186915887850467*0.941474302661116</f>
        <v>1.7597650517030178E-2</v>
      </c>
      <c r="I8168">
        <v>1.759765051703021E-2</v>
      </c>
    </row>
    <row r="8169" spans="1:9" x14ac:dyDescent="0.25">
      <c r="A8169">
        <v>369</v>
      </c>
      <c r="B8169" t="s">
        <v>2754</v>
      </c>
      <c r="C8169" t="s">
        <v>10</v>
      </c>
      <c r="D8169" t="s">
        <v>2451</v>
      </c>
      <c r="E8169">
        <f>2/107</f>
        <v>1.8691588785046728E-2</v>
      </c>
      <c r="F8169">
        <v>5</v>
      </c>
      <c r="G8169">
        <f>LOG(382/(5+1))</f>
        <v>1.803912112528065</v>
      </c>
      <c r="H8169">
        <f>0.0186915887850467*4.15366113937852</f>
        <v>7.7638525969691841E-2</v>
      </c>
      <c r="I8169">
        <v>7.7638525969691952E-2</v>
      </c>
    </row>
    <row r="8170" spans="1:9" x14ac:dyDescent="0.25">
      <c r="A8170">
        <v>369</v>
      </c>
      <c r="B8170" t="s">
        <v>2754</v>
      </c>
      <c r="C8170" t="s">
        <v>10</v>
      </c>
      <c r="D8170" t="s">
        <v>2762</v>
      </c>
      <c r="E8170">
        <f t="shared" ref="E8170:E8211" si="373">1/107</f>
        <v>9.3457943925233638E-3</v>
      </c>
      <c r="F8170">
        <v>2</v>
      </c>
      <c r="G8170">
        <f>LOG(382/(2+1))</f>
        <v>2.1049421081920463</v>
      </c>
      <c r="H8170">
        <f>0.00934579439252336*4.84680831993846</f>
        <v>4.529727401811643E-2</v>
      </c>
      <c r="I8170">
        <v>4.5297274018116493E-2</v>
      </c>
    </row>
    <row r="8171" spans="1:9" x14ac:dyDescent="0.25">
      <c r="A8171">
        <v>369</v>
      </c>
      <c r="B8171" t="s">
        <v>2754</v>
      </c>
      <c r="C8171" t="s">
        <v>10</v>
      </c>
      <c r="D8171" t="s">
        <v>310</v>
      </c>
      <c r="E8171">
        <f t="shared" si="373"/>
        <v>9.3457943925233638E-3</v>
      </c>
      <c r="F8171">
        <v>50</v>
      </c>
      <c r="G8171">
        <f>LOG(382/(50+1))</f>
        <v>0.87449318681377242</v>
      </c>
      <c r="H8171">
        <f>0.00934579439252336*2.01359497588224</f>
        <v>1.8818644634413448E-2</v>
      </c>
      <c r="I8171">
        <v>1.8818644634413541E-2</v>
      </c>
    </row>
    <row r="8172" spans="1:9" x14ac:dyDescent="0.25">
      <c r="A8172">
        <v>369</v>
      </c>
      <c r="B8172" t="s">
        <v>2754</v>
      </c>
      <c r="C8172" t="s">
        <v>10</v>
      </c>
      <c r="D8172" t="s">
        <v>764</v>
      </c>
      <c r="E8172">
        <f t="shared" si="373"/>
        <v>9.3457943925233638E-3</v>
      </c>
      <c r="F8172">
        <v>57</v>
      </c>
      <c r="G8172">
        <f>LOG(382/(57+1))</f>
        <v>0.81863536934877146</v>
      </c>
      <c r="H8172">
        <f>0.00934579439252336*1.88497759806015</f>
        <v>1.7616613065982702E-2</v>
      </c>
      <c r="I8172">
        <v>1.7616613065982761E-2</v>
      </c>
    </row>
    <row r="8173" spans="1:9" x14ac:dyDescent="0.25">
      <c r="A8173">
        <v>369</v>
      </c>
      <c r="B8173" t="s">
        <v>2754</v>
      </c>
      <c r="C8173" t="s">
        <v>10</v>
      </c>
      <c r="D8173" t="s">
        <v>222</v>
      </c>
      <c r="E8173">
        <f t="shared" si="373"/>
        <v>9.3457943925233638E-3</v>
      </c>
      <c r="F8173">
        <v>22</v>
      </c>
      <c r="G8173">
        <f>LOG(382/(22+1))</f>
        <v>1.2203355268941158</v>
      </c>
      <c r="H8173">
        <f>0.00934579439252336*2.80992639267742</f>
        <v>2.6260994324088023E-2</v>
      </c>
      <c r="I8173">
        <v>2.6260994324088089E-2</v>
      </c>
    </row>
    <row r="8174" spans="1:9" x14ac:dyDescent="0.25">
      <c r="A8174">
        <v>369</v>
      </c>
      <c r="B8174" t="s">
        <v>2754</v>
      </c>
      <c r="C8174" t="s">
        <v>10</v>
      </c>
      <c r="D8174" t="s">
        <v>2763</v>
      </c>
      <c r="E8174">
        <f t="shared" si="373"/>
        <v>9.3457943925233638E-3</v>
      </c>
      <c r="F8174">
        <v>1</v>
      </c>
      <c r="G8174">
        <f>LOG(382/(1+1))</f>
        <v>2.2810333672477277</v>
      </c>
      <c r="H8174">
        <f>0.00934579439252336*5.25227342804663</f>
        <v>4.9086667551837639E-2</v>
      </c>
      <c r="I8174">
        <v>4.9086667551837659E-2</v>
      </c>
    </row>
    <row r="8175" spans="1:9" x14ac:dyDescent="0.25">
      <c r="A8175">
        <v>369</v>
      </c>
      <c r="B8175" t="s">
        <v>2754</v>
      </c>
      <c r="C8175" t="s">
        <v>10</v>
      </c>
      <c r="D8175" t="s">
        <v>765</v>
      </c>
      <c r="E8175">
        <f t="shared" si="373"/>
        <v>9.3457943925233638E-3</v>
      </c>
      <c r="F8175">
        <v>44</v>
      </c>
      <c r="G8175">
        <f>LOG(382/(44+1))</f>
        <v>0.92885084913636506</v>
      </c>
      <c r="H8175">
        <f>0.00934579439252336*2.13875811883625</f>
        <v>1.9988393633983637E-2</v>
      </c>
      <c r="I8175">
        <v>1.9988393633983689E-2</v>
      </c>
    </row>
    <row r="8176" spans="1:9" x14ac:dyDescent="0.25">
      <c r="A8176">
        <v>369</v>
      </c>
      <c r="B8176" t="s">
        <v>2754</v>
      </c>
      <c r="C8176" t="s">
        <v>10</v>
      </c>
      <c r="D8176" t="s">
        <v>2220</v>
      </c>
      <c r="E8176">
        <f t="shared" si="373"/>
        <v>9.3457943925233638E-3</v>
      </c>
      <c r="F8176">
        <v>21</v>
      </c>
      <c r="G8176">
        <f>LOG(382/(21+1))</f>
        <v>1.2396406820895025</v>
      </c>
      <c r="H8176">
        <f>0.00934579439252336*2.85437815524825</f>
        <v>2.6676431357460267E-2</v>
      </c>
      <c r="I8176">
        <v>2.667643135746036E-2</v>
      </c>
    </row>
    <row r="8177" spans="1:9" x14ac:dyDescent="0.25">
      <c r="A8177">
        <v>369</v>
      </c>
      <c r="B8177" t="s">
        <v>2754</v>
      </c>
      <c r="C8177" t="s">
        <v>10</v>
      </c>
      <c r="D8177" t="s">
        <v>1398</v>
      </c>
      <c r="E8177">
        <f t="shared" si="373"/>
        <v>9.3457943925233638E-3</v>
      </c>
      <c r="F8177">
        <v>29</v>
      </c>
      <c r="G8177">
        <f>LOG(382/(29+1))</f>
        <v>1.1049421081920463</v>
      </c>
      <c r="H8177">
        <f>0.00934579439252336*2.54422322694442</f>
        <v>2.3777787167704848E-2</v>
      </c>
      <c r="I8177">
        <v>2.3777787167704859E-2</v>
      </c>
    </row>
    <row r="8178" spans="1:9" x14ac:dyDescent="0.25">
      <c r="A8178">
        <v>369</v>
      </c>
      <c r="B8178" t="s">
        <v>2754</v>
      </c>
      <c r="C8178" t="s">
        <v>10</v>
      </c>
      <c r="D8178" t="s">
        <v>432</v>
      </c>
      <c r="E8178">
        <f t="shared" si="373"/>
        <v>9.3457943925233638E-3</v>
      </c>
      <c r="F8178">
        <v>67</v>
      </c>
      <c r="G8178">
        <f>LOG(382/(67+1))</f>
        <v>0.7495544502054724</v>
      </c>
      <c r="H8178">
        <f>0.00934579439252336*1.72591290343046</f>
        <v>1.6130027134864108E-2</v>
      </c>
      <c r="I8178">
        <v>1.6130027134864191E-2</v>
      </c>
    </row>
    <row r="8179" spans="1:9" x14ac:dyDescent="0.25">
      <c r="A8179">
        <v>369</v>
      </c>
      <c r="B8179" t="s">
        <v>2754</v>
      </c>
      <c r="C8179" t="s">
        <v>10</v>
      </c>
      <c r="D8179" t="s">
        <v>1473</v>
      </c>
      <c r="E8179">
        <f t="shared" si="373"/>
        <v>9.3457943925233638E-3</v>
      </c>
      <c r="F8179">
        <v>39</v>
      </c>
      <c r="G8179">
        <f>LOG(382/(39+1))</f>
        <v>0.9800033715837464</v>
      </c>
      <c r="H8179">
        <f>0.00934579439252336*2.25654115449263</f>
        <v>2.1089169668155414E-2</v>
      </c>
      <c r="I8179">
        <v>2.1089169668155501E-2</v>
      </c>
    </row>
    <row r="8180" spans="1:9" x14ac:dyDescent="0.25">
      <c r="A8180">
        <v>369</v>
      </c>
      <c r="B8180" t="s">
        <v>2754</v>
      </c>
      <c r="C8180" t="s">
        <v>10</v>
      </c>
      <c r="D8180" t="s">
        <v>600</v>
      </c>
      <c r="E8180">
        <f t="shared" si="373"/>
        <v>9.3457943925233638E-3</v>
      </c>
      <c r="F8180">
        <v>102</v>
      </c>
      <c r="G8180">
        <f>LOG(382/(102+1))</f>
        <v>0.56922613820653656</v>
      </c>
      <c r="H8180">
        <f>0.00934579439252336*1.31069162037693</f>
        <v>1.2249454396046071E-2</v>
      </c>
      <c r="I8180">
        <v>1.2249454396046159E-2</v>
      </c>
    </row>
    <row r="8181" spans="1:9" x14ac:dyDescent="0.25">
      <c r="A8181">
        <v>369</v>
      </c>
      <c r="B8181" t="s">
        <v>2754</v>
      </c>
      <c r="C8181" t="s">
        <v>10</v>
      </c>
      <c r="D8181" t="s">
        <v>2764</v>
      </c>
      <c r="E8181">
        <f t="shared" si="373"/>
        <v>9.3457943925233638E-3</v>
      </c>
      <c r="F8181">
        <v>1</v>
      </c>
      <c r="G8181">
        <f>LOG(382/(1+1))</f>
        <v>2.2810333672477277</v>
      </c>
      <c r="H8181">
        <f>0.00934579439252336*5.25227342804663</f>
        <v>4.9086667551837639E-2</v>
      </c>
      <c r="I8181">
        <v>4.9086667551837659E-2</v>
      </c>
    </row>
    <row r="8182" spans="1:9" x14ac:dyDescent="0.25">
      <c r="A8182">
        <v>369</v>
      </c>
      <c r="B8182" t="s">
        <v>2754</v>
      </c>
      <c r="C8182" t="s">
        <v>10</v>
      </c>
      <c r="D8182" t="s">
        <v>82</v>
      </c>
      <c r="E8182">
        <f t="shared" si="373"/>
        <v>9.3457943925233638E-3</v>
      </c>
      <c r="F8182">
        <v>92</v>
      </c>
      <c r="G8182">
        <f>LOG(382/(92+1))</f>
        <v>0.61358041435777355</v>
      </c>
      <c r="H8182">
        <f>0.00934579439252336*1.41282111545331</f>
        <v>1.3203935658442143E-2</v>
      </c>
      <c r="I8182">
        <v>1.320393565844223E-2</v>
      </c>
    </row>
    <row r="8183" spans="1:9" x14ac:dyDescent="0.25">
      <c r="A8183">
        <v>369</v>
      </c>
      <c r="B8183" t="s">
        <v>2754</v>
      </c>
      <c r="C8183" t="s">
        <v>10</v>
      </c>
      <c r="D8183" t="s">
        <v>2765</v>
      </c>
      <c r="E8183">
        <f t="shared" si="373"/>
        <v>9.3457943925233638E-3</v>
      </c>
      <c r="F8183">
        <v>1</v>
      </c>
      <c r="G8183">
        <f>LOG(382/(1+1))</f>
        <v>2.2810333672477277</v>
      </c>
      <c r="H8183">
        <f>0.00934579439252336*5.25227342804663</f>
        <v>4.9086667551837639E-2</v>
      </c>
      <c r="I8183">
        <v>4.9086667551837659E-2</v>
      </c>
    </row>
    <row r="8184" spans="1:9" x14ac:dyDescent="0.25">
      <c r="A8184">
        <v>369</v>
      </c>
      <c r="B8184" t="s">
        <v>2754</v>
      </c>
      <c r="C8184" t="s">
        <v>10</v>
      </c>
      <c r="D8184" t="s">
        <v>863</v>
      </c>
      <c r="E8184">
        <f t="shared" si="373"/>
        <v>9.3457943925233638E-3</v>
      </c>
      <c r="F8184">
        <v>14</v>
      </c>
      <c r="G8184">
        <f>LOG(382/(14+1))</f>
        <v>1.4059721038560276</v>
      </c>
      <c r="H8184">
        <f>0.00934579439252336*3.23737040750436</f>
        <v>3.0255798200975313E-2</v>
      </c>
      <c r="I8184">
        <v>3.0255798200975369E-2</v>
      </c>
    </row>
    <row r="8185" spans="1:9" x14ac:dyDescent="0.25">
      <c r="A8185">
        <v>369</v>
      </c>
      <c r="B8185" t="s">
        <v>2754</v>
      </c>
      <c r="C8185" t="s">
        <v>10</v>
      </c>
      <c r="D8185" t="s">
        <v>361</v>
      </c>
      <c r="E8185">
        <f t="shared" si="373"/>
        <v>9.3457943925233638E-3</v>
      </c>
      <c r="F8185">
        <v>118</v>
      </c>
      <c r="G8185">
        <f>LOG(382/(118+1))</f>
        <v>0.50651640151917798</v>
      </c>
      <c r="H8185">
        <f>0.00934579439252336*1.16629711549504</f>
        <v>1.0899973042009714E-2</v>
      </c>
      <c r="I8185">
        <v>1.0899973042009769E-2</v>
      </c>
    </row>
    <row r="8186" spans="1:9" x14ac:dyDescent="0.25">
      <c r="A8186">
        <v>369</v>
      </c>
      <c r="B8186" t="s">
        <v>2754</v>
      </c>
      <c r="C8186" t="s">
        <v>10</v>
      </c>
      <c r="D8186" t="s">
        <v>596</v>
      </c>
      <c r="E8186">
        <f t="shared" si="373"/>
        <v>9.3457943925233638E-3</v>
      </c>
      <c r="F8186">
        <v>60</v>
      </c>
      <c r="G8186">
        <f>LOG(382/(60+1))</f>
        <v>0.79673352790094176</v>
      </c>
      <c r="H8186">
        <f>0.00934579439252336*1.83454674443326</f>
        <v>1.7145296676946347E-2</v>
      </c>
      <c r="I8186">
        <v>1.7145296676946389E-2</v>
      </c>
    </row>
    <row r="8187" spans="1:9" x14ac:dyDescent="0.25">
      <c r="A8187">
        <v>369</v>
      </c>
      <c r="B8187" t="s">
        <v>2754</v>
      </c>
      <c r="C8187" t="s">
        <v>10</v>
      </c>
      <c r="D8187" t="s">
        <v>597</v>
      </c>
      <c r="E8187">
        <f t="shared" si="373"/>
        <v>9.3457943925233638E-3</v>
      </c>
      <c r="F8187">
        <v>51</v>
      </c>
      <c r="G8187">
        <f>LOG(382/(51+1))</f>
        <v>0.86606001927690957</v>
      </c>
      <c r="H8187">
        <f>0.00934579439252336*1.99417689002514</f>
        <v>1.8637167196496628E-2</v>
      </c>
      <c r="I8187">
        <v>1.8637167196496711E-2</v>
      </c>
    </row>
    <row r="8188" spans="1:9" x14ac:dyDescent="0.25">
      <c r="A8188">
        <v>369</v>
      </c>
      <c r="B8188" t="s">
        <v>2754</v>
      </c>
      <c r="C8188" t="s">
        <v>10</v>
      </c>
      <c r="D8188" t="s">
        <v>15</v>
      </c>
      <c r="E8188">
        <f t="shared" si="373"/>
        <v>9.3457943925233638E-3</v>
      </c>
      <c r="F8188">
        <v>112</v>
      </c>
      <c r="G8188">
        <f>LOG(382/(112+1))</f>
        <v>0.52898491942828896</v>
      </c>
      <c r="H8188">
        <f>0.00934579439252336*1.21803278989423</f>
        <v>1.138348401770308E-2</v>
      </c>
      <c r="I8188">
        <v>1.138348401770313E-2</v>
      </c>
    </row>
    <row r="8189" spans="1:9" x14ac:dyDescent="0.25">
      <c r="A8189">
        <v>369</v>
      </c>
      <c r="B8189" t="s">
        <v>2754</v>
      </c>
      <c r="C8189" t="s">
        <v>10</v>
      </c>
      <c r="D8189" t="s">
        <v>1362</v>
      </c>
      <c r="E8189">
        <f t="shared" si="373"/>
        <v>9.3457943925233638E-3</v>
      </c>
      <c r="F8189">
        <v>12</v>
      </c>
      <c r="G8189">
        <f>LOG(382/(12+1))</f>
        <v>1.468120010604872</v>
      </c>
      <c r="H8189">
        <f>0.00934579439252336*3.38047125114503</f>
        <v>3.1593189263037648E-2</v>
      </c>
      <c r="I8189">
        <v>3.1593189263037738E-2</v>
      </c>
    </row>
    <row r="8190" spans="1:9" x14ac:dyDescent="0.25">
      <c r="A8190">
        <v>369</v>
      </c>
      <c r="B8190" t="s">
        <v>2754</v>
      </c>
      <c r="C8190" t="s">
        <v>10</v>
      </c>
      <c r="D8190" t="s">
        <v>638</v>
      </c>
      <c r="E8190">
        <f t="shared" si="373"/>
        <v>9.3457943925233638E-3</v>
      </c>
      <c r="F8190">
        <v>2</v>
      </c>
      <c r="G8190">
        <f>LOG(382/(2+1))</f>
        <v>2.1049421081920463</v>
      </c>
      <c r="H8190">
        <f>0.00934579439252336*4.84680831993846</f>
        <v>4.529727401811643E-2</v>
      </c>
      <c r="I8190">
        <v>4.5297274018116493E-2</v>
      </c>
    </row>
    <row r="8191" spans="1:9" x14ac:dyDescent="0.25">
      <c r="A8191">
        <v>369</v>
      </c>
      <c r="B8191" t="s">
        <v>2754</v>
      </c>
      <c r="C8191" t="s">
        <v>10</v>
      </c>
      <c r="D8191" t="s">
        <v>1011</v>
      </c>
      <c r="E8191">
        <f t="shared" si="373"/>
        <v>9.3457943925233638E-3</v>
      </c>
      <c r="F8191">
        <v>2</v>
      </c>
      <c r="G8191">
        <f>LOG(382/(2+1))</f>
        <v>2.1049421081920463</v>
      </c>
      <c r="H8191">
        <f>0.00934579439252336*4.84680831993846</f>
        <v>4.529727401811643E-2</v>
      </c>
      <c r="I8191">
        <v>4.5297274018116493E-2</v>
      </c>
    </row>
    <row r="8192" spans="1:9" x14ac:dyDescent="0.25">
      <c r="A8192">
        <v>369</v>
      </c>
      <c r="B8192" t="s">
        <v>2754</v>
      </c>
      <c r="C8192" t="s">
        <v>10</v>
      </c>
      <c r="D8192" t="s">
        <v>1626</v>
      </c>
      <c r="E8192">
        <f t="shared" si="373"/>
        <v>9.3457943925233638E-3</v>
      </c>
      <c r="F8192">
        <v>32</v>
      </c>
      <c r="G8192">
        <f>LOG(382/(32+1))</f>
        <v>1.0635494230338212</v>
      </c>
      <c r="H8192">
        <f>0.00934579439252336*2.44891304714009</f>
        <v>2.2887037823739149E-2</v>
      </c>
      <c r="I8192">
        <v>2.2887037823739201E-2</v>
      </c>
    </row>
    <row r="8193" spans="1:9" x14ac:dyDescent="0.25">
      <c r="A8193">
        <v>369</v>
      </c>
      <c r="B8193" t="s">
        <v>2754</v>
      </c>
      <c r="C8193" t="s">
        <v>10</v>
      </c>
      <c r="D8193" t="s">
        <v>236</v>
      </c>
      <c r="E8193">
        <f t="shared" si="373"/>
        <v>9.3457943925233638E-3</v>
      </c>
      <c r="F8193">
        <v>87</v>
      </c>
      <c r="G8193">
        <f>LOG(382/(87+1))</f>
        <v>0.63758069076154011</v>
      </c>
      <c r="H8193">
        <f>0.00934579439252336*1.46808379412836</f>
        <v>1.3720409290919246E-2</v>
      </c>
      <c r="I8193">
        <v>1.372040929091933E-2</v>
      </c>
    </row>
    <row r="8194" spans="1:9" x14ac:dyDescent="0.25">
      <c r="A8194">
        <v>369</v>
      </c>
      <c r="B8194" t="s">
        <v>2754</v>
      </c>
      <c r="C8194" t="s">
        <v>10</v>
      </c>
      <c r="D8194" t="s">
        <v>693</v>
      </c>
      <c r="E8194">
        <f t="shared" si="373"/>
        <v>9.3457943925233638E-3</v>
      </c>
      <c r="F8194">
        <v>25</v>
      </c>
      <c r="G8194">
        <f>LOG(382/(25+1))</f>
        <v>1.1670900149408907</v>
      </c>
      <c r="H8194">
        <f>0.00934579439252336*2.68732407058509</f>
        <v>2.5115178229767186E-2</v>
      </c>
      <c r="I8194">
        <v>2.5115178229767221E-2</v>
      </c>
    </row>
    <row r="8195" spans="1:9" x14ac:dyDescent="0.25">
      <c r="A8195">
        <v>369</v>
      </c>
      <c r="B8195" t="s">
        <v>2754</v>
      </c>
      <c r="C8195" t="s">
        <v>10</v>
      </c>
      <c r="D8195" t="s">
        <v>436</v>
      </c>
      <c r="E8195">
        <f t="shared" si="373"/>
        <v>9.3457943925233638E-3</v>
      </c>
      <c r="F8195">
        <v>20</v>
      </c>
      <c r="G8195">
        <f>LOG(382/(20+1))</f>
        <v>1.2598440681777894</v>
      </c>
      <c r="H8195">
        <f>0.00934579439252336*2.90089817088315</f>
        <v>2.7111197858721018E-2</v>
      </c>
      <c r="I8195">
        <v>2.7111197858721049E-2</v>
      </c>
    </row>
    <row r="8196" spans="1:9" x14ac:dyDescent="0.25">
      <c r="A8196">
        <v>369</v>
      </c>
      <c r="B8196" t="s">
        <v>2754</v>
      </c>
      <c r="C8196" t="s">
        <v>10</v>
      </c>
      <c r="D8196" t="s">
        <v>437</v>
      </c>
      <c r="E8196">
        <f t="shared" si="373"/>
        <v>9.3457943925233638E-3</v>
      </c>
      <c r="F8196">
        <v>18</v>
      </c>
      <c r="G8196">
        <f>LOG(382/(18+1))</f>
        <v>1.3033097619588798</v>
      </c>
      <c r="H8196">
        <f>0.00934579439252336*3.00098162944013</f>
        <v>2.8046557284487184E-2</v>
      </c>
      <c r="I8196">
        <v>2.8046557284487239E-2</v>
      </c>
    </row>
    <row r="8197" spans="1:9" x14ac:dyDescent="0.25">
      <c r="A8197">
        <v>369</v>
      </c>
      <c r="B8197" t="s">
        <v>2754</v>
      </c>
      <c r="C8197" t="s">
        <v>10</v>
      </c>
      <c r="D8197" t="s">
        <v>2766</v>
      </c>
      <c r="E8197">
        <f t="shared" si="373"/>
        <v>9.3457943925233638E-3</v>
      </c>
      <c r="F8197">
        <v>1</v>
      </c>
      <c r="G8197">
        <f>LOG(382/(1+1))</f>
        <v>2.2810333672477277</v>
      </c>
      <c r="H8197">
        <f>0.00934579439252336*5.25227342804663</f>
        <v>4.9086667551837639E-2</v>
      </c>
      <c r="I8197">
        <v>4.9086667551837659E-2</v>
      </c>
    </row>
    <row r="8198" spans="1:9" x14ac:dyDescent="0.25">
      <c r="A8198">
        <v>369</v>
      </c>
      <c r="B8198" t="s">
        <v>2754</v>
      </c>
      <c r="C8198" t="s">
        <v>10</v>
      </c>
      <c r="D8198" t="s">
        <v>1181</v>
      </c>
      <c r="E8198">
        <f t="shared" si="373"/>
        <v>9.3457943925233638E-3</v>
      </c>
      <c r="F8198">
        <v>11</v>
      </c>
      <c r="G8198">
        <f>LOG(382/(11+1))</f>
        <v>1.5028821168640838</v>
      </c>
      <c r="H8198">
        <f>0.00934579439252336*3.46051395881857</f>
        <v>3.2341251951575403E-2</v>
      </c>
      <c r="I8198">
        <v>3.2341251951575473E-2</v>
      </c>
    </row>
    <row r="8199" spans="1:9" x14ac:dyDescent="0.25">
      <c r="A8199">
        <v>369</v>
      </c>
      <c r="B8199" t="s">
        <v>2754</v>
      </c>
      <c r="C8199" t="s">
        <v>10</v>
      </c>
      <c r="D8199" t="s">
        <v>2767</v>
      </c>
      <c r="E8199">
        <f t="shared" si="373"/>
        <v>9.3457943925233638E-3</v>
      </c>
      <c r="F8199">
        <v>2</v>
      </c>
      <c r="G8199">
        <f>LOG(382/(2+1))</f>
        <v>2.1049421081920463</v>
      </c>
      <c r="H8199">
        <f>0.00934579439252336*4.84680831993846</f>
        <v>4.529727401811643E-2</v>
      </c>
      <c r="I8199">
        <v>4.5297274018116493E-2</v>
      </c>
    </row>
    <row r="8200" spans="1:9" x14ac:dyDescent="0.25">
      <c r="A8200">
        <v>369</v>
      </c>
      <c r="B8200" t="s">
        <v>2754</v>
      </c>
      <c r="C8200" t="s">
        <v>10</v>
      </c>
      <c r="D8200" t="s">
        <v>1521</v>
      </c>
      <c r="E8200">
        <f t="shared" si="373"/>
        <v>9.3457943925233638E-3</v>
      </c>
      <c r="F8200">
        <v>6</v>
      </c>
      <c r="G8200">
        <f>LOG(382/(6+1))</f>
        <v>1.736965322897452</v>
      </c>
      <c r="H8200">
        <f>0.00934579439252336*3.99951045955126</f>
        <v>3.7378602425712691E-2</v>
      </c>
      <c r="I8200">
        <v>3.7378602425712733E-2</v>
      </c>
    </row>
    <row r="8201" spans="1:9" x14ac:dyDescent="0.25">
      <c r="A8201">
        <v>369</v>
      </c>
      <c r="B8201" t="s">
        <v>2754</v>
      </c>
      <c r="C8201" t="s">
        <v>10</v>
      </c>
      <c r="D8201" t="s">
        <v>388</v>
      </c>
      <c r="E8201">
        <f t="shared" si="373"/>
        <v>9.3457943925233638E-3</v>
      </c>
      <c r="F8201">
        <v>44</v>
      </c>
      <c r="G8201">
        <f>LOG(382/(44+1))</f>
        <v>0.92885084913636506</v>
      </c>
      <c r="H8201">
        <f>0.00934579439252336*2.13875811883625</f>
        <v>1.9988393633983637E-2</v>
      </c>
      <c r="I8201">
        <v>1.9988393633983689E-2</v>
      </c>
    </row>
    <row r="8202" spans="1:9" x14ac:dyDescent="0.25">
      <c r="A8202">
        <v>369</v>
      </c>
      <c r="B8202" t="s">
        <v>2754</v>
      </c>
      <c r="C8202" t="s">
        <v>10</v>
      </c>
      <c r="D8202" t="s">
        <v>338</v>
      </c>
      <c r="E8202">
        <f t="shared" si="373"/>
        <v>9.3457943925233638E-3</v>
      </c>
      <c r="F8202">
        <v>54</v>
      </c>
      <c r="G8202">
        <f>LOG(382/(54+1))</f>
        <v>0.84170067341746491</v>
      </c>
      <c r="H8202">
        <f>0.00934579439252336*1.9380874233741</f>
        <v>1.8112966573589712E-2</v>
      </c>
      <c r="I8202">
        <v>1.811296657358976E-2</v>
      </c>
    </row>
    <row r="8203" spans="1:9" x14ac:dyDescent="0.25">
      <c r="A8203">
        <v>369</v>
      </c>
      <c r="B8203" t="s">
        <v>2754</v>
      </c>
      <c r="C8203" t="s">
        <v>10</v>
      </c>
      <c r="D8203" t="s">
        <v>11</v>
      </c>
      <c r="E8203">
        <f t="shared" si="373"/>
        <v>9.3457943925233638E-3</v>
      </c>
      <c r="F8203">
        <v>83</v>
      </c>
      <c r="G8203">
        <f>LOG(382/(83+1))</f>
        <v>0.65778407684982709</v>
      </c>
      <c r="H8203">
        <f>0.00934579439252336*1.51460380976326</f>
        <v>1.4155175792179992E-2</v>
      </c>
      <c r="I8203">
        <v>1.415517579218001E-2</v>
      </c>
    </row>
    <row r="8204" spans="1:9" x14ac:dyDescent="0.25">
      <c r="A8204">
        <v>369</v>
      </c>
      <c r="B8204" t="s">
        <v>2754</v>
      </c>
      <c r="C8204" t="s">
        <v>10</v>
      </c>
      <c r="D8204" t="s">
        <v>1921</v>
      </c>
      <c r="E8204">
        <f t="shared" si="373"/>
        <v>9.3457943925233638E-3</v>
      </c>
      <c r="F8204">
        <v>37</v>
      </c>
      <c r="G8204">
        <f>LOG(382/(37+1))</f>
        <v>1.0022797662948986</v>
      </c>
      <c r="H8204">
        <f>0.00934579439252336*2.30783444888018</f>
        <v>2.1568546251216625E-2</v>
      </c>
      <c r="I8204">
        <v>2.1568546251216719E-2</v>
      </c>
    </row>
    <row r="8205" spans="1:9" x14ac:dyDescent="0.25">
      <c r="A8205">
        <v>369</v>
      </c>
      <c r="B8205" t="s">
        <v>2754</v>
      </c>
      <c r="C8205" t="s">
        <v>10</v>
      </c>
      <c r="D8205" t="s">
        <v>2768</v>
      </c>
      <c r="E8205">
        <f t="shared" si="373"/>
        <v>9.3457943925233638E-3</v>
      </c>
      <c r="F8205">
        <v>4</v>
      </c>
      <c r="G8205">
        <f>LOG(382/(4+1))</f>
        <v>1.8830933585756899</v>
      </c>
      <c r="H8205">
        <f>0.00934579439252336*4.33598269617247</f>
        <v>4.0523202767966997E-2</v>
      </c>
      <c r="I8205">
        <v>4.0523202767967052E-2</v>
      </c>
    </row>
    <row r="8206" spans="1:9" x14ac:dyDescent="0.25">
      <c r="A8206">
        <v>369</v>
      </c>
      <c r="B8206" t="s">
        <v>2754</v>
      </c>
      <c r="C8206" t="s">
        <v>10</v>
      </c>
      <c r="D8206" t="s">
        <v>2769</v>
      </c>
      <c r="E8206">
        <f t="shared" si="373"/>
        <v>9.3457943925233638E-3</v>
      </c>
      <c r="F8206">
        <v>1</v>
      </c>
      <c r="G8206">
        <f>LOG(382/(1+1))</f>
        <v>2.2810333672477277</v>
      </c>
      <c r="H8206">
        <f>0.00934579439252336*5.25227342804663</f>
        <v>4.9086667551837639E-2</v>
      </c>
      <c r="I8206">
        <v>4.9086667551837659E-2</v>
      </c>
    </row>
    <row r="8207" spans="1:9" x14ac:dyDescent="0.25">
      <c r="A8207">
        <v>369</v>
      </c>
      <c r="B8207" t="s">
        <v>2754</v>
      </c>
      <c r="C8207" t="s">
        <v>10</v>
      </c>
      <c r="D8207" t="s">
        <v>780</v>
      </c>
      <c r="E8207">
        <f t="shared" si="373"/>
        <v>9.3457943925233638E-3</v>
      </c>
      <c r="F8207">
        <v>3</v>
      </c>
      <c r="G8207">
        <f>LOG(382/(3+1))</f>
        <v>1.9800033715837464</v>
      </c>
      <c r="H8207">
        <f>0.00934579439252336*4.55912624748668</f>
        <v>4.2608656518567087E-2</v>
      </c>
      <c r="I8207">
        <v>4.2608656518567142E-2</v>
      </c>
    </row>
    <row r="8208" spans="1:9" x14ac:dyDescent="0.25">
      <c r="A8208">
        <v>369</v>
      </c>
      <c r="B8208" t="s">
        <v>2754</v>
      </c>
      <c r="C8208" t="s">
        <v>10</v>
      </c>
      <c r="D8208" t="s">
        <v>134</v>
      </c>
      <c r="E8208">
        <f t="shared" si="373"/>
        <v>9.3457943925233638E-3</v>
      </c>
      <c r="F8208">
        <v>21</v>
      </c>
      <c r="G8208">
        <f>LOG(382/(21+1))</f>
        <v>1.2396406820895025</v>
      </c>
      <c r="H8208">
        <f>0.00934579439252336*2.85437815524825</f>
        <v>2.6676431357460267E-2</v>
      </c>
      <c r="I8208">
        <v>2.667643135746036E-2</v>
      </c>
    </row>
    <row r="8209" spans="1:9" x14ac:dyDescent="0.25">
      <c r="A8209">
        <v>369</v>
      </c>
      <c r="B8209" t="s">
        <v>2754</v>
      </c>
      <c r="C8209" t="s">
        <v>10</v>
      </c>
      <c r="D8209" t="s">
        <v>243</v>
      </c>
      <c r="E8209">
        <f t="shared" si="373"/>
        <v>9.3457943925233638E-3</v>
      </c>
      <c r="F8209">
        <v>131</v>
      </c>
      <c r="G8209">
        <f>LOG(382/(131+1))</f>
        <v>0.46148943170585888</v>
      </c>
      <c r="H8209">
        <f>0.00934579439252336*1.0626186860202</f>
        <v>9.9310157571981268E-3</v>
      </c>
      <c r="I8209">
        <v>9.9310157571981701E-3</v>
      </c>
    </row>
    <row r="8210" spans="1:9" x14ac:dyDescent="0.25">
      <c r="A8210">
        <v>369</v>
      </c>
      <c r="B8210" t="s">
        <v>2754</v>
      </c>
      <c r="C8210" t="s">
        <v>10</v>
      </c>
      <c r="D8210" t="s">
        <v>237</v>
      </c>
      <c r="E8210">
        <f t="shared" si="373"/>
        <v>9.3457943925233638E-3</v>
      </c>
      <c r="F8210">
        <v>138</v>
      </c>
      <c r="G8210">
        <f>LOG(382/(138+1))</f>
        <v>0.43904856265761361</v>
      </c>
      <c r="H8210">
        <f>0.00934579439252336*1.01094667547588</f>
        <v>9.4480997708026124E-3</v>
      </c>
      <c r="I8210">
        <v>9.4480997708026471E-3</v>
      </c>
    </row>
    <row r="8211" spans="1:9" x14ac:dyDescent="0.25">
      <c r="A8211">
        <v>369</v>
      </c>
      <c r="B8211" t="s">
        <v>2754</v>
      </c>
      <c r="C8211" t="s">
        <v>10</v>
      </c>
      <c r="D8211" t="s">
        <v>881</v>
      </c>
      <c r="E8211">
        <f t="shared" si="373"/>
        <v>9.3457943925233638E-3</v>
      </c>
      <c r="F8211">
        <v>15</v>
      </c>
      <c r="G8211">
        <f>LOG(382/(15+1))</f>
        <v>1.3779433802557839</v>
      </c>
      <c r="H8211">
        <f>0.00934579439252336*3.17283188636679</f>
        <v>2.9652634452026063E-2</v>
      </c>
      <c r="I8211">
        <v>2.9652634452026112E-2</v>
      </c>
    </row>
    <row r="8212" spans="1:9" x14ac:dyDescent="0.25">
      <c r="A8212">
        <v>369</v>
      </c>
      <c r="B8212" t="s">
        <v>2754</v>
      </c>
      <c r="C8212" t="s">
        <v>10</v>
      </c>
      <c r="D8212" t="s">
        <v>506</v>
      </c>
      <c r="E8212">
        <f>2/107</f>
        <v>1.8691588785046728E-2</v>
      </c>
      <c r="F8212">
        <v>6</v>
      </c>
      <c r="G8212">
        <f>LOG(382/(6+1))</f>
        <v>1.736965322897452</v>
      </c>
      <c r="H8212">
        <f>0.0186915887850467*3.99951045955126</f>
        <v>7.4757204851425299E-2</v>
      </c>
      <c r="I8212">
        <v>7.4757204851425452E-2</v>
      </c>
    </row>
    <row r="8213" spans="1:9" x14ac:dyDescent="0.25">
      <c r="A8213">
        <v>369</v>
      </c>
      <c r="B8213" t="s">
        <v>2754</v>
      </c>
      <c r="C8213" t="s">
        <v>10</v>
      </c>
      <c r="D8213" t="s">
        <v>1296</v>
      </c>
      <c r="E8213">
        <f>1/107</f>
        <v>9.3457943925233638E-3</v>
      </c>
      <c r="F8213">
        <v>14</v>
      </c>
      <c r="G8213">
        <f>LOG(382/(14+1))</f>
        <v>1.4059721038560276</v>
      </c>
      <c r="H8213">
        <f>0.00934579439252336*3.23737040750436</f>
        <v>3.0255798200975313E-2</v>
      </c>
      <c r="I8213">
        <v>3.0255798200975369E-2</v>
      </c>
    </row>
    <row r="8214" spans="1:9" x14ac:dyDescent="0.25">
      <c r="A8214">
        <v>369</v>
      </c>
      <c r="B8214" t="s">
        <v>2754</v>
      </c>
      <c r="C8214" t="s">
        <v>10</v>
      </c>
      <c r="D8214" t="s">
        <v>2684</v>
      </c>
      <c r="E8214">
        <f>1/107</f>
        <v>9.3457943925233638E-3</v>
      </c>
      <c r="F8214">
        <v>2</v>
      </c>
      <c r="G8214">
        <f>LOG(382/(2+1))</f>
        <v>2.1049421081920463</v>
      </c>
      <c r="H8214">
        <f>0.00934579439252336*4.84680831993846</f>
        <v>4.529727401811643E-2</v>
      </c>
      <c r="I8214">
        <v>4.5297274018116493E-2</v>
      </c>
    </row>
    <row r="8215" spans="1:9" x14ac:dyDescent="0.25">
      <c r="A8215">
        <v>369</v>
      </c>
      <c r="B8215" t="s">
        <v>2754</v>
      </c>
      <c r="C8215" t="s">
        <v>10</v>
      </c>
      <c r="D8215" t="s">
        <v>342</v>
      </c>
      <c r="E8215">
        <f>1/107</f>
        <v>9.3457943925233638E-3</v>
      </c>
      <c r="F8215">
        <v>35</v>
      </c>
      <c r="G8215">
        <f>LOG(382/(35+1))</f>
        <v>1.0257608621444214</v>
      </c>
      <c r="H8215">
        <f>0.00934579439252336*2.36190167015046</f>
        <v>2.207384738458373E-2</v>
      </c>
      <c r="I8215">
        <v>2.2073847384583779E-2</v>
      </c>
    </row>
    <row r="8216" spans="1:9" x14ac:dyDescent="0.25">
      <c r="A8216">
        <v>369</v>
      </c>
      <c r="B8216" t="s">
        <v>2754</v>
      </c>
      <c r="C8216" t="s">
        <v>10</v>
      </c>
      <c r="D8216" t="s">
        <v>39</v>
      </c>
      <c r="E8216">
        <f>1/107</f>
        <v>9.3457943925233638E-3</v>
      </c>
      <c r="F8216">
        <v>145</v>
      </c>
      <c r="G8216">
        <f>LOG(382/(145+1))</f>
        <v>0.41771050712727159</v>
      </c>
      <c r="H8216">
        <f>0.00934579439252336*0.961813986898238</f>
        <v>8.9889157654040892E-3</v>
      </c>
      <c r="I8216">
        <v>8.9889157654040996E-3</v>
      </c>
    </row>
    <row r="8217" spans="1:9" x14ac:dyDescent="0.25">
      <c r="A8217">
        <v>370</v>
      </c>
      <c r="B8217" t="s">
        <v>2770</v>
      </c>
      <c r="C8217" t="s">
        <v>10</v>
      </c>
      <c r="D8217" t="s">
        <v>103</v>
      </c>
      <c r="E8217">
        <f>1/8</f>
        <v>0.125</v>
      </c>
      <c r="F8217">
        <v>38</v>
      </c>
      <c r="G8217">
        <f>LOG(382/(38+1))</f>
        <v>0.99099875588520958</v>
      </c>
      <c r="H8217">
        <f>0.125*2.28185896247692</f>
        <v>0.28523237030961501</v>
      </c>
      <c r="I8217">
        <v>0.28523237030961612</v>
      </c>
    </row>
    <row r="8218" spans="1:9" x14ac:dyDescent="0.25">
      <c r="A8218">
        <v>370</v>
      </c>
      <c r="B8218" t="s">
        <v>2770</v>
      </c>
      <c r="C8218" t="s">
        <v>10</v>
      </c>
      <c r="D8218" t="s">
        <v>2771</v>
      </c>
      <c r="E8218">
        <f>1/8</f>
        <v>0.125</v>
      </c>
      <c r="F8218">
        <v>1</v>
      </c>
      <c r="G8218">
        <f>LOG(382/(1+1))</f>
        <v>2.2810333672477277</v>
      </c>
      <c r="H8218">
        <f>0.125*5.25227342804663</f>
        <v>0.65653417850582874</v>
      </c>
      <c r="I8218">
        <v>0.65653417850582874</v>
      </c>
    </row>
    <row r="8219" spans="1:9" x14ac:dyDescent="0.25">
      <c r="A8219">
        <v>370</v>
      </c>
      <c r="B8219" t="s">
        <v>2770</v>
      </c>
      <c r="C8219" t="s">
        <v>10</v>
      </c>
      <c r="D8219" t="s">
        <v>183</v>
      </c>
      <c r="E8219">
        <f>3/8</f>
        <v>0.375</v>
      </c>
      <c r="F8219">
        <v>46</v>
      </c>
      <c r="G8219">
        <f>LOG(382/(46+1))</f>
        <v>0.90996550497599127</v>
      </c>
      <c r="H8219">
        <f>0.375*2.09527300689651</f>
        <v>0.78572737758619127</v>
      </c>
      <c r="I8219">
        <v>0.78572737758619371</v>
      </c>
    </row>
    <row r="8220" spans="1:9" x14ac:dyDescent="0.25">
      <c r="A8220">
        <v>370</v>
      </c>
      <c r="B8220" t="s">
        <v>2770</v>
      </c>
      <c r="C8220" t="s">
        <v>10</v>
      </c>
      <c r="D8220" t="s">
        <v>39</v>
      </c>
      <c r="E8220">
        <f>1/8</f>
        <v>0.125</v>
      </c>
      <c r="F8220">
        <v>145</v>
      </c>
      <c r="G8220">
        <f>LOG(382/(145+1))</f>
        <v>0.41771050712727159</v>
      </c>
      <c r="H8220">
        <f>0.125*0.961813986898238</f>
        <v>0.12022674836227976</v>
      </c>
      <c r="I8220">
        <v>0.1202267483622798</v>
      </c>
    </row>
    <row r="8221" spans="1:9" x14ac:dyDescent="0.25">
      <c r="A8221">
        <v>370</v>
      </c>
      <c r="B8221" t="s">
        <v>2770</v>
      </c>
      <c r="C8221" t="s">
        <v>10</v>
      </c>
      <c r="D8221" t="s">
        <v>2454</v>
      </c>
      <c r="E8221">
        <f>1/8</f>
        <v>0.125</v>
      </c>
      <c r="F8221">
        <v>3</v>
      </c>
      <c r="G8221">
        <f>LOG(382/(3+1))</f>
        <v>1.9800033715837464</v>
      </c>
      <c r="H8221">
        <f>0.125*4.55912624748668</f>
        <v>0.56989078093583501</v>
      </c>
      <c r="I8221">
        <v>0.56989078093583556</v>
      </c>
    </row>
    <row r="8222" spans="1:9" x14ac:dyDescent="0.25">
      <c r="A8222">
        <v>370</v>
      </c>
      <c r="B8222" t="s">
        <v>2770</v>
      </c>
      <c r="C8222" t="s">
        <v>10</v>
      </c>
      <c r="D8222" t="s">
        <v>331</v>
      </c>
      <c r="E8222">
        <f>1/8</f>
        <v>0.125</v>
      </c>
      <c r="F8222">
        <v>130</v>
      </c>
      <c r="G8222">
        <f>LOG(382/(130+1))</f>
        <v>0.46479206725594452</v>
      </c>
      <c r="H8222">
        <f>0.125*1.07022328540542</f>
        <v>0.13377791067567751</v>
      </c>
      <c r="I8222">
        <v>0.13377791067567801</v>
      </c>
    </row>
    <row r="8223" spans="1:9" x14ac:dyDescent="0.25">
      <c r="A8223">
        <v>371</v>
      </c>
      <c r="B8223" t="s">
        <v>2772</v>
      </c>
      <c r="C8223" t="s">
        <v>10</v>
      </c>
      <c r="D8223" t="s">
        <v>2773</v>
      </c>
      <c r="E8223">
        <f t="shared" ref="E8223:E8233" si="374">1/11</f>
        <v>9.0909090909090912E-2</v>
      </c>
      <c r="F8223">
        <v>1</v>
      </c>
      <c r="G8223">
        <f>LOG(382/(1+1))</f>
        <v>2.2810333672477277</v>
      </c>
      <c r="H8223">
        <f>0.0909090909090909*5.25227342804663</f>
        <v>0.47747940254969357</v>
      </c>
      <c r="I8223">
        <v>0.47747940254969362</v>
      </c>
    </row>
    <row r="8224" spans="1:9" x14ac:dyDescent="0.25">
      <c r="A8224">
        <v>371</v>
      </c>
      <c r="B8224" t="s">
        <v>2772</v>
      </c>
      <c r="C8224" t="s">
        <v>10</v>
      </c>
      <c r="D8224" t="s">
        <v>2774</v>
      </c>
      <c r="E8224">
        <f t="shared" si="374"/>
        <v>9.0909090909090912E-2</v>
      </c>
      <c r="F8224">
        <v>1</v>
      </c>
      <c r="G8224">
        <f>LOG(382/(1+1))</f>
        <v>2.2810333672477277</v>
      </c>
      <c r="H8224">
        <f>0.0909090909090909*5.25227342804663</f>
        <v>0.47747940254969357</v>
      </c>
      <c r="I8224">
        <v>0.47747940254969362</v>
      </c>
    </row>
    <row r="8225" spans="1:9" x14ac:dyDescent="0.25">
      <c r="A8225">
        <v>371</v>
      </c>
      <c r="B8225" t="s">
        <v>2772</v>
      </c>
      <c r="C8225" t="s">
        <v>10</v>
      </c>
      <c r="D8225" t="s">
        <v>2354</v>
      </c>
      <c r="E8225">
        <f t="shared" si="374"/>
        <v>9.0909090909090912E-2</v>
      </c>
      <c r="F8225">
        <v>4</v>
      </c>
      <c r="G8225">
        <f>LOG(382/(4+1))</f>
        <v>1.8830933585756899</v>
      </c>
      <c r="H8225">
        <f>0.0909090909090909*4.33598269617247</f>
        <v>0.39418024510658817</v>
      </c>
      <c r="I8225">
        <v>0.39418024510658861</v>
      </c>
    </row>
    <row r="8226" spans="1:9" x14ac:dyDescent="0.25">
      <c r="A8226">
        <v>371</v>
      </c>
      <c r="B8226" t="s">
        <v>2772</v>
      </c>
      <c r="C8226" t="s">
        <v>10</v>
      </c>
      <c r="D8226" t="s">
        <v>36</v>
      </c>
      <c r="E8226">
        <f t="shared" si="374"/>
        <v>9.0909090909090912E-2</v>
      </c>
      <c r="F8226">
        <v>58</v>
      </c>
      <c r="G8226">
        <f>LOG(382/(58+1))</f>
        <v>0.81121135126956456</v>
      </c>
      <c r="H8226">
        <f>0.0909090909090909*1.86788316470085</f>
        <v>0.16980756042734999</v>
      </c>
      <c r="I8226">
        <v>0.16980756042735051</v>
      </c>
    </row>
    <row r="8227" spans="1:9" x14ac:dyDescent="0.25">
      <c r="A8227">
        <v>371</v>
      </c>
      <c r="B8227" t="s">
        <v>2772</v>
      </c>
      <c r="C8227" t="s">
        <v>10</v>
      </c>
      <c r="D8227" t="s">
        <v>204</v>
      </c>
      <c r="E8227">
        <f t="shared" si="374"/>
        <v>9.0909090909090912E-2</v>
      </c>
      <c r="F8227">
        <v>166</v>
      </c>
      <c r="G8227">
        <f>LOG(382/(166+1))</f>
        <v>0.35934689176412549</v>
      </c>
      <c r="H8227">
        <f>0.0909090909090909*0.82742679618982</f>
        <v>7.5220617835438167E-2</v>
      </c>
      <c r="I8227">
        <v>7.5220617835438194E-2</v>
      </c>
    </row>
    <row r="8228" spans="1:9" x14ac:dyDescent="0.25">
      <c r="A8228">
        <v>371</v>
      </c>
      <c r="B8228" t="s">
        <v>2772</v>
      </c>
      <c r="C8228" t="s">
        <v>10</v>
      </c>
      <c r="D8228" t="s">
        <v>76</v>
      </c>
      <c r="E8228">
        <f t="shared" si="374"/>
        <v>9.0909090909090912E-2</v>
      </c>
      <c r="F8228">
        <v>140</v>
      </c>
      <c r="G8228">
        <f>LOG(382/(140+1))</f>
        <v>0.43284425025632883</v>
      </c>
      <c r="H8228">
        <f>0.0909090909090909*0.996660718228407</f>
        <v>9.0605519838946075E-2</v>
      </c>
      <c r="I8228">
        <v>9.0605519838946089E-2</v>
      </c>
    </row>
    <row r="8229" spans="1:9" x14ac:dyDescent="0.25">
      <c r="A8229">
        <v>371</v>
      </c>
      <c r="B8229" t="s">
        <v>2772</v>
      </c>
      <c r="C8229" t="s">
        <v>10</v>
      </c>
      <c r="D8229" t="s">
        <v>485</v>
      </c>
      <c r="E8229">
        <f t="shared" si="374"/>
        <v>9.0909090909090912E-2</v>
      </c>
      <c r="F8229">
        <v>74</v>
      </c>
      <c r="G8229">
        <f>LOG(382/(74+1))</f>
        <v>0.7070020995200087</v>
      </c>
      <c r="H8229">
        <f>0.0909090909090909*1.62793249507026</f>
        <v>0.14799386318820545</v>
      </c>
      <c r="I8229">
        <v>0.1479938631882059</v>
      </c>
    </row>
    <row r="8230" spans="1:9" x14ac:dyDescent="0.25">
      <c r="A8230">
        <v>371</v>
      </c>
      <c r="B8230" t="s">
        <v>2772</v>
      </c>
      <c r="C8230" t="s">
        <v>10</v>
      </c>
      <c r="D8230" t="s">
        <v>40</v>
      </c>
      <c r="E8230">
        <f t="shared" si="374"/>
        <v>9.0909090909090912E-2</v>
      </c>
      <c r="F8230">
        <v>159</v>
      </c>
      <c r="G8230">
        <f>LOG(382/(159+1))</f>
        <v>0.377943380255784</v>
      </c>
      <c r="H8230">
        <f>0.0909090909090909*0.870246793372748</f>
        <v>7.9113344852067988E-2</v>
      </c>
      <c r="I8230">
        <v>7.9113344852068029E-2</v>
      </c>
    </row>
    <row r="8231" spans="1:9" x14ac:dyDescent="0.25">
      <c r="A8231">
        <v>371</v>
      </c>
      <c r="B8231" t="s">
        <v>2772</v>
      </c>
      <c r="C8231" t="s">
        <v>10</v>
      </c>
      <c r="D8231" t="s">
        <v>41</v>
      </c>
      <c r="E8231">
        <f t="shared" si="374"/>
        <v>9.0909090909090912E-2</v>
      </c>
      <c r="F8231">
        <v>195</v>
      </c>
      <c r="G8231">
        <f>LOG(382/(195+1))</f>
        <v>0.28980729155523272</v>
      </c>
      <c r="H8231">
        <f>0.0909090909090909*0.667305949376058</f>
        <v>6.0664177216005269E-2</v>
      </c>
      <c r="I8231">
        <v>6.0664177216005283E-2</v>
      </c>
    </row>
    <row r="8232" spans="1:9" x14ac:dyDescent="0.25">
      <c r="A8232">
        <v>371</v>
      </c>
      <c r="B8232" t="s">
        <v>2772</v>
      </c>
      <c r="C8232" t="s">
        <v>10</v>
      </c>
      <c r="D8232" t="s">
        <v>408</v>
      </c>
      <c r="E8232">
        <f t="shared" si="374"/>
        <v>9.0909090909090912E-2</v>
      </c>
      <c r="F8232">
        <v>27</v>
      </c>
      <c r="G8232">
        <f>LOG(382/(27+1))</f>
        <v>1.1349053315694895</v>
      </c>
      <c r="H8232">
        <f>0.0909090909090909*2.61321609843137</f>
        <v>0.23756509985739727</v>
      </c>
      <c r="I8232">
        <v>0.2375650998573974</v>
      </c>
    </row>
    <row r="8233" spans="1:9" x14ac:dyDescent="0.25">
      <c r="A8233">
        <v>371</v>
      </c>
      <c r="B8233" t="s">
        <v>2772</v>
      </c>
      <c r="C8233" t="s">
        <v>10</v>
      </c>
      <c r="D8233" t="s">
        <v>15</v>
      </c>
      <c r="E8233">
        <f t="shared" si="374"/>
        <v>9.0909090909090912E-2</v>
      </c>
      <c r="F8233">
        <v>112</v>
      </c>
      <c r="G8233">
        <f>LOG(382/(112+1))</f>
        <v>0.52898491942828896</v>
      </c>
      <c r="H8233">
        <f>0.0909090909090909*1.21803278989423</f>
        <v>0.11073025362674817</v>
      </c>
      <c r="I8233">
        <v>0.1107302536267486</v>
      </c>
    </row>
    <row r="8234" spans="1:9" x14ac:dyDescent="0.25">
      <c r="A8234">
        <v>372</v>
      </c>
      <c r="B8234" t="s">
        <v>2775</v>
      </c>
      <c r="C8234" t="s">
        <v>10</v>
      </c>
      <c r="D8234" t="s">
        <v>36</v>
      </c>
      <c r="E8234">
        <f>8/105</f>
        <v>7.6190476190476197E-2</v>
      </c>
      <c r="F8234">
        <v>58</v>
      </c>
      <c r="G8234">
        <f>LOG(382/(58+1))</f>
        <v>0.81121135126956456</v>
      </c>
      <c r="H8234">
        <f>0.0761904761904762*1.86788316470085</f>
        <v>0.14231490778673145</v>
      </c>
      <c r="I8234">
        <v>0.14231490778673189</v>
      </c>
    </row>
    <row r="8235" spans="1:9" x14ac:dyDescent="0.25">
      <c r="A8235">
        <v>372</v>
      </c>
      <c r="B8235" t="s">
        <v>2775</v>
      </c>
      <c r="C8235" t="s">
        <v>10</v>
      </c>
      <c r="D8235" t="s">
        <v>1077</v>
      </c>
      <c r="E8235">
        <f>12/105</f>
        <v>0.11428571428571428</v>
      </c>
      <c r="F8235">
        <v>5</v>
      </c>
      <c r="G8235">
        <f>LOG(382/(5+1))</f>
        <v>1.803912112528065</v>
      </c>
      <c r="H8235">
        <f>0.114285714285714*4.15366113937852</f>
        <v>0.47470413021468683</v>
      </c>
      <c r="I8235">
        <v>0.47470413021468799</v>
      </c>
    </row>
    <row r="8236" spans="1:9" x14ac:dyDescent="0.25">
      <c r="A8236">
        <v>372</v>
      </c>
      <c r="B8236" t="s">
        <v>2775</v>
      </c>
      <c r="C8236" t="s">
        <v>10</v>
      </c>
      <c r="D8236" t="s">
        <v>273</v>
      </c>
      <c r="E8236">
        <f>2/105</f>
        <v>1.9047619047619049E-2</v>
      </c>
      <c r="F8236">
        <v>6</v>
      </c>
      <c r="G8236">
        <f>LOG(382/(6+1))</f>
        <v>1.736965322897452</v>
      </c>
      <c r="H8236">
        <f>0.019047619047619*3.99951045955126</f>
        <v>7.61811516105E-2</v>
      </c>
      <c r="I8236">
        <v>7.6181151610500236E-2</v>
      </c>
    </row>
    <row r="8237" spans="1:9" x14ac:dyDescent="0.25">
      <c r="A8237">
        <v>372</v>
      </c>
      <c r="B8237" t="s">
        <v>2775</v>
      </c>
      <c r="C8237" t="s">
        <v>10</v>
      </c>
      <c r="D8237" t="s">
        <v>50</v>
      </c>
      <c r="E8237">
        <f>2/105</f>
        <v>1.9047619047619049E-2</v>
      </c>
      <c r="F8237">
        <v>109</v>
      </c>
      <c r="G8237">
        <f>LOG(382/(109+1))</f>
        <v>0.54067067775348365</v>
      </c>
      <c r="H8237">
        <f>0.019047619047619*1.24494024281415</f>
        <v>2.3713147482174228E-2</v>
      </c>
      <c r="I8237">
        <v>2.371314748217446E-2</v>
      </c>
    </row>
    <row r="8238" spans="1:9" x14ac:dyDescent="0.25">
      <c r="A8238">
        <v>372</v>
      </c>
      <c r="B8238" t="s">
        <v>2775</v>
      </c>
      <c r="C8238" t="s">
        <v>10</v>
      </c>
      <c r="D8238" t="s">
        <v>195</v>
      </c>
      <c r="E8238">
        <f>2/105</f>
        <v>1.9047619047619049E-2</v>
      </c>
      <c r="F8238">
        <v>55</v>
      </c>
      <c r="G8238">
        <f>LOG(382/(55+1))</f>
        <v>0.83387533590550833</v>
      </c>
      <c r="H8238">
        <f>0.019047619047619*1.92006891787142</f>
        <v>3.6572741292788861E-2</v>
      </c>
      <c r="I8238">
        <v>3.657274129278907E-2</v>
      </c>
    </row>
    <row r="8239" spans="1:9" x14ac:dyDescent="0.25">
      <c r="A8239">
        <v>372</v>
      </c>
      <c r="B8239" t="s">
        <v>2775</v>
      </c>
      <c r="C8239" t="s">
        <v>10</v>
      </c>
      <c r="D8239" t="s">
        <v>2776</v>
      </c>
      <c r="E8239">
        <f>1/105</f>
        <v>9.5238095238095247E-3</v>
      </c>
      <c r="F8239">
        <v>1</v>
      </c>
      <c r="G8239">
        <f>LOG(382/(1+1))</f>
        <v>2.2810333672477277</v>
      </c>
      <c r="H8239">
        <f>0.00952380952380952*5.25227342804663</f>
        <v>5.0021651695682165E-2</v>
      </c>
      <c r="I8239">
        <v>5.0021651695682193E-2</v>
      </c>
    </row>
    <row r="8240" spans="1:9" x14ac:dyDescent="0.25">
      <c r="A8240">
        <v>372</v>
      </c>
      <c r="B8240" t="s">
        <v>2775</v>
      </c>
      <c r="C8240" t="s">
        <v>10</v>
      </c>
      <c r="D8240" t="s">
        <v>41</v>
      </c>
      <c r="E8240">
        <f>3/105</f>
        <v>2.8571428571428571E-2</v>
      </c>
      <c r="F8240">
        <v>195</v>
      </c>
      <c r="G8240">
        <f>LOG(382/(195+1))</f>
        <v>0.28980729155523272</v>
      </c>
      <c r="H8240">
        <f>0.0285714285714285*0.667305949376058</f>
        <v>1.9065884267887325E-2</v>
      </c>
      <c r="I8240">
        <v>1.906588426788737E-2</v>
      </c>
    </row>
    <row r="8241" spans="1:9" x14ac:dyDescent="0.25">
      <c r="A8241">
        <v>372</v>
      </c>
      <c r="B8241" t="s">
        <v>2775</v>
      </c>
      <c r="C8241" t="s">
        <v>10</v>
      </c>
      <c r="D8241" t="s">
        <v>111</v>
      </c>
      <c r="E8241">
        <f>2/105</f>
        <v>1.9047619047619049E-2</v>
      </c>
      <c r="F8241">
        <v>33</v>
      </c>
      <c r="G8241">
        <f>LOG(382/(33+1))</f>
        <v>1.0505844458694535</v>
      </c>
      <c r="H8241">
        <f>0.019047619047619*2.41906008399041</f>
        <v>4.6077334933150554E-2</v>
      </c>
      <c r="I8241">
        <v>4.6077334933150742E-2</v>
      </c>
    </row>
    <row r="8242" spans="1:9" x14ac:dyDescent="0.25">
      <c r="A8242">
        <v>372</v>
      </c>
      <c r="B8242" t="s">
        <v>2775</v>
      </c>
      <c r="C8242" t="s">
        <v>10</v>
      </c>
      <c r="D8242" t="s">
        <v>42</v>
      </c>
      <c r="E8242">
        <f t="shared" ref="E8242:E8255" si="375">1/105</f>
        <v>9.5238095238095247E-3</v>
      </c>
      <c r="F8242">
        <v>251</v>
      </c>
      <c r="G8242">
        <f>LOG(382/(251+1))</f>
        <v>0.18066282213016463</v>
      </c>
      <c r="H8242">
        <f>0.00952380952380952*0.415991521095151</f>
        <v>3.9618240104300076E-3</v>
      </c>
      <c r="I8242">
        <v>3.961824010430018E-3</v>
      </c>
    </row>
    <row r="8243" spans="1:9" x14ac:dyDescent="0.25">
      <c r="A8243">
        <v>372</v>
      </c>
      <c r="B8243" t="s">
        <v>2775</v>
      </c>
      <c r="C8243" t="s">
        <v>10</v>
      </c>
      <c r="D8243" t="s">
        <v>1367</v>
      </c>
      <c r="E8243">
        <f t="shared" si="375"/>
        <v>9.5238095238095247E-3</v>
      </c>
      <c r="F8243">
        <v>6</v>
      </c>
      <c r="G8243">
        <f>LOG(382/(6+1))</f>
        <v>1.736965322897452</v>
      </c>
      <c r="H8243">
        <f>0.00952380952380952*3.99951045955126</f>
        <v>3.8090575805250076E-2</v>
      </c>
      <c r="I8243">
        <v>3.8090575805250118E-2</v>
      </c>
    </row>
    <row r="8244" spans="1:9" x14ac:dyDescent="0.25">
      <c r="A8244">
        <v>372</v>
      </c>
      <c r="B8244" t="s">
        <v>2775</v>
      </c>
      <c r="C8244" t="s">
        <v>10</v>
      </c>
      <c r="D8244" t="s">
        <v>972</v>
      </c>
      <c r="E8244">
        <f t="shared" si="375"/>
        <v>9.5238095238095247E-3</v>
      </c>
      <c r="F8244">
        <v>3</v>
      </c>
      <c r="G8244">
        <f>LOG(382/(3+1))</f>
        <v>1.9800033715837464</v>
      </c>
      <c r="H8244">
        <f>0.00952380952380952*4.55912624748668</f>
        <v>4.3420249976063599E-2</v>
      </c>
      <c r="I8244">
        <v>4.3420249976063668E-2</v>
      </c>
    </row>
    <row r="8245" spans="1:9" x14ac:dyDescent="0.25">
      <c r="A8245">
        <v>372</v>
      </c>
      <c r="B8245" t="s">
        <v>2775</v>
      </c>
      <c r="C8245" t="s">
        <v>10</v>
      </c>
      <c r="D8245" t="s">
        <v>1030</v>
      </c>
      <c r="E8245">
        <f t="shared" si="375"/>
        <v>9.5238095238095247E-3</v>
      </c>
      <c r="F8245">
        <v>6</v>
      </c>
      <c r="G8245">
        <f>LOG(382/(6+1))</f>
        <v>1.736965322897452</v>
      </c>
      <c r="H8245">
        <f>0.00952380952380952*3.99951045955126</f>
        <v>3.8090575805250076E-2</v>
      </c>
      <c r="I8245">
        <v>3.8090575805250118E-2</v>
      </c>
    </row>
    <row r="8246" spans="1:9" x14ac:dyDescent="0.25">
      <c r="A8246">
        <v>372</v>
      </c>
      <c r="B8246" t="s">
        <v>2775</v>
      </c>
      <c r="C8246" t="s">
        <v>10</v>
      </c>
      <c r="D8246" t="s">
        <v>17</v>
      </c>
      <c r="E8246">
        <f t="shared" si="375"/>
        <v>9.5238095238095247E-3</v>
      </c>
      <c r="F8246">
        <v>169</v>
      </c>
      <c r="G8246">
        <f>LOG(382/(169+1))</f>
        <v>0.3516144415334348</v>
      </c>
      <c r="H8246">
        <f>0.00952380952380952*0.809622171556313</f>
        <v>7.7106873481553586E-3</v>
      </c>
      <c r="I8246">
        <v>7.7106873481553656E-3</v>
      </c>
    </row>
    <row r="8247" spans="1:9" x14ac:dyDescent="0.25">
      <c r="A8247">
        <v>372</v>
      </c>
      <c r="B8247" t="s">
        <v>2775</v>
      </c>
      <c r="C8247" t="s">
        <v>10</v>
      </c>
      <c r="D8247" t="s">
        <v>2150</v>
      </c>
      <c r="E8247">
        <f t="shared" si="375"/>
        <v>9.5238095238095247E-3</v>
      </c>
      <c r="F8247">
        <v>5</v>
      </c>
      <c r="G8247">
        <f>LOG(382/(5+1))</f>
        <v>1.803912112528065</v>
      </c>
      <c r="H8247">
        <f>0.00952380952380952*4.15366113937852</f>
        <v>3.9558677517890647E-2</v>
      </c>
      <c r="I8247">
        <v>3.9558677517890668E-2</v>
      </c>
    </row>
    <row r="8248" spans="1:9" x14ac:dyDescent="0.25">
      <c r="A8248">
        <v>372</v>
      </c>
      <c r="B8248" t="s">
        <v>2775</v>
      </c>
      <c r="C8248" t="s">
        <v>10</v>
      </c>
      <c r="D8248" t="s">
        <v>19</v>
      </c>
      <c r="E8248">
        <f t="shared" si="375"/>
        <v>9.5238095238095247E-3</v>
      </c>
      <c r="F8248">
        <v>220</v>
      </c>
      <c r="G8248">
        <f>LOG(382/(220+1))</f>
        <v>0.23767108922659805</v>
      </c>
      <c r="H8248">
        <f>0.00952380952380952*0.547257907088822</f>
        <v>5.2119800675125881E-3</v>
      </c>
      <c r="I8248">
        <v>5.2119800675125942E-3</v>
      </c>
    </row>
    <row r="8249" spans="1:9" x14ac:dyDescent="0.25">
      <c r="A8249">
        <v>372</v>
      </c>
      <c r="B8249" t="s">
        <v>2775</v>
      </c>
      <c r="C8249" t="s">
        <v>10</v>
      </c>
      <c r="D8249" t="s">
        <v>22</v>
      </c>
      <c r="E8249">
        <f t="shared" si="375"/>
        <v>9.5238095238095247E-3</v>
      </c>
      <c r="F8249">
        <v>259</v>
      </c>
      <c r="G8249">
        <f>LOG(382/(259+1))</f>
        <v>0.16709001494089079</v>
      </c>
      <c r="H8249">
        <f>0.00952380952380952*0.384738977591047</f>
        <v>3.6641807389623509E-3</v>
      </c>
      <c r="I8249">
        <v>3.6641807389623578E-3</v>
      </c>
    </row>
    <row r="8250" spans="1:9" x14ac:dyDescent="0.25">
      <c r="A8250">
        <v>372</v>
      </c>
      <c r="B8250" t="s">
        <v>2775</v>
      </c>
      <c r="C8250" t="s">
        <v>10</v>
      </c>
      <c r="D8250" t="s">
        <v>23</v>
      </c>
      <c r="E8250">
        <f t="shared" si="375"/>
        <v>9.5238095238095247E-3</v>
      </c>
      <c r="F8250">
        <v>275</v>
      </c>
      <c r="G8250">
        <f>LOG(382/(275+1))</f>
        <v>0.14115428084649101</v>
      </c>
      <c r="H8250">
        <f>0.00952380952380952*0.325019742889425</f>
        <v>3.0954261227564271E-3</v>
      </c>
      <c r="I8250">
        <v>3.0954261227564301E-3</v>
      </c>
    </row>
    <row r="8251" spans="1:9" x14ac:dyDescent="0.25">
      <c r="A8251">
        <v>372</v>
      </c>
      <c r="B8251" t="s">
        <v>2775</v>
      </c>
      <c r="C8251" t="s">
        <v>10</v>
      </c>
      <c r="D8251" t="s">
        <v>105</v>
      </c>
      <c r="E8251">
        <f t="shared" si="375"/>
        <v>9.5238095238095247E-3</v>
      </c>
      <c r="F8251">
        <v>122</v>
      </c>
      <c r="G8251">
        <f>LOG(382/(122+1))</f>
        <v>0.49215825147231079</v>
      </c>
      <c r="H8251">
        <f>0.00952380952380952*1.13323625323415</f>
        <v>1.0792726221277613E-2</v>
      </c>
      <c r="I8251">
        <v>1.079272622127769E-2</v>
      </c>
    </row>
    <row r="8252" spans="1:9" x14ac:dyDescent="0.25">
      <c r="A8252">
        <v>372</v>
      </c>
      <c r="B8252" t="s">
        <v>2775</v>
      </c>
      <c r="C8252" t="s">
        <v>10</v>
      </c>
      <c r="D8252" t="s">
        <v>247</v>
      </c>
      <c r="E8252">
        <f t="shared" si="375"/>
        <v>9.5238095238095247E-3</v>
      </c>
      <c r="F8252">
        <v>121</v>
      </c>
      <c r="G8252">
        <f>LOG(382/(121+1))</f>
        <v>0.49570353223696051</v>
      </c>
      <c r="H8252">
        <f>0.00952380952380952*1.14139956387331</f>
        <v>1.0870472036888663E-2</v>
      </c>
      <c r="I8252">
        <v>1.087047203688875E-2</v>
      </c>
    </row>
    <row r="8253" spans="1:9" x14ac:dyDescent="0.25">
      <c r="A8253">
        <v>372</v>
      </c>
      <c r="B8253" t="s">
        <v>2775</v>
      </c>
      <c r="C8253" t="s">
        <v>10</v>
      </c>
      <c r="D8253" t="s">
        <v>39</v>
      </c>
      <c r="E8253">
        <f t="shared" si="375"/>
        <v>9.5238095238095247E-3</v>
      </c>
      <c r="F8253">
        <v>145</v>
      </c>
      <c r="G8253">
        <f>LOG(382/(145+1))</f>
        <v>0.41771050712727159</v>
      </c>
      <c r="H8253">
        <f>0.00952380952380952*0.961813986898238</f>
        <v>9.1601332085546432E-3</v>
      </c>
      <c r="I8253">
        <v>9.1601332085546553E-3</v>
      </c>
    </row>
    <row r="8254" spans="1:9" x14ac:dyDescent="0.25">
      <c r="A8254">
        <v>372</v>
      </c>
      <c r="B8254" t="s">
        <v>2775</v>
      </c>
      <c r="C8254" t="s">
        <v>10</v>
      </c>
      <c r="D8254" t="s">
        <v>331</v>
      </c>
      <c r="E8254">
        <f t="shared" si="375"/>
        <v>9.5238095238095247E-3</v>
      </c>
      <c r="F8254">
        <v>130</v>
      </c>
      <c r="G8254">
        <f>LOG(382/(130+1))</f>
        <v>0.46479206725594452</v>
      </c>
      <c r="H8254">
        <f>0.00952380952380952*1.07022328540542</f>
        <v>1.0192602718146853E-2</v>
      </c>
      <c r="I8254">
        <v>1.0192602718146889E-2</v>
      </c>
    </row>
    <row r="8255" spans="1:9" x14ac:dyDescent="0.25">
      <c r="A8255">
        <v>372</v>
      </c>
      <c r="B8255" t="s">
        <v>2775</v>
      </c>
      <c r="C8255" t="s">
        <v>10</v>
      </c>
      <c r="D8255" t="s">
        <v>469</v>
      </c>
      <c r="E8255">
        <f t="shared" si="375"/>
        <v>9.5238095238095247E-3</v>
      </c>
      <c r="F8255">
        <v>13</v>
      </c>
      <c r="G8255">
        <f>LOG(382/(13+1))</f>
        <v>1.4359353272334707</v>
      </c>
      <c r="H8255">
        <f>0.00952380952380952*3.30636327899131</f>
        <v>3.1489174085631511E-2</v>
      </c>
      <c r="I8255">
        <v>3.1489174085631587E-2</v>
      </c>
    </row>
    <row r="8256" spans="1:9" x14ac:dyDescent="0.25">
      <c r="A8256">
        <v>372</v>
      </c>
      <c r="B8256" t="s">
        <v>2775</v>
      </c>
      <c r="C8256" t="s">
        <v>10</v>
      </c>
      <c r="D8256" t="s">
        <v>40</v>
      </c>
      <c r="E8256">
        <f>2/105</f>
        <v>1.9047619047619049E-2</v>
      </c>
      <c r="F8256">
        <v>159</v>
      </c>
      <c r="G8256">
        <f>LOG(382/(159+1))</f>
        <v>0.377943380255784</v>
      </c>
      <c r="H8256">
        <f>0.019047619047619*0.870246793372748</f>
        <v>1.6576129397576113E-2</v>
      </c>
      <c r="I8256">
        <v>1.6576129397576161E-2</v>
      </c>
    </row>
    <row r="8257" spans="1:9" x14ac:dyDescent="0.25">
      <c r="A8257">
        <v>372</v>
      </c>
      <c r="B8257" t="s">
        <v>2775</v>
      </c>
      <c r="C8257" t="s">
        <v>10</v>
      </c>
      <c r="D8257" t="s">
        <v>68</v>
      </c>
      <c r="E8257">
        <f t="shared" ref="E8257:E8268" si="376">1/105</f>
        <v>9.5238095238095247E-3</v>
      </c>
      <c r="F8257">
        <v>43</v>
      </c>
      <c r="G8257">
        <f>LOG(382/(43+1))</f>
        <v>0.93861068642552126</v>
      </c>
      <c r="H8257">
        <f>0.00952380952380952*2.16123097468831</f>
        <v>2.0583152139888657E-2</v>
      </c>
      <c r="I8257">
        <v>2.0583152139888709E-2</v>
      </c>
    </row>
    <row r="8258" spans="1:9" x14ac:dyDescent="0.25">
      <c r="A8258">
        <v>372</v>
      </c>
      <c r="B8258" t="s">
        <v>2775</v>
      </c>
      <c r="C8258" t="s">
        <v>10</v>
      </c>
      <c r="D8258" t="s">
        <v>44</v>
      </c>
      <c r="E8258">
        <f t="shared" si="376"/>
        <v>9.5238095238095247E-3</v>
      </c>
      <c r="F8258">
        <v>151</v>
      </c>
      <c r="G8258">
        <f>LOG(382/(151+1))</f>
        <v>0.40021977496693617</v>
      </c>
      <c r="H8258">
        <f>0.00952380952380952*0.921540087760298</f>
        <v>8.7765722643837873E-3</v>
      </c>
      <c r="I8258">
        <v>8.7765722643837977E-3</v>
      </c>
    </row>
    <row r="8259" spans="1:9" x14ac:dyDescent="0.25">
      <c r="A8259">
        <v>372</v>
      </c>
      <c r="B8259" t="s">
        <v>2775</v>
      </c>
      <c r="C8259" t="s">
        <v>10</v>
      </c>
      <c r="D8259" t="s">
        <v>25</v>
      </c>
      <c r="E8259">
        <f t="shared" si="376"/>
        <v>9.5238095238095247E-3</v>
      </c>
      <c r="F8259">
        <v>106</v>
      </c>
      <c r="G8259">
        <f>LOG(382/(106+1))</f>
        <v>0.55267958522649907</v>
      </c>
      <c r="H8259">
        <f>0.00952380952380952*1.27259177414466</f>
        <v>1.2119921658520565E-2</v>
      </c>
      <c r="I8259">
        <v>1.211992165852066E-2</v>
      </c>
    </row>
    <row r="8260" spans="1:9" x14ac:dyDescent="0.25">
      <c r="A8260">
        <v>372</v>
      </c>
      <c r="B8260" t="s">
        <v>2775</v>
      </c>
      <c r="C8260" t="s">
        <v>10</v>
      </c>
      <c r="D8260" t="s">
        <v>26</v>
      </c>
      <c r="E8260">
        <f t="shared" si="376"/>
        <v>9.5238095238095247E-3</v>
      </c>
      <c r="F8260">
        <v>40</v>
      </c>
      <c r="G8260">
        <f>LOG(382/(40+1))</f>
        <v>0.96927950619197323</v>
      </c>
      <c r="H8260">
        <f>0.00952380952380952*2.23184854190226</f>
        <v>2.1255700399069131E-2</v>
      </c>
      <c r="I8260">
        <v>2.1255700399069211E-2</v>
      </c>
    </row>
    <row r="8261" spans="1:9" x14ac:dyDescent="0.25">
      <c r="A8261">
        <v>372</v>
      </c>
      <c r="B8261" t="s">
        <v>2775</v>
      </c>
      <c r="C8261" t="s">
        <v>10</v>
      </c>
      <c r="D8261" t="s">
        <v>928</v>
      </c>
      <c r="E8261">
        <f t="shared" si="376"/>
        <v>9.5238095238095247E-3</v>
      </c>
      <c r="F8261">
        <v>5</v>
      </c>
      <c r="G8261">
        <f>LOG(382/(5+1))</f>
        <v>1.803912112528065</v>
      </c>
      <c r="H8261">
        <f>0.00952380952380952*4.15366113937852</f>
        <v>3.9558677517890647E-2</v>
      </c>
      <c r="I8261">
        <v>3.9558677517890668E-2</v>
      </c>
    </row>
    <row r="8262" spans="1:9" x14ac:dyDescent="0.25">
      <c r="A8262">
        <v>372</v>
      </c>
      <c r="B8262" t="s">
        <v>2775</v>
      </c>
      <c r="C8262" t="s">
        <v>10</v>
      </c>
      <c r="D8262" t="s">
        <v>28</v>
      </c>
      <c r="E8262">
        <f t="shared" si="376"/>
        <v>9.5238095238095247E-3</v>
      </c>
      <c r="F8262">
        <v>35</v>
      </c>
      <c r="G8262">
        <f>LOG(382/(35+1))</f>
        <v>1.0257608621444214</v>
      </c>
      <c r="H8262">
        <f>0.00952380952380952*2.36190167015046</f>
        <v>2.2494301620480561E-2</v>
      </c>
      <c r="I8262">
        <v>2.249430162048062E-2</v>
      </c>
    </row>
    <row r="8263" spans="1:9" x14ac:dyDescent="0.25">
      <c r="A8263">
        <v>372</v>
      </c>
      <c r="B8263" t="s">
        <v>2775</v>
      </c>
      <c r="C8263" t="s">
        <v>10</v>
      </c>
      <c r="D8263" t="s">
        <v>476</v>
      </c>
      <c r="E8263">
        <f t="shared" si="376"/>
        <v>9.5238095238095247E-3</v>
      </c>
      <c r="F8263">
        <v>18</v>
      </c>
      <c r="G8263">
        <f>LOG(382/(18+1))</f>
        <v>1.3033097619588798</v>
      </c>
      <c r="H8263">
        <f>0.00952380952380952*3.00098162944013</f>
        <v>2.858077742323932E-2</v>
      </c>
      <c r="I8263">
        <v>2.8580777423239379E-2</v>
      </c>
    </row>
    <row r="8264" spans="1:9" x14ac:dyDescent="0.25">
      <c r="A8264">
        <v>372</v>
      </c>
      <c r="B8264" t="s">
        <v>2775</v>
      </c>
      <c r="C8264" t="s">
        <v>10</v>
      </c>
      <c r="D8264" t="s">
        <v>929</v>
      </c>
      <c r="E8264">
        <f t="shared" si="376"/>
        <v>9.5238095238095247E-3</v>
      </c>
      <c r="F8264">
        <v>32</v>
      </c>
      <c r="G8264">
        <f>LOG(382/(32+1))</f>
        <v>1.0635494230338212</v>
      </c>
      <c r="H8264">
        <f>0.00952380952380952*2.44891304714009</f>
        <v>2.3322981401334181E-2</v>
      </c>
      <c r="I8264">
        <v>2.332298140133424E-2</v>
      </c>
    </row>
    <row r="8265" spans="1:9" x14ac:dyDescent="0.25">
      <c r="A8265">
        <v>372</v>
      </c>
      <c r="B8265" t="s">
        <v>2775</v>
      </c>
      <c r="C8265" t="s">
        <v>10</v>
      </c>
      <c r="D8265" t="s">
        <v>1235</v>
      </c>
      <c r="E8265">
        <f t="shared" si="376"/>
        <v>9.5238095238095247E-3</v>
      </c>
      <c r="F8265">
        <v>6</v>
      </c>
      <c r="G8265">
        <f>LOG(382/(6+1))</f>
        <v>1.736965322897452</v>
      </c>
      <c r="H8265">
        <f>0.00952380952380952*3.99951045955126</f>
        <v>3.8090575805250076E-2</v>
      </c>
      <c r="I8265">
        <v>3.8090575805250118E-2</v>
      </c>
    </row>
    <row r="8266" spans="1:9" x14ac:dyDescent="0.25">
      <c r="A8266">
        <v>372</v>
      </c>
      <c r="B8266" t="s">
        <v>2775</v>
      </c>
      <c r="C8266" t="s">
        <v>10</v>
      </c>
      <c r="D8266" t="s">
        <v>465</v>
      </c>
      <c r="E8266">
        <f t="shared" si="376"/>
        <v>9.5238095238095247E-3</v>
      </c>
      <c r="F8266">
        <v>36</v>
      </c>
      <c r="G8266">
        <f>LOG(382/(36+1))</f>
        <v>1.0138616388447137</v>
      </c>
      <c r="H8266">
        <f>0.00952380952380952*2.33450269596235</f>
        <v>2.2233359009165229E-2</v>
      </c>
      <c r="I8266">
        <v>2.223335900916525E-2</v>
      </c>
    </row>
    <row r="8267" spans="1:9" x14ac:dyDescent="0.25">
      <c r="A8267">
        <v>372</v>
      </c>
      <c r="B8267" t="s">
        <v>2775</v>
      </c>
      <c r="C8267" t="s">
        <v>10</v>
      </c>
      <c r="D8267" t="s">
        <v>1396</v>
      </c>
      <c r="E8267">
        <f t="shared" si="376"/>
        <v>9.5238095238095247E-3</v>
      </c>
      <c r="F8267">
        <v>18</v>
      </c>
      <c r="G8267">
        <f>LOG(382/(18+1))</f>
        <v>1.3033097619588798</v>
      </c>
      <c r="H8267">
        <f>0.00952380952380952*3.00098162944013</f>
        <v>2.858077742323932E-2</v>
      </c>
      <c r="I8267">
        <v>2.8580777423239379E-2</v>
      </c>
    </row>
    <row r="8268" spans="1:9" x14ac:dyDescent="0.25">
      <c r="A8268">
        <v>372</v>
      </c>
      <c r="B8268" t="s">
        <v>2775</v>
      </c>
      <c r="C8268" t="s">
        <v>10</v>
      </c>
      <c r="D8268" t="s">
        <v>717</v>
      </c>
      <c r="E8268">
        <f t="shared" si="376"/>
        <v>9.5238095238095247E-3</v>
      </c>
      <c r="F8268">
        <v>5</v>
      </c>
      <c r="G8268">
        <f>LOG(382/(5+1))</f>
        <v>1.803912112528065</v>
      </c>
      <c r="H8268">
        <f>0.00952380952380952*4.15366113937852</f>
        <v>3.9558677517890647E-2</v>
      </c>
      <c r="I8268">
        <v>3.9558677517890668E-2</v>
      </c>
    </row>
    <row r="8269" spans="1:9" x14ac:dyDescent="0.25">
      <c r="A8269">
        <v>372</v>
      </c>
      <c r="B8269" t="s">
        <v>2775</v>
      </c>
      <c r="C8269" t="s">
        <v>10</v>
      </c>
      <c r="D8269" t="s">
        <v>600</v>
      </c>
      <c r="E8269">
        <f>2/105</f>
        <v>1.9047619047619049E-2</v>
      </c>
      <c r="F8269">
        <v>102</v>
      </c>
      <c r="G8269">
        <f>LOG(382/(102+1))</f>
        <v>0.56922613820653656</v>
      </c>
      <c r="H8269">
        <f>0.019047619047619*1.31069162037693</f>
        <v>2.4965554673846226E-2</v>
      </c>
      <c r="I8269">
        <v>2.4965554673846469E-2</v>
      </c>
    </row>
    <row r="8270" spans="1:9" x14ac:dyDescent="0.25">
      <c r="A8270">
        <v>372</v>
      </c>
      <c r="B8270" t="s">
        <v>2775</v>
      </c>
      <c r="C8270" t="s">
        <v>10</v>
      </c>
      <c r="D8270" t="s">
        <v>580</v>
      </c>
      <c r="E8270">
        <f>1/105</f>
        <v>9.5238095238095247E-3</v>
      </c>
      <c r="F8270">
        <v>17</v>
      </c>
      <c r="G8270">
        <f>LOG(382/(17+1))</f>
        <v>1.3267908578084027</v>
      </c>
      <c r="H8270">
        <f>0.00952380952380952*3.05504885071041</f>
        <v>2.909570334009913E-2</v>
      </c>
      <c r="I8270">
        <v>2.9095703340099151E-2</v>
      </c>
    </row>
    <row r="8271" spans="1:9" x14ac:dyDescent="0.25">
      <c r="A8271">
        <v>372</v>
      </c>
      <c r="B8271" t="s">
        <v>2775</v>
      </c>
      <c r="C8271" t="s">
        <v>10</v>
      </c>
      <c r="D8271" t="s">
        <v>76</v>
      </c>
      <c r="E8271">
        <f>1/105</f>
        <v>9.5238095238095247E-3</v>
      </c>
      <c r="F8271">
        <v>140</v>
      </c>
      <c r="G8271">
        <f>LOG(382/(140+1))</f>
        <v>0.43284425025632883</v>
      </c>
      <c r="H8271">
        <f>0.00952380952380952*0.996660718228407</f>
        <v>9.4920068402705379E-3</v>
      </c>
      <c r="I8271">
        <v>9.4920068402705431E-3</v>
      </c>
    </row>
    <row r="8272" spans="1:9" x14ac:dyDescent="0.25">
      <c r="A8272">
        <v>372</v>
      </c>
      <c r="B8272" t="s">
        <v>2775</v>
      </c>
      <c r="C8272" t="s">
        <v>10</v>
      </c>
      <c r="D8272" t="s">
        <v>939</v>
      </c>
      <c r="E8272">
        <f>1/105</f>
        <v>9.5238095238095247E-3</v>
      </c>
      <c r="F8272">
        <v>35</v>
      </c>
      <c r="G8272">
        <f>LOG(382/(35+1))</f>
        <v>1.0257608621444214</v>
      </c>
      <c r="H8272">
        <f>0.00952380952380952*2.36190167015046</f>
        <v>2.2494301620480561E-2</v>
      </c>
      <c r="I8272">
        <v>2.249430162048062E-2</v>
      </c>
    </row>
    <row r="8273" spans="1:9" x14ac:dyDescent="0.25">
      <c r="A8273">
        <v>372</v>
      </c>
      <c r="B8273" t="s">
        <v>2775</v>
      </c>
      <c r="C8273" t="s">
        <v>10</v>
      </c>
      <c r="D8273" t="s">
        <v>594</v>
      </c>
      <c r="E8273">
        <f>3/105</f>
        <v>2.8571428571428571E-2</v>
      </c>
      <c r="F8273">
        <v>36</v>
      </c>
      <c r="G8273">
        <f>LOG(382/(36+1))</f>
        <v>1.0138616388447137</v>
      </c>
      <c r="H8273">
        <f>0.0285714285714285*2.33450269596235</f>
        <v>6.6700077027495558E-2</v>
      </c>
      <c r="I8273">
        <v>6.6700077027495738E-2</v>
      </c>
    </row>
    <row r="8274" spans="1:9" x14ac:dyDescent="0.25">
      <c r="A8274">
        <v>372</v>
      </c>
      <c r="B8274" t="s">
        <v>2775</v>
      </c>
      <c r="C8274" t="s">
        <v>10</v>
      </c>
      <c r="D8274" t="s">
        <v>811</v>
      </c>
      <c r="E8274">
        <f>2/105</f>
        <v>1.9047619047619049E-2</v>
      </c>
      <c r="F8274">
        <v>27</v>
      </c>
      <c r="G8274">
        <f>LOG(382/(27+1))</f>
        <v>1.1349053315694895</v>
      </c>
      <c r="H8274">
        <f>0.019047619047619*2.61321609843137</f>
        <v>4.9775544732025973E-2</v>
      </c>
      <c r="I8274">
        <v>4.9775544732026118E-2</v>
      </c>
    </row>
    <row r="8275" spans="1:9" x14ac:dyDescent="0.25">
      <c r="A8275">
        <v>372</v>
      </c>
      <c r="B8275" t="s">
        <v>2775</v>
      </c>
      <c r="C8275" t="s">
        <v>10</v>
      </c>
      <c r="D8275" t="s">
        <v>236</v>
      </c>
      <c r="E8275">
        <f>1/105</f>
        <v>9.5238095238095247E-3</v>
      </c>
      <c r="F8275">
        <v>87</v>
      </c>
      <c r="G8275">
        <f>LOG(382/(87+1))</f>
        <v>0.63758069076154011</v>
      </c>
      <c r="H8275">
        <f>0.00952380952380952*1.46808379412836</f>
        <v>1.3981750420270089E-2</v>
      </c>
      <c r="I8275">
        <v>1.3981750420270179E-2</v>
      </c>
    </row>
    <row r="8276" spans="1:9" x14ac:dyDescent="0.25">
      <c r="A8276">
        <v>372</v>
      </c>
      <c r="B8276" t="s">
        <v>2775</v>
      </c>
      <c r="C8276" t="s">
        <v>10</v>
      </c>
      <c r="D8276" t="s">
        <v>77</v>
      </c>
      <c r="E8276">
        <f>5/105</f>
        <v>4.7619047619047616E-2</v>
      </c>
      <c r="F8276">
        <v>148</v>
      </c>
      <c r="G8276">
        <f>LOG(382/(148+1))</f>
        <v>0.40887709449943471</v>
      </c>
      <c r="H8276">
        <f>0.0476190476190476*0.941474302661116</f>
        <v>4.483210965052932E-2</v>
      </c>
      <c r="I8276">
        <v>4.4832109650529327E-2</v>
      </c>
    </row>
    <row r="8277" spans="1:9" x14ac:dyDescent="0.25">
      <c r="A8277">
        <v>372</v>
      </c>
      <c r="B8277" t="s">
        <v>2775</v>
      </c>
      <c r="C8277" t="s">
        <v>10</v>
      </c>
      <c r="D8277" t="s">
        <v>502</v>
      </c>
      <c r="E8277">
        <f>3/105</f>
        <v>2.8571428571428571E-2</v>
      </c>
      <c r="F8277">
        <v>2</v>
      </c>
      <c r="G8277">
        <f>LOG(382/(2+1))</f>
        <v>2.1049421081920463</v>
      </c>
      <c r="H8277">
        <f>0.0285714285714285*4.84680831993846</f>
        <v>0.1384802377125271</v>
      </c>
      <c r="I8277">
        <v>0.1384802377125276</v>
      </c>
    </row>
    <row r="8278" spans="1:9" x14ac:dyDescent="0.25">
      <c r="A8278">
        <v>372</v>
      </c>
      <c r="B8278" t="s">
        <v>2775</v>
      </c>
      <c r="C8278" t="s">
        <v>10</v>
      </c>
      <c r="D8278" t="s">
        <v>503</v>
      </c>
      <c r="E8278">
        <f t="shared" ref="E8278:E8286" si="377">1/105</f>
        <v>9.5238095238095247E-3</v>
      </c>
      <c r="F8278">
        <v>2</v>
      </c>
      <c r="G8278">
        <f>LOG(382/(2+1))</f>
        <v>2.1049421081920463</v>
      </c>
      <c r="H8278">
        <f>0.00952380952380952*4.84680831993846</f>
        <v>4.6160079237509123E-2</v>
      </c>
      <c r="I8278">
        <v>4.61600792375092E-2</v>
      </c>
    </row>
    <row r="8279" spans="1:9" x14ac:dyDescent="0.25">
      <c r="A8279">
        <v>372</v>
      </c>
      <c r="B8279" t="s">
        <v>2775</v>
      </c>
      <c r="C8279" t="s">
        <v>10</v>
      </c>
      <c r="D8279" t="s">
        <v>487</v>
      </c>
      <c r="E8279">
        <f t="shared" si="377"/>
        <v>9.5238095238095247E-3</v>
      </c>
      <c r="F8279">
        <v>32</v>
      </c>
      <c r="G8279">
        <f>LOG(382/(32+1))</f>
        <v>1.0635494230338212</v>
      </c>
      <c r="H8279">
        <f>0.00952380952380952*2.44891304714009</f>
        <v>2.3322981401334181E-2</v>
      </c>
      <c r="I8279">
        <v>2.332298140133424E-2</v>
      </c>
    </row>
    <row r="8280" spans="1:9" x14ac:dyDescent="0.25">
      <c r="A8280">
        <v>372</v>
      </c>
      <c r="B8280" t="s">
        <v>2775</v>
      </c>
      <c r="C8280" t="s">
        <v>10</v>
      </c>
      <c r="D8280" t="s">
        <v>2777</v>
      </c>
      <c r="E8280">
        <f t="shared" si="377"/>
        <v>9.5238095238095247E-3</v>
      </c>
      <c r="F8280">
        <v>1</v>
      </c>
      <c r="G8280">
        <f>LOG(382/(1+1))</f>
        <v>2.2810333672477277</v>
      </c>
      <c r="H8280">
        <f>0.00952380952380952*5.25227342804663</f>
        <v>5.0021651695682165E-2</v>
      </c>
      <c r="I8280">
        <v>5.0021651695682193E-2</v>
      </c>
    </row>
    <row r="8281" spans="1:9" x14ac:dyDescent="0.25">
      <c r="A8281">
        <v>372</v>
      </c>
      <c r="B8281" t="s">
        <v>2775</v>
      </c>
      <c r="C8281" t="s">
        <v>10</v>
      </c>
      <c r="D8281" t="s">
        <v>486</v>
      </c>
      <c r="E8281">
        <f t="shared" si="377"/>
        <v>9.5238095238095247E-3</v>
      </c>
      <c r="F8281">
        <v>5</v>
      </c>
      <c r="G8281">
        <f>LOG(382/(5+1))</f>
        <v>1.803912112528065</v>
      </c>
      <c r="H8281">
        <f>0.00952380952380952*4.15366113937852</f>
        <v>3.9558677517890647E-2</v>
      </c>
      <c r="I8281">
        <v>3.9558677517890668E-2</v>
      </c>
    </row>
    <row r="8282" spans="1:9" x14ac:dyDescent="0.25">
      <c r="A8282">
        <v>372</v>
      </c>
      <c r="B8282" t="s">
        <v>2775</v>
      </c>
      <c r="C8282" t="s">
        <v>10</v>
      </c>
      <c r="D8282" t="s">
        <v>2384</v>
      </c>
      <c r="E8282">
        <f t="shared" si="377"/>
        <v>9.5238095238095247E-3</v>
      </c>
      <c r="F8282">
        <v>5</v>
      </c>
      <c r="G8282">
        <f>LOG(382/(5+1))</f>
        <v>1.803912112528065</v>
      </c>
      <c r="H8282">
        <f>0.00952380952380952*4.15366113937852</f>
        <v>3.9558677517890647E-2</v>
      </c>
      <c r="I8282">
        <v>3.9558677517890668E-2</v>
      </c>
    </row>
    <row r="8283" spans="1:9" x14ac:dyDescent="0.25">
      <c r="A8283">
        <v>372</v>
      </c>
      <c r="B8283" t="s">
        <v>2775</v>
      </c>
      <c r="C8283" t="s">
        <v>10</v>
      </c>
      <c r="D8283" t="s">
        <v>2756</v>
      </c>
      <c r="E8283">
        <f t="shared" si="377"/>
        <v>9.5238095238095247E-3</v>
      </c>
      <c r="F8283">
        <v>3</v>
      </c>
      <c r="G8283">
        <f>LOG(382/(3+1))</f>
        <v>1.9800033715837464</v>
      </c>
      <c r="H8283">
        <f>0.00952380952380952*4.55912624748668</f>
        <v>4.3420249976063599E-2</v>
      </c>
      <c r="I8283">
        <v>4.3420249976063668E-2</v>
      </c>
    </row>
    <row r="8284" spans="1:9" x14ac:dyDescent="0.25">
      <c r="A8284">
        <v>372</v>
      </c>
      <c r="B8284" t="s">
        <v>2775</v>
      </c>
      <c r="C8284" t="s">
        <v>10</v>
      </c>
      <c r="D8284" t="s">
        <v>2778</v>
      </c>
      <c r="E8284">
        <f t="shared" si="377"/>
        <v>9.5238095238095247E-3</v>
      </c>
      <c r="F8284">
        <v>1</v>
      </c>
      <c r="G8284">
        <f>LOG(382/(1+1))</f>
        <v>2.2810333672477277</v>
      </c>
      <c r="H8284">
        <f>0.00952380952380952*5.25227342804663</f>
        <v>5.0021651695682165E-2</v>
      </c>
      <c r="I8284">
        <v>5.0021651695682193E-2</v>
      </c>
    </row>
    <row r="8285" spans="1:9" x14ac:dyDescent="0.25">
      <c r="A8285">
        <v>372</v>
      </c>
      <c r="B8285" t="s">
        <v>2775</v>
      </c>
      <c r="C8285" t="s">
        <v>10</v>
      </c>
      <c r="D8285" t="s">
        <v>2779</v>
      </c>
      <c r="E8285">
        <f t="shared" si="377"/>
        <v>9.5238095238095247E-3</v>
      </c>
      <c r="F8285">
        <v>1</v>
      </c>
      <c r="G8285">
        <f>LOG(382/(1+1))</f>
        <v>2.2810333672477277</v>
      </c>
      <c r="H8285">
        <f>0.00952380952380952*5.25227342804663</f>
        <v>5.0021651695682165E-2</v>
      </c>
      <c r="I8285">
        <v>5.0021651695682193E-2</v>
      </c>
    </row>
    <row r="8286" spans="1:9" x14ac:dyDescent="0.25">
      <c r="A8286">
        <v>372</v>
      </c>
      <c r="B8286" t="s">
        <v>2775</v>
      </c>
      <c r="C8286" t="s">
        <v>10</v>
      </c>
      <c r="D8286" t="s">
        <v>602</v>
      </c>
      <c r="E8286">
        <f t="shared" si="377"/>
        <v>9.5238095238095247E-3</v>
      </c>
      <c r="F8286">
        <v>13</v>
      </c>
      <c r="G8286">
        <f>LOG(382/(13+1))</f>
        <v>1.4359353272334707</v>
      </c>
      <c r="H8286">
        <f>0.00952380952380952*3.30636327899131</f>
        <v>3.1489174085631511E-2</v>
      </c>
      <c r="I8286">
        <v>3.1489174085631587E-2</v>
      </c>
    </row>
    <row r="8287" spans="1:9" x14ac:dyDescent="0.25">
      <c r="A8287">
        <v>372</v>
      </c>
      <c r="B8287" t="s">
        <v>2775</v>
      </c>
      <c r="C8287" t="s">
        <v>10</v>
      </c>
      <c r="D8287" t="s">
        <v>593</v>
      </c>
      <c r="E8287">
        <f>2/105</f>
        <v>1.9047619047619049E-2</v>
      </c>
      <c r="F8287">
        <v>30</v>
      </c>
      <c r="G8287">
        <f>LOG(382/(30+1))</f>
        <v>1.090701669077436</v>
      </c>
      <c r="H8287">
        <f>0.019047619047619*2.51143340412142</f>
        <v>4.7836826745169793E-2</v>
      </c>
      <c r="I8287">
        <v>4.7836826745170077E-2</v>
      </c>
    </row>
    <row r="8288" spans="1:9" x14ac:dyDescent="0.25">
      <c r="A8288">
        <v>372</v>
      </c>
      <c r="B8288" t="s">
        <v>2775</v>
      </c>
      <c r="C8288" t="s">
        <v>10</v>
      </c>
      <c r="D8288" t="s">
        <v>2780</v>
      </c>
      <c r="E8288">
        <f t="shared" ref="E8288:E8302" si="378">1/105</f>
        <v>9.5238095238095247E-3</v>
      </c>
      <c r="F8288">
        <v>1</v>
      </c>
      <c r="G8288">
        <f>LOG(382/(1+1))</f>
        <v>2.2810333672477277</v>
      </c>
      <c r="H8288">
        <f>0.00952380952380952*5.25227342804663</f>
        <v>5.0021651695682165E-2</v>
      </c>
      <c r="I8288">
        <v>5.0021651695682193E-2</v>
      </c>
    </row>
    <row r="8289" spans="1:9" x14ac:dyDescent="0.25">
      <c r="A8289">
        <v>372</v>
      </c>
      <c r="B8289" t="s">
        <v>2775</v>
      </c>
      <c r="C8289" t="s">
        <v>10</v>
      </c>
      <c r="D8289" t="s">
        <v>2781</v>
      </c>
      <c r="E8289">
        <f t="shared" si="378"/>
        <v>9.5238095238095247E-3</v>
      </c>
      <c r="F8289">
        <v>1</v>
      </c>
      <c r="G8289">
        <f>LOG(382/(1+1))</f>
        <v>2.2810333672477277</v>
      </c>
      <c r="H8289">
        <f>0.00952380952380952*5.25227342804663</f>
        <v>5.0021651695682165E-2</v>
      </c>
      <c r="I8289">
        <v>5.0021651695682193E-2</v>
      </c>
    </row>
    <row r="8290" spans="1:9" x14ac:dyDescent="0.25">
      <c r="A8290">
        <v>372</v>
      </c>
      <c r="B8290" t="s">
        <v>2775</v>
      </c>
      <c r="C8290" t="s">
        <v>10</v>
      </c>
      <c r="D8290" t="s">
        <v>1974</v>
      </c>
      <c r="E8290">
        <f t="shared" si="378"/>
        <v>9.5238095238095247E-3</v>
      </c>
      <c r="F8290">
        <v>9</v>
      </c>
      <c r="G8290">
        <f>LOG(382/(9+1))</f>
        <v>1.5820633629117087</v>
      </c>
      <c r="H8290">
        <f>0.00952380952380952*3.64283551561252</f>
        <v>3.4693671577262081E-2</v>
      </c>
      <c r="I8290">
        <v>3.4693671577262178E-2</v>
      </c>
    </row>
    <row r="8291" spans="1:9" x14ac:dyDescent="0.25">
      <c r="A8291">
        <v>372</v>
      </c>
      <c r="B8291" t="s">
        <v>2775</v>
      </c>
      <c r="C8291" t="s">
        <v>10</v>
      </c>
      <c r="D8291" t="s">
        <v>336</v>
      </c>
      <c r="E8291">
        <f t="shared" si="378"/>
        <v>9.5238095238095247E-3</v>
      </c>
      <c r="F8291">
        <v>10</v>
      </c>
      <c r="G8291">
        <f>LOG(382/(10+1))</f>
        <v>1.5406706777534838</v>
      </c>
      <c r="H8291">
        <f>0.00952380952380952*3.5475253358082</f>
        <v>3.3785955579125698E-2</v>
      </c>
      <c r="I8291">
        <v>3.3785955579125761E-2</v>
      </c>
    </row>
    <row r="8292" spans="1:9" x14ac:dyDescent="0.25">
      <c r="A8292">
        <v>372</v>
      </c>
      <c r="B8292" t="s">
        <v>2775</v>
      </c>
      <c r="C8292" t="s">
        <v>10</v>
      </c>
      <c r="D8292" t="s">
        <v>106</v>
      </c>
      <c r="E8292">
        <f t="shared" si="378"/>
        <v>9.5238095238095247E-3</v>
      </c>
      <c r="F8292">
        <v>17</v>
      </c>
      <c r="G8292">
        <f>LOG(382/(17+1))</f>
        <v>1.3267908578084027</v>
      </c>
      <c r="H8292">
        <f>0.00952380952380952*3.05504885071041</f>
        <v>2.909570334009913E-2</v>
      </c>
      <c r="I8292">
        <v>2.9095703340099151E-2</v>
      </c>
    </row>
    <row r="8293" spans="1:9" x14ac:dyDescent="0.25">
      <c r="A8293">
        <v>372</v>
      </c>
      <c r="B8293" t="s">
        <v>2775</v>
      </c>
      <c r="C8293" t="s">
        <v>10</v>
      </c>
      <c r="D8293" t="s">
        <v>2782</v>
      </c>
      <c r="E8293">
        <f t="shared" si="378"/>
        <v>9.5238095238095247E-3</v>
      </c>
      <c r="F8293">
        <v>1</v>
      </c>
      <c r="G8293">
        <f>LOG(382/(1+1))</f>
        <v>2.2810333672477277</v>
      </c>
      <c r="H8293">
        <f>0.00952380952380952*5.25227342804663</f>
        <v>5.0021651695682165E-2</v>
      </c>
      <c r="I8293">
        <v>5.0021651695682193E-2</v>
      </c>
    </row>
    <row r="8294" spans="1:9" x14ac:dyDescent="0.25">
      <c r="A8294">
        <v>372</v>
      </c>
      <c r="B8294" t="s">
        <v>2775</v>
      </c>
      <c r="C8294" t="s">
        <v>10</v>
      </c>
      <c r="D8294" t="s">
        <v>2783</v>
      </c>
      <c r="E8294">
        <f t="shared" si="378"/>
        <v>9.5238095238095247E-3</v>
      </c>
      <c r="F8294">
        <v>2</v>
      </c>
      <c r="G8294">
        <f>LOG(382/(2+1))</f>
        <v>2.1049421081920463</v>
      </c>
      <c r="H8294">
        <f>0.00952380952380952*4.84680831993846</f>
        <v>4.6160079237509123E-2</v>
      </c>
      <c r="I8294">
        <v>4.61600792375092E-2</v>
      </c>
    </row>
    <row r="8295" spans="1:9" x14ac:dyDescent="0.25">
      <c r="A8295">
        <v>372</v>
      </c>
      <c r="B8295" t="s">
        <v>2775</v>
      </c>
      <c r="C8295" t="s">
        <v>10</v>
      </c>
      <c r="D8295" t="s">
        <v>112</v>
      </c>
      <c r="E8295">
        <f t="shared" si="378"/>
        <v>9.5238095238095247E-3</v>
      </c>
      <c r="F8295">
        <v>52</v>
      </c>
      <c r="G8295">
        <f>LOG(382/(52+1))</f>
        <v>0.85778749331091964</v>
      </c>
      <c r="H8295">
        <f>0.00952380952380952*1.97512869505445</f>
        <v>1.8810749476709038E-2</v>
      </c>
      <c r="I8295">
        <v>1.881074947670908E-2</v>
      </c>
    </row>
    <row r="8296" spans="1:9" x14ac:dyDescent="0.25">
      <c r="A8296">
        <v>372</v>
      </c>
      <c r="B8296" t="s">
        <v>2775</v>
      </c>
      <c r="C8296" t="s">
        <v>10</v>
      </c>
      <c r="D8296" t="s">
        <v>1328</v>
      </c>
      <c r="E8296">
        <f t="shared" si="378"/>
        <v>9.5238095238095247E-3</v>
      </c>
      <c r="F8296">
        <v>22</v>
      </c>
      <c r="G8296">
        <f>LOG(382/(22+1))</f>
        <v>1.2203355268941158</v>
      </c>
      <c r="H8296">
        <f>0.00952380952380952*2.80992639267742</f>
        <v>2.6761203739784939E-2</v>
      </c>
      <c r="I8296">
        <v>2.6761203739785008E-2</v>
      </c>
    </row>
    <row r="8297" spans="1:9" x14ac:dyDescent="0.25">
      <c r="A8297">
        <v>372</v>
      </c>
      <c r="B8297" t="s">
        <v>2775</v>
      </c>
      <c r="C8297" t="s">
        <v>10</v>
      </c>
      <c r="D8297" t="s">
        <v>237</v>
      </c>
      <c r="E8297">
        <f t="shared" si="378"/>
        <v>9.5238095238095247E-3</v>
      </c>
      <c r="F8297">
        <v>138</v>
      </c>
      <c r="G8297">
        <f>LOG(382/(138+1))</f>
        <v>0.43904856265761361</v>
      </c>
      <c r="H8297">
        <f>0.00952380952380952*1.01094667547588</f>
        <v>9.6280635759607575E-3</v>
      </c>
      <c r="I8297">
        <v>9.6280635759607939E-3</v>
      </c>
    </row>
    <row r="8298" spans="1:9" x14ac:dyDescent="0.25">
      <c r="A8298">
        <v>372</v>
      </c>
      <c r="B8298" t="s">
        <v>2775</v>
      </c>
      <c r="C8298" t="s">
        <v>10</v>
      </c>
      <c r="D8298" t="s">
        <v>1176</v>
      </c>
      <c r="E8298">
        <f t="shared" si="378"/>
        <v>9.5238095238095247E-3</v>
      </c>
      <c r="F8298">
        <v>15</v>
      </c>
      <c r="G8298">
        <f>LOG(382/(15+1))</f>
        <v>1.3779433802557839</v>
      </c>
      <c r="H8298">
        <f>0.00952380952380952*3.17283188636679</f>
        <v>3.0217446536826557E-2</v>
      </c>
      <c r="I8298">
        <v>3.0217446536826609E-2</v>
      </c>
    </row>
    <row r="8299" spans="1:9" x14ac:dyDescent="0.25">
      <c r="A8299">
        <v>372</v>
      </c>
      <c r="B8299" t="s">
        <v>2775</v>
      </c>
      <c r="C8299" t="s">
        <v>10</v>
      </c>
      <c r="D8299" t="s">
        <v>1073</v>
      </c>
      <c r="E8299">
        <f t="shared" si="378"/>
        <v>9.5238095238095247E-3</v>
      </c>
      <c r="F8299">
        <v>25</v>
      </c>
      <c r="G8299">
        <f>LOG(382/(25+1))</f>
        <v>1.1670900149408907</v>
      </c>
      <c r="H8299">
        <f>0.00952380952380952*2.68732407058509</f>
        <v>2.5593562577000847E-2</v>
      </c>
      <c r="I8299">
        <v>2.5593562577000888E-2</v>
      </c>
    </row>
    <row r="8300" spans="1:9" x14ac:dyDescent="0.25">
      <c r="A8300">
        <v>372</v>
      </c>
      <c r="B8300" t="s">
        <v>2775</v>
      </c>
      <c r="C8300" t="s">
        <v>10</v>
      </c>
      <c r="D8300" t="s">
        <v>1462</v>
      </c>
      <c r="E8300">
        <f t="shared" si="378"/>
        <v>9.5238095238095247E-3</v>
      </c>
      <c r="F8300">
        <v>7</v>
      </c>
      <c r="G8300">
        <f>LOG(382/(7+1))</f>
        <v>1.6789733759197651</v>
      </c>
      <c r="H8300">
        <f>0.00952380952380952*3.86597906692673</f>
        <v>3.6818848256445033E-2</v>
      </c>
      <c r="I8300">
        <v>3.6818848256445137E-2</v>
      </c>
    </row>
    <row r="8301" spans="1:9" x14ac:dyDescent="0.25">
      <c r="A8301">
        <v>372</v>
      </c>
      <c r="B8301" t="s">
        <v>2775</v>
      </c>
      <c r="C8301" t="s">
        <v>10</v>
      </c>
      <c r="D8301" t="s">
        <v>1464</v>
      </c>
      <c r="E8301">
        <f t="shared" si="378"/>
        <v>9.5238095238095247E-3</v>
      </c>
      <c r="F8301">
        <v>4</v>
      </c>
      <c r="G8301">
        <f>LOG(382/(4+1))</f>
        <v>1.8830933585756899</v>
      </c>
      <c r="H8301">
        <f>0.00952380952380952*4.33598269617247</f>
        <v>4.1295073296880654E-2</v>
      </c>
      <c r="I8301">
        <v>4.1295073296880723E-2</v>
      </c>
    </row>
    <row r="8302" spans="1:9" x14ac:dyDescent="0.25">
      <c r="A8302">
        <v>372</v>
      </c>
      <c r="B8302" t="s">
        <v>2775</v>
      </c>
      <c r="C8302" t="s">
        <v>10</v>
      </c>
      <c r="D8302" t="s">
        <v>133</v>
      </c>
      <c r="E8302">
        <f t="shared" si="378"/>
        <v>9.5238095238095247E-3</v>
      </c>
      <c r="F8302">
        <v>142</v>
      </c>
      <c r="G8302">
        <f>LOG(382/(142+1))</f>
        <v>0.42672732544664693</v>
      </c>
      <c r="H8302">
        <f>0.00952380952380952*0.982575978346667</f>
        <v>9.3578664604444424E-3</v>
      </c>
      <c r="I8302">
        <v>9.3578664604444563E-3</v>
      </c>
    </row>
    <row r="8303" spans="1:9" x14ac:dyDescent="0.25">
      <c r="A8303">
        <v>373</v>
      </c>
      <c r="B8303" t="s">
        <v>2784</v>
      </c>
      <c r="C8303" t="s">
        <v>10</v>
      </c>
      <c r="D8303" t="s">
        <v>68</v>
      </c>
      <c r="E8303">
        <f>4/37</f>
        <v>0.10810810810810811</v>
      </c>
      <c r="F8303">
        <v>43</v>
      </c>
      <c r="G8303">
        <f>LOG(382/(43+1))</f>
        <v>0.93861068642552126</v>
      </c>
      <c r="H8303">
        <f>0.108108108108108*2.16123097468831</f>
        <v>0.23364659185819542</v>
      </c>
      <c r="I8303">
        <v>0.23364659185819611</v>
      </c>
    </row>
    <row r="8304" spans="1:9" x14ac:dyDescent="0.25">
      <c r="A8304">
        <v>373</v>
      </c>
      <c r="B8304" t="s">
        <v>2784</v>
      </c>
      <c r="C8304" t="s">
        <v>10</v>
      </c>
      <c r="D8304" t="s">
        <v>2785</v>
      </c>
      <c r="E8304">
        <f>2/37</f>
        <v>5.4054054054054057E-2</v>
      </c>
      <c r="F8304">
        <v>1</v>
      </c>
      <c r="G8304">
        <f>LOG(382/(1+1))</f>
        <v>2.2810333672477277</v>
      </c>
      <c r="H8304">
        <f>0.054054054054054*5.25227342804663</f>
        <v>0.28390667178630402</v>
      </c>
      <c r="I8304">
        <v>0.28390667178630441</v>
      </c>
    </row>
    <row r="8305" spans="1:9" x14ac:dyDescent="0.25">
      <c r="A8305">
        <v>373</v>
      </c>
      <c r="B8305" t="s">
        <v>2784</v>
      </c>
      <c r="C8305" t="s">
        <v>10</v>
      </c>
      <c r="D8305" t="s">
        <v>38</v>
      </c>
      <c r="E8305">
        <f>2/37</f>
        <v>5.4054054054054057E-2</v>
      </c>
      <c r="F8305">
        <v>86</v>
      </c>
      <c r="G8305">
        <f>LOG(382/(86+1))</f>
        <v>0.64254411029309022</v>
      </c>
      <c r="H8305">
        <f>0.054054054054054*1.47951248995199</f>
        <v>7.9973648105512898E-2</v>
      </c>
      <c r="I8305">
        <v>7.9973648105513051E-2</v>
      </c>
    </row>
    <row r="8306" spans="1:9" x14ac:dyDescent="0.25">
      <c r="A8306">
        <v>373</v>
      </c>
      <c r="B8306" t="s">
        <v>2784</v>
      </c>
      <c r="C8306" t="s">
        <v>10</v>
      </c>
      <c r="D8306" t="s">
        <v>42</v>
      </c>
      <c r="E8306">
        <f>1/37</f>
        <v>2.7027027027027029E-2</v>
      </c>
      <c r="F8306">
        <v>251</v>
      </c>
      <c r="G8306">
        <f>LOG(382/(251+1))</f>
        <v>0.18066282213016463</v>
      </c>
      <c r="H8306">
        <f>0.027027027027027*0.415991521095151</f>
        <v>1.1243014083652718E-2</v>
      </c>
      <c r="I8306">
        <v>1.124301408365275E-2</v>
      </c>
    </row>
    <row r="8307" spans="1:9" x14ac:dyDescent="0.25">
      <c r="A8307">
        <v>373</v>
      </c>
      <c r="B8307" t="s">
        <v>2784</v>
      </c>
      <c r="C8307" t="s">
        <v>10</v>
      </c>
      <c r="D8307" t="s">
        <v>19</v>
      </c>
      <c r="E8307">
        <f>2/37</f>
        <v>5.4054054054054057E-2</v>
      </c>
      <c r="F8307">
        <v>220</v>
      </c>
      <c r="G8307">
        <f>LOG(382/(220+1))</f>
        <v>0.23767108922659805</v>
      </c>
      <c r="H8307">
        <f>0.054054054054054*0.547257907088822</f>
        <v>2.9581508491287649E-2</v>
      </c>
      <c r="I8307">
        <v>2.9581508491287701E-2</v>
      </c>
    </row>
    <row r="8308" spans="1:9" x14ac:dyDescent="0.25">
      <c r="A8308">
        <v>373</v>
      </c>
      <c r="B8308" t="s">
        <v>2784</v>
      </c>
      <c r="C8308" t="s">
        <v>10</v>
      </c>
      <c r="D8308" t="s">
        <v>44</v>
      </c>
      <c r="E8308">
        <f>2/37</f>
        <v>5.4054054054054057E-2</v>
      </c>
      <c r="F8308">
        <v>151</v>
      </c>
      <c r="G8308">
        <f>LOG(382/(151+1))</f>
        <v>0.40021977496693617</v>
      </c>
      <c r="H8308">
        <f>0.054054054054054*0.921540087760298</f>
        <v>4.9812977716772816E-2</v>
      </c>
      <c r="I8308">
        <v>4.9812977716772913E-2</v>
      </c>
    </row>
    <row r="8309" spans="1:9" x14ac:dyDescent="0.25">
      <c r="A8309">
        <v>373</v>
      </c>
      <c r="B8309" t="s">
        <v>2784</v>
      </c>
      <c r="C8309" t="s">
        <v>10</v>
      </c>
      <c r="D8309" t="s">
        <v>69</v>
      </c>
      <c r="E8309">
        <f>1/37</f>
        <v>2.7027027027027029E-2</v>
      </c>
      <c r="F8309">
        <v>13</v>
      </c>
      <c r="G8309">
        <f>LOG(382/(13+1))</f>
        <v>1.4359353272334707</v>
      </c>
      <c r="H8309">
        <f>0.027027027027027*3.30636327899131</f>
        <v>8.9361169702467755E-2</v>
      </c>
      <c r="I8309">
        <v>8.9361169702468018E-2</v>
      </c>
    </row>
    <row r="8310" spans="1:9" x14ac:dyDescent="0.25">
      <c r="A8310">
        <v>373</v>
      </c>
      <c r="B8310" t="s">
        <v>2784</v>
      </c>
      <c r="C8310" t="s">
        <v>10</v>
      </c>
      <c r="D8310" t="s">
        <v>17</v>
      </c>
      <c r="E8310">
        <f t="shared" ref="E8310:E8315" si="379">2/37</f>
        <v>5.4054054054054057E-2</v>
      </c>
      <c r="F8310">
        <v>169</v>
      </c>
      <c r="G8310">
        <f>LOG(382/(169+1))</f>
        <v>0.3516144415334348</v>
      </c>
      <c r="H8310">
        <f>0.054054054054054*0.809622171556313</f>
        <v>4.3763360624665522E-2</v>
      </c>
      <c r="I8310">
        <v>4.3763360624665591E-2</v>
      </c>
    </row>
    <row r="8311" spans="1:9" x14ac:dyDescent="0.25">
      <c r="A8311">
        <v>373</v>
      </c>
      <c r="B8311" t="s">
        <v>2784</v>
      </c>
      <c r="C8311" t="s">
        <v>10</v>
      </c>
      <c r="D8311" t="s">
        <v>70</v>
      </c>
      <c r="E8311">
        <f t="shared" si="379"/>
        <v>5.4054054054054057E-2</v>
      </c>
      <c r="F8311">
        <v>44</v>
      </c>
      <c r="G8311">
        <f>LOG(382/(44+1))</f>
        <v>0.92885084913636506</v>
      </c>
      <c r="H8311">
        <f>0.054054054054054*2.13875811883625</f>
        <v>0.1156085469641215</v>
      </c>
      <c r="I8311">
        <v>0.1156085469641219</v>
      </c>
    </row>
    <row r="8312" spans="1:9" x14ac:dyDescent="0.25">
      <c r="A8312">
        <v>373</v>
      </c>
      <c r="B8312" t="s">
        <v>2784</v>
      </c>
      <c r="C8312" t="s">
        <v>10</v>
      </c>
      <c r="D8312" t="s">
        <v>22</v>
      </c>
      <c r="E8312">
        <f t="shared" si="379"/>
        <v>5.4054054054054057E-2</v>
      </c>
      <c r="F8312">
        <v>259</v>
      </c>
      <c r="G8312">
        <f>LOG(382/(259+1))</f>
        <v>0.16709001494089079</v>
      </c>
      <c r="H8312">
        <f>0.054054054054054*0.384738977591047</f>
        <v>2.0796701491407926E-2</v>
      </c>
      <c r="I8312">
        <v>2.0796701491407971E-2</v>
      </c>
    </row>
    <row r="8313" spans="1:9" x14ac:dyDescent="0.25">
      <c r="A8313">
        <v>373</v>
      </c>
      <c r="B8313" t="s">
        <v>2784</v>
      </c>
      <c r="C8313" t="s">
        <v>10</v>
      </c>
      <c r="D8313" t="s">
        <v>23</v>
      </c>
      <c r="E8313">
        <f t="shared" si="379"/>
        <v>5.4054054054054057E-2</v>
      </c>
      <c r="F8313">
        <v>275</v>
      </c>
      <c r="G8313">
        <f>LOG(382/(275+1))</f>
        <v>0.14115428084649101</v>
      </c>
      <c r="H8313">
        <f>0.054054054054054*0.325019742889425</f>
        <v>1.7568634750779712E-2</v>
      </c>
      <c r="I8313">
        <v>1.756863475077974E-2</v>
      </c>
    </row>
    <row r="8314" spans="1:9" x14ac:dyDescent="0.25">
      <c r="A8314">
        <v>373</v>
      </c>
      <c r="B8314" t="s">
        <v>2784</v>
      </c>
      <c r="C8314" t="s">
        <v>10</v>
      </c>
      <c r="D8314" t="s">
        <v>40</v>
      </c>
      <c r="E8314">
        <f t="shared" si="379"/>
        <v>5.4054054054054057E-2</v>
      </c>
      <c r="F8314">
        <v>159</v>
      </c>
      <c r="G8314">
        <f>LOG(382/(159+1))</f>
        <v>0.377943380255784</v>
      </c>
      <c r="H8314">
        <f>0.054054054054054*0.870246793372748</f>
        <v>4.7040367209337686E-2</v>
      </c>
      <c r="I8314">
        <v>4.7040367209337748E-2</v>
      </c>
    </row>
    <row r="8315" spans="1:9" x14ac:dyDescent="0.25">
      <c r="A8315">
        <v>373</v>
      </c>
      <c r="B8315" t="s">
        <v>2784</v>
      </c>
      <c r="C8315" t="s">
        <v>10</v>
      </c>
      <c r="D8315" t="s">
        <v>41</v>
      </c>
      <c r="E8315">
        <f t="shared" si="379"/>
        <v>5.4054054054054057E-2</v>
      </c>
      <c r="F8315">
        <v>195</v>
      </c>
      <c r="G8315">
        <f>LOG(382/(195+1))</f>
        <v>0.28980729155523272</v>
      </c>
      <c r="H8315">
        <f>0.054054054054054*0.667305949376058</f>
        <v>3.6070591858165267E-2</v>
      </c>
      <c r="I8315">
        <v>3.6070591858165302E-2</v>
      </c>
    </row>
    <row r="8316" spans="1:9" x14ac:dyDescent="0.25">
      <c r="A8316">
        <v>373</v>
      </c>
      <c r="B8316" t="s">
        <v>2784</v>
      </c>
      <c r="C8316" t="s">
        <v>10</v>
      </c>
      <c r="D8316" t="s">
        <v>204</v>
      </c>
      <c r="E8316">
        <f>1/37</f>
        <v>2.7027027027027029E-2</v>
      </c>
      <c r="F8316">
        <v>166</v>
      </c>
      <c r="G8316">
        <f>LOG(382/(166+1))</f>
        <v>0.35934689176412549</v>
      </c>
      <c r="H8316">
        <f>0.027027027027027*0.82742679618982</f>
        <v>2.2362886383508626E-2</v>
      </c>
      <c r="I8316">
        <v>2.236288638350865E-2</v>
      </c>
    </row>
    <row r="8317" spans="1:9" x14ac:dyDescent="0.25">
      <c r="A8317">
        <v>373</v>
      </c>
      <c r="B8317" t="s">
        <v>2784</v>
      </c>
      <c r="C8317" t="s">
        <v>10</v>
      </c>
      <c r="D8317" t="s">
        <v>76</v>
      </c>
      <c r="E8317">
        <f>1/37</f>
        <v>2.7027027027027029E-2</v>
      </c>
      <c r="F8317">
        <v>140</v>
      </c>
      <c r="G8317">
        <f>LOG(382/(140+1))</f>
        <v>0.43284425025632883</v>
      </c>
      <c r="H8317">
        <f>0.027027027027027*0.996660718228407</f>
        <v>2.6936776168335296E-2</v>
      </c>
      <c r="I8317">
        <v>2.693677616833532E-2</v>
      </c>
    </row>
    <row r="8318" spans="1:9" x14ac:dyDescent="0.25">
      <c r="A8318">
        <v>373</v>
      </c>
      <c r="B8318" t="s">
        <v>2784</v>
      </c>
      <c r="C8318" t="s">
        <v>10</v>
      </c>
      <c r="D8318" t="s">
        <v>331</v>
      </c>
      <c r="E8318">
        <f>1/37</f>
        <v>2.7027027027027029E-2</v>
      </c>
      <c r="F8318">
        <v>130</v>
      </c>
      <c r="G8318">
        <f>LOG(382/(130+1))</f>
        <v>0.46479206725594452</v>
      </c>
      <c r="H8318">
        <f>0.027027027027027*1.07022328540542</f>
        <v>2.8924953659605922E-2</v>
      </c>
      <c r="I8318">
        <v>2.892495365960605E-2</v>
      </c>
    </row>
    <row r="8319" spans="1:9" x14ac:dyDescent="0.25">
      <c r="A8319">
        <v>373</v>
      </c>
      <c r="B8319" t="s">
        <v>2784</v>
      </c>
      <c r="C8319" t="s">
        <v>10</v>
      </c>
      <c r="D8319" t="s">
        <v>77</v>
      </c>
      <c r="E8319">
        <f>2/37</f>
        <v>5.4054054054054057E-2</v>
      </c>
      <c r="F8319">
        <v>148</v>
      </c>
      <c r="G8319">
        <f>LOG(382/(148+1))</f>
        <v>0.40887709449943471</v>
      </c>
      <c r="H8319">
        <f>0.054054054054054*0.941474302661116</f>
        <v>5.089050284654676E-2</v>
      </c>
      <c r="I8319">
        <v>5.0890502846546823E-2</v>
      </c>
    </row>
    <row r="8320" spans="1:9" x14ac:dyDescent="0.25">
      <c r="A8320">
        <v>373</v>
      </c>
      <c r="B8320" t="s">
        <v>2784</v>
      </c>
      <c r="C8320" t="s">
        <v>10</v>
      </c>
      <c r="D8320" t="s">
        <v>2140</v>
      </c>
      <c r="E8320">
        <f t="shared" ref="E8320:E8325" si="380">1/37</f>
        <v>2.7027027027027029E-2</v>
      </c>
      <c r="F8320">
        <v>2</v>
      </c>
      <c r="G8320">
        <f>LOG(382/(2+1))</f>
        <v>2.1049421081920463</v>
      </c>
      <c r="H8320">
        <f>0.027027027027027*4.84680831993846</f>
        <v>0.13099481945779609</v>
      </c>
      <c r="I8320">
        <v>0.1309948194577964</v>
      </c>
    </row>
    <row r="8321" spans="1:9" x14ac:dyDescent="0.25">
      <c r="A8321">
        <v>373</v>
      </c>
      <c r="B8321" t="s">
        <v>2784</v>
      </c>
      <c r="C8321" t="s">
        <v>10</v>
      </c>
      <c r="D8321" t="s">
        <v>445</v>
      </c>
      <c r="E8321">
        <f t="shared" si="380"/>
        <v>2.7027027027027029E-2</v>
      </c>
      <c r="F8321">
        <v>35</v>
      </c>
      <c r="G8321">
        <f>LOG(382/(35+1))</f>
        <v>1.0257608621444214</v>
      </c>
      <c r="H8321">
        <f>0.027027027027027*2.36190167015046</f>
        <v>6.3835180274336698E-2</v>
      </c>
      <c r="I8321">
        <v>6.3835180274336892E-2</v>
      </c>
    </row>
    <row r="8322" spans="1:9" x14ac:dyDescent="0.25">
      <c r="A8322">
        <v>373</v>
      </c>
      <c r="B8322" t="s">
        <v>2784</v>
      </c>
      <c r="C8322" t="s">
        <v>10</v>
      </c>
      <c r="D8322" t="s">
        <v>345</v>
      </c>
      <c r="E8322">
        <f t="shared" si="380"/>
        <v>2.7027027027027029E-2</v>
      </c>
      <c r="F8322">
        <v>8</v>
      </c>
      <c r="G8322">
        <f>LOG(382/(8+1))</f>
        <v>1.6278208534723839</v>
      </c>
      <c r="H8322">
        <f>0.027027027027027*3.74819603127035</f>
        <v>0.10130259543973909</v>
      </c>
      <c r="I8322">
        <v>0.10130259543973941</v>
      </c>
    </row>
    <row r="8323" spans="1:9" x14ac:dyDescent="0.25">
      <c r="A8323">
        <v>373</v>
      </c>
      <c r="B8323" t="s">
        <v>2784</v>
      </c>
      <c r="C8323" t="s">
        <v>10</v>
      </c>
      <c r="D8323" t="s">
        <v>247</v>
      </c>
      <c r="E8323">
        <f t="shared" si="380"/>
        <v>2.7027027027027029E-2</v>
      </c>
      <c r="F8323">
        <v>121</v>
      </c>
      <c r="G8323">
        <f>LOG(382/(121+1))</f>
        <v>0.49570353223696051</v>
      </c>
      <c r="H8323">
        <f>0.027027027027027*1.14139956387331</f>
        <v>3.0848636861440782E-2</v>
      </c>
      <c r="I8323">
        <v>3.0848636861441049E-2</v>
      </c>
    </row>
    <row r="8324" spans="1:9" x14ac:dyDescent="0.25">
      <c r="A8324">
        <v>373</v>
      </c>
      <c r="B8324" t="s">
        <v>2784</v>
      </c>
      <c r="C8324" t="s">
        <v>10</v>
      </c>
      <c r="D8324" t="s">
        <v>39</v>
      </c>
      <c r="E8324">
        <f t="shared" si="380"/>
        <v>2.7027027027027029E-2</v>
      </c>
      <c r="F8324">
        <v>145</v>
      </c>
      <c r="G8324">
        <f>LOG(382/(145+1))</f>
        <v>0.41771050712727159</v>
      </c>
      <c r="H8324">
        <f>0.027027027027027*0.961813986898238</f>
        <v>2.5994972618871272E-2</v>
      </c>
      <c r="I8324">
        <v>2.599497261887132E-2</v>
      </c>
    </row>
    <row r="8325" spans="1:9" x14ac:dyDescent="0.25">
      <c r="A8325">
        <v>373</v>
      </c>
      <c r="B8325" t="s">
        <v>2784</v>
      </c>
      <c r="C8325" t="s">
        <v>10</v>
      </c>
      <c r="D8325" t="s">
        <v>2178</v>
      </c>
      <c r="E8325">
        <f t="shared" si="380"/>
        <v>2.7027027027027029E-2</v>
      </c>
      <c r="F8325">
        <v>11</v>
      </c>
      <c r="G8325">
        <f>LOG(382/(11+1))</f>
        <v>1.5028821168640838</v>
      </c>
      <c r="H8325">
        <f>0.027027027027027*3.46051395881857</f>
        <v>9.3527404292393701E-2</v>
      </c>
      <c r="I8325">
        <v>9.3527404292393923E-2</v>
      </c>
    </row>
    <row r="8326" spans="1:9" x14ac:dyDescent="0.25">
      <c r="A8326">
        <v>374</v>
      </c>
      <c r="B8326" t="s">
        <v>2786</v>
      </c>
      <c r="C8326" t="s">
        <v>10</v>
      </c>
      <c r="D8326" t="s">
        <v>1106</v>
      </c>
      <c r="E8326">
        <f t="shared" ref="E8326:E8331" si="381">1/28</f>
        <v>3.5714285714285712E-2</v>
      </c>
      <c r="F8326">
        <v>7</v>
      </c>
      <c r="G8326">
        <f>LOG(382/(7+1))</f>
        <v>1.6789733759197651</v>
      </c>
      <c r="H8326">
        <f>0.0357142857142857*3.86597906692673</f>
        <v>0.13807068096166888</v>
      </c>
      <c r="I8326">
        <v>0.13807068096166919</v>
      </c>
    </row>
    <row r="8327" spans="1:9" x14ac:dyDescent="0.25">
      <c r="A8327">
        <v>374</v>
      </c>
      <c r="B8327" t="s">
        <v>2786</v>
      </c>
      <c r="C8327" t="s">
        <v>10</v>
      </c>
      <c r="D8327" t="s">
        <v>245</v>
      </c>
      <c r="E8327">
        <f t="shared" si="381"/>
        <v>3.5714285714285712E-2</v>
      </c>
      <c r="F8327">
        <v>11</v>
      </c>
      <c r="G8327">
        <f>LOG(382/(11+1))</f>
        <v>1.5028821168640838</v>
      </c>
      <c r="H8327">
        <f>0.0357142857142857*3.46051395881857</f>
        <v>0.12358978424352031</v>
      </c>
      <c r="I8327">
        <v>0.1235897842435205</v>
      </c>
    </row>
    <row r="8328" spans="1:9" x14ac:dyDescent="0.25">
      <c r="A8328">
        <v>374</v>
      </c>
      <c r="B8328" t="s">
        <v>2786</v>
      </c>
      <c r="C8328" t="s">
        <v>10</v>
      </c>
      <c r="D8328" t="s">
        <v>41</v>
      </c>
      <c r="E8328">
        <f t="shared" si="381"/>
        <v>3.5714285714285712E-2</v>
      </c>
      <c r="F8328">
        <v>195</v>
      </c>
      <c r="G8328">
        <f>LOG(382/(195+1))</f>
        <v>0.28980729155523272</v>
      </c>
      <c r="H8328">
        <f>0.0357142857142857*0.667305949376058</f>
        <v>2.3832355334859206E-2</v>
      </c>
      <c r="I8328">
        <v>2.3832355334859209E-2</v>
      </c>
    </row>
    <row r="8329" spans="1:9" x14ac:dyDescent="0.25">
      <c r="A8329">
        <v>374</v>
      </c>
      <c r="B8329" t="s">
        <v>2786</v>
      </c>
      <c r="C8329" t="s">
        <v>10</v>
      </c>
      <c r="D8329" t="s">
        <v>2787</v>
      </c>
      <c r="E8329">
        <f t="shared" si="381"/>
        <v>3.5714285714285712E-2</v>
      </c>
      <c r="F8329">
        <v>2</v>
      </c>
      <c r="G8329">
        <f>LOG(382/(2+1))</f>
        <v>2.1049421081920463</v>
      </c>
      <c r="H8329">
        <f>0.0357142857142857*4.84680831993846</f>
        <v>0.17310029714065922</v>
      </c>
      <c r="I8329">
        <v>0.1731002971406595</v>
      </c>
    </row>
    <row r="8330" spans="1:9" x14ac:dyDescent="0.25">
      <c r="A8330">
        <v>374</v>
      </c>
      <c r="B8330" t="s">
        <v>2786</v>
      </c>
      <c r="C8330" t="s">
        <v>10</v>
      </c>
      <c r="D8330" t="s">
        <v>2788</v>
      </c>
      <c r="E8330">
        <f t="shared" si="381"/>
        <v>3.5714285714285712E-2</v>
      </c>
      <c r="F8330">
        <v>2</v>
      </c>
      <c r="G8330">
        <f>LOG(382/(2+1))</f>
        <v>2.1049421081920463</v>
      </c>
      <c r="H8330">
        <f>0.0357142857142857*4.84680831993846</f>
        <v>0.17310029714065922</v>
      </c>
      <c r="I8330">
        <v>0.1731002971406595</v>
      </c>
    </row>
    <row r="8331" spans="1:9" x14ac:dyDescent="0.25">
      <c r="A8331">
        <v>374</v>
      </c>
      <c r="B8331" t="s">
        <v>2786</v>
      </c>
      <c r="C8331" t="s">
        <v>10</v>
      </c>
      <c r="D8331" t="s">
        <v>38</v>
      </c>
      <c r="E8331">
        <f t="shared" si="381"/>
        <v>3.5714285714285712E-2</v>
      </c>
      <c r="F8331">
        <v>86</v>
      </c>
      <c r="G8331">
        <f>LOG(382/(86+1))</f>
        <v>0.64254411029309022</v>
      </c>
      <c r="H8331">
        <f>0.0357142857142857*1.47951248995199</f>
        <v>5.2839731783999623E-2</v>
      </c>
      <c r="I8331">
        <v>5.2839731783999692E-2</v>
      </c>
    </row>
    <row r="8332" spans="1:9" x14ac:dyDescent="0.25">
      <c r="A8332">
        <v>374</v>
      </c>
      <c r="B8332" t="s">
        <v>2786</v>
      </c>
      <c r="C8332" t="s">
        <v>10</v>
      </c>
      <c r="D8332" t="s">
        <v>247</v>
      </c>
      <c r="E8332">
        <f>2/28</f>
        <v>7.1428571428571425E-2</v>
      </c>
      <c r="F8332">
        <v>121</v>
      </c>
      <c r="G8332">
        <f>LOG(382/(121+1))</f>
        <v>0.49570353223696051</v>
      </c>
      <c r="H8332">
        <f>0.0714285714285714*1.14139956387331</f>
        <v>8.1528540276664965E-2</v>
      </c>
      <c r="I8332">
        <v>8.1528540276665618E-2</v>
      </c>
    </row>
    <row r="8333" spans="1:9" x14ac:dyDescent="0.25">
      <c r="A8333">
        <v>374</v>
      </c>
      <c r="B8333" t="s">
        <v>2786</v>
      </c>
      <c r="C8333" t="s">
        <v>10</v>
      </c>
      <c r="D8333" t="s">
        <v>1652</v>
      </c>
      <c r="E8333">
        <f t="shared" ref="E8333:E8341" si="382">1/28</f>
        <v>3.5714285714285712E-2</v>
      </c>
      <c r="F8333">
        <v>7</v>
      </c>
      <c r="G8333">
        <f>LOG(382/(7+1))</f>
        <v>1.6789733759197651</v>
      </c>
      <c r="H8333">
        <f>0.0357142857142857*3.86597906692673</f>
        <v>0.13807068096166888</v>
      </c>
      <c r="I8333">
        <v>0.13807068096166919</v>
      </c>
    </row>
    <row r="8334" spans="1:9" x14ac:dyDescent="0.25">
      <c r="A8334">
        <v>374</v>
      </c>
      <c r="B8334" t="s">
        <v>2786</v>
      </c>
      <c r="C8334" t="s">
        <v>10</v>
      </c>
      <c r="D8334" t="s">
        <v>445</v>
      </c>
      <c r="E8334">
        <f t="shared" si="382"/>
        <v>3.5714285714285712E-2</v>
      </c>
      <c r="F8334">
        <v>35</v>
      </c>
      <c r="G8334">
        <f>LOG(382/(35+1))</f>
        <v>1.0257608621444214</v>
      </c>
      <c r="H8334">
        <f>0.0357142857142857*2.36190167015046</f>
        <v>8.4353631076802105E-2</v>
      </c>
      <c r="I8334">
        <v>8.4353631076802313E-2</v>
      </c>
    </row>
    <row r="8335" spans="1:9" x14ac:dyDescent="0.25">
      <c r="A8335">
        <v>374</v>
      </c>
      <c r="B8335" t="s">
        <v>2786</v>
      </c>
      <c r="C8335" t="s">
        <v>10</v>
      </c>
      <c r="D8335" t="s">
        <v>507</v>
      </c>
      <c r="E8335">
        <f t="shared" si="382"/>
        <v>3.5714285714285712E-2</v>
      </c>
      <c r="F8335">
        <v>2</v>
      </c>
      <c r="G8335">
        <f>LOG(382/(2+1))</f>
        <v>2.1049421081920463</v>
      </c>
      <c r="H8335">
        <f>0.0357142857142857*4.84680831993846</f>
        <v>0.17310029714065922</v>
      </c>
      <c r="I8335">
        <v>0.1731002971406595</v>
      </c>
    </row>
    <row r="8336" spans="1:9" x14ac:dyDescent="0.25">
      <c r="A8336">
        <v>374</v>
      </c>
      <c r="B8336" t="s">
        <v>2786</v>
      </c>
      <c r="C8336" t="s">
        <v>10</v>
      </c>
      <c r="D8336" t="s">
        <v>59</v>
      </c>
      <c r="E8336">
        <f t="shared" si="382"/>
        <v>3.5714285714285712E-2</v>
      </c>
      <c r="F8336">
        <v>13</v>
      </c>
      <c r="G8336">
        <f>LOG(382/(13+1))</f>
        <v>1.4359353272334707</v>
      </c>
      <c r="H8336">
        <f>0.0357142857142857*3.30636327899131</f>
        <v>0.11808440282111816</v>
      </c>
      <c r="I8336">
        <v>0.1180844028211184</v>
      </c>
    </row>
    <row r="8337" spans="1:9" x14ac:dyDescent="0.25">
      <c r="A8337">
        <v>374</v>
      </c>
      <c r="B8337" t="s">
        <v>2786</v>
      </c>
      <c r="C8337" t="s">
        <v>10</v>
      </c>
      <c r="D8337" t="s">
        <v>2789</v>
      </c>
      <c r="E8337">
        <f t="shared" si="382"/>
        <v>3.5714285714285712E-2</v>
      </c>
      <c r="F8337">
        <v>2</v>
      </c>
      <c r="G8337">
        <f>LOG(382/(2+1))</f>
        <v>2.1049421081920463</v>
      </c>
      <c r="H8337">
        <f>0.0357142857142857*4.84680831993846</f>
        <v>0.17310029714065922</v>
      </c>
      <c r="I8337">
        <v>0.1731002971406595</v>
      </c>
    </row>
    <row r="8338" spans="1:9" x14ac:dyDescent="0.25">
      <c r="A8338">
        <v>374</v>
      </c>
      <c r="B8338" t="s">
        <v>2786</v>
      </c>
      <c r="C8338" t="s">
        <v>10</v>
      </c>
      <c r="D8338" t="s">
        <v>2790</v>
      </c>
      <c r="E8338">
        <f t="shared" si="382"/>
        <v>3.5714285714285712E-2</v>
      </c>
      <c r="F8338">
        <v>1</v>
      </c>
      <c r="G8338">
        <f>LOG(382/(1+1))</f>
        <v>2.2810333672477277</v>
      </c>
      <c r="H8338">
        <f>0.0357142857142857*5.25227342804663</f>
        <v>0.18758119385880812</v>
      </c>
      <c r="I8338">
        <v>0.1875811938588082</v>
      </c>
    </row>
    <row r="8339" spans="1:9" x14ac:dyDescent="0.25">
      <c r="A8339">
        <v>374</v>
      </c>
      <c r="B8339" t="s">
        <v>2786</v>
      </c>
      <c r="C8339" t="s">
        <v>10</v>
      </c>
      <c r="D8339" t="s">
        <v>123</v>
      </c>
      <c r="E8339">
        <f t="shared" si="382"/>
        <v>3.5714285714285712E-2</v>
      </c>
      <c r="F8339">
        <v>74</v>
      </c>
      <c r="G8339">
        <f>LOG(382/(74+1))</f>
        <v>0.7070020995200087</v>
      </c>
      <c r="H8339">
        <f>0.0357142857142857*1.62793249507026</f>
        <v>5.8140446252509262E-2</v>
      </c>
      <c r="I8339">
        <v>5.8140446252509449E-2</v>
      </c>
    </row>
    <row r="8340" spans="1:9" x14ac:dyDescent="0.25">
      <c r="A8340">
        <v>374</v>
      </c>
      <c r="B8340" t="s">
        <v>2786</v>
      </c>
      <c r="C8340" t="s">
        <v>10</v>
      </c>
      <c r="D8340" t="s">
        <v>309</v>
      </c>
      <c r="E8340">
        <f t="shared" si="382"/>
        <v>3.5714285714285712E-2</v>
      </c>
      <c r="F8340">
        <v>25</v>
      </c>
      <c r="G8340">
        <f>LOG(382/(25+1))</f>
        <v>1.1670900149408907</v>
      </c>
      <c r="H8340">
        <f>0.0357142857142857*2.68732407058509</f>
        <v>9.5975859663753174E-2</v>
      </c>
      <c r="I8340">
        <v>9.5975859663753327E-2</v>
      </c>
    </row>
    <row r="8341" spans="1:9" x14ac:dyDescent="0.25">
      <c r="A8341">
        <v>374</v>
      </c>
      <c r="B8341" t="s">
        <v>2786</v>
      </c>
      <c r="C8341" t="s">
        <v>10</v>
      </c>
      <c r="D8341" t="s">
        <v>2791</v>
      </c>
      <c r="E8341">
        <f t="shared" si="382"/>
        <v>3.5714285714285712E-2</v>
      </c>
      <c r="F8341">
        <v>1</v>
      </c>
      <c r="G8341">
        <f>LOG(382/(1+1))</f>
        <v>2.2810333672477277</v>
      </c>
      <c r="H8341">
        <f>0.0357142857142857*5.25227342804663</f>
        <v>0.18758119385880812</v>
      </c>
      <c r="I8341">
        <v>0.1875811938588082</v>
      </c>
    </row>
    <row r="8342" spans="1:9" x14ac:dyDescent="0.25">
      <c r="A8342">
        <v>374</v>
      </c>
      <c r="B8342" t="s">
        <v>2786</v>
      </c>
      <c r="C8342" t="s">
        <v>10</v>
      </c>
      <c r="D8342" t="s">
        <v>1714</v>
      </c>
      <c r="E8342">
        <f>2/28</f>
        <v>7.1428571428571425E-2</v>
      </c>
      <c r="F8342">
        <v>9</v>
      </c>
      <c r="G8342">
        <f>LOG(382/(9+1))</f>
        <v>1.5820633629117087</v>
      </c>
      <c r="H8342">
        <f>0.0714285714285714*3.64283551561252</f>
        <v>0.26020253682946559</v>
      </c>
      <c r="I8342">
        <v>0.26020253682946642</v>
      </c>
    </row>
    <row r="8343" spans="1:9" x14ac:dyDescent="0.25">
      <c r="A8343">
        <v>374</v>
      </c>
      <c r="B8343" t="s">
        <v>2786</v>
      </c>
      <c r="C8343" t="s">
        <v>10</v>
      </c>
      <c r="D8343" t="s">
        <v>2549</v>
      </c>
      <c r="E8343">
        <f t="shared" ref="E8343:E8351" si="383">1/28</f>
        <v>3.5714285714285712E-2</v>
      </c>
      <c r="F8343">
        <v>3</v>
      </c>
      <c r="G8343">
        <f>LOG(382/(3+1))</f>
        <v>1.9800033715837464</v>
      </c>
      <c r="H8343">
        <f>0.0357142857142857*4.55912624748668</f>
        <v>0.16282593741023851</v>
      </c>
      <c r="I8343">
        <v>0.16282593741023871</v>
      </c>
    </row>
    <row r="8344" spans="1:9" x14ac:dyDescent="0.25">
      <c r="A8344">
        <v>374</v>
      </c>
      <c r="B8344" t="s">
        <v>2786</v>
      </c>
      <c r="C8344" t="s">
        <v>10</v>
      </c>
      <c r="D8344" t="s">
        <v>2792</v>
      </c>
      <c r="E8344">
        <f t="shared" si="383"/>
        <v>3.5714285714285712E-2</v>
      </c>
      <c r="F8344">
        <v>1</v>
      </c>
      <c r="G8344">
        <f>LOG(382/(1+1))</f>
        <v>2.2810333672477277</v>
      </c>
      <c r="H8344">
        <f>0.0357142857142857*5.25227342804663</f>
        <v>0.18758119385880812</v>
      </c>
      <c r="I8344">
        <v>0.1875811938588082</v>
      </c>
    </row>
    <row r="8345" spans="1:9" x14ac:dyDescent="0.25">
      <c r="A8345">
        <v>374</v>
      </c>
      <c r="B8345" t="s">
        <v>2786</v>
      </c>
      <c r="C8345" t="s">
        <v>10</v>
      </c>
      <c r="D8345" t="s">
        <v>1855</v>
      </c>
      <c r="E8345">
        <f t="shared" si="383"/>
        <v>3.5714285714285712E-2</v>
      </c>
      <c r="F8345">
        <v>17</v>
      </c>
      <c r="G8345">
        <f>LOG(382/(17+1))</f>
        <v>1.3267908578084027</v>
      </c>
      <c r="H8345">
        <f>0.0357142857142857*3.05504885071041</f>
        <v>0.10910888752537173</v>
      </c>
      <c r="I8345">
        <v>0.1091088875253718</v>
      </c>
    </row>
    <row r="8346" spans="1:9" x14ac:dyDescent="0.25">
      <c r="A8346">
        <v>374</v>
      </c>
      <c r="B8346" t="s">
        <v>2786</v>
      </c>
      <c r="C8346" t="s">
        <v>10</v>
      </c>
      <c r="D8346" t="s">
        <v>39</v>
      </c>
      <c r="E8346">
        <f t="shared" si="383"/>
        <v>3.5714285714285712E-2</v>
      </c>
      <c r="F8346">
        <v>145</v>
      </c>
      <c r="G8346">
        <f>LOG(382/(145+1))</f>
        <v>0.41771050712727159</v>
      </c>
      <c r="H8346">
        <f>0.0357142857142857*0.961813986898238</f>
        <v>3.4350499532079914E-2</v>
      </c>
      <c r="I8346">
        <v>3.4350499532079949E-2</v>
      </c>
    </row>
    <row r="8347" spans="1:9" x14ac:dyDescent="0.25">
      <c r="A8347">
        <v>374</v>
      </c>
      <c r="B8347" t="s">
        <v>2786</v>
      </c>
      <c r="C8347" t="s">
        <v>10</v>
      </c>
      <c r="D8347" t="s">
        <v>2793</v>
      </c>
      <c r="E8347">
        <f t="shared" si="383"/>
        <v>3.5714285714285712E-2</v>
      </c>
      <c r="F8347">
        <v>1</v>
      </c>
      <c r="G8347">
        <f>LOG(382/(1+1))</f>
        <v>2.2810333672477277</v>
      </c>
      <c r="H8347">
        <f>0.0357142857142857*5.25227342804663</f>
        <v>0.18758119385880812</v>
      </c>
      <c r="I8347">
        <v>0.1875811938588082</v>
      </c>
    </row>
    <row r="8348" spans="1:9" x14ac:dyDescent="0.25">
      <c r="A8348">
        <v>374</v>
      </c>
      <c r="B8348" t="s">
        <v>2786</v>
      </c>
      <c r="C8348" t="s">
        <v>10</v>
      </c>
      <c r="D8348" t="s">
        <v>1079</v>
      </c>
      <c r="E8348">
        <f t="shared" si="383"/>
        <v>3.5714285714285712E-2</v>
      </c>
      <c r="F8348">
        <v>34</v>
      </c>
      <c r="G8348">
        <f>LOG(382/(34+1))</f>
        <v>1.037995318561433</v>
      </c>
      <c r="H8348">
        <f>0.0357142857142857*2.39007254711716</f>
        <v>8.5359733825612821E-2</v>
      </c>
      <c r="I8348">
        <v>8.5359733825612905E-2</v>
      </c>
    </row>
    <row r="8349" spans="1:9" x14ac:dyDescent="0.25">
      <c r="A8349">
        <v>374</v>
      </c>
      <c r="B8349" t="s">
        <v>2786</v>
      </c>
      <c r="C8349" t="s">
        <v>10</v>
      </c>
      <c r="D8349" t="s">
        <v>2794</v>
      </c>
      <c r="E8349">
        <f t="shared" si="383"/>
        <v>3.5714285714285712E-2</v>
      </c>
      <c r="F8349">
        <v>1</v>
      </c>
      <c r="G8349">
        <f>LOG(382/(1+1))</f>
        <v>2.2810333672477277</v>
      </c>
      <c r="H8349">
        <f>0.0357142857142857*5.25227342804663</f>
        <v>0.18758119385880812</v>
      </c>
      <c r="I8349">
        <v>0.1875811938588082</v>
      </c>
    </row>
    <row r="8350" spans="1:9" x14ac:dyDescent="0.25">
      <c r="A8350">
        <v>374</v>
      </c>
      <c r="B8350" t="s">
        <v>2786</v>
      </c>
      <c r="C8350" t="s">
        <v>10</v>
      </c>
      <c r="D8350" t="s">
        <v>1884</v>
      </c>
      <c r="E8350">
        <f t="shared" si="383"/>
        <v>3.5714285714285712E-2</v>
      </c>
      <c r="F8350">
        <v>9</v>
      </c>
      <c r="G8350">
        <f>LOG(382/(9+1))</f>
        <v>1.5820633629117087</v>
      </c>
      <c r="H8350">
        <f>0.0357142857142857*3.64283551561252</f>
        <v>0.1301012684147328</v>
      </c>
      <c r="I8350">
        <v>0.13010126841473321</v>
      </c>
    </row>
    <row r="8351" spans="1:9" x14ac:dyDescent="0.25">
      <c r="A8351">
        <v>374</v>
      </c>
      <c r="B8351" t="s">
        <v>2786</v>
      </c>
      <c r="C8351" t="s">
        <v>10</v>
      </c>
      <c r="D8351" t="s">
        <v>2795</v>
      </c>
      <c r="E8351">
        <f t="shared" si="383"/>
        <v>3.5714285714285712E-2</v>
      </c>
      <c r="F8351">
        <v>2</v>
      </c>
      <c r="G8351">
        <f>LOG(382/(2+1))</f>
        <v>2.1049421081920463</v>
      </c>
      <c r="H8351">
        <f>0.0357142857142857*4.84680831993846</f>
        <v>0.17310029714065922</v>
      </c>
      <c r="I8351">
        <v>0.1731002971406595</v>
      </c>
    </row>
    <row r="8352" spans="1:9" x14ac:dyDescent="0.25">
      <c r="A8352">
        <v>375</v>
      </c>
      <c r="B8352" t="s">
        <v>2796</v>
      </c>
      <c r="C8352" t="s">
        <v>10</v>
      </c>
      <c r="D8352" t="s">
        <v>315</v>
      </c>
      <c r="E8352">
        <f>5/70</f>
        <v>7.1428571428571425E-2</v>
      </c>
      <c r="F8352">
        <v>55</v>
      </c>
      <c r="G8352">
        <f>LOG(382/(55+1))</f>
        <v>0.83387533590550833</v>
      </c>
      <c r="H8352">
        <f>0.0714285714285714*1.92006891787142</f>
        <v>0.13714777984795851</v>
      </c>
      <c r="I8352">
        <v>0.13714777984795901</v>
      </c>
    </row>
    <row r="8353" spans="1:9" x14ac:dyDescent="0.25">
      <c r="A8353">
        <v>375</v>
      </c>
      <c r="B8353" t="s">
        <v>2796</v>
      </c>
      <c r="C8353" t="s">
        <v>10</v>
      </c>
      <c r="D8353" t="s">
        <v>2797</v>
      </c>
      <c r="E8353">
        <f>2/70</f>
        <v>2.8571428571428571E-2</v>
      </c>
      <c r="F8353">
        <v>1</v>
      </c>
      <c r="G8353">
        <f>LOG(382/(1+1))</f>
        <v>2.2810333672477277</v>
      </c>
      <c r="H8353">
        <f>0.0285714285714285*5.25227342804663</f>
        <v>0.1500649550870462</v>
      </c>
      <c r="I8353">
        <v>0.15006495508704659</v>
      </c>
    </row>
    <row r="8354" spans="1:9" x14ac:dyDescent="0.25">
      <c r="A8354">
        <v>375</v>
      </c>
      <c r="B8354" t="s">
        <v>2796</v>
      </c>
      <c r="C8354" t="s">
        <v>10</v>
      </c>
      <c r="D8354" t="s">
        <v>741</v>
      </c>
      <c r="E8354">
        <f>2/70</f>
        <v>2.8571428571428571E-2</v>
      </c>
      <c r="F8354">
        <v>7</v>
      </c>
      <c r="G8354">
        <f>LOG(382/(7+1))</f>
        <v>1.6789733759197651</v>
      </c>
      <c r="H8354">
        <f>0.0285714285714285*3.86597906692673</f>
        <v>0.11045654476933488</v>
      </c>
      <c r="I8354">
        <v>0.1104565447693354</v>
      </c>
    </row>
    <row r="8355" spans="1:9" x14ac:dyDescent="0.25">
      <c r="A8355">
        <v>375</v>
      </c>
      <c r="B8355" t="s">
        <v>2796</v>
      </c>
      <c r="C8355" t="s">
        <v>10</v>
      </c>
      <c r="D8355" t="s">
        <v>42</v>
      </c>
      <c r="E8355">
        <f>1/70</f>
        <v>1.4285714285714285E-2</v>
      </c>
      <c r="F8355">
        <v>251</v>
      </c>
      <c r="G8355">
        <f>LOG(382/(251+1))</f>
        <v>0.18066282213016463</v>
      </c>
      <c r="H8355">
        <f>0.0142857142857142*0.415991521095151</f>
        <v>5.942736015644978E-3</v>
      </c>
      <c r="I8355">
        <v>5.9427360156450266E-3</v>
      </c>
    </row>
    <row r="8356" spans="1:9" x14ac:dyDescent="0.25">
      <c r="A8356">
        <v>375</v>
      </c>
      <c r="B8356" t="s">
        <v>2796</v>
      </c>
      <c r="C8356" t="s">
        <v>10</v>
      </c>
      <c r="D8356" t="s">
        <v>15</v>
      </c>
      <c r="E8356">
        <f>2/70</f>
        <v>2.8571428571428571E-2</v>
      </c>
      <c r="F8356">
        <v>112</v>
      </c>
      <c r="G8356">
        <f>LOG(382/(112+1))</f>
        <v>0.52898491942828896</v>
      </c>
      <c r="H8356">
        <f>0.0285714285714285*1.21803278989423</f>
        <v>3.4800936854120772E-2</v>
      </c>
      <c r="I8356">
        <v>3.4800936854120987E-2</v>
      </c>
    </row>
    <row r="8357" spans="1:9" x14ac:dyDescent="0.25">
      <c r="A8357">
        <v>375</v>
      </c>
      <c r="B8357" t="s">
        <v>2796</v>
      </c>
      <c r="C8357" t="s">
        <v>10</v>
      </c>
      <c r="D8357" t="s">
        <v>2798</v>
      </c>
      <c r="E8357">
        <f>1/70</f>
        <v>1.4285714285714285E-2</v>
      </c>
      <c r="F8357">
        <v>1</v>
      </c>
      <c r="G8357">
        <f>LOG(382/(1+1))</f>
        <v>2.2810333672477277</v>
      </c>
      <c r="H8357">
        <f>0.0142857142857142*5.25227342804663</f>
        <v>7.5032477543522838E-2</v>
      </c>
      <c r="I8357">
        <v>7.5032477543523282E-2</v>
      </c>
    </row>
    <row r="8358" spans="1:9" x14ac:dyDescent="0.25">
      <c r="A8358">
        <v>375</v>
      </c>
      <c r="B8358" t="s">
        <v>2796</v>
      </c>
      <c r="C8358" t="s">
        <v>10</v>
      </c>
      <c r="D8358" t="s">
        <v>2799</v>
      </c>
      <c r="E8358">
        <f>1/70</f>
        <v>1.4285714285714285E-2</v>
      </c>
      <c r="F8358">
        <v>1</v>
      </c>
      <c r="G8358">
        <f>LOG(382/(1+1))</f>
        <v>2.2810333672477277</v>
      </c>
      <c r="H8358">
        <f>0.0142857142857142*5.25227342804663</f>
        <v>7.5032477543522838E-2</v>
      </c>
      <c r="I8358">
        <v>7.5032477543523282E-2</v>
      </c>
    </row>
    <row r="8359" spans="1:9" x14ac:dyDescent="0.25">
      <c r="A8359">
        <v>375</v>
      </c>
      <c r="B8359" t="s">
        <v>2796</v>
      </c>
      <c r="C8359" t="s">
        <v>10</v>
      </c>
      <c r="D8359" t="s">
        <v>1866</v>
      </c>
      <c r="E8359">
        <f>1/70</f>
        <v>1.4285714285714285E-2</v>
      </c>
      <c r="F8359">
        <v>18</v>
      </c>
      <c r="G8359">
        <f>LOG(382/(18+1))</f>
        <v>1.3033097619588798</v>
      </c>
      <c r="H8359">
        <f>0.0142857142857142*3.00098162944013</f>
        <v>4.2871166134858744E-2</v>
      </c>
      <c r="I8359">
        <v>4.2871166134859057E-2</v>
      </c>
    </row>
    <row r="8360" spans="1:9" x14ac:dyDescent="0.25">
      <c r="A8360">
        <v>375</v>
      </c>
      <c r="B8360" t="s">
        <v>2796</v>
      </c>
      <c r="C8360" t="s">
        <v>10</v>
      </c>
      <c r="D8360" t="s">
        <v>1867</v>
      </c>
      <c r="E8360">
        <f>1/70</f>
        <v>1.4285714285714285E-2</v>
      </c>
      <c r="F8360">
        <v>3</v>
      </c>
      <c r="G8360">
        <f>LOG(382/(3+1))</f>
        <v>1.9800033715837464</v>
      </c>
      <c r="H8360">
        <f>0.0142857142857142*4.55912624748668</f>
        <v>6.5130374964095045E-2</v>
      </c>
      <c r="I8360">
        <v>6.5130374964095489E-2</v>
      </c>
    </row>
    <row r="8361" spans="1:9" x14ac:dyDescent="0.25">
      <c r="A8361">
        <v>375</v>
      </c>
      <c r="B8361" t="s">
        <v>2796</v>
      </c>
      <c r="C8361" t="s">
        <v>10</v>
      </c>
      <c r="D8361" t="s">
        <v>17</v>
      </c>
      <c r="E8361">
        <f>2/70</f>
        <v>2.8571428571428571E-2</v>
      </c>
      <c r="F8361">
        <v>169</v>
      </c>
      <c r="G8361">
        <f>LOG(382/(169+1))</f>
        <v>0.3516144415334348</v>
      </c>
      <c r="H8361">
        <f>0.0285714285714285*0.809622171556313</f>
        <v>2.313206204446603E-2</v>
      </c>
      <c r="I8361">
        <v>2.3132062044466099E-2</v>
      </c>
    </row>
    <row r="8362" spans="1:9" x14ac:dyDescent="0.25">
      <c r="A8362">
        <v>375</v>
      </c>
      <c r="B8362" t="s">
        <v>2796</v>
      </c>
      <c r="C8362" t="s">
        <v>10</v>
      </c>
      <c r="D8362" t="s">
        <v>70</v>
      </c>
      <c r="E8362">
        <f>2/70</f>
        <v>2.8571428571428571E-2</v>
      </c>
      <c r="F8362">
        <v>44</v>
      </c>
      <c r="G8362">
        <f>LOG(382/(44+1))</f>
        <v>0.92885084913636506</v>
      </c>
      <c r="H8362">
        <f>0.0285714285714285*2.13875811883625</f>
        <v>6.1107374823892703E-2</v>
      </c>
      <c r="I8362">
        <v>6.1107374823893001E-2</v>
      </c>
    </row>
    <row r="8363" spans="1:9" x14ac:dyDescent="0.25">
      <c r="A8363">
        <v>375</v>
      </c>
      <c r="B8363" t="s">
        <v>2796</v>
      </c>
      <c r="C8363" t="s">
        <v>10</v>
      </c>
      <c r="D8363" t="s">
        <v>19</v>
      </c>
      <c r="E8363">
        <f t="shared" ref="E8363:E8368" si="384">1/70</f>
        <v>1.4285714285714285E-2</v>
      </c>
      <c r="F8363">
        <v>220</v>
      </c>
      <c r="G8363">
        <f>LOG(382/(220+1))</f>
        <v>0.23767108922659805</v>
      </c>
      <c r="H8363">
        <f>0.0142857142857142*0.547257907088822</f>
        <v>7.8179701012688393E-3</v>
      </c>
      <c r="I8363">
        <v>7.8179701012688913E-3</v>
      </c>
    </row>
    <row r="8364" spans="1:9" x14ac:dyDescent="0.25">
      <c r="A8364">
        <v>375</v>
      </c>
      <c r="B8364" t="s">
        <v>2796</v>
      </c>
      <c r="C8364" t="s">
        <v>10</v>
      </c>
      <c r="D8364" t="s">
        <v>44</v>
      </c>
      <c r="E8364">
        <f t="shared" si="384"/>
        <v>1.4285714285714285E-2</v>
      </c>
      <c r="F8364">
        <v>151</v>
      </c>
      <c r="G8364">
        <f>LOG(382/(151+1))</f>
        <v>0.40021977496693617</v>
      </c>
      <c r="H8364">
        <f>0.0142857142857142*0.921540087760298</f>
        <v>1.3164858396575607E-2</v>
      </c>
      <c r="I8364">
        <v>1.3164858396575701E-2</v>
      </c>
    </row>
    <row r="8365" spans="1:9" x14ac:dyDescent="0.25">
      <c r="A8365">
        <v>375</v>
      </c>
      <c r="B8365" t="s">
        <v>2796</v>
      </c>
      <c r="C8365" t="s">
        <v>10</v>
      </c>
      <c r="D8365" t="s">
        <v>22</v>
      </c>
      <c r="E8365">
        <f t="shared" si="384"/>
        <v>1.4285714285714285E-2</v>
      </c>
      <c r="F8365">
        <v>259</v>
      </c>
      <c r="G8365">
        <f>LOG(382/(259+1))</f>
        <v>0.16709001494089079</v>
      </c>
      <c r="H8365">
        <f>0.0142857142857142*0.384738977591047</f>
        <v>5.496271108443496E-3</v>
      </c>
      <c r="I8365">
        <v>5.4962711084435359E-3</v>
      </c>
    </row>
    <row r="8366" spans="1:9" x14ac:dyDescent="0.25">
      <c r="A8366">
        <v>375</v>
      </c>
      <c r="B8366" t="s">
        <v>2796</v>
      </c>
      <c r="C8366" t="s">
        <v>10</v>
      </c>
      <c r="D8366" t="s">
        <v>23</v>
      </c>
      <c r="E8366">
        <f t="shared" si="384"/>
        <v>1.4285714285714285E-2</v>
      </c>
      <c r="F8366">
        <v>275</v>
      </c>
      <c r="G8366">
        <f>LOG(382/(275+1))</f>
        <v>0.14115428084649101</v>
      </c>
      <c r="H8366">
        <f>0.0142857142857142*0.325019742889425</f>
        <v>4.6431391841346148E-3</v>
      </c>
      <c r="I8366">
        <v>4.6431391841346452E-3</v>
      </c>
    </row>
    <row r="8367" spans="1:9" x14ac:dyDescent="0.25">
      <c r="A8367">
        <v>375</v>
      </c>
      <c r="B8367" t="s">
        <v>2796</v>
      </c>
      <c r="C8367" t="s">
        <v>10</v>
      </c>
      <c r="D8367" t="s">
        <v>2800</v>
      </c>
      <c r="E8367">
        <f t="shared" si="384"/>
        <v>1.4285714285714285E-2</v>
      </c>
      <c r="F8367">
        <v>1</v>
      </c>
      <c r="G8367">
        <f>LOG(382/(1+1))</f>
        <v>2.2810333672477277</v>
      </c>
      <c r="H8367">
        <f>0.0142857142857142*5.25227342804663</f>
        <v>7.5032477543522838E-2</v>
      </c>
      <c r="I8367">
        <v>7.5032477543523282E-2</v>
      </c>
    </row>
    <row r="8368" spans="1:9" x14ac:dyDescent="0.25">
      <c r="A8368">
        <v>375</v>
      </c>
      <c r="B8368" t="s">
        <v>2796</v>
      </c>
      <c r="C8368" t="s">
        <v>10</v>
      </c>
      <c r="D8368" t="s">
        <v>76</v>
      </c>
      <c r="E8368">
        <f t="shared" si="384"/>
        <v>1.4285714285714285E-2</v>
      </c>
      <c r="F8368">
        <v>140</v>
      </c>
      <c r="G8368">
        <f>LOG(382/(140+1))</f>
        <v>0.43284425025632883</v>
      </c>
      <c r="H8368">
        <f>0.0142857142857142*0.996660718228407</f>
        <v>1.4238010260405729E-2</v>
      </c>
      <c r="I8368">
        <v>1.423801026040581E-2</v>
      </c>
    </row>
    <row r="8369" spans="1:9" x14ac:dyDescent="0.25">
      <c r="A8369">
        <v>375</v>
      </c>
      <c r="B8369" t="s">
        <v>2796</v>
      </c>
      <c r="C8369" t="s">
        <v>10</v>
      </c>
      <c r="D8369" t="s">
        <v>77</v>
      </c>
      <c r="E8369">
        <f>3/70</f>
        <v>4.2857142857142858E-2</v>
      </c>
      <c r="F8369">
        <v>148</v>
      </c>
      <c r="G8369">
        <f>LOG(382/(148+1))</f>
        <v>0.40887709449943471</v>
      </c>
      <c r="H8369">
        <f>0.0428571428571428*0.941474302661116</f>
        <v>4.034889868547635E-2</v>
      </c>
      <c r="I8369">
        <v>4.0348898685476413E-2</v>
      </c>
    </row>
    <row r="8370" spans="1:9" x14ac:dyDescent="0.25">
      <c r="A8370">
        <v>375</v>
      </c>
      <c r="B8370" t="s">
        <v>2796</v>
      </c>
      <c r="C8370" t="s">
        <v>10</v>
      </c>
      <c r="D8370" t="s">
        <v>1081</v>
      </c>
      <c r="E8370">
        <f t="shared" ref="E8370:E8377" si="385">1/70</f>
        <v>1.4285714285714285E-2</v>
      </c>
      <c r="F8370">
        <v>27</v>
      </c>
      <c r="G8370">
        <f>LOG(382/(27+1))</f>
        <v>1.1349053315694895</v>
      </c>
      <c r="H8370">
        <f>0.0142857142857142*2.61321609843137</f>
        <v>3.7331658549019348E-2</v>
      </c>
      <c r="I8370">
        <v>3.7331658549019577E-2</v>
      </c>
    </row>
    <row r="8371" spans="1:9" x14ac:dyDescent="0.25">
      <c r="A8371">
        <v>375</v>
      </c>
      <c r="B8371" t="s">
        <v>2796</v>
      </c>
      <c r="C8371" t="s">
        <v>10</v>
      </c>
      <c r="D8371" t="s">
        <v>152</v>
      </c>
      <c r="E8371">
        <f t="shared" si="385"/>
        <v>1.4285714285714285E-2</v>
      </c>
      <c r="F8371">
        <v>31</v>
      </c>
      <c r="G8371">
        <f>LOG(382/(31+1))</f>
        <v>1.0769133845918029</v>
      </c>
      <c r="H8371">
        <f>0.0142857142857142*2.47968470580684</f>
        <v>3.5424067225811789E-2</v>
      </c>
      <c r="I8371">
        <v>3.5424067225812123E-2</v>
      </c>
    </row>
    <row r="8372" spans="1:9" x14ac:dyDescent="0.25">
      <c r="A8372">
        <v>375</v>
      </c>
      <c r="B8372" t="s">
        <v>2796</v>
      </c>
      <c r="C8372" t="s">
        <v>10</v>
      </c>
      <c r="D8372" t="s">
        <v>11</v>
      </c>
      <c r="E8372">
        <f t="shared" si="385"/>
        <v>1.4285714285714285E-2</v>
      </c>
      <c r="F8372">
        <v>83</v>
      </c>
      <c r="G8372">
        <f>LOG(382/(83+1))</f>
        <v>0.65778407684982709</v>
      </c>
      <c r="H8372">
        <f>0.0142857142857142*1.51460380976326</f>
        <v>2.1637197282332155E-2</v>
      </c>
      <c r="I8372">
        <v>2.1637197282332311E-2</v>
      </c>
    </row>
    <row r="8373" spans="1:9" x14ac:dyDescent="0.25">
      <c r="A8373">
        <v>375</v>
      </c>
      <c r="B8373" t="s">
        <v>2796</v>
      </c>
      <c r="C8373" t="s">
        <v>10</v>
      </c>
      <c r="D8373" t="s">
        <v>1534</v>
      </c>
      <c r="E8373">
        <f t="shared" si="385"/>
        <v>1.4285714285714285E-2</v>
      </c>
      <c r="F8373">
        <v>25</v>
      </c>
      <c r="G8373">
        <f>LOG(382/(25+1))</f>
        <v>1.1670900149408907</v>
      </c>
      <c r="H8373">
        <f>0.0142857142857142*2.68732407058509</f>
        <v>3.839034386550106E-2</v>
      </c>
      <c r="I8373">
        <v>3.8390343865501331E-2</v>
      </c>
    </row>
    <row r="8374" spans="1:9" x14ac:dyDescent="0.25">
      <c r="A8374">
        <v>375</v>
      </c>
      <c r="B8374" t="s">
        <v>2796</v>
      </c>
      <c r="C8374" t="s">
        <v>10</v>
      </c>
      <c r="D8374" t="s">
        <v>78</v>
      </c>
      <c r="E8374">
        <f t="shared" si="385"/>
        <v>1.4285714285714285E-2</v>
      </c>
      <c r="F8374">
        <v>122</v>
      </c>
      <c r="G8374">
        <f>LOG(382/(122+1))</f>
        <v>0.49215825147231079</v>
      </c>
      <c r="H8374">
        <f>0.0142857142857142*1.13323625323415</f>
        <v>1.6189089331916331E-2</v>
      </c>
      <c r="I8374">
        <v>1.618908933191654E-2</v>
      </c>
    </row>
    <row r="8375" spans="1:9" x14ac:dyDescent="0.25">
      <c r="A8375">
        <v>375</v>
      </c>
      <c r="B8375" t="s">
        <v>2796</v>
      </c>
      <c r="C8375" t="s">
        <v>10</v>
      </c>
      <c r="D8375" t="s">
        <v>483</v>
      </c>
      <c r="E8375">
        <f t="shared" si="385"/>
        <v>1.4285714285714285E-2</v>
      </c>
      <c r="F8375">
        <v>61</v>
      </c>
      <c r="G8375">
        <f>LOG(382/(61+1))</f>
        <v>0.7896716734134549</v>
      </c>
      <c r="H8375">
        <f>0.0142857142857142*1.81828622356148</f>
        <v>2.597551747944956E-2</v>
      </c>
      <c r="I8375">
        <v>2.5975517479449761E-2</v>
      </c>
    </row>
    <row r="8376" spans="1:9" x14ac:dyDescent="0.25">
      <c r="A8376">
        <v>375</v>
      </c>
      <c r="B8376" t="s">
        <v>2796</v>
      </c>
      <c r="C8376" t="s">
        <v>10</v>
      </c>
      <c r="D8376" t="s">
        <v>764</v>
      </c>
      <c r="E8376">
        <f t="shared" si="385"/>
        <v>1.4285714285714285E-2</v>
      </c>
      <c r="F8376">
        <v>57</v>
      </c>
      <c r="G8376">
        <f>LOG(382/(57+1))</f>
        <v>0.81863536934877146</v>
      </c>
      <c r="H8376">
        <f>0.0142857142857142*1.88497759806015</f>
        <v>2.6928251400859124E-2</v>
      </c>
      <c r="I8376">
        <v>2.692825140085937E-2</v>
      </c>
    </row>
    <row r="8377" spans="1:9" x14ac:dyDescent="0.25">
      <c r="A8377">
        <v>375</v>
      </c>
      <c r="B8377" t="s">
        <v>2796</v>
      </c>
      <c r="C8377" t="s">
        <v>10</v>
      </c>
      <c r="D8377" t="s">
        <v>1289</v>
      </c>
      <c r="E8377">
        <f t="shared" si="385"/>
        <v>1.4285714285714285E-2</v>
      </c>
      <c r="F8377">
        <v>8</v>
      </c>
      <c r="G8377">
        <f>LOG(382/(8+1))</f>
        <v>1.6278208534723839</v>
      </c>
      <c r="H8377">
        <f>0.0142857142857142*3.74819603127035</f>
        <v>5.3545657589576107E-2</v>
      </c>
      <c r="I8377">
        <v>5.3545657589576509E-2</v>
      </c>
    </row>
    <row r="8378" spans="1:9" x14ac:dyDescent="0.25">
      <c r="A8378">
        <v>375</v>
      </c>
      <c r="B8378" t="s">
        <v>2796</v>
      </c>
      <c r="C8378" t="s">
        <v>10</v>
      </c>
      <c r="D8378" t="s">
        <v>133</v>
      </c>
      <c r="E8378">
        <f>2/70</f>
        <v>2.8571428571428571E-2</v>
      </c>
      <c r="F8378">
        <v>142</v>
      </c>
      <c r="G8378">
        <f>LOG(382/(142+1))</f>
        <v>0.42672732544664693</v>
      </c>
      <c r="H8378">
        <f>0.0285714285714285*0.982575978346667</f>
        <v>2.8073599381333275E-2</v>
      </c>
      <c r="I8378">
        <v>2.8073599381333369E-2</v>
      </c>
    </row>
    <row r="8379" spans="1:9" x14ac:dyDescent="0.25">
      <c r="A8379">
        <v>375</v>
      </c>
      <c r="B8379" t="s">
        <v>2796</v>
      </c>
      <c r="C8379" t="s">
        <v>10</v>
      </c>
      <c r="D8379" t="s">
        <v>331</v>
      </c>
      <c r="E8379">
        <f t="shared" ref="E8379:E8395" si="386">1/70</f>
        <v>1.4285714285714285E-2</v>
      </c>
      <c r="F8379">
        <v>130</v>
      </c>
      <c r="G8379">
        <f>LOG(382/(130+1))</f>
        <v>0.46479206725594452</v>
      </c>
      <c r="H8379">
        <f>0.0142857142857142*1.07022328540542</f>
        <v>1.5288904077220196E-2</v>
      </c>
      <c r="I8379">
        <v>1.528890407722034E-2</v>
      </c>
    </row>
    <row r="8380" spans="1:9" x14ac:dyDescent="0.25">
      <c r="A8380">
        <v>375</v>
      </c>
      <c r="B8380" t="s">
        <v>2796</v>
      </c>
      <c r="C8380" t="s">
        <v>10</v>
      </c>
      <c r="D8380" t="s">
        <v>542</v>
      </c>
      <c r="E8380">
        <f t="shared" si="386"/>
        <v>1.4285714285714285E-2</v>
      </c>
      <c r="F8380">
        <v>42</v>
      </c>
      <c r="G8380">
        <f>LOG(382/(42+1))</f>
        <v>0.94859490733212215</v>
      </c>
      <c r="H8380">
        <f>0.0142857142857142*2.18422049291301</f>
        <v>3.1203149898757096E-2</v>
      </c>
      <c r="I8380">
        <v>3.1203149898757322E-2</v>
      </c>
    </row>
    <row r="8381" spans="1:9" x14ac:dyDescent="0.25">
      <c r="A8381">
        <v>375</v>
      </c>
      <c r="B8381" t="s">
        <v>2796</v>
      </c>
      <c r="C8381" t="s">
        <v>10</v>
      </c>
      <c r="D8381" t="s">
        <v>2801</v>
      </c>
      <c r="E8381">
        <f t="shared" si="386"/>
        <v>1.4285714285714285E-2</v>
      </c>
      <c r="F8381">
        <v>1</v>
      </c>
      <c r="G8381">
        <f>LOG(382/(1+1))</f>
        <v>2.2810333672477277</v>
      </c>
      <c r="H8381">
        <f>0.0142857142857142*5.25227342804663</f>
        <v>7.5032477543522838E-2</v>
      </c>
      <c r="I8381">
        <v>7.5032477543523282E-2</v>
      </c>
    </row>
    <row r="8382" spans="1:9" x14ac:dyDescent="0.25">
      <c r="A8382">
        <v>375</v>
      </c>
      <c r="B8382" t="s">
        <v>2796</v>
      </c>
      <c r="C8382" t="s">
        <v>10</v>
      </c>
      <c r="D8382" t="s">
        <v>596</v>
      </c>
      <c r="E8382">
        <f t="shared" si="386"/>
        <v>1.4285714285714285E-2</v>
      </c>
      <c r="F8382">
        <v>60</v>
      </c>
      <c r="G8382">
        <f>LOG(382/(60+1))</f>
        <v>0.79673352790094176</v>
      </c>
      <c r="H8382">
        <f>0.0142857142857142*1.83454674443326</f>
        <v>2.62078106347607E-2</v>
      </c>
      <c r="I8382">
        <v>2.6207810634760909E-2</v>
      </c>
    </row>
    <row r="8383" spans="1:9" x14ac:dyDescent="0.25">
      <c r="A8383">
        <v>375</v>
      </c>
      <c r="B8383" t="s">
        <v>2796</v>
      </c>
      <c r="C8383" t="s">
        <v>10</v>
      </c>
      <c r="D8383" t="s">
        <v>597</v>
      </c>
      <c r="E8383">
        <f t="shared" si="386"/>
        <v>1.4285714285714285E-2</v>
      </c>
      <c r="F8383">
        <v>51</v>
      </c>
      <c r="G8383">
        <f>LOG(382/(51+1))</f>
        <v>0.86606001927690957</v>
      </c>
      <c r="H8383">
        <f>0.0142857142857142*1.99417689002514</f>
        <v>2.8488241286073256E-2</v>
      </c>
      <c r="I8383">
        <v>2.8488241286073541E-2</v>
      </c>
    </row>
    <row r="8384" spans="1:9" x14ac:dyDescent="0.25">
      <c r="A8384">
        <v>375</v>
      </c>
      <c r="B8384" t="s">
        <v>2796</v>
      </c>
      <c r="C8384" t="s">
        <v>10</v>
      </c>
      <c r="D8384" t="s">
        <v>805</v>
      </c>
      <c r="E8384">
        <f t="shared" si="386"/>
        <v>1.4285714285714285E-2</v>
      </c>
      <c r="F8384">
        <v>19</v>
      </c>
      <c r="G8384">
        <f>LOG(382/(19+1))</f>
        <v>1.2810333672477277</v>
      </c>
      <c r="H8384">
        <f>0.0142857142857142*2.94968833505258</f>
        <v>4.2138404786465175E-2</v>
      </c>
      <c r="I8384">
        <v>4.2138404786465487E-2</v>
      </c>
    </row>
    <row r="8385" spans="1:9" x14ac:dyDescent="0.25">
      <c r="A8385">
        <v>375</v>
      </c>
      <c r="B8385" t="s">
        <v>2796</v>
      </c>
      <c r="C8385" t="s">
        <v>10</v>
      </c>
      <c r="D8385" t="s">
        <v>599</v>
      </c>
      <c r="E8385">
        <f t="shared" si="386"/>
        <v>1.4285714285714285E-2</v>
      </c>
      <c r="F8385">
        <v>28</v>
      </c>
      <c r="G8385">
        <f>LOG(382/(28+1))</f>
        <v>1.1196653650127526</v>
      </c>
      <c r="H8385">
        <f>0.0142857142857142*2.5781247786201</f>
        <v>3.6830353980286917E-2</v>
      </c>
      <c r="I8385">
        <v>3.683035398028716E-2</v>
      </c>
    </row>
    <row r="8386" spans="1:9" x14ac:dyDescent="0.25">
      <c r="A8386">
        <v>375</v>
      </c>
      <c r="B8386" t="s">
        <v>2796</v>
      </c>
      <c r="C8386" t="s">
        <v>10</v>
      </c>
      <c r="D8386" t="s">
        <v>600</v>
      </c>
      <c r="E8386">
        <f t="shared" si="386"/>
        <v>1.4285714285714285E-2</v>
      </c>
      <c r="F8386">
        <v>102</v>
      </c>
      <c r="G8386">
        <f>LOG(382/(102+1))</f>
        <v>0.56922613820653656</v>
      </c>
      <c r="H8386">
        <f>0.0142857142857142*1.31069162037693</f>
        <v>1.8724166005384603E-2</v>
      </c>
      <c r="I8386">
        <v>1.8724166005384849E-2</v>
      </c>
    </row>
    <row r="8387" spans="1:9" x14ac:dyDescent="0.25">
      <c r="A8387">
        <v>375</v>
      </c>
      <c r="B8387" t="s">
        <v>2796</v>
      </c>
      <c r="C8387" t="s">
        <v>10</v>
      </c>
      <c r="D8387" t="s">
        <v>2802</v>
      </c>
      <c r="E8387">
        <f t="shared" si="386"/>
        <v>1.4285714285714285E-2</v>
      </c>
      <c r="F8387">
        <v>1</v>
      </c>
      <c r="G8387">
        <f>LOG(382/(1+1))</f>
        <v>2.2810333672477277</v>
      </c>
      <c r="H8387">
        <f>0.0142857142857142*5.25227342804663</f>
        <v>7.5032477543522838E-2</v>
      </c>
      <c r="I8387">
        <v>7.5032477543523282E-2</v>
      </c>
    </row>
    <row r="8388" spans="1:9" x14ac:dyDescent="0.25">
      <c r="A8388">
        <v>375</v>
      </c>
      <c r="B8388" t="s">
        <v>2796</v>
      </c>
      <c r="C8388" t="s">
        <v>10</v>
      </c>
      <c r="D8388" t="s">
        <v>247</v>
      </c>
      <c r="E8388">
        <f t="shared" si="386"/>
        <v>1.4285714285714285E-2</v>
      </c>
      <c r="F8388">
        <v>121</v>
      </c>
      <c r="G8388">
        <f>LOG(382/(121+1))</f>
        <v>0.49570353223696051</v>
      </c>
      <c r="H8388">
        <f>0.0142857142857142*1.14139956387331</f>
        <v>1.6305708055332904E-2</v>
      </c>
      <c r="I8388">
        <v>1.6305708055333129E-2</v>
      </c>
    </row>
    <row r="8389" spans="1:9" x14ac:dyDescent="0.25">
      <c r="A8389">
        <v>375</v>
      </c>
      <c r="B8389" t="s">
        <v>2796</v>
      </c>
      <c r="C8389" t="s">
        <v>10</v>
      </c>
      <c r="D8389" t="s">
        <v>39</v>
      </c>
      <c r="E8389">
        <f t="shared" si="386"/>
        <v>1.4285714285714285E-2</v>
      </c>
      <c r="F8389">
        <v>145</v>
      </c>
      <c r="G8389">
        <f>LOG(382/(145+1))</f>
        <v>0.41771050712727159</v>
      </c>
      <c r="H8389">
        <f>0.0142857142857142*0.961813986898238</f>
        <v>1.374019981283189E-2</v>
      </c>
      <c r="I8389">
        <v>1.374019981283198E-2</v>
      </c>
    </row>
    <row r="8390" spans="1:9" x14ac:dyDescent="0.25">
      <c r="A8390">
        <v>375</v>
      </c>
      <c r="B8390" t="s">
        <v>2796</v>
      </c>
      <c r="C8390" t="s">
        <v>10</v>
      </c>
      <c r="D8390" t="s">
        <v>216</v>
      </c>
      <c r="E8390">
        <f t="shared" si="386"/>
        <v>1.4285714285714285E-2</v>
      </c>
      <c r="F8390">
        <v>63</v>
      </c>
      <c r="G8390">
        <f>LOG(382/(63+1))</f>
        <v>0.7758833889278216</v>
      </c>
      <c r="H8390">
        <f>0.0142857142857142*1.7865375252469</f>
        <v>2.5521964646384135E-2</v>
      </c>
      <c r="I8390">
        <v>2.5521964646384329E-2</v>
      </c>
    </row>
    <row r="8391" spans="1:9" x14ac:dyDescent="0.25">
      <c r="A8391">
        <v>375</v>
      </c>
      <c r="B8391" t="s">
        <v>2796</v>
      </c>
      <c r="C8391" t="s">
        <v>10</v>
      </c>
      <c r="D8391" t="s">
        <v>119</v>
      </c>
      <c r="E8391">
        <f t="shared" si="386"/>
        <v>1.4285714285714285E-2</v>
      </c>
      <c r="F8391">
        <v>79</v>
      </c>
      <c r="G8391">
        <f>LOG(382/(79+1))</f>
        <v>0.67897337591976514</v>
      </c>
      <c r="H8391">
        <f>0.0142857142857142*1.56339397393269</f>
        <v>2.2334199627609724E-2</v>
      </c>
      <c r="I8391">
        <v>2.2334199627609911E-2</v>
      </c>
    </row>
    <row r="8392" spans="1:9" x14ac:dyDescent="0.25">
      <c r="A8392">
        <v>375</v>
      </c>
      <c r="B8392" t="s">
        <v>2796</v>
      </c>
      <c r="C8392" t="s">
        <v>10</v>
      </c>
      <c r="D8392" t="s">
        <v>40</v>
      </c>
      <c r="E8392">
        <f t="shared" si="386"/>
        <v>1.4285714285714285E-2</v>
      </c>
      <c r="F8392">
        <v>159</v>
      </c>
      <c r="G8392">
        <f>LOG(382/(159+1))</f>
        <v>0.377943380255784</v>
      </c>
      <c r="H8392">
        <f>0.0142857142857142*0.870246793372748</f>
        <v>1.243209704818204E-2</v>
      </c>
      <c r="I8392">
        <v>1.2432097048182119E-2</v>
      </c>
    </row>
    <row r="8393" spans="1:9" x14ac:dyDescent="0.25">
      <c r="A8393">
        <v>375</v>
      </c>
      <c r="B8393" t="s">
        <v>2796</v>
      </c>
      <c r="C8393" t="s">
        <v>10</v>
      </c>
      <c r="D8393" t="s">
        <v>2803</v>
      </c>
      <c r="E8393">
        <f t="shared" si="386"/>
        <v>1.4285714285714285E-2</v>
      </c>
      <c r="F8393">
        <v>1</v>
      </c>
      <c r="G8393">
        <f>LOG(382/(1+1))</f>
        <v>2.2810333672477277</v>
      </c>
      <c r="H8393">
        <f>0.0142857142857142*5.25227342804663</f>
        <v>7.5032477543522838E-2</v>
      </c>
      <c r="I8393">
        <v>7.5032477543523282E-2</v>
      </c>
    </row>
    <row r="8394" spans="1:9" x14ac:dyDescent="0.25">
      <c r="A8394">
        <v>375</v>
      </c>
      <c r="B8394" t="s">
        <v>2796</v>
      </c>
      <c r="C8394" t="s">
        <v>10</v>
      </c>
      <c r="D8394" t="s">
        <v>915</v>
      </c>
      <c r="E8394">
        <f t="shared" si="386"/>
        <v>1.4285714285714285E-2</v>
      </c>
      <c r="F8394">
        <v>8</v>
      </c>
      <c r="G8394">
        <f>LOG(382/(8+1))</f>
        <v>1.6278208534723839</v>
      </c>
      <c r="H8394">
        <f>0.0142857142857142*3.74819603127035</f>
        <v>5.3545657589576107E-2</v>
      </c>
      <c r="I8394">
        <v>5.3545657589576509E-2</v>
      </c>
    </row>
    <row r="8395" spans="1:9" x14ac:dyDescent="0.25">
      <c r="A8395">
        <v>375</v>
      </c>
      <c r="B8395" t="s">
        <v>2796</v>
      </c>
      <c r="C8395" t="s">
        <v>10</v>
      </c>
      <c r="D8395" t="s">
        <v>379</v>
      </c>
      <c r="E8395">
        <f t="shared" si="386"/>
        <v>1.4285714285714285E-2</v>
      </c>
      <c r="F8395">
        <v>17</v>
      </c>
      <c r="G8395">
        <f>LOG(382/(17+1))</f>
        <v>1.3267908578084027</v>
      </c>
      <c r="H8395">
        <f>0.0142857142857142*3.05504885071041</f>
        <v>4.3643555010148452E-2</v>
      </c>
      <c r="I8395">
        <v>4.3643555010148723E-2</v>
      </c>
    </row>
    <row r="8396" spans="1:9" x14ac:dyDescent="0.25">
      <c r="A8396">
        <v>375</v>
      </c>
      <c r="B8396" t="s">
        <v>2796</v>
      </c>
      <c r="C8396" t="s">
        <v>10</v>
      </c>
      <c r="D8396" t="s">
        <v>236</v>
      </c>
      <c r="E8396">
        <f>2/70</f>
        <v>2.8571428571428571E-2</v>
      </c>
      <c r="F8396">
        <v>87</v>
      </c>
      <c r="G8396">
        <f>LOG(382/(87+1))</f>
        <v>0.63758069076154011</v>
      </c>
      <c r="H8396">
        <f>0.0285714285714285*1.46808379412836</f>
        <v>4.1945251260810182E-2</v>
      </c>
      <c r="I8396">
        <v>4.1945251260810529E-2</v>
      </c>
    </row>
    <row r="8397" spans="1:9" x14ac:dyDescent="0.25">
      <c r="A8397">
        <v>375</v>
      </c>
      <c r="B8397" t="s">
        <v>2796</v>
      </c>
      <c r="C8397" t="s">
        <v>10</v>
      </c>
      <c r="D8397" t="s">
        <v>438</v>
      </c>
      <c r="E8397">
        <f t="shared" ref="E8397:E8408" si="387">1/70</f>
        <v>1.4285714285714285E-2</v>
      </c>
      <c r="F8397">
        <v>37</v>
      </c>
      <c r="G8397">
        <f>LOG(382/(37+1))</f>
        <v>1.0022797662948986</v>
      </c>
      <c r="H8397">
        <f>0.0142857142857142*2.30783444888018</f>
        <v>3.2969063555430944E-2</v>
      </c>
      <c r="I8397">
        <v>3.296906355543127E-2</v>
      </c>
    </row>
    <row r="8398" spans="1:9" x14ac:dyDescent="0.25">
      <c r="A8398">
        <v>375</v>
      </c>
      <c r="B8398" t="s">
        <v>2796</v>
      </c>
      <c r="C8398" t="s">
        <v>10</v>
      </c>
      <c r="D8398" t="s">
        <v>439</v>
      </c>
      <c r="E8398">
        <f t="shared" si="387"/>
        <v>1.4285714285714285E-2</v>
      </c>
      <c r="F8398">
        <v>28</v>
      </c>
      <c r="G8398">
        <f>LOG(382/(28+1))</f>
        <v>1.1196653650127526</v>
      </c>
      <c r="H8398">
        <f>0.0142857142857142*2.5781247786201</f>
        <v>3.6830353980286917E-2</v>
      </c>
      <c r="I8398">
        <v>3.683035398028716E-2</v>
      </c>
    </row>
    <row r="8399" spans="1:9" x14ac:dyDescent="0.25">
      <c r="A8399">
        <v>375</v>
      </c>
      <c r="B8399" t="s">
        <v>2796</v>
      </c>
      <c r="C8399" t="s">
        <v>10</v>
      </c>
      <c r="D8399" t="s">
        <v>688</v>
      </c>
      <c r="E8399">
        <f t="shared" si="387"/>
        <v>1.4285714285714285E-2</v>
      </c>
      <c r="F8399">
        <v>23</v>
      </c>
      <c r="G8399">
        <f>LOG(382/(23+1))</f>
        <v>1.2018521212001028</v>
      </c>
      <c r="H8399">
        <f>0.0142857142857142*2.76736677825862</f>
        <v>3.9533811117980051E-2</v>
      </c>
      <c r="I8399">
        <v>3.9533811117980419E-2</v>
      </c>
    </row>
    <row r="8400" spans="1:9" x14ac:dyDescent="0.25">
      <c r="A8400">
        <v>375</v>
      </c>
      <c r="B8400" t="s">
        <v>2796</v>
      </c>
      <c r="C8400" t="s">
        <v>10</v>
      </c>
      <c r="D8400" t="s">
        <v>1469</v>
      </c>
      <c r="E8400">
        <f t="shared" si="387"/>
        <v>1.4285714285714285E-2</v>
      </c>
      <c r="F8400">
        <v>24</v>
      </c>
      <c r="G8400">
        <f>LOG(382/(24+1))</f>
        <v>1.1841233542396712</v>
      </c>
      <c r="H8400">
        <f>0.0142857142857142*2.72654478373837</f>
        <v>3.8950639767690767E-2</v>
      </c>
      <c r="I8400">
        <v>3.8950639767691059E-2</v>
      </c>
    </row>
    <row r="8401" spans="1:9" x14ac:dyDescent="0.25">
      <c r="A8401">
        <v>375</v>
      </c>
      <c r="B8401" t="s">
        <v>2796</v>
      </c>
      <c r="C8401" t="s">
        <v>10</v>
      </c>
      <c r="D8401" t="s">
        <v>322</v>
      </c>
      <c r="E8401">
        <f t="shared" si="387"/>
        <v>1.4285714285714285E-2</v>
      </c>
      <c r="F8401">
        <v>128</v>
      </c>
      <c r="G8401">
        <f>LOG(382/(128+1))</f>
        <v>0.47147365261245977</v>
      </c>
      <c r="H8401">
        <f>0.0142857142857142*1.0856082042449</f>
        <v>1.5508688632069908E-2</v>
      </c>
      <c r="I8401">
        <v>1.550868863207004E-2</v>
      </c>
    </row>
    <row r="8402" spans="1:9" x14ac:dyDescent="0.25">
      <c r="A8402">
        <v>375</v>
      </c>
      <c r="B8402" t="s">
        <v>2796</v>
      </c>
      <c r="C8402" t="s">
        <v>10</v>
      </c>
      <c r="D8402" t="s">
        <v>2804</v>
      </c>
      <c r="E8402">
        <f t="shared" si="387"/>
        <v>1.4285714285714285E-2</v>
      </c>
      <c r="F8402">
        <v>1</v>
      </c>
      <c r="G8402">
        <f>LOG(382/(1+1))</f>
        <v>2.2810333672477277</v>
      </c>
      <c r="H8402">
        <f>0.0142857142857142*5.25227342804663</f>
        <v>7.5032477543522838E-2</v>
      </c>
      <c r="I8402">
        <v>7.5032477543523282E-2</v>
      </c>
    </row>
    <row r="8403" spans="1:9" x14ac:dyDescent="0.25">
      <c r="A8403">
        <v>375</v>
      </c>
      <c r="B8403" t="s">
        <v>2796</v>
      </c>
      <c r="C8403" t="s">
        <v>10</v>
      </c>
      <c r="D8403" t="s">
        <v>775</v>
      </c>
      <c r="E8403">
        <f t="shared" si="387"/>
        <v>1.4285714285714285E-2</v>
      </c>
      <c r="F8403">
        <v>20</v>
      </c>
      <c r="G8403">
        <f>LOG(382/(20+1))</f>
        <v>1.2598440681777894</v>
      </c>
      <c r="H8403">
        <f>0.0142857142857142*2.90089817088315</f>
        <v>4.1441402441187609E-2</v>
      </c>
      <c r="I8403">
        <v>4.1441402441187887E-2</v>
      </c>
    </row>
    <row r="8404" spans="1:9" x14ac:dyDescent="0.25">
      <c r="A8404">
        <v>375</v>
      </c>
      <c r="B8404" t="s">
        <v>2796</v>
      </c>
      <c r="C8404" t="s">
        <v>10</v>
      </c>
      <c r="D8404" t="s">
        <v>388</v>
      </c>
      <c r="E8404">
        <f t="shared" si="387"/>
        <v>1.4285714285714285E-2</v>
      </c>
      <c r="F8404">
        <v>44</v>
      </c>
      <c r="G8404">
        <f>LOG(382/(44+1))</f>
        <v>0.92885084913636506</v>
      </c>
      <c r="H8404">
        <f>0.0142857142857142*2.13875811883625</f>
        <v>3.0553687411946244E-2</v>
      </c>
      <c r="I8404">
        <v>3.0553687411946501E-2</v>
      </c>
    </row>
    <row r="8405" spans="1:9" x14ac:dyDescent="0.25">
      <c r="A8405">
        <v>375</v>
      </c>
      <c r="B8405" t="s">
        <v>2796</v>
      </c>
      <c r="C8405" t="s">
        <v>10</v>
      </c>
      <c r="D8405" t="s">
        <v>338</v>
      </c>
      <c r="E8405">
        <f t="shared" si="387"/>
        <v>1.4285714285714285E-2</v>
      </c>
      <c r="F8405">
        <v>54</v>
      </c>
      <c r="G8405">
        <f>LOG(382/(54+1))</f>
        <v>0.84170067341746491</v>
      </c>
      <c r="H8405">
        <f>0.0142857142857142*1.9380874233741</f>
        <v>2.7686963191058404E-2</v>
      </c>
      <c r="I8405">
        <v>2.7686963191058629E-2</v>
      </c>
    </row>
    <row r="8406" spans="1:9" x14ac:dyDescent="0.25">
      <c r="A8406">
        <v>375</v>
      </c>
      <c r="B8406" t="s">
        <v>2796</v>
      </c>
      <c r="C8406" t="s">
        <v>10</v>
      </c>
      <c r="D8406" t="s">
        <v>1831</v>
      </c>
      <c r="E8406">
        <f t="shared" si="387"/>
        <v>1.4285714285714285E-2</v>
      </c>
      <c r="F8406">
        <v>28</v>
      </c>
      <c r="G8406">
        <f>LOG(382/(28+1))</f>
        <v>1.1196653650127526</v>
      </c>
      <c r="H8406">
        <f>0.0142857142857142*2.5781247786201</f>
        <v>3.6830353980286917E-2</v>
      </c>
      <c r="I8406">
        <v>3.683035398028716E-2</v>
      </c>
    </row>
    <row r="8407" spans="1:9" x14ac:dyDescent="0.25">
      <c r="A8407">
        <v>375</v>
      </c>
      <c r="B8407" t="s">
        <v>2796</v>
      </c>
      <c r="C8407" t="s">
        <v>10</v>
      </c>
      <c r="D8407" t="s">
        <v>763</v>
      </c>
      <c r="E8407">
        <f t="shared" si="387"/>
        <v>1.4285714285714285E-2</v>
      </c>
      <c r="F8407">
        <v>47</v>
      </c>
      <c r="G8407">
        <f>LOG(382/(47+1))</f>
        <v>0.90082212553612151</v>
      </c>
      <c r="H8407">
        <f>0.0142857142857142*2.07421959769868</f>
        <v>2.9631708538552397E-2</v>
      </c>
      <c r="I8407">
        <v>2.9631708538552629E-2</v>
      </c>
    </row>
    <row r="8408" spans="1:9" x14ac:dyDescent="0.25">
      <c r="A8408">
        <v>375</v>
      </c>
      <c r="B8408" t="s">
        <v>2796</v>
      </c>
      <c r="C8408" t="s">
        <v>10</v>
      </c>
      <c r="D8408" t="s">
        <v>1098</v>
      </c>
      <c r="E8408">
        <f t="shared" si="387"/>
        <v>1.4285714285714285E-2</v>
      </c>
      <c r="F8408">
        <v>19</v>
      </c>
      <c r="G8408">
        <f>LOG(382/(19+1))</f>
        <v>1.2810333672477277</v>
      </c>
      <c r="H8408">
        <f>0.0142857142857142*2.94968833505258</f>
        <v>4.2138404786465175E-2</v>
      </c>
      <c r="I8408">
        <v>4.2138404786465487E-2</v>
      </c>
    </row>
    <row r="8409" spans="1:9" x14ac:dyDescent="0.25">
      <c r="A8409">
        <v>376</v>
      </c>
      <c r="B8409" t="s">
        <v>2805</v>
      </c>
      <c r="C8409" t="s">
        <v>10</v>
      </c>
      <c r="D8409" t="s">
        <v>11</v>
      </c>
      <c r="E8409">
        <f>12/137</f>
        <v>8.7591240875912413E-2</v>
      </c>
      <c r="F8409">
        <v>83</v>
      </c>
      <c r="G8409">
        <f>LOG(382/(83+1))</f>
        <v>0.65778407684982709</v>
      </c>
      <c r="H8409">
        <f>0.0875912408759124*1.51460380976326</f>
        <v>0.1326660271325483</v>
      </c>
      <c r="I8409">
        <v>0.13266602713254849</v>
      </c>
    </row>
    <row r="8410" spans="1:9" x14ac:dyDescent="0.25">
      <c r="A8410">
        <v>376</v>
      </c>
      <c r="B8410" t="s">
        <v>2805</v>
      </c>
      <c r="C8410" t="s">
        <v>10</v>
      </c>
      <c r="D8410" t="s">
        <v>12</v>
      </c>
      <c r="E8410">
        <f>11/137</f>
        <v>8.0291970802919707E-2</v>
      </c>
      <c r="F8410">
        <v>28</v>
      </c>
      <c r="G8410">
        <f>LOG(382/(28+1))</f>
        <v>1.1196653650127526</v>
      </c>
      <c r="H8410">
        <f>0.0802919708029197*2.5781247786201</f>
        <v>0.20700271945124885</v>
      </c>
      <c r="I8410">
        <v>0.20700271945124901</v>
      </c>
    </row>
    <row r="8411" spans="1:9" x14ac:dyDescent="0.25">
      <c r="A8411">
        <v>376</v>
      </c>
      <c r="B8411" t="s">
        <v>2805</v>
      </c>
      <c r="C8411" t="s">
        <v>10</v>
      </c>
      <c r="D8411" t="s">
        <v>2806</v>
      </c>
      <c r="E8411">
        <f>5/137</f>
        <v>3.6496350364963501E-2</v>
      </c>
      <c r="F8411">
        <v>1</v>
      </c>
      <c r="G8411">
        <f>LOG(382/(1+1))</f>
        <v>2.2810333672477277</v>
      </c>
      <c r="H8411">
        <f>0.0364963503649635*5.25227342804663</f>
        <v>0.19168881124257772</v>
      </c>
      <c r="I8411">
        <v>0.19168881124257769</v>
      </c>
    </row>
    <row r="8412" spans="1:9" x14ac:dyDescent="0.25">
      <c r="A8412">
        <v>376</v>
      </c>
      <c r="B8412" t="s">
        <v>2805</v>
      </c>
      <c r="C8412" t="s">
        <v>10</v>
      </c>
      <c r="D8412" t="s">
        <v>2807</v>
      </c>
      <c r="E8412">
        <f>5/137</f>
        <v>3.6496350364963501E-2</v>
      </c>
      <c r="F8412">
        <v>1</v>
      </c>
      <c r="G8412">
        <f>LOG(382/(1+1))</f>
        <v>2.2810333672477277</v>
      </c>
      <c r="H8412">
        <f>0.0364963503649635*5.25227342804663</f>
        <v>0.19168881124257772</v>
      </c>
      <c r="I8412">
        <v>0.19168881124257769</v>
      </c>
    </row>
    <row r="8413" spans="1:9" x14ac:dyDescent="0.25">
      <c r="A8413">
        <v>376</v>
      </c>
      <c r="B8413" t="s">
        <v>2805</v>
      </c>
      <c r="C8413" t="s">
        <v>10</v>
      </c>
      <c r="D8413" t="s">
        <v>183</v>
      </c>
      <c r="E8413">
        <f>7/137</f>
        <v>5.1094890510948905E-2</v>
      </c>
      <c r="F8413">
        <v>46</v>
      </c>
      <c r="G8413">
        <f>LOG(382/(46+1))</f>
        <v>0.90996550497599127</v>
      </c>
      <c r="H8413">
        <f>0.0510948905109489*2.09527300689651</f>
        <v>0.10705774487792387</v>
      </c>
      <c r="I8413">
        <v>0.1070577448779242</v>
      </c>
    </row>
    <row r="8414" spans="1:9" x14ac:dyDescent="0.25">
      <c r="A8414">
        <v>376</v>
      </c>
      <c r="B8414" t="s">
        <v>2805</v>
      </c>
      <c r="C8414" t="s">
        <v>10</v>
      </c>
      <c r="D8414" t="s">
        <v>38</v>
      </c>
      <c r="E8414">
        <f>3/137</f>
        <v>2.1897810218978103E-2</v>
      </c>
      <c r="F8414">
        <v>86</v>
      </c>
      <c r="G8414">
        <f>LOG(382/(86+1))</f>
        <v>0.64254411029309022</v>
      </c>
      <c r="H8414">
        <f>0.0218978102189781*1.47951248995199</f>
        <v>3.2398083721576418E-2</v>
      </c>
      <c r="I8414">
        <v>3.2398083721576452E-2</v>
      </c>
    </row>
    <row r="8415" spans="1:9" x14ac:dyDescent="0.25">
      <c r="A8415">
        <v>376</v>
      </c>
      <c r="B8415" t="s">
        <v>2805</v>
      </c>
      <c r="C8415" t="s">
        <v>10</v>
      </c>
      <c r="D8415" t="s">
        <v>44</v>
      </c>
      <c r="E8415">
        <f>3/137</f>
        <v>2.1897810218978103E-2</v>
      </c>
      <c r="F8415">
        <v>151</v>
      </c>
      <c r="G8415">
        <f>LOG(382/(151+1))</f>
        <v>0.40021977496693617</v>
      </c>
      <c r="H8415">
        <f>0.0218978102189781*0.921540087760298</f>
        <v>2.017970995095543E-2</v>
      </c>
      <c r="I8415">
        <v>2.017970995095545E-2</v>
      </c>
    </row>
    <row r="8416" spans="1:9" x14ac:dyDescent="0.25">
      <c r="A8416">
        <v>376</v>
      </c>
      <c r="B8416" t="s">
        <v>2805</v>
      </c>
      <c r="C8416" t="s">
        <v>10</v>
      </c>
      <c r="D8416" t="s">
        <v>1749</v>
      </c>
      <c r="E8416">
        <f>1/137</f>
        <v>7.2992700729927005E-3</v>
      </c>
      <c r="F8416">
        <v>3</v>
      </c>
      <c r="G8416">
        <f>LOG(382/(3+1))</f>
        <v>1.9800033715837464</v>
      </c>
      <c r="H8416">
        <f>0.0072992700729927*4.55912624748668</f>
        <v>3.327829377727503E-2</v>
      </c>
      <c r="I8416">
        <v>3.3278293777275071E-2</v>
      </c>
    </row>
    <row r="8417" spans="1:9" x14ac:dyDescent="0.25">
      <c r="A8417">
        <v>376</v>
      </c>
      <c r="B8417" t="s">
        <v>2805</v>
      </c>
      <c r="C8417" t="s">
        <v>10</v>
      </c>
      <c r="D8417" t="s">
        <v>1884</v>
      </c>
      <c r="E8417">
        <f>1/137</f>
        <v>7.2992700729927005E-3</v>
      </c>
      <c r="F8417">
        <v>9</v>
      </c>
      <c r="G8417">
        <f>LOG(382/(9+1))</f>
        <v>1.5820633629117087</v>
      </c>
      <c r="H8417">
        <f>0.0072992700729927*3.64283551561252</f>
        <v>2.6590040259945397E-2</v>
      </c>
      <c r="I8417">
        <v>2.659004025994547E-2</v>
      </c>
    </row>
    <row r="8418" spans="1:9" x14ac:dyDescent="0.25">
      <c r="A8418">
        <v>376</v>
      </c>
      <c r="B8418" t="s">
        <v>2805</v>
      </c>
      <c r="C8418" t="s">
        <v>10</v>
      </c>
      <c r="D8418" t="s">
        <v>119</v>
      </c>
      <c r="E8418">
        <f>2/137</f>
        <v>1.4598540145985401E-2</v>
      </c>
      <c r="F8418">
        <v>79</v>
      </c>
      <c r="G8418">
        <f>LOG(382/(79+1))</f>
        <v>0.67897337591976514</v>
      </c>
      <c r="H8418">
        <f>0.0145985401459854*1.56339397393269</f>
        <v>2.2823269692448026E-2</v>
      </c>
      <c r="I8418">
        <v>2.2823269692448082E-2</v>
      </c>
    </row>
    <row r="8419" spans="1:9" x14ac:dyDescent="0.25">
      <c r="A8419">
        <v>376</v>
      </c>
      <c r="B8419" t="s">
        <v>2805</v>
      </c>
      <c r="C8419" t="s">
        <v>10</v>
      </c>
      <c r="D8419" t="s">
        <v>2789</v>
      </c>
      <c r="E8419">
        <f>1/137</f>
        <v>7.2992700729927005E-3</v>
      </c>
      <c r="F8419">
        <v>2</v>
      </c>
      <c r="G8419">
        <f>LOG(382/(2+1))</f>
        <v>2.1049421081920463</v>
      </c>
      <c r="H8419">
        <f>0.0072992700729927*4.84680831993846</f>
        <v>3.5378162919258827E-2</v>
      </c>
      <c r="I8419">
        <v>3.5378162919258868E-2</v>
      </c>
    </row>
    <row r="8420" spans="1:9" x14ac:dyDescent="0.25">
      <c r="A8420">
        <v>376</v>
      </c>
      <c r="B8420" t="s">
        <v>2805</v>
      </c>
      <c r="C8420" t="s">
        <v>10</v>
      </c>
      <c r="D8420" t="s">
        <v>105</v>
      </c>
      <c r="E8420">
        <f>1/137</f>
        <v>7.2992700729927005E-3</v>
      </c>
      <c r="F8420">
        <v>122</v>
      </c>
      <c r="G8420">
        <f>LOG(382/(122+1))</f>
        <v>0.49215825147231079</v>
      </c>
      <c r="H8420">
        <f>0.0072992700729927*1.13323625323415</f>
        <v>8.2717974688624081E-3</v>
      </c>
      <c r="I8420">
        <v>8.2717974688624636E-3</v>
      </c>
    </row>
    <row r="8421" spans="1:9" x14ac:dyDescent="0.25">
      <c r="A8421">
        <v>376</v>
      </c>
      <c r="B8421" t="s">
        <v>2805</v>
      </c>
      <c r="C8421" t="s">
        <v>10</v>
      </c>
      <c r="D8421" t="s">
        <v>905</v>
      </c>
      <c r="E8421">
        <f>1/137</f>
        <v>7.2992700729927005E-3</v>
      </c>
      <c r="F8421">
        <v>5</v>
      </c>
      <c r="G8421">
        <f>LOG(382/(5+1))</f>
        <v>1.803912112528065</v>
      </c>
      <c r="H8421">
        <f>0.0072992700729927*4.15366113937852</f>
        <v>3.031869444801839E-2</v>
      </c>
      <c r="I8421">
        <v>3.031869444801839E-2</v>
      </c>
    </row>
    <row r="8422" spans="1:9" x14ac:dyDescent="0.25">
      <c r="A8422">
        <v>376</v>
      </c>
      <c r="B8422" t="s">
        <v>2805</v>
      </c>
      <c r="C8422" t="s">
        <v>10</v>
      </c>
      <c r="D8422" t="s">
        <v>1849</v>
      </c>
      <c r="E8422">
        <f>1/137</f>
        <v>7.2992700729927005E-3</v>
      </c>
      <c r="F8422">
        <v>4</v>
      </c>
      <c r="G8422">
        <f>LOG(382/(4+1))</f>
        <v>1.8830933585756899</v>
      </c>
      <c r="H8422">
        <f>0.0072992700729927*4.33598269617247</f>
        <v>3.164950873118591E-2</v>
      </c>
      <c r="I8422">
        <v>3.1649508731185938E-2</v>
      </c>
    </row>
    <row r="8423" spans="1:9" x14ac:dyDescent="0.25">
      <c r="A8423">
        <v>376</v>
      </c>
      <c r="B8423" t="s">
        <v>2805</v>
      </c>
      <c r="C8423" t="s">
        <v>10</v>
      </c>
      <c r="D8423" t="s">
        <v>92</v>
      </c>
      <c r="E8423">
        <f>1/137</f>
        <v>7.2992700729927005E-3</v>
      </c>
      <c r="F8423">
        <v>12</v>
      </c>
      <c r="G8423">
        <f>LOG(382/(12+1))</f>
        <v>1.468120010604872</v>
      </c>
      <c r="H8423">
        <f>0.0072992700729927*3.38047125114503</f>
        <v>2.4674972636095107E-2</v>
      </c>
      <c r="I8423">
        <v>2.4674972636095169E-2</v>
      </c>
    </row>
    <row r="8424" spans="1:9" x14ac:dyDescent="0.25">
      <c r="A8424">
        <v>376</v>
      </c>
      <c r="B8424" t="s">
        <v>2805</v>
      </c>
      <c r="C8424" t="s">
        <v>10</v>
      </c>
      <c r="D8424" t="s">
        <v>602</v>
      </c>
      <c r="E8424">
        <f>2/137</f>
        <v>1.4598540145985401E-2</v>
      </c>
      <c r="F8424">
        <v>13</v>
      </c>
      <c r="G8424">
        <f>LOG(382/(13+1))</f>
        <v>1.4359353272334707</v>
      </c>
      <c r="H8424">
        <f>0.0145985401459854*3.30636327899131</f>
        <v>4.8268077065566566E-2</v>
      </c>
      <c r="I8424">
        <v>4.8268077065566663E-2</v>
      </c>
    </row>
    <row r="8425" spans="1:9" x14ac:dyDescent="0.25">
      <c r="A8425">
        <v>376</v>
      </c>
      <c r="B8425" t="s">
        <v>2805</v>
      </c>
      <c r="C8425" t="s">
        <v>10</v>
      </c>
      <c r="D8425" t="s">
        <v>77</v>
      </c>
      <c r="E8425">
        <f>6/137</f>
        <v>4.3795620437956206E-2</v>
      </c>
      <c r="F8425">
        <v>148</v>
      </c>
      <c r="G8425">
        <f>LOG(382/(148+1))</f>
        <v>0.40887709449943471</v>
      </c>
      <c r="H8425">
        <f>0.0437956204379562*0.941474302661116</f>
        <v>4.1232451211435733E-2</v>
      </c>
      <c r="I8425">
        <v>4.123245121143574E-2</v>
      </c>
    </row>
    <row r="8426" spans="1:9" x14ac:dyDescent="0.25">
      <c r="A8426">
        <v>376</v>
      </c>
      <c r="B8426" t="s">
        <v>2805</v>
      </c>
      <c r="C8426" t="s">
        <v>10</v>
      </c>
      <c r="D8426" t="s">
        <v>752</v>
      </c>
      <c r="E8426">
        <f t="shared" ref="E8426:E8432" si="388">1/137</f>
        <v>7.2992700729927005E-3</v>
      </c>
      <c r="F8426">
        <v>34</v>
      </c>
      <c r="G8426">
        <f>LOG(382/(34+1))</f>
        <v>1.037995318561433</v>
      </c>
      <c r="H8426">
        <f>0.0072992700729927*2.39007254711716</f>
        <v>1.744578501545372E-2</v>
      </c>
      <c r="I8426">
        <v>1.744578501545373E-2</v>
      </c>
    </row>
    <row r="8427" spans="1:9" x14ac:dyDescent="0.25">
      <c r="A8427">
        <v>376</v>
      </c>
      <c r="B8427" t="s">
        <v>2805</v>
      </c>
      <c r="C8427" t="s">
        <v>10</v>
      </c>
      <c r="D8427" t="s">
        <v>331</v>
      </c>
      <c r="E8427">
        <f t="shared" si="388"/>
        <v>7.2992700729927005E-3</v>
      </c>
      <c r="F8427">
        <v>130</v>
      </c>
      <c r="G8427">
        <f>LOG(382/(130+1))</f>
        <v>0.46479206725594452</v>
      </c>
      <c r="H8427">
        <f>0.0072992700729927*1.07022328540542</f>
        <v>7.8118487985797073E-3</v>
      </c>
      <c r="I8427">
        <v>7.8118487985797342E-3</v>
      </c>
    </row>
    <row r="8428" spans="1:9" x14ac:dyDescent="0.25">
      <c r="A8428">
        <v>376</v>
      </c>
      <c r="B8428" t="s">
        <v>2805</v>
      </c>
      <c r="C8428" t="s">
        <v>10</v>
      </c>
      <c r="D8428" t="s">
        <v>1144</v>
      </c>
      <c r="E8428">
        <f t="shared" si="388"/>
        <v>7.2992700729927005E-3</v>
      </c>
      <c r="F8428">
        <v>3</v>
      </c>
      <c r="G8428">
        <f>LOG(382/(3+1))</f>
        <v>1.9800033715837464</v>
      </c>
      <c r="H8428">
        <f>0.0072992700729927*4.55912624748668</f>
        <v>3.327829377727503E-2</v>
      </c>
      <c r="I8428">
        <v>3.3278293777275071E-2</v>
      </c>
    </row>
    <row r="8429" spans="1:9" x14ac:dyDescent="0.25">
      <c r="A8429">
        <v>376</v>
      </c>
      <c r="B8429" t="s">
        <v>2805</v>
      </c>
      <c r="C8429" t="s">
        <v>10</v>
      </c>
      <c r="D8429" t="s">
        <v>2089</v>
      </c>
      <c r="E8429">
        <f t="shared" si="388"/>
        <v>7.2992700729927005E-3</v>
      </c>
      <c r="F8429">
        <v>4</v>
      </c>
      <c r="G8429">
        <f>LOG(382/(4+1))</f>
        <v>1.8830933585756899</v>
      </c>
      <c r="H8429">
        <f>0.0072992700729927*4.33598269617247</f>
        <v>3.164950873118591E-2</v>
      </c>
      <c r="I8429">
        <v>3.1649508731185938E-2</v>
      </c>
    </row>
    <row r="8430" spans="1:9" x14ac:dyDescent="0.25">
      <c r="A8430">
        <v>376</v>
      </c>
      <c r="B8430" t="s">
        <v>2805</v>
      </c>
      <c r="C8430" t="s">
        <v>10</v>
      </c>
      <c r="D8430" t="s">
        <v>593</v>
      </c>
      <c r="E8430">
        <f t="shared" si="388"/>
        <v>7.2992700729927005E-3</v>
      </c>
      <c r="F8430">
        <v>30</v>
      </c>
      <c r="G8430">
        <f>LOG(382/(30+1))</f>
        <v>1.090701669077436</v>
      </c>
      <c r="H8430">
        <f>0.0072992700729927*2.51143340412142</f>
        <v>1.8331630687017663E-2</v>
      </c>
      <c r="I8430">
        <v>1.8331630687017729E-2</v>
      </c>
    </row>
    <row r="8431" spans="1:9" x14ac:dyDescent="0.25">
      <c r="A8431">
        <v>376</v>
      </c>
      <c r="B8431" t="s">
        <v>2805</v>
      </c>
      <c r="C8431" t="s">
        <v>10</v>
      </c>
      <c r="D8431" t="s">
        <v>594</v>
      </c>
      <c r="E8431">
        <f t="shared" si="388"/>
        <v>7.2992700729927005E-3</v>
      </c>
      <c r="F8431">
        <v>36</v>
      </c>
      <c r="G8431">
        <f>LOG(382/(36+1))</f>
        <v>1.0138616388447137</v>
      </c>
      <c r="H8431">
        <f>0.0072992700729927*2.33450269596235</f>
        <v>1.7040165663958756E-2</v>
      </c>
      <c r="I8431">
        <v>1.7040165663958769E-2</v>
      </c>
    </row>
    <row r="8432" spans="1:9" x14ac:dyDescent="0.25">
      <c r="A8432">
        <v>376</v>
      </c>
      <c r="B8432" t="s">
        <v>2805</v>
      </c>
      <c r="C8432" t="s">
        <v>10</v>
      </c>
      <c r="D8432" t="s">
        <v>693</v>
      </c>
      <c r="E8432">
        <f t="shared" si="388"/>
        <v>7.2992700729927005E-3</v>
      </c>
      <c r="F8432">
        <v>25</v>
      </c>
      <c r="G8432">
        <f>LOG(382/(25+1))</f>
        <v>1.1670900149408907</v>
      </c>
      <c r="H8432">
        <f>0.0072992700729927*2.68732407058509</f>
        <v>1.961550416485467E-2</v>
      </c>
      <c r="I8432">
        <v>1.9615504164854691E-2</v>
      </c>
    </row>
    <row r="8433" spans="1:9" x14ac:dyDescent="0.25">
      <c r="A8433">
        <v>376</v>
      </c>
      <c r="B8433" t="s">
        <v>2805</v>
      </c>
      <c r="C8433" t="s">
        <v>10</v>
      </c>
      <c r="D8433" t="s">
        <v>40</v>
      </c>
      <c r="E8433">
        <f>3/137</f>
        <v>2.1897810218978103E-2</v>
      </c>
      <c r="F8433">
        <v>159</v>
      </c>
      <c r="G8433">
        <f>LOG(382/(159+1))</f>
        <v>0.377943380255784</v>
      </c>
      <c r="H8433">
        <f>0.0218978102189781*0.870246793372748</f>
        <v>1.9056499124950683E-2</v>
      </c>
      <c r="I8433">
        <v>1.905649912495069E-2</v>
      </c>
    </row>
    <row r="8434" spans="1:9" x14ac:dyDescent="0.25">
      <c r="A8434">
        <v>376</v>
      </c>
      <c r="B8434" t="s">
        <v>2805</v>
      </c>
      <c r="C8434" t="s">
        <v>10</v>
      </c>
      <c r="D8434" t="s">
        <v>41</v>
      </c>
      <c r="E8434">
        <f>3/137</f>
        <v>2.1897810218978103E-2</v>
      </c>
      <c r="F8434">
        <v>195</v>
      </c>
      <c r="G8434">
        <f>LOG(382/(195+1))</f>
        <v>0.28980729155523272</v>
      </c>
      <c r="H8434">
        <f>0.0218978102189781*0.667305949376058</f>
        <v>1.4612539037431926E-2</v>
      </c>
      <c r="I8434">
        <v>1.461253903743193E-2</v>
      </c>
    </row>
    <row r="8435" spans="1:9" x14ac:dyDescent="0.25">
      <c r="A8435">
        <v>376</v>
      </c>
      <c r="B8435" t="s">
        <v>2805</v>
      </c>
      <c r="C8435" t="s">
        <v>10</v>
      </c>
      <c r="D8435" t="s">
        <v>144</v>
      </c>
      <c r="E8435">
        <f>3/137</f>
        <v>2.1897810218978103E-2</v>
      </c>
      <c r="F8435">
        <v>105</v>
      </c>
      <c r="G8435">
        <f>LOG(382/(105+1))</f>
        <v>0.55675749764693849</v>
      </c>
      <c r="H8435">
        <f>0.0218978102189781*1.2819815144945</f>
        <v>2.8072587908638681E-2</v>
      </c>
      <c r="I8435">
        <v>2.8072587908638862E-2</v>
      </c>
    </row>
    <row r="8436" spans="1:9" x14ac:dyDescent="0.25">
      <c r="A8436">
        <v>376</v>
      </c>
      <c r="B8436" t="s">
        <v>2805</v>
      </c>
      <c r="C8436" t="s">
        <v>10</v>
      </c>
      <c r="D8436" t="s">
        <v>149</v>
      </c>
      <c r="E8436">
        <f>6/137</f>
        <v>4.3795620437956206E-2</v>
      </c>
      <c r="F8436">
        <v>35</v>
      </c>
      <c r="G8436">
        <f>LOG(382/(35+1))</f>
        <v>1.0257608621444214</v>
      </c>
      <c r="H8436">
        <f>0.0437956204379562*2.36190167015046</f>
        <v>0.10344094905768438</v>
      </c>
      <c r="I8436">
        <v>0.1034409490576846</v>
      </c>
    </row>
    <row r="8437" spans="1:9" x14ac:dyDescent="0.25">
      <c r="A8437">
        <v>376</v>
      </c>
      <c r="B8437" t="s">
        <v>2805</v>
      </c>
      <c r="C8437" t="s">
        <v>10</v>
      </c>
      <c r="D8437" t="s">
        <v>15</v>
      </c>
      <c r="E8437">
        <f>2/137</f>
        <v>1.4598540145985401E-2</v>
      </c>
      <c r="F8437">
        <v>112</v>
      </c>
      <c r="G8437">
        <f>LOG(382/(112+1))</f>
        <v>0.52898491942828896</v>
      </c>
      <c r="H8437">
        <f>0.0145985401459854*1.21803278989423</f>
        <v>1.7781500582397514E-2</v>
      </c>
      <c r="I8437">
        <v>1.7781500582397591E-2</v>
      </c>
    </row>
    <row r="8438" spans="1:9" x14ac:dyDescent="0.25">
      <c r="A8438">
        <v>376</v>
      </c>
      <c r="B8438" t="s">
        <v>2805</v>
      </c>
      <c r="C8438" t="s">
        <v>10</v>
      </c>
      <c r="D8438" t="s">
        <v>2808</v>
      </c>
      <c r="E8438">
        <f t="shared" ref="E8438:E8445" si="389">1/137</f>
        <v>7.2992700729927005E-3</v>
      </c>
      <c r="F8438">
        <v>1</v>
      </c>
      <c r="G8438">
        <f>LOG(382/(1+1))</f>
        <v>2.2810333672477277</v>
      </c>
      <c r="H8438">
        <f>0.0072992700729927*5.25227342804663</f>
        <v>3.8337762248515539E-2</v>
      </c>
      <c r="I8438">
        <v>3.8337762248515553E-2</v>
      </c>
    </row>
    <row r="8439" spans="1:9" x14ac:dyDescent="0.25">
      <c r="A8439">
        <v>376</v>
      </c>
      <c r="B8439" t="s">
        <v>2805</v>
      </c>
      <c r="C8439" t="s">
        <v>10</v>
      </c>
      <c r="D8439" t="s">
        <v>250</v>
      </c>
      <c r="E8439">
        <f t="shared" si="389"/>
        <v>7.2992700729927005E-3</v>
      </c>
      <c r="F8439">
        <v>14</v>
      </c>
      <c r="G8439">
        <f>LOG(382/(14+1))</f>
        <v>1.4059721038560276</v>
      </c>
      <c r="H8439">
        <f>0.0072992700729927*3.23737040750436</f>
        <v>2.3630440930688754E-2</v>
      </c>
      <c r="I8439">
        <v>2.3630440930688799E-2</v>
      </c>
    </row>
    <row r="8440" spans="1:9" x14ac:dyDescent="0.25">
      <c r="A8440">
        <v>376</v>
      </c>
      <c r="B8440" t="s">
        <v>2805</v>
      </c>
      <c r="C8440" t="s">
        <v>10</v>
      </c>
      <c r="D8440" t="s">
        <v>251</v>
      </c>
      <c r="E8440">
        <f t="shared" si="389"/>
        <v>7.2992700729927005E-3</v>
      </c>
      <c r="F8440">
        <v>6</v>
      </c>
      <c r="G8440">
        <f>LOG(382/(6+1))</f>
        <v>1.736965322897452</v>
      </c>
      <c r="H8440">
        <f>0.0072992700729927*3.99951045955126</f>
        <v>2.9193507004023792E-2</v>
      </c>
      <c r="I8440">
        <v>2.919350700402381E-2</v>
      </c>
    </row>
    <row r="8441" spans="1:9" x14ac:dyDescent="0.25">
      <c r="A8441">
        <v>376</v>
      </c>
      <c r="B8441" t="s">
        <v>2805</v>
      </c>
      <c r="C8441" t="s">
        <v>10</v>
      </c>
      <c r="D8441" t="s">
        <v>22</v>
      </c>
      <c r="E8441">
        <f t="shared" si="389"/>
        <v>7.2992700729927005E-3</v>
      </c>
      <c r="F8441">
        <v>259</v>
      </c>
      <c r="G8441">
        <f>LOG(382/(259+1))</f>
        <v>0.16709001494089079</v>
      </c>
      <c r="H8441">
        <f>0.0072992700729927*0.384738977591047</f>
        <v>2.8083137050441383E-3</v>
      </c>
      <c r="I8441">
        <v>2.8083137050441431E-3</v>
      </c>
    </row>
    <row r="8442" spans="1:9" x14ac:dyDescent="0.25">
      <c r="A8442">
        <v>376</v>
      </c>
      <c r="B8442" t="s">
        <v>2805</v>
      </c>
      <c r="C8442" t="s">
        <v>10</v>
      </c>
      <c r="D8442" t="s">
        <v>23</v>
      </c>
      <c r="E8442">
        <f t="shared" si="389"/>
        <v>7.2992700729927005E-3</v>
      </c>
      <c r="F8442">
        <v>275</v>
      </c>
      <c r="G8442">
        <f>LOG(382/(275+1))</f>
        <v>0.14115428084649101</v>
      </c>
      <c r="H8442">
        <f>0.0072992700729927*0.325019742889425</f>
        <v>2.3724068824045614E-3</v>
      </c>
      <c r="I8442">
        <v>2.3724068824045631E-3</v>
      </c>
    </row>
    <row r="8443" spans="1:9" x14ac:dyDescent="0.25">
      <c r="A8443">
        <v>376</v>
      </c>
      <c r="B8443" t="s">
        <v>2805</v>
      </c>
      <c r="C8443" t="s">
        <v>10</v>
      </c>
      <c r="D8443" t="s">
        <v>1843</v>
      </c>
      <c r="E8443">
        <f t="shared" si="389"/>
        <v>7.2992700729927005E-3</v>
      </c>
      <c r="F8443">
        <v>4</v>
      </c>
      <c r="G8443">
        <f>LOG(382/(4+1))</f>
        <v>1.8830933585756899</v>
      </c>
      <c r="H8443">
        <f>0.0072992700729927*4.33598269617247</f>
        <v>3.164950873118591E-2</v>
      </c>
      <c r="I8443">
        <v>3.1649508731185938E-2</v>
      </c>
    </row>
    <row r="8444" spans="1:9" x14ac:dyDescent="0.25">
      <c r="A8444">
        <v>376</v>
      </c>
      <c r="B8444" t="s">
        <v>2805</v>
      </c>
      <c r="C8444" t="s">
        <v>10</v>
      </c>
      <c r="D8444" t="s">
        <v>217</v>
      </c>
      <c r="E8444">
        <f t="shared" si="389"/>
        <v>7.2992700729927005E-3</v>
      </c>
      <c r="F8444">
        <v>12</v>
      </c>
      <c r="G8444">
        <f>LOG(382/(12+1))</f>
        <v>1.468120010604872</v>
      </c>
      <c r="H8444">
        <f>0.0072992700729927*3.38047125114503</f>
        <v>2.4674972636095107E-2</v>
      </c>
      <c r="I8444">
        <v>2.4674972636095169E-2</v>
      </c>
    </row>
    <row r="8445" spans="1:9" x14ac:dyDescent="0.25">
      <c r="A8445">
        <v>376</v>
      </c>
      <c r="B8445" t="s">
        <v>2805</v>
      </c>
      <c r="C8445" t="s">
        <v>10</v>
      </c>
      <c r="D8445" t="s">
        <v>907</v>
      </c>
      <c r="E8445">
        <f t="shared" si="389"/>
        <v>7.2992700729927005E-3</v>
      </c>
      <c r="F8445">
        <v>6</v>
      </c>
      <c r="G8445">
        <f>LOG(382/(6+1))</f>
        <v>1.736965322897452</v>
      </c>
      <c r="H8445">
        <f>0.0072992700729927*3.99951045955126</f>
        <v>2.9193507004023792E-2</v>
      </c>
      <c r="I8445">
        <v>2.919350700402381E-2</v>
      </c>
    </row>
    <row r="8446" spans="1:9" x14ac:dyDescent="0.25">
      <c r="A8446">
        <v>376</v>
      </c>
      <c r="B8446" t="s">
        <v>2805</v>
      </c>
      <c r="C8446" t="s">
        <v>10</v>
      </c>
      <c r="D8446" t="s">
        <v>36</v>
      </c>
      <c r="E8446">
        <f>2/137</f>
        <v>1.4598540145985401E-2</v>
      </c>
      <c r="F8446">
        <v>58</v>
      </c>
      <c r="G8446">
        <f>LOG(382/(58+1))</f>
        <v>0.81121135126956456</v>
      </c>
      <c r="H8446">
        <f>0.0145985401459854*1.86788316470085</f>
        <v>2.7268367367895618E-2</v>
      </c>
      <c r="I8446">
        <v>2.7268367367895702E-2</v>
      </c>
    </row>
    <row r="8447" spans="1:9" x14ac:dyDescent="0.25">
      <c r="A8447">
        <v>376</v>
      </c>
      <c r="B8447" t="s">
        <v>2805</v>
      </c>
      <c r="C8447" t="s">
        <v>10</v>
      </c>
      <c r="D8447" t="s">
        <v>2006</v>
      </c>
      <c r="E8447">
        <f>4/137</f>
        <v>2.9197080291970802E-2</v>
      </c>
      <c r="F8447">
        <v>3</v>
      </c>
      <c r="G8447">
        <f>LOG(382/(3+1))</f>
        <v>1.9800033715837464</v>
      </c>
      <c r="H8447">
        <f>0.0291970802919708*4.55912624748668</f>
        <v>0.13311317510910012</v>
      </c>
      <c r="I8447">
        <v>0.13311317510910031</v>
      </c>
    </row>
    <row r="8448" spans="1:9" x14ac:dyDescent="0.25">
      <c r="A8448">
        <v>376</v>
      </c>
      <c r="B8448" t="s">
        <v>2805</v>
      </c>
      <c r="C8448" t="s">
        <v>10</v>
      </c>
      <c r="D8448" t="s">
        <v>161</v>
      </c>
      <c r="E8448">
        <f>2/137</f>
        <v>1.4598540145985401E-2</v>
      </c>
      <c r="F8448">
        <v>33</v>
      </c>
      <c r="G8448">
        <f>LOG(382/(33+1))</f>
        <v>1.0505844458694535</v>
      </c>
      <c r="H8448">
        <f>0.0145985401459854*2.41906008399041</f>
        <v>3.5314745751684813E-2</v>
      </c>
      <c r="I8448">
        <v>3.5314745751684869E-2</v>
      </c>
    </row>
    <row r="8449" spans="1:9" x14ac:dyDescent="0.25">
      <c r="A8449">
        <v>376</v>
      </c>
      <c r="B8449" t="s">
        <v>2805</v>
      </c>
      <c r="C8449" t="s">
        <v>10</v>
      </c>
      <c r="D8449" t="s">
        <v>2809</v>
      </c>
      <c r="E8449">
        <f t="shared" ref="E8449:E8454" si="390">1/137</f>
        <v>7.2992700729927005E-3</v>
      </c>
      <c r="F8449">
        <v>1</v>
      </c>
      <c r="G8449">
        <f>LOG(382/(1+1))</f>
        <v>2.2810333672477277</v>
      </c>
      <c r="H8449">
        <f>0.0072992700729927*5.25227342804663</f>
        <v>3.8337762248515539E-2</v>
      </c>
      <c r="I8449">
        <v>3.8337762248515553E-2</v>
      </c>
    </row>
    <row r="8450" spans="1:9" x14ac:dyDescent="0.25">
      <c r="A8450">
        <v>376</v>
      </c>
      <c r="B8450" t="s">
        <v>2805</v>
      </c>
      <c r="C8450" t="s">
        <v>10</v>
      </c>
      <c r="D8450" t="s">
        <v>65</v>
      </c>
      <c r="E8450">
        <f t="shared" si="390"/>
        <v>7.2992700729927005E-3</v>
      </c>
      <c r="F8450">
        <v>32</v>
      </c>
      <c r="G8450">
        <f>LOG(382/(32+1))</f>
        <v>1.0635494230338212</v>
      </c>
      <c r="H8450">
        <f>0.0072992700729927*2.44891304714009</f>
        <v>1.7875277716351022E-2</v>
      </c>
      <c r="I8450">
        <v>1.787527771635106E-2</v>
      </c>
    </row>
    <row r="8451" spans="1:9" x14ac:dyDescent="0.25">
      <c r="A8451">
        <v>376</v>
      </c>
      <c r="B8451" t="s">
        <v>2805</v>
      </c>
      <c r="C8451" t="s">
        <v>10</v>
      </c>
      <c r="D8451" t="s">
        <v>1130</v>
      </c>
      <c r="E8451">
        <f t="shared" si="390"/>
        <v>7.2992700729927005E-3</v>
      </c>
      <c r="F8451">
        <v>12</v>
      </c>
      <c r="G8451">
        <f>LOG(382/(12+1))</f>
        <v>1.468120010604872</v>
      </c>
      <c r="H8451">
        <f>0.0072992700729927*3.38047125114503</f>
        <v>2.4674972636095107E-2</v>
      </c>
      <c r="I8451">
        <v>2.4674972636095169E-2</v>
      </c>
    </row>
    <row r="8452" spans="1:9" x14ac:dyDescent="0.25">
      <c r="A8452">
        <v>376</v>
      </c>
      <c r="B8452" t="s">
        <v>2805</v>
      </c>
      <c r="C8452" t="s">
        <v>10</v>
      </c>
      <c r="D8452" t="s">
        <v>123</v>
      </c>
      <c r="E8452">
        <f t="shared" si="390"/>
        <v>7.2992700729927005E-3</v>
      </c>
      <c r="F8452">
        <v>74</v>
      </c>
      <c r="G8452">
        <f>LOG(382/(74+1))</f>
        <v>0.7070020995200087</v>
      </c>
      <c r="H8452">
        <f>0.0072992700729927*1.62793249507026</f>
        <v>1.1882718942118686E-2</v>
      </c>
      <c r="I8452">
        <v>1.188271894211872E-2</v>
      </c>
    </row>
    <row r="8453" spans="1:9" x14ac:dyDescent="0.25">
      <c r="A8453">
        <v>376</v>
      </c>
      <c r="B8453" t="s">
        <v>2805</v>
      </c>
      <c r="C8453" t="s">
        <v>10</v>
      </c>
      <c r="D8453" t="s">
        <v>614</v>
      </c>
      <c r="E8453">
        <f t="shared" si="390"/>
        <v>7.2992700729927005E-3</v>
      </c>
      <c r="F8453">
        <v>3</v>
      </c>
      <c r="G8453">
        <f>LOG(382/(3+1))</f>
        <v>1.9800033715837464</v>
      </c>
      <c r="H8453">
        <f>0.0072992700729927*4.55912624748668</f>
        <v>3.327829377727503E-2</v>
      </c>
      <c r="I8453">
        <v>3.3278293777275071E-2</v>
      </c>
    </row>
    <row r="8454" spans="1:9" x14ac:dyDescent="0.25">
      <c r="A8454">
        <v>376</v>
      </c>
      <c r="B8454" t="s">
        <v>2805</v>
      </c>
      <c r="C8454" t="s">
        <v>10</v>
      </c>
      <c r="D8454" t="s">
        <v>201</v>
      </c>
      <c r="E8454">
        <f t="shared" si="390"/>
        <v>7.2992700729927005E-3</v>
      </c>
      <c r="F8454">
        <v>72</v>
      </c>
      <c r="G8454">
        <f>LOG(382/(72+1))</f>
        <v>0.71874050279125279</v>
      </c>
      <c r="H8454">
        <f>0.0072992700729927*1.65496116745818</f>
        <v>1.2080008521592552E-2</v>
      </c>
      <c r="I8454">
        <v>1.208000852159258E-2</v>
      </c>
    </row>
    <row r="8455" spans="1:9" x14ac:dyDescent="0.25">
      <c r="A8455">
        <v>376</v>
      </c>
      <c r="B8455" t="s">
        <v>2805</v>
      </c>
      <c r="C8455" t="s">
        <v>10</v>
      </c>
      <c r="D8455" t="s">
        <v>2048</v>
      </c>
      <c r="E8455">
        <f>2/137</f>
        <v>1.4598540145985401E-2</v>
      </c>
      <c r="F8455">
        <v>3</v>
      </c>
      <c r="G8455">
        <f>LOG(382/(3+1))</f>
        <v>1.9800033715837464</v>
      </c>
      <c r="H8455">
        <f>0.0145985401459854*4.55912624748668</f>
        <v>6.6556587554550059E-2</v>
      </c>
      <c r="I8455">
        <v>6.6556587554550142E-2</v>
      </c>
    </row>
    <row r="8456" spans="1:9" x14ac:dyDescent="0.25">
      <c r="A8456">
        <v>376</v>
      </c>
      <c r="B8456" t="s">
        <v>2805</v>
      </c>
      <c r="C8456" t="s">
        <v>10</v>
      </c>
      <c r="D8456" t="s">
        <v>680</v>
      </c>
      <c r="E8456">
        <f t="shared" ref="E8456:E8481" si="391">1/137</f>
        <v>7.2992700729927005E-3</v>
      </c>
      <c r="F8456">
        <v>25</v>
      </c>
      <c r="G8456">
        <f>LOG(382/(25+1))</f>
        <v>1.1670900149408907</v>
      </c>
      <c r="H8456">
        <f>0.0072992700729927*2.68732407058509</f>
        <v>1.961550416485467E-2</v>
      </c>
      <c r="I8456">
        <v>1.9615504164854691E-2</v>
      </c>
    </row>
    <row r="8457" spans="1:9" x14ac:dyDescent="0.25">
      <c r="A8457">
        <v>376</v>
      </c>
      <c r="B8457" t="s">
        <v>2805</v>
      </c>
      <c r="C8457" t="s">
        <v>10</v>
      </c>
      <c r="D8457" t="s">
        <v>465</v>
      </c>
      <c r="E8457">
        <f t="shared" si="391"/>
        <v>7.2992700729927005E-3</v>
      </c>
      <c r="F8457">
        <v>36</v>
      </c>
      <c r="G8457">
        <f>LOG(382/(36+1))</f>
        <v>1.0138616388447137</v>
      </c>
      <c r="H8457">
        <f>0.0072992700729927*2.33450269596235</f>
        <v>1.7040165663958756E-2</v>
      </c>
      <c r="I8457">
        <v>1.7040165663958769E-2</v>
      </c>
    </row>
    <row r="8458" spans="1:9" x14ac:dyDescent="0.25">
      <c r="A8458">
        <v>376</v>
      </c>
      <c r="B8458" t="s">
        <v>2805</v>
      </c>
      <c r="C8458" t="s">
        <v>10</v>
      </c>
      <c r="D8458" t="s">
        <v>2301</v>
      </c>
      <c r="E8458">
        <f t="shared" si="391"/>
        <v>7.2992700729927005E-3</v>
      </c>
      <c r="F8458">
        <v>6</v>
      </c>
      <c r="G8458">
        <f>LOG(382/(6+1))</f>
        <v>1.736965322897452</v>
      </c>
      <c r="H8458">
        <f>0.0072992700729927*3.99951045955126</f>
        <v>2.9193507004023792E-2</v>
      </c>
      <c r="I8458">
        <v>2.919350700402381E-2</v>
      </c>
    </row>
    <row r="8459" spans="1:9" x14ac:dyDescent="0.25">
      <c r="A8459">
        <v>376</v>
      </c>
      <c r="B8459" t="s">
        <v>2805</v>
      </c>
      <c r="C8459" t="s">
        <v>10</v>
      </c>
      <c r="D8459" t="s">
        <v>1863</v>
      </c>
      <c r="E8459">
        <f t="shared" si="391"/>
        <v>7.2992700729927005E-3</v>
      </c>
      <c r="F8459">
        <v>2</v>
      </c>
      <c r="G8459">
        <f>LOG(382/(2+1))</f>
        <v>2.1049421081920463</v>
      </c>
      <c r="H8459">
        <f>0.0072992700729927*4.84680831993846</f>
        <v>3.5378162919258827E-2</v>
      </c>
      <c r="I8459">
        <v>3.5378162919258868E-2</v>
      </c>
    </row>
    <row r="8460" spans="1:9" x14ac:dyDescent="0.25">
      <c r="A8460">
        <v>376</v>
      </c>
      <c r="B8460" t="s">
        <v>2805</v>
      </c>
      <c r="C8460" t="s">
        <v>10</v>
      </c>
      <c r="D8460" t="s">
        <v>347</v>
      </c>
      <c r="E8460">
        <f t="shared" si="391"/>
        <v>7.2992700729927005E-3</v>
      </c>
      <c r="F8460">
        <v>3</v>
      </c>
      <c r="G8460">
        <f>LOG(382/(3+1))</f>
        <v>1.9800033715837464</v>
      </c>
      <c r="H8460">
        <f>0.0072992700729927*4.55912624748668</f>
        <v>3.327829377727503E-2</v>
      </c>
      <c r="I8460">
        <v>3.3278293777275071E-2</v>
      </c>
    </row>
    <row r="8461" spans="1:9" x14ac:dyDescent="0.25">
      <c r="A8461">
        <v>376</v>
      </c>
      <c r="B8461" t="s">
        <v>2805</v>
      </c>
      <c r="C8461" t="s">
        <v>10</v>
      </c>
      <c r="D8461" t="s">
        <v>2810</v>
      </c>
      <c r="E8461">
        <f t="shared" si="391"/>
        <v>7.2992700729927005E-3</v>
      </c>
      <c r="F8461">
        <v>1</v>
      </c>
      <c r="G8461">
        <f>LOG(382/(1+1))</f>
        <v>2.2810333672477277</v>
      </c>
      <c r="H8461">
        <f>0.0072992700729927*5.25227342804663</f>
        <v>3.8337762248515539E-2</v>
      </c>
      <c r="I8461">
        <v>3.8337762248515553E-2</v>
      </c>
    </row>
    <row r="8462" spans="1:9" x14ac:dyDescent="0.25">
      <c r="A8462">
        <v>376</v>
      </c>
      <c r="B8462" t="s">
        <v>2805</v>
      </c>
      <c r="C8462" t="s">
        <v>10</v>
      </c>
      <c r="D8462" t="s">
        <v>339</v>
      </c>
      <c r="E8462">
        <f t="shared" si="391"/>
        <v>7.2992700729927005E-3</v>
      </c>
      <c r="F8462">
        <v>66</v>
      </c>
      <c r="G8462">
        <f>LOG(382/(66+1))</f>
        <v>0.75598856021088234</v>
      </c>
      <c r="H8462">
        <f>0.0072992700729927*1.7407279892156</f>
        <v>1.2706043716902187E-2</v>
      </c>
      <c r="I8462">
        <v>1.270604371690226E-2</v>
      </c>
    </row>
    <row r="8463" spans="1:9" x14ac:dyDescent="0.25">
      <c r="A8463">
        <v>376</v>
      </c>
      <c r="B8463" t="s">
        <v>2805</v>
      </c>
      <c r="C8463" t="s">
        <v>10</v>
      </c>
      <c r="D8463" t="s">
        <v>2811</v>
      </c>
      <c r="E8463">
        <f t="shared" si="391"/>
        <v>7.2992700729927005E-3</v>
      </c>
      <c r="F8463">
        <v>2</v>
      </c>
      <c r="G8463">
        <f>LOG(382/(2+1))</f>
        <v>2.1049421081920463</v>
      </c>
      <c r="H8463">
        <f>0.0072992700729927*4.84680831993846</f>
        <v>3.5378162919258827E-2</v>
      </c>
      <c r="I8463">
        <v>3.5378162919258868E-2</v>
      </c>
    </row>
    <row r="8464" spans="1:9" x14ac:dyDescent="0.25">
      <c r="A8464">
        <v>376</v>
      </c>
      <c r="B8464" t="s">
        <v>2805</v>
      </c>
      <c r="C8464" t="s">
        <v>10</v>
      </c>
      <c r="D8464" t="s">
        <v>1296</v>
      </c>
      <c r="E8464">
        <f t="shared" si="391"/>
        <v>7.2992700729927005E-3</v>
      </c>
      <c r="F8464">
        <v>14</v>
      </c>
      <c r="G8464">
        <f>LOG(382/(14+1))</f>
        <v>1.4059721038560276</v>
      </c>
      <c r="H8464">
        <f>0.0072992700729927*3.23737040750436</f>
        <v>2.3630440930688754E-2</v>
      </c>
      <c r="I8464">
        <v>2.3630440930688799E-2</v>
      </c>
    </row>
    <row r="8465" spans="1:9" x14ac:dyDescent="0.25">
      <c r="A8465">
        <v>376</v>
      </c>
      <c r="B8465" t="s">
        <v>2805</v>
      </c>
      <c r="C8465" t="s">
        <v>10</v>
      </c>
      <c r="D8465" t="s">
        <v>25</v>
      </c>
      <c r="E8465">
        <f t="shared" si="391"/>
        <v>7.2992700729927005E-3</v>
      </c>
      <c r="F8465">
        <v>106</v>
      </c>
      <c r="G8465">
        <f>LOG(382/(106+1))</f>
        <v>0.55267958522649907</v>
      </c>
      <c r="H8465">
        <f>0.0072992700729927*1.27259177414466</f>
        <v>9.288991052150801E-3</v>
      </c>
      <c r="I8465">
        <v>9.2889910521508686E-3</v>
      </c>
    </row>
    <row r="8466" spans="1:9" x14ac:dyDescent="0.25">
      <c r="A8466">
        <v>376</v>
      </c>
      <c r="B8466" t="s">
        <v>2805</v>
      </c>
      <c r="C8466" t="s">
        <v>10</v>
      </c>
      <c r="D8466" t="s">
        <v>151</v>
      </c>
      <c r="E8466">
        <f t="shared" si="391"/>
        <v>7.2992700729927005E-3</v>
      </c>
      <c r="F8466">
        <v>14</v>
      </c>
      <c r="G8466">
        <f>LOG(382/(14+1))</f>
        <v>1.4059721038560276</v>
      </c>
      <c r="H8466">
        <f>0.0072992700729927*3.23737040750436</f>
        <v>2.3630440930688754E-2</v>
      </c>
      <c r="I8466">
        <v>2.3630440930688799E-2</v>
      </c>
    </row>
    <row r="8467" spans="1:9" x14ac:dyDescent="0.25">
      <c r="A8467">
        <v>376</v>
      </c>
      <c r="B8467" t="s">
        <v>2805</v>
      </c>
      <c r="C8467" t="s">
        <v>10</v>
      </c>
      <c r="D8467" t="s">
        <v>2812</v>
      </c>
      <c r="E8467">
        <f t="shared" si="391"/>
        <v>7.2992700729927005E-3</v>
      </c>
      <c r="F8467">
        <v>1</v>
      </c>
      <c r="G8467">
        <f>LOG(382/(1+1))</f>
        <v>2.2810333672477277</v>
      </c>
      <c r="H8467">
        <f>0.0072992700729927*5.25227342804663</f>
        <v>3.8337762248515539E-2</v>
      </c>
      <c r="I8467">
        <v>3.8337762248515553E-2</v>
      </c>
    </row>
    <row r="8468" spans="1:9" x14ac:dyDescent="0.25">
      <c r="A8468">
        <v>376</v>
      </c>
      <c r="B8468" t="s">
        <v>2805</v>
      </c>
      <c r="C8468" t="s">
        <v>10</v>
      </c>
      <c r="D8468" t="s">
        <v>2813</v>
      </c>
      <c r="E8468">
        <f t="shared" si="391"/>
        <v>7.2992700729927005E-3</v>
      </c>
      <c r="F8468">
        <v>1</v>
      </c>
      <c r="G8468">
        <f>LOG(382/(1+1))</f>
        <v>2.2810333672477277</v>
      </c>
      <c r="H8468">
        <f>0.0072992700729927*5.25227342804663</f>
        <v>3.8337762248515539E-2</v>
      </c>
      <c r="I8468">
        <v>3.8337762248515553E-2</v>
      </c>
    </row>
    <row r="8469" spans="1:9" x14ac:dyDescent="0.25">
      <c r="A8469">
        <v>376</v>
      </c>
      <c r="B8469" t="s">
        <v>2805</v>
      </c>
      <c r="C8469" t="s">
        <v>10</v>
      </c>
      <c r="D8469" t="s">
        <v>2814</v>
      </c>
      <c r="E8469">
        <f t="shared" si="391"/>
        <v>7.2992700729927005E-3</v>
      </c>
      <c r="F8469">
        <v>1</v>
      </c>
      <c r="G8469">
        <f>LOG(382/(1+1))</f>
        <v>2.2810333672477277</v>
      </c>
      <c r="H8469">
        <f>0.0072992700729927*5.25227342804663</f>
        <v>3.8337762248515539E-2</v>
      </c>
      <c r="I8469">
        <v>3.8337762248515553E-2</v>
      </c>
    </row>
    <row r="8470" spans="1:9" x14ac:dyDescent="0.25">
      <c r="A8470">
        <v>376</v>
      </c>
      <c r="B8470" t="s">
        <v>2805</v>
      </c>
      <c r="C8470" t="s">
        <v>10</v>
      </c>
      <c r="D8470" t="s">
        <v>2815</v>
      </c>
      <c r="E8470">
        <f t="shared" si="391"/>
        <v>7.2992700729927005E-3</v>
      </c>
      <c r="F8470">
        <v>1</v>
      </c>
      <c r="G8470">
        <f>LOG(382/(1+1))</f>
        <v>2.2810333672477277</v>
      </c>
      <c r="H8470">
        <f>0.0072992700729927*5.25227342804663</f>
        <v>3.8337762248515539E-2</v>
      </c>
      <c r="I8470">
        <v>3.8337762248515553E-2</v>
      </c>
    </row>
    <row r="8471" spans="1:9" x14ac:dyDescent="0.25">
      <c r="A8471">
        <v>376</v>
      </c>
      <c r="B8471" t="s">
        <v>2805</v>
      </c>
      <c r="C8471" t="s">
        <v>10</v>
      </c>
      <c r="D8471" t="s">
        <v>2816</v>
      </c>
      <c r="E8471">
        <f t="shared" si="391"/>
        <v>7.2992700729927005E-3</v>
      </c>
      <c r="F8471">
        <v>2</v>
      </c>
      <c r="G8471">
        <f>LOG(382/(2+1))</f>
        <v>2.1049421081920463</v>
      </c>
      <c r="H8471">
        <f>0.0072992700729927*4.84680831993846</f>
        <v>3.5378162919258827E-2</v>
      </c>
      <c r="I8471">
        <v>3.5378162919258868E-2</v>
      </c>
    </row>
    <row r="8472" spans="1:9" x14ac:dyDescent="0.25">
      <c r="A8472">
        <v>376</v>
      </c>
      <c r="B8472" t="s">
        <v>2805</v>
      </c>
      <c r="C8472" t="s">
        <v>10</v>
      </c>
      <c r="D8472" t="s">
        <v>2817</v>
      </c>
      <c r="E8472">
        <f t="shared" si="391"/>
        <v>7.2992700729927005E-3</v>
      </c>
      <c r="F8472">
        <v>1</v>
      </c>
      <c r="G8472">
        <f>LOG(382/(1+1))</f>
        <v>2.2810333672477277</v>
      </c>
      <c r="H8472">
        <f>0.0072992700729927*5.25227342804663</f>
        <v>3.8337762248515539E-2</v>
      </c>
      <c r="I8472">
        <v>3.8337762248515553E-2</v>
      </c>
    </row>
    <row r="8473" spans="1:9" x14ac:dyDescent="0.25">
      <c r="A8473">
        <v>376</v>
      </c>
      <c r="B8473" t="s">
        <v>2805</v>
      </c>
      <c r="C8473" t="s">
        <v>10</v>
      </c>
      <c r="D8473" t="s">
        <v>1397</v>
      </c>
      <c r="E8473">
        <f t="shared" si="391"/>
        <v>7.2992700729927005E-3</v>
      </c>
      <c r="F8473">
        <v>29</v>
      </c>
      <c r="G8473">
        <f>LOG(382/(29+1))</f>
        <v>1.1049421081920463</v>
      </c>
      <c r="H8473">
        <f>0.0072992700729927*2.54422322694442</f>
        <v>1.8570972459448318E-2</v>
      </c>
      <c r="I8473">
        <v>1.8570972459448321E-2</v>
      </c>
    </row>
    <row r="8474" spans="1:9" x14ac:dyDescent="0.25">
      <c r="A8474">
        <v>376</v>
      </c>
      <c r="B8474" t="s">
        <v>2805</v>
      </c>
      <c r="C8474" t="s">
        <v>10</v>
      </c>
      <c r="D8474" t="s">
        <v>76</v>
      </c>
      <c r="E8474">
        <f t="shared" si="391"/>
        <v>7.2992700729927005E-3</v>
      </c>
      <c r="F8474">
        <v>140</v>
      </c>
      <c r="G8474">
        <f>LOG(382/(140+1))</f>
        <v>0.43284425025632883</v>
      </c>
      <c r="H8474">
        <f>0.0072992700729927*0.996660718228407</f>
        <v>7.2748957534920205E-3</v>
      </c>
      <c r="I8474">
        <v>7.2748957534920214E-3</v>
      </c>
    </row>
    <row r="8475" spans="1:9" x14ac:dyDescent="0.25">
      <c r="A8475">
        <v>376</v>
      </c>
      <c r="B8475" t="s">
        <v>2805</v>
      </c>
      <c r="C8475" t="s">
        <v>10</v>
      </c>
      <c r="D8475" t="s">
        <v>1078</v>
      </c>
      <c r="E8475">
        <f t="shared" si="391"/>
        <v>7.2992700729927005E-3</v>
      </c>
      <c r="F8475">
        <v>5</v>
      </c>
      <c r="G8475">
        <f>LOG(382/(5+1))</f>
        <v>1.803912112528065</v>
      </c>
      <c r="H8475">
        <f>0.0072992700729927*4.15366113937852</f>
        <v>3.031869444801839E-2</v>
      </c>
      <c r="I8475">
        <v>3.031869444801839E-2</v>
      </c>
    </row>
    <row r="8476" spans="1:9" x14ac:dyDescent="0.25">
      <c r="A8476">
        <v>376</v>
      </c>
      <c r="B8476" t="s">
        <v>2805</v>
      </c>
      <c r="C8476" t="s">
        <v>10</v>
      </c>
      <c r="D8476" t="s">
        <v>2405</v>
      </c>
      <c r="E8476">
        <f t="shared" si="391"/>
        <v>7.2992700729927005E-3</v>
      </c>
      <c r="F8476">
        <v>3</v>
      </c>
      <c r="G8476">
        <f>LOG(382/(3+1))</f>
        <v>1.9800033715837464</v>
      </c>
      <c r="H8476">
        <f>0.0072992700729927*4.55912624748668</f>
        <v>3.327829377727503E-2</v>
      </c>
      <c r="I8476">
        <v>3.3278293777275071E-2</v>
      </c>
    </row>
    <row r="8477" spans="1:9" x14ac:dyDescent="0.25">
      <c r="A8477">
        <v>376</v>
      </c>
      <c r="B8477" t="s">
        <v>2805</v>
      </c>
      <c r="C8477" t="s">
        <v>10</v>
      </c>
      <c r="D8477" t="s">
        <v>236</v>
      </c>
      <c r="E8477">
        <f t="shared" si="391"/>
        <v>7.2992700729927005E-3</v>
      </c>
      <c r="F8477">
        <v>87</v>
      </c>
      <c r="G8477">
        <f>LOG(382/(87+1))</f>
        <v>0.63758069076154011</v>
      </c>
      <c r="H8477">
        <f>0.0072992700729927*1.46808379412836</f>
        <v>1.0715940103126714E-2</v>
      </c>
      <c r="I8477">
        <v>1.071594010312678E-2</v>
      </c>
    </row>
    <row r="8478" spans="1:9" x14ac:dyDescent="0.25">
      <c r="A8478">
        <v>376</v>
      </c>
      <c r="B8478" t="s">
        <v>2805</v>
      </c>
      <c r="C8478" t="s">
        <v>10</v>
      </c>
      <c r="D8478" t="s">
        <v>709</v>
      </c>
      <c r="E8478">
        <f t="shared" si="391"/>
        <v>7.2992700729927005E-3</v>
      </c>
      <c r="F8478">
        <v>5</v>
      </c>
      <c r="G8478">
        <f>LOG(382/(5+1))</f>
        <v>1.803912112528065</v>
      </c>
      <c r="H8478">
        <f>0.0072992700729927*4.15366113937852</f>
        <v>3.031869444801839E-2</v>
      </c>
      <c r="I8478">
        <v>3.031869444801839E-2</v>
      </c>
    </row>
    <row r="8479" spans="1:9" x14ac:dyDescent="0.25">
      <c r="A8479">
        <v>376</v>
      </c>
      <c r="B8479" t="s">
        <v>2805</v>
      </c>
      <c r="C8479" t="s">
        <v>10</v>
      </c>
      <c r="D8479" t="s">
        <v>204</v>
      </c>
      <c r="E8479">
        <f t="shared" si="391"/>
        <v>7.2992700729927005E-3</v>
      </c>
      <c r="F8479">
        <v>166</v>
      </c>
      <c r="G8479">
        <f>LOG(382/(166+1))</f>
        <v>0.35934689176412549</v>
      </c>
      <c r="H8479">
        <f>0.0072992700729927*0.82742679618982</f>
        <v>6.0396116510205823E-3</v>
      </c>
      <c r="I8479">
        <v>6.0396116510205841E-3</v>
      </c>
    </row>
    <row r="8480" spans="1:9" x14ac:dyDescent="0.25">
      <c r="A8480">
        <v>376</v>
      </c>
      <c r="B8480" t="s">
        <v>2805</v>
      </c>
      <c r="C8480" t="s">
        <v>10</v>
      </c>
      <c r="D8480" t="s">
        <v>39</v>
      </c>
      <c r="E8480">
        <f t="shared" si="391"/>
        <v>7.2992700729927005E-3</v>
      </c>
      <c r="F8480">
        <v>145</v>
      </c>
      <c r="G8480">
        <f>LOG(382/(145+1))</f>
        <v>0.41771050712727159</v>
      </c>
      <c r="H8480">
        <f>0.0072992700729927*0.961813986898238</f>
        <v>7.0205400503521014E-3</v>
      </c>
      <c r="I8480">
        <v>7.0205400503521066E-3</v>
      </c>
    </row>
    <row r="8481" spans="1:9" x14ac:dyDescent="0.25">
      <c r="A8481">
        <v>376</v>
      </c>
      <c r="B8481" t="s">
        <v>2805</v>
      </c>
      <c r="C8481" t="s">
        <v>10</v>
      </c>
      <c r="D8481" t="s">
        <v>902</v>
      </c>
      <c r="E8481">
        <f t="shared" si="391"/>
        <v>7.2992700729927005E-3</v>
      </c>
      <c r="F8481">
        <v>5</v>
      </c>
      <c r="G8481">
        <f>LOG(382/(5+1))</f>
        <v>1.803912112528065</v>
      </c>
      <c r="H8481">
        <f>0.0072992700729927*4.15366113937852</f>
        <v>3.031869444801839E-2</v>
      </c>
      <c r="I8481">
        <v>3.031869444801839E-2</v>
      </c>
    </row>
    <row r="8482" spans="1:9" x14ac:dyDescent="0.25">
      <c r="A8482">
        <v>377</v>
      </c>
      <c r="B8482" t="s">
        <v>2818</v>
      </c>
      <c r="C8482" t="s">
        <v>10</v>
      </c>
      <c r="D8482" t="s">
        <v>42</v>
      </c>
      <c r="E8482">
        <f>1/51</f>
        <v>1.9607843137254902E-2</v>
      </c>
      <c r="F8482">
        <v>251</v>
      </c>
      <c r="G8482">
        <f>LOG(382/(251+1))</f>
        <v>0.18066282213016463</v>
      </c>
      <c r="H8482">
        <f>0.0196078431372549*0.415991521095151</f>
        <v>8.1566964920617834E-3</v>
      </c>
      <c r="I8482">
        <v>8.1566964920618008E-3</v>
      </c>
    </row>
    <row r="8483" spans="1:9" x14ac:dyDescent="0.25">
      <c r="A8483">
        <v>377</v>
      </c>
      <c r="B8483" t="s">
        <v>2818</v>
      </c>
      <c r="C8483" t="s">
        <v>10</v>
      </c>
      <c r="D8483" t="s">
        <v>17</v>
      </c>
      <c r="E8483">
        <f>1/51</f>
        <v>1.9607843137254902E-2</v>
      </c>
      <c r="F8483">
        <v>169</v>
      </c>
      <c r="G8483">
        <f>LOG(382/(169+1))</f>
        <v>0.3516144415334348</v>
      </c>
      <c r="H8483">
        <f>0.0196078431372549*0.809622171556313</f>
        <v>1.5874944540319864E-2</v>
      </c>
      <c r="I8483">
        <v>1.5874944540319871E-2</v>
      </c>
    </row>
    <row r="8484" spans="1:9" x14ac:dyDescent="0.25">
      <c r="A8484">
        <v>377</v>
      </c>
      <c r="B8484" t="s">
        <v>2818</v>
      </c>
      <c r="C8484" t="s">
        <v>10</v>
      </c>
      <c r="D8484" t="s">
        <v>43</v>
      </c>
      <c r="E8484">
        <f>1/51</f>
        <v>1.9607843137254902E-2</v>
      </c>
      <c r="F8484">
        <v>4</v>
      </c>
      <c r="G8484">
        <f>LOG(382/(4+1))</f>
        <v>1.8830933585756899</v>
      </c>
      <c r="H8484">
        <f>0.0196078431372549*4.33598269617247</f>
        <v>8.5019268552401384E-2</v>
      </c>
      <c r="I8484">
        <v>8.5019268552401467E-2</v>
      </c>
    </row>
    <row r="8485" spans="1:9" x14ac:dyDescent="0.25">
      <c r="A8485">
        <v>377</v>
      </c>
      <c r="B8485" t="s">
        <v>2818</v>
      </c>
      <c r="C8485" t="s">
        <v>10</v>
      </c>
      <c r="D8485" t="s">
        <v>36</v>
      </c>
      <c r="E8485">
        <f>4/51</f>
        <v>7.8431372549019607E-2</v>
      </c>
      <c r="F8485">
        <v>58</v>
      </c>
      <c r="G8485">
        <f>LOG(382/(58+1))</f>
        <v>0.81121135126956456</v>
      </c>
      <c r="H8485">
        <f>0.0784313725490196*1.86788316470085</f>
        <v>0.14650064036869412</v>
      </c>
      <c r="I8485">
        <v>0.14650064036869459</v>
      </c>
    </row>
    <row r="8486" spans="1:9" x14ac:dyDescent="0.25">
      <c r="A8486">
        <v>377</v>
      </c>
      <c r="B8486" t="s">
        <v>2818</v>
      </c>
      <c r="C8486" t="s">
        <v>10</v>
      </c>
      <c r="D8486" t="s">
        <v>2819</v>
      </c>
      <c r="E8486">
        <f>3/51</f>
        <v>5.8823529411764705E-2</v>
      </c>
      <c r="F8486">
        <v>1</v>
      </c>
      <c r="G8486">
        <f>LOG(382/(1+1))</f>
        <v>2.2810333672477277</v>
      </c>
      <c r="H8486">
        <f>0.0588235294117647*5.25227342804663</f>
        <v>0.30895726047333111</v>
      </c>
      <c r="I8486">
        <v>0.30895726047333122</v>
      </c>
    </row>
    <row r="8487" spans="1:9" x14ac:dyDescent="0.25">
      <c r="A8487">
        <v>377</v>
      </c>
      <c r="B8487" t="s">
        <v>2818</v>
      </c>
      <c r="C8487" t="s">
        <v>10</v>
      </c>
      <c r="D8487" t="s">
        <v>2820</v>
      </c>
      <c r="E8487">
        <f>3/51</f>
        <v>5.8823529411764705E-2</v>
      </c>
      <c r="F8487">
        <v>1</v>
      </c>
      <c r="G8487">
        <f>LOG(382/(1+1))</f>
        <v>2.2810333672477277</v>
      </c>
      <c r="H8487">
        <f>0.0588235294117647*5.25227342804663</f>
        <v>0.30895726047333111</v>
      </c>
      <c r="I8487">
        <v>0.30895726047333122</v>
      </c>
    </row>
    <row r="8488" spans="1:9" x14ac:dyDescent="0.25">
      <c r="A8488">
        <v>377</v>
      </c>
      <c r="B8488" t="s">
        <v>2818</v>
      </c>
      <c r="C8488" t="s">
        <v>10</v>
      </c>
      <c r="D8488" t="s">
        <v>204</v>
      </c>
      <c r="E8488">
        <f>1/51</f>
        <v>1.9607843137254902E-2</v>
      </c>
      <c r="F8488">
        <v>166</v>
      </c>
      <c r="G8488">
        <f>LOG(382/(166+1))</f>
        <v>0.35934689176412549</v>
      </c>
      <c r="H8488">
        <f>0.0196078431372549*0.82742679618982</f>
        <v>1.6224054827251373E-2</v>
      </c>
      <c r="I8488">
        <v>1.622405482725137E-2</v>
      </c>
    </row>
    <row r="8489" spans="1:9" x14ac:dyDescent="0.25">
      <c r="A8489">
        <v>377</v>
      </c>
      <c r="B8489" t="s">
        <v>2818</v>
      </c>
      <c r="C8489" t="s">
        <v>10</v>
      </c>
      <c r="D8489" t="s">
        <v>77</v>
      </c>
      <c r="E8489">
        <f>1/51</f>
        <v>1.9607843137254902E-2</v>
      </c>
      <c r="F8489">
        <v>148</v>
      </c>
      <c r="G8489">
        <f>LOG(382/(148+1))</f>
        <v>0.40887709449943471</v>
      </c>
      <c r="H8489">
        <f>0.0196078431372549*0.941474302661116</f>
        <v>1.8460280444335606E-2</v>
      </c>
      <c r="I8489">
        <v>1.8460280444335609E-2</v>
      </c>
    </row>
    <row r="8490" spans="1:9" x14ac:dyDescent="0.25">
      <c r="A8490">
        <v>377</v>
      </c>
      <c r="B8490" t="s">
        <v>2818</v>
      </c>
      <c r="C8490" t="s">
        <v>10</v>
      </c>
      <c r="D8490" t="s">
        <v>1608</v>
      </c>
      <c r="E8490">
        <f>2/51</f>
        <v>3.9215686274509803E-2</v>
      </c>
      <c r="F8490">
        <v>13</v>
      </c>
      <c r="G8490">
        <f>LOG(382/(13+1))</f>
        <v>1.4359353272334707</v>
      </c>
      <c r="H8490">
        <f>0.0392156862745098*3.30636327899131</f>
        <v>0.12966130505848275</v>
      </c>
      <c r="I8490">
        <v>0.129661305058483</v>
      </c>
    </row>
    <row r="8491" spans="1:9" x14ac:dyDescent="0.25">
      <c r="A8491">
        <v>377</v>
      </c>
      <c r="B8491" t="s">
        <v>2818</v>
      </c>
      <c r="C8491" t="s">
        <v>10</v>
      </c>
      <c r="D8491" t="s">
        <v>477</v>
      </c>
      <c r="E8491">
        <f>2/51</f>
        <v>3.9215686274509803E-2</v>
      </c>
      <c r="F8491">
        <v>17</v>
      </c>
      <c r="G8491">
        <f>LOG(382/(17+1))</f>
        <v>1.3267908578084027</v>
      </c>
      <c r="H8491">
        <f>0.0392156862745098*3.05504885071041</f>
        <v>0.11980583728276117</v>
      </c>
      <c r="I8491">
        <v>0.1198058372827612</v>
      </c>
    </row>
    <row r="8492" spans="1:9" x14ac:dyDescent="0.25">
      <c r="A8492">
        <v>377</v>
      </c>
      <c r="B8492" t="s">
        <v>2818</v>
      </c>
      <c r="C8492" t="s">
        <v>10</v>
      </c>
      <c r="D8492" t="s">
        <v>485</v>
      </c>
      <c r="E8492">
        <f t="shared" ref="E8492:E8502" si="392">1/51</f>
        <v>1.9607843137254902E-2</v>
      </c>
      <c r="F8492">
        <v>74</v>
      </c>
      <c r="G8492">
        <f>LOG(382/(74+1))</f>
        <v>0.7070020995200087</v>
      </c>
      <c r="H8492">
        <f>0.0196078431372549*1.62793249507026</f>
        <v>3.1920245001377648E-2</v>
      </c>
      <c r="I8492">
        <v>3.1920245001377738E-2</v>
      </c>
    </row>
    <row r="8493" spans="1:9" x14ac:dyDescent="0.25">
      <c r="A8493">
        <v>377</v>
      </c>
      <c r="B8493" t="s">
        <v>2818</v>
      </c>
      <c r="C8493" t="s">
        <v>10</v>
      </c>
      <c r="D8493" t="s">
        <v>487</v>
      </c>
      <c r="E8493">
        <f t="shared" si="392"/>
        <v>1.9607843137254902E-2</v>
      </c>
      <c r="F8493">
        <v>32</v>
      </c>
      <c r="G8493">
        <f>LOG(382/(32+1))</f>
        <v>1.0635494230338212</v>
      </c>
      <c r="H8493">
        <f>0.0196078431372549*2.44891304714009</f>
        <v>4.8017902885099807E-2</v>
      </c>
      <c r="I8493">
        <v>4.8017902885099897E-2</v>
      </c>
    </row>
    <row r="8494" spans="1:9" x14ac:dyDescent="0.25">
      <c r="A8494">
        <v>377</v>
      </c>
      <c r="B8494" t="s">
        <v>2818</v>
      </c>
      <c r="C8494" t="s">
        <v>10</v>
      </c>
      <c r="D8494" t="s">
        <v>752</v>
      </c>
      <c r="E8494">
        <f t="shared" si="392"/>
        <v>1.9607843137254902E-2</v>
      </c>
      <c r="F8494">
        <v>34</v>
      </c>
      <c r="G8494">
        <f>LOG(382/(34+1))</f>
        <v>1.037995318561433</v>
      </c>
      <c r="H8494">
        <f>0.0196078431372549*2.39007254711716</f>
        <v>4.6864167590532552E-2</v>
      </c>
      <c r="I8494">
        <v>4.6864167590532572E-2</v>
      </c>
    </row>
    <row r="8495" spans="1:9" x14ac:dyDescent="0.25">
      <c r="A8495">
        <v>377</v>
      </c>
      <c r="B8495" t="s">
        <v>2818</v>
      </c>
      <c r="C8495" t="s">
        <v>10</v>
      </c>
      <c r="D8495" t="s">
        <v>38</v>
      </c>
      <c r="E8495">
        <f t="shared" si="392"/>
        <v>1.9607843137254902E-2</v>
      </c>
      <c r="F8495">
        <v>86</v>
      </c>
      <c r="G8495">
        <f>LOG(382/(86+1))</f>
        <v>0.64254411029309022</v>
      </c>
      <c r="H8495">
        <f>0.0196078431372549*1.47951248995199</f>
        <v>2.9010048822588039E-2</v>
      </c>
      <c r="I8495">
        <v>2.9010048822588071E-2</v>
      </c>
    </row>
    <row r="8496" spans="1:9" x14ac:dyDescent="0.25">
      <c r="A8496">
        <v>377</v>
      </c>
      <c r="B8496" t="s">
        <v>2818</v>
      </c>
      <c r="C8496" t="s">
        <v>10</v>
      </c>
      <c r="D8496" t="s">
        <v>247</v>
      </c>
      <c r="E8496">
        <f t="shared" si="392"/>
        <v>1.9607843137254902E-2</v>
      </c>
      <c r="F8496">
        <v>121</v>
      </c>
      <c r="G8496">
        <f>LOG(382/(121+1))</f>
        <v>0.49570353223696051</v>
      </c>
      <c r="H8496">
        <f>0.0196078431372549*1.14139956387331</f>
        <v>2.238038360535902E-2</v>
      </c>
      <c r="I8496">
        <v>2.238038360535919E-2</v>
      </c>
    </row>
    <row r="8497" spans="1:9" x14ac:dyDescent="0.25">
      <c r="A8497">
        <v>377</v>
      </c>
      <c r="B8497" t="s">
        <v>2818</v>
      </c>
      <c r="C8497" t="s">
        <v>10</v>
      </c>
      <c r="D8497" t="s">
        <v>39</v>
      </c>
      <c r="E8497">
        <f t="shared" si="392"/>
        <v>1.9607843137254902E-2</v>
      </c>
      <c r="F8497">
        <v>145</v>
      </c>
      <c r="G8497">
        <f>LOG(382/(145+1))</f>
        <v>0.41771050712727159</v>
      </c>
      <c r="H8497">
        <f>0.0196078431372549*0.961813986898238</f>
        <v>1.8859097782318392E-2</v>
      </c>
      <c r="I8497">
        <v>1.885909778231841E-2</v>
      </c>
    </row>
    <row r="8498" spans="1:9" x14ac:dyDescent="0.25">
      <c r="A8498">
        <v>377</v>
      </c>
      <c r="B8498" t="s">
        <v>2818</v>
      </c>
      <c r="C8498" t="s">
        <v>10</v>
      </c>
      <c r="D8498" t="s">
        <v>22</v>
      </c>
      <c r="E8498">
        <f t="shared" si="392"/>
        <v>1.9607843137254902E-2</v>
      </c>
      <c r="F8498">
        <v>259</v>
      </c>
      <c r="G8498">
        <f>LOG(382/(259+1))</f>
        <v>0.16709001494089079</v>
      </c>
      <c r="H8498">
        <f>0.0196078431372549*0.384738977591047</f>
        <v>7.5439015213930784E-3</v>
      </c>
      <c r="I8498">
        <v>7.5439015213930889E-3</v>
      </c>
    </row>
    <row r="8499" spans="1:9" x14ac:dyDescent="0.25">
      <c r="A8499">
        <v>377</v>
      </c>
      <c r="B8499" t="s">
        <v>2818</v>
      </c>
      <c r="C8499" t="s">
        <v>10</v>
      </c>
      <c r="D8499" t="s">
        <v>23</v>
      </c>
      <c r="E8499">
        <f t="shared" si="392"/>
        <v>1.9607843137254902E-2</v>
      </c>
      <c r="F8499">
        <v>275</v>
      </c>
      <c r="G8499">
        <f>LOG(382/(275+1))</f>
        <v>0.14115428084649101</v>
      </c>
      <c r="H8499">
        <f>0.0196078431372549*0.325019742889425</f>
        <v>6.3729361350867639E-3</v>
      </c>
      <c r="I8499">
        <v>6.3729361350867673E-3</v>
      </c>
    </row>
    <row r="8500" spans="1:9" x14ac:dyDescent="0.25">
      <c r="A8500">
        <v>377</v>
      </c>
      <c r="B8500" t="s">
        <v>2818</v>
      </c>
      <c r="C8500" t="s">
        <v>10</v>
      </c>
      <c r="D8500" t="s">
        <v>509</v>
      </c>
      <c r="E8500">
        <f t="shared" si="392"/>
        <v>1.9607843137254902E-2</v>
      </c>
      <c r="F8500">
        <v>5</v>
      </c>
      <c r="G8500">
        <f>LOG(382/(5+1))</f>
        <v>1.803912112528065</v>
      </c>
      <c r="H8500">
        <f>0.0196078431372549*4.15366113937852</f>
        <v>8.1444336066245487E-2</v>
      </c>
      <c r="I8500">
        <v>8.1444336066245487E-2</v>
      </c>
    </row>
    <row r="8501" spans="1:9" x14ac:dyDescent="0.25">
      <c r="A8501">
        <v>377</v>
      </c>
      <c r="B8501" t="s">
        <v>2818</v>
      </c>
      <c r="C8501" t="s">
        <v>10</v>
      </c>
      <c r="D8501" t="s">
        <v>1711</v>
      </c>
      <c r="E8501">
        <f t="shared" si="392"/>
        <v>1.9607843137254902E-2</v>
      </c>
      <c r="F8501">
        <v>4</v>
      </c>
      <c r="G8501">
        <f>LOG(382/(4+1))</f>
        <v>1.8830933585756899</v>
      </c>
      <c r="H8501">
        <f>0.0196078431372549*4.33598269617247</f>
        <v>8.5019268552401384E-2</v>
      </c>
      <c r="I8501">
        <v>8.5019268552401467E-2</v>
      </c>
    </row>
    <row r="8502" spans="1:9" x14ac:dyDescent="0.25">
      <c r="A8502">
        <v>377</v>
      </c>
      <c r="B8502" t="s">
        <v>2818</v>
      </c>
      <c r="C8502" t="s">
        <v>10</v>
      </c>
      <c r="D8502" t="s">
        <v>2154</v>
      </c>
      <c r="E8502">
        <f t="shared" si="392"/>
        <v>1.9607843137254902E-2</v>
      </c>
      <c r="F8502">
        <v>9</v>
      </c>
      <c r="G8502">
        <f>LOG(382/(9+1))</f>
        <v>1.5820633629117087</v>
      </c>
      <c r="H8502">
        <f>0.0196078431372549*3.64283551561252</f>
        <v>7.1428147364951372E-2</v>
      </c>
      <c r="I8502">
        <v>7.1428147364951552E-2</v>
      </c>
    </row>
    <row r="8503" spans="1:9" x14ac:dyDescent="0.25">
      <c r="A8503">
        <v>377</v>
      </c>
      <c r="B8503" t="s">
        <v>2818</v>
      </c>
      <c r="C8503" t="s">
        <v>10</v>
      </c>
      <c r="D8503" t="s">
        <v>76</v>
      </c>
      <c r="E8503">
        <f>2/51</f>
        <v>3.9215686274509803E-2</v>
      </c>
      <c r="F8503">
        <v>140</v>
      </c>
      <c r="G8503">
        <f>LOG(382/(140+1))</f>
        <v>0.43284425025632883</v>
      </c>
      <c r="H8503">
        <f>0.0392156862745098*0.996660718228407</f>
        <v>3.9084734048172823E-2</v>
      </c>
      <c r="I8503">
        <v>3.9084734048172823E-2</v>
      </c>
    </row>
    <row r="8504" spans="1:9" x14ac:dyDescent="0.25">
      <c r="A8504">
        <v>377</v>
      </c>
      <c r="B8504" t="s">
        <v>2818</v>
      </c>
      <c r="C8504" t="s">
        <v>10</v>
      </c>
      <c r="D8504" t="s">
        <v>40</v>
      </c>
      <c r="E8504">
        <f t="shared" ref="E8504:E8522" si="393">1/51</f>
        <v>1.9607843137254902E-2</v>
      </c>
      <c r="F8504">
        <v>159</v>
      </c>
      <c r="G8504">
        <f>LOG(382/(159+1))</f>
        <v>0.377943380255784</v>
      </c>
      <c r="H8504">
        <f>0.0196078431372549*0.870246793372748</f>
        <v>1.7063662615151923E-2</v>
      </c>
      <c r="I8504">
        <v>1.706366261515193E-2</v>
      </c>
    </row>
    <row r="8505" spans="1:9" x14ac:dyDescent="0.25">
      <c r="A8505">
        <v>377</v>
      </c>
      <c r="B8505" t="s">
        <v>2818</v>
      </c>
      <c r="C8505" t="s">
        <v>10</v>
      </c>
      <c r="D8505" t="s">
        <v>41</v>
      </c>
      <c r="E8505">
        <f t="shared" si="393"/>
        <v>1.9607843137254902E-2</v>
      </c>
      <c r="F8505">
        <v>195</v>
      </c>
      <c r="G8505">
        <f>LOG(382/(195+1))</f>
        <v>0.28980729155523272</v>
      </c>
      <c r="H8505">
        <f>0.0196078431372549*0.667305949376058</f>
        <v>1.3084430379922705E-2</v>
      </c>
      <c r="I8505">
        <v>1.3084430379922711E-2</v>
      </c>
    </row>
    <row r="8506" spans="1:9" x14ac:dyDescent="0.25">
      <c r="A8506">
        <v>377</v>
      </c>
      <c r="B8506" t="s">
        <v>2818</v>
      </c>
      <c r="C8506" t="s">
        <v>10</v>
      </c>
      <c r="D8506" t="s">
        <v>2821</v>
      </c>
      <c r="E8506">
        <f t="shared" si="393"/>
        <v>1.9607843137254902E-2</v>
      </c>
      <c r="F8506">
        <v>1</v>
      </c>
      <c r="G8506">
        <f>LOG(382/(1+1))</f>
        <v>2.2810333672477277</v>
      </c>
      <c r="H8506">
        <f>0.0196078431372549*5.25227342804663</f>
        <v>0.10298575349111039</v>
      </c>
      <c r="I8506">
        <v>0.1029857534911104</v>
      </c>
    </row>
    <row r="8507" spans="1:9" x14ac:dyDescent="0.25">
      <c r="A8507">
        <v>377</v>
      </c>
      <c r="B8507" t="s">
        <v>2818</v>
      </c>
      <c r="C8507" t="s">
        <v>10</v>
      </c>
      <c r="D8507" t="s">
        <v>939</v>
      </c>
      <c r="E8507">
        <f t="shared" si="393"/>
        <v>1.9607843137254902E-2</v>
      </c>
      <c r="F8507">
        <v>35</v>
      </c>
      <c r="G8507">
        <f>LOG(382/(35+1))</f>
        <v>1.0257608621444214</v>
      </c>
      <c r="H8507">
        <f>0.0196078431372549*2.36190167015046</f>
        <v>4.6311797453930589E-2</v>
      </c>
      <c r="I8507">
        <v>4.6311797453930693E-2</v>
      </c>
    </row>
    <row r="8508" spans="1:9" x14ac:dyDescent="0.25">
      <c r="A8508">
        <v>377</v>
      </c>
      <c r="B8508" t="s">
        <v>2818</v>
      </c>
      <c r="C8508" t="s">
        <v>10</v>
      </c>
      <c r="D8508" t="s">
        <v>1397</v>
      </c>
      <c r="E8508">
        <f t="shared" si="393"/>
        <v>1.9607843137254902E-2</v>
      </c>
      <c r="F8508">
        <v>29</v>
      </c>
      <c r="G8508">
        <f>LOG(382/(29+1))</f>
        <v>1.1049421081920463</v>
      </c>
      <c r="H8508">
        <f>0.0196078431372549*2.54422322694442</f>
        <v>4.9886729940086666E-2</v>
      </c>
      <c r="I8508">
        <v>4.9886729940086673E-2</v>
      </c>
    </row>
    <row r="8509" spans="1:9" x14ac:dyDescent="0.25">
      <c r="A8509">
        <v>377</v>
      </c>
      <c r="B8509" t="s">
        <v>2818</v>
      </c>
      <c r="C8509" t="s">
        <v>10</v>
      </c>
      <c r="D8509" t="s">
        <v>161</v>
      </c>
      <c r="E8509">
        <f t="shared" si="393"/>
        <v>1.9607843137254902E-2</v>
      </c>
      <c r="F8509">
        <v>33</v>
      </c>
      <c r="G8509">
        <f>LOG(382/(33+1))</f>
        <v>1.0505844458694535</v>
      </c>
      <c r="H8509">
        <f>0.0196078431372549*2.41906008399041</f>
        <v>4.7432550666478633E-2</v>
      </c>
      <c r="I8509">
        <v>4.7432550666478702E-2</v>
      </c>
    </row>
    <row r="8510" spans="1:9" x14ac:dyDescent="0.25">
      <c r="A8510">
        <v>377</v>
      </c>
      <c r="B8510" t="s">
        <v>2818</v>
      </c>
      <c r="C8510" t="s">
        <v>10</v>
      </c>
      <c r="D8510" t="s">
        <v>2822</v>
      </c>
      <c r="E8510">
        <f t="shared" si="393"/>
        <v>1.9607843137254902E-2</v>
      </c>
      <c r="F8510">
        <v>1</v>
      </c>
      <c r="G8510">
        <f>LOG(382/(1+1))</f>
        <v>2.2810333672477277</v>
      </c>
      <c r="H8510">
        <f>0.0196078431372549*5.25227342804663</f>
        <v>0.10298575349111039</v>
      </c>
      <c r="I8510">
        <v>0.1029857534911104</v>
      </c>
    </row>
    <row r="8511" spans="1:9" x14ac:dyDescent="0.25">
      <c r="A8511">
        <v>377</v>
      </c>
      <c r="B8511" t="s">
        <v>2818</v>
      </c>
      <c r="C8511" t="s">
        <v>10</v>
      </c>
      <c r="D8511" t="s">
        <v>911</v>
      </c>
      <c r="E8511">
        <f t="shared" si="393"/>
        <v>1.9607843137254902E-2</v>
      </c>
      <c r="F8511">
        <v>22</v>
      </c>
      <c r="G8511">
        <f>LOG(382/(22+1))</f>
        <v>1.2203355268941158</v>
      </c>
      <c r="H8511">
        <f>0.0196078431372549*2.80992639267742</f>
        <v>5.5096595934851368E-2</v>
      </c>
      <c r="I8511">
        <v>5.5096595934851479E-2</v>
      </c>
    </row>
    <row r="8512" spans="1:9" x14ac:dyDescent="0.25">
      <c r="A8512">
        <v>377</v>
      </c>
      <c r="B8512" t="s">
        <v>2818</v>
      </c>
      <c r="C8512" t="s">
        <v>10</v>
      </c>
      <c r="D8512" t="s">
        <v>327</v>
      </c>
      <c r="E8512">
        <f t="shared" si="393"/>
        <v>1.9607843137254902E-2</v>
      </c>
      <c r="F8512">
        <v>46</v>
      </c>
      <c r="G8512">
        <f>LOG(382/(46+1))</f>
        <v>0.90996550497599127</v>
      </c>
      <c r="H8512">
        <f>0.0196078431372549*2.09527300689651</f>
        <v>4.108378444895118E-2</v>
      </c>
      <c r="I8512">
        <v>4.1083784448951298E-2</v>
      </c>
    </row>
    <row r="8513" spans="1:9" x14ac:dyDescent="0.25">
      <c r="A8513">
        <v>377</v>
      </c>
      <c r="B8513" t="s">
        <v>2818</v>
      </c>
      <c r="C8513" t="s">
        <v>10</v>
      </c>
      <c r="D8513" t="s">
        <v>2795</v>
      </c>
      <c r="E8513">
        <f t="shared" si="393"/>
        <v>1.9607843137254902E-2</v>
      </c>
      <c r="F8513">
        <v>2</v>
      </c>
      <c r="G8513">
        <f>LOG(382/(2+1))</f>
        <v>2.1049421081920463</v>
      </c>
      <c r="H8513">
        <f>0.0196078431372549*4.84680831993846</f>
        <v>9.5035457253695291E-2</v>
      </c>
      <c r="I8513">
        <v>9.5035457253695402E-2</v>
      </c>
    </row>
    <row r="8514" spans="1:9" x14ac:dyDescent="0.25">
      <c r="A8514">
        <v>377</v>
      </c>
      <c r="B8514" t="s">
        <v>2818</v>
      </c>
      <c r="C8514" t="s">
        <v>10</v>
      </c>
      <c r="D8514" t="s">
        <v>520</v>
      </c>
      <c r="E8514">
        <f t="shared" si="393"/>
        <v>1.9607843137254902E-2</v>
      </c>
      <c r="F8514">
        <v>25</v>
      </c>
      <c r="G8514">
        <f>LOG(382/(25+1))</f>
        <v>1.1670900149408907</v>
      </c>
      <c r="H8514">
        <f>0.0196078431372549*2.68732407058509</f>
        <v>5.2692628835001767E-2</v>
      </c>
      <c r="I8514">
        <v>5.2692628835001823E-2</v>
      </c>
    </row>
    <row r="8515" spans="1:9" x14ac:dyDescent="0.25">
      <c r="A8515">
        <v>377</v>
      </c>
      <c r="B8515" t="s">
        <v>2818</v>
      </c>
      <c r="C8515" t="s">
        <v>10</v>
      </c>
      <c r="D8515" t="s">
        <v>144</v>
      </c>
      <c r="E8515">
        <f t="shared" si="393"/>
        <v>1.9607843137254902E-2</v>
      </c>
      <c r="F8515">
        <v>105</v>
      </c>
      <c r="G8515">
        <f>LOG(382/(105+1))</f>
        <v>0.55675749764693849</v>
      </c>
      <c r="H8515">
        <f>0.0196078431372549*1.2819815144945</f>
        <v>2.5136892441068627E-2</v>
      </c>
      <c r="I8515">
        <v>2.513689244106878E-2</v>
      </c>
    </row>
    <row r="8516" spans="1:9" x14ac:dyDescent="0.25">
      <c r="A8516">
        <v>377</v>
      </c>
      <c r="B8516" t="s">
        <v>2818</v>
      </c>
      <c r="C8516" t="s">
        <v>10</v>
      </c>
      <c r="D8516" t="s">
        <v>1855</v>
      </c>
      <c r="E8516">
        <f t="shared" si="393"/>
        <v>1.9607843137254902E-2</v>
      </c>
      <c r="F8516">
        <v>17</v>
      </c>
      <c r="G8516">
        <f>LOG(382/(17+1))</f>
        <v>1.3267908578084027</v>
      </c>
      <c r="H8516">
        <f>0.0196078431372549*3.05504885071041</f>
        <v>5.9902918641380587E-2</v>
      </c>
      <c r="I8516">
        <v>5.9902918641380587E-2</v>
      </c>
    </row>
    <row r="8517" spans="1:9" x14ac:dyDescent="0.25">
      <c r="A8517">
        <v>377</v>
      </c>
      <c r="B8517" t="s">
        <v>2818</v>
      </c>
      <c r="C8517" t="s">
        <v>10</v>
      </c>
      <c r="D8517" t="s">
        <v>2823</v>
      </c>
      <c r="E8517">
        <f t="shared" si="393"/>
        <v>1.9607843137254902E-2</v>
      </c>
      <c r="F8517">
        <v>2</v>
      </c>
      <c r="G8517">
        <f>LOG(382/(2+1))</f>
        <v>2.1049421081920463</v>
      </c>
      <c r="H8517">
        <f>0.0196078431372549*4.84680831993846</f>
        <v>9.5035457253695291E-2</v>
      </c>
      <c r="I8517">
        <v>9.5035457253695402E-2</v>
      </c>
    </row>
    <row r="8518" spans="1:9" x14ac:dyDescent="0.25">
      <c r="A8518">
        <v>377</v>
      </c>
      <c r="B8518" t="s">
        <v>2818</v>
      </c>
      <c r="C8518" t="s">
        <v>10</v>
      </c>
      <c r="D8518" t="s">
        <v>2824</v>
      </c>
      <c r="E8518">
        <f t="shared" si="393"/>
        <v>1.9607843137254902E-2</v>
      </c>
      <c r="F8518">
        <v>1</v>
      </c>
      <c r="G8518">
        <f>LOG(382/(1+1))</f>
        <v>2.2810333672477277</v>
      </c>
      <c r="H8518">
        <f>0.0196078431372549*5.25227342804663</f>
        <v>0.10298575349111039</v>
      </c>
      <c r="I8518">
        <v>0.1029857534911104</v>
      </c>
    </row>
    <row r="8519" spans="1:9" x14ac:dyDescent="0.25">
      <c r="A8519">
        <v>377</v>
      </c>
      <c r="B8519" t="s">
        <v>2818</v>
      </c>
      <c r="C8519" t="s">
        <v>10</v>
      </c>
      <c r="D8519" t="s">
        <v>1853</v>
      </c>
      <c r="E8519">
        <f t="shared" si="393"/>
        <v>1.9607843137254902E-2</v>
      </c>
      <c r="F8519">
        <v>15</v>
      </c>
      <c r="G8519">
        <f>LOG(382/(15+1))</f>
        <v>1.3779433802557839</v>
      </c>
      <c r="H8519">
        <f>0.0196078431372549*3.17283188636679</f>
        <v>6.2212389928760589E-2</v>
      </c>
      <c r="I8519">
        <v>6.2212389928760672E-2</v>
      </c>
    </row>
    <row r="8520" spans="1:9" x14ac:dyDescent="0.25">
      <c r="A8520">
        <v>377</v>
      </c>
      <c r="B8520" t="s">
        <v>2818</v>
      </c>
      <c r="C8520" t="s">
        <v>10</v>
      </c>
      <c r="D8520" t="s">
        <v>1529</v>
      </c>
      <c r="E8520">
        <f t="shared" si="393"/>
        <v>1.9607843137254902E-2</v>
      </c>
      <c r="F8520">
        <v>4</v>
      </c>
      <c r="G8520">
        <f>LOG(382/(4+1))</f>
        <v>1.8830933585756899</v>
      </c>
      <c r="H8520">
        <f>0.0196078431372549*4.33598269617247</f>
        <v>8.5019268552401384E-2</v>
      </c>
      <c r="I8520">
        <v>8.5019268552401467E-2</v>
      </c>
    </row>
    <row r="8521" spans="1:9" x14ac:dyDescent="0.25">
      <c r="A8521">
        <v>377</v>
      </c>
      <c r="B8521" t="s">
        <v>2818</v>
      </c>
      <c r="C8521" t="s">
        <v>10</v>
      </c>
      <c r="D8521" t="s">
        <v>2825</v>
      </c>
      <c r="E8521">
        <f t="shared" si="393"/>
        <v>1.9607843137254902E-2</v>
      </c>
      <c r="F8521">
        <v>2</v>
      </c>
      <c r="G8521">
        <f>LOG(382/(2+1))</f>
        <v>2.1049421081920463</v>
      </c>
      <c r="H8521">
        <f>0.0196078431372549*4.84680831993846</f>
        <v>9.5035457253695291E-2</v>
      </c>
      <c r="I8521">
        <v>9.5035457253695402E-2</v>
      </c>
    </row>
    <row r="8522" spans="1:9" x14ac:dyDescent="0.25">
      <c r="A8522">
        <v>377</v>
      </c>
      <c r="B8522" t="s">
        <v>2818</v>
      </c>
      <c r="C8522" t="s">
        <v>10</v>
      </c>
      <c r="D8522" t="s">
        <v>1303</v>
      </c>
      <c r="E8522">
        <f t="shared" si="393"/>
        <v>1.9607843137254902E-2</v>
      </c>
      <c r="F8522">
        <v>17</v>
      </c>
      <c r="G8522">
        <f>LOG(382/(17+1))</f>
        <v>1.3267908578084027</v>
      </c>
      <c r="H8522">
        <f>0.0196078431372549*3.05504885071041</f>
        <v>5.9902918641380587E-2</v>
      </c>
      <c r="I8522">
        <v>5.9902918641380587E-2</v>
      </c>
    </row>
    <row r="8523" spans="1:9" x14ac:dyDescent="0.25">
      <c r="A8523">
        <v>378</v>
      </c>
      <c r="B8523" t="s">
        <v>2826</v>
      </c>
      <c r="C8523" t="s">
        <v>10</v>
      </c>
      <c r="D8523" t="s">
        <v>859</v>
      </c>
      <c r="E8523">
        <f>1/91</f>
        <v>1.098901098901099E-2</v>
      </c>
      <c r="F8523">
        <v>6</v>
      </c>
      <c r="G8523">
        <f>LOG(382/(6+1))</f>
        <v>1.736965322897452</v>
      </c>
      <c r="H8523">
        <f>0.0109890109890109*3.99951045955126</f>
        <v>4.3950664390672828E-2</v>
      </c>
      <c r="I8523">
        <v>4.3950664390673209E-2</v>
      </c>
    </row>
    <row r="8524" spans="1:9" x14ac:dyDescent="0.25">
      <c r="A8524">
        <v>378</v>
      </c>
      <c r="B8524" t="s">
        <v>2826</v>
      </c>
      <c r="C8524" t="s">
        <v>10</v>
      </c>
      <c r="D8524" t="s">
        <v>41</v>
      </c>
      <c r="E8524">
        <f>3/91</f>
        <v>3.2967032967032968E-2</v>
      </c>
      <c r="F8524">
        <v>195</v>
      </c>
      <c r="G8524">
        <f>LOG(382/(195+1))</f>
        <v>0.28980729155523272</v>
      </c>
      <c r="H8524">
        <f>0.0329670329670329*0.667305949376058</f>
        <v>2.1999097232177692E-2</v>
      </c>
      <c r="I8524">
        <v>2.1999097232177741E-2</v>
      </c>
    </row>
    <row r="8525" spans="1:9" x14ac:dyDescent="0.25">
      <c r="A8525">
        <v>378</v>
      </c>
      <c r="B8525" t="s">
        <v>2826</v>
      </c>
      <c r="C8525" t="s">
        <v>10</v>
      </c>
      <c r="D8525" t="s">
        <v>2827</v>
      </c>
      <c r="E8525">
        <f>2/91</f>
        <v>2.197802197802198E-2</v>
      </c>
      <c r="F8525">
        <v>2</v>
      </c>
      <c r="G8525">
        <f>LOG(382/(2+1))</f>
        <v>2.1049421081920463</v>
      </c>
      <c r="H8525">
        <f>0.0219780219780219*4.84680831993846</f>
        <v>0.10652325977886687</v>
      </c>
      <c r="I8525">
        <v>0.1065232597788674</v>
      </c>
    </row>
    <row r="8526" spans="1:9" x14ac:dyDescent="0.25">
      <c r="A8526">
        <v>378</v>
      </c>
      <c r="B8526" t="s">
        <v>2826</v>
      </c>
      <c r="C8526" t="s">
        <v>10</v>
      </c>
      <c r="D8526" t="s">
        <v>861</v>
      </c>
      <c r="E8526">
        <f>3/91</f>
        <v>3.2967032967032968E-2</v>
      </c>
      <c r="F8526">
        <v>2</v>
      </c>
      <c r="G8526">
        <f>LOG(382/(2+1))</f>
        <v>2.1049421081920463</v>
      </c>
      <c r="H8526">
        <f>0.0329670329670329*4.84680831993846</f>
        <v>0.15978488966830054</v>
      </c>
      <c r="I8526">
        <v>0.15978488966830109</v>
      </c>
    </row>
    <row r="8527" spans="1:9" x14ac:dyDescent="0.25">
      <c r="A8527">
        <v>378</v>
      </c>
      <c r="B8527" t="s">
        <v>2826</v>
      </c>
      <c r="C8527" t="s">
        <v>10</v>
      </c>
      <c r="D8527" t="s">
        <v>101</v>
      </c>
      <c r="E8527">
        <f>2/91</f>
        <v>2.197802197802198E-2</v>
      </c>
      <c r="F8527">
        <v>7</v>
      </c>
      <c r="G8527">
        <f>LOG(382/(7+1))</f>
        <v>1.6789733759197651</v>
      </c>
      <c r="H8527">
        <f>0.0219780219780219*3.86597906692673</f>
        <v>8.496657289948828E-2</v>
      </c>
      <c r="I8527">
        <v>8.4966572899488779E-2</v>
      </c>
    </row>
    <row r="8528" spans="1:9" x14ac:dyDescent="0.25">
      <c r="A8528">
        <v>378</v>
      </c>
      <c r="B8528" t="s">
        <v>2826</v>
      </c>
      <c r="C8528" t="s">
        <v>10</v>
      </c>
      <c r="D8528" t="s">
        <v>70</v>
      </c>
      <c r="E8528">
        <f>3/91</f>
        <v>3.2967032967032968E-2</v>
      </c>
      <c r="F8528">
        <v>44</v>
      </c>
      <c r="G8528">
        <f>LOG(382/(44+1))</f>
        <v>0.92885084913636506</v>
      </c>
      <c r="H8528">
        <f>0.0329670329670329*2.13875811883625</f>
        <v>7.0508509412183909E-2</v>
      </c>
      <c r="I8528">
        <v>7.0508509412184242E-2</v>
      </c>
    </row>
    <row r="8529" spans="1:9" x14ac:dyDescent="0.25">
      <c r="A8529">
        <v>378</v>
      </c>
      <c r="B8529" t="s">
        <v>2826</v>
      </c>
      <c r="C8529" t="s">
        <v>10</v>
      </c>
      <c r="D8529" t="s">
        <v>204</v>
      </c>
      <c r="E8529">
        <f>2/91</f>
        <v>2.197802197802198E-2</v>
      </c>
      <c r="F8529">
        <v>166</v>
      </c>
      <c r="G8529">
        <f>LOG(382/(166+1))</f>
        <v>0.35934689176412549</v>
      </c>
      <c r="H8529">
        <f>0.0219780219780219*0.82742679618982</f>
        <v>1.8185204311864111E-2</v>
      </c>
      <c r="I8529">
        <v>1.818520431186418E-2</v>
      </c>
    </row>
    <row r="8530" spans="1:9" x14ac:dyDescent="0.25">
      <c r="A8530">
        <v>378</v>
      </c>
      <c r="B8530" t="s">
        <v>2826</v>
      </c>
      <c r="C8530" t="s">
        <v>10</v>
      </c>
      <c r="D8530" t="s">
        <v>331</v>
      </c>
      <c r="E8530">
        <f>1/91</f>
        <v>1.098901098901099E-2</v>
      </c>
      <c r="F8530">
        <v>130</v>
      </c>
      <c r="G8530">
        <f>LOG(382/(130+1))</f>
        <v>0.46479206725594452</v>
      </c>
      <c r="H8530">
        <f>0.0109890109890109*1.07022328540542</f>
        <v>1.176069544401551E-2</v>
      </c>
      <c r="I8530">
        <v>1.176069544401565E-2</v>
      </c>
    </row>
    <row r="8531" spans="1:9" x14ac:dyDescent="0.25">
      <c r="A8531">
        <v>378</v>
      </c>
      <c r="B8531" t="s">
        <v>2826</v>
      </c>
      <c r="C8531" t="s">
        <v>10</v>
      </c>
      <c r="D8531" t="s">
        <v>241</v>
      </c>
      <c r="E8531">
        <f>1/91</f>
        <v>1.098901098901099E-2</v>
      </c>
      <c r="F8531">
        <v>19</v>
      </c>
      <c r="G8531">
        <f>LOG(382/(19+1))</f>
        <v>1.2810333672477277</v>
      </c>
      <c r="H8531">
        <f>0.0109890109890109*2.94968833505258</f>
        <v>3.2414157528050068E-2</v>
      </c>
      <c r="I8531">
        <v>3.241415752805038E-2</v>
      </c>
    </row>
    <row r="8532" spans="1:9" x14ac:dyDescent="0.25">
      <c r="A8532">
        <v>378</v>
      </c>
      <c r="B8532" t="s">
        <v>2826</v>
      </c>
      <c r="C8532" t="s">
        <v>10</v>
      </c>
      <c r="D8532" t="s">
        <v>53</v>
      </c>
      <c r="E8532">
        <f>1/91</f>
        <v>1.098901098901099E-2</v>
      </c>
      <c r="F8532">
        <v>57</v>
      </c>
      <c r="G8532">
        <f>LOG(382/(57+1))</f>
        <v>0.81863536934877146</v>
      </c>
      <c r="H8532">
        <f>0.0109890109890109*1.88497759806015</f>
        <v>2.0714039539122358E-2</v>
      </c>
      <c r="I8532">
        <v>2.071403953912259E-2</v>
      </c>
    </row>
    <row r="8533" spans="1:9" x14ac:dyDescent="0.25">
      <c r="A8533">
        <v>378</v>
      </c>
      <c r="B8533" t="s">
        <v>2826</v>
      </c>
      <c r="C8533" t="s">
        <v>10</v>
      </c>
      <c r="D8533" t="s">
        <v>52</v>
      </c>
      <c r="E8533">
        <f>2/91</f>
        <v>2.197802197802198E-2</v>
      </c>
      <c r="F8533">
        <v>35</v>
      </c>
      <c r="G8533">
        <f>LOG(382/(35+1))</f>
        <v>1.0257608621444214</v>
      </c>
      <c r="H8533">
        <f>0.0219780219780219*2.36190167015046</f>
        <v>5.1909926816493444E-2</v>
      </c>
      <c r="I8533">
        <v>5.1909926816493743E-2</v>
      </c>
    </row>
    <row r="8534" spans="1:9" x14ac:dyDescent="0.25">
      <c r="A8534">
        <v>378</v>
      </c>
      <c r="B8534" t="s">
        <v>2826</v>
      </c>
      <c r="C8534" t="s">
        <v>10</v>
      </c>
      <c r="D8534" t="s">
        <v>50</v>
      </c>
      <c r="E8534">
        <f>2/91</f>
        <v>2.197802197802198E-2</v>
      </c>
      <c r="F8534">
        <v>109</v>
      </c>
      <c r="G8534">
        <f>LOG(382/(109+1))</f>
        <v>0.54067067775348365</v>
      </c>
      <c r="H8534">
        <f>0.0219780219780219*1.24494024281415</f>
        <v>2.7361324017893311E-2</v>
      </c>
      <c r="I8534">
        <v>2.736132401789361E-2</v>
      </c>
    </row>
    <row r="8535" spans="1:9" x14ac:dyDescent="0.25">
      <c r="A8535">
        <v>378</v>
      </c>
      <c r="B8535" t="s">
        <v>2826</v>
      </c>
      <c r="C8535" t="s">
        <v>10</v>
      </c>
      <c r="D8535" t="s">
        <v>42</v>
      </c>
      <c r="E8535">
        <f t="shared" ref="E8535:E8541" si="394">1/91</f>
        <v>1.098901098901099E-2</v>
      </c>
      <c r="F8535">
        <v>251</v>
      </c>
      <c r="G8535">
        <f>LOG(382/(251+1))</f>
        <v>0.18066282213016463</v>
      </c>
      <c r="H8535">
        <f>0.0109890109890109*0.415991521095151</f>
        <v>4.5713353966499734E-3</v>
      </c>
      <c r="I8535">
        <v>4.5713353966500211E-3</v>
      </c>
    </row>
    <row r="8536" spans="1:9" x14ac:dyDescent="0.25">
      <c r="A8536">
        <v>378</v>
      </c>
      <c r="B8536" t="s">
        <v>2826</v>
      </c>
      <c r="C8536" t="s">
        <v>10</v>
      </c>
      <c r="D8536" t="s">
        <v>2828</v>
      </c>
      <c r="E8536">
        <f t="shared" si="394"/>
        <v>1.098901098901099E-2</v>
      </c>
      <c r="F8536">
        <v>1</v>
      </c>
      <c r="G8536">
        <f>LOG(382/(1+1))</f>
        <v>2.2810333672477277</v>
      </c>
      <c r="H8536">
        <f>0.0109890109890109*5.25227342804663</f>
        <v>5.7717290418094362E-2</v>
      </c>
      <c r="I8536">
        <v>5.7717290418094841E-2</v>
      </c>
    </row>
    <row r="8537" spans="1:9" x14ac:dyDescent="0.25">
      <c r="A8537">
        <v>378</v>
      </c>
      <c r="B8537" t="s">
        <v>2826</v>
      </c>
      <c r="C8537" t="s">
        <v>10</v>
      </c>
      <c r="D8537" t="s">
        <v>19</v>
      </c>
      <c r="E8537">
        <f t="shared" si="394"/>
        <v>1.098901098901099E-2</v>
      </c>
      <c r="F8537">
        <v>220</v>
      </c>
      <c r="G8537">
        <f>LOG(382/(220+1))</f>
        <v>0.23767108922659805</v>
      </c>
      <c r="H8537">
        <f>0.0109890109890109*0.547257907088822</f>
        <v>6.0138231548221713E-3</v>
      </c>
      <c r="I8537">
        <v>6.0138231548222242E-3</v>
      </c>
    </row>
    <row r="8538" spans="1:9" x14ac:dyDescent="0.25">
      <c r="A8538">
        <v>378</v>
      </c>
      <c r="B8538" t="s">
        <v>2826</v>
      </c>
      <c r="C8538" t="s">
        <v>10</v>
      </c>
      <c r="D8538" t="s">
        <v>2829</v>
      </c>
      <c r="E8538">
        <f t="shared" si="394"/>
        <v>1.098901098901099E-2</v>
      </c>
      <c r="F8538">
        <v>1</v>
      </c>
      <c r="G8538">
        <f>LOG(382/(1+1))</f>
        <v>2.2810333672477277</v>
      </c>
      <c r="H8538">
        <f>0.0109890109890109*5.25227342804663</f>
        <v>5.7717290418094362E-2</v>
      </c>
      <c r="I8538">
        <v>5.7717290418094841E-2</v>
      </c>
    </row>
    <row r="8539" spans="1:9" x14ac:dyDescent="0.25">
      <c r="A8539">
        <v>378</v>
      </c>
      <c r="B8539" t="s">
        <v>2826</v>
      </c>
      <c r="C8539" t="s">
        <v>10</v>
      </c>
      <c r="D8539" t="s">
        <v>22</v>
      </c>
      <c r="E8539">
        <f t="shared" si="394"/>
        <v>1.098901098901099E-2</v>
      </c>
      <c r="F8539">
        <v>259</v>
      </c>
      <c r="G8539">
        <f>LOG(382/(259+1))</f>
        <v>0.16709001494089079</v>
      </c>
      <c r="H8539">
        <f>0.0109890109890109*0.384738977591047</f>
        <v>4.2279008526488341E-3</v>
      </c>
      <c r="I8539">
        <v>4.227900852648874E-3</v>
      </c>
    </row>
    <row r="8540" spans="1:9" x14ac:dyDescent="0.25">
      <c r="A8540">
        <v>378</v>
      </c>
      <c r="B8540" t="s">
        <v>2826</v>
      </c>
      <c r="C8540" t="s">
        <v>10</v>
      </c>
      <c r="D8540" t="s">
        <v>23</v>
      </c>
      <c r="E8540">
        <f t="shared" si="394"/>
        <v>1.098901098901099E-2</v>
      </c>
      <c r="F8540">
        <v>275</v>
      </c>
      <c r="G8540">
        <f>LOG(382/(275+1))</f>
        <v>0.14115428084649101</v>
      </c>
      <c r="H8540">
        <f>0.0109890109890109*0.325019742889425</f>
        <v>3.5716455262573884E-3</v>
      </c>
      <c r="I8540">
        <v>3.57164552625742E-3</v>
      </c>
    </row>
    <row r="8541" spans="1:9" x14ac:dyDescent="0.25">
      <c r="A8541">
        <v>378</v>
      </c>
      <c r="B8541" t="s">
        <v>2826</v>
      </c>
      <c r="C8541" t="s">
        <v>10</v>
      </c>
      <c r="D8541" t="s">
        <v>105</v>
      </c>
      <c r="E8541">
        <f t="shared" si="394"/>
        <v>1.098901098901099E-2</v>
      </c>
      <c r="F8541">
        <v>122</v>
      </c>
      <c r="G8541">
        <f>LOG(382/(122+1))</f>
        <v>0.49215825147231079</v>
      </c>
      <c r="H8541">
        <f>0.0109890109890109*1.13323625323415</f>
        <v>1.2453145639935614E-2</v>
      </c>
      <c r="I8541">
        <v>1.2453145639935799E-2</v>
      </c>
    </row>
    <row r="8542" spans="1:9" x14ac:dyDescent="0.25">
      <c r="A8542">
        <v>378</v>
      </c>
      <c r="B8542" t="s">
        <v>2826</v>
      </c>
      <c r="C8542" t="s">
        <v>10</v>
      </c>
      <c r="D8542" t="s">
        <v>458</v>
      </c>
      <c r="E8542">
        <f>2/91</f>
        <v>2.197802197802198E-2</v>
      </c>
      <c r="F8542">
        <v>34</v>
      </c>
      <c r="G8542">
        <f>LOG(382/(34+1))</f>
        <v>1.037995318561433</v>
      </c>
      <c r="H8542">
        <f>0.0219780219780219*2.39007254711716</f>
        <v>5.2529066969607727E-2</v>
      </c>
      <c r="I8542">
        <v>5.2529066969607949E-2</v>
      </c>
    </row>
    <row r="8543" spans="1:9" x14ac:dyDescent="0.25">
      <c r="A8543">
        <v>378</v>
      </c>
      <c r="B8543" t="s">
        <v>2826</v>
      </c>
      <c r="C8543" t="s">
        <v>10</v>
      </c>
      <c r="D8543" t="s">
        <v>103</v>
      </c>
      <c r="E8543">
        <f>2/91</f>
        <v>2.197802197802198E-2</v>
      </c>
      <c r="F8543">
        <v>38</v>
      </c>
      <c r="G8543">
        <f>LOG(382/(38+1))</f>
        <v>0.99099875588520958</v>
      </c>
      <c r="H8543">
        <f>0.0219780219780219*2.28185896247692</f>
        <v>5.0150746428063997E-2</v>
      </c>
      <c r="I8543">
        <v>5.0150746428064379E-2</v>
      </c>
    </row>
    <row r="8544" spans="1:9" x14ac:dyDescent="0.25">
      <c r="A8544">
        <v>378</v>
      </c>
      <c r="B8544" t="s">
        <v>2826</v>
      </c>
      <c r="C8544" t="s">
        <v>10</v>
      </c>
      <c r="D8544" t="s">
        <v>102</v>
      </c>
      <c r="E8544">
        <f>2/91</f>
        <v>2.197802197802198E-2</v>
      </c>
      <c r="F8544">
        <v>4</v>
      </c>
      <c r="G8544">
        <f>LOG(382/(4+1))</f>
        <v>1.8830933585756899</v>
      </c>
      <c r="H8544">
        <f>0.0219780219780219*4.33598269617247</f>
        <v>9.5296322992801205E-2</v>
      </c>
      <c r="I8544">
        <v>9.5296322992801649E-2</v>
      </c>
    </row>
    <row r="8545" spans="1:9" x14ac:dyDescent="0.25">
      <c r="A8545">
        <v>378</v>
      </c>
      <c r="B8545" t="s">
        <v>2826</v>
      </c>
      <c r="C8545" t="s">
        <v>10</v>
      </c>
      <c r="D8545" t="s">
        <v>104</v>
      </c>
      <c r="E8545">
        <f>3/91</f>
        <v>3.2967032967032968E-2</v>
      </c>
      <c r="F8545">
        <v>49</v>
      </c>
      <c r="G8545">
        <f>LOG(382/(49+1))</f>
        <v>0.88309335857568994</v>
      </c>
      <c r="H8545">
        <f>0.0329670329670329*2.03339760317842</f>
        <v>6.7035085819068654E-2</v>
      </c>
      <c r="I8545">
        <v>6.7035085819069085E-2</v>
      </c>
    </row>
    <row r="8546" spans="1:9" x14ac:dyDescent="0.25">
      <c r="A8546">
        <v>378</v>
      </c>
      <c r="B8546" t="s">
        <v>2826</v>
      </c>
      <c r="C8546" t="s">
        <v>10</v>
      </c>
      <c r="D8546" t="s">
        <v>173</v>
      </c>
      <c r="E8546">
        <f>2/91</f>
        <v>2.197802197802198E-2</v>
      </c>
      <c r="F8546">
        <v>4</v>
      </c>
      <c r="G8546">
        <f>LOG(382/(4+1))</f>
        <v>1.8830933585756899</v>
      </c>
      <c r="H8546">
        <f>0.0219780219780219*4.33598269617247</f>
        <v>9.5296322992801205E-2</v>
      </c>
      <c r="I8546">
        <v>9.5296322992801649E-2</v>
      </c>
    </row>
    <row r="8547" spans="1:9" x14ac:dyDescent="0.25">
      <c r="A8547">
        <v>378</v>
      </c>
      <c r="B8547" t="s">
        <v>2826</v>
      </c>
      <c r="C8547" t="s">
        <v>10</v>
      </c>
      <c r="D8547" t="s">
        <v>2830</v>
      </c>
      <c r="E8547">
        <f>1/91</f>
        <v>1.098901098901099E-2</v>
      </c>
      <c r="F8547">
        <v>1</v>
      </c>
      <c r="G8547">
        <f>LOG(382/(1+1))</f>
        <v>2.2810333672477277</v>
      </c>
      <c r="H8547">
        <f>0.0109890109890109*5.25227342804663</f>
        <v>5.7717290418094362E-2</v>
      </c>
      <c r="I8547">
        <v>5.7717290418094841E-2</v>
      </c>
    </row>
    <row r="8548" spans="1:9" x14ac:dyDescent="0.25">
      <c r="A8548">
        <v>378</v>
      </c>
      <c r="B8548" t="s">
        <v>2826</v>
      </c>
      <c r="C8548" t="s">
        <v>10</v>
      </c>
      <c r="D8548" t="s">
        <v>2831</v>
      </c>
      <c r="E8548">
        <f>1/91</f>
        <v>1.098901098901099E-2</v>
      </c>
      <c r="F8548">
        <v>1</v>
      </c>
      <c r="G8548">
        <f>LOG(382/(1+1))</f>
        <v>2.2810333672477277</v>
      </c>
      <c r="H8548">
        <f>0.0109890109890109*5.25227342804663</f>
        <v>5.7717290418094362E-2</v>
      </c>
      <c r="I8548">
        <v>5.7717290418094841E-2</v>
      </c>
    </row>
    <row r="8549" spans="1:9" x14ac:dyDescent="0.25">
      <c r="A8549">
        <v>378</v>
      </c>
      <c r="B8549" t="s">
        <v>2826</v>
      </c>
      <c r="C8549" t="s">
        <v>10</v>
      </c>
      <c r="D8549" t="s">
        <v>360</v>
      </c>
      <c r="E8549">
        <f>1/91</f>
        <v>1.098901098901099E-2</v>
      </c>
      <c r="F8549">
        <v>15</v>
      </c>
      <c r="G8549">
        <f>LOG(382/(15+1))</f>
        <v>1.3779433802557839</v>
      </c>
      <c r="H8549">
        <f>0.0109890109890109*3.17283188636679</f>
        <v>3.4866284465568838E-2</v>
      </c>
      <c r="I8549">
        <v>3.4866284465569171E-2</v>
      </c>
    </row>
    <row r="8550" spans="1:9" x14ac:dyDescent="0.25">
      <c r="A8550">
        <v>378</v>
      </c>
      <c r="B8550" t="s">
        <v>2826</v>
      </c>
      <c r="C8550" t="s">
        <v>10</v>
      </c>
      <c r="D8550" t="s">
        <v>1473</v>
      </c>
      <c r="E8550">
        <f>2/91</f>
        <v>2.197802197802198E-2</v>
      </c>
      <c r="F8550">
        <v>39</v>
      </c>
      <c r="G8550">
        <f>LOG(382/(39+1))</f>
        <v>0.9800033715837464</v>
      </c>
      <c r="H8550">
        <f>0.0219780219780219*2.25654115449263</f>
        <v>4.9594311087749934E-2</v>
      </c>
      <c r="I8550">
        <v>4.9594311087750309E-2</v>
      </c>
    </row>
    <row r="8551" spans="1:9" x14ac:dyDescent="0.25">
      <c r="A8551">
        <v>378</v>
      </c>
      <c r="B8551" t="s">
        <v>2826</v>
      </c>
      <c r="C8551" t="s">
        <v>10</v>
      </c>
      <c r="D8551" t="s">
        <v>600</v>
      </c>
      <c r="E8551">
        <f>1/91</f>
        <v>1.098901098901099E-2</v>
      </c>
      <c r="F8551">
        <v>102</v>
      </c>
      <c r="G8551">
        <f>LOG(382/(102+1))</f>
        <v>0.56922613820653656</v>
      </c>
      <c r="H8551">
        <f>0.0109890109890109*1.31069162037693</f>
        <v>1.4403204619526587E-2</v>
      </c>
      <c r="I8551">
        <v>1.4403204619526809E-2</v>
      </c>
    </row>
    <row r="8552" spans="1:9" x14ac:dyDescent="0.25">
      <c r="A8552">
        <v>378</v>
      </c>
      <c r="B8552" t="s">
        <v>2826</v>
      </c>
      <c r="C8552" t="s">
        <v>10</v>
      </c>
      <c r="D8552" t="s">
        <v>147</v>
      </c>
      <c r="E8552">
        <f>1/91</f>
        <v>1.098901098901099E-2</v>
      </c>
      <c r="F8552">
        <v>48</v>
      </c>
      <c r="G8552">
        <f>LOG(382/(48+1))</f>
        <v>0.89186728288319506</v>
      </c>
      <c r="H8552">
        <f>0.0109890109890109*2.05360031049594</f>
        <v>2.2567036379076078E-2</v>
      </c>
      <c r="I8552">
        <v>2.2567036379076359E-2</v>
      </c>
    </row>
    <row r="8553" spans="1:9" x14ac:dyDescent="0.25">
      <c r="A8553">
        <v>378</v>
      </c>
      <c r="B8553" t="s">
        <v>2826</v>
      </c>
      <c r="C8553" t="s">
        <v>10</v>
      </c>
      <c r="D8553" t="s">
        <v>599</v>
      </c>
      <c r="E8553">
        <f>1/91</f>
        <v>1.098901098901099E-2</v>
      </c>
      <c r="F8553">
        <v>28</v>
      </c>
      <c r="G8553">
        <f>LOG(382/(28+1))</f>
        <v>1.1196653650127526</v>
      </c>
      <c r="H8553">
        <f>0.0109890109890109*2.5781247786201</f>
        <v>2.833104152329757E-2</v>
      </c>
      <c r="I8553">
        <v>2.833104152329782E-2</v>
      </c>
    </row>
    <row r="8554" spans="1:9" x14ac:dyDescent="0.25">
      <c r="A8554">
        <v>378</v>
      </c>
      <c r="B8554" t="s">
        <v>2826</v>
      </c>
      <c r="C8554" t="s">
        <v>10</v>
      </c>
      <c r="D8554" t="s">
        <v>2250</v>
      </c>
      <c r="E8554">
        <f>1/91</f>
        <v>1.098901098901099E-2</v>
      </c>
      <c r="F8554">
        <v>3</v>
      </c>
      <c r="G8554">
        <f>LOG(382/(3+1))</f>
        <v>1.9800033715837464</v>
      </c>
      <c r="H8554">
        <f>0.0109890109890109*4.55912624748668</f>
        <v>5.010028843391915E-2</v>
      </c>
      <c r="I8554">
        <v>5.0100288433919622E-2</v>
      </c>
    </row>
    <row r="8555" spans="1:9" x14ac:dyDescent="0.25">
      <c r="A8555">
        <v>378</v>
      </c>
      <c r="B8555" t="s">
        <v>2826</v>
      </c>
      <c r="C8555" t="s">
        <v>10</v>
      </c>
      <c r="D8555" t="s">
        <v>68</v>
      </c>
      <c r="E8555">
        <f>2/91</f>
        <v>2.197802197802198E-2</v>
      </c>
      <c r="F8555">
        <v>43</v>
      </c>
      <c r="G8555">
        <f>LOG(382/(43+1))</f>
        <v>0.93861068642552126</v>
      </c>
      <c r="H8555">
        <f>0.0219780219780219*2.16123097468831</f>
        <v>4.7499581861281365E-2</v>
      </c>
      <c r="I8555">
        <v>4.7499581861281628E-2</v>
      </c>
    </row>
    <row r="8556" spans="1:9" x14ac:dyDescent="0.25">
      <c r="A8556">
        <v>378</v>
      </c>
      <c r="B8556" t="s">
        <v>2826</v>
      </c>
      <c r="C8556" t="s">
        <v>10</v>
      </c>
      <c r="D8556" t="s">
        <v>44</v>
      </c>
      <c r="E8556">
        <f>2/91</f>
        <v>2.197802197802198E-2</v>
      </c>
      <c r="F8556">
        <v>151</v>
      </c>
      <c r="G8556">
        <f>LOG(382/(151+1))</f>
        <v>0.40021977496693617</v>
      </c>
      <c r="H8556">
        <f>0.0219780219780219*0.921540087760298</f>
        <v>2.0253628302424061E-2</v>
      </c>
      <c r="I8556">
        <v>2.0253628302424151E-2</v>
      </c>
    </row>
    <row r="8557" spans="1:9" x14ac:dyDescent="0.25">
      <c r="A8557">
        <v>378</v>
      </c>
      <c r="B8557" t="s">
        <v>2826</v>
      </c>
      <c r="C8557" t="s">
        <v>10</v>
      </c>
      <c r="D8557" t="s">
        <v>72</v>
      </c>
      <c r="E8557">
        <f>1/91</f>
        <v>1.098901098901099E-2</v>
      </c>
      <c r="F8557">
        <v>13</v>
      </c>
      <c r="G8557">
        <f>LOG(382/(13+1))</f>
        <v>1.4359353272334707</v>
      </c>
      <c r="H8557">
        <f>0.0109890109890109*3.30636327899131</f>
        <v>3.6333662406497616E-2</v>
      </c>
      <c r="I8557">
        <v>3.6333662406497977E-2</v>
      </c>
    </row>
    <row r="8558" spans="1:9" x14ac:dyDescent="0.25">
      <c r="A8558">
        <v>378</v>
      </c>
      <c r="B8558" t="s">
        <v>2826</v>
      </c>
      <c r="C8558" t="s">
        <v>10</v>
      </c>
      <c r="D8558" t="s">
        <v>1711</v>
      </c>
      <c r="E8558">
        <f>1/91</f>
        <v>1.098901098901099E-2</v>
      </c>
      <c r="F8558">
        <v>4</v>
      </c>
      <c r="G8558">
        <f>LOG(382/(4+1))</f>
        <v>1.8830933585756899</v>
      </c>
      <c r="H8558">
        <f>0.0109890109890109*4.33598269617247</f>
        <v>4.7648161496400387E-2</v>
      </c>
      <c r="I8558">
        <v>4.7648161496400818E-2</v>
      </c>
    </row>
    <row r="8559" spans="1:9" x14ac:dyDescent="0.25">
      <c r="A8559">
        <v>378</v>
      </c>
      <c r="B8559" t="s">
        <v>2826</v>
      </c>
      <c r="C8559" t="s">
        <v>10</v>
      </c>
      <c r="D8559" t="s">
        <v>236</v>
      </c>
      <c r="E8559">
        <f>2/91</f>
        <v>2.197802197802198E-2</v>
      </c>
      <c r="F8559">
        <v>87</v>
      </c>
      <c r="G8559">
        <f>LOG(382/(87+1))</f>
        <v>0.63758069076154011</v>
      </c>
      <c r="H8559">
        <f>0.0219780219780219*1.46808379412836</f>
        <v>3.2265577892930872E-2</v>
      </c>
      <c r="I8559">
        <v>3.2265577892931177E-2</v>
      </c>
    </row>
    <row r="8560" spans="1:9" x14ac:dyDescent="0.25">
      <c r="A8560">
        <v>378</v>
      </c>
      <c r="B8560" t="s">
        <v>2826</v>
      </c>
      <c r="C8560" t="s">
        <v>10</v>
      </c>
      <c r="D8560" t="s">
        <v>2832</v>
      </c>
      <c r="E8560">
        <f>1/91</f>
        <v>1.098901098901099E-2</v>
      </c>
      <c r="F8560">
        <v>1</v>
      </c>
      <c r="G8560">
        <f>LOG(382/(1+1))</f>
        <v>2.2810333672477277</v>
      </c>
      <c r="H8560">
        <f>0.0109890109890109*5.25227342804663</f>
        <v>5.7717290418094362E-2</v>
      </c>
      <c r="I8560">
        <v>5.7717290418094841E-2</v>
      </c>
    </row>
    <row r="8561" spans="1:9" x14ac:dyDescent="0.25">
      <c r="A8561">
        <v>378</v>
      </c>
      <c r="B8561" t="s">
        <v>2826</v>
      </c>
      <c r="C8561" t="s">
        <v>10</v>
      </c>
      <c r="D8561" t="s">
        <v>49</v>
      </c>
      <c r="E8561">
        <f>1/91</f>
        <v>1.098901098901099E-2</v>
      </c>
      <c r="F8561">
        <v>13</v>
      </c>
      <c r="G8561">
        <f>LOG(382/(13+1))</f>
        <v>1.4359353272334707</v>
      </c>
      <c r="H8561">
        <f>0.0109890109890109*3.30636327899131</f>
        <v>3.6333662406497616E-2</v>
      </c>
      <c r="I8561">
        <v>3.6333662406497977E-2</v>
      </c>
    </row>
    <row r="8562" spans="1:9" x14ac:dyDescent="0.25">
      <c r="A8562">
        <v>378</v>
      </c>
      <c r="B8562" t="s">
        <v>2826</v>
      </c>
      <c r="C8562" t="s">
        <v>10</v>
      </c>
      <c r="D8562" t="s">
        <v>121</v>
      </c>
      <c r="E8562">
        <f>1/91</f>
        <v>1.098901098901099E-2</v>
      </c>
      <c r="F8562">
        <v>22</v>
      </c>
      <c r="G8562">
        <f>LOG(382/(22+1))</f>
        <v>1.2203355268941158</v>
      </c>
      <c r="H8562">
        <f>0.0109890109890109*2.80992639267742</f>
        <v>3.0878312007443922E-2</v>
      </c>
      <c r="I8562">
        <v>3.0878312007444241E-2</v>
      </c>
    </row>
    <row r="8563" spans="1:9" x14ac:dyDescent="0.25">
      <c r="A8563">
        <v>378</v>
      </c>
      <c r="B8563" t="s">
        <v>2826</v>
      </c>
      <c r="C8563" t="s">
        <v>10</v>
      </c>
      <c r="D8563" t="s">
        <v>87</v>
      </c>
      <c r="E8563">
        <f>1/91</f>
        <v>1.098901098901099E-2</v>
      </c>
      <c r="F8563">
        <v>12</v>
      </c>
      <c r="G8563">
        <f>LOG(382/(12+1))</f>
        <v>1.468120010604872</v>
      </c>
      <c r="H8563">
        <f>0.0109890109890109*3.38047125114503</f>
        <v>3.7148035726868159E-2</v>
      </c>
      <c r="I8563">
        <v>3.7148035726868561E-2</v>
      </c>
    </row>
    <row r="8564" spans="1:9" x14ac:dyDescent="0.25">
      <c r="A8564">
        <v>378</v>
      </c>
      <c r="B8564" t="s">
        <v>2826</v>
      </c>
      <c r="C8564" t="s">
        <v>10</v>
      </c>
      <c r="D8564" t="s">
        <v>98</v>
      </c>
      <c r="E8564">
        <f>2/91</f>
        <v>2.197802197802198E-2</v>
      </c>
      <c r="F8564">
        <v>56</v>
      </c>
      <c r="G8564">
        <f>LOG(382/(56+1))</f>
        <v>0.82618850723921733</v>
      </c>
      <c r="H8564">
        <f>0.0219780219780219*1.90236934077202</f>
        <v>4.1810315181802483E-2</v>
      </c>
      <c r="I8564">
        <v>4.1810315181802747E-2</v>
      </c>
    </row>
    <row r="8565" spans="1:9" x14ac:dyDescent="0.25">
      <c r="A8565">
        <v>378</v>
      </c>
      <c r="B8565" t="s">
        <v>2826</v>
      </c>
      <c r="C8565" t="s">
        <v>10</v>
      </c>
      <c r="D8565" t="s">
        <v>64</v>
      </c>
      <c r="E8565">
        <f t="shared" ref="E8565:E8591" si="395">1/91</f>
        <v>1.098901098901099E-2</v>
      </c>
      <c r="F8565">
        <v>16</v>
      </c>
      <c r="G8565">
        <f>LOG(382/(16+1))</f>
        <v>1.3516144415334348</v>
      </c>
      <c r="H8565">
        <f>0.0109890109890109*3.11220726455035</f>
        <v>3.4200079830223343E-2</v>
      </c>
      <c r="I8565">
        <v>3.4200079830223731E-2</v>
      </c>
    </row>
    <row r="8566" spans="1:9" x14ac:dyDescent="0.25">
      <c r="A8566">
        <v>378</v>
      </c>
      <c r="B8566" t="s">
        <v>2826</v>
      </c>
      <c r="C8566" t="s">
        <v>10</v>
      </c>
      <c r="D8566" t="s">
        <v>108</v>
      </c>
      <c r="E8566">
        <f t="shared" si="395"/>
        <v>1.098901098901099E-2</v>
      </c>
      <c r="F8566">
        <v>9</v>
      </c>
      <c r="G8566">
        <f>LOG(382/(9+1))</f>
        <v>1.5820633629117087</v>
      </c>
      <c r="H8566">
        <f>0.0109890109890109*3.64283551561252</f>
        <v>4.0031159512225169E-2</v>
      </c>
      <c r="I8566">
        <v>4.0031159512225599E-2</v>
      </c>
    </row>
    <row r="8567" spans="1:9" x14ac:dyDescent="0.25">
      <c r="A8567">
        <v>378</v>
      </c>
      <c r="B8567" t="s">
        <v>2826</v>
      </c>
      <c r="C8567" t="s">
        <v>10</v>
      </c>
      <c r="D8567" t="s">
        <v>109</v>
      </c>
      <c r="E8567">
        <f t="shared" si="395"/>
        <v>1.098901098901099E-2</v>
      </c>
      <c r="F8567">
        <v>3</v>
      </c>
      <c r="G8567">
        <f>LOG(382/(3+1))</f>
        <v>1.9800033715837464</v>
      </c>
      <c r="H8567">
        <f>0.0109890109890109*4.55912624748668</f>
        <v>5.010028843391915E-2</v>
      </c>
      <c r="I8567">
        <v>5.0100288433919622E-2</v>
      </c>
    </row>
    <row r="8568" spans="1:9" x14ac:dyDescent="0.25">
      <c r="A8568">
        <v>378</v>
      </c>
      <c r="B8568" t="s">
        <v>2826</v>
      </c>
      <c r="C8568" t="s">
        <v>10</v>
      </c>
      <c r="D8568" t="s">
        <v>865</v>
      </c>
      <c r="E8568">
        <f t="shared" si="395"/>
        <v>1.098901098901099E-2</v>
      </c>
      <c r="F8568">
        <v>13</v>
      </c>
      <c r="G8568">
        <f>LOG(382/(13+1))</f>
        <v>1.4359353272334707</v>
      </c>
      <c r="H8568">
        <f>0.0109890109890109*3.30636327899131</f>
        <v>3.6333662406497616E-2</v>
      </c>
      <c r="I8568">
        <v>3.6333662406497977E-2</v>
      </c>
    </row>
    <row r="8569" spans="1:9" x14ac:dyDescent="0.25">
      <c r="A8569">
        <v>378</v>
      </c>
      <c r="B8569" t="s">
        <v>2826</v>
      </c>
      <c r="C8569" t="s">
        <v>10</v>
      </c>
      <c r="D8569" t="s">
        <v>2833</v>
      </c>
      <c r="E8569">
        <f t="shared" si="395"/>
        <v>1.098901098901099E-2</v>
      </c>
      <c r="F8569">
        <v>1</v>
      </c>
      <c r="G8569">
        <f>LOG(382/(1+1))</f>
        <v>2.2810333672477277</v>
      </c>
      <c r="H8569">
        <f>0.0109890109890109*5.25227342804663</f>
        <v>5.7717290418094362E-2</v>
      </c>
      <c r="I8569">
        <v>5.7717290418094841E-2</v>
      </c>
    </row>
    <row r="8570" spans="1:9" x14ac:dyDescent="0.25">
      <c r="A8570">
        <v>378</v>
      </c>
      <c r="B8570" t="s">
        <v>2826</v>
      </c>
      <c r="C8570" t="s">
        <v>10</v>
      </c>
      <c r="D8570" t="s">
        <v>1834</v>
      </c>
      <c r="E8570">
        <f t="shared" si="395"/>
        <v>1.098901098901099E-2</v>
      </c>
      <c r="F8570">
        <v>12</v>
      </c>
      <c r="G8570">
        <f>LOG(382/(12+1))</f>
        <v>1.468120010604872</v>
      </c>
      <c r="H8570">
        <f>0.0109890109890109*3.38047125114503</f>
        <v>3.7148035726868159E-2</v>
      </c>
      <c r="I8570">
        <v>3.7148035726868561E-2</v>
      </c>
    </row>
    <row r="8571" spans="1:9" x14ac:dyDescent="0.25">
      <c r="A8571">
        <v>378</v>
      </c>
      <c r="B8571" t="s">
        <v>2826</v>
      </c>
      <c r="C8571" t="s">
        <v>10</v>
      </c>
      <c r="D8571" t="s">
        <v>40</v>
      </c>
      <c r="E8571">
        <f t="shared" si="395"/>
        <v>1.098901098901099E-2</v>
      </c>
      <c r="F8571">
        <v>159</v>
      </c>
      <c r="G8571">
        <f>LOG(382/(159+1))</f>
        <v>0.377943380255784</v>
      </c>
      <c r="H8571">
        <f>0.0109890109890109*0.870246793372748</f>
        <v>9.5631515755246251E-3</v>
      </c>
      <c r="I8571">
        <v>9.5631515755247084E-3</v>
      </c>
    </row>
    <row r="8572" spans="1:9" x14ac:dyDescent="0.25">
      <c r="A8572">
        <v>378</v>
      </c>
      <c r="B8572" t="s">
        <v>2826</v>
      </c>
      <c r="C8572" t="s">
        <v>10</v>
      </c>
      <c r="D8572" t="s">
        <v>15</v>
      </c>
      <c r="E8572">
        <f t="shared" si="395"/>
        <v>1.098901098901099E-2</v>
      </c>
      <c r="F8572">
        <v>112</v>
      </c>
      <c r="G8572">
        <f>LOG(382/(112+1))</f>
        <v>0.52898491942828896</v>
      </c>
      <c r="H8572">
        <f>0.0109890109890109*1.21803278989423</f>
        <v>1.3384975713123299E-2</v>
      </c>
      <c r="I8572">
        <v>1.338497571312346E-2</v>
      </c>
    </row>
    <row r="8573" spans="1:9" x14ac:dyDescent="0.25">
      <c r="A8573">
        <v>378</v>
      </c>
      <c r="B8573" t="s">
        <v>2826</v>
      </c>
      <c r="C8573" t="s">
        <v>10</v>
      </c>
      <c r="D8573" t="s">
        <v>133</v>
      </c>
      <c r="E8573">
        <f t="shared" si="395"/>
        <v>1.098901098901099E-2</v>
      </c>
      <c r="F8573">
        <v>142</v>
      </c>
      <c r="G8573">
        <f>LOG(382/(142+1))</f>
        <v>0.42672732544664693</v>
      </c>
      <c r="H8573">
        <f>0.0109890109890109*0.982575978346667</f>
        <v>1.079753822358966E-2</v>
      </c>
      <c r="I8573">
        <v>1.079753822358976E-2</v>
      </c>
    </row>
    <row r="8574" spans="1:9" x14ac:dyDescent="0.25">
      <c r="A8574">
        <v>378</v>
      </c>
      <c r="B8574" t="s">
        <v>2826</v>
      </c>
      <c r="C8574" t="s">
        <v>10</v>
      </c>
      <c r="D8574" t="s">
        <v>76</v>
      </c>
      <c r="E8574">
        <f t="shared" si="395"/>
        <v>1.098901098901099E-2</v>
      </c>
      <c r="F8574">
        <v>140</v>
      </c>
      <c r="G8574">
        <f>LOG(382/(140+1))</f>
        <v>0.43284425025632883</v>
      </c>
      <c r="H8574">
        <f>0.0109890109890109*0.996660718228407</f>
        <v>1.095231558492746E-2</v>
      </c>
      <c r="I8574">
        <v>1.095231558492755E-2</v>
      </c>
    </row>
    <row r="8575" spans="1:9" x14ac:dyDescent="0.25">
      <c r="A8575">
        <v>378</v>
      </c>
      <c r="B8575" t="s">
        <v>2826</v>
      </c>
      <c r="C8575" t="s">
        <v>10</v>
      </c>
      <c r="D8575" t="s">
        <v>36</v>
      </c>
      <c r="E8575">
        <f t="shared" si="395"/>
        <v>1.098901098901099E-2</v>
      </c>
      <c r="F8575">
        <v>58</v>
      </c>
      <c r="G8575">
        <f>LOG(382/(58+1))</f>
        <v>0.81121135126956456</v>
      </c>
      <c r="H8575">
        <f>0.0109890109890109*1.86788316470085</f>
        <v>2.0526188623086097E-2</v>
      </c>
      <c r="I8575">
        <v>2.052618862308633E-2</v>
      </c>
    </row>
    <row r="8576" spans="1:9" x14ac:dyDescent="0.25">
      <c r="A8576">
        <v>378</v>
      </c>
      <c r="B8576" t="s">
        <v>2826</v>
      </c>
      <c r="C8576" t="s">
        <v>10</v>
      </c>
      <c r="D8576" t="s">
        <v>1068</v>
      </c>
      <c r="E8576">
        <f t="shared" si="395"/>
        <v>1.098901098901099E-2</v>
      </c>
      <c r="F8576">
        <v>5</v>
      </c>
      <c r="G8576">
        <f>LOG(382/(5+1))</f>
        <v>1.803912112528065</v>
      </c>
      <c r="H8576">
        <f>0.0109890109890109*4.15366113937852</f>
        <v>4.5644627905258091E-2</v>
      </c>
      <c r="I8576">
        <v>4.5644627905258472E-2</v>
      </c>
    </row>
    <row r="8577" spans="1:9" x14ac:dyDescent="0.25">
      <c r="A8577">
        <v>378</v>
      </c>
      <c r="B8577" t="s">
        <v>2826</v>
      </c>
      <c r="C8577" t="s">
        <v>10</v>
      </c>
      <c r="D8577" t="s">
        <v>243</v>
      </c>
      <c r="E8577">
        <f t="shared" si="395"/>
        <v>1.098901098901099E-2</v>
      </c>
      <c r="F8577">
        <v>131</v>
      </c>
      <c r="G8577">
        <f>LOG(382/(131+1))</f>
        <v>0.46148943170585888</v>
      </c>
      <c r="H8577">
        <f>0.0109890109890109*1.0626186860202</f>
        <v>1.1677128417804302E-2</v>
      </c>
      <c r="I8577">
        <v>1.1677128417804441E-2</v>
      </c>
    </row>
    <row r="8578" spans="1:9" x14ac:dyDescent="0.25">
      <c r="A8578">
        <v>378</v>
      </c>
      <c r="B8578" t="s">
        <v>2826</v>
      </c>
      <c r="C8578" t="s">
        <v>10</v>
      </c>
      <c r="D8578" t="s">
        <v>774</v>
      </c>
      <c r="E8578">
        <f t="shared" si="395"/>
        <v>1.098901098901099E-2</v>
      </c>
      <c r="F8578">
        <v>4</v>
      </c>
      <c r="G8578">
        <f>LOG(382/(4+1))</f>
        <v>1.8830933585756899</v>
      </c>
      <c r="H8578">
        <f>0.0109890109890109*4.33598269617247</f>
        <v>4.7648161496400387E-2</v>
      </c>
      <c r="I8578">
        <v>4.7648161496400818E-2</v>
      </c>
    </row>
    <row r="8579" spans="1:9" x14ac:dyDescent="0.25">
      <c r="A8579">
        <v>378</v>
      </c>
      <c r="B8579" t="s">
        <v>2826</v>
      </c>
      <c r="C8579" t="s">
        <v>10</v>
      </c>
      <c r="D8579" t="s">
        <v>237</v>
      </c>
      <c r="E8579">
        <f t="shared" si="395"/>
        <v>1.098901098901099E-2</v>
      </c>
      <c r="F8579">
        <v>138</v>
      </c>
      <c r="G8579">
        <f>LOG(382/(138+1))</f>
        <v>0.43904856265761361</v>
      </c>
      <c r="H8579">
        <f>0.0109890109890109*1.01094667547588</f>
        <v>1.1109304126108482E-2</v>
      </c>
      <c r="I8579">
        <v>1.110930412610861E-2</v>
      </c>
    </row>
    <row r="8580" spans="1:9" x14ac:dyDescent="0.25">
      <c r="A8580">
        <v>378</v>
      </c>
      <c r="B8580" t="s">
        <v>2826</v>
      </c>
      <c r="C8580" t="s">
        <v>10</v>
      </c>
      <c r="D8580" t="s">
        <v>24</v>
      </c>
      <c r="E8580">
        <f t="shared" si="395"/>
        <v>1.098901098901099E-2</v>
      </c>
      <c r="F8580">
        <v>59</v>
      </c>
      <c r="G8580">
        <f>LOG(382/(59+1))</f>
        <v>0.80391211252806505</v>
      </c>
      <c r="H8580">
        <f>0.0109890109890109*1.85107604638447</f>
        <v>2.034149501521379E-2</v>
      </c>
      <c r="I8580">
        <v>2.0341495015214001E-2</v>
      </c>
    </row>
    <row r="8581" spans="1:9" x14ac:dyDescent="0.25">
      <c r="A8581">
        <v>378</v>
      </c>
      <c r="B8581" t="s">
        <v>2826</v>
      </c>
      <c r="C8581" t="s">
        <v>10</v>
      </c>
      <c r="D8581" t="s">
        <v>2834</v>
      </c>
      <c r="E8581">
        <f t="shared" si="395"/>
        <v>1.098901098901099E-2</v>
      </c>
      <c r="F8581">
        <v>1</v>
      </c>
      <c r="G8581">
        <f>LOG(382/(1+1))</f>
        <v>2.2810333672477277</v>
      </c>
      <c r="H8581">
        <f>0.0109890109890109*5.25227342804663</f>
        <v>5.7717290418094362E-2</v>
      </c>
      <c r="I8581">
        <v>5.7717290418094841E-2</v>
      </c>
    </row>
    <row r="8582" spans="1:9" x14ac:dyDescent="0.25">
      <c r="A8582">
        <v>378</v>
      </c>
      <c r="B8582" t="s">
        <v>2826</v>
      </c>
      <c r="C8582" t="s">
        <v>10</v>
      </c>
      <c r="D8582" t="s">
        <v>775</v>
      </c>
      <c r="E8582">
        <f t="shared" si="395"/>
        <v>1.098901098901099E-2</v>
      </c>
      <c r="F8582">
        <v>20</v>
      </c>
      <c r="G8582">
        <f>LOG(382/(20+1))</f>
        <v>1.2598440681777894</v>
      </c>
      <c r="H8582">
        <f>0.0109890109890109*2.90089817088315</f>
        <v>3.1878001877836556E-2</v>
      </c>
      <c r="I8582">
        <v>3.1878001877836841E-2</v>
      </c>
    </row>
    <row r="8583" spans="1:9" x14ac:dyDescent="0.25">
      <c r="A8583">
        <v>378</v>
      </c>
      <c r="B8583" t="s">
        <v>2826</v>
      </c>
      <c r="C8583" t="s">
        <v>10</v>
      </c>
      <c r="D8583" t="s">
        <v>2115</v>
      </c>
      <c r="E8583">
        <f t="shared" si="395"/>
        <v>1.098901098901099E-2</v>
      </c>
      <c r="F8583">
        <v>2</v>
      </c>
      <c r="G8583">
        <f>LOG(382/(2+1))</f>
        <v>2.1049421081920463</v>
      </c>
      <c r="H8583">
        <f>0.0109890109890109*4.84680831993846</f>
        <v>5.3261629889433192E-2</v>
      </c>
      <c r="I8583">
        <v>5.3261629889433691E-2</v>
      </c>
    </row>
    <row r="8584" spans="1:9" x14ac:dyDescent="0.25">
      <c r="A8584">
        <v>378</v>
      </c>
      <c r="B8584" t="s">
        <v>2826</v>
      </c>
      <c r="C8584" t="s">
        <v>10</v>
      </c>
      <c r="D8584" t="s">
        <v>439</v>
      </c>
      <c r="E8584">
        <f t="shared" si="395"/>
        <v>1.098901098901099E-2</v>
      </c>
      <c r="F8584">
        <v>28</v>
      </c>
      <c r="G8584">
        <f>LOG(382/(28+1))</f>
        <v>1.1196653650127526</v>
      </c>
      <c r="H8584">
        <f>0.0109890109890109*2.5781247786201</f>
        <v>2.833104152329757E-2</v>
      </c>
      <c r="I8584">
        <v>2.833104152329782E-2</v>
      </c>
    </row>
    <row r="8585" spans="1:9" x14ac:dyDescent="0.25">
      <c r="A8585">
        <v>378</v>
      </c>
      <c r="B8585" t="s">
        <v>2826</v>
      </c>
      <c r="C8585" t="s">
        <v>10</v>
      </c>
      <c r="D8585" t="s">
        <v>1178</v>
      </c>
      <c r="E8585">
        <f t="shared" si="395"/>
        <v>1.098901098901099E-2</v>
      </c>
      <c r="F8585">
        <v>4</v>
      </c>
      <c r="G8585">
        <f>LOG(382/(4+1))</f>
        <v>1.8830933585756899</v>
      </c>
      <c r="H8585">
        <f>0.0109890109890109*4.33598269617247</f>
        <v>4.7648161496400387E-2</v>
      </c>
      <c r="I8585">
        <v>4.7648161496400818E-2</v>
      </c>
    </row>
    <row r="8586" spans="1:9" x14ac:dyDescent="0.25">
      <c r="A8586">
        <v>378</v>
      </c>
      <c r="B8586" t="s">
        <v>2826</v>
      </c>
      <c r="C8586" t="s">
        <v>10</v>
      </c>
      <c r="D8586" t="s">
        <v>239</v>
      </c>
      <c r="E8586">
        <f t="shared" si="395"/>
        <v>1.098901098901099E-2</v>
      </c>
      <c r="F8586">
        <v>40</v>
      </c>
      <c r="G8586">
        <f>LOG(382/(40+1))</f>
        <v>0.96927950619197323</v>
      </c>
      <c r="H8586">
        <f>0.0109890109890109*2.23184854190226</f>
        <v>2.4525808152771885E-2</v>
      </c>
      <c r="I8586">
        <v>2.452580815277217E-2</v>
      </c>
    </row>
    <row r="8587" spans="1:9" x14ac:dyDescent="0.25">
      <c r="A8587">
        <v>378</v>
      </c>
      <c r="B8587" t="s">
        <v>2826</v>
      </c>
      <c r="C8587" t="s">
        <v>10</v>
      </c>
      <c r="D8587" t="s">
        <v>359</v>
      </c>
      <c r="E8587">
        <f t="shared" si="395"/>
        <v>1.098901098901099E-2</v>
      </c>
      <c r="F8587">
        <v>2</v>
      </c>
      <c r="G8587">
        <f>LOG(382/(2+1))</f>
        <v>2.1049421081920463</v>
      </c>
      <c r="H8587">
        <f>0.0109890109890109*4.84680831993846</f>
        <v>5.3261629889433192E-2</v>
      </c>
      <c r="I8587">
        <v>5.3261629889433691E-2</v>
      </c>
    </row>
    <row r="8588" spans="1:9" x14ac:dyDescent="0.25">
      <c r="A8588">
        <v>378</v>
      </c>
      <c r="B8588" t="s">
        <v>2826</v>
      </c>
      <c r="C8588" t="s">
        <v>10</v>
      </c>
      <c r="D8588" t="s">
        <v>322</v>
      </c>
      <c r="E8588">
        <f t="shared" si="395"/>
        <v>1.098901098901099E-2</v>
      </c>
      <c r="F8588">
        <v>128</v>
      </c>
      <c r="G8588">
        <f>LOG(382/(128+1))</f>
        <v>0.47147365261245977</v>
      </c>
      <c r="H8588">
        <f>0.0109890109890109*1.0856082042449</f>
        <v>1.1929760486207596E-2</v>
      </c>
      <c r="I8588">
        <v>1.192976048620773E-2</v>
      </c>
    </row>
    <row r="8589" spans="1:9" x14ac:dyDescent="0.25">
      <c r="A8589">
        <v>378</v>
      </c>
      <c r="B8589" t="s">
        <v>2826</v>
      </c>
      <c r="C8589" t="s">
        <v>10</v>
      </c>
      <c r="D8589" t="s">
        <v>450</v>
      </c>
      <c r="E8589">
        <f t="shared" si="395"/>
        <v>1.098901098901099E-2</v>
      </c>
      <c r="F8589">
        <v>17</v>
      </c>
      <c r="G8589">
        <f>LOG(382/(17+1))</f>
        <v>1.3267908578084027</v>
      </c>
      <c r="H8589">
        <f>0.0109890109890109*3.05504885071041</f>
        <v>3.3571965392421813E-2</v>
      </c>
      <c r="I8589">
        <v>3.3571965392422097E-2</v>
      </c>
    </row>
    <row r="8590" spans="1:9" x14ac:dyDescent="0.25">
      <c r="A8590">
        <v>378</v>
      </c>
      <c r="B8590" t="s">
        <v>2826</v>
      </c>
      <c r="C8590" t="s">
        <v>10</v>
      </c>
      <c r="D8590" t="s">
        <v>777</v>
      </c>
      <c r="E8590">
        <f t="shared" si="395"/>
        <v>1.098901098901099E-2</v>
      </c>
      <c r="F8590">
        <v>2</v>
      </c>
      <c r="G8590">
        <f>LOG(382/(2+1))</f>
        <v>2.1049421081920463</v>
      </c>
      <c r="H8590">
        <f>0.0109890109890109*4.84680831993846</f>
        <v>5.3261629889433192E-2</v>
      </c>
      <c r="I8590">
        <v>5.3261629889433691E-2</v>
      </c>
    </row>
    <row r="8591" spans="1:9" x14ac:dyDescent="0.25">
      <c r="A8591">
        <v>378</v>
      </c>
      <c r="B8591" t="s">
        <v>2826</v>
      </c>
      <c r="C8591" t="s">
        <v>10</v>
      </c>
      <c r="D8591" t="s">
        <v>536</v>
      </c>
      <c r="E8591">
        <f t="shared" si="395"/>
        <v>1.098901098901099E-2</v>
      </c>
      <c r="F8591">
        <v>3</v>
      </c>
      <c r="G8591">
        <f>LOG(382/(3+1))</f>
        <v>1.9800033715837464</v>
      </c>
      <c r="H8591">
        <f>0.0109890109890109*4.55912624748668</f>
        <v>5.010028843391915E-2</v>
      </c>
      <c r="I8591">
        <v>5.0100288433919622E-2</v>
      </c>
    </row>
    <row r="8592" spans="1:9" x14ac:dyDescent="0.25">
      <c r="A8592">
        <v>379</v>
      </c>
      <c r="B8592" t="s">
        <v>2835</v>
      </c>
      <c r="C8592" t="s">
        <v>10</v>
      </c>
      <c r="D8592" t="s">
        <v>11</v>
      </c>
      <c r="E8592">
        <f>2/33</f>
        <v>6.0606060606060608E-2</v>
      </c>
      <c r="F8592">
        <v>83</v>
      </c>
      <c r="G8592">
        <f>LOG(382/(83+1))</f>
        <v>0.65778407684982709</v>
      </c>
      <c r="H8592">
        <f>0.0606060606060606*1.51460380976326</f>
        <v>9.1794170288682406E-2</v>
      </c>
      <c r="I8592">
        <v>9.1794170288682517E-2</v>
      </c>
    </row>
    <row r="8593" spans="1:9" x14ac:dyDescent="0.25">
      <c r="A8593">
        <v>379</v>
      </c>
      <c r="B8593" t="s">
        <v>2835</v>
      </c>
      <c r="C8593" t="s">
        <v>10</v>
      </c>
      <c r="D8593" t="s">
        <v>2836</v>
      </c>
      <c r="E8593">
        <f>2/33</f>
        <v>6.0606060606060608E-2</v>
      </c>
      <c r="F8593">
        <v>1</v>
      </c>
      <c r="G8593">
        <f>LOG(382/(1+1))</f>
        <v>2.2810333672477277</v>
      </c>
      <c r="H8593">
        <f>0.0606060606060606*5.25227342804663</f>
        <v>0.31831960169979573</v>
      </c>
      <c r="I8593">
        <v>0.31831960169979578</v>
      </c>
    </row>
    <row r="8594" spans="1:9" x14ac:dyDescent="0.25">
      <c r="A8594">
        <v>379</v>
      </c>
      <c r="B8594" t="s">
        <v>2835</v>
      </c>
      <c r="C8594" t="s">
        <v>10</v>
      </c>
      <c r="D8594" t="s">
        <v>87</v>
      </c>
      <c r="E8594">
        <f t="shared" ref="E8594:E8622" si="396">1/33</f>
        <v>3.0303030303030304E-2</v>
      </c>
      <c r="F8594">
        <v>12</v>
      </c>
      <c r="G8594">
        <f>LOG(382/(12+1))</f>
        <v>1.468120010604872</v>
      </c>
      <c r="H8594">
        <f>0.0303030303030303*3.38047125114503</f>
        <v>0.1024385227619706</v>
      </c>
      <c r="I8594">
        <v>0.10243852276197089</v>
      </c>
    </row>
    <row r="8595" spans="1:9" x14ac:dyDescent="0.25">
      <c r="A8595">
        <v>379</v>
      </c>
      <c r="B8595" t="s">
        <v>2835</v>
      </c>
      <c r="C8595" t="s">
        <v>10</v>
      </c>
      <c r="D8595" t="s">
        <v>2837</v>
      </c>
      <c r="E8595">
        <f t="shared" si="396"/>
        <v>3.0303030303030304E-2</v>
      </c>
      <c r="F8595">
        <v>2</v>
      </c>
      <c r="G8595">
        <f>LOG(382/(2+1))</f>
        <v>2.1049421081920463</v>
      </c>
      <c r="H8595">
        <f>0.0303030303030303*4.84680831993846</f>
        <v>0.14687297939207453</v>
      </c>
      <c r="I8595">
        <v>0.14687297939207469</v>
      </c>
    </row>
    <row r="8596" spans="1:9" x14ac:dyDescent="0.25">
      <c r="A8596">
        <v>379</v>
      </c>
      <c r="B8596" t="s">
        <v>2835</v>
      </c>
      <c r="C8596" t="s">
        <v>10</v>
      </c>
      <c r="D8596" t="s">
        <v>2838</v>
      </c>
      <c r="E8596">
        <f t="shared" si="396"/>
        <v>3.0303030303030304E-2</v>
      </c>
      <c r="F8596">
        <v>1</v>
      </c>
      <c r="G8596">
        <f>LOG(382/(1+1))</f>
        <v>2.2810333672477277</v>
      </c>
      <c r="H8596">
        <f>0.0303030303030303*5.25227342804663</f>
        <v>0.15915980084989786</v>
      </c>
      <c r="I8596">
        <v>0.15915980084989789</v>
      </c>
    </row>
    <row r="8597" spans="1:9" x14ac:dyDescent="0.25">
      <c r="A8597">
        <v>379</v>
      </c>
      <c r="B8597" t="s">
        <v>2835</v>
      </c>
      <c r="C8597" t="s">
        <v>10</v>
      </c>
      <c r="D8597" t="s">
        <v>920</v>
      </c>
      <c r="E8597">
        <f t="shared" si="396"/>
        <v>3.0303030303030304E-2</v>
      </c>
      <c r="F8597">
        <v>30</v>
      </c>
      <c r="G8597">
        <f>LOG(382/(30+1))</f>
        <v>1.090701669077436</v>
      </c>
      <c r="H8597">
        <f>0.0303030303030303*2.51143340412142</f>
        <v>7.6104042549133943E-2</v>
      </c>
      <c r="I8597">
        <v>7.6104042549134221E-2</v>
      </c>
    </row>
    <row r="8598" spans="1:9" x14ac:dyDescent="0.25">
      <c r="A8598">
        <v>379</v>
      </c>
      <c r="B8598" t="s">
        <v>2835</v>
      </c>
      <c r="C8598" t="s">
        <v>10</v>
      </c>
      <c r="D8598" t="s">
        <v>42</v>
      </c>
      <c r="E8598">
        <f t="shared" si="396"/>
        <v>3.0303030303030304E-2</v>
      </c>
      <c r="F8598">
        <v>251</v>
      </c>
      <c r="G8598">
        <f>LOG(382/(251+1))</f>
        <v>0.18066282213016463</v>
      </c>
      <c r="H8598">
        <f>0.0303030303030303*0.415991521095151</f>
        <v>1.2605803669550029E-2</v>
      </c>
      <c r="I8598">
        <v>1.260580366955006E-2</v>
      </c>
    </row>
    <row r="8599" spans="1:9" x14ac:dyDescent="0.25">
      <c r="A8599">
        <v>379</v>
      </c>
      <c r="B8599" t="s">
        <v>2835</v>
      </c>
      <c r="C8599" t="s">
        <v>10</v>
      </c>
      <c r="D8599" t="s">
        <v>65</v>
      </c>
      <c r="E8599">
        <f t="shared" si="396"/>
        <v>3.0303030303030304E-2</v>
      </c>
      <c r="F8599">
        <v>32</v>
      </c>
      <c r="G8599">
        <f>LOG(382/(32+1))</f>
        <v>1.0635494230338212</v>
      </c>
      <c r="H8599">
        <f>0.0303030303030303*2.44891304714009</f>
        <v>7.4209486276972422E-2</v>
      </c>
      <c r="I8599">
        <v>7.4209486276972575E-2</v>
      </c>
    </row>
    <row r="8600" spans="1:9" x14ac:dyDescent="0.25">
      <c r="A8600">
        <v>379</v>
      </c>
      <c r="B8600" t="s">
        <v>2835</v>
      </c>
      <c r="C8600" t="s">
        <v>10</v>
      </c>
      <c r="D8600" t="s">
        <v>40</v>
      </c>
      <c r="E8600">
        <f t="shared" si="396"/>
        <v>3.0303030303030304E-2</v>
      </c>
      <c r="F8600">
        <v>159</v>
      </c>
      <c r="G8600">
        <f>LOG(382/(159+1))</f>
        <v>0.377943380255784</v>
      </c>
      <c r="H8600">
        <f>0.0303030303030303*0.870246793372748</f>
        <v>2.637111495068933E-2</v>
      </c>
      <c r="I8600">
        <v>2.6371114950689341E-2</v>
      </c>
    </row>
    <row r="8601" spans="1:9" x14ac:dyDescent="0.25">
      <c r="A8601">
        <v>379</v>
      </c>
      <c r="B8601" t="s">
        <v>2835</v>
      </c>
      <c r="C8601" t="s">
        <v>10</v>
      </c>
      <c r="D8601" t="s">
        <v>41</v>
      </c>
      <c r="E8601">
        <f t="shared" si="396"/>
        <v>3.0303030303030304E-2</v>
      </c>
      <c r="F8601">
        <v>195</v>
      </c>
      <c r="G8601">
        <f>LOG(382/(195+1))</f>
        <v>0.28980729155523272</v>
      </c>
      <c r="H8601">
        <f>0.0303030303030303*0.667305949376058</f>
        <v>2.022139240533509E-2</v>
      </c>
      <c r="I8601">
        <v>2.022139240533509E-2</v>
      </c>
    </row>
    <row r="8602" spans="1:9" x14ac:dyDescent="0.25">
      <c r="A8602">
        <v>379</v>
      </c>
      <c r="B8602" t="s">
        <v>2835</v>
      </c>
      <c r="C8602" t="s">
        <v>10</v>
      </c>
      <c r="D8602" t="s">
        <v>44</v>
      </c>
      <c r="E8602">
        <f t="shared" si="396"/>
        <v>3.0303030303030304E-2</v>
      </c>
      <c r="F8602">
        <v>151</v>
      </c>
      <c r="G8602">
        <f>LOG(382/(151+1))</f>
        <v>0.40021977496693617</v>
      </c>
      <c r="H8602">
        <f>0.0303030303030303*0.921540087760298</f>
        <v>2.7925457204857514E-2</v>
      </c>
      <c r="I8602">
        <v>2.7925457204857541E-2</v>
      </c>
    </row>
    <row r="8603" spans="1:9" x14ac:dyDescent="0.25">
      <c r="A8603">
        <v>379</v>
      </c>
      <c r="B8603" t="s">
        <v>2835</v>
      </c>
      <c r="C8603" t="s">
        <v>10</v>
      </c>
      <c r="D8603" t="s">
        <v>39</v>
      </c>
      <c r="E8603">
        <f t="shared" si="396"/>
        <v>3.0303030303030304E-2</v>
      </c>
      <c r="F8603">
        <v>145</v>
      </c>
      <c r="G8603">
        <f>LOG(382/(145+1))</f>
        <v>0.41771050712727159</v>
      </c>
      <c r="H8603">
        <f>0.0303030303030303*0.961813986898238</f>
        <v>2.9145878390855695E-2</v>
      </c>
      <c r="I8603">
        <v>2.9145878390855719E-2</v>
      </c>
    </row>
    <row r="8604" spans="1:9" x14ac:dyDescent="0.25">
      <c r="A8604">
        <v>379</v>
      </c>
      <c r="B8604" t="s">
        <v>2835</v>
      </c>
      <c r="C8604" t="s">
        <v>10</v>
      </c>
      <c r="D8604" t="s">
        <v>2154</v>
      </c>
      <c r="E8604">
        <f t="shared" si="396"/>
        <v>3.0303030303030304E-2</v>
      </c>
      <c r="F8604">
        <v>9</v>
      </c>
      <c r="G8604">
        <f>LOG(382/(9+1))</f>
        <v>1.5820633629117087</v>
      </c>
      <c r="H8604">
        <f>0.0303030303030303*3.64283551561252</f>
        <v>0.11038895501856121</v>
      </c>
      <c r="I8604">
        <v>0.1103889550185615</v>
      </c>
    </row>
    <row r="8605" spans="1:9" x14ac:dyDescent="0.25">
      <c r="A8605">
        <v>379</v>
      </c>
      <c r="B8605" t="s">
        <v>2835</v>
      </c>
      <c r="C8605" t="s">
        <v>10</v>
      </c>
      <c r="D8605" t="s">
        <v>121</v>
      </c>
      <c r="E8605">
        <f t="shared" si="396"/>
        <v>3.0303030303030304E-2</v>
      </c>
      <c r="F8605">
        <v>22</v>
      </c>
      <c r="G8605">
        <f>LOG(382/(22+1))</f>
        <v>1.2203355268941158</v>
      </c>
      <c r="H8605">
        <f>0.0303030303030303*2.80992639267742</f>
        <v>8.5149284626588467E-2</v>
      </c>
      <c r="I8605">
        <v>8.5149284626588662E-2</v>
      </c>
    </row>
    <row r="8606" spans="1:9" x14ac:dyDescent="0.25">
      <c r="A8606">
        <v>379</v>
      </c>
      <c r="B8606" t="s">
        <v>2835</v>
      </c>
      <c r="C8606" t="s">
        <v>10</v>
      </c>
      <c r="D8606" t="s">
        <v>348</v>
      </c>
      <c r="E8606">
        <f t="shared" si="396"/>
        <v>3.0303030303030304E-2</v>
      </c>
      <c r="F8606">
        <v>5</v>
      </c>
      <c r="G8606">
        <f>LOG(382/(5+1))</f>
        <v>1.803912112528065</v>
      </c>
      <c r="H8606">
        <f>0.0303030303030303*4.15366113937852</f>
        <v>0.12586851937510665</v>
      </c>
      <c r="I8606">
        <v>0.12586851937510671</v>
      </c>
    </row>
    <row r="8607" spans="1:9" x14ac:dyDescent="0.25">
      <c r="A8607">
        <v>379</v>
      </c>
      <c r="B8607" t="s">
        <v>2835</v>
      </c>
      <c r="C8607" t="s">
        <v>10</v>
      </c>
      <c r="D8607" t="s">
        <v>2839</v>
      </c>
      <c r="E8607">
        <f t="shared" si="396"/>
        <v>3.0303030303030304E-2</v>
      </c>
      <c r="F8607">
        <v>1</v>
      </c>
      <c r="G8607">
        <f>LOG(382/(1+1))</f>
        <v>2.2810333672477277</v>
      </c>
      <c r="H8607">
        <f>0.0303030303030303*5.25227342804663</f>
        <v>0.15915980084989786</v>
      </c>
      <c r="I8607">
        <v>0.15915980084989789</v>
      </c>
    </row>
    <row r="8608" spans="1:9" x14ac:dyDescent="0.25">
      <c r="A8608">
        <v>379</v>
      </c>
      <c r="B8608" t="s">
        <v>2835</v>
      </c>
      <c r="C8608" t="s">
        <v>10</v>
      </c>
      <c r="D8608" t="s">
        <v>88</v>
      </c>
      <c r="E8608">
        <f t="shared" si="396"/>
        <v>3.0303030303030304E-2</v>
      </c>
      <c r="F8608">
        <v>13</v>
      </c>
      <c r="G8608">
        <f>LOG(382/(13+1))</f>
        <v>1.4359353272334707</v>
      </c>
      <c r="H8608">
        <f>0.0303030303030303*3.30636327899131</f>
        <v>0.1001928266361003</v>
      </c>
      <c r="I8608">
        <v>0.1001928266361005</v>
      </c>
    </row>
    <row r="8609" spans="1:9" x14ac:dyDescent="0.25">
      <c r="A8609">
        <v>379</v>
      </c>
      <c r="B8609" t="s">
        <v>2835</v>
      </c>
      <c r="C8609" t="s">
        <v>10</v>
      </c>
      <c r="D8609" t="s">
        <v>1745</v>
      </c>
      <c r="E8609">
        <f t="shared" si="396"/>
        <v>3.0303030303030304E-2</v>
      </c>
      <c r="F8609">
        <v>12</v>
      </c>
      <c r="G8609">
        <f>LOG(382/(12+1))</f>
        <v>1.468120010604872</v>
      </c>
      <c r="H8609">
        <f>0.0303030303030303*3.38047125114503</f>
        <v>0.1024385227619706</v>
      </c>
      <c r="I8609">
        <v>0.10243852276197089</v>
      </c>
    </row>
    <row r="8610" spans="1:9" x14ac:dyDescent="0.25">
      <c r="A8610">
        <v>379</v>
      </c>
      <c r="B8610" t="s">
        <v>2835</v>
      </c>
      <c r="C8610" t="s">
        <v>10</v>
      </c>
      <c r="D8610" t="s">
        <v>78</v>
      </c>
      <c r="E8610">
        <f t="shared" si="396"/>
        <v>3.0303030303030304E-2</v>
      </c>
      <c r="F8610">
        <v>122</v>
      </c>
      <c r="G8610">
        <f>LOG(382/(122+1))</f>
        <v>0.49215825147231079</v>
      </c>
      <c r="H8610">
        <f>0.0303030303030303*1.13323625323415</f>
        <v>3.4340492522246968E-2</v>
      </c>
      <c r="I8610">
        <v>3.4340492522247197E-2</v>
      </c>
    </row>
    <row r="8611" spans="1:9" x14ac:dyDescent="0.25">
      <c r="A8611">
        <v>379</v>
      </c>
      <c r="B8611" t="s">
        <v>2835</v>
      </c>
      <c r="C8611" t="s">
        <v>10</v>
      </c>
      <c r="D8611" t="s">
        <v>77</v>
      </c>
      <c r="E8611">
        <f t="shared" si="396"/>
        <v>3.0303030303030304E-2</v>
      </c>
      <c r="F8611">
        <v>148</v>
      </c>
      <c r="G8611">
        <f>LOG(382/(148+1))</f>
        <v>0.40887709449943471</v>
      </c>
      <c r="H8611">
        <f>0.0303030303030303*0.941474302661116</f>
        <v>2.8529524323064118E-2</v>
      </c>
      <c r="I8611">
        <v>2.8529524323064121E-2</v>
      </c>
    </row>
    <row r="8612" spans="1:9" x14ac:dyDescent="0.25">
      <c r="A8612">
        <v>379</v>
      </c>
      <c r="B8612" t="s">
        <v>2835</v>
      </c>
      <c r="C8612" t="s">
        <v>10</v>
      </c>
      <c r="D8612" t="s">
        <v>1746</v>
      </c>
      <c r="E8612">
        <f t="shared" si="396"/>
        <v>3.0303030303030304E-2</v>
      </c>
      <c r="F8612">
        <v>5</v>
      </c>
      <c r="G8612">
        <f>LOG(382/(5+1))</f>
        <v>1.803912112528065</v>
      </c>
      <c r="H8612">
        <f>0.0303030303030303*4.15366113937852</f>
        <v>0.12586851937510665</v>
      </c>
      <c r="I8612">
        <v>0.12586851937510671</v>
      </c>
    </row>
    <row r="8613" spans="1:9" x14ac:dyDescent="0.25">
      <c r="A8613">
        <v>379</v>
      </c>
      <c r="B8613" t="s">
        <v>2835</v>
      </c>
      <c r="C8613" t="s">
        <v>10</v>
      </c>
      <c r="D8613" t="s">
        <v>932</v>
      </c>
      <c r="E8613">
        <f t="shared" si="396"/>
        <v>3.0303030303030304E-2</v>
      </c>
      <c r="F8613">
        <v>35</v>
      </c>
      <c r="G8613">
        <f>LOG(382/(35+1))</f>
        <v>1.0257608621444214</v>
      </c>
      <c r="H8613">
        <f>0.0303030303030303*2.36190167015046</f>
        <v>7.1572777883347274E-2</v>
      </c>
      <c r="I8613">
        <v>7.1572777883347427E-2</v>
      </c>
    </row>
    <row r="8614" spans="1:9" x14ac:dyDescent="0.25">
      <c r="A8614">
        <v>379</v>
      </c>
      <c r="B8614" t="s">
        <v>2835</v>
      </c>
      <c r="C8614" t="s">
        <v>10</v>
      </c>
      <c r="D8614" t="s">
        <v>76</v>
      </c>
      <c r="E8614">
        <f t="shared" si="396"/>
        <v>3.0303030303030304E-2</v>
      </c>
      <c r="F8614">
        <v>140</v>
      </c>
      <c r="G8614">
        <f>LOG(382/(140+1))</f>
        <v>0.43284425025632883</v>
      </c>
      <c r="H8614">
        <f>0.0303030303030303*0.996660718228407</f>
        <v>3.0201839946315361E-2</v>
      </c>
      <c r="I8614">
        <v>3.0201839946315361E-2</v>
      </c>
    </row>
    <row r="8615" spans="1:9" x14ac:dyDescent="0.25">
      <c r="A8615">
        <v>379</v>
      </c>
      <c r="B8615" t="s">
        <v>2835</v>
      </c>
      <c r="C8615" t="s">
        <v>10</v>
      </c>
      <c r="D8615" t="s">
        <v>331</v>
      </c>
      <c r="E8615">
        <f t="shared" si="396"/>
        <v>3.0303030303030304E-2</v>
      </c>
      <c r="F8615">
        <v>130</v>
      </c>
      <c r="G8615">
        <f>LOG(382/(130+1))</f>
        <v>0.46479206725594452</v>
      </c>
      <c r="H8615">
        <f>0.0303030303030303*1.07022328540542</f>
        <v>3.243100864864909E-2</v>
      </c>
      <c r="I8615">
        <v>3.2431008648649201E-2</v>
      </c>
    </row>
    <row r="8616" spans="1:9" x14ac:dyDescent="0.25">
      <c r="A8616">
        <v>379</v>
      </c>
      <c r="B8616" t="s">
        <v>2835</v>
      </c>
      <c r="C8616" t="s">
        <v>10</v>
      </c>
      <c r="D8616" t="s">
        <v>939</v>
      </c>
      <c r="E8616">
        <f t="shared" si="396"/>
        <v>3.0303030303030304E-2</v>
      </c>
      <c r="F8616">
        <v>35</v>
      </c>
      <c r="G8616">
        <f>LOG(382/(35+1))</f>
        <v>1.0257608621444214</v>
      </c>
      <c r="H8616">
        <f>0.0303030303030303*2.36190167015046</f>
        <v>7.1572777883347274E-2</v>
      </c>
      <c r="I8616">
        <v>7.1572777883347427E-2</v>
      </c>
    </row>
    <row r="8617" spans="1:9" x14ac:dyDescent="0.25">
      <c r="A8617">
        <v>379</v>
      </c>
      <c r="B8617" t="s">
        <v>2835</v>
      </c>
      <c r="C8617" t="s">
        <v>10</v>
      </c>
      <c r="D8617" t="s">
        <v>204</v>
      </c>
      <c r="E8617">
        <f t="shared" si="396"/>
        <v>3.0303030303030304E-2</v>
      </c>
      <c r="F8617">
        <v>166</v>
      </c>
      <c r="G8617">
        <f>LOG(382/(166+1))</f>
        <v>0.35934689176412549</v>
      </c>
      <c r="H8617">
        <f>0.0303030303030303*0.82742679618982</f>
        <v>2.5073539278479391E-2</v>
      </c>
      <c r="I8617">
        <v>2.5073539278479402E-2</v>
      </c>
    </row>
    <row r="8618" spans="1:9" x14ac:dyDescent="0.25">
      <c r="A8618">
        <v>379</v>
      </c>
      <c r="B8618" t="s">
        <v>2835</v>
      </c>
      <c r="C8618" t="s">
        <v>10</v>
      </c>
      <c r="D8618" t="s">
        <v>322</v>
      </c>
      <c r="E8618">
        <f t="shared" si="396"/>
        <v>3.0303030303030304E-2</v>
      </c>
      <c r="F8618">
        <v>128</v>
      </c>
      <c r="G8618">
        <f>LOG(382/(128+1))</f>
        <v>0.47147365261245977</v>
      </c>
      <c r="H8618">
        <f>0.0303030303030303*1.0856082042449</f>
        <v>3.2897218310451511E-2</v>
      </c>
      <c r="I8618">
        <v>3.2897218310451608E-2</v>
      </c>
    </row>
    <row r="8619" spans="1:9" x14ac:dyDescent="0.25">
      <c r="A8619">
        <v>379</v>
      </c>
      <c r="B8619" t="s">
        <v>2835</v>
      </c>
      <c r="C8619" t="s">
        <v>10</v>
      </c>
      <c r="D8619" t="s">
        <v>1083</v>
      </c>
      <c r="E8619">
        <f t="shared" si="396"/>
        <v>3.0303030303030304E-2</v>
      </c>
      <c r="F8619">
        <v>51</v>
      </c>
      <c r="G8619">
        <f>LOG(382/(51+1))</f>
        <v>0.86606001927690957</v>
      </c>
      <c r="H8619">
        <f>0.0303030303030303*1.99417689002514</f>
        <v>6.0429602728034541E-2</v>
      </c>
      <c r="I8619">
        <v>6.0429602728034777E-2</v>
      </c>
    </row>
    <row r="8620" spans="1:9" x14ac:dyDescent="0.25">
      <c r="A8620">
        <v>379</v>
      </c>
      <c r="B8620" t="s">
        <v>2835</v>
      </c>
      <c r="C8620" t="s">
        <v>10</v>
      </c>
      <c r="D8620" t="s">
        <v>593</v>
      </c>
      <c r="E8620">
        <f t="shared" si="396"/>
        <v>3.0303030303030304E-2</v>
      </c>
      <c r="F8620">
        <v>30</v>
      </c>
      <c r="G8620">
        <f>LOG(382/(30+1))</f>
        <v>1.090701669077436</v>
      </c>
      <c r="H8620">
        <f>0.0303030303030303*2.51143340412142</f>
        <v>7.6104042549133943E-2</v>
      </c>
      <c r="I8620">
        <v>7.6104042549134221E-2</v>
      </c>
    </row>
    <row r="8621" spans="1:9" x14ac:dyDescent="0.25">
      <c r="A8621">
        <v>379</v>
      </c>
      <c r="B8621" t="s">
        <v>2835</v>
      </c>
      <c r="C8621" t="s">
        <v>10</v>
      </c>
      <c r="D8621" t="s">
        <v>594</v>
      </c>
      <c r="E8621">
        <f t="shared" si="396"/>
        <v>3.0303030303030304E-2</v>
      </c>
      <c r="F8621">
        <v>36</v>
      </c>
      <c r="G8621">
        <f>LOG(382/(36+1))</f>
        <v>1.0138616388447137</v>
      </c>
      <c r="H8621">
        <f>0.0303030303030303*2.33450269596235</f>
        <v>7.0742505938253028E-2</v>
      </c>
      <c r="I8621">
        <v>7.0742505938253056E-2</v>
      </c>
    </row>
    <row r="8622" spans="1:9" x14ac:dyDescent="0.25">
      <c r="A8622">
        <v>379</v>
      </c>
      <c r="B8622" t="s">
        <v>2835</v>
      </c>
      <c r="C8622" t="s">
        <v>10</v>
      </c>
      <c r="D8622" t="s">
        <v>216</v>
      </c>
      <c r="E8622">
        <f t="shared" si="396"/>
        <v>3.0303030303030304E-2</v>
      </c>
      <c r="F8622">
        <v>63</v>
      </c>
      <c r="G8622">
        <f>LOG(382/(63+1))</f>
        <v>0.7758833889278216</v>
      </c>
      <c r="H8622">
        <f>0.0303030303030303*1.7865375252469</f>
        <v>5.4137500765057571E-2</v>
      </c>
      <c r="I8622">
        <v>5.4137500765057682E-2</v>
      </c>
    </row>
    <row r="8623" spans="1:9" x14ac:dyDescent="0.25">
      <c r="A8623">
        <v>380</v>
      </c>
      <c r="B8623" t="s">
        <v>2840</v>
      </c>
      <c r="C8623" t="s">
        <v>10</v>
      </c>
      <c r="D8623" t="s">
        <v>2841</v>
      </c>
      <c r="E8623">
        <f>3/27</f>
        <v>0.1111111111111111</v>
      </c>
      <c r="F8623">
        <v>2</v>
      </c>
      <c r="G8623">
        <f>LOG(382/(2+1))</f>
        <v>2.1049421081920463</v>
      </c>
      <c r="H8623">
        <f>0.111111111111111*4.84680831993846</f>
        <v>0.53853425777093944</v>
      </c>
      <c r="I8623">
        <v>0.53853425777094055</v>
      </c>
    </row>
    <row r="8624" spans="1:9" x14ac:dyDescent="0.25">
      <c r="A8624">
        <v>380</v>
      </c>
      <c r="B8624" t="s">
        <v>2840</v>
      </c>
      <c r="C8624" t="s">
        <v>10</v>
      </c>
      <c r="D8624" t="s">
        <v>38</v>
      </c>
      <c r="E8624">
        <f>1/27</f>
        <v>3.7037037037037035E-2</v>
      </c>
      <c r="F8624">
        <v>86</v>
      </c>
      <c r="G8624">
        <f>LOG(382/(86+1))</f>
        <v>0.64254411029309022</v>
      </c>
      <c r="H8624">
        <f>0.037037037037037*1.47951248995199</f>
        <v>5.4796758887110684E-2</v>
      </c>
      <c r="I8624">
        <v>5.4796758887110789E-2</v>
      </c>
    </row>
    <row r="8625" spans="1:9" x14ac:dyDescent="0.25">
      <c r="A8625">
        <v>380</v>
      </c>
      <c r="B8625" t="s">
        <v>2840</v>
      </c>
      <c r="C8625" t="s">
        <v>10</v>
      </c>
      <c r="D8625" t="s">
        <v>1104</v>
      </c>
      <c r="E8625">
        <f>1/27</f>
        <v>3.7037037037037035E-2</v>
      </c>
      <c r="F8625">
        <v>3</v>
      </c>
      <c r="G8625">
        <f>LOG(382/(3+1))</f>
        <v>1.9800033715837464</v>
      </c>
      <c r="H8625">
        <f>0.037037037037037*4.55912624748668</f>
        <v>0.1688565276846917</v>
      </c>
      <c r="I8625">
        <v>0.168856527684692</v>
      </c>
    </row>
    <row r="8626" spans="1:9" x14ac:dyDescent="0.25">
      <c r="A8626">
        <v>380</v>
      </c>
      <c r="B8626" t="s">
        <v>2840</v>
      </c>
      <c r="C8626" t="s">
        <v>10</v>
      </c>
      <c r="D8626" t="s">
        <v>244</v>
      </c>
      <c r="E8626">
        <f>1/27</f>
        <v>3.7037037037037035E-2</v>
      </c>
      <c r="F8626">
        <v>8</v>
      </c>
      <c r="G8626">
        <f>LOG(382/(8+1))</f>
        <v>1.6278208534723839</v>
      </c>
      <c r="H8626">
        <f>0.037037037037037*3.74819603127035</f>
        <v>0.13882207523223505</v>
      </c>
      <c r="I8626">
        <v>0.13882207523223539</v>
      </c>
    </row>
    <row r="8627" spans="1:9" x14ac:dyDescent="0.25">
      <c r="A8627">
        <v>380</v>
      </c>
      <c r="B8627" t="s">
        <v>2840</v>
      </c>
      <c r="C8627" t="s">
        <v>10</v>
      </c>
      <c r="D8627" t="s">
        <v>245</v>
      </c>
      <c r="E8627">
        <f>2/27</f>
        <v>7.407407407407407E-2</v>
      </c>
      <c r="F8627">
        <v>11</v>
      </c>
      <c r="G8627">
        <f>LOG(382/(11+1))</f>
        <v>1.5028821168640838</v>
      </c>
      <c r="H8627">
        <f>0.074074074074074*3.46051395881857</f>
        <v>0.25633436731989384</v>
      </c>
      <c r="I8627">
        <v>0.25633436731989451</v>
      </c>
    </row>
    <row r="8628" spans="1:9" x14ac:dyDescent="0.25">
      <c r="A8628">
        <v>380</v>
      </c>
      <c r="B8628" t="s">
        <v>2840</v>
      </c>
      <c r="C8628" t="s">
        <v>10</v>
      </c>
      <c r="D8628" t="s">
        <v>41</v>
      </c>
      <c r="E8628">
        <f>2/27</f>
        <v>7.407407407407407E-2</v>
      </c>
      <c r="F8628">
        <v>195</v>
      </c>
      <c r="G8628">
        <f>LOG(382/(195+1))</f>
        <v>0.28980729155523272</v>
      </c>
      <c r="H8628">
        <f>0.074074074074074*0.667305949376058</f>
        <v>4.9430070324152399E-2</v>
      </c>
      <c r="I8628">
        <v>4.9430070324152441E-2</v>
      </c>
    </row>
    <row r="8629" spans="1:9" x14ac:dyDescent="0.25">
      <c r="A8629">
        <v>380</v>
      </c>
      <c r="B8629" t="s">
        <v>2840</v>
      </c>
      <c r="C8629" t="s">
        <v>10</v>
      </c>
      <c r="D8629" t="s">
        <v>19</v>
      </c>
      <c r="E8629">
        <f t="shared" ref="E8629:E8645" si="397">1/27</f>
        <v>3.7037037037037035E-2</v>
      </c>
      <c r="F8629">
        <v>220</v>
      </c>
      <c r="G8629">
        <f>LOG(382/(220+1))</f>
        <v>0.23767108922659805</v>
      </c>
      <c r="H8629">
        <f>0.037037037037037*0.547257907088822</f>
        <v>2.0268811373660055E-2</v>
      </c>
      <c r="I8629">
        <v>2.026881137366009E-2</v>
      </c>
    </row>
    <row r="8630" spans="1:9" x14ac:dyDescent="0.25">
      <c r="A8630">
        <v>380</v>
      </c>
      <c r="B8630" t="s">
        <v>2840</v>
      </c>
      <c r="C8630" t="s">
        <v>10</v>
      </c>
      <c r="D8630" t="s">
        <v>808</v>
      </c>
      <c r="E8630">
        <f t="shared" si="397"/>
        <v>3.7037037037037035E-2</v>
      </c>
      <c r="F8630">
        <v>20</v>
      </c>
      <c r="G8630">
        <f>LOG(382/(20+1))</f>
        <v>1.2598440681777894</v>
      </c>
      <c r="H8630">
        <f>0.037037037037037*2.90089817088315</f>
        <v>0.10744067299567212</v>
      </c>
      <c r="I8630">
        <v>0.1074406729956723</v>
      </c>
    </row>
    <row r="8631" spans="1:9" x14ac:dyDescent="0.25">
      <c r="A8631">
        <v>380</v>
      </c>
      <c r="B8631" t="s">
        <v>2840</v>
      </c>
      <c r="C8631" t="s">
        <v>10</v>
      </c>
      <c r="D8631" t="s">
        <v>809</v>
      </c>
      <c r="E8631">
        <f t="shared" si="397"/>
        <v>3.7037037037037035E-2</v>
      </c>
      <c r="F8631">
        <v>19</v>
      </c>
      <c r="G8631">
        <f>LOG(382/(19+1))</f>
        <v>1.2810333672477277</v>
      </c>
      <c r="H8631">
        <f>0.037037037037037*2.94968833505258</f>
        <v>0.1092477161130584</v>
      </c>
      <c r="I8631">
        <v>0.1092477161130587</v>
      </c>
    </row>
    <row r="8632" spans="1:9" x14ac:dyDescent="0.25">
      <c r="A8632">
        <v>380</v>
      </c>
      <c r="B8632" t="s">
        <v>2840</v>
      </c>
      <c r="C8632" t="s">
        <v>10</v>
      </c>
      <c r="D8632" t="s">
        <v>404</v>
      </c>
      <c r="E8632">
        <f t="shared" si="397"/>
        <v>3.7037037037037035E-2</v>
      </c>
      <c r="F8632">
        <v>22</v>
      </c>
      <c r="G8632">
        <f>LOG(382/(22+1))</f>
        <v>1.2203355268941158</v>
      </c>
      <c r="H8632">
        <f>0.037037037037037*2.80992639267742</f>
        <v>0.10407134787694138</v>
      </c>
      <c r="I8632">
        <v>0.10407134787694169</v>
      </c>
    </row>
    <row r="8633" spans="1:9" x14ac:dyDescent="0.25">
      <c r="A8633">
        <v>380</v>
      </c>
      <c r="B8633" t="s">
        <v>2840</v>
      </c>
      <c r="C8633" t="s">
        <v>10</v>
      </c>
      <c r="D8633" t="s">
        <v>39</v>
      </c>
      <c r="E8633">
        <f t="shared" si="397"/>
        <v>3.7037037037037035E-2</v>
      </c>
      <c r="F8633">
        <v>145</v>
      </c>
      <c r="G8633">
        <f>LOG(382/(145+1))</f>
        <v>0.41771050712727159</v>
      </c>
      <c r="H8633">
        <f>0.037037037037037*0.961813986898238</f>
        <v>3.5622740255490261E-2</v>
      </c>
      <c r="I8633">
        <v>3.5622740255490323E-2</v>
      </c>
    </row>
    <row r="8634" spans="1:9" x14ac:dyDescent="0.25">
      <c r="A8634">
        <v>380</v>
      </c>
      <c r="B8634" t="s">
        <v>2840</v>
      </c>
      <c r="C8634" t="s">
        <v>10</v>
      </c>
      <c r="D8634" t="s">
        <v>183</v>
      </c>
      <c r="E8634">
        <f t="shared" si="397"/>
        <v>3.7037037037037035E-2</v>
      </c>
      <c r="F8634">
        <v>46</v>
      </c>
      <c r="G8634">
        <f>LOG(382/(46+1))</f>
        <v>0.90996550497599127</v>
      </c>
      <c r="H8634">
        <f>0.037037037037037*2.09527300689651</f>
        <v>7.7602703959129923E-2</v>
      </c>
      <c r="I8634">
        <v>7.7602703959130229E-2</v>
      </c>
    </row>
    <row r="8635" spans="1:9" x14ac:dyDescent="0.25">
      <c r="A8635">
        <v>380</v>
      </c>
      <c r="B8635" t="s">
        <v>2840</v>
      </c>
      <c r="C8635" t="s">
        <v>10</v>
      </c>
      <c r="D8635" t="s">
        <v>117</v>
      </c>
      <c r="E8635">
        <f t="shared" si="397"/>
        <v>3.7037037037037035E-2</v>
      </c>
      <c r="F8635">
        <v>8</v>
      </c>
      <c r="G8635">
        <f>LOG(382/(8+1))</f>
        <v>1.6278208534723839</v>
      </c>
      <c r="H8635">
        <f>0.037037037037037*3.74819603127035</f>
        <v>0.13882207523223505</v>
      </c>
      <c r="I8635">
        <v>0.13882207523223539</v>
      </c>
    </row>
    <row r="8636" spans="1:9" x14ac:dyDescent="0.25">
      <c r="A8636">
        <v>380</v>
      </c>
      <c r="B8636" t="s">
        <v>2840</v>
      </c>
      <c r="C8636" t="s">
        <v>10</v>
      </c>
      <c r="D8636" t="s">
        <v>2842</v>
      </c>
      <c r="E8636">
        <f t="shared" si="397"/>
        <v>3.7037037037037035E-2</v>
      </c>
      <c r="F8636">
        <v>1</v>
      </c>
      <c r="G8636">
        <f>LOG(382/(1+1))</f>
        <v>2.2810333672477277</v>
      </c>
      <c r="H8636">
        <f>0.037037037037037*5.25227342804663</f>
        <v>0.19452864548320833</v>
      </c>
      <c r="I8636">
        <v>0.1945286454832085</v>
      </c>
    </row>
    <row r="8637" spans="1:9" x14ac:dyDescent="0.25">
      <c r="A8637">
        <v>380</v>
      </c>
      <c r="B8637" t="s">
        <v>2840</v>
      </c>
      <c r="C8637" t="s">
        <v>10</v>
      </c>
      <c r="D8637" t="s">
        <v>2843</v>
      </c>
      <c r="E8637">
        <f t="shared" si="397"/>
        <v>3.7037037037037035E-2</v>
      </c>
      <c r="F8637">
        <v>2</v>
      </c>
      <c r="G8637">
        <f>LOG(382/(2+1))</f>
        <v>2.1049421081920463</v>
      </c>
      <c r="H8637">
        <f>0.037037037037037*4.84680831993846</f>
        <v>0.17951141925697983</v>
      </c>
      <c r="I8637">
        <v>0.17951141925698019</v>
      </c>
    </row>
    <row r="8638" spans="1:9" x14ac:dyDescent="0.25">
      <c r="A8638">
        <v>380</v>
      </c>
      <c r="B8638" t="s">
        <v>2840</v>
      </c>
      <c r="C8638" t="s">
        <v>10</v>
      </c>
      <c r="D8638" t="s">
        <v>545</v>
      </c>
      <c r="E8638">
        <f t="shared" si="397"/>
        <v>3.7037037037037035E-2</v>
      </c>
      <c r="F8638">
        <v>6</v>
      </c>
      <c r="G8638">
        <f>LOG(382/(6+1))</f>
        <v>1.736965322897452</v>
      </c>
      <c r="H8638">
        <f>0.037037037037037*3.99951045955126</f>
        <v>0.14813001702041689</v>
      </c>
      <c r="I8638">
        <v>0.14813001702041709</v>
      </c>
    </row>
    <row r="8639" spans="1:9" x14ac:dyDescent="0.25">
      <c r="A8639">
        <v>380</v>
      </c>
      <c r="B8639" t="s">
        <v>2840</v>
      </c>
      <c r="C8639" t="s">
        <v>10</v>
      </c>
      <c r="D8639" t="s">
        <v>1578</v>
      </c>
      <c r="E8639">
        <f t="shared" si="397"/>
        <v>3.7037037037037035E-2</v>
      </c>
      <c r="F8639">
        <v>8</v>
      </c>
      <c r="G8639">
        <f>LOG(382/(8+1))</f>
        <v>1.6278208534723839</v>
      </c>
      <c r="H8639">
        <f>0.037037037037037*3.74819603127035</f>
        <v>0.13882207523223505</v>
      </c>
      <c r="I8639">
        <v>0.13882207523223539</v>
      </c>
    </row>
    <row r="8640" spans="1:9" x14ac:dyDescent="0.25">
      <c r="A8640">
        <v>380</v>
      </c>
      <c r="B8640" t="s">
        <v>2840</v>
      </c>
      <c r="C8640" t="s">
        <v>10</v>
      </c>
      <c r="D8640" t="s">
        <v>726</v>
      </c>
      <c r="E8640">
        <f t="shared" si="397"/>
        <v>3.7037037037037035E-2</v>
      </c>
      <c r="F8640">
        <v>37</v>
      </c>
      <c r="G8640">
        <f>LOG(382/(37+1))</f>
        <v>1.0022797662948986</v>
      </c>
      <c r="H8640">
        <f>0.037037037037037*2.30783444888018</f>
        <v>8.5475349958525099E-2</v>
      </c>
      <c r="I8640">
        <v>8.5475349958525515E-2</v>
      </c>
    </row>
    <row r="8641" spans="1:9" x14ac:dyDescent="0.25">
      <c r="A8641">
        <v>380</v>
      </c>
      <c r="B8641" t="s">
        <v>2840</v>
      </c>
      <c r="C8641" t="s">
        <v>10</v>
      </c>
      <c r="D8641" t="s">
        <v>1579</v>
      </c>
      <c r="E8641">
        <f t="shared" si="397"/>
        <v>3.7037037037037035E-2</v>
      </c>
      <c r="F8641">
        <v>6</v>
      </c>
      <c r="G8641">
        <f>LOG(382/(6+1))</f>
        <v>1.736965322897452</v>
      </c>
      <c r="H8641">
        <f>0.037037037037037*3.99951045955126</f>
        <v>0.14813001702041689</v>
      </c>
      <c r="I8641">
        <v>0.14813001702041709</v>
      </c>
    </row>
    <row r="8642" spans="1:9" x14ac:dyDescent="0.25">
      <c r="A8642">
        <v>380</v>
      </c>
      <c r="B8642" t="s">
        <v>2840</v>
      </c>
      <c r="C8642" t="s">
        <v>10</v>
      </c>
      <c r="D8642" t="s">
        <v>31</v>
      </c>
      <c r="E8642">
        <f t="shared" si="397"/>
        <v>3.7037037037037035E-2</v>
      </c>
      <c r="F8642">
        <v>31</v>
      </c>
      <c r="G8642">
        <f>LOG(382/(31+1))</f>
        <v>1.0769133845918029</v>
      </c>
      <c r="H8642">
        <f>0.037037037037037*2.47968470580684</f>
        <v>9.1840174289142124E-2</v>
      </c>
      <c r="I8642">
        <v>9.184017428914254E-2</v>
      </c>
    </row>
    <row r="8643" spans="1:9" x14ac:dyDescent="0.25">
      <c r="A8643">
        <v>380</v>
      </c>
      <c r="B8643" t="s">
        <v>2840</v>
      </c>
      <c r="C8643" t="s">
        <v>10</v>
      </c>
      <c r="D8643" t="s">
        <v>2844</v>
      </c>
      <c r="E8643">
        <f t="shared" si="397"/>
        <v>3.7037037037037035E-2</v>
      </c>
      <c r="F8643">
        <v>1</v>
      </c>
      <c r="G8643">
        <f>LOG(382/(1+1))</f>
        <v>2.2810333672477277</v>
      </c>
      <c r="H8643">
        <f>0.037037037037037*5.25227342804663</f>
        <v>0.19452864548320833</v>
      </c>
      <c r="I8643">
        <v>0.1945286454832085</v>
      </c>
    </row>
    <row r="8644" spans="1:9" x14ac:dyDescent="0.25">
      <c r="A8644">
        <v>380</v>
      </c>
      <c r="B8644" t="s">
        <v>2840</v>
      </c>
      <c r="C8644" t="s">
        <v>10</v>
      </c>
      <c r="D8644" t="s">
        <v>1708</v>
      </c>
      <c r="E8644">
        <f t="shared" si="397"/>
        <v>3.7037037037037035E-2</v>
      </c>
      <c r="F8644">
        <v>7</v>
      </c>
      <c r="G8644">
        <f>LOG(382/(7+1))</f>
        <v>1.6789733759197651</v>
      </c>
      <c r="H8644">
        <f>0.037037037037037*3.86597906692673</f>
        <v>0.14318440988617506</v>
      </c>
      <c r="I8644">
        <v>0.14318440988617551</v>
      </c>
    </row>
    <row r="8645" spans="1:9" x14ac:dyDescent="0.25">
      <c r="A8645">
        <v>380</v>
      </c>
      <c r="B8645" t="s">
        <v>2840</v>
      </c>
      <c r="C8645" t="s">
        <v>10</v>
      </c>
      <c r="D8645" t="s">
        <v>2845</v>
      </c>
      <c r="E8645">
        <f t="shared" si="397"/>
        <v>3.7037037037037035E-2</v>
      </c>
      <c r="F8645">
        <v>1</v>
      </c>
      <c r="G8645">
        <f>LOG(382/(1+1))</f>
        <v>2.2810333672477277</v>
      </c>
      <c r="H8645">
        <f>0.037037037037037*5.25227342804663</f>
        <v>0.19452864548320833</v>
      </c>
      <c r="I8645">
        <v>0.1945286454832085</v>
      </c>
    </row>
    <row r="8646" spans="1:9" x14ac:dyDescent="0.25">
      <c r="A8646">
        <v>381</v>
      </c>
      <c r="B8646" t="s">
        <v>2846</v>
      </c>
      <c r="C8646" t="s">
        <v>10</v>
      </c>
      <c r="D8646" t="s">
        <v>36</v>
      </c>
      <c r="E8646">
        <f>4/119</f>
        <v>3.3613445378151259E-2</v>
      </c>
      <c r="F8646">
        <v>58</v>
      </c>
      <c r="G8646">
        <f>LOG(382/(58+1))</f>
        <v>0.81121135126956456</v>
      </c>
      <c r="H8646">
        <f>0.0336134453781512*1.86788316470085</f>
        <v>6.2785988729440217E-2</v>
      </c>
      <c r="I8646">
        <v>6.2785988729440523E-2</v>
      </c>
    </row>
    <row r="8647" spans="1:9" x14ac:dyDescent="0.25">
      <c r="A8647">
        <v>381</v>
      </c>
      <c r="B8647" t="s">
        <v>2846</v>
      </c>
      <c r="C8647" t="s">
        <v>10</v>
      </c>
      <c r="D8647" t="s">
        <v>603</v>
      </c>
      <c r="E8647">
        <f>3/119</f>
        <v>2.5210084033613446E-2</v>
      </c>
      <c r="F8647">
        <v>4</v>
      </c>
      <c r="G8647">
        <f>LOG(382/(4+1))</f>
        <v>1.8830933585756899</v>
      </c>
      <c r="H8647">
        <f>0.0252100840336134*4.33598269617247</f>
        <v>0.10931048813880158</v>
      </c>
      <c r="I8647">
        <v>0.1093104881388019</v>
      </c>
    </row>
    <row r="8648" spans="1:9" x14ac:dyDescent="0.25">
      <c r="A8648">
        <v>381</v>
      </c>
      <c r="B8648" t="s">
        <v>2846</v>
      </c>
      <c r="C8648" t="s">
        <v>10</v>
      </c>
      <c r="D8648" t="s">
        <v>42</v>
      </c>
      <c r="E8648">
        <f>1/119</f>
        <v>8.4033613445378148E-3</v>
      </c>
      <c r="F8648">
        <v>251</v>
      </c>
      <c r="G8648">
        <f>LOG(382/(251+1))</f>
        <v>0.18066282213016463</v>
      </c>
      <c r="H8648">
        <f>0.00840336134453781*0.415991521095151</f>
        <v>3.4957270680264765E-3</v>
      </c>
      <c r="I8648">
        <v>3.495727068026486E-3</v>
      </c>
    </row>
    <row r="8649" spans="1:9" x14ac:dyDescent="0.25">
      <c r="A8649">
        <v>381</v>
      </c>
      <c r="B8649" t="s">
        <v>2846</v>
      </c>
      <c r="C8649" t="s">
        <v>10</v>
      </c>
      <c r="D8649" t="s">
        <v>2847</v>
      </c>
      <c r="E8649">
        <f>1/119</f>
        <v>8.4033613445378148E-3</v>
      </c>
      <c r="F8649">
        <v>1</v>
      </c>
      <c r="G8649">
        <f>LOG(382/(1+1))</f>
        <v>2.2810333672477277</v>
      </c>
      <c r="H8649">
        <f>0.00840336134453781*5.25227342804663</f>
        <v>4.4136751496190139E-2</v>
      </c>
      <c r="I8649">
        <v>4.4136751496190167E-2</v>
      </c>
    </row>
    <row r="8650" spans="1:9" x14ac:dyDescent="0.25">
      <c r="A8650">
        <v>381</v>
      </c>
      <c r="B8650" t="s">
        <v>2846</v>
      </c>
      <c r="C8650" t="s">
        <v>10</v>
      </c>
      <c r="D8650" t="s">
        <v>920</v>
      </c>
      <c r="E8650">
        <f>3/119</f>
        <v>2.5210084033613446E-2</v>
      </c>
      <c r="F8650">
        <v>30</v>
      </c>
      <c r="G8650">
        <f>LOG(382/(30+1))</f>
        <v>1.090701669077436</v>
      </c>
      <c r="H8650">
        <f>0.0252100840336134*2.51143340412142</f>
        <v>6.3313447162724759E-2</v>
      </c>
      <c r="I8650">
        <v>6.3313447162725106E-2</v>
      </c>
    </row>
    <row r="8651" spans="1:9" x14ac:dyDescent="0.25">
      <c r="A8651">
        <v>381</v>
      </c>
      <c r="B8651" t="s">
        <v>2846</v>
      </c>
      <c r="C8651" t="s">
        <v>10</v>
      </c>
      <c r="D8651" t="s">
        <v>19</v>
      </c>
      <c r="E8651">
        <f>1/119</f>
        <v>8.4033613445378148E-3</v>
      </c>
      <c r="F8651">
        <v>220</v>
      </c>
      <c r="G8651">
        <f>LOG(382/(220+1))</f>
        <v>0.23767108922659805</v>
      </c>
      <c r="H8651">
        <f>0.00840336134453781*0.547257907088822</f>
        <v>4.5988059419228714E-3</v>
      </c>
      <c r="I8651">
        <v>4.5988059419228766E-3</v>
      </c>
    </row>
    <row r="8652" spans="1:9" x14ac:dyDescent="0.25">
      <c r="A8652">
        <v>381</v>
      </c>
      <c r="B8652" t="s">
        <v>2846</v>
      </c>
      <c r="C8652" t="s">
        <v>10</v>
      </c>
      <c r="D8652" t="s">
        <v>44</v>
      </c>
      <c r="E8652">
        <f>1/119</f>
        <v>8.4033613445378148E-3</v>
      </c>
      <c r="F8652">
        <v>151</v>
      </c>
      <c r="G8652">
        <f>LOG(382/(151+1))</f>
        <v>0.40021977496693617</v>
      </c>
      <c r="H8652">
        <f>0.00840336134453781*0.921540087760298</f>
        <v>7.7440343509268695E-3</v>
      </c>
      <c r="I8652">
        <v>7.7440343509268799E-3</v>
      </c>
    </row>
    <row r="8653" spans="1:9" x14ac:dyDescent="0.25">
      <c r="A8653">
        <v>381</v>
      </c>
      <c r="B8653" t="s">
        <v>2846</v>
      </c>
      <c r="C8653" t="s">
        <v>10</v>
      </c>
      <c r="D8653" t="s">
        <v>22</v>
      </c>
      <c r="E8653">
        <f>1/119</f>
        <v>8.4033613445378148E-3</v>
      </c>
      <c r="F8653">
        <v>259</v>
      </c>
      <c r="G8653">
        <f>LOG(382/(259+1))</f>
        <v>0.16709001494089079</v>
      </c>
      <c r="H8653">
        <f>0.00840336134453781*0.384738977591047</f>
        <v>3.2331006520256033E-3</v>
      </c>
      <c r="I8653">
        <v>3.2331006520256089E-3</v>
      </c>
    </row>
    <row r="8654" spans="1:9" x14ac:dyDescent="0.25">
      <c r="A8654">
        <v>381</v>
      </c>
      <c r="B8654" t="s">
        <v>2846</v>
      </c>
      <c r="C8654" t="s">
        <v>10</v>
      </c>
      <c r="D8654" t="s">
        <v>23</v>
      </c>
      <c r="E8654">
        <f>1/119</f>
        <v>8.4033613445378148E-3</v>
      </c>
      <c r="F8654">
        <v>275</v>
      </c>
      <c r="G8654">
        <f>LOG(382/(275+1))</f>
        <v>0.14115428084649101</v>
      </c>
      <c r="H8654">
        <f>0.00840336134453781*0.325019742889425</f>
        <v>2.7312583436086115E-3</v>
      </c>
      <c r="I8654">
        <v>2.7312583436086149E-3</v>
      </c>
    </row>
    <row r="8655" spans="1:9" x14ac:dyDescent="0.25">
      <c r="A8655">
        <v>381</v>
      </c>
      <c r="B8655" t="s">
        <v>2846</v>
      </c>
      <c r="C8655" t="s">
        <v>10</v>
      </c>
      <c r="D8655" t="s">
        <v>204</v>
      </c>
      <c r="E8655">
        <f>1/119</f>
        <v>8.4033613445378148E-3</v>
      </c>
      <c r="F8655">
        <v>166</v>
      </c>
      <c r="G8655">
        <f>LOG(382/(166+1))</f>
        <v>0.35934689176412549</v>
      </c>
      <c r="H8655">
        <f>0.00840336134453781*0.82742679618982</f>
        <v>6.9531663545362972E-3</v>
      </c>
      <c r="I8655">
        <v>6.9531663545363024E-3</v>
      </c>
    </row>
    <row r="8656" spans="1:9" x14ac:dyDescent="0.25">
      <c r="A8656">
        <v>381</v>
      </c>
      <c r="B8656" t="s">
        <v>2846</v>
      </c>
      <c r="C8656" t="s">
        <v>10</v>
      </c>
      <c r="D8656" t="s">
        <v>76</v>
      </c>
      <c r="E8656">
        <f>4/119</f>
        <v>3.3613445378151259E-2</v>
      </c>
      <c r="F8656">
        <v>140</v>
      </c>
      <c r="G8656">
        <f>LOG(382/(140+1))</f>
        <v>0.43284425025632883</v>
      </c>
      <c r="H8656">
        <f>0.0336134453781512*0.996660718228407</f>
        <v>3.3501200612719495E-2</v>
      </c>
      <c r="I8656">
        <v>3.3501200612719557E-2</v>
      </c>
    </row>
    <row r="8657" spans="1:9" x14ac:dyDescent="0.25">
      <c r="A8657">
        <v>381</v>
      </c>
      <c r="B8657" t="s">
        <v>2846</v>
      </c>
      <c r="C8657" t="s">
        <v>10</v>
      </c>
      <c r="D8657" t="s">
        <v>1067</v>
      </c>
      <c r="E8657">
        <f>1/119</f>
        <v>8.4033613445378148E-3</v>
      </c>
      <c r="F8657">
        <v>9</v>
      </c>
      <c r="G8657">
        <f>LOG(382/(9+1))</f>
        <v>1.5820633629117087</v>
      </c>
      <c r="H8657">
        <f>0.00840336134453781*3.64283551561252</f>
        <v>3.0612063156407712E-2</v>
      </c>
      <c r="I8657">
        <v>3.0612063156407809E-2</v>
      </c>
    </row>
    <row r="8658" spans="1:9" x14ac:dyDescent="0.25">
      <c r="A8658">
        <v>381</v>
      </c>
      <c r="B8658" t="s">
        <v>2846</v>
      </c>
      <c r="C8658" t="s">
        <v>10</v>
      </c>
      <c r="D8658" t="s">
        <v>40</v>
      </c>
      <c r="E8658">
        <f>3/119</f>
        <v>2.5210084033613446E-2</v>
      </c>
      <c r="F8658">
        <v>159</v>
      </c>
      <c r="G8658">
        <f>LOG(382/(159+1))</f>
        <v>0.377943380255784</v>
      </c>
      <c r="H8658">
        <f>0.0252100840336134*0.870246793372748</f>
        <v>2.1938994790909574E-2</v>
      </c>
      <c r="I8658">
        <v>2.1938994790909619E-2</v>
      </c>
    </row>
    <row r="8659" spans="1:9" x14ac:dyDescent="0.25">
      <c r="A8659">
        <v>381</v>
      </c>
      <c r="B8659" t="s">
        <v>2846</v>
      </c>
      <c r="C8659" t="s">
        <v>10</v>
      </c>
      <c r="D8659" t="s">
        <v>41</v>
      </c>
      <c r="E8659">
        <f>2/119</f>
        <v>1.680672268907563E-2</v>
      </c>
      <c r="F8659">
        <v>195</v>
      </c>
      <c r="G8659">
        <f>LOG(382/(195+1))</f>
        <v>0.28980729155523272</v>
      </c>
      <c r="H8659">
        <f>0.0168067226890756*0.667305949376058</f>
        <v>1.1215226039933726E-2</v>
      </c>
      <c r="I8659">
        <v>1.1215226039933751E-2</v>
      </c>
    </row>
    <row r="8660" spans="1:9" x14ac:dyDescent="0.25">
      <c r="A8660">
        <v>381</v>
      </c>
      <c r="B8660" t="s">
        <v>2846</v>
      </c>
      <c r="C8660" t="s">
        <v>10</v>
      </c>
      <c r="D8660" t="s">
        <v>26</v>
      </c>
      <c r="E8660">
        <f>2/119</f>
        <v>1.680672268907563E-2</v>
      </c>
      <c r="F8660">
        <v>40</v>
      </c>
      <c r="G8660">
        <f>LOG(382/(40+1))</f>
        <v>0.96927950619197323</v>
      </c>
      <c r="H8660">
        <f>0.0168067226890756*2.23184854190226</f>
        <v>3.7510059527769E-2</v>
      </c>
      <c r="I8660">
        <v>3.7510059527769188E-2</v>
      </c>
    </row>
    <row r="8661" spans="1:9" x14ac:dyDescent="0.25">
      <c r="A8661">
        <v>381</v>
      </c>
      <c r="B8661" t="s">
        <v>2846</v>
      </c>
      <c r="C8661" t="s">
        <v>10</v>
      </c>
      <c r="D8661" t="s">
        <v>38</v>
      </c>
      <c r="E8661">
        <f>2/119</f>
        <v>1.680672268907563E-2</v>
      </c>
      <c r="F8661">
        <v>86</v>
      </c>
      <c r="G8661">
        <f>LOG(382/(86+1))</f>
        <v>0.64254411029309022</v>
      </c>
      <c r="H8661">
        <f>0.0168067226890756*1.47951248995199</f>
        <v>2.4865756133646843E-2</v>
      </c>
      <c r="I8661">
        <v>2.4865756133646909E-2</v>
      </c>
    </row>
    <row r="8662" spans="1:9" x14ac:dyDescent="0.25">
      <c r="A8662">
        <v>381</v>
      </c>
      <c r="B8662" t="s">
        <v>2846</v>
      </c>
      <c r="C8662" t="s">
        <v>10</v>
      </c>
      <c r="D8662" t="s">
        <v>215</v>
      </c>
      <c r="E8662">
        <f>1/119</f>
        <v>8.4033613445378148E-3</v>
      </c>
      <c r="F8662">
        <v>25</v>
      </c>
      <c r="G8662">
        <f>LOG(382/(25+1))</f>
        <v>1.1670900149408907</v>
      </c>
      <c r="H8662">
        <f>0.00840336134453781*2.68732407058509</f>
        <v>2.258255521500074E-2</v>
      </c>
      <c r="I8662">
        <v>2.2582555215000778E-2</v>
      </c>
    </row>
    <row r="8663" spans="1:9" x14ac:dyDescent="0.25">
      <c r="A8663">
        <v>381</v>
      </c>
      <c r="B8663" t="s">
        <v>2846</v>
      </c>
      <c r="C8663" t="s">
        <v>10</v>
      </c>
      <c r="D8663" t="s">
        <v>216</v>
      </c>
      <c r="E8663">
        <f>2/119</f>
        <v>1.680672268907563E-2</v>
      </c>
      <c r="F8663">
        <v>63</v>
      </c>
      <c r="G8663">
        <f>LOG(382/(63+1))</f>
        <v>0.7758833889278216</v>
      </c>
      <c r="H8663">
        <f>0.0168067226890756*1.7865375252469</f>
        <v>3.0025840760452043E-2</v>
      </c>
      <c r="I8663">
        <v>3.0025840760452151E-2</v>
      </c>
    </row>
    <row r="8664" spans="1:9" x14ac:dyDescent="0.25">
      <c r="A8664">
        <v>381</v>
      </c>
      <c r="B8664" t="s">
        <v>2846</v>
      </c>
      <c r="C8664" t="s">
        <v>10</v>
      </c>
      <c r="D8664" t="s">
        <v>823</v>
      </c>
      <c r="E8664">
        <f>1/119</f>
        <v>8.4033613445378148E-3</v>
      </c>
      <c r="F8664">
        <v>45</v>
      </c>
      <c r="G8664">
        <f>LOG(382/(45+1))</f>
        <v>0.9193055312301347</v>
      </c>
      <c r="H8664">
        <f>0.00840336134453781*2.11677921211748</f>
        <v>1.7788060606029235E-2</v>
      </c>
      <c r="I8664">
        <v>1.7788060606029249E-2</v>
      </c>
    </row>
    <row r="8665" spans="1:9" x14ac:dyDescent="0.25">
      <c r="A8665">
        <v>381</v>
      </c>
      <c r="B8665" t="s">
        <v>2846</v>
      </c>
      <c r="C8665" t="s">
        <v>10</v>
      </c>
      <c r="D8665" t="s">
        <v>2848</v>
      </c>
      <c r="E8665">
        <f>1/119</f>
        <v>8.4033613445378148E-3</v>
      </c>
      <c r="F8665">
        <v>1</v>
      </c>
      <c r="G8665">
        <f>LOG(382/(1+1))</f>
        <v>2.2810333672477277</v>
      </c>
      <c r="H8665">
        <f>0.00840336134453781*5.25227342804663</f>
        <v>4.4136751496190139E-2</v>
      </c>
      <c r="I8665">
        <v>4.4136751496190167E-2</v>
      </c>
    </row>
    <row r="8666" spans="1:9" x14ac:dyDescent="0.25">
      <c r="A8666">
        <v>381</v>
      </c>
      <c r="B8666" t="s">
        <v>2846</v>
      </c>
      <c r="C8666" t="s">
        <v>10</v>
      </c>
      <c r="D8666" t="s">
        <v>576</v>
      </c>
      <c r="E8666">
        <f>3/119</f>
        <v>2.5210084033613446E-2</v>
      </c>
      <c r="F8666">
        <v>5</v>
      </c>
      <c r="G8666">
        <f>LOG(382/(5+1))</f>
        <v>1.803912112528065</v>
      </c>
      <c r="H8666">
        <f>0.0252100840336134*4.15366113937852</f>
        <v>0.10471414637088687</v>
      </c>
      <c r="I8666">
        <v>0.10471414637088711</v>
      </c>
    </row>
    <row r="8667" spans="1:9" x14ac:dyDescent="0.25">
      <c r="A8667">
        <v>381</v>
      </c>
      <c r="B8667" t="s">
        <v>2846</v>
      </c>
      <c r="C8667" t="s">
        <v>10</v>
      </c>
      <c r="D8667" t="s">
        <v>577</v>
      </c>
      <c r="E8667">
        <f>2/119</f>
        <v>1.680672268907563E-2</v>
      </c>
      <c r="F8667">
        <v>4</v>
      </c>
      <c r="G8667">
        <f>LOG(382/(4+1))</f>
        <v>1.8830933585756899</v>
      </c>
      <c r="H8667">
        <f>0.0168067226890756*4.33598269617247</f>
        <v>7.2873658759201043E-2</v>
      </c>
      <c r="I8667">
        <v>7.2873658759201251E-2</v>
      </c>
    </row>
    <row r="8668" spans="1:9" x14ac:dyDescent="0.25">
      <c r="A8668">
        <v>381</v>
      </c>
      <c r="B8668" t="s">
        <v>2846</v>
      </c>
      <c r="C8668" t="s">
        <v>10</v>
      </c>
      <c r="D8668" t="s">
        <v>675</v>
      </c>
      <c r="E8668">
        <f t="shared" ref="E8668:E8683" si="398">1/119</f>
        <v>8.4033613445378148E-3</v>
      </c>
      <c r="F8668">
        <v>10</v>
      </c>
      <c r="G8668">
        <f>LOG(382/(10+1))</f>
        <v>1.5406706777534838</v>
      </c>
      <c r="H8668">
        <f>0.00840336134453781*3.5475253358082</f>
        <v>2.9811137275699142E-2</v>
      </c>
      <c r="I8668">
        <v>2.9811137275699201E-2</v>
      </c>
    </row>
    <row r="8669" spans="1:9" x14ac:dyDescent="0.25">
      <c r="A8669">
        <v>381</v>
      </c>
      <c r="B8669" t="s">
        <v>2846</v>
      </c>
      <c r="C8669" t="s">
        <v>10</v>
      </c>
      <c r="D8669" t="s">
        <v>578</v>
      </c>
      <c r="E8669">
        <f t="shared" si="398"/>
        <v>8.4033613445378148E-3</v>
      </c>
      <c r="F8669">
        <v>4</v>
      </c>
      <c r="G8669">
        <f>LOG(382/(4+1))</f>
        <v>1.8830933585756899</v>
      </c>
      <c r="H8669">
        <f>0.00840336134453781*4.33598269617247</f>
        <v>3.643682937960057E-2</v>
      </c>
      <c r="I8669">
        <v>3.6436829379600633E-2</v>
      </c>
    </row>
    <row r="8670" spans="1:9" x14ac:dyDescent="0.25">
      <c r="A8670">
        <v>381</v>
      </c>
      <c r="B8670" t="s">
        <v>2846</v>
      </c>
      <c r="C8670" t="s">
        <v>10</v>
      </c>
      <c r="D8670" t="s">
        <v>1779</v>
      </c>
      <c r="E8670">
        <f t="shared" si="398"/>
        <v>8.4033613445378148E-3</v>
      </c>
      <c r="F8670">
        <v>41</v>
      </c>
      <c r="G8670">
        <f>LOG(382/(41+1))</f>
        <v>0.95881407251380824</v>
      </c>
      <c r="H8670">
        <f>0.00840336134453781*2.2077509903232</f>
        <v>1.855252933044705E-2</v>
      </c>
      <c r="I8670">
        <v>1.8552529330447119E-2</v>
      </c>
    </row>
    <row r="8671" spans="1:9" x14ac:dyDescent="0.25">
      <c r="A8671">
        <v>381</v>
      </c>
      <c r="B8671" t="s">
        <v>2846</v>
      </c>
      <c r="C8671" t="s">
        <v>10</v>
      </c>
      <c r="D8671" t="s">
        <v>28</v>
      </c>
      <c r="E8671">
        <f t="shared" si="398"/>
        <v>8.4033613445378148E-3</v>
      </c>
      <c r="F8671">
        <v>35</v>
      </c>
      <c r="G8671">
        <f>LOG(382/(35+1))</f>
        <v>1.0257608621444214</v>
      </c>
      <c r="H8671">
        <f>0.00840336134453781*2.36190167015046</f>
        <v>1.9847913194541669E-2</v>
      </c>
      <c r="I8671">
        <v>1.9847913194541721E-2</v>
      </c>
    </row>
    <row r="8672" spans="1:9" x14ac:dyDescent="0.25">
      <c r="A8672">
        <v>381</v>
      </c>
      <c r="B8672" t="s">
        <v>2846</v>
      </c>
      <c r="C8672" t="s">
        <v>10</v>
      </c>
      <c r="D8672" t="s">
        <v>994</v>
      </c>
      <c r="E8672">
        <f t="shared" si="398"/>
        <v>8.4033613445378148E-3</v>
      </c>
      <c r="F8672">
        <v>37</v>
      </c>
      <c r="G8672">
        <f>LOG(382/(37+1))</f>
        <v>1.0022797662948986</v>
      </c>
      <c r="H8672">
        <f>0.00840336134453781*2.30783444888018</f>
        <v>1.9393566797312422E-2</v>
      </c>
      <c r="I8672">
        <v>1.9393566797312509E-2</v>
      </c>
    </row>
    <row r="8673" spans="1:9" x14ac:dyDescent="0.25">
      <c r="A8673">
        <v>381</v>
      </c>
      <c r="B8673" t="s">
        <v>2846</v>
      </c>
      <c r="C8673" t="s">
        <v>10</v>
      </c>
      <c r="D8673" t="s">
        <v>2729</v>
      </c>
      <c r="E8673">
        <f t="shared" si="398"/>
        <v>8.4033613445378148E-3</v>
      </c>
      <c r="F8673">
        <v>2</v>
      </c>
      <c r="G8673">
        <f>LOG(382/(2+1))</f>
        <v>2.1049421081920463</v>
      </c>
      <c r="H8673">
        <f>0.00840336134453781*4.84680831993846</f>
        <v>4.0729481680155097E-2</v>
      </c>
      <c r="I8673">
        <v>4.0729481680155173E-2</v>
      </c>
    </row>
    <row r="8674" spans="1:9" x14ac:dyDescent="0.25">
      <c r="A8674">
        <v>381</v>
      </c>
      <c r="B8674" t="s">
        <v>2846</v>
      </c>
      <c r="C8674" t="s">
        <v>10</v>
      </c>
      <c r="D8674" t="s">
        <v>582</v>
      </c>
      <c r="E8674">
        <f t="shared" si="398"/>
        <v>8.4033613445378148E-3</v>
      </c>
      <c r="F8674">
        <v>14</v>
      </c>
      <c r="G8674">
        <f>LOG(382/(14+1))</f>
        <v>1.4059721038560276</v>
      </c>
      <c r="H8674">
        <f>0.00840336134453781*3.23737040750436</f>
        <v>2.7204793340372756E-2</v>
      </c>
      <c r="I8674">
        <v>2.7204793340372811E-2</v>
      </c>
    </row>
    <row r="8675" spans="1:9" x14ac:dyDescent="0.25">
      <c r="A8675">
        <v>381</v>
      </c>
      <c r="B8675" t="s">
        <v>2846</v>
      </c>
      <c r="C8675" t="s">
        <v>10</v>
      </c>
      <c r="D8675" t="s">
        <v>1076</v>
      </c>
      <c r="E8675">
        <f t="shared" si="398"/>
        <v>8.4033613445378148E-3</v>
      </c>
      <c r="F8675">
        <v>13</v>
      </c>
      <c r="G8675">
        <f>LOG(382/(13+1))</f>
        <v>1.4359353272334707</v>
      </c>
      <c r="H8675">
        <f>0.00840336134453781*3.30636327899131</f>
        <v>2.7784565369674857E-2</v>
      </c>
      <c r="I8675">
        <v>2.778456536967493E-2</v>
      </c>
    </row>
    <row r="8676" spans="1:9" x14ac:dyDescent="0.25">
      <c r="A8676">
        <v>381</v>
      </c>
      <c r="B8676" t="s">
        <v>2846</v>
      </c>
      <c r="C8676" t="s">
        <v>10</v>
      </c>
      <c r="D8676" t="s">
        <v>322</v>
      </c>
      <c r="E8676">
        <f t="shared" si="398"/>
        <v>8.4033613445378148E-3</v>
      </c>
      <c r="F8676">
        <v>128</v>
      </c>
      <c r="G8676">
        <f>LOG(382/(128+1))</f>
        <v>0.47147365261245977</v>
      </c>
      <c r="H8676">
        <f>0.00840336134453781*1.0856082042449</f>
        <v>9.1227580188646996E-3</v>
      </c>
      <c r="I8676">
        <v>9.1227580188647309E-3</v>
      </c>
    </row>
    <row r="8677" spans="1:9" x14ac:dyDescent="0.25">
      <c r="A8677">
        <v>381</v>
      </c>
      <c r="B8677" t="s">
        <v>2846</v>
      </c>
      <c r="C8677" t="s">
        <v>10</v>
      </c>
      <c r="D8677" t="s">
        <v>123</v>
      </c>
      <c r="E8677">
        <f t="shared" si="398"/>
        <v>8.4033613445378148E-3</v>
      </c>
      <c r="F8677">
        <v>74</v>
      </c>
      <c r="G8677">
        <f>LOG(382/(74+1))</f>
        <v>0.7070020995200087</v>
      </c>
      <c r="H8677">
        <f>0.00840336134453781*1.62793249507026</f>
        <v>1.3680105000590411E-2</v>
      </c>
      <c r="I8677">
        <v>1.368010500059046E-2</v>
      </c>
    </row>
    <row r="8678" spans="1:9" x14ac:dyDescent="0.25">
      <c r="A8678">
        <v>381</v>
      </c>
      <c r="B8678" t="s">
        <v>2846</v>
      </c>
      <c r="C8678" t="s">
        <v>10</v>
      </c>
      <c r="D8678" t="s">
        <v>106</v>
      </c>
      <c r="E8678">
        <f t="shared" si="398"/>
        <v>8.4033613445378148E-3</v>
      </c>
      <c r="F8678">
        <v>17</v>
      </c>
      <c r="G8678">
        <f>LOG(382/(17+1))</f>
        <v>1.3267908578084027</v>
      </c>
      <c r="H8678">
        <f>0.00840336134453781*3.05504885071041</f>
        <v>2.5672679417734521E-2</v>
      </c>
      <c r="I8678">
        <v>2.5672679417734542E-2</v>
      </c>
    </row>
    <row r="8679" spans="1:9" x14ac:dyDescent="0.25">
      <c r="A8679">
        <v>381</v>
      </c>
      <c r="B8679" t="s">
        <v>2846</v>
      </c>
      <c r="C8679" t="s">
        <v>10</v>
      </c>
      <c r="D8679" t="s">
        <v>2849</v>
      </c>
      <c r="E8679">
        <f t="shared" si="398"/>
        <v>8.4033613445378148E-3</v>
      </c>
      <c r="F8679">
        <v>1</v>
      </c>
      <c r="G8679">
        <f>LOG(382/(1+1))</f>
        <v>2.2810333672477277</v>
      </c>
      <c r="H8679">
        <f>0.00840336134453781*5.25227342804663</f>
        <v>4.4136751496190139E-2</v>
      </c>
      <c r="I8679">
        <v>4.4136751496190167E-2</v>
      </c>
    </row>
    <row r="8680" spans="1:9" x14ac:dyDescent="0.25">
      <c r="A8680">
        <v>381</v>
      </c>
      <c r="B8680" t="s">
        <v>2846</v>
      </c>
      <c r="C8680" t="s">
        <v>10</v>
      </c>
      <c r="D8680" t="s">
        <v>344</v>
      </c>
      <c r="E8680">
        <f t="shared" si="398"/>
        <v>8.4033613445378148E-3</v>
      </c>
      <c r="F8680">
        <v>6</v>
      </c>
      <c r="G8680">
        <f>LOG(382/(6+1))</f>
        <v>1.736965322897452</v>
      </c>
      <c r="H8680">
        <f>0.00840336134453781*3.99951045955126</f>
        <v>3.3609331592867712E-2</v>
      </c>
      <c r="I8680">
        <v>3.3609331592867747E-2</v>
      </c>
    </row>
    <row r="8681" spans="1:9" x14ac:dyDescent="0.25">
      <c r="A8681">
        <v>381</v>
      </c>
      <c r="B8681" t="s">
        <v>2846</v>
      </c>
      <c r="C8681" t="s">
        <v>10</v>
      </c>
      <c r="D8681" t="s">
        <v>2850</v>
      </c>
      <c r="E8681">
        <f t="shared" si="398"/>
        <v>8.4033613445378148E-3</v>
      </c>
      <c r="F8681">
        <v>1</v>
      </c>
      <c r="G8681">
        <f>LOG(382/(1+1))</f>
        <v>2.2810333672477277</v>
      </c>
      <c r="H8681">
        <f>0.00840336134453781*5.25227342804663</f>
        <v>4.4136751496190139E-2</v>
      </c>
      <c r="I8681">
        <v>4.4136751496190167E-2</v>
      </c>
    </row>
    <row r="8682" spans="1:9" x14ac:dyDescent="0.25">
      <c r="A8682">
        <v>381</v>
      </c>
      <c r="B8682" t="s">
        <v>2846</v>
      </c>
      <c r="C8682" t="s">
        <v>10</v>
      </c>
      <c r="D8682" t="s">
        <v>594</v>
      </c>
      <c r="E8682">
        <f t="shared" si="398"/>
        <v>8.4033613445378148E-3</v>
      </c>
      <c r="F8682">
        <v>36</v>
      </c>
      <c r="G8682">
        <f>LOG(382/(36+1))</f>
        <v>1.0138616388447137</v>
      </c>
      <c r="H8682">
        <f>0.00840336134453781*2.33450269596235</f>
        <v>1.9617669713969315E-2</v>
      </c>
      <c r="I8682">
        <v>1.9617669713969339E-2</v>
      </c>
    </row>
    <row r="8683" spans="1:9" x14ac:dyDescent="0.25">
      <c r="A8683">
        <v>381</v>
      </c>
      <c r="B8683" t="s">
        <v>2846</v>
      </c>
      <c r="C8683" t="s">
        <v>10</v>
      </c>
      <c r="D8683" t="s">
        <v>474</v>
      </c>
      <c r="E8683">
        <f t="shared" si="398"/>
        <v>8.4033613445378148E-3</v>
      </c>
      <c r="F8683">
        <v>25</v>
      </c>
      <c r="G8683">
        <f>LOG(382/(25+1))</f>
        <v>1.1670900149408907</v>
      </c>
      <c r="H8683">
        <f>0.00840336134453781*2.68732407058509</f>
        <v>2.258255521500074E-2</v>
      </c>
      <c r="I8683">
        <v>2.2582555215000778E-2</v>
      </c>
    </row>
    <row r="8684" spans="1:9" x14ac:dyDescent="0.25">
      <c r="A8684">
        <v>381</v>
      </c>
      <c r="B8684" t="s">
        <v>2846</v>
      </c>
      <c r="C8684" t="s">
        <v>10</v>
      </c>
      <c r="D8684" t="s">
        <v>237</v>
      </c>
      <c r="E8684">
        <f>2/119</f>
        <v>1.680672268907563E-2</v>
      </c>
      <c r="F8684">
        <v>138</v>
      </c>
      <c r="G8684">
        <f>LOG(382/(138+1))</f>
        <v>0.43904856265761361</v>
      </c>
      <c r="H8684">
        <f>0.0168067226890756*1.01094667547588</f>
        <v>1.6990700428166017E-2</v>
      </c>
      <c r="I8684">
        <v>1.6990700428166111E-2</v>
      </c>
    </row>
    <row r="8685" spans="1:9" x14ac:dyDescent="0.25">
      <c r="A8685">
        <v>381</v>
      </c>
      <c r="B8685" t="s">
        <v>2846</v>
      </c>
      <c r="C8685" t="s">
        <v>10</v>
      </c>
      <c r="D8685" t="s">
        <v>331</v>
      </c>
      <c r="E8685">
        <f>3/119</f>
        <v>2.5210084033613446E-2</v>
      </c>
      <c r="F8685">
        <v>130</v>
      </c>
      <c r="G8685">
        <f>LOG(382/(130+1))</f>
        <v>0.46479206725594452</v>
      </c>
      <c r="H8685">
        <f>0.0252100840336134*1.07022328540542</f>
        <v>2.698041895980046E-2</v>
      </c>
      <c r="I8685">
        <v>2.6980418959800599E-2</v>
      </c>
    </row>
    <row r="8686" spans="1:9" x14ac:dyDescent="0.25">
      <c r="A8686">
        <v>381</v>
      </c>
      <c r="B8686" t="s">
        <v>2846</v>
      </c>
      <c r="C8686" t="s">
        <v>10</v>
      </c>
      <c r="D8686" t="s">
        <v>580</v>
      </c>
      <c r="E8686">
        <f>1/119</f>
        <v>8.4033613445378148E-3</v>
      </c>
      <c r="F8686">
        <v>17</v>
      </c>
      <c r="G8686">
        <f>LOG(382/(17+1))</f>
        <v>1.3267908578084027</v>
      </c>
      <c r="H8686">
        <f>0.00840336134453781*3.05504885071041</f>
        <v>2.5672679417734521E-2</v>
      </c>
      <c r="I8686">
        <v>2.5672679417734542E-2</v>
      </c>
    </row>
    <row r="8687" spans="1:9" x14ac:dyDescent="0.25">
      <c r="A8687">
        <v>381</v>
      </c>
      <c r="B8687" t="s">
        <v>2846</v>
      </c>
      <c r="C8687" t="s">
        <v>10</v>
      </c>
      <c r="D8687" t="s">
        <v>133</v>
      </c>
      <c r="E8687">
        <f>4/119</f>
        <v>3.3613445378151259E-2</v>
      </c>
      <c r="F8687">
        <v>142</v>
      </c>
      <c r="G8687">
        <f>LOG(382/(142+1))</f>
        <v>0.42672732544664693</v>
      </c>
      <c r="H8687">
        <f>0.0336134453781512*0.982575978346667</f>
        <v>3.3027763978039165E-2</v>
      </c>
      <c r="I8687">
        <v>3.3027763978039262E-2</v>
      </c>
    </row>
    <row r="8688" spans="1:9" x14ac:dyDescent="0.25">
      <c r="A8688">
        <v>381</v>
      </c>
      <c r="B8688" t="s">
        <v>2846</v>
      </c>
      <c r="C8688" t="s">
        <v>10</v>
      </c>
      <c r="D8688" t="s">
        <v>487</v>
      </c>
      <c r="E8688">
        <f>1/119</f>
        <v>8.4033613445378148E-3</v>
      </c>
      <c r="F8688">
        <v>32</v>
      </c>
      <c r="G8688">
        <f>LOG(382/(32+1))</f>
        <v>1.0635494230338212</v>
      </c>
      <c r="H8688">
        <f>0.00840336134453781*2.44891304714009</f>
        <v>2.0579101236471331E-2</v>
      </c>
      <c r="I8688">
        <v>2.057910123647139E-2</v>
      </c>
    </row>
    <row r="8689" spans="1:9" x14ac:dyDescent="0.25">
      <c r="A8689">
        <v>381</v>
      </c>
      <c r="B8689" t="s">
        <v>2846</v>
      </c>
      <c r="C8689" t="s">
        <v>10</v>
      </c>
      <c r="D8689" t="s">
        <v>2851</v>
      </c>
      <c r="E8689">
        <f>1/119</f>
        <v>8.4033613445378148E-3</v>
      </c>
      <c r="F8689">
        <v>1</v>
      </c>
      <c r="G8689">
        <f>LOG(382/(1+1))</f>
        <v>2.2810333672477277</v>
      </c>
      <c r="H8689">
        <f>0.00840336134453781*5.25227342804663</f>
        <v>4.4136751496190139E-2</v>
      </c>
      <c r="I8689">
        <v>4.4136751496190167E-2</v>
      </c>
    </row>
    <row r="8690" spans="1:9" x14ac:dyDescent="0.25">
      <c r="A8690">
        <v>381</v>
      </c>
      <c r="B8690" t="s">
        <v>2846</v>
      </c>
      <c r="C8690" t="s">
        <v>10</v>
      </c>
      <c r="D8690" t="s">
        <v>485</v>
      </c>
      <c r="E8690">
        <f>1/119</f>
        <v>8.4033613445378148E-3</v>
      </c>
      <c r="F8690">
        <v>74</v>
      </c>
      <c r="G8690">
        <f>LOG(382/(74+1))</f>
        <v>0.7070020995200087</v>
      </c>
      <c r="H8690">
        <f>0.00840336134453781*1.62793249507026</f>
        <v>1.3680105000590411E-2</v>
      </c>
      <c r="I8690">
        <v>1.368010500059046E-2</v>
      </c>
    </row>
    <row r="8691" spans="1:9" x14ac:dyDescent="0.25">
      <c r="A8691">
        <v>381</v>
      </c>
      <c r="B8691" t="s">
        <v>2846</v>
      </c>
      <c r="C8691" t="s">
        <v>10</v>
      </c>
      <c r="D8691" t="s">
        <v>77</v>
      </c>
      <c r="E8691">
        <f>3/119</f>
        <v>2.5210084033613446E-2</v>
      </c>
      <c r="F8691">
        <v>148</v>
      </c>
      <c r="G8691">
        <f>LOG(382/(148+1))</f>
        <v>0.40887709449943471</v>
      </c>
      <c r="H8691">
        <f>0.0252100840336134*0.941474302661116</f>
        <v>2.3734646285574309E-2</v>
      </c>
      <c r="I8691">
        <v>2.3734646285574361E-2</v>
      </c>
    </row>
    <row r="8692" spans="1:9" x14ac:dyDescent="0.25">
      <c r="A8692">
        <v>381</v>
      </c>
      <c r="B8692" t="s">
        <v>2846</v>
      </c>
      <c r="C8692" t="s">
        <v>10</v>
      </c>
      <c r="D8692" t="s">
        <v>324</v>
      </c>
      <c r="E8692">
        <f>2/119</f>
        <v>1.680672268907563E-2</v>
      </c>
      <c r="F8692">
        <v>82</v>
      </c>
      <c r="G8692">
        <f>LOG(382/(82+1))</f>
        <v>0.66298527053563483</v>
      </c>
      <c r="H8692">
        <f>0.0168067226890756*1.52658000080997</f>
        <v>2.5656806736301968E-2</v>
      </c>
      <c r="I8692">
        <v>2.5656806736302142E-2</v>
      </c>
    </row>
    <row r="8693" spans="1:9" x14ac:dyDescent="0.25">
      <c r="A8693">
        <v>381</v>
      </c>
      <c r="B8693" t="s">
        <v>2846</v>
      </c>
      <c r="C8693" t="s">
        <v>10</v>
      </c>
      <c r="D8693" t="s">
        <v>2505</v>
      </c>
      <c r="E8693">
        <f t="shared" ref="E8693:E8699" si="399">1/119</f>
        <v>8.4033613445378148E-3</v>
      </c>
      <c r="F8693">
        <v>9</v>
      </c>
      <c r="G8693">
        <f>LOG(382/(9+1))</f>
        <v>1.5820633629117087</v>
      </c>
      <c r="H8693">
        <f>0.00840336134453781*3.64283551561252</f>
        <v>3.0612063156407712E-2</v>
      </c>
      <c r="I8693">
        <v>3.0612063156407809E-2</v>
      </c>
    </row>
    <row r="8694" spans="1:9" x14ac:dyDescent="0.25">
      <c r="A8694">
        <v>381</v>
      </c>
      <c r="B8694" t="s">
        <v>2846</v>
      </c>
      <c r="C8694" t="s">
        <v>10</v>
      </c>
      <c r="D8694" t="s">
        <v>2852</v>
      </c>
      <c r="E8694">
        <f t="shared" si="399"/>
        <v>8.4033613445378148E-3</v>
      </c>
      <c r="F8694">
        <v>1</v>
      </c>
      <c r="G8694">
        <f>LOG(382/(1+1))</f>
        <v>2.2810333672477277</v>
      </c>
      <c r="H8694">
        <f>0.00840336134453781*5.25227342804663</f>
        <v>4.4136751496190139E-2</v>
      </c>
      <c r="I8694">
        <v>4.4136751496190167E-2</v>
      </c>
    </row>
    <row r="8695" spans="1:9" x14ac:dyDescent="0.25">
      <c r="A8695">
        <v>381</v>
      </c>
      <c r="B8695" t="s">
        <v>2846</v>
      </c>
      <c r="C8695" t="s">
        <v>10</v>
      </c>
      <c r="D8695" t="s">
        <v>936</v>
      </c>
      <c r="E8695">
        <f t="shared" si="399"/>
        <v>8.4033613445378148E-3</v>
      </c>
      <c r="F8695">
        <v>21</v>
      </c>
      <c r="G8695">
        <f>LOG(382/(21+1))</f>
        <v>1.2396406820895025</v>
      </c>
      <c r="H8695">
        <f>0.00840336134453781*2.85437815524825</f>
        <v>2.3986371052506287E-2</v>
      </c>
      <c r="I8695">
        <v>2.3986371052506381E-2</v>
      </c>
    </row>
    <row r="8696" spans="1:9" x14ac:dyDescent="0.25">
      <c r="A8696">
        <v>381</v>
      </c>
      <c r="B8696" t="s">
        <v>2846</v>
      </c>
      <c r="C8696" t="s">
        <v>10</v>
      </c>
      <c r="D8696" t="s">
        <v>937</v>
      </c>
      <c r="E8696">
        <f t="shared" si="399"/>
        <v>8.4033613445378148E-3</v>
      </c>
      <c r="F8696">
        <v>41</v>
      </c>
      <c r="G8696">
        <f>LOG(382/(41+1))</f>
        <v>0.95881407251380824</v>
      </c>
      <c r="H8696">
        <f>0.00840336134453781*2.2077509903232</f>
        <v>1.855252933044705E-2</v>
      </c>
      <c r="I8696">
        <v>1.8552529330447119E-2</v>
      </c>
    </row>
    <row r="8697" spans="1:9" x14ac:dyDescent="0.25">
      <c r="A8697">
        <v>381</v>
      </c>
      <c r="B8697" t="s">
        <v>2846</v>
      </c>
      <c r="C8697" t="s">
        <v>10</v>
      </c>
      <c r="D8697" t="s">
        <v>726</v>
      </c>
      <c r="E8697">
        <f t="shared" si="399"/>
        <v>8.4033613445378148E-3</v>
      </c>
      <c r="F8697">
        <v>37</v>
      </c>
      <c r="G8697">
        <f>LOG(382/(37+1))</f>
        <v>1.0022797662948986</v>
      </c>
      <c r="H8697">
        <f>0.00840336134453781*2.30783444888018</f>
        <v>1.9393566797312422E-2</v>
      </c>
      <c r="I8697">
        <v>1.9393566797312509E-2</v>
      </c>
    </row>
    <row r="8698" spans="1:9" x14ac:dyDescent="0.25">
      <c r="A8698">
        <v>381</v>
      </c>
      <c r="B8698" t="s">
        <v>2846</v>
      </c>
      <c r="C8698" t="s">
        <v>10</v>
      </c>
      <c r="D8698" t="s">
        <v>1398</v>
      </c>
      <c r="E8698">
        <f t="shared" si="399"/>
        <v>8.4033613445378148E-3</v>
      </c>
      <c r="F8698">
        <v>29</v>
      </c>
      <c r="G8698">
        <f>LOG(382/(29+1))</f>
        <v>1.1049421081920463</v>
      </c>
      <c r="H8698">
        <f>0.00840336134453781*2.54422322694442</f>
        <v>2.1380027117179984E-2</v>
      </c>
      <c r="I8698">
        <v>2.1380027117180001E-2</v>
      </c>
    </row>
    <row r="8699" spans="1:9" x14ac:dyDescent="0.25">
      <c r="A8699">
        <v>381</v>
      </c>
      <c r="B8699" t="s">
        <v>2846</v>
      </c>
      <c r="C8699" t="s">
        <v>10</v>
      </c>
      <c r="D8699" t="s">
        <v>542</v>
      </c>
      <c r="E8699">
        <f t="shared" si="399"/>
        <v>8.4033613445378148E-3</v>
      </c>
      <c r="F8699">
        <v>42</v>
      </c>
      <c r="G8699">
        <f>LOG(382/(42+1))</f>
        <v>0.94859490733212215</v>
      </c>
      <c r="H8699">
        <f>0.00840336134453781*2.18422049291301</f>
        <v>1.8354794058092507E-2</v>
      </c>
      <c r="I8699">
        <v>1.8354794058092549E-2</v>
      </c>
    </row>
    <row r="8700" spans="1:9" x14ac:dyDescent="0.25">
      <c r="A8700">
        <v>381</v>
      </c>
      <c r="B8700" t="s">
        <v>2846</v>
      </c>
      <c r="C8700" t="s">
        <v>10</v>
      </c>
      <c r="D8700" t="s">
        <v>600</v>
      </c>
      <c r="E8700">
        <f>2/119</f>
        <v>1.680672268907563E-2</v>
      </c>
      <c r="F8700">
        <v>102</v>
      </c>
      <c r="G8700">
        <f>LOG(382/(102+1))</f>
        <v>0.56922613820653656</v>
      </c>
      <c r="H8700">
        <f>0.0168067226890756*1.31069162037693</f>
        <v>2.2028430594570211E-2</v>
      </c>
      <c r="I8700">
        <v>2.2028430594570408E-2</v>
      </c>
    </row>
    <row r="8701" spans="1:9" x14ac:dyDescent="0.25">
      <c r="A8701">
        <v>381</v>
      </c>
      <c r="B8701" t="s">
        <v>2846</v>
      </c>
      <c r="C8701" t="s">
        <v>10</v>
      </c>
      <c r="D8701" t="s">
        <v>1433</v>
      </c>
      <c r="E8701">
        <f t="shared" ref="E8701:E8709" si="400">1/119</f>
        <v>8.4033613445378148E-3</v>
      </c>
      <c r="F8701">
        <v>21</v>
      </c>
      <c r="G8701">
        <f>LOG(382/(21+1))</f>
        <v>1.2396406820895025</v>
      </c>
      <c r="H8701">
        <f>0.00840336134453781*2.85437815524825</f>
        <v>2.3986371052506287E-2</v>
      </c>
      <c r="I8701">
        <v>2.3986371052506381E-2</v>
      </c>
    </row>
    <row r="8702" spans="1:9" x14ac:dyDescent="0.25">
      <c r="A8702">
        <v>381</v>
      </c>
      <c r="B8702" t="s">
        <v>2846</v>
      </c>
      <c r="C8702" t="s">
        <v>10</v>
      </c>
      <c r="D8702" t="s">
        <v>432</v>
      </c>
      <c r="E8702">
        <f t="shared" si="400"/>
        <v>8.4033613445378148E-3</v>
      </c>
      <c r="F8702">
        <v>67</v>
      </c>
      <c r="G8702">
        <f>LOG(382/(67+1))</f>
        <v>0.7495544502054724</v>
      </c>
      <c r="H8702">
        <f>0.00840336134453781*1.72591290343046</f>
        <v>1.4503469776726546E-2</v>
      </c>
      <c r="I8702">
        <v>1.450346977672662E-2</v>
      </c>
    </row>
    <row r="8703" spans="1:9" x14ac:dyDescent="0.25">
      <c r="A8703">
        <v>381</v>
      </c>
      <c r="B8703" t="s">
        <v>2846</v>
      </c>
      <c r="C8703" t="s">
        <v>10</v>
      </c>
      <c r="D8703" t="s">
        <v>1476</v>
      </c>
      <c r="E8703">
        <f t="shared" si="400"/>
        <v>8.4033613445378148E-3</v>
      </c>
      <c r="F8703">
        <v>5</v>
      </c>
      <c r="G8703">
        <f>LOG(382/(5+1))</f>
        <v>1.803912112528065</v>
      </c>
      <c r="H8703">
        <f>0.00840336134453781*4.15366113937852</f>
        <v>3.4904715456962332E-2</v>
      </c>
      <c r="I8703">
        <v>3.4904715456962353E-2</v>
      </c>
    </row>
    <row r="8704" spans="1:9" x14ac:dyDescent="0.25">
      <c r="A8704">
        <v>381</v>
      </c>
      <c r="B8704" t="s">
        <v>2846</v>
      </c>
      <c r="C8704" t="s">
        <v>10</v>
      </c>
      <c r="D8704" t="s">
        <v>147</v>
      </c>
      <c r="E8704">
        <f t="shared" si="400"/>
        <v>8.4033613445378148E-3</v>
      </c>
      <c r="F8704">
        <v>48</v>
      </c>
      <c r="G8704">
        <f>LOG(382/(48+1))</f>
        <v>0.89186728288319506</v>
      </c>
      <c r="H8704">
        <f>0.00840336134453781*2.05360031049594</f>
        <v>1.7257145466352423E-2</v>
      </c>
      <c r="I8704">
        <v>1.725714546635251E-2</v>
      </c>
    </row>
    <row r="8705" spans="1:9" x14ac:dyDescent="0.25">
      <c r="A8705">
        <v>381</v>
      </c>
      <c r="B8705" t="s">
        <v>2846</v>
      </c>
      <c r="C8705" t="s">
        <v>10</v>
      </c>
      <c r="D8705" t="s">
        <v>2853</v>
      </c>
      <c r="E8705">
        <f t="shared" si="400"/>
        <v>8.4033613445378148E-3</v>
      </c>
      <c r="F8705">
        <v>1</v>
      </c>
      <c r="G8705">
        <f>LOG(382/(1+1))</f>
        <v>2.2810333672477277</v>
      </c>
      <c r="H8705">
        <f>0.00840336134453781*5.25227342804663</f>
        <v>4.4136751496190139E-2</v>
      </c>
      <c r="I8705">
        <v>4.4136751496190167E-2</v>
      </c>
    </row>
    <row r="8706" spans="1:9" x14ac:dyDescent="0.25">
      <c r="A8706">
        <v>381</v>
      </c>
      <c r="B8706" t="s">
        <v>2846</v>
      </c>
      <c r="C8706" t="s">
        <v>10</v>
      </c>
      <c r="D8706" t="s">
        <v>599</v>
      </c>
      <c r="E8706">
        <f t="shared" si="400"/>
        <v>8.4033613445378148E-3</v>
      </c>
      <c r="F8706">
        <v>28</v>
      </c>
      <c r="G8706">
        <f>LOG(382/(28+1))</f>
        <v>1.1196653650127526</v>
      </c>
      <c r="H8706">
        <f>0.00840336134453781*2.5781247786201</f>
        <v>2.1664914106051245E-2</v>
      </c>
      <c r="I8706">
        <v>2.1664914106051269E-2</v>
      </c>
    </row>
    <row r="8707" spans="1:9" x14ac:dyDescent="0.25">
      <c r="A8707">
        <v>381</v>
      </c>
      <c r="B8707" t="s">
        <v>2846</v>
      </c>
      <c r="C8707" t="s">
        <v>10</v>
      </c>
      <c r="D8707" t="s">
        <v>2854</v>
      </c>
      <c r="E8707">
        <f t="shared" si="400"/>
        <v>8.4033613445378148E-3</v>
      </c>
      <c r="F8707">
        <v>1</v>
      </c>
      <c r="G8707">
        <f>LOG(382/(1+1))</f>
        <v>2.2810333672477277</v>
      </c>
      <c r="H8707">
        <f>0.00840336134453781*5.25227342804663</f>
        <v>4.4136751496190139E-2</v>
      </c>
      <c r="I8707">
        <v>4.4136751496190167E-2</v>
      </c>
    </row>
    <row r="8708" spans="1:9" x14ac:dyDescent="0.25">
      <c r="A8708">
        <v>381</v>
      </c>
      <c r="B8708" t="s">
        <v>2846</v>
      </c>
      <c r="C8708" t="s">
        <v>10</v>
      </c>
      <c r="D8708" t="s">
        <v>2855</v>
      </c>
      <c r="E8708">
        <f t="shared" si="400"/>
        <v>8.4033613445378148E-3</v>
      </c>
      <c r="F8708">
        <v>1</v>
      </c>
      <c r="G8708">
        <f>LOG(382/(1+1))</f>
        <v>2.2810333672477277</v>
      </c>
      <c r="H8708">
        <f>0.00840336134453781*5.25227342804663</f>
        <v>4.4136751496190139E-2</v>
      </c>
      <c r="I8708">
        <v>4.4136751496190167E-2</v>
      </c>
    </row>
    <row r="8709" spans="1:9" x14ac:dyDescent="0.25">
      <c r="A8709">
        <v>381</v>
      </c>
      <c r="B8709" t="s">
        <v>2846</v>
      </c>
      <c r="C8709" t="s">
        <v>10</v>
      </c>
      <c r="D8709" t="s">
        <v>1626</v>
      </c>
      <c r="E8709">
        <f t="shared" si="400"/>
        <v>8.4033613445378148E-3</v>
      </c>
      <c r="F8709">
        <v>32</v>
      </c>
      <c r="G8709">
        <f>LOG(382/(32+1))</f>
        <v>1.0635494230338212</v>
      </c>
      <c r="H8709">
        <f>0.00840336134453781*2.44891304714009</f>
        <v>2.0579101236471331E-2</v>
      </c>
      <c r="I8709">
        <v>2.057910123647139E-2</v>
      </c>
    </row>
    <row r="8710" spans="1:9" x14ac:dyDescent="0.25">
      <c r="A8710">
        <v>381</v>
      </c>
      <c r="B8710" t="s">
        <v>2846</v>
      </c>
      <c r="C8710" t="s">
        <v>10</v>
      </c>
      <c r="D8710" t="s">
        <v>236</v>
      </c>
      <c r="E8710">
        <f>2/119</f>
        <v>1.680672268907563E-2</v>
      </c>
      <c r="F8710">
        <v>87</v>
      </c>
      <c r="G8710">
        <f>LOG(382/(87+1))</f>
        <v>0.63758069076154011</v>
      </c>
      <c r="H8710">
        <f>0.0168067226890756*1.46808379412836</f>
        <v>2.4673677212241299E-2</v>
      </c>
      <c r="I8710">
        <v>2.467367721224149E-2</v>
      </c>
    </row>
    <row r="8711" spans="1:9" x14ac:dyDescent="0.25">
      <c r="A8711">
        <v>381</v>
      </c>
      <c r="B8711" t="s">
        <v>2846</v>
      </c>
      <c r="C8711" t="s">
        <v>10</v>
      </c>
      <c r="D8711" t="s">
        <v>693</v>
      </c>
      <c r="E8711">
        <f>2/119</f>
        <v>1.680672268907563E-2</v>
      </c>
      <c r="F8711">
        <v>25</v>
      </c>
      <c r="G8711">
        <f>LOG(382/(25+1))</f>
        <v>1.1670900149408907</v>
      </c>
      <c r="H8711">
        <f>0.0168067226890756*2.68732407058509</f>
        <v>4.5165110430001425E-2</v>
      </c>
      <c r="I8711">
        <v>4.5165110430001557E-2</v>
      </c>
    </row>
    <row r="8712" spans="1:9" x14ac:dyDescent="0.25">
      <c r="A8712">
        <v>381</v>
      </c>
      <c r="B8712" t="s">
        <v>2846</v>
      </c>
      <c r="C8712" t="s">
        <v>10</v>
      </c>
      <c r="D8712" t="s">
        <v>436</v>
      </c>
      <c r="E8712">
        <f t="shared" ref="E8712:E8723" si="401">1/119</f>
        <v>8.4033613445378148E-3</v>
      </c>
      <c r="F8712">
        <v>20</v>
      </c>
      <c r="G8712">
        <f>LOG(382/(20+1))</f>
        <v>1.2598440681777894</v>
      </c>
      <c r="H8712">
        <f>0.00840336134453781*2.90089817088315</f>
        <v>2.4377295553639901E-2</v>
      </c>
      <c r="I8712">
        <v>2.4377295553639929E-2</v>
      </c>
    </row>
    <row r="8713" spans="1:9" x14ac:dyDescent="0.25">
      <c r="A8713">
        <v>381</v>
      </c>
      <c r="B8713" t="s">
        <v>2846</v>
      </c>
      <c r="C8713" t="s">
        <v>10</v>
      </c>
      <c r="D8713" t="s">
        <v>437</v>
      </c>
      <c r="E8713">
        <f t="shared" si="401"/>
        <v>8.4033613445378148E-3</v>
      </c>
      <c r="F8713">
        <v>18</v>
      </c>
      <c r="G8713">
        <f>LOG(382/(18+1))</f>
        <v>1.3033097619588798</v>
      </c>
      <c r="H8713">
        <f>0.00840336134453781*3.00098162944013</f>
        <v>2.5218333020505277E-2</v>
      </c>
      <c r="I8713">
        <v>2.5218333020505329E-2</v>
      </c>
    </row>
    <row r="8714" spans="1:9" x14ac:dyDescent="0.25">
      <c r="A8714">
        <v>381</v>
      </c>
      <c r="B8714" t="s">
        <v>2846</v>
      </c>
      <c r="C8714" t="s">
        <v>10</v>
      </c>
      <c r="D8714" t="s">
        <v>2856</v>
      </c>
      <c r="E8714">
        <f t="shared" si="401"/>
        <v>8.4033613445378148E-3</v>
      </c>
      <c r="F8714">
        <v>1</v>
      </c>
      <c r="G8714">
        <f>LOG(382/(1+1))</f>
        <v>2.2810333672477277</v>
      </c>
      <c r="H8714">
        <f>0.00840336134453781*5.25227342804663</f>
        <v>4.4136751496190139E-2</v>
      </c>
      <c r="I8714">
        <v>4.4136751496190167E-2</v>
      </c>
    </row>
    <row r="8715" spans="1:9" x14ac:dyDescent="0.25">
      <c r="A8715">
        <v>381</v>
      </c>
      <c r="B8715" t="s">
        <v>2846</v>
      </c>
      <c r="C8715" t="s">
        <v>10</v>
      </c>
      <c r="D8715" t="s">
        <v>1181</v>
      </c>
      <c r="E8715">
        <f t="shared" si="401"/>
        <v>8.4033613445378148E-3</v>
      </c>
      <c r="F8715">
        <v>11</v>
      </c>
      <c r="G8715">
        <f>LOG(382/(11+1))</f>
        <v>1.5028821168640838</v>
      </c>
      <c r="H8715">
        <f>0.00840336134453781*3.46051395881857</f>
        <v>2.9079949233769477E-2</v>
      </c>
      <c r="I8715">
        <v>2.9079949233769539E-2</v>
      </c>
    </row>
    <row r="8716" spans="1:9" x14ac:dyDescent="0.25">
      <c r="A8716">
        <v>381</v>
      </c>
      <c r="B8716" t="s">
        <v>2846</v>
      </c>
      <c r="C8716" t="s">
        <v>10</v>
      </c>
      <c r="D8716" t="s">
        <v>338</v>
      </c>
      <c r="E8716">
        <f t="shared" si="401"/>
        <v>8.4033613445378148E-3</v>
      </c>
      <c r="F8716">
        <v>54</v>
      </c>
      <c r="G8716">
        <f>LOG(382/(54+1))</f>
        <v>0.84170067341746491</v>
      </c>
      <c r="H8716">
        <f>0.00840336134453781*1.9380874233741</f>
        <v>1.6286448935916794E-2</v>
      </c>
      <c r="I8716">
        <v>1.6286448935916839E-2</v>
      </c>
    </row>
    <row r="8717" spans="1:9" x14ac:dyDescent="0.25">
      <c r="A8717">
        <v>381</v>
      </c>
      <c r="B8717" t="s">
        <v>2846</v>
      </c>
      <c r="C8717" t="s">
        <v>10</v>
      </c>
      <c r="D8717" t="s">
        <v>388</v>
      </c>
      <c r="E8717">
        <f t="shared" si="401"/>
        <v>8.4033613445378148E-3</v>
      </c>
      <c r="F8717">
        <v>44</v>
      </c>
      <c r="G8717">
        <f>LOG(382/(44+1))</f>
        <v>0.92885084913636506</v>
      </c>
      <c r="H8717">
        <f>0.00840336134453781*2.13875811883625</f>
        <v>1.7972757301144945E-2</v>
      </c>
      <c r="I8717">
        <v>1.7972757301145E-2</v>
      </c>
    </row>
    <row r="8718" spans="1:9" x14ac:dyDescent="0.25">
      <c r="A8718">
        <v>381</v>
      </c>
      <c r="B8718" t="s">
        <v>2846</v>
      </c>
      <c r="C8718" t="s">
        <v>10</v>
      </c>
      <c r="D8718" t="s">
        <v>2857</v>
      </c>
      <c r="E8718">
        <f t="shared" si="401"/>
        <v>8.4033613445378148E-3</v>
      </c>
      <c r="F8718">
        <v>3</v>
      </c>
      <c r="G8718">
        <f>LOG(382/(3+1))</f>
        <v>1.9800033715837464</v>
      </c>
      <c r="H8718">
        <f>0.00840336134453781*4.55912624748668</f>
        <v>3.8311985272997284E-2</v>
      </c>
      <c r="I8718">
        <v>3.8311985272997347E-2</v>
      </c>
    </row>
    <row r="8719" spans="1:9" x14ac:dyDescent="0.25">
      <c r="A8719">
        <v>381</v>
      </c>
      <c r="B8719" t="s">
        <v>2846</v>
      </c>
      <c r="C8719" t="s">
        <v>10</v>
      </c>
      <c r="D8719" t="s">
        <v>1303</v>
      </c>
      <c r="E8719">
        <f t="shared" si="401"/>
        <v>8.4033613445378148E-3</v>
      </c>
      <c r="F8719">
        <v>17</v>
      </c>
      <c r="G8719">
        <f>LOG(382/(17+1))</f>
        <v>1.3267908578084027</v>
      </c>
      <c r="H8719">
        <f>0.00840336134453781*3.05504885071041</f>
        <v>2.5672679417734521E-2</v>
      </c>
      <c r="I8719">
        <v>2.5672679417734542E-2</v>
      </c>
    </row>
    <row r="8720" spans="1:9" x14ac:dyDescent="0.25">
      <c r="A8720">
        <v>381</v>
      </c>
      <c r="B8720" t="s">
        <v>2846</v>
      </c>
      <c r="C8720" t="s">
        <v>10</v>
      </c>
      <c r="D8720" t="s">
        <v>1012</v>
      </c>
      <c r="E8720">
        <f t="shared" si="401"/>
        <v>8.4033613445378148E-3</v>
      </c>
      <c r="F8720">
        <v>17</v>
      </c>
      <c r="G8720">
        <f>LOG(382/(17+1))</f>
        <v>1.3267908578084027</v>
      </c>
      <c r="H8720">
        <f>0.00840336134453781*3.05504885071041</f>
        <v>2.5672679417734521E-2</v>
      </c>
      <c r="I8720">
        <v>2.5672679417734542E-2</v>
      </c>
    </row>
    <row r="8721" spans="1:9" x14ac:dyDescent="0.25">
      <c r="A8721">
        <v>381</v>
      </c>
      <c r="B8721" t="s">
        <v>2846</v>
      </c>
      <c r="C8721" t="s">
        <v>10</v>
      </c>
      <c r="D8721" t="s">
        <v>283</v>
      </c>
      <c r="E8721">
        <f t="shared" si="401"/>
        <v>8.4033613445378148E-3</v>
      </c>
      <c r="F8721">
        <v>16</v>
      </c>
      <c r="G8721">
        <f>LOG(382/(16+1))</f>
        <v>1.3516144415334348</v>
      </c>
      <c r="H8721">
        <f>0.00840336134453781*3.11220726455035</f>
        <v>2.6153002223112166E-2</v>
      </c>
      <c r="I8721">
        <v>2.6153002223112259E-2</v>
      </c>
    </row>
    <row r="8722" spans="1:9" x14ac:dyDescent="0.25">
      <c r="A8722">
        <v>381</v>
      </c>
      <c r="B8722" t="s">
        <v>2846</v>
      </c>
      <c r="C8722" t="s">
        <v>10</v>
      </c>
      <c r="D8722" t="s">
        <v>754</v>
      </c>
      <c r="E8722">
        <f t="shared" si="401"/>
        <v>8.4033613445378148E-3</v>
      </c>
      <c r="F8722">
        <v>111</v>
      </c>
      <c r="G8722">
        <f>LOG(382/(111+1))</f>
        <v>0.53284534024152708</v>
      </c>
      <c r="H8722">
        <f>0.00840336134453781*1.22692173731148</f>
        <v>1.0310266700096464E-2</v>
      </c>
      <c r="I8722">
        <v>1.0310266700096479E-2</v>
      </c>
    </row>
    <row r="8723" spans="1:9" x14ac:dyDescent="0.25">
      <c r="A8723">
        <v>381</v>
      </c>
      <c r="B8723" t="s">
        <v>2846</v>
      </c>
      <c r="C8723" t="s">
        <v>10</v>
      </c>
      <c r="D8723" t="s">
        <v>2858</v>
      </c>
      <c r="E8723">
        <f t="shared" si="401"/>
        <v>8.4033613445378148E-3</v>
      </c>
      <c r="F8723">
        <v>1</v>
      </c>
      <c r="G8723">
        <f>LOG(382/(1+1))</f>
        <v>2.2810333672477277</v>
      </c>
      <c r="H8723">
        <f>0.00840336134453781*5.25227342804663</f>
        <v>4.4136751496190139E-2</v>
      </c>
      <c r="I8723">
        <v>4.4136751496190167E-2</v>
      </c>
    </row>
    <row r="8724" spans="1:9" x14ac:dyDescent="0.25">
      <c r="A8724">
        <v>381</v>
      </c>
      <c r="B8724" t="s">
        <v>2846</v>
      </c>
      <c r="C8724" t="s">
        <v>10</v>
      </c>
      <c r="D8724" t="s">
        <v>1469</v>
      </c>
      <c r="E8724">
        <f>2/119</f>
        <v>1.680672268907563E-2</v>
      </c>
      <c r="F8724">
        <v>24</v>
      </c>
      <c r="G8724">
        <f>LOG(382/(24+1))</f>
        <v>1.1841233542396712</v>
      </c>
      <c r="H8724">
        <f>0.0168067226890756*2.72654478373837</f>
        <v>4.5824282079636382E-2</v>
      </c>
      <c r="I8724">
        <v>4.5824282079636541E-2</v>
      </c>
    </row>
    <row r="8725" spans="1:9" x14ac:dyDescent="0.25">
      <c r="A8725">
        <v>381</v>
      </c>
      <c r="B8725" t="s">
        <v>2846</v>
      </c>
      <c r="C8725" t="s">
        <v>10</v>
      </c>
      <c r="D8725" t="s">
        <v>439</v>
      </c>
      <c r="E8725">
        <f t="shared" ref="E8725:E8732" si="402">1/119</f>
        <v>8.4033613445378148E-3</v>
      </c>
      <c r="F8725">
        <v>28</v>
      </c>
      <c r="G8725">
        <f>LOG(382/(28+1))</f>
        <v>1.1196653650127526</v>
      </c>
      <c r="H8725">
        <f>0.00840336134453781*2.5781247786201</f>
        <v>2.1664914106051245E-2</v>
      </c>
      <c r="I8725">
        <v>2.1664914106051269E-2</v>
      </c>
    </row>
    <row r="8726" spans="1:9" x14ac:dyDescent="0.25">
      <c r="A8726">
        <v>381</v>
      </c>
      <c r="B8726" t="s">
        <v>2846</v>
      </c>
      <c r="C8726" t="s">
        <v>10</v>
      </c>
      <c r="D8726" t="s">
        <v>2476</v>
      </c>
      <c r="E8726">
        <f t="shared" si="402"/>
        <v>8.4033613445378148E-3</v>
      </c>
      <c r="F8726">
        <v>12</v>
      </c>
      <c r="G8726">
        <f>LOG(382/(12+1))</f>
        <v>1.468120010604872</v>
      </c>
      <c r="H8726">
        <f>0.00840336134453781*3.38047125114503</f>
        <v>2.8407321438193512E-2</v>
      </c>
      <c r="I8726">
        <v>2.8407321438193599E-2</v>
      </c>
    </row>
    <row r="8727" spans="1:9" x14ac:dyDescent="0.25">
      <c r="A8727">
        <v>381</v>
      </c>
      <c r="B8727" t="s">
        <v>2846</v>
      </c>
      <c r="C8727" t="s">
        <v>10</v>
      </c>
      <c r="D8727" t="s">
        <v>898</v>
      </c>
      <c r="E8727">
        <f t="shared" si="402"/>
        <v>8.4033613445378148E-3</v>
      </c>
      <c r="F8727">
        <v>22</v>
      </c>
      <c r="G8727">
        <f>LOG(382/(22+1))</f>
        <v>1.2203355268941158</v>
      </c>
      <c r="H8727">
        <f>0.00840336134453781*2.80992639267742</f>
        <v>2.3612826829222E-2</v>
      </c>
      <c r="I8727">
        <v>2.3612826829222059E-2</v>
      </c>
    </row>
    <row r="8728" spans="1:9" x14ac:dyDescent="0.25">
      <c r="A8728">
        <v>381</v>
      </c>
      <c r="B8728" t="s">
        <v>2846</v>
      </c>
      <c r="C8728" t="s">
        <v>10</v>
      </c>
      <c r="D8728" t="s">
        <v>247</v>
      </c>
      <c r="E8728">
        <f t="shared" si="402"/>
        <v>8.4033613445378148E-3</v>
      </c>
      <c r="F8728">
        <v>121</v>
      </c>
      <c r="G8728">
        <f>LOG(382/(121+1))</f>
        <v>0.49570353223696051</v>
      </c>
      <c r="H8728">
        <f>0.00840336134453781*1.14139956387331</f>
        <v>9.5915929737252891E-3</v>
      </c>
      <c r="I8728">
        <v>9.5915929737253672E-3</v>
      </c>
    </row>
    <row r="8729" spans="1:9" x14ac:dyDescent="0.25">
      <c r="A8729">
        <v>381</v>
      </c>
      <c r="B8729" t="s">
        <v>2846</v>
      </c>
      <c r="C8729" t="s">
        <v>10</v>
      </c>
      <c r="D8729" t="s">
        <v>39</v>
      </c>
      <c r="E8729">
        <f t="shared" si="402"/>
        <v>8.4033613445378148E-3</v>
      </c>
      <c r="F8729">
        <v>145</v>
      </c>
      <c r="G8729">
        <f>LOG(382/(145+1))</f>
        <v>0.41771050712727159</v>
      </c>
      <c r="H8729">
        <f>0.00840336134453781*0.961813986898238</f>
        <v>8.0824704781364484E-3</v>
      </c>
      <c r="I8729">
        <v>8.0824704781364588E-3</v>
      </c>
    </row>
    <row r="8730" spans="1:9" x14ac:dyDescent="0.25">
      <c r="A8730">
        <v>381</v>
      </c>
      <c r="B8730" t="s">
        <v>2846</v>
      </c>
      <c r="C8730" t="s">
        <v>10</v>
      </c>
      <c r="D8730" t="s">
        <v>119</v>
      </c>
      <c r="E8730">
        <f t="shared" si="402"/>
        <v>8.4033613445378148E-3</v>
      </c>
      <c r="F8730">
        <v>79</v>
      </c>
      <c r="G8730">
        <f>LOG(382/(79+1))</f>
        <v>0.67897337591976514</v>
      </c>
      <c r="H8730">
        <f>0.00840336134453781*1.56339397393269</f>
        <v>1.313776448682932E-2</v>
      </c>
      <c r="I8730">
        <v>1.313776448682936E-2</v>
      </c>
    </row>
    <row r="8731" spans="1:9" x14ac:dyDescent="0.25">
      <c r="A8731">
        <v>381</v>
      </c>
      <c r="B8731" t="s">
        <v>2846</v>
      </c>
      <c r="C8731" t="s">
        <v>10</v>
      </c>
      <c r="D8731" t="s">
        <v>2163</v>
      </c>
      <c r="E8731">
        <f t="shared" si="402"/>
        <v>8.4033613445378148E-3</v>
      </c>
      <c r="F8731">
        <v>6</v>
      </c>
      <c r="G8731">
        <f>LOG(382/(6+1))</f>
        <v>1.736965322897452</v>
      </c>
      <c r="H8731">
        <f>0.00840336134453781*3.99951045955126</f>
        <v>3.3609331592867712E-2</v>
      </c>
      <c r="I8731">
        <v>3.3609331592867747E-2</v>
      </c>
    </row>
    <row r="8732" spans="1:9" x14ac:dyDescent="0.25">
      <c r="A8732">
        <v>381</v>
      </c>
      <c r="B8732" t="s">
        <v>2846</v>
      </c>
      <c r="C8732" t="s">
        <v>10</v>
      </c>
      <c r="D8732" t="s">
        <v>379</v>
      </c>
      <c r="E8732">
        <f t="shared" si="402"/>
        <v>8.4033613445378148E-3</v>
      </c>
      <c r="F8732">
        <v>17</v>
      </c>
      <c r="G8732">
        <f>LOG(382/(17+1))</f>
        <v>1.3267908578084027</v>
      </c>
      <c r="H8732">
        <f>0.00840336134453781*3.05504885071041</f>
        <v>2.5672679417734521E-2</v>
      </c>
      <c r="I8732">
        <v>2.5672679417734542E-2</v>
      </c>
    </row>
    <row r="8733" spans="1:9" x14ac:dyDescent="0.25">
      <c r="A8733">
        <v>382</v>
      </c>
      <c r="B8733" t="s">
        <v>2859</v>
      </c>
      <c r="C8733" t="s">
        <v>10</v>
      </c>
      <c r="D8733" t="s">
        <v>183</v>
      </c>
      <c r="E8733">
        <f>1/152</f>
        <v>6.5789473684210523E-3</v>
      </c>
      <c r="F8733">
        <v>46</v>
      </c>
      <c r="G8733">
        <f>LOG(382/(46+1))</f>
        <v>0.90996550497599127</v>
      </c>
      <c r="H8733">
        <f>0.00657894736842105*2.09527300689651</f>
        <v>1.3784690834845455E-2</v>
      </c>
      <c r="I8733">
        <v>1.3784690834845501E-2</v>
      </c>
    </row>
    <row r="8734" spans="1:9" x14ac:dyDescent="0.25">
      <c r="A8734">
        <v>382</v>
      </c>
      <c r="B8734" t="s">
        <v>2859</v>
      </c>
      <c r="C8734" t="s">
        <v>10</v>
      </c>
      <c r="D8734" t="s">
        <v>39</v>
      </c>
      <c r="E8734">
        <f>4/152</f>
        <v>2.6315789473684209E-2</v>
      </c>
      <c r="F8734">
        <v>145</v>
      </c>
      <c r="G8734">
        <f>LOG(382/(145+1))</f>
        <v>0.41771050712727159</v>
      </c>
      <c r="H8734">
        <f>0.0263157894736842*0.961813986898238</f>
        <v>2.5310894392058886E-2</v>
      </c>
      <c r="I8734">
        <v>2.531089439205891E-2</v>
      </c>
    </row>
    <row r="8735" spans="1:9" x14ac:dyDescent="0.25">
      <c r="A8735">
        <v>382</v>
      </c>
      <c r="B8735" t="s">
        <v>2859</v>
      </c>
      <c r="C8735" t="s">
        <v>10</v>
      </c>
      <c r="D8735" t="s">
        <v>77</v>
      </c>
      <c r="E8735">
        <f>6/152</f>
        <v>3.9473684210526314E-2</v>
      </c>
      <c r="F8735">
        <v>148</v>
      </c>
      <c r="G8735">
        <f>LOG(382/(148+1))</f>
        <v>0.40887709449943471</v>
      </c>
      <c r="H8735">
        <f>0.0394736842105263*0.941474302661116</f>
        <v>3.716345931557035E-2</v>
      </c>
      <c r="I8735">
        <v>3.7163459315570371E-2</v>
      </c>
    </row>
    <row r="8736" spans="1:9" x14ac:dyDescent="0.25">
      <c r="A8736">
        <v>382</v>
      </c>
      <c r="B8736" t="s">
        <v>2859</v>
      </c>
      <c r="C8736" t="s">
        <v>10</v>
      </c>
      <c r="D8736" t="s">
        <v>2589</v>
      </c>
      <c r="E8736">
        <f>3/152</f>
        <v>1.9736842105263157E-2</v>
      </c>
      <c r="F8736">
        <v>3</v>
      </c>
      <c r="G8736">
        <f>LOG(382/(3+1))</f>
        <v>1.9800033715837464</v>
      </c>
      <c r="H8736">
        <f>0.0197368421052631*4.55912624748668</f>
        <v>8.9982754884605276E-2</v>
      </c>
      <c r="I8736">
        <v>8.9982754884605609E-2</v>
      </c>
    </row>
    <row r="8737" spans="1:9" x14ac:dyDescent="0.25">
      <c r="A8737">
        <v>382</v>
      </c>
      <c r="B8737" t="s">
        <v>2859</v>
      </c>
      <c r="C8737" t="s">
        <v>10</v>
      </c>
      <c r="D8737" t="s">
        <v>2420</v>
      </c>
      <c r="E8737">
        <f>1/152</f>
        <v>6.5789473684210523E-3</v>
      </c>
      <c r="F8737">
        <v>2</v>
      </c>
      <c r="G8737">
        <f>LOG(382/(2+1))</f>
        <v>2.1049421081920463</v>
      </c>
      <c r="H8737">
        <f>0.00657894736842105*4.84680831993846</f>
        <v>3.1886896841700381E-2</v>
      </c>
      <c r="I8737">
        <v>3.1886896841700429E-2</v>
      </c>
    </row>
    <row r="8738" spans="1:9" x14ac:dyDescent="0.25">
      <c r="A8738">
        <v>382</v>
      </c>
      <c r="B8738" t="s">
        <v>2859</v>
      </c>
      <c r="C8738" t="s">
        <v>10</v>
      </c>
      <c r="D8738" t="s">
        <v>2219</v>
      </c>
      <c r="E8738">
        <f>3/152</f>
        <v>1.9736842105263157E-2</v>
      </c>
      <c r="F8738">
        <v>3</v>
      </c>
      <c r="G8738">
        <f>LOG(382/(3+1))</f>
        <v>1.9800033715837464</v>
      </c>
      <c r="H8738">
        <f>0.0197368421052631*4.55912624748668</f>
        <v>8.9982754884605276E-2</v>
      </c>
      <c r="I8738">
        <v>8.9982754884605609E-2</v>
      </c>
    </row>
    <row r="8739" spans="1:9" x14ac:dyDescent="0.25">
      <c r="A8739">
        <v>382</v>
      </c>
      <c r="B8739" t="s">
        <v>2859</v>
      </c>
      <c r="C8739" t="s">
        <v>10</v>
      </c>
      <c r="D8739" t="s">
        <v>2860</v>
      </c>
      <c r="E8739">
        <f>3/152</f>
        <v>1.9736842105263157E-2</v>
      </c>
      <c r="F8739">
        <v>1</v>
      </c>
      <c r="G8739">
        <f>LOG(382/(1+1))</f>
        <v>2.2810333672477277</v>
      </c>
      <c r="H8739">
        <f>0.0197368421052631*5.25227342804663</f>
        <v>0.10366329134302529</v>
      </c>
      <c r="I8739">
        <v>0.1036632913430256</v>
      </c>
    </row>
    <row r="8740" spans="1:9" x14ac:dyDescent="0.25">
      <c r="A8740">
        <v>382</v>
      </c>
      <c r="B8740" t="s">
        <v>2859</v>
      </c>
      <c r="C8740" t="s">
        <v>10</v>
      </c>
      <c r="D8740" t="s">
        <v>72</v>
      </c>
      <c r="E8740">
        <f>3/152</f>
        <v>1.9736842105263157E-2</v>
      </c>
      <c r="F8740">
        <v>13</v>
      </c>
      <c r="G8740">
        <f>LOG(382/(13+1))</f>
        <v>1.4359353272334707</v>
      </c>
      <c r="H8740">
        <f>0.0197368421052631*3.30636327899131</f>
        <v>6.5257169980091456E-2</v>
      </c>
      <c r="I8740">
        <v>6.5257169980091762E-2</v>
      </c>
    </row>
    <row r="8741" spans="1:9" x14ac:dyDescent="0.25">
      <c r="A8741">
        <v>382</v>
      </c>
      <c r="B8741" t="s">
        <v>2859</v>
      </c>
      <c r="C8741" t="s">
        <v>10</v>
      </c>
      <c r="D8741" t="s">
        <v>247</v>
      </c>
      <c r="E8741">
        <f>2/152</f>
        <v>1.3157894736842105E-2</v>
      </c>
      <c r="F8741">
        <v>121</v>
      </c>
      <c r="G8741">
        <f>LOG(382/(121+1))</f>
        <v>0.49570353223696051</v>
      </c>
      <c r="H8741">
        <f>0.0131578947368421*1.14139956387331</f>
        <v>1.5018415314122494E-2</v>
      </c>
      <c r="I8741">
        <v>1.501841531412261E-2</v>
      </c>
    </row>
    <row r="8742" spans="1:9" x14ac:dyDescent="0.25">
      <c r="A8742">
        <v>382</v>
      </c>
      <c r="B8742" t="s">
        <v>2859</v>
      </c>
      <c r="C8742" t="s">
        <v>10</v>
      </c>
      <c r="D8742" t="s">
        <v>331</v>
      </c>
      <c r="E8742">
        <f>4/152</f>
        <v>2.6315789473684209E-2</v>
      </c>
      <c r="F8742">
        <v>130</v>
      </c>
      <c r="G8742">
        <f>LOG(382/(130+1))</f>
        <v>0.46479206725594452</v>
      </c>
      <c r="H8742">
        <f>0.0263157894736842*1.07022328540542</f>
        <v>2.8163770668563674E-2</v>
      </c>
      <c r="I8742">
        <v>2.8163770668563778E-2</v>
      </c>
    </row>
    <row r="8743" spans="1:9" x14ac:dyDescent="0.25">
      <c r="A8743">
        <v>382</v>
      </c>
      <c r="B8743" t="s">
        <v>2859</v>
      </c>
      <c r="C8743" t="s">
        <v>10</v>
      </c>
      <c r="D8743" t="s">
        <v>42</v>
      </c>
      <c r="E8743">
        <f>1/152</f>
        <v>6.5789473684210523E-3</v>
      </c>
      <c r="F8743">
        <v>251</v>
      </c>
      <c r="G8743">
        <f>LOG(382/(251+1))</f>
        <v>0.18066282213016463</v>
      </c>
      <c r="H8743">
        <f>0.00657894736842105*0.415991521095151</f>
        <v>2.7367863229944131E-3</v>
      </c>
      <c r="I8743">
        <v>2.73678632299442E-3</v>
      </c>
    </row>
    <row r="8744" spans="1:9" x14ac:dyDescent="0.25">
      <c r="A8744">
        <v>382</v>
      </c>
      <c r="B8744" t="s">
        <v>2859</v>
      </c>
      <c r="C8744" t="s">
        <v>10</v>
      </c>
      <c r="D8744" t="s">
        <v>15</v>
      </c>
      <c r="E8744">
        <f>2/152</f>
        <v>1.3157894736842105E-2</v>
      </c>
      <c r="F8744">
        <v>112</v>
      </c>
      <c r="G8744">
        <f>LOG(382/(112+1))</f>
        <v>0.52898491942828896</v>
      </c>
      <c r="H8744">
        <f>0.0131578947368421*1.21803278989423</f>
        <v>1.6026747235450389E-2</v>
      </c>
      <c r="I8744">
        <v>1.6026747235450459E-2</v>
      </c>
    </row>
    <row r="8745" spans="1:9" x14ac:dyDescent="0.25">
      <c r="A8745">
        <v>382</v>
      </c>
      <c r="B8745" t="s">
        <v>2859</v>
      </c>
      <c r="C8745" t="s">
        <v>10</v>
      </c>
      <c r="D8745" t="s">
        <v>17</v>
      </c>
      <c r="E8745">
        <f t="shared" ref="E8745:E8750" si="403">1/152</f>
        <v>6.5789473684210523E-3</v>
      </c>
      <c r="F8745">
        <v>169</v>
      </c>
      <c r="G8745">
        <f>LOG(382/(169+1))</f>
        <v>0.3516144415334348</v>
      </c>
      <c r="H8745">
        <f>0.00657894736842105*0.809622171556313</f>
        <v>5.3264616549757414E-3</v>
      </c>
      <c r="I8745">
        <v>5.3264616549757457E-3</v>
      </c>
    </row>
    <row r="8746" spans="1:9" x14ac:dyDescent="0.25">
      <c r="A8746">
        <v>382</v>
      </c>
      <c r="B8746" t="s">
        <v>2859</v>
      </c>
      <c r="C8746" t="s">
        <v>10</v>
      </c>
      <c r="D8746" t="s">
        <v>104</v>
      </c>
      <c r="E8746">
        <f t="shared" si="403"/>
        <v>6.5789473684210523E-3</v>
      </c>
      <c r="F8746">
        <v>49</v>
      </c>
      <c r="G8746">
        <f>LOG(382/(49+1))</f>
        <v>0.88309335857568994</v>
      </c>
      <c r="H8746">
        <f>0.00657894736842105*2.03339760317842</f>
        <v>1.3377615810384337E-2</v>
      </c>
      <c r="I8746">
        <v>1.3377615810384399E-2</v>
      </c>
    </row>
    <row r="8747" spans="1:9" x14ac:dyDescent="0.25">
      <c r="A8747">
        <v>382</v>
      </c>
      <c r="B8747" t="s">
        <v>2859</v>
      </c>
      <c r="C8747" t="s">
        <v>10</v>
      </c>
      <c r="D8747" t="s">
        <v>19</v>
      </c>
      <c r="E8747">
        <f t="shared" si="403"/>
        <v>6.5789473684210523E-3</v>
      </c>
      <c r="F8747">
        <v>220</v>
      </c>
      <c r="G8747">
        <f>LOG(382/(220+1))</f>
        <v>0.23767108922659805</v>
      </c>
      <c r="H8747">
        <f>0.00657894736842105*0.547257907088822</f>
        <v>3.6003809676896171E-3</v>
      </c>
      <c r="I8747">
        <v>3.600380967689621E-3</v>
      </c>
    </row>
    <row r="8748" spans="1:9" x14ac:dyDescent="0.25">
      <c r="A8748">
        <v>382</v>
      </c>
      <c r="B8748" t="s">
        <v>2859</v>
      </c>
      <c r="C8748" t="s">
        <v>10</v>
      </c>
      <c r="D8748" t="s">
        <v>195</v>
      </c>
      <c r="E8748">
        <f t="shared" si="403"/>
        <v>6.5789473684210523E-3</v>
      </c>
      <c r="F8748">
        <v>55</v>
      </c>
      <c r="G8748">
        <f>LOG(382/(55+1))</f>
        <v>0.83387533590550833</v>
      </c>
      <c r="H8748">
        <f>0.00657894736842105*1.92006891787142</f>
        <v>1.2632032354417231E-2</v>
      </c>
      <c r="I8748">
        <v>1.2632032354417269E-2</v>
      </c>
    </row>
    <row r="8749" spans="1:9" x14ac:dyDescent="0.25">
      <c r="A8749">
        <v>382</v>
      </c>
      <c r="B8749" t="s">
        <v>2859</v>
      </c>
      <c r="C8749" t="s">
        <v>10</v>
      </c>
      <c r="D8749" t="s">
        <v>2861</v>
      </c>
      <c r="E8749">
        <f t="shared" si="403"/>
        <v>6.5789473684210523E-3</v>
      </c>
      <c r="F8749">
        <v>1</v>
      </c>
      <c r="G8749">
        <f>LOG(382/(1+1))</f>
        <v>2.2810333672477277</v>
      </c>
      <c r="H8749">
        <f>0.00657894736842105*5.25227342804663</f>
        <v>3.4554430447675179E-2</v>
      </c>
      <c r="I8749">
        <v>3.4554430447675193E-2</v>
      </c>
    </row>
    <row r="8750" spans="1:9" x14ac:dyDescent="0.25">
      <c r="A8750">
        <v>382</v>
      </c>
      <c r="B8750" t="s">
        <v>2859</v>
      </c>
      <c r="C8750" t="s">
        <v>10</v>
      </c>
      <c r="D8750" t="s">
        <v>204</v>
      </c>
      <c r="E8750">
        <f t="shared" si="403"/>
        <v>6.5789473684210523E-3</v>
      </c>
      <c r="F8750">
        <v>166</v>
      </c>
      <c r="G8750">
        <f>LOG(382/(166+1))</f>
        <v>0.35934689176412549</v>
      </c>
      <c r="H8750">
        <f>0.00657894736842105*0.82742679618982</f>
        <v>5.4435973433540766E-3</v>
      </c>
      <c r="I8750">
        <v>5.4435973433540792E-3</v>
      </c>
    </row>
    <row r="8751" spans="1:9" x14ac:dyDescent="0.25">
      <c r="A8751">
        <v>382</v>
      </c>
      <c r="B8751" t="s">
        <v>2859</v>
      </c>
      <c r="C8751" t="s">
        <v>10</v>
      </c>
      <c r="D8751" t="s">
        <v>76</v>
      </c>
      <c r="E8751">
        <f>3/152</f>
        <v>1.9736842105263157E-2</v>
      </c>
      <c r="F8751">
        <v>140</v>
      </c>
      <c r="G8751">
        <f>LOG(382/(140+1))</f>
        <v>0.43284425025632883</v>
      </c>
      <c r="H8751">
        <f>0.0197368421052631*0.996660718228407</f>
        <v>1.9670935228192188E-2</v>
      </c>
      <c r="I8751">
        <v>1.967093522819224E-2</v>
      </c>
    </row>
    <row r="8752" spans="1:9" x14ac:dyDescent="0.25">
      <c r="A8752">
        <v>382</v>
      </c>
      <c r="B8752" t="s">
        <v>2859</v>
      </c>
      <c r="C8752" t="s">
        <v>10</v>
      </c>
      <c r="D8752" t="s">
        <v>1067</v>
      </c>
      <c r="E8752">
        <f>1/152</f>
        <v>6.5789473684210523E-3</v>
      </c>
      <c r="F8752">
        <v>9</v>
      </c>
      <c r="G8752">
        <f>LOG(382/(9+1))</f>
        <v>1.5820633629117087</v>
      </c>
      <c r="H8752">
        <f>0.00657894736842105*3.64283551561252</f>
        <v>2.3966023129029727E-2</v>
      </c>
      <c r="I8752">
        <v>2.39660231290298E-2</v>
      </c>
    </row>
    <row r="8753" spans="1:9" x14ac:dyDescent="0.25">
      <c r="A8753">
        <v>382</v>
      </c>
      <c r="B8753" t="s">
        <v>2859</v>
      </c>
      <c r="C8753" t="s">
        <v>10</v>
      </c>
      <c r="D8753" t="s">
        <v>2066</v>
      </c>
      <c r="E8753">
        <f>1/152</f>
        <v>6.5789473684210523E-3</v>
      </c>
      <c r="F8753">
        <v>2</v>
      </c>
      <c r="G8753">
        <f>LOG(382/(2+1))</f>
        <v>2.1049421081920463</v>
      </c>
      <c r="H8753">
        <f>0.00657894736842105*4.84680831993846</f>
        <v>3.1886896841700381E-2</v>
      </c>
      <c r="I8753">
        <v>3.1886896841700429E-2</v>
      </c>
    </row>
    <row r="8754" spans="1:9" x14ac:dyDescent="0.25">
      <c r="A8754">
        <v>382</v>
      </c>
      <c r="B8754" t="s">
        <v>2859</v>
      </c>
      <c r="C8754" t="s">
        <v>10</v>
      </c>
      <c r="D8754" t="s">
        <v>41</v>
      </c>
      <c r="E8754">
        <f>3/152</f>
        <v>1.9736842105263157E-2</v>
      </c>
      <c r="F8754">
        <v>195</v>
      </c>
      <c r="G8754">
        <f>LOG(382/(195+1))</f>
        <v>0.28980729155523272</v>
      </c>
      <c r="H8754">
        <f>0.0197368421052631*0.667305949376058</f>
        <v>1.317051215873795E-2</v>
      </c>
      <c r="I8754">
        <v>1.317051215873799E-2</v>
      </c>
    </row>
    <row r="8755" spans="1:9" x14ac:dyDescent="0.25">
      <c r="A8755">
        <v>382</v>
      </c>
      <c r="B8755" t="s">
        <v>2859</v>
      </c>
      <c r="C8755" t="s">
        <v>10</v>
      </c>
      <c r="D8755" t="s">
        <v>26</v>
      </c>
      <c r="E8755">
        <f>1/152</f>
        <v>6.5789473684210523E-3</v>
      </c>
      <c r="F8755">
        <v>40</v>
      </c>
      <c r="G8755">
        <f>LOG(382/(40+1))</f>
        <v>0.96927950619197323</v>
      </c>
      <c r="H8755">
        <f>0.00657894736842105*2.23184854190226</f>
        <v>1.4683214091462228E-2</v>
      </c>
      <c r="I8755">
        <v>1.468321409146228E-2</v>
      </c>
    </row>
    <row r="8756" spans="1:9" x14ac:dyDescent="0.25">
      <c r="A8756">
        <v>382</v>
      </c>
      <c r="B8756" t="s">
        <v>2859</v>
      </c>
      <c r="C8756" t="s">
        <v>10</v>
      </c>
      <c r="D8756" t="s">
        <v>994</v>
      </c>
      <c r="E8756">
        <f>1/152</f>
        <v>6.5789473684210523E-3</v>
      </c>
      <c r="F8756">
        <v>37</v>
      </c>
      <c r="G8756">
        <f>LOG(382/(37+1))</f>
        <v>1.0022797662948986</v>
      </c>
      <c r="H8756">
        <f>0.00657894736842105*2.30783444888018</f>
        <v>1.5183121374211702E-2</v>
      </c>
      <c r="I8756">
        <v>1.518312137421177E-2</v>
      </c>
    </row>
    <row r="8757" spans="1:9" x14ac:dyDescent="0.25">
      <c r="A8757">
        <v>382</v>
      </c>
      <c r="B8757" t="s">
        <v>2859</v>
      </c>
      <c r="C8757" t="s">
        <v>10</v>
      </c>
      <c r="D8757" t="s">
        <v>144</v>
      </c>
      <c r="E8757">
        <f>2/152</f>
        <v>1.3157894736842105E-2</v>
      </c>
      <c r="F8757">
        <v>105</v>
      </c>
      <c r="G8757">
        <f>LOG(382/(105+1))</f>
        <v>0.55675749764693849</v>
      </c>
      <c r="H8757">
        <f>0.0131578947368421*1.2819815144945</f>
        <v>1.6868177822296045E-2</v>
      </c>
      <c r="I8757">
        <v>1.686817782229616E-2</v>
      </c>
    </row>
    <row r="8758" spans="1:9" x14ac:dyDescent="0.25">
      <c r="A8758">
        <v>382</v>
      </c>
      <c r="B8758" t="s">
        <v>2859</v>
      </c>
      <c r="C8758" t="s">
        <v>10</v>
      </c>
      <c r="D8758" t="s">
        <v>327</v>
      </c>
      <c r="E8758">
        <f>1/152</f>
        <v>6.5789473684210523E-3</v>
      </c>
      <c r="F8758">
        <v>46</v>
      </c>
      <c r="G8758">
        <f>LOG(382/(46+1))</f>
        <v>0.90996550497599127</v>
      </c>
      <c r="H8758">
        <f>0.00657894736842105*2.09527300689651</f>
        <v>1.3784690834845455E-2</v>
      </c>
      <c r="I8758">
        <v>1.3784690834845501E-2</v>
      </c>
    </row>
    <row r="8759" spans="1:9" x14ac:dyDescent="0.25">
      <c r="A8759">
        <v>382</v>
      </c>
      <c r="B8759" t="s">
        <v>2859</v>
      </c>
      <c r="C8759" t="s">
        <v>10</v>
      </c>
      <c r="D8759" t="s">
        <v>1857</v>
      </c>
      <c r="E8759">
        <f>2/152</f>
        <v>1.3157894736842105E-2</v>
      </c>
      <c r="F8759">
        <v>17</v>
      </c>
      <c r="G8759">
        <f>LOG(382/(17+1))</f>
        <v>1.3267908578084027</v>
      </c>
      <c r="H8759">
        <f>0.0131578947368421*3.05504885071041</f>
        <v>4.0198011193558009E-2</v>
      </c>
      <c r="I8759">
        <v>4.0198011193558029E-2</v>
      </c>
    </row>
    <row r="8760" spans="1:9" x14ac:dyDescent="0.25">
      <c r="A8760">
        <v>382</v>
      </c>
      <c r="B8760" t="s">
        <v>2859</v>
      </c>
      <c r="C8760" t="s">
        <v>10</v>
      </c>
      <c r="D8760" t="s">
        <v>133</v>
      </c>
      <c r="E8760">
        <f>4/152</f>
        <v>2.6315789473684209E-2</v>
      </c>
      <c r="F8760">
        <v>142</v>
      </c>
      <c r="G8760">
        <f>LOG(382/(142+1))</f>
        <v>0.42672732544664693</v>
      </c>
      <c r="H8760">
        <f>0.0263157894736842*0.982575978346667</f>
        <v>2.5857262588070171E-2</v>
      </c>
      <c r="I8760">
        <v>2.5857262588070209E-2</v>
      </c>
    </row>
    <row r="8761" spans="1:9" x14ac:dyDescent="0.25">
      <c r="A8761">
        <v>382</v>
      </c>
      <c r="B8761" t="s">
        <v>2859</v>
      </c>
      <c r="C8761" t="s">
        <v>10</v>
      </c>
      <c r="D8761" t="s">
        <v>2862</v>
      </c>
      <c r="E8761">
        <f>1/152</f>
        <v>6.5789473684210523E-3</v>
      </c>
      <c r="F8761">
        <v>1</v>
      </c>
      <c r="G8761">
        <f>LOG(382/(1+1))</f>
        <v>2.2810333672477277</v>
      </c>
      <c r="H8761">
        <f>0.00657894736842105*5.25227342804663</f>
        <v>3.4554430447675179E-2</v>
      </c>
      <c r="I8761">
        <v>3.4554430447675193E-2</v>
      </c>
    </row>
    <row r="8762" spans="1:9" x14ac:dyDescent="0.25">
      <c r="A8762">
        <v>382</v>
      </c>
      <c r="B8762" t="s">
        <v>2859</v>
      </c>
      <c r="C8762" t="s">
        <v>10</v>
      </c>
      <c r="D8762" t="s">
        <v>123</v>
      </c>
      <c r="E8762">
        <f>1/152</f>
        <v>6.5789473684210523E-3</v>
      </c>
      <c r="F8762">
        <v>74</v>
      </c>
      <c r="G8762">
        <f>LOG(382/(74+1))</f>
        <v>0.7070020995200087</v>
      </c>
      <c r="H8762">
        <f>0.00657894736842105*1.62793249507026</f>
        <v>1.0710082204409601E-2</v>
      </c>
      <c r="I8762">
        <v>1.0710082204409639E-2</v>
      </c>
    </row>
    <row r="8763" spans="1:9" x14ac:dyDescent="0.25">
      <c r="A8763">
        <v>382</v>
      </c>
      <c r="B8763" t="s">
        <v>2859</v>
      </c>
      <c r="C8763" t="s">
        <v>10</v>
      </c>
      <c r="D8763" t="s">
        <v>1855</v>
      </c>
      <c r="E8763">
        <f>3/152</f>
        <v>1.9736842105263157E-2</v>
      </c>
      <c r="F8763">
        <v>17</v>
      </c>
      <c r="G8763">
        <f>LOG(382/(17+1))</f>
        <v>1.3267908578084027</v>
      </c>
      <c r="H8763">
        <f>0.0197368421052631*3.05504885071041</f>
        <v>6.0297016790336867E-2</v>
      </c>
      <c r="I8763">
        <v>6.0297016790337041E-2</v>
      </c>
    </row>
    <row r="8764" spans="1:9" x14ac:dyDescent="0.25">
      <c r="A8764">
        <v>382</v>
      </c>
      <c r="B8764" t="s">
        <v>2859</v>
      </c>
      <c r="C8764" t="s">
        <v>10</v>
      </c>
      <c r="D8764" t="s">
        <v>2863</v>
      </c>
      <c r="E8764">
        <f t="shared" ref="E8764:E8773" si="404">1/152</f>
        <v>6.5789473684210523E-3</v>
      </c>
      <c r="F8764">
        <v>6</v>
      </c>
      <c r="G8764">
        <f>LOG(382/(6+1))</f>
        <v>1.736965322897452</v>
      </c>
      <c r="H8764">
        <f>0.00657894736842105*3.99951045955126</f>
        <v>2.6312568812837226E-2</v>
      </c>
      <c r="I8764">
        <v>2.631256881283725E-2</v>
      </c>
    </row>
    <row r="8765" spans="1:9" x14ac:dyDescent="0.25">
      <c r="A8765">
        <v>382</v>
      </c>
      <c r="B8765" t="s">
        <v>2859</v>
      </c>
      <c r="C8765" t="s">
        <v>10</v>
      </c>
      <c r="D8765" t="s">
        <v>2086</v>
      </c>
      <c r="E8765">
        <f t="shared" si="404"/>
        <v>6.5789473684210523E-3</v>
      </c>
      <c r="F8765">
        <v>2</v>
      </c>
      <c r="G8765">
        <f>LOG(382/(2+1))</f>
        <v>2.1049421081920463</v>
      </c>
      <c r="H8765">
        <f>0.00657894736842105*4.84680831993846</f>
        <v>3.1886896841700381E-2</v>
      </c>
      <c r="I8765">
        <v>3.1886896841700429E-2</v>
      </c>
    </row>
    <row r="8766" spans="1:9" x14ac:dyDescent="0.25">
      <c r="A8766">
        <v>382</v>
      </c>
      <c r="B8766" t="s">
        <v>2859</v>
      </c>
      <c r="C8766" t="s">
        <v>10</v>
      </c>
      <c r="D8766" t="s">
        <v>330</v>
      </c>
      <c r="E8766">
        <f t="shared" si="404"/>
        <v>6.5789473684210523E-3</v>
      </c>
      <c r="F8766">
        <v>3</v>
      </c>
      <c r="G8766">
        <f>LOG(382/(3+1))</f>
        <v>1.9800033715837464</v>
      </c>
      <c r="H8766">
        <f>0.00657894736842105*4.55912624748668</f>
        <v>2.999425162820183E-2</v>
      </c>
      <c r="I8766">
        <v>2.9994251628201869E-2</v>
      </c>
    </row>
    <row r="8767" spans="1:9" x14ac:dyDescent="0.25">
      <c r="A8767">
        <v>382</v>
      </c>
      <c r="B8767" t="s">
        <v>2859</v>
      </c>
      <c r="C8767" t="s">
        <v>10</v>
      </c>
      <c r="D8767" t="s">
        <v>487</v>
      </c>
      <c r="E8767">
        <f t="shared" si="404"/>
        <v>6.5789473684210523E-3</v>
      </c>
      <c r="F8767">
        <v>32</v>
      </c>
      <c r="G8767">
        <f>LOG(382/(32+1))</f>
        <v>1.0635494230338212</v>
      </c>
      <c r="H8767">
        <f>0.00657894736842105*2.44891304714009</f>
        <v>1.6111270046974269E-2</v>
      </c>
      <c r="I8767">
        <v>1.611127004697431E-2</v>
      </c>
    </row>
    <row r="8768" spans="1:9" x14ac:dyDescent="0.25">
      <c r="A8768">
        <v>382</v>
      </c>
      <c r="B8768" t="s">
        <v>2859</v>
      </c>
      <c r="C8768" t="s">
        <v>10</v>
      </c>
      <c r="D8768" t="s">
        <v>1892</v>
      </c>
      <c r="E8768">
        <f t="shared" si="404"/>
        <v>6.5789473684210523E-3</v>
      </c>
      <c r="F8768">
        <v>2</v>
      </c>
      <c r="G8768">
        <f>LOG(382/(2+1))</f>
        <v>2.1049421081920463</v>
      </c>
      <c r="H8768">
        <f>0.00657894736842105*4.84680831993846</f>
        <v>3.1886896841700381E-2</v>
      </c>
      <c r="I8768">
        <v>3.1886896841700429E-2</v>
      </c>
    </row>
    <row r="8769" spans="1:9" x14ac:dyDescent="0.25">
      <c r="A8769">
        <v>382</v>
      </c>
      <c r="B8769" t="s">
        <v>2859</v>
      </c>
      <c r="C8769" t="s">
        <v>10</v>
      </c>
      <c r="D8769" t="s">
        <v>36</v>
      </c>
      <c r="E8769">
        <f t="shared" si="404"/>
        <v>6.5789473684210523E-3</v>
      </c>
      <c r="F8769">
        <v>58</v>
      </c>
      <c r="G8769">
        <f>LOG(382/(58+1))</f>
        <v>0.81121135126956456</v>
      </c>
      <c r="H8769">
        <f>0.00657894736842105*1.86788316470085</f>
        <v>1.228870503092664E-2</v>
      </c>
      <c r="I8769">
        <v>1.228870503092668E-2</v>
      </c>
    </row>
    <row r="8770" spans="1:9" x14ac:dyDescent="0.25">
      <c r="A8770">
        <v>382</v>
      </c>
      <c r="B8770" t="s">
        <v>2859</v>
      </c>
      <c r="C8770" t="s">
        <v>10</v>
      </c>
      <c r="D8770" t="s">
        <v>161</v>
      </c>
      <c r="E8770">
        <f t="shared" si="404"/>
        <v>6.5789473684210523E-3</v>
      </c>
      <c r="F8770">
        <v>33</v>
      </c>
      <c r="G8770">
        <f>LOG(382/(33+1))</f>
        <v>1.0505844458694535</v>
      </c>
      <c r="H8770">
        <f>0.00657894736842105*2.41906008399041</f>
        <v>1.5914868973621113E-2</v>
      </c>
      <c r="I8770">
        <v>1.5914868973621141E-2</v>
      </c>
    </row>
    <row r="8771" spans="1:9" x14ac:dyDescent="0.25">
      <c r="A8771">
        <v>382</v>
      </c>
      <c r="B8771" t="s">
        <v>2859</v>
      </c>
      <c r="C8771" t="s">
        <v>10</v>
      </c>
      <c r="D8771" t="s">
        <v>932</v>
      </c>
      <c r="E8771">
        <f t="shared" si="404"/>
        <v>6.5789473684210523E-3</v>
      </c>
      <c r="F8771">
        <v>35</v>
      </c>
      <c r="G8771">
        <f>LOG(382/(35+1))</f>
        <v>1.0257608621444214</v>
      </c>
      <c r="H8771">
        <f>0.00657894736842105*2.36190167015046</f>
        <v>1.5538826777305651E-2</v>
      </c>
      <c r="I8771">
        <v>1.5538826777305691E-2</v>
      </c>
    </row>
    <row r="8772" spans="1:9" x14ac:dyDescent="0.25">
      <c r="A8772">
        <v>382</v>
      </c>
      <c r="B8772" t="s">
        <v>2859</v>
      </c>
      <c r="C8772" t="s">
        <v>10</v>
      </c>
      <c r="D8772" t="s">
        <v>852</v>
      </c>
      <c r="E8772">
        <f t="shared" si="404"/>
        <v>6.5789473684210523E-3</v>
      </c>
      <c r="F8772">
        <v>10</v>
      </c>
      <c r="G8772">
        <f>LOG(382/(10+1))</f>
        <v>1.5406706777534838</v>
      </c>
      <c r="H8772">
        <f>0.00657894736842105*3.5475253358082</f>
        <v>2.3338982472422359E-2</v>
      </c>
      <c r="I8772">
        <v>2.3338982472422401E-2</v>
      </c>
    </row>
    <row r="8773" spans="1:9" x14ac:dyDescent="0.25">
      <c r="A8773">
        <v>382</v>
      </c>
      <c r="B8773" t="s">
        <v>2859</v>
      </c>
      <c r="C8773" t="s">
        <v>10</v>
      </c>
      <c r="D8773" t="s">
        <v>490</v>
      </c>
      <c r="E8773">
        <f t="shared" si="404"/>
        <v>6.5789473684210523E-3</v>
      </c>
      <c r="F8773">
        <v>31</v>
      </c>
      <c r="G8773">
        <f>LOG(382/(31+1))</f>
        <v>1.0769133845918029</v>
      </c>
      <c r="H8773">
        <f>0.00657894736842105*2.47968470580684</f>
        <v>1.6313715169781834E-2</v>
      </c>
      <c r="I8773">
        <v>1.63137151697819E-2</v>
      </c>
    </row>
    <row r="8774" spans="1:9" x14ac:dyDescent="0.25">
      <c r="A8774">
        <v>382</v>
      </c>
      <c r="B8774" t="s">
        <v>2859</v>
      </c>
      <c r="C8774" t="s">
        <v>10</v>
      </c>
      <c r="D8774" t="s">
        <v>2204</v>
      </c>
      <c r="E8774">
        <f>2/152</f>
        <v>1.3157894736842105E-2</v>
      </c>
      <c r="F8774">
        <v>7</v>
      </c>
      <c r="G8774">
        <f>LOG(382/(7+1))</f>
        <v>1.6789733759197651</v>
      </c>
      <c r="H8774">
        <f>0.0131578947368421*3.86597906692673</f>
        <v>5.086814561745695E-2</v>
      </c>
      <c r="I8774">
        <v>5.0868145617457089E-2</v>
      </c>
    </row>
    <row r="8775" spans="1:9" x14ac:dyDescent="0.25">
      <c r="A8775">
        <v>382</v>
      </c>
      <c r="B8775" t="s">
        <v>2859</v>
      </c>
      <c r="C8775" t="s">
        <v>10</v>
      </c>
      <c r="D8775" t="s">
        <v>1727</v>
      </c>
      <c r="E8775">
        <f>1/152</f>
        <v>6.5789473684210523E-3</v>
      </c>
      <c r="F8775">
        <v>27</v>
      </c>
      <c r="G8775">
        <f>LOG(382/(27+1))</f>
        <v>1.1349053315694895</v>
      </c>
      <c r="H8775">
        <f>0.00657894736842105*2.61321609843137</f>
        <v>1.7192211173890585E-2</v>
      </c>
      <c r="I8775">
        <v>1.7192211173890599E-2</v>
      </c>
    </row>
    <row r="8776" spans="1:9" x14ac:dyDescent="0.25">
      <c r="A8776">
        <v>382</v>
      </c>
      <c r="B8776" t="s">
        <v>2859</v>
      </c>
      <c r="C8776" t="s">
        <v>10</v>
      </c>
      <c r="D8776" t="s">
        <v>2864</v>
      </c>
      <c r="E8776">
        <f>1/152</f>
        <v>6.5789473684210523E-3</v>
      </c>
      <c r="F8776">
        <v>1</v>
      </c>
      <c r="G8776">
        <f>LOG(382/(1+1))</f>
        <v>2.2810333672477277</v>
      </c>
      <c r="H8776">
        <f>0.00657894736842105*5.25227342804663</f>
        <v>3.4554430447675179E-2</v>
      </c>
      <c r="I8776">
        <v>3.4554430447675193E-2</v>
      </c>
    </row>
    <row r="8777" spans="1:9" x14ac:dyDescent="0.25">
      <c r="A8777">
        <v>382</v>
      </c>
      <c r="B8777" t="s">
        <v>2859</v>
      </c>
      <c r="C8777" t="s">
        <v>10</v>
      </c>
      <c r="D8777" t="s">
        <v>324</v>
      </c>
      <c r="E8777">
        <f>2/152</f>
        <v>1.3157894736842105E-2</v>
      </c>
      <c r="F8777">
        <v>82</v>
      </c>
      <c r="G8777">
        <f>LOG(382/(82+1))</f>
        <v>0.66298527053563483</v>
      </c>
      <c r="H8777">
        <f>0.0131578947368421*1.52658000080997</f>
        <v>2.0086578958025909E-2</v>
      </c>
      <c r="I8777">
        <v>2.008657895802602E-2</v>
      </c>
    </row>
    <row r="8778" spans="1:9" x14ac:dyDescent="0.25">
      <c r="A8778">
        <v>382</v>
      </c>
      <c r="B8778" t="s">
        <v>2859</v>
      </c>
      <c r="C8778" t="s">
        <v>10</v>
      </c>
      <c r="D8778" t="s">
        <v>1222</v>
      </c>
      <c r="E8778">
        <f>2/152</f>
        <v>1.3157894736842105E-2</v>
      </c>
      <c r="F8778">
        <v>56</v>
      </c>
      <c r="G8778">
        <f>LOG(382/(56+1))</f>
        <v>0.82618850723921733</v>
      </c>
      <c r="H8778">
        <f>0.0131578947368421*1.90236934077202</f>
        <v>2.5031175536473934E-2</v>
      </c>
      <c r="I8778">
        <v>2.503117553647401E-2</v>
      </c>
    </row>
    <row r="8779" spans="1:9" x14ac:dyDescent="0.25">
      <c r="A8779">
        <v>382</v>
      </c>
      <c r="B8779" t="s">
        <v>2859</v>
      </c>
      <c r="C8779" t="s">
        <v>10</v>
      </c>
      <c r="D8779" t="s">
        <v>81</v>
      </c>
      <c r="E8779">
        <f t="shared" ref="E8779:E8787" si="405">1/152</f>
        <v>6.5789473684210523E-3</v>
      </c>
      <c r="F8779">
        <v>114</v>
      </c>
      <c r="G8779">
        <f>LOG(382/(114+1))</f>
        <v>0.52136552255809698</v>
      </c>
      <c r="H8779">
        <f>0.00657894736842105*1.20048848024332</f>
        <v>7.8979505279165758E-3</v>
      </c>
      <c r="I8779">
        <v>7.8979505279166123E-3</v>
      </c>
    </row>
    <row r="8780" spans="1:9" x14ac:dyDescent="0.25">
      <c r="A8780">
        <v>382</v>
      </c>
      <c r="B8780" t="s">
        <v>2859</v>
      </c>
      <c r="C8780" t="s">
        <v>10</v>
      </c>
      <c r="D8780" t="s">
        <v>596</v>
      </c>
      <c r="E8780">
        <f t="shared" si="405"/>
        <v>6.5789473684210523E-3</v>
      </c>
      <c r="F8780">
        <v>60</v>
      </c>
      <c r="G8780">
        <f>LOG(382/(60+1))</f>
        <v>0.79673352790094176</v>
      </c>
      <c r="H8780">
        <f>0.00657894736842105*1.83454674443326</f>
        <v>1.20693864765346E-2</v>
      </c>
      <c r="I8780">
        <v>1.2069386476534631E-2</v>
      </c>
    </row>
    <row r="8781" spans="1:9" x14ac:dyDescent="0.25">
      <c r="A8781">
        <v>382</v>
      </c>
      <c r="B8781" t="s">
        <v>2859</v>
      </c>
      <c r="C8781" t="s">
        <v>10</v>
      </c>
      <c r="D8781" t="s">
        <v>2865</v>
      </c>
      <c r="E8781">
        <f t="shared" si="405"/>
        <v>6.5789473684210523E-3</v>
      </c>
      <c r="F8781">
        <v>1</v>
      </c>
      <c r="G8781">
        <f>LOG(382/(1+1))</f>
        <v>2.2810333672477277</v>
      </c>
      <c r="H8781">
        <f>0.00657894736842105*5.25227342804663</f>
        <v>3.4554430447675179E-2</v>
      </c>
      <c r="I8781">
        <v>3.4554430447675193E-2</v>
      </c>
    </row>
    <row r="8782" spans="1:9" x14ac:dyDescent="0.25">
      <c r="A8782">
        <v>382</v>
      </c>
      <c r="B8782" t="s">
        <v>2859</v>
      </c>
      <c r="C8782" t="s">
        <v>10</v>
      </c>
      <c r="D8782" t="s">
        <v>1073</v>
      </c>
      <c r="E8782">
        <f t="shared" si="405"/>
        <v>6.5789473684210523E-3</v>
      </c>
      <c r="F8782">
        <v>25</v>
      </c>
      <c r="G8782">
        <f>LOG(382/(25+1))</f>
        <v>1.1670900149408907</v>
      </c>
      <c r="H8782">
        <f>0.00657894736842105*2.68732407058509</f>
        <v>1.767976362227032E-2</v>
      </c>
      <c r="I8782">
        <v>1.7679763622270351E-2</v>
      </c>
    </row>
    <row r="8783" spans="1:9" x14ac:dyDescent="0.25">
      <c r="A8783">
        <v>382</v>
      </c>
      <c r="B8783" t="s">
        <v>2859</v>
      </c>
      <c r="C8783" t="s">
        <v>10</v>
      </c>
      <c r="D8783" t="s">
        <v>2866</v>
      </c>
      <c r="E8783">
        <f t="shared" si="405"/>
        <v>6.5789473684210523E-3</v>
      </c>
      <c r="F8783">
        <v>1</v>
      </c>
      <c r="G8783">
        <f>LOG(382/(1+1))</f>
        <v>2.2810333672477277</v>
      </c>
      <c r="H8783">
        <f>0.00657894736842105*5.25227342804663</f>
        <v>3.4554430447675179E-2</v>
      </c>
      <c r="I8783">
        <v>3.4554430447675193E-2</v>
      </c>
    </row>
    <row r="8784" spans="1:9" x14ac:dyDescent="0.25">
      <c r="A8784">
        <v>382</v>
      </c>
      <c r="B8784" t="s">
        <v>2859</v>
      </c>
      <c r="C8784" t="s">
        <v>10</v>
      </c>
      <c r="D8784" t="s">
        <v>1974</v>
      </c>
      <c r="E8784">
        <f t="shared" si="405"/>
        <v>6.5789473684210523E-3</v>
      </c>
      <c r="F8784">
        <v>9</v>
      </c>
      <c r="G8784">
        <f>LOG(382/(9+1))</f>
        <v>1.5820633629117087</v>
      </c>
      <c r="H8784">
        <f>0.00657894736842105*3.64283551561252</f>
        <v>2.3966023129029727E-2</v>
      </c>
      <c r="I8784">
        <v>2.39660231290298E-2</v>
      </c>
    </row>
    <row r="8785" spans="1:9" x14ac:dyDescent="0.25">
      <c r="A8785">
        <v>382</v>
      </c>
      <c r="B8785" t="s">
        <v>2859</v>
      </c>
      <c r="C8785" t="s">
        <v>10</v>
      </c>
      <c r="D8785" t="s">
        <v>786</v>
      </c>
      <c r="E8785">
        <f t="shared" si="405"/>
        <v>6.5789473684210523E-3</v>
      </c>
      <c r="F8785">
        <v>11</v>
      </c>
      <c r="G8785">
        <f>LOG(382/(11+1))</f>
        <v>1.5028821168640838</v>
      </c>
      <c r="H8785">
        <f>0.00657894736842105*3.46051395881857</f>
        <v>2.276653920275374E-2</v>
      </c>
      <c r="I8785">
        <v>2.2766539202753781E-2</v>
      </c>
    </row>
    <row r="8786" spans="1:9" x14ac:dyDescent="0.25">
      <c r="A8786">
        <v>382</v>
      </c>
      <c r="B8786" t="s">
        <v>2859</v>
      </c>
      <c r="C8786" t="s">
        <v>10</v>
      </c>
      <c r="D8786" t="s">
        <v>2036</v>
      </c>
      <c r="E8786">
        <f t="shared" si="405"/>
        <v>6.5789473684210523E-3</v>
      </c>
      <c r="F8786">
        <v>7</v>
      </c>
      <c r="G8786">
        <f>LOG(382/(7+1))</f>
        <v>1.6789733759197651</v>
      </c>
      <c r="H8786">
        <f>0.00657894736842105*3.86597906692673</f>
        <v>2.5434072808728475E-2</v>
      </c>
      <c r="I8786">
        <v>2.5434072808728541E-2</v>
      </c>
    </row>
    <row r="8787" spans="1:9" x14ac:dyDescent="0.25">
      <c r="A8787">
        <v>382</v>
      </c>
      <c r="B8787" t="s">
        <v>2859</v>
      </c>
      <c r="C8787" t="s">
        <v>10</v>
      </c>
      <c r="D8787" t="s">
        <v>220</v>
      </c>
      <c r="E8787">
        <f t="shared" si="405"/>
        <v>6.5789473684210523E-3</v>
      </c>
      <c r="F8787">
        <v>5</v>
      </c>
      <c r="G8787">
        <f>LOG(382/(5+1))</f>
        <v>1.803912112528065</v>
      </c>
      <c r="H8787">
        <f>0.00657894736842105*4.15366113937852</f>
        <v>2.7326718022227092E-2</v>
      </c>
      <c r="I8787">
        <v>2.7326718022227098E-2</v>
      </c>
    </row>
    <row r="8788" spans="1:9" x14ac:dyDescent="0.25">
      <c r="A8788">
        <v>382</v>
      </c>
      <c r="B8788" t="s">
        <v>2859</v>
      </c>
      <c r="C8788" t="s">
        <v>10</v>
      </c>
      <c r="D8788" t="s">
        <v>593</v>
      </c>
      <c r="E8788">
        <f>2/152</f>
        <v>1.3157894736842105E-2</v>
      </c>
      <c r="F8788">
        <v>30</v>
      </c>
      <c r="G8788">
        <f>LOG(382/(30+1))</f>
        <v>1.090701669077436</v>
      </c>
      <c r="H8788">
        <f>0.0131578947368421*2.51143340412142</f>
        <v>3.3045176370018671E-2</v>
      </c>
      <c r="I8788">
        <v>3.3045176370018803E-2</v>
      </c>
    </row>
    <row r="8789" spans="1:9" x14ac:dyDescent="0.25">
      <c r="A8789">
        <v>382</v>
      </c>
      <c r="B8789" t="s">
        <v>2859</v>
      </c>
      <c r="C8789" t="s">
        <v>10</v>
      </c>
      <c r="D8789" t="s">
        <v>594</v>
      </c>
      <c r="E8789">
        <f>2/152</f>
        <v>1.3157894736842105E-2</v>
      </c>
      <c r="F8789">
        <v>36</v>
      </c>
      <c r="G8789">
        <f>LOG(382/(36+1))</f>
        <v>1.0138616388447137</v>
      </c>
      <c r="H8789">
        <f>0.0131578947368421*2.33450269596235</f>
        <v>3.0717140736346696E-2</v>
      </c>
      <c r="I8789">
        <v>3.071714073634672E-2</v>
      </c>
    </row>
    <row r="8790" spans="1:9" x14ac:dyDescent="0.25">
      <c r="A8790">
        <v>382</v>
      </c>
      <c r="B8790" t="s">
        <v>2859</v>
      </c>
      <c r="C8790" t="s">
        <v>10</v>
      </c>
      <c r="D8790" t="s">
        <v>216</v>
      </c>
      <c r="E8790">
        <f>2/152</f>
        <v>1.3157894736842105E-2</v>
      </c>
      <c r="F8790">
        <v>63</v>
      </c>
      <c r="G8790">
        <f>LOG(382/(63+1))</f>
        <v>0.7758833889278216</v>
      </c>
      <c r="H8790">
        <f>0.0131578947368421*1.7865375252469</f>
        <v>2.3507072700617096E-2</v>
      </c>
      <c r="I8790">
        <v>2.3507072700617151E-2</v>
      </c>
    </row>
    <row r="8791" spans="1:9" x14ac:dyDescent="0.25">
      <c r="A8791">
        <v>382</v>
      </c>
      <c r="B8791" t="s">
        <v>2859</v>
      </c>
      <c r="C8791" t="s">
        <v>10</v>
      </c>
      <c r="D8791" t="s">
        <v>764</v>
      </c>
      <c r="E8791">
        <f t="shared" ref="E8791:E8803" si="406">1/152</f>
        <v>6.5789473684210523E-3</v>
      </c>
      <c r="F8791">
        <v>57</v>
      </c>
      <c r="G8791">
        <f>LOG(382/(57+1))</f>
        <v>0.81863536934877146</v>
      </c>
      <c r="H8791">
        <f>0.00657894736842105*1.88497759806015</f>
        <v>1.2401168408290454E-2</v>
      </c>
      <c r="I8791">
        <v>1.2401168408290499E-2</v>
      </c>
    </row>
    <row r="8792" spans="1:9" x14ac:dyDescent="0.25">
      <c r="A8792">
        <v>382</v>
      </c>
      <c r="B8792" t="s">
        <v>2859</v>
      </c>
      <c r="C8792" t="s">
        <v>10</v>
      </c>
      <c r="D8792" t="s">
        <v>2867</v>
      </c>
      <c r="E8792">
        <f t="shared" si="406"/>
        <v>6.5789473684210523E-3</v>
      </c>
      <c r="F8792">
        <v>1</v>
      </c>
      <c r="G8792">
        <f>LOG(382/(1+1))</f>
        <v>2.2810333672477277</v>
      </c>
      <c r="H8792">
        <f>0.00657894736842105*5.25227342804663</f>
        <v>3.4554430447675179E-2</v>
      </c>
      <c r="I8792">
        <v>3.4554430447675193E-2</v>
      </c>
    </row>
    <row r="8793" spans="1:9" x14ac:dyDescent="0.25">
      <c r="A8793">
        <v>382</v>
      </c>
      <c r="B8793" t="s">
        <v>2859</v>
      </c>
      <c r="C8793" t="s">
        <v>10</v>
      </c>
      <c r="D8793" t="s">
        <v>1303</v>
      </c>
      <c r="E8793">
        <f t="shared" si="406"/>
        <v>6.5789473684210523E-3</v>
      </c>
      <c r="F8793">
        <v>17</v>
      </c>
      <c r="G8793">
        <f>LOG(382/(17+1))</f>
        <v>1.3267908578084027</v>
      </c>
      <c r="H8793">
        <f>0.00657894736842105*3.05504885071041</f>
        <v>2.0099005596779004E-2</v>
      </c>
      <c r="I8793">
        <v>2.0099005596779011E-2</v>
      </c>
    </row>
    <row r="8794" spans="1:9" x14ac:dyDescent="0.25">
      <c r="A8794">
        <v>382</v>
      </c>
      <c r="B8794" t="s">
        <v>2859</v>
      </c>
      <c r="C8794" t="s">
        <v>10</v>
      </c>
      <c r="D8794" t="s">
        <v>1012</v>
      </c>
      <c r="E8794">
        <f t="shared" si="406"/>
        <v>6.5789473684210523E-3</v>
      </c>
      <c r="F8794">
        <v>17</v>
      </c>
      <c r="G8794">
        <f>LOG(382/(17+1))</f>
        <v>1.3267908578084027</v>
      </c>
      <c r="H8794">
        <f>0.00657894736842105*3.05504885071041</f>
        <v>2.0099005596779004E-2</v>
      </c>
      <c r="I8794">
        <v>2.0099005596779011E-2</v>
      </c>
    </row>
    <row r="8795" spans="1:9" x14ac:dyDescent="0.25">
      <c r="A8795">
        <v>382</v>
      </c>
      <c r="B8795" t="s">
        <v>2859</v>
      </c>
      <c r="C8795" t="s">
        <v>10</v>
      </c>
      <c r="D8795" t="s">
        <v>2868</v>
      </c>
      <c r="E8795">
        <f t="shared" si="406"/>
        <v>6.5789473684210523E-3</v>
      </c>
      <c r="F8795">
        <v>1</v>
      </c>
      <c r="G8795">
        <f>LOG(382/(1+1))</f>
        <v>2.2810333672477277</v>
      </c>
      <c r="H8795">
        <f>0.00657894736842105*5.25227342804663</f>
        <v>3.4554430447675179E-2</v>
      </c>
      <c r="I8795">
        <v>3.4554430447675193E-2</v>
      </c>
    </row>
    <row r="8796" spans="1:9" x14ac:dyDescent="0.25">
      <c r="A8796">
        <v>382</v>
      </c>
      <c r="B8796" t="s">
        <v>2859</v>
      </c>
      <c r="C8796" t="s">
        <v>10</v>
      </c>
      <c r="D8796" t="s">
        <v>2869</v>
      </c>
      <c r="E8796">
        <f t="shared" si="406"/>
        <v>6.5789473684210523E-3</v>
      </c>
      <c r="F8796">
        <v>1</v>
      </c>
      <c r="G8796">
        <f>LOG(382/(1+1))</f>
        <v>2.2810333672477277</v>
      </c>
      <c r="H8796">
        <f>0.00657894736842105*5.25227342804663</f>
        <v>3.4554430447675179E-2</v>
      </c>
      <c r="I8796">
        <v>3.4554430447675193E-2</v>
      </c>
    </row>
    <row r="8797" spans="1:9" x14ac:dyDescent="0.25">
      <c r="A8797">
        <v>382</v>
      </c>
      <c r="B8797" t="s">
        <v>2859</v>
      </c>
      <c r="C8797" t="s">
        <v>10</v>
      </c>
      <c r="D8797" t="s">
        <v>542</v>
      </c>
      <c r="E8797">
        <f t="shared" si="406"/>
        <v>6.5789473684210523E-3</v>
      </c>
      <c r="F8797">
        <v>42</v>
      </c>
      <c r="G8797">
        <f>LOG(382/(42+1))</f>
        <v>0.94859490733212215</v>
      </c>
      <c r="H8797">
        <f>0.00657894736842105*2.18422049291301</f>
        <v>1.4369871663901374E-2</v>
      </c>
      <c r="I8797">
        <v>1.43698716639014E-2</v>
      </c>
    </row>
    <row r="8798" spans="1:9" x14ac:dyDescent="0.25">
      <c r="A8798">
        <v>382</v>
      </c>
      <c r="B8798" t="s">
        <v>2859</v>
      </c>
      <c r="C8798" t="s">
        <v>10</v>
      </c>
      <c r="D8798" t="s">
        <v>2196</v>
      </c>
      <c r="E8798">
        <f t="shared" si="406"/>
        <v>6.5789473684210523E-3</v>
      </c>
      <c r="F8798">
        <v>2</v>
      </c>
      <c r="G8798">
        <f>LOG(382/(2+1))</f>
        <v>2.1049421081920463</v>
      </c>
      <c r="H8798">
        <f>0.00657894736842105*4.84680831993846</f>
        <v>3.1886896841700381E-2</v>
      </c>
      <c r="I8798">
        <v>3.1886896841700429E-2</v>
      </c>
    </row>
    <row r="8799" spans="1:9" x14ac:dyDescent="0.25">
      <c r="A8799">
        <v>382</v>
      </c>
      <c r="B8799" t="s">
        <v>2859</v>
      </c>
      <c r="C8799" t="s">
        <v>10</v>
      </c>
      <c r="D8799" t="s">
        <v>1433</v>
      </c>
      <c r="E8799">
        <f t="shared" si="406"/>
        <v>6.5789473684210523E-3</v>
      </c>
      <c r="F8799">
        <v>21</v>
      </c>
      <c r="G8799">
        <f>LOG(382/(21+1))</f>
        <v>1.2396406820895025</v>
      </c>
      <c r="H8799">
        <f>0.00657894736842105*2.85437815524825</f>
        <v>1.8778803652949004E-2</v>
      </c>
      <c r="I8799">
        <v>1.877880365294907E-2</v>
      </c>
    </row>
    <row r="8800" spans="1:9" x14ac:dyDescent="0.25">
      <c r="A8800">
        <v>382</v>
      </c>
      <c r="B8800" t="s">
        <v>2859</v>
      </c>
      <c r="C8800" t="s">
        <v>10</v>
      </c>
      <c r="D8800" t="s">
        <v>432</v>
      </c>
      <c r="E8800">
        <f t="shared" si="406"/>
        <v>6.5789473684210523E-3</v>
      </c>
      <c r="F8800">
        <v>67</v>
      </c>
      <c r="G8800">
        <f>LOG(382/(67+1))</f>
        <v>0.7495544502054724</v>
      </c>
      <c r="H8800">
        <f>0.00657894736842105*1.72591290343046</f>
        <v>1.1354690154147759E-2</v>
      </c>
      <c r="I8800">
        <v>1.135469015414782E-2</v>
      </c>
    </row>
    <row r="8801" spans="1:9" x14ac:dyDescent="0.25">
      <c r="A8801">
        <v>382</v>
      </c>
      <c r="B8801" t="s">
        <v>2859</v>
      </c>
      <c r="C8801" t="s">
        <v>10</v>
      </c>
      <c r="D8801" t="s">
        <v>1473</v>
      </c>
      <c r="E8801">
        <f t="shared" si="406"/>
        <v>6.5789473684210523E-3</v>
      </c>
      <c r="F8801">
        <v>39</v>
      </c>
      <c r="G8801">
        <f>LOG(382/(39+1))</f>
        <v>0.9800033715837464</v>
      </c>
      <c r="H8801">
        <f>0.00657894736842105*2.25654115449263</f>
        <v>1.4845665490083086E-2</v>
      </c>
      <c r="I8801">
        <v>1.484566549008315E-2</v>
      </c>
    </row>
    <row r="8802" spans="1:9" x14ac:dyDescent="0.25">
      <c r="A8802">
        <v>382</v>
      </c>
      <c r="B8802" t="s">
        <v>2859</v>
      </c>
      <c r="C8802" t="s">
        <v>10</v>
      </c>
      <c r="D8802" t="s">
        <v>147</v>
      </c>
      <c r="E8802">
        <f t="shared" si="406"/>
        <v>6.5789473684210523E-3</v>
      </c>
      <c r="F8802">
        <v>48</v>
      </c>
      <c r="G8802">
        <f>LOG(382/(48+1))</f>
        <v>0.89186728288319506</v>
      </c>
      <c r="H8802">
        <f>0.00657894736842105*2.05360031049594</f>
        <v>1.3510528358525915E-2</v>
      </c>
      <c r="I8802">
        <v>1.3510528358525981E-2</v>
      </c>
    </row>
    <row r="8803" spans="1:9" x14ac:dyDescent="0.25">
      <c r="A8803">
        <v>382</v>
      </c>
      <c r="B8803" t="s">
        <v>2859</v>
      </c>
      <c r="C8803" t="s">
        <v>10</v>
      </c>
      <c r="D8803" t="s">
        <v>599</v>
      </c>
      <c r="E8803">
        <f t="shared" si="406"/>
        <v>6.5789473684210523E-3</v>
      </c>
      <c r="F8803">
        <v>28</v>
      </c>
      <c r="G8803">
        <f>LOG(382/(28+1))</f>
        <v>1.1196653650127526</v>
      </c>
      <c r="H8803">
        <f>0.00657894736842105*2.5781247786201</f>
        <v>1.6961347227763806E-2</v>
      </c>
      <c r="I8803">
        <v>1.696134722776382E-2</v>
      </c>
    </row>
    <row r="8804" spans="1:9" x14ac:dyDescent="0.25">
      <c r="A8804">
        <v>382</v>
      </c>
      <c r="B8804" t="s">
        <v>2859</v>
      </c>
      <c r="C8804" t="s">
        <v>10</v>
      </c>
      <c r="D8804" t="s">
        <v>600</v>
      </c>
      <c r="E8804">
        <f>2/152</f>
        <v>1.3157894736842105E-2</v>
      </c>
      <c r="F8804">
        <v>102</v>
      </c>
      <c r="G8804">
        <f>LOG(382/(102+1))</f>
        <v>0.56922613820653656</v>
      </c>
      <c r="H8804">
        <f>0.0131578947368421*1.31069162037693</f>
        <v>1.7245942373380653E-2</v>
      </c>
      <c r="I8804">
        <v>1.7245942373380781E-2</v>
      </c>
    </row>
    <row r="8805" spans="1:9" x14ac:dyDescent="0.25">
      <c r="A8805">
        <v>382</v>
      </c>
      <c r="B8805" t="s">
        <v>2859</v>
      </c>
      <c r="C8805" t="s">
        <v>10</v>
      </c>
      <c r="D8805" t="s">
        <v>995</v>
      </c>
      <c r="E8805">
        <f t="shared" ref="E8805:E8819" si="407">1/152</f>
        <v>6.5789473684210523E-3</v>
      </c>
      <c r="F8805">
        <v>2</v>
      </c>
      <c r="G8805">
        <f>LOG(382/(2+1))</f>
        <v>2.1049421081920463</v>
      </c>
      <c r="H8805">
        <f>0.00657894736842105*4.84680831993846</f>
        <v>3.1886896841700381E-2</v>
      </c>
      <c r="I8805">
        <v>3.1886896841700429E-2</v>
      </c>
    </row>
    <row r="8806" spans="1:9" x14ac:dyDescent="0.25">
      <c r="A8806">
        <v>382</v>
      </c>
      <c r="B8806" t="s">
        <v>2859</v>
      </c>
      <c r="C8806" t="s">
        <v>10</v>
      </c>
      <c r="D8806" t="s">
        <v>1926</v>
      </c>
      <c r="E8806">
        <f t="shared" si="407"/>
        <v>6.5789473684210523E-3</v>
      </c>
      <c r="F8806">
        <v>4</v>
      </c>
      <c r="G8806">
        <f>LOG(382/(4+1))</f>
        <v>1.8830933585756899</v>
      </c>
      <c r="H8806">
        <f>0.00657894736842105*4.33598269617247</f>
        <v>2.8526201948503083E-2</v>
      </c>
      <c r="I8806">
        <v>2.8526201948503121E-2</v>
      </c>
    </row>
    <row r="8807" spans="1:9" x14ac:dyDescent="0.25">
      <c r="A8807">
        <v>382</v>
      </c>
      <c r="B8807" t="s">
        <v>2859</v>
      </c>
      <c r="C8807" t="s">
        <v>10</v>
      </c>
      <c r="D8807" t="s">
        <v>865</v>
      </c>
      <c r="E8807">
        <f t="shared" si="407"/>
        <v>6.5789473684210523E-3</v>
      </c>
      <c r="F8807">
        <v>13</v>
      </c>
      <c r="G8807">
        <f>LOG(382/(13+1))</f>
        <v>1.4359353272334707</v>
      </c>
      <c r="H8807">
        <f>0.00657894736842105*3.30636327899131</f>
        <v>2.1752389993363874E-2</v>
      </c>
      <c r="I8807">
        <v>2.1752389993363919E-2</v>
      </c>
    </row>
    <row r="8808" spans="1:9" x14ac:dyDescent="0.25">
      <c r="A8808">
        <v>382</v>
      </c>
      <c r="B8808" t="s">
        <v>2859</v>
      </c>
      <c r="C8808" t="s">
        <v>10</v>
      </c>
      <c r="D8808" t="s">
        <v>779</v>
      </c>
      <c r="E8808">
        <f t="shared" si="407"/>
        <v>6.5789473684210523E-3</v>
      </c>
      <c r="F8808">
        <v>25</v>
      </c>
      <c r="G8808">
        <f>LOG(382/(25+1))</f>
        <v>1.1670900149408907</v>
      </c>
      <c r="H8808">
        <f>0.00657894736842105*2.68732407058509</f>
        <v>1.767976362227032E-2</v>
      </c>
      <c r="I8808">
        <v>1.7679763622270351E-2</v>
      </c>
    </row>
    <row r="8809" spans="1:9" x14ac:dyDescent="0.25">
      <c r="A8809">
        <v>382</v>
      </c>
      <c r="B8809" t="s">
        <v>2859</v>
      </c>
      <c r="C8809" t="s">
        <v>10</v>
      </c>
      <c r="D8809" t="s">
        <v>1492</v>
      </c>
      <c r="E8809">
        <f t="shared" si="407"/>
        <v>6.5789473684210523E-3</v>
      </c>
      <c r="F8809">
        <v>8</v>
      </c>
      <c r="G8809">
        <f>LOG(382/(8+1))</f>
        <v>1.6278208534723839</v>
      </c>
      <c r="H8809">
        <f>0.00657894736842105*3.74819603127035</f>
        <v>2.465918441625229E-2</v>
      </c>
      <c r="I8809">
        <v>2.4659184416252339E-2</v>
      </c>
    </row>
    <row r="8810" spans="1:9" x14ac:dyDescent="0.25">
      <c r="A8810">
        <v>382</v>
      </c>
      <c r="B8810" t="s">
        <v>2859</v>
      </c>
      <c r="C8810" t="s">
        <v>10</v>
      </c>
      <c r="D8810" t="s">
        <v>1233</v>
      </c>
      <c r="E8810">
        <f t="shared" si="407"/>
        <v>6.5789473684210523E-3</v>
      </c>
      <c r="F8810">
        <v>4</v>
      </c>
      <c r="G8810">
        <f>LOG(382/(4+1))</f>
        <v>1.8830933585756899</v>
      </c>
      <c r="H8810">
        <f>0.00657894736842105*4.33598269617247</f>
        <v>2.8526201948503083E-2</v>
      </c>
      <c r="I8810">
        <v>2.8526201948503121E-2</v>
      </c>
    </row>
    <row r="8811" spans="1:9" x14ac:dyDescent="0.25">
      <c r="A8811">
        <v>382</v>
      </c>
      <c r="B8811" t="s">
        <v>2859</v>
      </c>
      <c r="C8811" t="s">
        <v>10</v>
      </c>
      <c r="D8811" t="s">
        <v>2870</v>
      </c>
      <c r="E8811">
        <f t="shared" si="407"/>
        <v>6.5789473684210523E-3</v>
      </c>
      <c r="F8811">
        <v>1</v>
      </c>
      <c r="G8811">
        <f>LOG(382/(1+1))</f>
        <v>2.2810333672477277</v>
      </c>
      <c r="H8811">
        <f>0.00657894736842105*5.25227342804663</f>
        <v>3.4554430447675179E-2</v>
      </c>
      <c r="I8811">
        <v>3.4554430447675193E-2</v>
      </c>
    </row>
    <row r="8812" spans="1:9" x14ac:dyDescent="0.25">
      <c r="A8812">
        <v>382</v>
      </c>
      <c r="B8812" t="s">
        <v>2859</v>
      </c>
      <c r="C8812" t="s">
        <v>10</v>
      </c>
      <c r="D8812" t="s">
        <v>340</v>
      </c>
      <c r="E8812">
        <f t="shared" si="407"/>
        <v>6.5789473684210523E-3</v>
      </c>
      <c r="F8812">
        <v>28</v>
      </c>
      <c r="G8812">
        <f>LOG(382/(28+1))</f>
        <v>1.1196653650127526</v>
      </c>
      <c r="H8812">
        <f>0.00657894736842105*2.5781247786201</f>
        <v>1.6961347227763806E-2</v>
      </c>
      <c r="I8812">
        <v>1.696134722776382E-2</v>
      </c>
    </row>
    <row r="8813" spans="1:9" x14ac:dyDescent="0.25">
      <c r="A8813">
        <v>382</v>
      </c>
      <c r="B8813" t="s">
        <v>2859</v>
      </c>
      <c r="C8813" t="s">
        <v>10</v>
      </c>
      <c r="D8813" t="s">
        <v>339</v>
      </c>
      <c r="E8813">
        <f t="shared" si="407"/>
        <v>6.5789473684210523E-3</v>
      </c>
      <c r="F8813">
        <v>66</v>
      </c>
      <c r="G8813">
        <f>LOG(382/(66+1))</f>
        <v>0.75598856021088234</v>
      </c>
      <c r="H8813">
        <f>0.00657894736842105*1.7407279892156</f>
        <v>1.1452157823786837E-2</v>
      </c>
      <c r="I8813">
        <v>1.1452157823786901E-2</v>
      </c>
    </row>
    <row r="8814" spans="1:9" x14ac:dyDescent="0.25">
      <c r="A8814">
        <v>382</v>
      </c>
      <c r="B8814" t="s">
        <v>2859</v>
      </c>
      <c r="C8814" t="s">
        <v>10</v>
      </c>
      <c r="D8814" t="s">
        <v>237</v>
      </c>
      <c r="E8814">
        <f t="shared" si="407"/>
        <v>6.5789473684210523E-3</v>
      </c>
      <c r="F8814">
        <v>138</v>
      </c>
      <c r="G8814">
        <f>LOG(382/(138+1))</f>
        <v>0.43904856265761361</v>
      </c>
      <c r="H8814">
        <f>0.00657894736842105*1.01094667547588</f>
        <v>6.65096497023605E-3</v>
      </c>
      <c r="I8814">
        <v>6.6509649702360743E-3</v>
      </c>
    </row>
    <row r="8815" spans="1:9" x14ac:dyDescent="0.25">
      <c r="A8815">
        <v>382</v>
      </c>
      <c r="B8815" t="s">
        <v>2859</v>
      </c>
      <c r="C8815" t="s">
        <v>10</v>
      </c>
      <c r="D8815" t="s">
        <v>2871</v>
      </c>
      <c r="E8815">
        <f t="shared" si="407"/>
        <v>6.5789473684210523E-3</v>
      </c>
      <c r="F8815">
        <v>1</v>
      </c>
      <c r="G8815">
        <f>LOG(382/(1+1))</f>
        <v>2.2810333672477277</v>
      </c>
      <c r="H8815">
        <f>0.00657894736842105*5.25227342804663</f>
        <v>3.4554430447675179E-2</v>
      </c>
      <c r="I8815">
        <v>3.4554430447675193E-2</v>
      </c>
    </row>
    <row r="8816" spans="1:9" x14ac:dyDescent="0.25">
      <c r="A8816">
        <v>382</v>
      </c>
      <c r="B8816" t="s">
        <v>2859</v>
      </c>
      <c r="C8816" t="s">
        <v>10</v>
      </c>
      <c r="D8816" t="s">
        <v>836</v>
      </c>
      <c r="E8816">
        <f t="shared" si="407"/>
        <v>6.5789473684210523E-3</v>
      </c>
      <c r="F8816">
        <v>21</v>
      </c>
      <c r="G8816">
        <f>LOG(382/(21+1))</f>
        <v>1.2396406820895025</v>
      </c>
      <c r="H8816">
        <f>0.00657894736842105*2.85437815524825</f>
        <v>1.8778803652949004E-2</v>
      </c>
      <c r="I8816">
        <v>1.877880365294907E-2</v>
      </c>
    </row>
    <row r="8817" spans="1:9" x14ac:dyDescent="0.25">
      <c r="A8817">
        <v>382</v>
      </c>
      <c r="B8817" t="s">
        <v>2859</v>
      </c>
      <c r="C8817" t="s">
        <v>10</v>
      </c>
      <c r="D8817" t="s">
        <v>2872</v>
      </c>
      <c r="E8817">
        <f t="shared" si="407"/>
        <v>6.5789473684210523E-3</v>
      </c>
      <c r="F8817">
        <v>1</v>
      </c>
      <c r="G8817">
        <f>LOG(382/(1+1))</f>
        <v>2.2810333672477277</v>
      </c>
      <c r="H8817">
        <f>0.00657894736842105*5.25227342804663</f>
        <v>3.4554430447675179E-2</v>
      </c>
      <c r="I8817">
        <v>3.4554430447675193E-2</v>
      </c>
    </row>
    <row r="8818" spans="1:9" x14ac:dyDescent="0.25">
      <c r="A8818">
        <v>382</v>
      </c>
      <c r="B8818" t="s">
        <v>2859</v>
      </c>
      <c r="C8818" t="s">
        <v>10</v>
      </c>
      <c r="D8818" t="s">
        <v>2873</v>
      </c>
      <c r="E8818">
        <f t="shared" si="407"/>
        <v>6.5789473684210523E-3</v>
      </c>
      <c r="F8818">
        <v>1</v>
      </c>
      <c r="G8818">
        <f>LOG(382/(1+1))</f>
        <v>2.2810333672477277</v>
      </c>
      <c r="H8818">
        <f>0.00657894736842105*5.25227342804663</f>
        <v>3.4554430447675179E-2</v>
      </c>
      <c r="I8818">
        <v>3.4554430447675193E-2</v>
      </c>
    </row>
    <row r="8819" spans="1:9" x14ac:dyDescent="0.25">
      <c r="A8819">
        <v>382</v>
      </c>
      <c r="B8819" t="s">
        <v>2859</v>
      </c>
      <c r="C8819" t="s">
        <v>10</v>
      </c>
      <c r="D8819" t="s">
        <v>1626</v>
      </c>
      <c r="E8819">
        <f t="shared" si="407"/>
        <v>6.5789473684210523E-3</v>
      </c>
      <c r="F8819">
        <v>32</v>
      </c>
      <c r="G8819">
        <f>LOG(382/(32+1))</f>
        <v>1.0635494230338212</v>
      </c>
      <c r="H8819">
        <f>0.00657894736842105*2.44891304714009</f>
        <v>1.6111270046974269E-2</v>
      </c>
      <c r="I8819">
        <v>1.611127004697431E-2</v>
      </c>
    </row>
    <row r="8820" spans="1:9" x14ac:dyDescent="0.25">
      <c r="A8820">
        <v>382</v>
      </c>
      <c r="B8820" t="s">
        <v>2859</v>
      </c>
      <c r="C8820" t="s">
        <v>10</v>
      </c>
      <c r="D8820" t="s">
        <v>236</v>
      </c>
      <c r="E8820">
        <f>2/152</f>
        <v>1.3157894736842105E-2</v>
      </c>
      <c r="F8820">
        <v>87</v>
      </c>
      <c r="G8820">
        <f>LOG(382/(87+1))</f>
        <v>0.63758069076154011</v>
      </c>
      <c r="H8820">
        <f>0.0131578947368421*1.46808379412836</f>
        <v>1.9316892028004729E-2</v>
      </c>
      <c r="I8820">
        <v>1.9316892028004851E-2</v>
      </c>
    </row>
    <row r="8821" spans="1:9" x14ac:dyDescent="0.25">
      <c r="A8821">
        <v>382</v>
      </c>
      <c r="B8821" t="s">
        <v>2859</v>
      </c>
      <c r="C8821" t="s">
        <v>10</v>
      </c>
      <c r="D8821" t="s">
        <v>693</v>
      </c>
      <c r="E8821">
        <f>2/152</f>
        <v>1.3157894736842105E-2</v>
      </c>
      <c r="F8821">
        <v>25</v>
      </c>
      <c r="G8821">
        <f>LOG(382/(25+1))</f>
        <v>1.1670900149408907</v>
      </c>
      <c r="H8821">
        <f>0.0131578947368421*2.68732407058509</f>
        <v>3.5359527244540639E-2</v>
      </c>
      <c r="I8821">
        <v>3.5359527244540688E-2</v>
      </c>
    </row>
    <row r="8822" spans="1:9" x14ac:dyDescent="0.25">
      <c r="A8822">
        <v>382</v>
      </c>
      <c r="B8822" t="s">
        <v>2859</v>
      </c>
      <c r="C8822" t="s">
        <v>10</v>
      </c>
      <c r="D8822" t="s">
        <v>436</v>
      </c>
      <c r="E8822">
        <f t="shared" ref="E8822:E8834" si="408">1/152</f>
        <v>6.5789473684210523E-3</v>
      </c>
      <c r="F8822">
        <v>20</v>
      </c>
      <c r="G8822">
        <f>LOG(382/(20+1))</f>
        <v>1.2598440681777894</v>
      </c>
      <c r="H8822">
        <f>0.00657894736842105*2.90089817088315</f>
        <v>1.9084856387389135E-2</v>
      </c>
      <c r="I8822">
        <v>1.908485638738916E-2</v>
      </c>
    </row>
    <row r="8823" spans="1:9" x14ac:dyDescent="0.25">
      <c r="A8823">
        <v>382</v>
      </c>
      <c r="B8823" t="s">
        <v>2859</v>
      </c>
      <c r="C8823" t="s">
        <v>10</v>
      </c>
      <c r="D8823" t="s">
        <v>437</v>
      </c>
      <c r="E8823">
        <f t="shared" si="408"/>
        <v>6.5789473684210523E-3</v>
      </c>
      <c r="F8823">
        <v>18</v>
      </c>
      <c r="G8823">
        <f>LOG(382/(18+1))</f>
        <v>1.3033097619588798</v>
      </c>
      <c r="H8823">
        <f>0.00657894736842105*3.00098162944013</f>
        <v>1.9743300193685059E-2</v>
      </c>
      <c r="I8823">
        <v>1.9743300193685091E-2</v>
      </c>
    </row>
    <row r="8824" spans="1:9" x14ac:dyDescent="0.25">
      <c r="A8824">
        <v>382</v>
      </c>
      <c r="B8824" t="s">
        <v>2859</v>
      </c>
      <c r="C8824" t="s">
        <v>10</v>
      </c>
      <c r="D8824" t="s">
        <v>2746</v>
      </c>
      <c r="E8824">
        <f t="shared" si="408"/>
        <v>6.5789473684210523E-3</v>
      </c>
      <c r="F8824">
        <v>5</v>
      </c>
      <c r="G8824">
        <f>LOG(382/(5+1))</f>
        <v>1.803912112528065</v>
      </c>
      <c r="H8824">
        <f>0.00657894736842105*4.15366113937852</f>
        <v>2.7326718022227092E-2</v>
      </c>
      <c r="I8824">
        <v>2.7326718022227098E-2</v>
      </c>
    </row>
    <row r="8825" spans="1:9" x14ac:dyDescent="0.25">
      <c r="A8825">
        <v>382</v>
      </c>
      <c r="B8825" t="s">
        <v>2859</v>
      </c>
      <c r="C8825" t="s">
        <v>10</v>
      </c>
      <c r="D8825" t="s">
        <v>1181</v>
      </c>
      <c r="E8825">
        <f t="shared" si="408"/>
        <v>6.5789473684210523E-3</v>
      </c>
      <c r="F8825">
        <v>11</v>
      </c>
      <c r="G8825">
        <f>LOG(382/(11+1))</f>
        <v>1.5028821168640838</v>
      </c>
      <c r="H8825">
        <f>0.00657894736842105*3.46051395881857</f>
        <v>2.276653920275374E-2</v>
      </c>
      <c r="I8825">
        <v>2.2766539202753781E-2</v>
      </c>
    </row>
    <row r="8826" spans="1:9" x14ac:dyDescent="0.25">
      <c r="A8826">
        <v>382</v>
      </c>
      <c r="B8826" t="s">
        <v>2859</v>
      </c>
      <c r="C8826" t="s">
        <v>10</v>
      </c>
      <c r="D8826" t="s">
        <v>2874</v>
      </c>
      <c r="E8826">
        <f t="shared" si="408"/>
        <v>6.5789473684210523E-3</v>
      </c>
      <c r="F8826">
        <v>1</v>
      </c>
      <c r="G8826">
        <f>LOG(382/(1+1))</f>
        <v>2.2810333672477277</v>
      </c>
      <c r="H8826">
        <f>0.00657894736842105*5.25227342804663</f>
        <v>3.4554430447675179E-2</v>
      </c>
      <c r="I8826">
        <v>3.4554430447675193E-2</v>
      </c>
    </row>
    <row r="8827" spans="1:9" x14ac:dyDescent="0.25">
      <c r="A8827">
        <v>382</v>
      </c>
      <c r="B8827" t="s">
        <v>2859</v>
      </c>
      <c r="C8827" t="s">
        <v>10</v>
      </c>
      <c r="D8827" t="s">
        <v>388</v>
      </c>
      <c r="E8827">
        <f t="shared" si="408"/>
        <v>6.5789473684210523E-3</v>
      </c>
      <c r="F8827">
        <v>44</v>
      </c>
      <c r="G8827">
        <f>LOG(382/(44+1))</f>
        <v>0.92885084913636506</v>
      </c>
      <c r="H8827">
        <f>0.00657894736842105*2.13875811883625</f>
        <v>1.4070777097606901E-2</v>
      </c>
      <c r="I8827">
        <v>1.4070777097606939E-2</v>
      </c>
    </row>
    <row r="8828" spans="1:9" x14ac:dyDescent="0.25">
      <c r="A8828">
        <v>382</v>
      </c>
      <c r="B8828" t="s">
        <v>2859</v>
      </c>
      <c r="C8828" t="s">
        <v>10</v>
      </c>
      <c r="D8828" t="s">
        <v>338</v>
      </c>
      <c r="E8828">
        <f t="shared" si="408"/>
        <v>6.5789473684210523E-3</v>
      </c>
      <c r="F8828">
        <v>54</v>
      </c>
      <c r="G8828">
        <f>LOG(382/(54+1))</f>
        <v>0.84170067341746491</v>
      </c>
      <c r="H8828">
        <f>0.00657894736842105*1.9380874233741</f>
        <v>1.2750575153776967E-2</v>
      </c>
      <c r="I8828">
        <v>1.2750575153777E-2</v>
      </c>
    </row>
    <row r="8829" spans="1:9" x14ac:dyDescent="0.25">
      <c r="A8829">
        <v>382</v>
      </c>
      <c r="B8829" t="s">
        <v>2859</v>
      </c>
      <c r="C8829" t="s">
        <v>10</v>
      </c>
      <c r="D8829" t="s">
        <v>753</v>
      </c>
      <c r="E8829">
        <f t="shared" si="408"/>
        <v>6.5789473684210523E-3</v>
      </c>
      <c r="F8829">
        <v>19</v>
      </c>
      <c r="G8829">
        <f>LOG(382/(19+1))</f>
        <v>1.2810333672477277</v>
      </c>
      <c r="H8829">
        <f>0.00657894736842105*2.94968833505258</f>
        <v>1.9405844309556438E-2</v>
      </c>
      <c r="I8829">
        <v>1.940584430955648E-2</v>
      </c>
    </row>
    <row r="8830" spans="1:9" x14ac:dyDescent="0.25">
      <c r="A8830">
        <v>382</v>
      </c>
      <c r="B8830" t="s">
        <v>2859</v>
      </c>
      <c r="C8830" t="s">
        <v>10</v>
      </c>
      <c r="D8830" t="s">
        <v>2211</v>
      </c>
      <c r="E8830">
        <f t="shared" si="408"/>
        <v>6.5789473684210523E-3</v>
      </c>
      <c r="F8830">
        <v>9</v>
      </c>
      <c r="G8830">
        <f>LOG(382/(9+1))</f>
        <v>1.5820633629117087</v>
      </c>
      <c r="H8830">
        <f>0.00657894736842105*3.64283551561252</f>
        <v>2.3966023129029727E-2</v>
      </c>
      <c r="I8830">
        <v>2.39660231290298E-2</v>
      </c>
    </row>
    <row r="8831" spans="1:9" x14ac:dyDescent="0.25">
      <c r="A8831">
        <v>382</v>
      </c>
      <c r="B8831" t="s">
        <v>2859</v>
      </c>
      <c r="C8831" t="s">
        <v>10</v>
      </c>
      <c r="D8831" t="s">
        <v>2875</v>
      </c>
      <c r="E8831">
        <f t="shared" si="408"/>
        <v>6.5789473684210523E-3</v>
      </c>
      <c r="F8831">
        <v>1</v>
      </c>
      <c r="G8831">
        <f>LOG(382/(1+1))</f>
        <v>2.2810333672477277</v>
      </c>
      <c r="H8831">
        <f>0.00657894736842105*5.25227342804663</f>
        <v>3.4554430447675179E-2</v>
      </c>
      <c r="I8831">
        <v>3.4554430447675193E-2</v>
      </c>
    </row>
    <row r="8832" spans="1:9" x14ac:dyDescent="0.25">
      <c r="A8832">
        <v>382</v>
      </c>
      <c r="B8832" t="s">
        <v>2859</v>
      </c>
      <c r="C8832" t="s">
        <v>10</v>
      </c>
      <c r="D8832" t="s">
        <v>812</v>
      </c>
      <c r="E8832">
        <f t="shared" si="408"/>
        <v>6.5789473684210523E-3</v>
      </c>
      <c r="F8832">
        <v>11</v>
      </c>
      <c r="G8832">
        <f>LOG(382/(11+1))</f>
        <v>1.5028821168640838</v>
      </c>
      <c r="H8832">
        <f>0.00657894736842105*3.46051395881857</f>
        <v>2.276653920275374E-2</v>
      </c>
      <c r="I8832">
        <v>2.2766539202753781E-2</v>
      </c>
    </row>
    <row r="8833" spans="1:9" x14ac:dyDescent="0.25">
      <c r="A8833">
        <v>382</v>
      </c>
      <c r="B8833" t="s">
        <v>2859</v>
      </c>
      <c r="C8833" t="s">
        <v>10</v>
      </c>
      <c r="D8833" t="s">
        <v>1731</v>
      </c>
      <c r="E8833">
        <f t="shared" si="408"/>
        <v>6.5789473684210523E-3</v>
      </c>
      <c r="F8833">
        <v>15</v>
      </c>
      <c r="G8833">
        <f>LOG(382/(15+1))</f>
        <v>1.3779433802557839</v>
      </c>
      <c r="H8833">
        <f>0.00657894736842105*3.17283188636679</f>
        <v>2.0873893989255189E-2</v>
      </c>
      <c r="I8833">
        <v>2.087389398925522E-2</v>
      </c>
    </row>
    <row r="8834" spans="1:9" x14ac:dyDescent="0.25">
      <c r="A8834">
        <v>382</v>
      </c>
      <c r="B8834" t="s">
        <v>2859</v>
      </c>
      <c r="C8834" t="s">
        <v>10</v>
      </c>
      <c r="D8834" t="s">
        <v>688</v>
      </c>
      <c r="E8834">
        <f t="shared" si="408"/>
        <v>6.5789473684210523E-3</v>
      </c>
      <c r="F8834">
        <v>23</v>
      </c>
      <c r="G8834">
        <f>LOG(382/(23+1))</f>
        <v>1.2018521212001028</v>
      </c>
      <c r="H8834">
        <f>0.00657894736842105*2.76736677825862</f>
        <v>1.8206360383280388E-2</v>
      </c>
      <c r="I8834">
        <v>1.8206360383280461E-2</v>
      </c>
    </row>
    <row r="8835" spans="1:9" x14ac:dyDescent="0.25">
      <c r="A8835">
        <v>382</v>
      </c>
      <c r="B8835" t="s">
        <v>2859</v>
      </c>
      <c r="C8835" t="s">
        <v>10</v>
      </c>
      <c r="D8835" t="s">
        <v>1469</v>
      </c>
      <c r="E8835">
        <f>2/152</f>
        <v>1.3157894736842105E-2</v>
      </c>
      <c r="F8835">
        <v>24</v>
      </c>
      <c r="G8835">
        <f>LOG(382/(24+1))</f>
        <v>1.1841233542396712</v>
      </c>
      <c r="H8835">
        <f>0.0131578947368421*2.72654478373837</f>
        <v>3.5875589259715374E-2</v>
      </c>
      <c r="I8835">
        <v>3.587558925971545E-2</v>
      </c>
    </row>
    <row r="8836" spans="1:9" x14ac:dyDescent="0.25">
      <c r="A8836">
        <v>382</v>
      </c>
      <c r="B8836" t="s">
        <v>2859</v>
      </c>
      <c r="C8836" t="s">
        <v>10</v>
      </c>
      <c r="D8836" t="s">
        <v>439</v>
      </c>
      <c r="E8836">
        <f t="shared" ref="E8836:E8842" si="409">1/152</f>
        <v>6.5789473684210523E-3</v>
      </c>
      <c r="F8836">
        <v>28</v>
      </c>
      <c r="G8836">
        <f>LOG(382/(28+1))</f>
        <v>1.1196653650127526</v>
      </c>
      <c r="H8836">
        <f>0.00657894736842105*2.5781247786201</f>
        <v>1.6961347227763806E-2</v>
      </c>
      <c r="I8836">
        <v>1.696134722776382E-2</v>
      </c>
    </row>
    <row r="8837" spans="1:9" x14ac:dyDescent="0.25">
      <c r="A8837">
        <v>382</v>
      </c>
      <c r="B8837" t="s">
        <v>2859</v>
      </c>
      <c r="C8837" t="s">
        <v>10</v>
      </c>
      <c r="D8837" t="s">
        <v>2476</v>
      </c>
      <c r="E8837">
        <f t="shared" si="409"/>
        <v>6.5789473684210523E-3</v>
      </c>
      <c r="F8837">
        <v>12</v>
      </c>
      <c r="G8837">
        <f>LOG(382/(12+1))</f>
        <v>1.468120010604872</v>
      </c>
      <c r="H8837">
        <f>0.00657894736842105*3.38047125114503</f>
        <v>2.2239942441743609E-2</v>
      </c>
      <c r="I8837">
        <v>2.2239942441743678E-2</v>
      </c>
    </row>
    <row r="8838" spans="1:9" x14ac:dyDescent="0.25">
      <c r="A8838">
        <v>382</v>
      </c>
      <c r="B8838" t="s">
        <v>2859</v>
      </c>
      <c r="C8838" t="s">
        <v>10</v>
      </c>
      <c r="D8838" t="s">
        <v>898</v>
      </c>
      <c r="E8838">
        <f t="shared" si="409"/>
        <v>6.5789473684210523E-3</v>
      </c>
      <c r="F8838">
        <v>22</v>
      </c>
      <c r="G8838">
        <f>LOG(382/(22+1))</f>
        <v>1.2203355268941158</v>
      </c>
      <c r="H8838">
        <f>0.00657894736842105*2.80992639267742</f>
        <v>1.8486357846561965E-2</v>
      </c>
      <c r="I8838">
        <v>1.848635784656201E-2</v>
      </c>
    </row>
    <row r="8839" spans="1:9" x14ac:dyDescent="0.25">
      <c r="A8839">
        <v>382</v>
      </c>
      <c r="B8839" t="s">
        <v>2859</v>
      </c>
      <c r="C8839" t="s">
        <v>10</v>
      </c>
      <c r="D8839" t="s">
        <v>119</v>
      </c>
      <c r="E8839">
        <f t="shared" si="409"/>
        <v>6.5789473684210523E-3</v>
      </c>
      <c r="F8839">
        <v>79</v>
      </c>
      <c r="G8839">
        <f>LOG(382/(79+1))</f>
        <v>0.67897337591976514</v>
      </c>
      <c r="H8839">
        <f>0.00657894736842105*1.56339397393269</f>
        <v>1.0285486670609799E-2</v>
      </c>
      <c r="I8839">
        <v>1.028548667060983E-2</v>
      </c>
    </row>
    <row r="8840" spans="1:9" x14ac:dyDescent="0.25">
      <c r="A8840">
        <v>382</v>
      </c>
      <c r="B8840" t="s">
        <v>2859</v>
      </c>
      <c r="C8840" t="s">
        <v>10</v>
      </c>
      <c r="D8840" t="s">
        <v>40</v>
      </c>
      <c r="E8840">
        <f t="shared" si="409"/>
        <v>6.5789473684210523E-3</v>
      </c>
      <c r="F8840">
        <v>159</v>
      </c>
      <c r="G8840">
        <f>LOG(382/(159+1))</f>
        <v>0.377943380255784</v>
      </c>
      <c r="H8840">
        <f>0.00657894736842105*0.870246793372748</f>
        <v>5.7253078511364979E-3</v>
      </c>
      <c r="I8840">
        <v>5.7253078511365022E-3</v>
      </c>
    </row>
    <row r="8841" spans="1:9" x14ac:dyDescent="0.25">
      <c r="A8841">
        <v>382</v>
      </c>
      <c r="B8841" t="s">
        <v>2859</v>
      </c>
      <c r="C8841" t="s">
        <v>10</v>
      </c>
      <c r="D8841" t="s">
        <v>2163</v>
      </c>
      <c r="E8841">
        <f t="shared" si="409"/>
        <v>6.5789473684210523E-3</v>
      </c>
      <c r="F8841">
        <v>6</v>
      </c>
      <c r="G8841">
        <f>LOG(382/(6+1))</f>
        <v>1.736965322897452</v>
      </c>
      <c r="H8841">
        <f>0.00657894736842105*3.99951045955126</f>
        <v>2.6312568812837226E-2</v>
      </c>
      <c r="I8841">
        <v>2.631256881283725E-2</v>
      </c>
    </row>
    <row r="8842" spans="1:9" x14ac:dyDescent="0.25">
      <c r="A8842">
        <v>382</v>
      </c>
      <c r="B8842" t="s">
        <v>2859</v>
      </c>
      <c r="C8842" t="s">
        <v>10</v>
      </c>
      <c r="D8842" t="s">
        <v>379</v>
      </c>
      <c r="E8842">
        <f t="shared" si="409"/>
        <v>6.5789473684210523E-3</v>
      </c>
      <c r="F8842">
        <v>17</v>
      </c>
      <c r="G8842">
        <f>LOG(382/(17+1))</f>
        <v>1.3267908578084027</v>
      </c>
      <c r="H8842">
        <f>0.00657894736842105*3.05504885071041</f>
        <v>2.0099005596779004E-2</v>
      </c>
      <c r="I8842">
        <v>2.0099005596779011E-2</v>
      </c>
    </row>
    <row r="8843" spans="1:9" x14ac:dyDescent="0.25">
      <c r="A8843">
        <v>384</v>
      </c>
      <c r="B8843" t="s">
        <v>2876</v>
      </c>
      <c r="C8843" t="s">
        <v>10</v>
      </c>
      <c r="D8843" t="s">
        <v>2218</v>
      </c>
      <c r="E8843">
        <f>3/87</f>
        <v>3.4482758620689655E-2</v>
      </c>
      <c r="F8843">
        <v>3</v>
      </c>
      <c r="G8843">
        <f>LOG(382/(3+1))</f>
        <v>1.9800033715837464</v>
      </c>
      <c r="H8843">
        <f>0.0344827586206896*4.55912624748668</f>
        <v>0.15721124991333355</v>
      </c>
      <c r="I8843">
        <v>0.15721124991333391</v>
      </c>
    </row>
    <row r="8844" spans="1:9" x14ac:dyDescent="0.25">
      <c r="A8844">
        <v>384</v>
      </c>
      <c r="B8844" t="s">
        <v>2876</v>
      </c>
      <c r="C8844" t="s">
        <v>10</v>
      </c>
      <c r="D8844" t="s">
        <v>2219</v>
      </c>
      <c r="E8844">
        <f>3/87</f>
        <v>3.4482758620689655E-2</v>
      </c>
      <c r="F8844">
        <v>3</v>
      </c>
      <c r="G8844">
        <f>LOG(382/(3+1))</f>
        <v>1.9800033715837464</v>
      </c>
      <c r="H8844">
        <f>0.0344827586206896*4.55912624748668</f>
        <v>0.15721124991333355</v>
      </c>
      <c r="I8844">
        <v>0.15721124991333391</v>
      </c>
    </row>
    <row r="8845" spans="1:9" x14ac:dyDescent="0.25">
      <c r="A8845">
        <v>384</v>
      </c>
      <c r="B8845" t="s">
        <v>2876</v>
      </c>
      <c r="C8845" t="s">
        <v>10</v>
      </c>
      <c r="D8845" t="s">
        <v>570</v>
      </c>
      <c r="E8845">
        <f>1/87</f>
        <v>1.1494252873563218E-2</v>
      </c>
      <c r="F8845">
        <v>27</v>
      </c>
      <c r="G8845">
        <f>LOG(382/(27+1))</f>
        <v>1.1349053315694895</v>
      </c>
      <c r="H8845">
        <f>0.0114942528735632*2.61321609843137</f>
        <v>3.0036966648636389E-2</v>
      </c>
      <c r="I8845">
        <v>3.0036966648636448E-2</v>
      </c>
    </row>
    <row r="8846" spans="1:9" x14ac:dyDescent="0.25">
      <c r="A8846">
        <v>384</v>
      </c>
      <c r="B8846" t="s">
        <v>2876</v>
      </c>
      <c r="C8846" t="s">
        <v>10</v>
      </c>
      <c r="D8846" t="s">
        <v>2217</v>
      </c>
      <c r="E8846">
        <f>4/87</f>
        <v>4.5977011494252873E-2</v>
      </c>
      <c r="F8846">
        <v>4</v>
      </c>
      <c r="G8846">
        <f>LOG(382/(4+1))</f>
        <v>1.8830933585756899</v>
      </c>
      <c r="H8846">
        <f>0.0459770114942528*4.33598269617247</f>
        <v>0.19935552626080291</v>
      </c>
      <c r="I8846">
        <v>0.19935552626080341</v>
      </c>
    </row>
    <row r="8847" spans="1:9" x14ac:dyDescent="0.25">
      <c r="A8847">
        <v>384</v>
      </c>
      <c r="B8847" t="s">
        <v>2876</v>
      </c>
      <c r="C8847" t="s">
        <v>10</v>
      </c>
      <c r="D8847" t="s">
        <v>750</v>
      </c>
      <c r="E8847">
        <f t="shared" ref="E8847:E8855" si="410">1/87</f>
        <v>1.1494252873563218E-2</v>
      </c>
      <c r="F8847">
        <v>9</v>
      </c>
      <c r="G8847">
        <f>LOG(382/(9+1))</f>
        <v>1.5820633629117087</v>
      </c>
      <c r="H8847">
        <f>0.0114942528735632*3.64283551561252</f>
        <v>4.187167259324729E-2</v>
      </c>
      <c r="I8847">
        <v>4.1871672593247457E-2</v>
      </c>
    </row>
    <row r="8848" spans="1:9" x14ac:dyDescent="0.25">
      <c r="A8848">
        <v>384</v>
      </c>
      <c r="B8848" t="s">
        <v>2876</v>
      </c>
      <c r="C8848" t="s">
        <v>10</v>
      </c>
      <c r="D8848" t="s">
        <v>42</v>
      </c>
      <c r="E8848">
        <f t="shared" si="410"/>
        <v>1.1494252873563218E-2</v>
      </c>
      <c r="F8848">
        <v>251</v>
      </c>
      <c r="G8848">
        <f>LOG(382/(251+1))</f>
        <v>0.18066282213016463</v>
      </c>
      <c r="H8848">
        <f>0.0114942528735632*0.415991521095151</f>
        <v>4.7815117367258657E-3</v>
      </c>
      <c r="I8848">
        <v>4.781511736725883E-3</v>
      </c>
    </row>
    <row r="8849" spans="1:9" x14ac:dyDescent="0.25">
      <c r="A8849">
        <v>384</v>
      </c>
      <c r="B8849" t="s">
        <v>2876</v>
      </c>
      <c r="C8849" t="s">
        <v>10</v>
      </c>
      <c r="D8849" t="s">
        <v>15</v>
      </c>
      <c r="E8849">
        <f t="shared" si="410"/>
        <v>1.1494252873563218E-2</v>
      </c>
      <c r="F8849">
        <v>112</v>
      </c>
      <c r="G8849">
        <f>LOG(382/(112+1))</f>
        <v>0.52898491942828896</v>
      </c>
      <c r="H8849">
        <f>0.0114942528735632*1.21803278989423</f>
        <v>1.4000376895335953E-2</v>
      </c>
      <c r="I8849">
        <v>1.4000376895336029E-2</v>
      </c>
    </row>
    <row r="8850" spans="1:9" x14ac:dyDescent="0.25">
      <c r="A8850">
        <v>384</v>
      </c>
      <c r="B8850" t="s">
        <v>2876</v>
      </c>
      <c r="C8850" t="s">
        <v>10</v>
      </c>
      <c r="D8850" t="s">
        <v>2877</v>
      </c>
      <c r="E8850">
        <f t="shared" si="410"/>
        <v>1.1494252873563218E-2</v>
      </c>
      <c r="F8850">
        <v>1</v>
      </c>
      <c r="G8850">
        <f>LOG(382/(1+1))</f>
        <v>2.2810333672477277</v>
      </c>
      <c r="H8850">
        <f>0.0114942528735632*5.25227342804663</f>
        <v>6.0370958943064608E-2</v>
      </c>
      <c r="I8850">
        <v>6.0370958943064712E-2</v>
      </c>
    </row>
    <row r="8851" spans="1:9" x14ac:dyDescent="0.25">
      <c r="A8851">
        <v>384</v>
      </c>
      <c r="B8851" t="s">
        <v>2876</v>
      </c>
      <c r="C8851" t="s">
        <v>10</v>
      </c>
      <c r="D8851" t="s">
        <v>19</v>
      </c>
      <c r="E8851">
        <f t="shared" si="410"/>
        <v>1.1494252873563218E-2</v>
      </c>
      <c r="F8851">
        <v>220</v>
      </c>
      <c r="G8851">
        <f>LOG(382/(220+1))</f>
        <v>0.23767108922659805</v>
      </c>
      <c r="H8851">
        <f>0.0114942528735632*0.547257907088822</f>
        <v>6.2903207711358751E-3</v>
      </c>
      <c r="I8851">
        <v>6.2903207711358889E-3</v>
      </c>
    </row>
    <row r="8852" spans="1:9" x14ac:dyDescent="0.25">
      <c r="A8852">
        <v>384</v>
      </c>
      <c r="B8852" t="s">
        <v>2876</v>
      </c>
      <c r="C8852" t="s">
        <v>10</v>
      </c>
      <c r="D8852" t="s">
        <v>20</v>
      </c>
      <c r="E8852">
        <f t="shared" si="410"/>
        <v>1.1494252873563218E-2</v>
      </c>
      <c r="F8852">
        <v>19</v>
      </c>
      <c r="G8852">
        <f>LOG(382/(19+1))</f>
        <v>1.2810333672477277</v>
      </c>
      <c r="H8852">
        <f>0.0114942528735632*2.94968833505258</f>
        <v>3.3904463621293963E-2</v>
      </c>
      <c r="I8852">
        <v>3.3904463621294068E-2</v>
      </c>
    </row>
    <row r="8853" spans="1:9" x14ac:dyDescent="0.25">
      <c r="A8853">
        <v>384</v>
      </c>
      <c r="B8853" t="s">
        <v>2876</v>
      </c>
      <c r="C8853" t="s">
        <v>10</v>
      </c>
      <c r="D8853" t="s">
        <v>22</v>
      </c>
      <c r="E8853">
        <f t="shared" si="410"/>
        <v>1.1494252873563218E-2</v>
      </c>
      <c r="F8853">
        <v>259</v>
      </c>
      <c r="G8853">
        <f>LOG(382/(259+1))</f>
        <v>0.16709001494089079</v>
      </c>
      <c r="H8853">
        <f>0.0114942528735632*0.384738977591047</f>
        <v>4.4222870987476598E-3</v>
      </c>
      <c r="I8853">
        <v>4.4222870987476728E-3</v>
      </c>
    </row>
    <row r="8854" spans="1:9" x14ac:dyDescent="0.25">
      <c r="A8854">
        <v>384</v>
      </c>
      <c r="B8854" t="s">
        <v>2876</v>
      </c>
      <c r="C8854" t="s">
        <v>10</v>
      </c>
      <c r="D8854" t="s">
        <v>23</v>
      </c>
      <c r="E8854">
        <f t="shared" si="410"/>
        <v>1.1494252873563218E-2</v>
      </c>
      <c r="F8854">
        <v>275</v>
      </c>
      <c r="G8854">
        <f>LOG(382/(275+1))</f>
        <v>0.14115428084649101</v>
      </c>
      <c r="H8854">
        <f>0.0114942528735632*0.325019742889425</f>
        <v>3.7358591136715451E-3</v>
      </c>
      <c r="I8854">
        <v>3.7358591136715529E-3</v>
      </c>
    </row>
    <row r="8855" spans="1:9" x14ac:dyDescent="0.25">
      <c r="A8855">
        <v>384</v>
      </c>
      <c r="B8855" t="s">
        <v>2876</v>
      </c>
      <c r="C8855" t="s">
        <v>10</v>
      </c>
      <c r="D8855" t="s">
        <v>204</v>
      </c>
      <c r="E8855">
        <f t="shared" si="410"/>
        <v>1.1494252873563218E-2</v>
      </c>
      <c r="F8855">
        <v>166</v>
      </c>
      <c r="G8855">
        <f>LOG(382/(166+1))</f>
        <v>0.35934689176412549</v>
      </c>
      <c r="H8855">
        <f>0.0114942528735632*0.82742679618982</f>
        <v>9.51065282976803E-3</v>
      </c>
      <c r="I8855">
        <v>9.5106528297680473E-3</v>
      </c>
    </row>
    <row r="8856" spans="1:9" x14ac:dyDescent="0.25">
      <c r="A8856">
        <v>384</v>
      </c>
      <c r="B8856" t="s">
        <v>2876</v>
      </c>
      <c r="C8856" t="s">
        <v>10</v>
      </c>
      <c r="D8856" t="s">
        <v>76</v>
      </c>
      <c r="E8856">
        <f>2/87</f>
        <v>2.2988505747126436E-2</v>
      </c>
      <c r="F8856">
        <v>140</v>
      </c>
      <c r="G8856">
        <f>LOG(382/(140+1))</f>
        <v>0.43284425025632883</v>
      </c>
      <c r="H8856">
        <f>0.0229885057471264*0.996660718228407</f>
        <v>2.2911740648928858E-2</v>
      </c>
      <c r="I8856">
        <v>2.29117406489289E-2</v>
      </c>
    </row>
    <row r="8857" spans="1:9" x14ac:dyDescent="0.25">
      <c r="A8857">
        <v>384</v>
      </c>
      <c r="B8857" t="s">
        <v>2876</v>
      </c>
      <c r="C8857" t="s">
        <v>10</v>
      </c>
      <c r="D8857" t="s">
        <v>77</v>
      </c>
      <c r="E8857">
        <f>2/87</f>
        <v>2.2988505747126436E-2</v>
      </c>
      <c r="F8857">
        <v>148</v>
      </c>
      <c r="G8857">
        <f>LOG(382/(148+1))</f>
        <v>0.40887709449943471</v>
      </c>
      <c r="H8857">
        <f>0.0229885057471264*0.941474302661116</f>
        <v>2.1643087417496883E-2</v>
      </c>
      <c r="I8857">
        <v>2.1643087417496921E-2</v>
      </c>
    </row>
    <row r="8858" spans="1:9" x14ac:dyDescent="0.25">
      <c r="A8858">
        <v>384</v>
      </c>
      <c r="B8858" t="s">
        <v>2876</v>
      </c>
      <c r="C8858" t="s">
        <v>10</v>
      </c>
      <c r="D8858" t="s">
        <v>40</v>
      </c>
      <c r="E8858">
        <f t="shared" ref="E8858:E8863" si="411">1/87</f>
        <v>1.1494252873563218E-2</v>
      </c>
      <c r="F8858">
        <v>159</v>
      </c>
      <c r="G8858">
        <f>LOG(382/(159+1))</f>
        <v>0.377943380255784</v>
      </c>
      <c r="H8858">
        <f>0.0114942528735632*0.870246793372748</f>
        <v>1.0002836705433869E-2</v>
      </c>
      <c r="I8858">
        <v>1.0002836705433889E-2</v>
      </c>
    </row>
    <row r="8859" spans="1:9" x14ac:dyDescent="0.25">
      <c r="A8859">
        <v>384</v>
      </c>
      <c r="B8859" t="s">
        <v>2876</v>
      </c>
      <c r="C8859" t="s">
        <v>10</v>
      </c>
      <c r="D8859" t="s">
        <v>41</v>
      </c>
      <c r="E8859">
        <f t="shared" si="411"/>
        <v>1.1494252873563218E-2</v>
      </c>
      <c r="F8859">
        <v>195</v>
      </c>
      <c r="G8859">
        <f>LOG(382/(195+1))</f>
        <v>0.28980729155523272</v>
      </c>
      <c r="H8859">
        <f>0.0114942528735632*0.667305949376058</f>
        <v>7.670183326161574E-3</v>
      </c>
      <c r="I8859">
        <v>7.6701833261615861E-3</v>
      </c>
    </row>
    <row r="8860" spans="1:9" x14ac:dyDescent="0.25">
      <c r="A8860">
        <v>384</v>
      </c>
      <c r="B8860" t="s">
        <v>2876</v>
      </c>
      <c r="C8860" t="s">
        <v>10</v>
      </c>
      <c r="D8860" t="s">
        <v>477</v>
      </c>
      <c r="E8860">
        <f t="shared" si="411"/>
        <v>1.1494252873563218E-2</v>
      </c>
      <c r="F8860">
        <v>17</v>
      </c>
      <c r="G8860">
        <f>LOG(382/(17+1))</f>
        <v>1.3267908578084027</v>
      </c>
      <c r="H8860">
        <f>0.0114942528735632*3.05504885071041</f>
        <v>3.5115504031154078E-2</v>
      </c>
      <c r="I8860">
        <v>3.5115504031154141E-2</v>
      </c>
    </row>
    <row r="8861" spans="1:9" x14ac:dyDescent="0.25">
      <c r="A8861">
        <v>384</v>
      </c>
      <c r="B8861" t="s">
        <v>2876</v>
      </c>
      <c r="C8861" t="s">
        <v>10</v>
      </c>
      <c r="D8861" t="s">
        <v>2165</v>
      </c>
      <c r="E8861">
        <f t="shared" si="411"/>
        <v>1.1494252873563218E-2</v>
      </c>
      <c r="F8861">
        <v>3</v>
      </c>
      <c r="G8861">
        <f>LOG(382/(3+1))</f>
        <v>1.9800033715837464</v>
      </c>
      <c r="H8861">
        <f>0.0114942528735632*4.55912624748668</f>
        <v>5.2403749971111177E-2</v>
      </c>
      <c r="I8861">
        <v>5.2403749971111323E-2</v>
      </c>
    </row>
    <row r="8862" spans="1:9" x14ac:dyDescent="0.25">
      <c r="A8862">
        <v>384</v>
      </c>
      <c r="B8862" t="s">
        <v>2876</v>
      </c>
      <c r="C8862" t="s">
        <v>10</v>
      </c>
      <c r="D8862" t="s">
        <v>761</v>
      </c>
      <c r="E8862">
        <f t="shared" si="411"/>
        <v>1.1494252873563218E-2</v>
      </c>
      <c r="F8862">
        <v>2</v>
      </c>
      <c r="G8862">
        <f>LOG(382/(2+1))</f>
        <v>2.1049421081920463</v>
      </c>
      <c r="H8862">
        <f>0.0114942528735632*4.84680831993846</f>
        <v>5.5710440459062663E-2</v>
      </c>
      <c r="I8862">
        <v>5.5710440459062822E-2</v>
      </c>
    </row>
    <row r="8863" spans="1:9" x14ac:dyDescent="0.25">
      <c r="A8863">
        <v>384</v>
      </c>
      <c r="B8863" t="s">
        <v>2876</v>
      </c>
      <c r="C8863" t="s">
        <v>10</v>
      </c>
      <c r="D8863" t="s">
        <v>994</v>
      </c>
      <c r="E8863">
        <f t="shared" si="411"/>
        <v>1.1494252873563218E-2</v>
      </c>
      <c r="F8863">
        <v>37</v>
      </c>
      <c r="G8863">
        <f>LOG(382/(37+1))</f>
        <v>1.0022797662948986</v>
      </c>
      <c r="H8863">
        <f>0.0114942528735632*2.30783444888018</f>
        <v>2.652683274574915E-2</v>
      </c>
      <c r="I8863">
        <v>2.6526832745749299E-2</v>
      </c>
    </row>
    <row r="8864" spans="1:9" x14ac:dyDescent="0.25">
      <c r="A8864">
        <v>384</v>
      </c>
      <c r="B8864" t="s">
        <v>2876</v>
      </c>
      <c r="C8864" t="s">
        <v>10</v>
      </c>
      <c r="D8864" t="s">
        <v>247</v>
      </c>
      <c r="E8864">
        <f>2/87</f>
        <v>2.2988505747126436E-2</v>
      </c>
      <c r="F8864">
        <v>121</v>
      </c>
      <c r="G8864">
        <f>LOG(382/(121+1))</f>
        <v>0.49570353223696051</v>
      </c>
      <c r="H8864">
        <f>0.0229885057471264*1.14139956387331</f>
        <v>2.6239070433869152E-2</v>
      </c>
      <c r="I8864">
        <v>2.6239070433869398E-2</v>
      </c>
    </row>
    <row r="8865" spans="1:9" x14ac:dyDescent="0.25">
      <c r="A8865">
        <v>384</v>
      </c>
      <c r="B8865" t="s">
        <v>2876</v>
      </c>
      <c r="C8865" t="s">
        <v>10</v>
      </c>
      <c r="D8865" t="s">
        <v>39</v>
      </c>
      <c r="E8865">
        <f>2/87</f>
        <v>2.2988505747126436E-2</v>
      </c>
      <c r="F8865">
        <v>145</v>
      </c>
      <c r="G8865">
        <f>LOG(382/(145+1))</f>
        <v>0.41771050712727159</v>
      </c>
      <c r="H8865">
        <f>0.0229885057471264*0.961813986898238</f>
        <v>2.2110666365476699E-2</v>
      </c>
      <c r="I8865">
        <v>2.2110666365476751E-2</v>
      </c>
    </row>
    <row r="8866" spans="1:9" x14ac:dyDescent="0.25">
      <c r="A8866">
        <v>384</v>
      </c>
      <c r="B8866" t="s">
        <v>2876</v>
      </c>
      <c r="C8866" t="s">
        <v>10</v>
      </c>
      <c r="D8866" t="s">
        <v>1079</v>
      </c>
      <c r="E8866">
        <f>1/87</f>
        <v>1.1494252873563218E-2</v>
      </c>
      <c r="F8866">
        <v>34</v>
      </c>
      <c r="G8866">
        <f>LOG(382/(34+1))</f>
        <v>1.037995318561433</v>
      </c>
      <c r="H8866">
        <f>0.0114942528735632*2.39007254711716</f>
        <v>2.747209824272593E-2</v>
      </c>
      <c r="I8866">
        <v>2.7472098242725989E-2</v>
      </c>
    </row>
    <row r="8867" spans="1:9" x14ac:dyDescent="0.25">
      <c r="A8867">
        <v>384</v>
      </c>
      <c r="B8867" t="s">
        <v>2876</v>
      </c>
      <c r="C8867" t="s">
        <v>10</v>
      </c>
      <c r="D8867" t="s">
        <v>924</v>
      </c>
      <c r="E8867">
        <f>1/87</f>
        <v>1.1494252873563218E-2</v>
      </c>
      <c r="F8867">
        <v>13</v>
      </c>
      <c r="G8867">
        <f>LOG(382/(13+1))</f>
        <v>1.4359353272334707</v>
      </c>
      <c r="H8867">
        <f>0.0114942528735632*3.30636327899131</f>
        <v>3.8004175620589706E-2</v>
      </c>
      <c r="I8867">
        <v>3.8004175620589838E-2</v>
      </c>
    </row>
    <row r="8868" spans="1:9" x14ac:dyDescent="0.25">
      <c r="A8868">
        <v>384</v>
      </c>
      <c r="B8868" t="s">
        <v>2876</v>
      </c>
      <c r="C8868" t="s">
        <v>10</v>
      </c>
      <c r="D8868" t="s">
        <v>324</v>
      </c>
      <c r="E8868">
        <f>3/87</f>
        <v>3.4482758620689655E-2</v>
      </c>
      <c r="F8868">
        <v>82</v>
      </c>
      <c r="G8868">
        <f>LOG(382/(82+1))</f>
        <v>0.66298527053563483</v>
      </c>
      <c r="H8868">
        <f>0.0344827586206896*1.52658000080997</f>
        <v>5.2640689683102322E-2</v>
      </c>
      <c r="I8868">
        <v>5.2640689683102662E-2</v>
      </c>
    </row>
    <row r="8869" spans="1:9" x14ac:dyDescent="0.25">
      <c r="A8869">
        <v>384</v>
      </c>
      <c r="B8869" t="s">
        <v>2876</v>
      </c>
      <c r="C8869" t="s">
        <v>10</v>
      </c>
      <c r="D8869" t="s">
        <v>2878</v>
      </c>
      <c r="E8869">
        <f t="shared" ref="E8869:E8877" si="412">1/87</f>
        <v>1.1494252873563218E-2</v>
      </c>
      <c r="F8869">
        <v>1</v>
      </c>
      <c r="G8869">
        <f>LOG(382/(1+1))</f>
        <v>2.2810333672477277</v>
      </c>
      <c r="H8869">
        <f>0.0114942528735632*5.25227342804663</f>
        <v>6.0370958943064608E-2</v>
      </c>
      <c r="I8869">
        <v>6.0370958943064712E-2</v>
      </c>
    </row>
    <row r="8870" spans="1:9" x14ac:dyDescent="0.25">
      <c r="A8870">
        <v>384</v>
      </c>
      <c r="B8870" t="s">
        <v>2876</v>
      </c>
      <c r="C8870" t="s">
        <v>10</v>
      </c>
      <c r="D8870" t="s">
        <v>2879</v>
      </c>
      <c r="E8870">
        <f t="shared" si="412"/>
        <v>1.1494252873563218E-2</v>
      </c>
      <c r="F8870">
        <v>1</v>
      </c>
      <c r="G8870">
        <f>LOG(382/(1+1))</f>
        <v>2.2810333672477277</v>
      </c>
      <c r="H8870">
        <f>0.0114942528735632*5.25227342804663</f>
        <v>6.0370958943064608E-2</v>
      </c>
      <c r="I8870">
        <v>6.0370958943064712E-2</v>
      </c>
    </row>
    <row r="8871" spans="1:9" x14ac:dyDescent="0.25">
      <c r="A8871">
        <v>384</v>
      </c>
      <c r="B8871" t="s">
        <v>2876</v>
      </c>
      <c r="C8871" t="s">
        <v>10</v>
      </c>
      <c r="D8871" t="s">
        <v>1453</v>
      </c>
      <c r="E8871">
        <f t="shared" si="412"/>
        <v>1.1494252873563218E-2</v>
      </c>
      <c r="F8871">
        <v>23</v>
      </c>
      <c r="G8871">
        <f>LOG(382/(23+1))</f>
        <v>1.2018521212001028</v>
      </c>
      <c r="H8871">
        <f>0.0114942528735632*2.76736677825862</f>
        <v>3.1808813543202481E-2</v>
      </c>
      <c r="I8871">
        <v>3.1808813543202641E-2</v>
      </c>
    </row>
    <row r="8872" spans="1:9" x14ac:dyDescent="0.25">
      <c r="A8872">
        <v>384</v>
      </c>
      <c r="B8872" t="s">
        <v>2876</v>
      </c>
      <c r="C8872" t="s">
        <v>10</v>
      </c>
      <c r="D8872" t="s">
        <v>2880</v>
      </c>
      <c r="E8872">
        <f t="shared" si="412"/>
        <v>1.1494252873563218E-2</v>
      </c>
      <c r="F8872">
        <v>1</v>
      </c>
      <c r="G8872">
        <f>LOG(382/(1+1))</f>
        <v>2.2810333672477277</v>
      </c>
      <c r="H8872">
        <f>0.0114942528735632*5.25227342804663</f>
        <v>6.0370958943064608E-2</v>
      </c>
      <c r="I8872">
        <v>6.0370958943064712E-2</v>
      </c>
    </row>
    <row r="8873" spans="1:9" x14ac:dyDescent="0.25">
      <c r="A8873">
        <v>384</v>
      </c>
      <c r="B8873" t="s">
        <v>2876</v>
      </c>
      <c r="C8873" t="s">
        <v>10</v>
      </c>
      <c r="D8873" t="s">
        <v>1456</v>
      </c>
      <c r="E8873">
        <f t="shared" si="412"/>
        <v>1.1494252873563218E-2</v>
      </c>
      <c r="F8873">
        <v>5</v>
      </c>
      <c r="G8873">
        <f>LOG(382/(5+1))</f>
        <v>1.803912112528065</v>
      </c>
      <c r="H8873">
        <f>0.0114942528735632*4.15366113937852</f>
        <v>4.7743231487109343E-2</v>
      </c>
      <c r="I8873">
        <v>4.7743231487109433E-2</v>
      </c>
    </row>
    <row r="8874" spans="1:9" x14ac:dyDescent="0.25">
      <c r="A8874">
        <v>384</v>
      </c>
      <c r="B8874" t="s">
        <v>2876</v>
      </c>
      <c r="C8874" t="s">
        <v>10</v>
      </c>
      <c r="D8874" t="s">
        <v>1019</v>
      </c>
      <c r="E8874">
        <f t="shared" si="412"/>
        <v>1.1494252873563218E-2</v>
      </c>
      <c r="F8874">
        <v>7</v>
      </c>
      <c r="G8874">
        <f>LOG(382/(7+1))</f>
        <v>1.6789733759197651</v>
      </c>
      <c r="H8874">
        <f>0.0114942528735632*3.86597906692673</f>
        <v>4.4436540999157746E-2</v>
      </c>
      <c r="I8874">
        <v>4.443654099915792E-2</v>
      </c>
    </row>
    <row r="8875" spans="1:9" x14ac:dyDescent="0.25">
      <c r="A8875">
        <v>384</v>
      </c>
      <c r="B8875" t="s">
        <v>2876</v>
      </c>
      <c r="C8875" t="s">
        <v>10</v>
      </c>
      <c r="D8875" t="s">
        <v>913</v>
      </c>
      <c r="E8875">
        <f t="shared" si="412"/>
        <v>1.1494252873563218E-2</v>
      </c>
      <c r="F8875">
        <v>14</v>
      </c>
      <c r="G8875">
        <f>LOG(382/(14+1))</f>
        <v>1.4059721038560276</v>
      </c>
      <c r="H8875">
        <f>0.0114942528735632*3.23737040750436</f>
        <v>3.7211154109245456E-2</v>
      </c>
      <c r="I8875">
        <v>3.7211154109245567E-2</v>
      </c>
    </row>
    <row r="8876" spans="1:9" x14ac:dyDescent="0.25">
      <c r="A8876">
        <v>384</v>
      </c>
      <c r="B8876" t="s">
        <v>2876</v>
      </c>
      <c r="C8876" t="s">
        <v>10</v>
      </c>
      <c r="D8876" t="s">
        <v>198</v>
      </c>
      <c r="E8876">
        <f t="shared" si="412"/>
        <v>1.1494252873563218E-2</v>
      </c>
      <c r="F8876">
        <v>11</v>
      </c>
      <c r="G8876">
        <f>LOG(382/(11+1))</f>
        <v>1.5028821168640838</v>
      </c>
      <c r="H8876">
        <f>0.0114942528735632*3.46051395881857</f>
        <v>3.9776022515155912E-2</v>
      </c>
      <c r="I8876">
        <v>3.977602251515603E-2</v>
      </c>
    </row>
    <row r="8877" spans="1:9" x14ac:dyDescent="0.25">
      <c r="A8877">
        <v>384</v>
      </c>
      <c r="B8877" t="s">
        <v>2876</v>
      </c>
      <c r="C8877" t="s">
        <v>10</v>
      </c>
      <c r="D8877" t="s">
        <v>25</v>
      </c>
      <c r="E8877">
        <f t="shared" si="412"/>
        <v>1.1494252873563218E-2</v>
      </c>
      <c r="F8877">
        <v>106</v>
      </c>
      <c r="G8877">
        <f>LOG(382/(106+1))</f>
        <v>0.55267958522649907</v>
      </c>
      <c r="H8877">
        <f>0.0114942528735632*1.27259177414466</f>
        <v>1.4627491656835148E-2</v>
      </c>
      <c r="I8877">
        <v>1.462749165683528E-2</v>
      </c>
    </row>
    <row r="8878" spans="1:9" x14ac:dyDescent="0.25">
      <c r="A8878">
        <v>384</v>
      </c>
      <c r="B8878" t="s">
        <v>2876</v>
      </c>
      <c r="C8878" t="s">
        <v>10</v>
      </c>
      <c r="D8878" t="s">
        <v>593</v>
      </c>
      <c r="E8878">
        <f>2/87</f>
        <v>2.2988505747126436E-2</v>
      </c>
      <c r="F8878">
        <v>30</v>
      </c>
      <c r="G8878">
        <f>LOG(382/(30+1))</f>
        <v>1.090701669077436</v>
      </c>
      <c r="H8878">
        <f>0.0229885057471264*2.51143340412142</f>
        <v>5.7734101244170478E-2</v>
      </c>
      <c r="I8878">
        <v>5.7734101244170777E-2</v>
      </c>
    </row>
    <row r="8879" spans="1:9" x14ac:dyDescent="0.25">
      <c r="A8879">
        <v>384</v>
      </c>
      <c r="B8879" t="s">
        <v>2876</v>
      </c>
      <c r="C8879" t="s">
        <v>10</v>
      </c>
      <c r="D8879" t="s">
        <v>594</v>
      </c>
      <c r="E8879">
        <f>2/87</f>
        <v>2.2988505747126436E-2</v>
      </c>
      <c r="F8879">
        <v>36</v>
      </c>
      <c r="G8879">
        <f>LOG(382/(36+1))</f>
        <v>1.0138616388447137</v>
      </c>
      <c r="H8879">
        <f>0.0229885057471264*2.33450269596235</f>
        <v>5.3666728642812557E-2</v>
      </c>
      <c r="I8879">
        <v>5.3666728642812661E-2</v>
      </c>
    </row>
    <row r="8880" spans="1:9" x14ac:dyDescent="0.25">
      <c r="A8880">
        <v>384</v>
      </c>
      <c r="B8880" t="s">
        <v>2876</v>
      </c>
      <c r="C8880" t="s">
        <v>10</v>
      </c>
      <c r="D8880" t="s">
        <v>1854</v>
      </c>
      <c r="E8880">
        <f>1/87</f>
        <v>1.1494252873563218E-2</v>
      </c>
      <c r="F8880">
        <v>9</v>
      </c>
      <c r="G8880">
        <f>LOG(382/(9+1))</f>
        <v>1.5820633629117087</v>
      </c>
      <c r="H8880">
        <f>0.0114942528735632*3.64283551561252</f>
        <v>4.187167259324729E-2</v>
      </c>
      <c r="I8880">
        <v>4.1871672593247457E-2</v>
      </c>
    </row>
    <row r="8881" spans="1:9" x14ac:dyDescent="0.25">
      <c r="A8881">
        <v>384</v>
      </c>
      <c r="B8881" t="s">
        <v>2876</v>
      </c>
      <c r="C8881" t="s">
        <v>10</v>
      </c>
      <c r="D8881" t="s">
        <v>81</v>
      </c>
      <c r="E8881">
        <f>4/87</f>
        <v>4.5977011494252873E-2</v>
      </c>
      <c r="F8881">
        <v>114</v>
      </c>
      <c r="G8881">
        <f>LOG(382/(114+1))</f>
        <v>0.52136552255809698</v>
      </c>
      <c r="H8881">
        <f>0.0459770114942528*1.20048848024332</f>
        <v>5.5194872654865196E-2</v>
      </c>
      <c r="I8881">
        <v>5.5194872654865522E-2</v>
      </c>
    </row>
    <row r="8882" spans="1:9" x14ac:dyDescent="0.25">
      <c r="A8882">
        <v>384</v>
      </c>
      <c r="B8882" t="s">
        <v>2876</v>
      </c>
      <c r="C8882" t="s">
        <v>10</v>
      </c>
      <c r="D8882" t="s">
        <v>600</v>
      </c>
      <c r="E8882">
        <f>4/87</f>
        <v>4.5977011494252873E-2</v>
      </c>
      <c r="F8882">
        <v>102</v>
      </c>
      <c r="G8882">
        <f>LOG(382/(102+1))</f>
        <v>0.56922613820653656</v>
      </c>
      <c r="H8882">
        <f>0.0459770114942528*1.31069162037693</f>
        <v>6.0261683695490939E-2</v>
      </c>
      <c r="I8882">
        <v>6.0261683695491473E-2</v>
      </c>
    </row>
    <row r="8883" spans="1:9" x14ac:dyDescent="0.25">
      <c r="A8883">
        <v>384</v>
      </c>
      <c r="B8883" t="s">
        <v>2876</v>
      </c>
      <c r="C8883" t="s">
        <v>10</v>
      </c>
      <c r="D8883" t="s">
        <v>2091</v>
      </c>
      <c r="E8883">
        <f>2/87</f>
        <v>2.2988505747126436E-2</v>
      </c>
      <c r="F8883">
        <v>3</v>
      </c>
      <c r="G8883">
        <f>LOG(382/(3+1))</f>
        <v>1.9800033715837464</v>
      </c>
      <c r="H8883">
        <f>0.0229885057471264*4.55912624748668</f>
        <v>0.10480749994222235</v>
      </c>
      <c r="I8883">
        <v>0.1048074999422226</v>
      </c>
    </row>
    <row r="8884" spans="1:9" x14ac:dyDescent="0.25">
      <c r="A8884">
        <v>384</v>
      </c>
      <c r="B8884" t="s">
        <v>2876</v>
      </c>
      <c r="C8884" t="s">
        <v>10</v>
      </c>
      <c r="D8884" t="s">
        <v>133</v>
      </c>
      <c r="E8884">
        <f>2/87</f>
        <v>2.2988505747126436E-2</v>
      </c>
      <c r="F8884">
        <v>142</v>
      </c>
      <c r="G8884">
        <f>LOG(382/(142+1))</f>
        <v>0.42672732544664693</v>
      </c>
      <c r="H8884">
        <f>0.0229885057471264*0.982575978346667</f>
        <v>2.2587953525210699E-2</v>
      </c>
      <c r="I8884">
        <v>2.2587953525210751E-2</v>
      </c>
    </row>
    <row r="8885" spans="1:9" x14ac:dyDescent="0.25">
      <c r="A8885">
        <v>384</v>
      </c>
      <c r="B8885" t="s">
        <v>2876</v>
      </c>
      <c r="C8885" t="s">
        <v>10</v>
      </c>
      <c r="D8885" t="s">
        <v>338</v>
      </c>
      <c r="E8885">
        <f>1/87</f>
        <v>1.1494252873563218E-2</v>
      </c>
      <c r="F8885">
        <v>54</v>
      </c>
      <c r="G8885">
        <f>LOG(382/(54+1))</f>
        <v>0.84170067341746491</v>
      </c>
      <c r="H8885">
        <f>0.0114942528735632*1.9380874233741</f>
        <v>2.2276866935334445E-2</v>
      </c>
      <c r="I8885">
        <v>2.2276866935334531E-2</v>
      </c>
    </row>
    <row r="8886" spans="1:9" x14ac:dyDescent="0.25">
      <c r="A8886">
        <v>384</v>
      </c>
      <c r="B8886" t="s">
        <v>2876</v>
      </c>
      <c r="C8886" t="s">
        <v>10</v>
      </c>
      <c r="D8886" t="s">
        <v>1876</v>
      </c>
      <c r="E8886">
        <f>2/87</f>
        <v>2.2988505747126436E-2</v>
      </c>
      <c r="F8886">
        <v>4</v>
      </c>
      <c r="G8886">
        <f>LOG(382/(4+1))</f>
        <v>1.8830933585756899</v>
      </c>
      <c r="H8886">
        <f>0.0229885057471264*4.33598269617247</f>
        <v>9.9677763130401456E-2</v>
      </c>
      <c r="I8886">
        <v>9.967776313040172E-2</v>
      </c>
    </row>
    <row r="8887" spans="1:9" x14ac:dyDescent="0.25">
      <c r="A8887">
        <v>384</v>
      </c>
      <c r="B8887" t="s">
        <v>2876</v>
      </c>
      <c r="C8887" t="s">
        <v>10</v>
      </c>
      <c r="D8887" t="s">
        <v>1083</v>
      </c>
      <c r="E8887">
        <f>2/87</f>
        <v>2.2988505747126436E-2</v>
      </c>
      <c r="F8887">
        <v>51</v>
      </c>
      <c r="G8887">
        <f>LOG(382/(51+1))</f>
        <v>0.86606001927690957</v>
      </c>
      <c r="H8887">
        <f>0.0229885057471264*1.99417689002514</f>
        <v>4.584314689712958E-2</v>
      </c>
      <c r="I8887">
        <v>4.584314689712983E-2</v>
      </c>
    </row>
    <row r="8888" spans="1:9" x14ac:dyDescent="0.25">
      <c r="A8888">
        <v>384</v>
      </c>
      <c r="B8888" t="s">
        <v>2876</v>
      </c>
      <c r="C8888" t="s">
        <v>10</v>
      </c>
      <c r="D8888" t="s">
        <v>1537</v>
      </c>
      <c r="E8888">
        <f>1/87</f>
        <v>1.1494252873563218E-2</v>
      </c>
      <c r="F8888">
        <v>80</v>
      </c>
      <c r="G8888">
        <f>LOG(382/(80+1))</f>
        <v>0.67357834403305894</v>
      </c>
      <c r="H8888">
        <f>0.0114942528735632*1.55097145393413</f>
        <v>1.7827258091196865E-2</v>
      </c>
      <c r="I8888">
        <v>1.7827258091196969E-2</v>
      </c>
    </row>
    <row r="8889" spans="1:9" x14ac:dyDescent="0.25">
      <c r="A8889">
        <v>384</v>
      </c>
      <c r="B8889" t="s">
        <v>2876</v>
      </c>
      <c r="C8889" t="s">
        <v>10</v>
      </c>
      <c r="D8889" t="s">
        <v>362</v>
      </c>
      <c r="E8889">
        <f>1/87</f>
        <v>1.1494252873563218E-2</v>
      </c>
      <c r="F8889">
        <v>81</v>
      </c>
      <c r="G8889">
        <f>LOG(382/(81+1))</f>
        <v>0.66824951052799197</v>
      </c>
      <c r="H8889">
        <f>0.0114942528735632*1.53870136134232</f>
        <v>1.7686222544164569E-2</v>
      </c>
      <c r="I8889">
        <v>1.7686222544164621E-2</v>
      </c>
    </row>
    <row r="8890" spans="1:9" x14ac:dyDescent="0.25">
      <c r="A8890">
        <v>384</v>
      </c>
      <c r="B8890" t="s">
        <v>2876</v>
      </c>
      <c r="C8890" t="s">
        <v>10</v>
      </c>
      <c r="D8890" t="s">
        <v>1769</v>
      </c>
      <c r="E8890">
        <f>1/87</f>
        <v>1.1494252873563218E-2</v>
      </c>
      <c r="F8890">
        <v>84</v>
      </c>
      <c r="G8890">
        <f>LOG(382/(84+1))</f>
        <v>0.65264443719741605</v>
      </c>
      <c r="H8890">
        <f>0.0114942528735632*1.50276935211625</f>
        <v>1.7273210943864914E-2</v>
      </c>
      <c r="I8890">
        <v>1.7273210943865039E-2</v>
      </c>
    </row>
    <row r="8891" spans="1:9" x14ac:dyDescent="0.25">
      <c r="A8891">
        <v>384</v>
      </c>
      <c r="B8891" t="s">
        <v>2876</v>
      </c>
      <c r="C8891" t="s">
        <v>10</v>
      </c>
      <c r="D8891" t="s">
        <v>1257</v>
      </c>
      <c r="E8891">
        <f>1/87</f>
        <v>1.1494252873563218E-2</v>
      </c>
      <c r="F8891">
        <v>10</v>
      </c>
      <c r="G8891">
        <f>LOG(382/(10+1))</f>
        <v>1.5406706777534838</v>
      </c>
      <c r="H8891">
        <f>0.0114942528735632*3.5475253358082</f>
        <v>4.0776153285151655E-2</v>
      </c>
      <c r="I8891">
        <v>4.077615328515178E-2</v>
      </c>
    </row>
    <row r="8892" spans="1:9" x14ac:dyDescent="0.25">
      <c r="A8892">
        <v>384</v>
      </c>
      <c r="B8892" t="s">
        <v>2876</v>
      </c>
      <c r="C8892" t="s">
        <v>10</v>
      </c>
      <c r="D8892" t="s">
        <v>2881</v>
      </c>
      <c r="E8892">
        <f>1/87</f>
        <v>1.1494252873563218E-2</v>
      </c>
      <c r="F8892">
        <v>1</v>
      </c>
      <c r="G8892">
        <f>LOG(382/(1+1))</f>
        <v>2.2810333672477277</v>
      </c>
      <c r="H8892">
        <f>0.0114942528735632*5.25227342804663</f>
        <v>6.0370958943064608E-2</v>
      </c>
      <c r="I8892">
        <v>6.0370958943064712E-2</v>
      </c>
    </row>
    <row r="8893" spans="1:9" x14ac:dyDescent="0.25">
      <c r="A8893">
        <v>384</v>
      </c>
      <c r="B8893" t="s">
        <v>2876</v>
      </c>
      <c r="C8893" t="s">
        <v>10</v>
      </c>
      <c r="D8893" t="s">
        <v>1855</v>
      </c>
      <c r="E8893">
        <f>2/87</f>
        <v>2.2988505747126436E-2</v>
      </c>
      <c r="F8893">
        <v>17</v>
      </c>
      <c r="G8893">
        <f>LOG(382/(17+1))</f>
        <v>1.3267908578084027</v>
      </c>
      <c r="H8893">
        <f>0.0229885057471264*3.05504885071041</f>
        <v>7.0231008062308156E-2</v>
      </c>
      <c r="I8893">
        <v>7.0231008062308281E-2</v>
      </c>
    </row>
    <row r="8894" spans="1:9" x14ac:dyDescent="0.25">
      <c r="A8894">
        <v>384</v>
      </c>
      <c r="B8894" t="s">
        <v>2876</v>
      </c>
      <c r="C8894" t="s">
        <v>10</v>
      </c>
      <c r="D8894" t="s">
        <v>2863</v>
      </c>
      <c r="E8894">
        <f>2/87</f>
        <v>2.2988505747126436E-2</v>
      </c>
      <c r="F8894">
        <v>6</v>
      </c>
      <c r="G8894">
        <f>LOG(382/(6+1))</f>
        <v>1.736965322897452</v>
      </c>
      <c r="H8894">
        <f>0.0229885057471264*3.99951045955126</f>
        <v>9.1942769185086287E-2</v>
      </c>
      <c r="I8894">
        <v>9.1942769185086481E-2</v>
      </c>
    </row>
    <row r="8895" spans="1:9" x14ac:dyDescent="0.25">
      <c r="A8895">
        <v>384</v>
      </c>
      <c r="B8895" t="s">
        <v>2876</v>
      </c>
      <c r="C8895" t="s">
        <v>10</v>
      </c>
      <c r="D8895" t="s">
        <v>237</v>
      </c>
      <c r="E8895">
        <f>1/87</f>
        <v>1.1494252873563218E-2</v>
      </c>
      <c r="F8895">
        <v>138</v>
      </c>
      <c r="G8895">
        <f>LOG(382/(138+1))</f>
        <v>0.43904856265761361</v>
      </c>
      <c r="H8895">
        <f>0.0114942528735632*1.01094667547588</f>
        <v>1.1620076729607796E-2</v>
      </c>
      <c r="I8895">
        <v>1.162007672960786E-2</v>
      </c>
    </row>
    <row r="8896" spans="1:9" x14ac:dyDescent="0.25">
      <c r="A8896">
        <v>384</v>
      </c>
      <c r="B8896" t="s">
        <v>2876</v>
      </c>
      <c r="C8896" t="s">
        <v>10</v>
      </c>
      <c r="D8896" t="s">
        <v>1857</v>
      </c>
      <c r="E8896">
        <f>2/87</f>
        <v>2.2988505747126436E-2</v>
      </c>
      <c r="F8896">
        <v>17</v>
      </c>
      <c r="G8896">
        <f>LOG(382/(17+1))</f>
        <v>1.3267908578084027</v>
      </c>
      <c r="H8896">
        <f>0.0229885057471264*3.05504885071041</f>
        <v>7.0231008062308156E-2</v>
      </c>
      <c r="I8896">
        <v>7.0231008062308281E-2</v>
      </c>
    </row>
    <row r="8897" spans="1:9" x14ac:dyDescent="0.25">
      <c r="A8897">
        <v>384</v>
      </c>
      <c r="B8897" t="s">
        <v>2876</v>
      </c>
      <c r="C8897" t="s">
        <v>10</v>
      </c>
      <c r="D8897" t="s">
        <v>1208</v>
      </c>
      <c r="E8897">
        <f>1/87</f>
        <v>1.1494252873563218E-2</v>
      </c>
      <c r="F8897">
        <v>10</v>
      </c>
      <c r="G8897">
        <f>LOG(382/(10+1))</f>
        <v>1.5406706777534838</v>
      </c>
      <c r="H8897">
        <f>0.0114942528735632*3.5475253358082</f>
        <v>4.0776153285151655E-2</v>
      </c>
      <c r="I8897">
        <v>4.077615328515178E-2</v>
      </c>
    </row>
    <row r="8898" spans="1:9" x14ac:dyDescent="0.25">
      <c r="A8898">
        <v>384</v>
      </c>
      <c r="B8898" t="s">
        <v>2876</v>
      </c>
      <c r="C8898" t="s">
        <v>10</v>
      </c>
      <c r="D8898" t="s">
        <v>755</v>
      </c>
      <c r="E8898">
        <f>1/87</f>
        <v>1.1494252873563218E-2</v>
      </c>
      <c r="F8898">
        <v>19</v>
      </c>
      <c r="G8898">
        <f>LOG(382/(19+1))</f>
        <v>1.2810333672477277</v>
      </c>
      <c r="H8898">
        <f>0.0114942528735632*2.94968833505258</f>
        <v>3.3904463621293963E-2</v>
      </c>
      <c r="I8898">
        <v>3.3904463621294068E-2</v>
      </c>
    </row>
    <row r="8899" spans="1:9" x14ac:dyDescent="0.25">
      <c r="A8899">
        <v>384</v>
      </c>
      <c r="B8899" t="s">
        <v>2876</v>
      </c>
      <c r="C8899" t="s">
        <v>10</v>
      </c>
      <c r="D8899" t="s">
        <v>123</v>
      </c>
      <c r="E8899">
        <f>1/87</f>
        <v>1.1494252873563218E-2</v>
      </c>
      <c r="F8899">
        <v>74</v>
      </c>
      <c r="G8899">
        <f>LOG(382/(74+1))</f>
        <v>0.7070020995200087</v>
      </c>
      <c r="H8899">
        <f>0.0114942528735632*1.62793249507026</f>
        <v>1.8711867759428246E-2</v>
      </c>
      <c r="I8899">
        <v>1.8711867759428329E-2</v>
      </c>
    </row>
    <row r="8900" spans="1:9" x14ac:dyDescent="0.25">
      <c r="A8900">
        <v>384</v>
      </c>
      <c r="B8900" t="s">
        <v>2876</v>
      </c>
      <c r="C8900" t="s">
        <v>10</v>
      </c>
      <c r="D8900" t="s">
        <v>1303</v>
      </c>
      <c r="E8900">
        <f>1/87</f>
        <v>1.1494252873563218E-2</v>
      </c>
      <c r="F8900">
        <v>17</v>
      </c>
      <c r="G8900">
        <f>LOG(382/(17+1))</f>
        <v>1.3267908578084027</v>
      </c>
      <c r="H8900">
        <f>0.0114942528735632*3.05504885071041</f>
        <v>3.5115504031154078E-2</v>
      </c>
      <c r="I8900">
        <v>3.5115504031154141E-2</v>
      </c>
    </row>
    <row r="8901" spans="1:9" x14ac:dyDescent="0.25">
      <c r="A8901">
        <v>384</v>
      </c>
      <c r="B8901" t="s">
        <v>2876</v>
      </c>
      <c r="C8901" t="s">
        <v>10</v>
      </c>
      <c r="D8901" t="s">
        <v>1012</v>
      </c>
      <c r="E8901">
        <f>1/87</f>
        <v>1.1494252873563218E-2</v>
      </c>
      <c r="F8901">
        <v>17</v>
      </c>
      <c r="G8901">
        <f>LOG(382/(17+1))</f>
        <v>1.3267908578084027</v>
      </c>
      <c r="H8901">
        <f>0.0114942528735632*3.05504885071041</f>
        <v>3.5115504031154078E-2</v>
      </c>
      <c r="I8901">
        <v>3.5115504031154141E-2</v>
      </c>
    </row>
    <row r="8902" spans="1:9" x14ac:dyDescent="0.25">
      <c r="A8902">
        <v>385</v>
      </c>
      <c r="B8902" t="s">
        <v>2882</v>
      </c>
      <c r="C8902" t="s">
        <v>10</v>
      </c>
      <c r="D8902" t="s">
        <v>315</v>
      </c>
      <c r="E8902">
        <f>6/132</f>
        <v>4.5454545454545456E-2</v>
      </c>
      <c r="F8902">
        <v>55</v>
      </c>
      <c r="G8902">
        <f>LOG(382/(55+1))</f>
        <v>0.83387533590550833</v>
      </c>
      <c r="H8902">
        <f>0.0454545454545454*1.92006891787142</f>
        <v>8.7275859903246267E-2</v>
      </c>
      <c r="I8902">
        <v>8.7275859903246628E-2</v>
      </c>
    </row>
    <row r="8903" spans="1:9" x14ac:dyDescent="0.25">
      <c r="A8903">
        <v>385</v>
      </c>
      <c r="B8903" t="s">
        <v>2882</v>
      </c>
      <c r="C8903" t="s">
        <v>10</v>
      </c>
      <c r="D8903" t="s">
        <v>2883</v>
      </c>
      <c r="E8903">
        <f>5/132</f>
        <v>3.787878787878788E-2</v>
      </c>
      <c r="F8903">
        <v>1</v>
      </c>
      <c r="G8903">
        <f>LOG(382/(1+1))</f>
        <v>2.2810333672477277</v>
      </c>
      <c r="H8903">
        <f>0.0378787878787878*5.25227342804663</f>
        <v>0.19894975106237192</v>
      </c>
      <c r="I8903">
        <v>0.19894975106237231</v>
      </c>
    </row>
    <row r="8904" spans="1:9" x14ac:dyDescent="0.25">
      <c r="A8904">
        <v>385</v>
      </c>
      <c r="B8904" t="s">
        <v>2882</v>
      </c>
      <c r="C8904" t="s">
        <v>10</v>
      </c>
      <c r="D8904" t="s">
        <v>169</v>
      </c>
      <c r="E8904">
        <f>7/132</f>
        <v>5.3030303030303032E-2</v>
      </c>
      <c r="F8904">
        <v>8</v>
      </c>
      <c r="G8904">
        <f>LOG(382/(8+1))</f>
        <v>1.6278208534723839</v>
      </c>
      <c r="H8904">
        <f>0.053030303030303*3.74819603127035</f>
        <v>0.19876797135524571</v>
      </c>
      <c r="I8904">
        <v>0.19876797135524621</v>
      </c>
    </row>
    <row r="8905" spans="1:9" x14ac:dyDescent="0.25">
      <c r="A8905">
        <v>385</v>
      </c>
      <c r="B8905" t="s">
        <v>2882</v>
      </c>
      <c r="C8905" t="s">
        <v>10</v>
      </c>
      <c r="D8905" t="s">
        <v>19</v>
      </c>
      <c r="E8905">
        <f>2/132</f>
        <v>1.5151515151515152E-2</v>
      </c>
      <c r="F8905">
        <v>220</v>
      </c>
      <c r="G8905">
        <f>LOG(382/(220+1))</f>
        <v>0.23767108922659805</v>
      </c>
      <c r="H8905">
        <f>0.0151515151515151*0.547257907088822</f>
        <v>8.2917864710427298E-3</v>
      </c>
      <c r="I8905">
        <v>8.2917864710427627E-3</v>
      </c>
    </row>
    <row r="8906" spans="1:9" x14ac:dyDescent="0.25">
      <c r="A8906">
        <v>385</v>
      </c>
      <c r="B8906" t="s">
        <v>2882</v>
      </c>
      <c r="C8906" t="s">
        <v>10</v>
      </c>
      <c r="D8906" t="s">
        <v>195</v>
      </c>
      <c r="E8906">
        <f>1/132</f>
        <v>7.575757575757576E-3</v>
      </c>
      <c r="F8906">
        <v>55</v>
      </c>
      <c r="G8906">
        <f>LOG(382/(55+1))</f>
        <v>0.83387533590550833</v>
      </c>
      <c r="H8906">
        <f>0.00757575757575757*1.92006891787142</f>
        <v>1.454597665054105E-2</v>
      </c>
      <c r="I8906">
        <v>1.4545976650541109E-2</v>
      </c>
    </row>
    <row r="8907" spans="1:9" x14ac:dyDescent="0.25">
      <c r="A8907">
        <v>385</v>
      </c>
      <c r="B8907" t="s">
        <v>2882</v>
      </c>
      <c r="C8907" t="s">
        <v>10</v>
      </c>
      <c r="D8907" t="s">
        <v>183</v>
      </c>
      <c r="E8907">
        <f>2/132</f>
        <v>1.5151515151515152E-2</v>
      </c>
      <c r="F8907">
        <v>46</v>
      </c>
      <c r="G8907">
        <f>LOG(382/(46+1))</f>
        <v>0.90996550497599127</v>
      </c>
      <c r="H8907">
        <f>0.0151515151515151*2.09527300689651</f>
        <v>3.1746560710553075E-2</v>
      </c>
      <c r="I8907">
        <v>3.1746560710553283E-2</v>
      </c>
    </row>
    <row r="8908" spans="1:9" x14ac:dyDescent="0.25">
      <c r="A8908">
        <v>385</v>
      </c>
      <c r="B8908" t="s">
        <v>2882</v>
      </c>
      <c r="C8908" t="s">
        <v>10</v>
      </c>
      <c r="D8908" t="s">
        <v>1181</v>
      </c>
      <c r="E8908">
        <f>2/132</f>
        <v>1.5151515151515152E-2</v>
      </c>
      <c r="F8908">
        <v>11</v>
      </c>
      <c r="G8908">
        <f>LOG(382/(11+1))</f>
        <v>1.5028821168640838</v>
      </c>
      <c r="H8908">
        <f>0.0151515151515151*3.46051395881857</f>
        <v>5.2432029679069063E-2</v>
      </c>
      <c r="I8908">
        <v>5.243202967906932E-2</v>
      </c>
    </row>
    <row r="8909" spans="1:9" x14ac:dyDescent="0.25">
      <c r="A8909">
        <v>385</v>
      </c>
      <c r="B8909" t="s">
        <v>2882</v>
      </c>
      <c r="C8909" t="s">
        <v>10</v>
      </c>
      <c r="D8909" t="s">
        <v>236</v>
      </c>
      <c r="E8909">
        <f>2/132</f>
        <v>1.5151515151515152E-2</v>
      </c>
      <c r="F8909">
        <v>87</v>
      </c>
      <c r="G8909">
        <f>LOG(382/(87+1))</f>
        <v>0.63758069076154011</v>
      </c>
      <c r="H8909">
        <f>0.0151515151515151*1.46808379412836</f>
        <v>2.2243693850429621E-2</v>
      </c>
      <c r="I8909">
        <v>2.2243693850429829E-2</v>
      </c>
    </row>
    <row r="8910" spans="1:9" x14ac:dyDescent="0.25">
      <c r="A8910">
        <v>385</v>
      </c>
      <c r="B8910" t="s">
        <v>2882</v>
      </c>
      <c r="C8910" t="s">
        <v>10</v>
      </c>
      <c r="D8910" t="s">
        <v>119</v>
      </c>
      <c r="E8910">
        <f>3/132</f>
        <v>2.2727272727272728E-2</v>
      </c>
      <c r="F8910">
        <v>79</v>
      </c>
      <c r="G8910">
        <f>LOG(382/(79+1))</f>
        <v>0.67897337591976514</v>
      </c>
      <c r="H8910">
        <f>0.0227272727272727*1.56339397393269</f>
        <v>3.5531681225742913E-2</v>
      </c>
      <c r="I8910">
        <v>3.5531681225743038E-2</v>
      </c>
    </row>
    <row r="8911" spans="1:9" x14ac:dyDescent="0.25">
      <c r="A8911">
        <v>385</v>
      </c>
      <c r="B8911" t="s">
        <v>2882</v>
      </c>
      <c r="C8911" t="s">
        <v>10</v>
      </c>
      <c r="D8911" t="s">
        <v>201</v>
      </c>
      <c r="E8911">
        <f>2/132</f>
        <v>1.5151515151515152E-2</v>
      </c>
      <c r="F8911">
        <v>72</v>
      </c>
      <c r="G8911">
        <f>LOG(382/(72+1))</f>
        <v>0.71874050279125279</v>
      </c>
      <c r="H8911">
        <f>0.0151515151515151*1.65496116745818</f>
        <v>2.5075169203911733E-2</v>
      </c>
      <c r="I8911">
        <v>2.5075169203911878E-2</v>
      </c>
    </row>
    <row r="8912" spans="1:9" x14ac:dyDescent="0.25">
      <c r="A8912">
        <v>385</v>
      </c>
      <c r="B8912" t="s">
        <v>2882</v>
      </c>
      <c r="C8912" t="s">
        <v>10</v>
      </c>
      <c r="D8912" t="s">
        <v>329</v>
      </c>
      <c r="E8912">
        <f>2/132</f>
        <v>1.5151515151515152E-2</v>
      </c>
      <c r="F8912">
        <v>9</v>
      </c>
      <c r="G8912">
        <f>LOG(382/(9+1))</f>
        <v>1.5820633629117087</v>
      </c>
      <c r="H8912">
        <f>0.0151515151515151*3.64283551561252</f>
        <v>5.5194477509280422E-2</v>
      </c>
      <c r="I8912">
        <v>5.5194477509280748E-2</v>
      </c>
    </row>
    <row r="8913" spans="1:9" x14ac:dyDescent="0.25">
      <c r="A8913">
        <v>385</v>
      </c>
      <c r="B8913" t="s">
        <v>2882</v>
      </c>
      <c r="C8913" t="s">
        <v>10</v>
      </c>
      <c r="D8913" t="s">
        <v>2884</v>
      </c>
      <c r="E8913">
        <f>1/132</f>
        <v>7.575757575757576E-3</v>
      </c>
      <c r="F8913">
        <v>1</v>
      </c>
      <c r="G8913">
        <f>LOG(382/(1+1))</f>
        <v>2.2810333672477277</v>
      </c>
      <c r="H8913">
        <f>0.00757575757575757*5.25227342804663</f>
        <v>3.9789950212474438E-2</v>
      </c>
      <c r="I8913">
        <v>3.9789950212474473E-2</v>
      </c>
    </row>
    <row r="8914" spans="1:9" x14ac:dyDescent="0.25">
      <c r="A8914">
        <v>385</v>
      </c>
      <c r="B8914" t="s">
        <v>2882</v>
      </c>
      <c r="C8914" t="s">
        <v>10</v>
      </c>
      <c r="D8914" t="s">
        <v>2154</v>
      </c>
      <c r="E8914">
        <f>1/132</f>
        <v>7.575757575757576E-3</v>
      </c>
      <c r="F8914">
        <v>9</v>
      </c>
      <c r="G8914">
        <f>LOG(382/(9+1))</f>
        <v>1.5820633629117087</v>
      </c>
      <c r="H8914">
        <f>0.00757575757575757*3.64283551561252</f>
        <v>2.759723875464028E-2</v>
      </c>
      <c r="I8914">
        <v>2.7597238754640371E-2</v>
      </c>
    </row>
    <row r="8915" spans="1:9" x14ac:dyDescent="0.25">
      <c r="A8915">
        <v>385</v>
      </c>
      <c r="B8915" t="s">
        <v>2882</v>
      </c>
      <c r="C8915" t="s">
        <v>10</v>
      </c>
      <c r="D8915" t="s">
        <v>76</v>
      </c>
      <c r="E8915">
        <f>3/132</f>
        <v>2.2727272727272728E-2</v>
      </c>
      <c r="F8915">
        <v>140</v>
      </c>
      <c r="G8915">
        <f>LOG(382/(140+1))</f>
        <v>0.43284425025632883</v>
      </c>
      <c r="H8915">
        <f>0.0227272727272727*0.996660718228407</f>
        <v>2.2651379959736494E-2</v>
      </c>
      <c r="I8915">
        <v>2.2651379959736519E-2</v>
      </c>
    </row>
    <row r="8916" spans="1:9" x14ac:dyDescent="0.25">
      <c r="A8916">
        <v>385</v>
      </c>
      <c r="B8916" t="s">
        <v>2882</v>
      </c>
      <c r="C8916" t="s">
        <v>10</v>
      </c>
      <c r="D8916" t="s">
        <v>40</v>
      </c>
      <c r="E8916">
        <f>3/132</f>
        <v>2.2727272727272728E-2</v>
      </c>
      <c r="F8916">
        <v>159</v>
      </c>
      <c r="G8916">
        <f>LOG(382/(159+1))</f>
        <v>0.377943380255784</v>
      </c>
      <c r="H8916">
        <f>0.0227272727272727*0.870246793372748</f>
        <v>1.9778336213016976E-2</v>
      </c>
      <c r="I8916">
        <v>1.9778336213017011E-2</v>
      </c>
    </row>
    <row r="8917" spans="1:9" x14ac:dyDescent="0.25">
      <c r="A8917">
        <v>385</v>
      </c>
      <c r="B8917" t="s">
        <v>2882</v>
      </c>
      <c r="C8917" t="s">
        <v>10</v>
      </c>
      <c r="D8917" t="s">
        <v>41</v>
      </c>
      <c r="E8917">
        <f>3/132</f>
        <v>2.2727272727272728E-2</v>
      </c>
      <c r="F8917">
        <v>195</v>
      </c>
      <c r="G8917">
        <f>LOG(382/(195+1))</f>
        <v>0.28980729155523272</v>
      </c>
      <c r="H8917">
        <f>0.0227272727272727*0.667305949376058</f>
        <v>1.51660443040013E-2</v>
      </c>
      <c r="I8917">
        <v>1.5166044304001321E-2</v>
      </c>
    </row>
    <row r="8918" spans="1:9" x14ac:dyDescent="0.25">
      <c r="A8918">
        <v>385</v>
      </c>
      <c r="B8918" t="s">
        <v>2882</v>
      </c>
      <c r="C8918" t="s">
        <v>10</v>
      </c>
      <c r="D8918" t="s">
        <v>77</v>
      </c>
      <c r="E8918">
        <f>4/132</f>
        <v>3.0303030303030304E-2</v>
      </c>
      <c r="F8918">
        <v>148</v>
      </c>
      <c r="G8918">
        <f>LOG(382/(148+1))</f>
        <v>0.40887709449943471</v>
      </c>
      <c r="H8918">
        <f>0.0303030303030303*0.941474302661116</f>
        <v>2.8529524323064118E-2</v>
      </c>
      <c r="I8918">
        <v>2.8529524323064121E-2</v>
      </c>
    </row>
    <row r="8919" spans="1:9" x14ac:dyDescent="0.25">
      <c r="A8919">
        <v>385</v>
      </c>
      <c r="B8919" t="s">
        <v>2882</v>
      </c>
      <c r="C8919" t="s">
        <v>10</v>
      </c>
      <c r="D8919" t="s">
        <v>247</v>
      </c>
      <c r="E8919">
        <f>2/132</f>
        <v>1.5151515151515152E-2</v>
      </c>
      <c r="F8919">
        <v>121</v>
      </c>
      <c r="G8919">
        <f>LOG(382/(121+1))</f>
        <v>0.49570353223696051</v>
      </c>
      <c r="H8919">
        <f>0.0151515151515151*1.14139956387331</f>
        <v>1.7293932785959185E-2</v>
      </c>
      <c r="I8919">
        <v>1.7293932785959379E-2</v>
      </c>
    </row>
    <row r="8920" spans="1:9" x14ac:dyDescent="0.25">
      <c r="A8920">
        <v>385</v>
      </c>
      <c r="B8920" t="s">
        <v>2882</v>
      </c>
      <c r="C8920" t="s">
        <v>10</v>
      </c>
      <c r="D8920" t="s">
        <v>39</v>
      </c>
      <c r="E8920">
        <f t="shared" ref="E8920:E8931" si="413">1/132</f>
        <v>7.575757575757576E-3</v>
      </c>
      <c r="F8920">
        <v>145</v>
      </c>
      <c r="G8920">
        <f>LOG(382/(145+1))</f>
        <v>0.41771050712727159</v>
      </c>
      <c r="H8920">
        <f>0.00757575757575757*0.961813986898238</f>
        <v>7.2864695977139186E-3</v>
      </c>
      <c r="I8920">
        <v>7.2864695977139298E-3</v>
      </c>
    </row>
    <row r="8921" spans="1:9" x14ac:dyDescent="0.25">
      <c r="A8921">
        <v>385</v>
      </c>
      <c r="B8921" t="s">
        <v>2882</v>
      </c>
      <c r="C8921" t="s">
        <v>10</v>
      </c>
      <c r="D8921" t="s">
        <v>42</v>
      </c>
      <c r="E8921">
        <f t="shared" si="413"/>
        <v>7.575757575757576E-3</v>
      </c>
      <c r="F8921">
        <v>251</v>
      </c>
      <c r="G8921">
        <f>LOG(382/(251+1))</f>
        <v>0.18066282213016463</v>
      </c>
      <c r="H8921">
        <f>0.00757575757575757*0.415991521095151</f>
        <v>3.151450917387505E-3</v>
      </c>
      <c r="I8921">
        <v>3.1514509173875141E-3</v>
      </c>
    </row>
    <row r="8922" spans="1:9" x14ac:dyDescent="0.25">
      <c r="A8922">
        <v>385</v>
      </c>
      <c r="B8922" t="s">
        <v>2882</v>
      </c>
      <c r="C8922" t="s">
        <v>10</v>
      </c>
      <c r="D8922" t="s">
        <v>2885</v>
      </c>
      <c r="E8922">
        <f t="shared" si="413"/>
        <v>7.575757575757576E-3</v>
      </c>
      <c r="F8922">
        <v>1</v>
      </c>
      <c r="G8922">
        <f>LOG(382/(1+1))</f>
        <v>2.2810333672477277</v>
      </c>
      <c r="H8922">
        <f>0.00757575757575757*5.25227342804663</f>
        <v>3.9789950212474438E-2</v>
      </c>
      <c r="I8922">
        <v>3.9789950212474473E-2</v>
      </c>
    </row>
    <row r="8923" spans="1:9" x14ac:dyDescent="0.25">
      <c r="A8923">
        <v>385</v>
      </c>
      <c r="B8923" t="s">
        <v>2882</v>
      </c>
      <c r="C8923" t="s">
        <v>10</v>
      </c>
      <c r="D8923" t="s">
        <v>22</v>
      </c>
      <c r="E8923">
        <f t="shared" si="413"/>
        <v>7.575757575757576E-3</v>
      </c>
      <c r="F8923">
        <v>259</v>
      </c>
      <c r="G8923">
        <f>LOG(382/(259+1))</f>
        <v>0.16709001494089079</v>
      </c>
      <c r="H8923">
        <f>0.00757575757575757*0.384738977591047</f>
        <v>2.9146892241745962E-3</v>
      </c>
      <c r="I8923">
        <v>2.9146892241746032E-3</v>
      </c>
    </row>
    <row r="8924" spans="1:9" x14ac:dyDescent="0.25">
      <c r="A8924">
        <v>385</v>
      </c>
      <c r="B8924" t="s">
        <v>2882</v>
      </c>
      <c r="C8924" t="s">
        <v>10</v>
      </c>
      <c r="D8924" t="s">
        <v>23</v>
      </c>
      <c r="E8924">
        <f t="shared" si="413"/>
        <v>7.575757575757576E-3</v>
      </c>
      <c r="F8924">
        <v>275</v>
      </c>
      <c r="G8924">
        <f>LOG(382/(275+1))</f>
        <v>0.14115428084649101</v>
      </c>
      <c r="H8924">
        <f>0.00757575757575757*0.325019742889425</f>
        <v>2.462270779465339E-3</v>
      </c>
      <c r="I8924">
        <v>2.462270779465342E-3</v>
      </c>
    </row>
    <row r="8925" spans="1:9" x14ac:dyDescent="0.25">
      <c r="A8925">
        <v>385</v>
      </c>
      <c r="B8925" t="s">
        <v>2882</v>
      </c>
      <c r="C8925" t="s">
        <v>10</v>
      </c>
      <c r="D8925" t="s">
        <v>2886</v>
      </c>
      <c r="E8925">
        <f t="shared" si="413"/>
        <v>7.575757575757576E-3</v>
      </c>
      <c r="F8925">
        <v>1</v>
      </c>
      <c r="G8925">
        <f>LOG(382/(1+1))</f>
        <v>2.2810333672477277</v>
      </c>
      <c r="H8925">
        <f>0.00757575757575757*5.25227342804663</f>
        <v>3.9789950212474438E-2</v>
      </c>
      <c r="I8925">
        <v>3.9789950212474473E-2</v>
      </c>
    </row>
    <row r="8926" spans="1:9" x14ac:dyDescent="0.25">
      <c r="A8926">
        <v>385</v>
      </c>
      <c r="B8926" t="s">
        <v>2882</v>
      </c>
      <c r="C8926" t="s">
        <v>10</v>
      </c>
      <c r="D8926" t="s">
        <v>204</v>
      </c>
      <c r="E8926">
        <f t="shared" si="413"/>
        <v>7.575757575757576E-3</v>
      </c>
      <c r="F8926">
        <v>166</v>
      </c>
      <c r="G8926">
        <f>LOG(382/(166+1))</f>
        <v>0.35934689176412549</v>
      </c>
      <c r="H8926">
        <f>0.00757575757575757*0.82742679618982</f>
        <v>6.2683848196198435E-3</v>
      </c>
      <c r="I8926">
        <v>6.2683848196198504E-3</v>
      </c>
    </row>
    <row r="8927" spans="1:9" x14ac:dyDescent="0.25">
      <c r="A8927">
        <v>385</v>
      </c>
      <c r="B8927" t="s">
        <v>2882</v>
      </c>
      <c r="C8927" t="s">
        <v>10</v>
      </c>
      <c r="D8927" t="s">
        <v>2887</v>
      </c>
      <c r="E8927">
        <f t="shared" si="413"/>
        <v>7.575757575757576E-3</v>
      </c>
      <c r="F8927">
        <v>2</v>
      </c>
      <c r="G8927">
        <f>LOG(382/(2+1))</f>
        <v>2.1049421081920463</v>
      </c>
      <c r="H8927">
        <f>0.00757575757575757*4.84680831993846</f>
        <v>3.6718244848018611E-2</v>
      </c>
      <c r="I8927">
        <v>3.671824484801868E-2</v>
      </c>
    </row>
    <row r="8928" spans="1:9" x14ac:dyDescent="0.25">
      <c r="A8928">
        <v>385</v>
      </c>
      <c r="B8928" t="s">
        <v>2882</v>
      </c>
      <c r="C8928" t="s">
        <v>10</v>
      </c>
      <c r="D8928" t="s">
        <v>1079</v>
      </c>
      <c r="E8928">
        <f t="shared" si="413"/>
        <v>7.575757575757576E-3</v>
      </c>
      <c r="F8928">
        <v>34</v>
      </c>
      <c r="G8928">
        <f>LOG(382/(34+1))</f>
        <v>1.037995318561433</v>
      </c>
      <c r="H8928">
        <f>0.00757575757575757*2.39007254711716</f>
        <v>1.8106610205433016E-2</v>
      </c>
      <c r="I8928">
        <v>1.8106610205433041E-2</v>
      </c>
    </row>
    <row r="8929" spans="1:9" x14ac:dyDescent="0.25">
      <c r="A8929">
        <v>385</v>
      </c>
      <c r="B8929" t="s">
        <v>2882</v>
      </c>
      <c r="C8929" t="s">
        <v>10</v>
      </c>
      <c r="D8929" t="s">
        <v>2888</v>
      </c>
      <c r="E8929">
        <f t="shared" si="413"/>
        <v>7.575757575757576E-3</v>
      </c>
      <c r="F8929">
        <v>1</v>
      </c>
      <c r="G8929">
        <f>LOG(382/(1+1))</f>
        <v>2.2810333672477277</v>
      </c>
      <c r="H8929">
        <f>0.00757575757575757*5.25227342804663</f>
        <v>3.9789950212474438E-2</v>
      </c>
      <c r="I8929">
        <v>3.9789950212474473E-2</v>
      </c>
    </row>
    <row r="8930" spans="1:9" x14ac:dyDescent="0.25">
      <c r="A8930">
        <v>385</v>
      </c>
      <c r="B8930" t="s">
        <v>2882</v>
      </c>
      <c r="C8930" t="s">
        <v>10</v>
      </c>
      <c r="D8930" t="s">
        <v>322</v>
      </c>
      <c r="E8930">
        <f t="shared" si="413"/>
        <v>7.575757575757576E-3</v>
      </c>
      <c r="F8930">
        <v>128</v>
      </c>
      <c r="G8930">
        <f>LOG(382/(128+1))</f>
        <v>0.47147365261245977</v>
      </c>
      <c r="H8930">
        <f>0.00757575757575757*1.0856082042449</f>
        <v>8.2243045776128725E-3</v>
      </c>
      <c r="I8930">
        <v>8.2243045776129019E-3</v>
      </c>
    </row>
    <row r="8931" spans="1:9" x14ac:dyDescent="0.25">
      <c r="A8931">
        <v>385</v>
      </c>
      <c r="B8931" t="s">
        <v>2882</v>
      </c>
      <c r="C8931" t="s">
        <v>10</v>
      </c>
      <c r="D8931" t="s">
        <v>123</v>
      </c>
      <c r="E8931">
        <f t="shared" si="413"/>
        <v>7.575757575757576E-3</v>
      </c>
      <c r="F8931">
        <v>74</v>
      </c>
      <c r="G8931">
        <f>LOG(382/(74+1))</f>
        <v>0.7070020995200087</v>
      </c>
      <c r="H8931">
        <f>0.00757575757575757*1.62793249507026</f>
        <v>1.2332821932350446E-2</v>
      </c>
      <c r="I8931">
        <v>1.2332821932350489E-2</v>
      </c>
    </row>
    <row r="8932" spans="1:9" x14ac:dyDescent="0.25">
      <c r="A8932">
        <v>385</v>
      </c>
      <c r="B8932" t="s">
        <v>2882</v>
      </c>
      <c r="C8932" t="s">
        <v>10</v>
      </c>
      <c r="D8932" t="s">
        <v>81</v>
      </c>
      <c r="E8932">
        <f>2/132</f>
        <v>1.5151515151515152E-2</v>
      </c>
      <c r="F8932">
        <v>114</v>
      </c>
      <c r="G8932">
        <f>LOG(382/(114+1))</f>
        <v>0.52136552255809698</v>
      </c>
      <c r="H8932">
        <f>0.0151515151515151*1.20048848024332</f>
        <v>1.8189219397625998E-2</v>
      </c>
      <c r="I8932">
        <v>1.818921939762614E-2</v>
      </c>
    </row>
    <row r="8933" spans="1:9" x14ac:dyDescent="0.25">
      <c r="A8933">
        <v>385</v>
      </c>
      <c r="B8933" t="s">
        <v>2882</v>
      </c>
      <c r="C8933" t="s">
        <v>10</v>
      </c>
      <c r="D8933" t="s">
        <v>429</v>
      </c>
      <c r="E8933">
        <f>1/132</f>
        <v>7.575757575757576E-3</v>
      </c>
      <c r="F8933">
        <v>11</v>
      </c>
      <c r="G8933">
        <f>LOG(382/(11+1))</f>
        <v>1.5028821168640838</v>
      </c>
      <c r="H8933">
        <f>0.00757575757575757*3.46051395881857</f>
        <v>2.6216014839534601E-2</v>
      </c>
      <c r="I8933">
        <v>2.621601483953466E-2</v>
      </c>
    </row>
    <row r="8934" spans="1:9" x14ac:dyDescent="0.25">
      <c r="A8934">
        <v>385</v>
      </c>
      <c r="B8934" t="s">
        <v>2882</v>
      </c>
      <c r="C8934" t="s">
        <v>10</v>
      </c>
      <c r="D8934" t="s">
        <v>2889</v>
      </c>
      <c r="E8934">
        <f>1/132</f>
        <v>7.575757575757576E-3</v>
      </c>
      <c r="F8934">
        <v>1</v>
      </c>
      <c r="G8934">
        <f>LOG(382/(1+1))</f>
        <v>2.2810333672477277</v>
      </c>
      <c r="H8934">
        <f>0.00757575757575757*5.25227342804663</f>
        <v>3.9789950212474438E-2</v>
      </c>
      <c r="I8934">
        <v>3.9789950212474473E-2</v>
      </c>
    </row>
    <row r="8935" spans="1:9" x14ac:dyDescent="0.25">
      <c r="A8935">
        <v>385</v>
      </c>
      <c r="B8935" t="s">
        <v>2882</v>
      </c>
      <c r="C8935" t="s">
        <v>10</v>
      </c>
      <c r="D8935" t="s">
        <v>1444</v>
      </c>
      <c r="E8935">
        <f>1/132</f>
        <v>7.575757575757576E-3</v>
      </c>
      <c r="F8935">
        <v>7</v>
      </c>
      <c r="G8935">
        <f>LOG(382/(7+1))</f>
        <v>1.6789733759197651</v>
      </c>
      <c r="H8935">
        <f>0.00757575757575757*3.86597906692673</f>
        <v>2.9287720203990359E-2</v>
      </c>
      <c r="I8935">
        <v>2.9287720203990449E-2</v>
      </c>
    </row>
    <row r="8936" spans="1:9" x14ac:dyDescent="0.25">
      <c r="A8936">
        <v>385</v>
      </c>
      <c r="B8936" t="s">
        <v>2882</v>
      </c>
      <c r="C8936" t="s">
        <v>10</v>
      </c>
      <c r="D8936" t="s">
        <v>2317</v>
      </c>
      <c r="E8936">
        <f>1/132</f>
        <v>7.575757575757576E-3</v>
      </c>
      <c r="F8936">
        <v>2</v>
      </c>
      <c r="G8936">
        <f>LOG(382/(2+1))</f>
        <v>2.1049421081920463</v>
      </c>
      <c r="H8936">
        <f>0.00757575757575757*4.84680831993846</f>
        <v>3.6718244848018611E-2</v>
      </c>
      <c r="I8936">
        <v>3.671824484801868E-2</v>
      </c>
    </row>
    <row r="8937" spans="1:9" x14ac:dyDescent="0.25">
      <c r="A8937">
        <v>385</v>
      </c>
      <c r="B8937" t="s">
        <v>2882</v>
      </c>
      <c r="C8937" t="s">
        <v>10</v>
      </c>
      <c r="D8937" t="s">
        <v>1083</v>
      </c>
      <c r="E8937">
        <f>1/132</f>
        <v>7.575757575757576E-3</v>
      </c>
      <c r="F8937">
        <v>51</v>
      </c>
      <c r="G8937">
        <f>LOG(382/(51+1))</f>
        <v>0.86606001927690957</v>
      </c>
      <c r="H8937">
        <f>0.00757575757575757*1.99417689002514</f>
        <v>1.5107400682008625E-2</v>
      </c>
      <c r="I8937">
        <v>1.51074006820087E-2</v>
      </c>
    </row>
    <row r="8938" spans="1:9" x14ac:dyDescent="0.25">
      <c r="A8938">
        <v>385</v>
      </c>
      <c r="B8938" t="s">
        <v>2882</v>
      </c>
      <c r="C8938" t="s">
        <v>10</v>
      </c>
      <c r="D8938" t="s">
        <v>133</v>
      </c>
      <c r="E8938">
        <f>2/132</f>
        <v>1.5151515151515152E-2</v>
      </c>
      <c r="F8938">
        <v>142</v>
      </c>
      <c r="G8938">
        <f>LOG(382/(142+1))</f>
        <v>0.42672732544664693</v>
      </c>
      <c r="H8938">
        <f>0.0151515151515151*0.982575978346667</f>
        <v>1.4887514823434297E-2</v>
      </c>
      <c r="I8938">
        <v>1.488751482343436E-2</v>
      </c>
    </row>
    <row r="8939" spans="1:9" x14ac:dyDescent="0.25">
      <c r="A8939">
        <v>385</v>
      </c>
      <c r="B8939" t="s">
        <v>2882</v>
      </c>
      <c r="C8939" t="s">
        <v>10</v>
      </c>
      <c r="D8939" t="s">
        <v>2890</v>
      </c>
      <c r="E8939">
        <f>1/132</f>
        <v>7.575757575757576E-3</v>
      </c>
      <c r="F8939">
        <v>1</v>
      </c>
      <c r="G8939">
        <f>LOG(382/(1+1))</f>
        <v>2.2810333672477277</v>
      </c>
      <c r="H8939">
        <f>0.00757575757575757*5.25227342804663</f>
        <v>3.9789950212474438E-2</v>
      </c>
      <c r="I8939">
        <v>3.9789950212474473E-2</v>
      </c>
    </row>
    <row r="8940" spans="1:9" x14ac:dyDescent="0.25">
      <c r="A8940">
        <v>385</v>
      </c>
      <c r="B8940" t="s">
        <v>2882</v>
      </c>
      <c r="C8940" t="s">
        <v>10</v>
      </c>
      <c r="D8940" t="s">
        <v>593</v>
      </c>
      <c r="E8940">
        <f>2/132</f>
        <v>1.5151515151515152E-2</v>
      </c>
      <c r="F8940">
        <v>30</v>
      </c>
      <c r="G8940">
        <f>LOG(382/(30+1))</f>
        <v>1.090701669077436</v>
      </c>
      <c r="H8940">
        <f>0.0151515151515151*2.51143340412142</f>
        <v>3.805202127456684E-2</v>
      </c>
      <c r="I8940">
        <v>3.805202127456711E-2</v>
      </c>
    </row>
    <row r="8941" spans="1:9" x14ac:dyDescent="0.25">
      <c r="A8941">
        <v>385</v>
      </c>
      <c r="B8941" t="s">
        <v>2882</v>
      </c>
      <c r="C8941" t="s">
        <v>10</v>
      </c>
      <c r="D8941" t="s">
        <v>594</v>
      </c>
      <c r="E8941">
        <f>2/132</f>
        <v>1.5151515151515152E-2</v>
      </c>
      <c r="F8941">
        <v>36</v>
      </c>
      <c r="G8941">
        <f>LOG(382/(36+1))</f>
        <v>1.0138616388447137</v>
      </c>
      <c r="H8941">
        <f>0.0151515151515151*2.33450269596235</f>
        <v>3.5371252969126396E-2</v>
      </c>
      <c r="I8941">
        <v>3.5371252969126528E-2</v>
      </c>
    </row>
    <row r="8942" spans="1:9" x14ac:dyDescent="0.25">
      <c r="A8942">
        <v>385</v>
      </c>
      <c r="B8942" t="s">
        <v>2882</v>
      </c>
      <c r="C8942" t="s">
        <v>10</v>
      </c>
      <c r="D8942" t="s">
        <v>25</v>
      </c>
      <c r="E8942">
        <f t="shared" ref="E8942:E8950" si="414">1/132</f>
        <v>7.575757575757576E-3</v>
      </c>
      <c r="F8942">
        <v>106</v>
      </c>
      <c r="G8942">
        <f>LOG(382/(106+1))</f>
        <v>0.55267958522649907</v>
      </c>
      <c r="H8942">
        <f>0.00757575757575757*1.27259177414466</f>
        <v>9.6408467738231737E-3</v>
      </c>
      <c r="I8942">
        <v>9.6408467738232501E-3</v>
      </c>
    </row>
    <row r="8943" spans="1:9" x14ac:dyDescent="0.25">
      <c r="A8943">
        <v>385</v>
      </c>
      <c r="B8943" t="s">
        <v>2882</v>
      </c>
      <c r="C8943" t="s">
        <v>10</v>
      </c>
      <c r="D8943" t="s">
        <v>2891</v>
      </c>
      <c r="E8943">
        <f t="shared" si="414"/>
        <v>7.575757575757576E-3</v>
      </c>
      <c r="F8943">
        <v>1</v>
      </c>
      <c r="G8943">
        <f>LOG(382/(1+1))</f>
        <v>2.2810333672477277</v>
      </c>
      <c r="H8943">
        <f>0.00757575757575757*5.25227342804663</f>
        <v>3.9789950212474438E-2</v>
      </c>
      <c r="I8943">
        <v>3.9789950212474473E-2</v>
      </c>
    </row>
    <row r="8944" spans="1:9" x14ac:dyDescent="0.25">
      <c r="A8944">
        <v>385</v>
      </c>
      <c r="B8944" t="s">
        <v>2882</v>
      </c>
      <c r="C8944" t="s">
        <v>10</v>
      </c>
      <c r="D8944" t="s">
        <v>1303</v>
      </c>
      <c r="E8944">
        <f t="shared" si="414"/>
        <v>7.575757575757576E-3</v>
      </c>
      <c r="F8944">
        <v>17</v>
      </c>
      <c r="G8944">
        <f>LOG(382/(17+1))</f>
        <v>1.3267908578084027</v>
      </c>
      <c r="H8944">
        <f>0.00757575757575757*3.05504885071041</f>
        <v>2.3144309475078846E-2</v>
      </c>
      <c r="I8944">
        <v>2.314430947507887E-2</v>
      </c>
    </row>
    <row r="8945" spans="1:9" x14ac:dyDescent="0.25">
      <c r="A8945">
        <v>385</v>
      </c>
      <c r="B8945" t="s">
        <v>2882</v>
      </c>
      <c r="C8945" t="s">
        <v>10</v>
      </c>
      <c r="D8945" t="s">
        <v>1012</v>
      </c>
      <c r="E8945">
        <f t="shared" si="414"/>
        <v>7.575757575757576E-3</v>
      </c>
      <c r="F8945">
        <v>17</v>
      </c>
      <c r="G8945">
        <f>LOG(382/(17+1))</f>
        <v>1.3267908578084027</v>
      </c>
      <c r="H8945">
        <f>0.00757575757575757*3.05504885071041</f>
        <v>2.3144309475078846E-2</v>
      </c>
      <c r="I8945">
        <v>2.314430947507887E-2</v>
      </c>
    </row>
    <row r="8946" spans="1:9" x14ac:dyDescent="0.25">
      <c r="A8946">
        <v>385</v>
      </c>
      <c r="B8946" t="s">
        <v>2882</v>
      </c>
      <c r="C8946" t="s">
        <v>10</v>
      </c>
      <c r="D8946" t="s">
        <v>1222</v>
      </c>
      <c r="E8946">
        <f t="shared" si="414"/>
        <v>7.575757575757576E-3</v>
      </c>
      <c r="F8946">
        <v>56</v>
      </c>
      <c r="G8946">
        <f>LOG(382/(56+1))</f>
        <v>0.82618850723921733</v>
      </c>
      <c r="H8946">
        <f>0.00757575757575757*1.90236934077202</f>
        <v>1.4411888945242564E-2</v>
      </c>
      <c r="I8946">
        <v>1.4411888945242609E-2</v>
      </c>
    </row>
    <row r="8947" spans="1:9" x14ac:dyDescent="0.25">
      <c r="A8947">
        <v>385</v>
      </c>
      <c r="B8947" t="s">
        <v>2882</v>
      </c>
      <c r="C8947" t="s">
        <v>10</v>
      </c>
      <c r="D8947" t="s">
        <v>324</v>
      </c>
      <c r="E8947">
        <f t="shared" si="414"/>
        <v>7.575757575757576E-3</v>
      </c>
      <c r="F8947">
        <v>82</v>
      </c>
      <c r="G8947">
        <f>LOG(382/(82+1))</f>
        <v>0.66298527053563483</v>
      </c>
      <c r="H8947">
        <f>0.00757575757575757*1.52658000080997</f>
        <v>1.1565000006136127E-2</v>
      </c>
      <c r="I8947">
        <v>1.1565000006136189E-2</v>
      </c>
    </row>
    <row r="8948" spans="1:9" x14ac:dyDescent="0.25">
      <c r="A8948">
        <v>385</v>
      </c>
      <c r="B8948" t="s">
        <v>2882</v>
      </c>
      <c r="C8948" t="s">
        <v>10</v>
      </c>
      <c r="D8948" t="s">
        <v>2892</v>
      </c>
      <c r="E8948">
        <f t="shared" si="414"/>
        <v>7.575757575757576E-3</v>
      </c>
      <c r="F8948">
        <v>1</v>
      </c>
      <c r="G8948">
        <f>LOG(382/(1+1))</f>
        <v>2.2810333672477277</v>
      </c>
      <c r="H8948">
        <f>0.00757575757575757*5.25227342804663</f>
        <v>3.9789950212474438E-2</v>
      </c>
      <c r="I8948">
        <v>3.9789950212474473E-2</v>
      </c>
    </row>
    <row r="8949" spans="1:9" x14ac:dyDescent="0.25">
      <c r="A8949">
        <v>385</v>
      </c>
      <c r="B8949" t="s">
        <v>2882</v>
      </c>
      <c r="C8949" t="s">
        <v>10</v>
      </c>
      <c r="D8949" t="s">
        <v>485</v>
      </c>
      <c r="E8949">
        <f t="shared" si="414"/>
        <v>7.575757575757576E-3</v>
      </c>
      <c r="F8949">
        <v>74</v>
      </c>
      <c r="G8949">
        <f>LOG(382/(74+1))</f>
        <v>0.7070020995200087</v>
      </c>
      <c r="H8949">
        <f>0.00757575757575757*1.62793249507026</f>
        <v>1.2332821932350446E-2</v>
      </c>
      <c r="I8949">
        <v>1.2332821932350489E-2</v>
      </c>
    </row>
    <row r="8950" spans="1:9" x14ac:dyDescent="0.25">
      <c r="A8950">
        <v>385</v>
      </c>
      <c r="B8950" t="s">
        <v>2882</v>
      </c>
      <c r="C8950" t="s">
        <v>10</v>
      </c>
      <c r="D8950" t="s">
        <v>596</v>
      </c>
      <c r="E8950">
        <f t="shared" si="414"/>
        <v>7.575757575757576E-3</v>
      </c>
      <c r="F8950">
        <v>60</v>
      </c>
      <c r="G8950">
        <f>LOG(382/(60+1))</f>
        <v>0.79673352790094176</v>
      </c>
      <c r="H8950">
        <f>0.00757575757575757*1.83454674443326</f>
        <v>1.3898081397221656E-2</v>
      </c>
      <c r="I8950">
        <v>1.38980813972217E-2</v>
      </c>
    </row>
    <row r="8951" spans="1:9" x14ac:dyDescent="0.25">
      <c r="A8951">
        <v>385</v>
      </c>
      <c r="B8951" t="s">
        <v>2882</v>
      </c>
      <c r="C8951" t="s">
        <v>10</v>
      </c>
      <c r="D8951" t="s">
        <v>597</v>
      </c>
      <c r="E8951">
        <f>2/132</f>
        <v>1.5151515151515152E-2</v>
      </c>
      <c r="F8951">
        <v>51</v>
      </c>
      <c r="G8951">
        <f>LOG(382/(51+1))</f>
        <v>0.86606001927690957</v>
      </c>
      <c r="H8951">
        <f>0.0151515151515151*1.99417689002514</f>
        <v>3.021480136401717E-2</v>
      </c>
      <c r="I8951">
        <v>3.0214801364017389E-2</v>
      </c>
    </row>
    <row r="8952" spans="1:9" x14ac:dyDescent="0.25">
      <c r="A8952">
        <v>385</v>
      </c>
      <c r="B8952" t="s">
        <v>2882</v>
      </c>
      <c r="C8952" t="s">
        <v>10</v>
      </c>
      <c r="D8952" t="s">
        <v>2893</v>
      </c>
      <c r="E8952">
        <f>1/132</f>
        <v>7.575757575757576E-3</v>
      </c>
      <c r="F8952">
        <v>1</v>
      </c>
      <c r="G8952">
        <f>LOG(382/(1+1))</f>
        <v>2.2810333672477277</v>
      </c>
      <c r="H8952">
        <f>0.00757575757575757*5.25227342804663</f>
        <v>3.9789950212474438E-2</v>
      </c>
      <c r="I8952">
        <v>3.9789950212474473E-2</v>
      </c>
    </row>
    <row r="8953" spans="1:9" x14ac:dyDescent="0.25">
      <c r="A8953">
        <v>385</v>
      </c>
      <c r="B8953" t="s">
        <v>2882</v>
      </c>
      <c r="C8953" t="s">
        <v>10</v>
      </c>
      <c r="D8953" t="s">
        <v>1398</v>
      </c>
      <c r="E8953">
        <f>1/132</f>
        <v>7.575757575757576E-3</v>
      </c>
      <c r="F8953">
        <v>29</v>
      </c>
      <c r="G8953">
        <f>LOG(382/(29+1))</f>
        <v>1.1049421081920463</v>
      </c>
      <c r="H8953">
        <f>0.00757575757575757*2.54422322694442</f>
        <v>1.9274418385942561E-2</v>
      </c>
      <c r="I8953">
        <v>1.9274418385942571E-2</v>
      </c>
    </row>
    <row r="8954" spans="1:9" x14ac:dyDescent="0.25">
      <c r="A8954">
        <v>385</v>
      </c>
      <c r="B8954" t="s">
        <v>2882</v>
      </c>
      <c r="C8954" t="s">
        <v>10</v>
      </c>
      <c r="D8954" t="s">
        <v>542</v>
      </c>
      <c r="E8954">
        <f>1/132</f>
        <v>7.575757575757576E-3</v>
      </c>
      <c r="F8954">
        <v>42</v>
      </c>
      <c r="G8954">
        <f>LOG(382/(42+1))</f>
        <v>0.94859490733212215</v>
      </c>
      <c r="H8954">
        <f>0.00757575757575757*2.18422049291301</f>
        <v>1.6547124946310669E-2</v>
      </c>
      <c r="I8954">
        <v>1.65471249463107E-2</v>
      </c>
    </row>
    <row r="8955" spans="1:9" x14ac:dyDescent="0.25">
      <c r="A8955">
        <v>385</v>
      </c>
      <c r="B8955" t="s">
        <v>2882</v>
      </c>
      <c r="C8955" t="s">
        <v>10</v>
      </c>
      <c r="D8955" t="s">
        <v>600</v>
      </c>
      <c r="E8955">
        <f>2/132</f>
        <v>1.5151515151515152E-2</v>
      </c>
      <c r="F8955">
        <v>102</v>
      </c>
      <c r="G8955">
        <f>LOG(382/(102+1))</f>
        <v>0.56922613820653656</v>
      </c>
      <c r="H8955">
        <f>0.0151515151515151*1.31069162037693</f>
        <v>1.9858963945104932E-2</v>
      </c>
      <c r="I8955">
        <v>1.985896394510514E-2</v>
      </c>
    </row>
    <row r="8956" spans="1:9" x14ac:dyDescent="0.25">
      <c r="A8956">
        <v>385</v>
      </c>
      <c r="B8956" t="s">
        <v>2882</v>
      </c>
      <c r="C8956" t="s">
        <v>10</v>
      </c>
      <c r="D8956" t="s">
        <v>1433</v>
      </c>
      <c r="E8956">
        <f t="shared" ref="E8956:E8969" si="415">1/132</f>
        <v>7.575757575757576E-3</v>
      </c>
      <c r="F8956">
        <v>21</v>
      </c>
      <c r="G8956">
        <f>LOG(382/(21+1))</f>
        <v>1.2396406820895025</v>
      </c>
      <c r="H8956">
        <f>0.00757575757575757*2.85437815524825</f>
        <v>2.1624076933698846E-2</v>
      </c>
      <c r="I8956">
        <v>2.162407693369893E-2</v>
      </c>
    </row>
    <row r="8957" spans="1:9" x14ac:dyDescent="0.25">
      <c r="A8957">
        <v>385</v>
      </c>
      <c r="B8957" t="s">
        <v>2882</v>
      </c>
      <c r="C8957" t="s">
        <v>10</v>
      </c>
      <c r="D8957" t="s">
        <v>1060</v>
      </c>
      <c r="E8957">
        <f t="shared" si="415"/>
        <v>7.575757575757576E-3</v>
      </c>
      <c r="F8957">
        <v>15</v>
      </c>
      <c r="G8957">
        <f>LOG(382/(15+1))</f>
        <v>1.3779433802557839</v>
      </c>
      <c r="H8957">
        <f>0.00757575757575757*3.17283188636679</f>
        <v>2.4036605199748391E-2</v>
      </c>
      <c r="I8957">
        <v>2.4036605199748439E-2</v>
      </c>
    </row>
    <row r="8958" spans="1:9" x14ac:dyDescent="0.25">
      <c r="A8958">
        <v>385</v>
      </c>
      <c r="B8958" t="s">
        <v>2882</v>
      </c>
      <c r="C8958" t="s">
        <v>10</v>
      </c>
      <c r="D8958" t="s">
        <v>432</v>
      </c>
      <c r="E8958">
        <f t="shared" si="415"/>
        <v>7.575757575757576E-3</v>
      </c>
      <c r="F8958">
        <v>67</v>
      </c>
      <c r="G8958">
        <f>LOG(382/(67+1))</f>
        <v>0.7495544502054724</v>
      </c>
      <c r="H8958">
        <f>0.00757575757575757*1.72591290343046</f>
        <v>1.3075097753261052E-2</v>
      </c>
      <c r="I8958">
        <v>1.3075097753261119E-2</v>
      </c>
    </row>
    <row r="8959" spans="1:9" x14ac:dyDescent="0.25">
      <c r="A8959">
        <v>385</v>
      </c>
      <c r="B8959" t="s">
        <v>2882</v>
      </c>
      <c r="C8959" t="s">
        <v>10</v>
      </c>
      <c r="D8959" t="s">
        <v>1473</v>
      </c>
      <c r="E8959">
        <f t="shared" si="415"/>
        <v>7.575757575757576E-3</v>
      </c>
      <c r="F8959">
        <v>39</v>
      </c>
      <c r="G8959">
        <f>LOG(382/(39+1))</f>
        <v>0.9800033715837464</v>
      </c>
      <c r="H8959">
        <f>0.00757575757575757*2.25654115449263</f>
        <v>1.7095008746156277E-2</v>
      </c>
      <c r="I8959">
        <v>1.7095008746156361E-2</v>
      </c>
    </row>
    <row r="8960" spans="1:9" x14ac:dyDescent="0.25">
      <c r="A8960">
        <v>385</v>
      </c>
      <c r="B8960" t="s">
        <v>2882</v>
      </c>
      <c r="C8960" t="s">
        <v>10</v>
      </c>
      <c r="D8960" t="s">
        <v>2894</v>
      </c>
      <c r="E8960">
        <f t="shared" si="415"/>
        <v>7.575757575757576E-3</v>
      </c>
      <c r="F8960">
        <v>4</v>
      </c>
      <c r="G8960">
        <f>LOG(382/(4+1))</f>
        <v>1.8830933585756899</v>
      </c>
      <c r="H8960">
        <f>0.00757575757575757*4.33598269617247</f>
        <v>3.2848353758882329E-2</v>
      </c>
      <c r="I8960">
        <v>3.2848353758882377E-2</v>
      </c>
    </row>
    <row r="8961" spans="1:9" x14ac:dyDescent="0.25">
      <c r="A8961">
        <v>385</v>
      </c>
      <c r="B8961" t="s">
        <v>2882</v>
      </c>
      <c r="C8961" t="s">
        <v>10</v>
      </c>
      <c r="D8961" t="s">
        <v>599</v>
      </c>
      <c r="E8961">
        <f t="shared" si="415"/>
        <v>7.575757575757576E-3</v>
      </c>
      <c r="F8961">
        <v>28</v>
      </c>
      <c r="G8961">
        <f>LOG(382/(28+1))</f>
        <v>1.1196653650127526</v>
      </c>
      <c r="H8961">
        <f>0.00757575757575757*2.5781247786201</f>
        <v>1.953124832287953E-2</v>
      </c>
      <c r="I8961">
        <v>1.9531248322879551E-2</v>
      </c>
    </row>
    <row r="8962" spans="1:9" x14ac:dyDescent="0.25">
      <c r="A8962">
        <v>385</v>
      </c>
      <c r="B8962" t="s">
        <v>2882</v>
      </c>
      <c r="C8962" t="s">
        <v>10</v>
      </c>
      <c r="D8962" t="s">
        <v>144</v>
      </c>
      <c r="E8962">
        <f t="shared" si="415"/>
        <v>7.575757575757576E-3</v>
      </c>
      <c r="F8962">
        <v>105</v>
      </c>
      <c r="G8962">
        <f>LOG(382/(105+1))</f>
        <v>0.55675749764693849</v>
      </c>
      <c r="H8962">
        <f>0.00757575757575757*1.2819815144945</f>
        <v>9.7119811704128711E-3</v>
      </c>
      <c r="I8962">
        <v>9.7119811704129387E-3</v>
      </c>
    </row>
    <row r="8963" spans="1:9" x14ac:dyDescent="0.25">
      <c r="A8963">
        <v>385</v>
      </c>
      <c r="B8963" t="s">
        <v>2882</v>
      </c>
      <c r="C8963" t="s">
        <v>10</v>
      </c>
      <c r="D8963" t="s">
        <v>758</v>
      </c>
      <c r="E8963">
        <f t="shared" si="415"/>
        <v>7.575757575757576E-3</v>
      </c>
      <c r="F8963">
        <v>26</v>
      </c>
      <c r="G8963">
        <f>LOG(382/(26+1))</f>
        <v>1.1506995987527215</v>
      </c>
      <c r="H8963">
        <f>0.00757575757575757*2.64958374260224</f>
        <v>2.0072604110623015E-2</v>
      </c>
      <c r="I8963">
        <v>2.0072604110623081E-2</v>
      </c>
    </row>
    <row r="8964" spans="1:9" x14ac:dyDescent="0.25">
      <c r="A8964">
        <v>385</v>
      </c>
      <c r="B8964" t="s">
        <v>2882</v>
      </c>
      <c r="C8964" t="s">
        <v>10</v>
      </c>
      <c r="D8964" t="s">
        <v>811</v>
      </c>
      <c r="E8964">
        <f t="shared" si="415"/>
        <v>7.575757575757576E-3</v>
      </c>
      <c r="F8964">
        <v>27</v>
      </c>
      <c r="G8964">
        <f>LOG(382/(27+1))</f>
        <v>1.1349053315694895</v>
      </c>
      <c r="H8964">
        <f>0.00757575757575757*2.61321609843137</f>
        <v>1.9797091654783092E-2</v>
      </c>
      <c r="I8964">
        <v>1.9797091654783119E-2</v>
      </c>
    </row>
    <row r="8965" spans="1:9" x14ac:dyDescent="0.25">
      <c r="A8965">
        <v>385</v>
      </c>
      <c r="B8965" t="s">
        <v>2882</v>
      </c>
      <c r="C8965" t="s">
        <v>10</v>
      </c>
      <c r="D8965" t="s">
        <v>340</v>
      </c>
      <c r="E8965">
        <f t="shared" si="415"/>
        <v>7.575757575757576E-3</v>
      </c>
      <c r="F8965">
        <v>28</v>
      </c>
      <c r="G8965">
        <f>LOG(382/(28+1))</f>
        <v>1.1196653650127526</v>
      </c>
      <c r="H8965">
        <f>0.00757575757575757*2.5781247786201</f>
        <v>1.953124832287953E-2</v>
      </c>
      <c r="I8965">
        <v>1.9531248322879551E-2</v>
      </c>
    </row>
    <row r="8966" spans="1:9" x14ac:dyDescent="0.25">
      <c r="A8966">
        <v>385</v>
      </c>
      <c r="B8966" t="s">
        <v>2882</v>
      </c>
      <c r="C8966" t="s">
        <v>10</v>
      </c>
      <c r="D8966" t="s">
        <v>339</v>
      </c>
      <c r="E8966">
        <f t="shared" si="415"/>
        <v>7.575757575757576E-3</v>
      </c>
      <c r="F8966">
        <v>66</v>
      </c>
      <c r="G8966">
        <f>LOG(382/(66+1))</f>
        <v>0.75598856021088234</v>
      </c>
      <c r="H8966">
        <f>0.00757575757575757*1.7407279892156</f>
        <v>1.3187333251633323E-2</v>
      </c>
      <c r="I8966">
        <v>1.3187333251633401E-2</v>
      </c>
    </row>
    <row r="8967" spans="1:9" x14ac:dyDescent="0.25">
      <c r="A8967">
        <v>385</v>
      </c>
      <c r="B8967" t="s">
        <v>2882</v>
      </c>
      <c r="C8967" t="s">
        <v>10</v>
      </c>
      <c r="D8967" t="s">
        <v>2895</v>
      </c>
      <c r="E8967">
        <f t="shared" si="415"/>
        <v>7.575757575757576E-3</v>
      </c>
      <c r="F8967">
        <v>1</v>
      </c>
      <c r="G8967">
        <f>LOG(382/(1+1))</f>
        <v>2.2810333672477277</v>
      </c>
      <c r="H8967">
        <f>0.00757575757575757*5.25227342804663</f>
        <v>3.9789950212474438E-2</v>
      </c>
      <c r="I8967">
        <v>3.9789950212474473E-2</v>
      </c>
    </row>
    <row r="8968" spans="1:9" x14ac:dyDescent="0.25">
      <c r="A8968">
        <v>385</v>
      </c>
      <c r="B8968" t="s">
        <v>2882</v>
      </c>
      <c r="C8968" t="s">
        <v>10</v>
      </c>
      <c r="D8968" t="s">
        <v>1626</v>
      </c>
      <c r="E8968">
        <f t="shared" si="415"/>
        <v>7.575757575757576E-3</v>
      </c>
      <c r="F8968">
        <v>32</v>
      </c>
      <c r="G8968">
        <f>LOG(382/(32+1))</f>
        <v>1.0635494230338212</v>
      </c>
      <c r="H8968">
        <f>0.00757575757575757*2.44891304714009</f>
        <v>1.8552371569243092E-2</v>
      </c>
      <c r="I8968">
        <v>1.855237156924314E-2</v>
      </c>
    </row>
    <row r="8969" spans="1:9" x14ac:dyDescent="0.25">
      <c r="A8969">
        <v>385</v>
      </c>
      <c r="B8969" t="s">
        <v>2882</v>
      </c>
      <c r="C8969" t="s">
        <v>10</v>
      </c>
      <c r="D8969" t="s">
        <v>2896</v>
      </c>
      <c r="E8969">
        <f t="shared" si="415"/>
        <v>7.575757575757576E-3</v>
      </c>
      <c r="F8969">
        <v>1</v>
      </c>
      <c r="G8969">
        <f>LOG(382/(1+1))</f>
        <v>2.2810333672477277</v>
      </c>
      <c r="H8969">
        <f>0.00757575757575757*5.25227342804663</f>
        <v>3.9789950212474438E-2</v>
      </c>
      <c r="I8969">
        <v>3.9789950212474473E-2</v>
      </c>
    </row>
    <row r="8970" spans="1:9" x14ac:dyDescent="0.25">
      <c r="A8970">
        <v>385</v>
      </c>
      <c r="B8970" t="s">
        <v>2882</v>
      </c>
      <c r="C8970" t="s">
        <v>10</v>
      </c>
      <c r="D8970" t="s">
        <v>693</v>
      </c>
      <c r="E8970">
        <f>2/132</f>
        <v>1.5151515151515152E-2</v>
      </c>
      <c r="F8970">
        <v>25</v>
      </c>
      <c r="G8970">
        <f>LOG(382/(25+1))</f>
        <v>1.1670900149408907</v>
      </c>
      <c r="H8970">
        <f>0.0151515151515151*2.68732407058509</f>
        <v>4.0717031372501225E-2</v>
      </c>
      <c r="I8970">
        <v>4.0717031372501412E-2</v>
      </c>
    </row>
    <row r="8971" spans="1:9" x14ac:dyDescent="0.25">
      <c r="A8971">
        <v>385</v>
      </c>
      <c r="B8971" t="s">
        <v>2882</v>
      </c>
      <c r="C8971" t="s">
        <v>10</v>
      </c>
      <c r="D8971" t="s">
        <v>436</v>
      </c>
      <c r="E8971">
        <f>1/132</f>
        <v>7.575757575757576E-3</v>
      </c>
      <c r="F8971">
        <v>20</v>
      </c>
      <c r="G8971">
        <f>LOG(382/(20+1))</f>
        <v>1.2598440681777894</v>
      </c>
      <c r="H8971">
        <f>0.00757575757575757*2.90089817088315</f>
        <v>2.1976501294569302E-2</v>
      </c>
      <c r="I8971">
        <v>2.197650129456934E-2</v>
      </c>
    </row>
    <row r="8972" spans="1:9" x14ac:dyDescent="0.25">
      <c r="A8972">
        <v>385</v>
      </c>
      <c r="B8972" t="s">
        <v>2882</v>
      </c>
      <c r="C8972" t="s">
        <v>10</v>
      </c>
      <c r="D8972" t="s">
        <v>437</v>
      </c>
      <c r="E8972">
        <f>1/132</f>
        <v>7.575757575757576E-3</v>
      </c>
      <c r="F8972">
        <v>18</v>
      </c>
      <c r="G8972">
        <f>LOG(382/(18+1))</f>
        <v>1.3033097619588798</v>
      </c>
      <c r="H8972">
        <f>0.00757575757575757*3.00098162944013</f>
        <v>2.2734709313940362E-2</v>
      </c>
      <c r="I8972">
        <v>2.2734709313940411E-2</v>
      </c>
    </row>
    <row r="8973" spans="1:9" x14ac:dyDescent="0.25">
      <c r="A8973">
        <v>385</v>
      </c>
      <c r="B8973" t="s">
        <v>2882</v>
      </c>
      <c r="C8973" t="s">
        <v>10</v>
      </c>
      <c r="D8973" t="s">
        <v>2746</v>
      </c>
      <c r="E8973">
        <f>1/132</f>
        <v>7.575757575757576E-3</v>
      </c>
      <c r="F8973">
        <v>5</v>
      </c>
      <c r="G8973">
        <f>LOG(382/(5+1))</f>
        <v>1.803912112528065</v>
      </c>
      <c r="H8973">
        <f>0.00757575757575757*4.15366113937852</f>
        <v>3.1467129843776642E-2</v>
      </c>
      <c r="I8973">
        <v>3.146712984377667E-2</v>
      </c>
    </row>
    <row r="8974" spans="1:9" x14ac:dyDescent="0.25">
      <c r="A8974">
        <v>385</v>
      </c>
      <c r="B8974" t="s">
        <v>2882</v>
      </c>
      <c r="C8974" t="s">
        <v>10</v>
      </c>
      <c r="D8974" t="s">
        <v>2897</v>
      </c>
      <c r="E8974">
        <f>1/132</f>
        <v>7.575757575757576E-3</v>
      </c>
      <c r="F8974">
        <v>1</v>
      </c>
      <c r="G8974">
        <f>LOG(382/(1+1))</f>
        <v>2.2810333672477277</v>
      </c>
      <c r="H8974">
        <f>0.00757575757575757*5.25227342804663</f>
        <v>3.9789950212474438E-2</v>
      </c>
      <c r="I8974">
        <v>3.9789950212474473E-2</v>
      </c>
    </row>
    <row r="8975" spans="1:9" x14ac:dyDescent="0.25">
      <c r="A8975">
        <v>385</v>
      </c>
      <c r="B8975" t="s">
        <v>2882</v>
      </c>
      <c r="C8975" t="s">
        <v>10</v>
      </c>
      <c r="D8975" t="s">
        <v>2898</v>
      </c>
      <c r="E8975">
        <f>1/132</f>
        <v>7.575757575757576E-3</v>
      </c>
      <c r="F8975">
        <v>2</v>
      </c>
      <c r="G8975">
        <f>LOG(382/(2+1))</f>
        <v>2.1049421081920463</v>
      </c>
      <c r="H8975">
        <f>0.00757575757575757*4.84680831993846</f>
        <v>3.6718244848018611E-2</v>
      </c>
      <c r="I8975">
        <v>3.671824484801868E-2</v>
      </c>
    </row>
    <row r="8976" spans="1:9" x14ac:dyDescent="0.25">
      <c r="A8976">
        <v>385</v>
      </c>
      <c r="B8976" t="s">
        <v>2882</v>
      </c>
      <c r="C8976" t="s">
        <v>10</v>
      </c>
      <c r="D8976" t="s">
        <v>338</v>
      </c>
      <c r="E8976">
        <f>3/132</f>
        <v>2.2727272727272728E-2</v>
      </c>
      <c r="F8976">
        <v>54</v>
      </c>
      <c r="G8976">
        <f>LOG(382/(54+1))</f>
        <v>0.84170067341746491</v>
      </c>
      <c r="H8976">
        <f>0.0227272727272727*1.9380874233741</f>
        <v>4.4047441440320398E-2</v>
      </c>
      <c r="I8976">
        <v>4.4047441440320557E-2</v>
      </c>
    </row>
    <row r="8977" spans="1:9" x14ac:dyDescent="0.25">
      <c r="A8977">
        <v>385</v>
      </c>
      <c r="B8977" t="s">
        <v>2882</v>
      </c>
      <c r="C8977" t="s">
        <v>10</v>
      </c>
      <c r="D8977" t="s">
        <v>388</v>
      </c>
      <c r="E8977">
        <f t="shared" ref="E8977:E8982" si="416">1/132</f>
        <v>7.575757575757576E-3</v>
      </c>
      <c r="F8977">
        <v>44</v>
      </c>
      <c r="G8977">
        <f>LOG(382/(44+1))</f>
        <v>0.92885084913636506</v>
      </c>
      <c r="H8977">
        <f>0.00757575757575757*2.13875811883625</f>
        <v>1.620271302148673E-2</v>
      </c>
      <c r="I8977">
        <v>1.6202713021486782E-2</v>
      </c>
    </row>
    <row r="8978" spans="1:9" x14ac:dyDescent="0.25">
      <c r="A8978">
        <v>385</v>
      </c>
      <c r="B8978" t="s">
        <v>2882</v>
      </c>
      <c r="C8978" t="s">
        <v>10</v>
      </c>
      <c r="D8978" t="s">
        <v>82</v>
      </c>
      <c r="E8978">
        <f t="shared" si="416"/>
        <v>7.575757575757576E-3</v>
      </c>
      <c r="F8978">
        <v>92</v>
      </c>
      <c r="G8978">
        <f>LOG(382/(92+1))</f>
        <v>0.61358041435777355</v>
      </c>
      <c r="H8978">
        <f>0.00757575757575757*1.41282111545331</f>
        <v>1.0703190268585672E-2</v>
      </c>
      <c r="I8978">
        <v>1.070319026858575E-2</v>
      </c>
    </row>
    <row r="8979" spans="1:9" x14ac:dyDescent="0.25">
      <c r="A8979">
        <v>385</v>
      </c>
      <c r="B8979" t="s">
        <v>2882</v>
      </c>
      <c r="C8979" t="s">
        <v>10</v>
      </c>
      <c r="D8979" t="s">
        <v>1922</v>
      </c>
      <c r="E8979">
        <f t="shared" si="416"/>
        <v>7.575757575757576E-3</v>
      </c>
      <c r="F8979">
        <v>15</v>
      </c>
      <c r="G8979">
        <f>LOG(382/(15+1))</f>
        <v>1.3779433802557839</v>
      </c>
      <c r="H8979">
        <f>0.00757575757575757*3.17283188636679</f>
        <v>2.4036605199748391E-2</v>
      </c>
      <c r="I8979">
        <v>2.4036605199748439E-2</v>
      </c>
    </row>
    <row r="8980" spans="1:9" x14ac:dyDescent="0.25">
      <c r="A8980">
        <v>385</v>
      </c>
      <c r="B8980" t="s">
        <v>2882</v>
      </c>
      <c r="C8980" t="s">
        <v>10</v>
      </c>
      <c r="D8980" t="s">
        <v>1921</v>
      </c>
      <c r="E8980">
        <f t="shared" si="416"/>
        <v>7.575757575757576E-3</v>
      </c>
      <c r="F8980">
        <v>37</v>
      </c>
      <c r="G8980">
        <f>LOG(382/(37+1))</f>
        <v>1.0022797662948986</v>
      </c>
      <c r="H8980">
        <f>0.00757575757575757*2.30783444888018</f>
        <v>1.7483594309698317E-2</v>
      </c>
      <c r="I8980">
        <v>1.74835943096984E-2</v>
      </c>
    </row>
    <row r="8981" spans="1:9" x14ac:dyDescent="0.25">
      <c r="A8981">
        <v>385</v>
      </c>
      <c r="B8981" t="s">
        <v>2882</v>
      </c>
      <c r="C8981" t="s">
        <v>10</v>
      </c>
      <c r="D8981" t="s">
        <v>2899</v>
      </c>
      <c r="E8981">
        <f t="shared" si="416"/>
        <v>7.575757575757576E-3</v>
      </c>
      <c r="F8981">
        <v>1</v>
      </c>
      <c r="G8981">
        <f>LOG(382/(1+1))</f>
        <v>2.2810333672477277</v>
      </c>
      <c r="H8981">
        <f>0.00757575757575757*5.25227342804663</f>
        <v>3.9789950212474438E-2</v>
      </c>
      <c r="I8981">
        <v>3.9789950212474473E-2</v>
      </c>
    </row>
    <row r="8982" spans="1:9" x14ac:dyDescent="0.25">
      <c r="A8982">
        <v>385</v>
      </c>
      <c r="B8982" t="s">
        <v>2882</v>
      </c>
      <c r="C8982" t="s">
        <v>10</v>
      </c>
      <c r="D8982" t="s">
        <v>688</v>
      </c>
      <c r="E8982">
        <f t="shared" si="416"/>
        <v>7.575757575757576E-3</v>
      </c>
      <c r="F8982">
        <v>23</v>
      </c>
      <c r="G8982">
        <f>LOG(382/(23+1))</f>
        <v>1.2018521212001028</v>
      </c>
      <c r="H8982">
        <f>0.00757575757575757*2.76736677825862</f>
        <v>2.0964899835292559E-2</v>
      </c>
      <c r="I8982">
        <v>2.096489983529265E-2</v>
      </c>
    </row>
    <row r="8983" spans="1:9" x14ac:dyDescent="0.25">
      <c r="A8983">
        <v>385</v>
      </c>
      <c r="B8983" t="s">
        <v>2882</v>
      </c>
      <c r="C8983" t="s">
        <v>10</v>
      </c>
      <c r="D8983" t="s">
        <v>1469</v>
      </c>
      <c r="E8983">
        <f>2/132</f>
        <v>1.5151515151515152E-2</v>
      </c>
      <c r="F8983">
        <v>24</v>
      </c>
      <c r="G8983">
        <f>LOG(382/(24+1))</f>
        <v>1.1841233542396712</v>
      </c>
      <c r="H8983">
        <f>0.0151515151515151*2.72654478373837</f>
        <v>4.1311284602096369E-2</v>
      </c>
      <c r="I8983">
        <v>4.1311284602096578E-2</v>
      </c>
    </row>
    <row r="8984" spans="1:9" x14ac:dyDescent="0.25">
      <c r="A8984">
        <v>385</v>
      </c>
      <c r="B8984" t="s">
        <v>2882</v>
      </c>
      <c r="C8984" t="s">
        <v>10</v>
      </c>
      <c r="D8984" t="s">
        <v>439</v>
      </c>
      <c r="E8984">
        <f t="shared" ref="E8984:E8990" si="417">1/132</f>
        <v>7.575757575757576E-3</v>
      </c>
      <c r="F8984">
        <v>28</v>
      </c>
      <c r="G8984">
        <f>LOG(382/(28+1))</f>
        <v>1.1196653650127526</v>
      </c>
      <c r="H8984">
        <f>0.00757575757575757*2.5781247786201</f>
        <v>1.953124832287953E-2</v>
      </c>
      <c r="I8984">
        <v>1.9531248322879551E-2</v>
      </c>
    </row>
    <row r="8985" spans="1:9" x14ac:dyDescent="0.25">
      <c r="A8985">
        <v>385</v>
      </c>
      <c r="B8985" t="s">
        <v>2882</v>
      </c>
      <c r="C8985" t="s">
        <v>10</v>
      </c>
      <c r="D8985" t="s">
        <v>2476</v>
      </c>
      <c r="E8985">
        <f t="shared" si="417"/>
        <v>7.575757575757576E-3</v>
      </c>
      <c r="F8985">
        <v>12</v>
      </c>
      <c r="G8985">
        <f>LOG(382/(12+1))</f>
        <v>1.468120010604872</v>
      </c>
      <c r="H8985">
        <f>0.00757575757575757*3.38047125114503</f>
        <v>2.5609630690492633E-2</v>
      </c>
      <c r="I8985">
        <v>2.560963069049272E-2</v>
      </c>
    </row>
    <row r="8986" spans="1:9" x14ac:dyDescent="0.25">
      <c r="A8986">
        <v>385</v>
      </c>
      <c r="B8986" t="s">
        <v>2882</v>
      </c>
      <c r="C8986" t="s">
        <v>10</v>
      </c>
      <c r="D8986" t="s">
        <v>331</v>
      </c>
      <c r="E8986">
        <f t="shared" si="417"/>
        <v>7.575757575757576E-3</v>
      </c>
      <c r="F8986">
        <v>130</v>
      </c>
      <c r="G8986">
        <f>LOG(382/(130+1))</f>
        <v>0.46479206725594452</v>
      </c>
      <c r="H8986">
        <f>0.00757575757575757*1.07022328540542</f>
        <v>8.1077521621622673E-3</v>
      </c>
      <c r="I8986">
        <v>8.1077521621623003E-3</v>
      </c>
    </row>
    <row r="8987" spans="1:9" x14ac:dyDescent="0.25">
      <c r="A8987">
        <v>385</v>
      </c>
      <c r="B8987" t="s">
        <v>2882</v>
      </c>
      <c r="C8987" t="s">
        <v>10</v>
      </c>
      <c r="D8987" t="s">
        <v>898</v>
      </c>
      <c r="E8987">
        <f t="shared" si="417"/>
        <v>7.575757575757576E-3</v>
      </c>
      <c r="F8987">
        <v>22</v>
      </c>
      <c r="G8987">
        <f>LOG(382/(22+1))</f>
        <v>1.2203355268941158</v>
      </c>
      <c r="H8987">
        <f>0.00757575757575757*2.80992639267742</f>
        <v>2.1287321156647103E-2</v>
      </c>
      <c r="I8987">
        <v>2.1287321156647169E-2</v>
      </c>
    </row>
    <row r="8988" spans="1:9" x14ac:dyDescent="0.25">
      <c r="A8988">
        <v>385</v>
      </c>
      <c r="B8988" t="s">
        <v>2882</v>
      </c>
      <c r="C8988" t="s">
        <v>10</v>
      </c>
      <c r="D8988" t="s">
        <v>216</v>
      </c>
      <c r="E8988">
        <f t="shared" si="417"/>
        <v>7.575757575757576E-3</v>
      </c>
      <c r="F8988">
        <v>63</v>
      </c>
      <c r="G8988">
        <f>LOG(382/(63+1))</f>
        <v>0.7758833889278216</v>
      </c>
      <c r="H8988">
        <f>0.00757575757575757*1.7865375252469</f>
        <v>1.3534375191264384E-2</v>
      </c>
      <c r="I8988">
        <v>1.353437519126442E-2</v>
      </c>
    </row>
    <row r="8989" spans="1:9" x14ac:dyDescent="0.25">
      <c r="A8989">
        <v>385</v>
      </c>
      <c r="B8989" t="s">
        <v>2882</v>
      </c>
      <c r="C8989" t="s">
        <v>10</v>
      </c>
      <c r="D8989" t="s">
        <v>915</v>
      </c>
      <c r="E8989">
        <f t="shared" si="417"/>
        <v>7.575757575757576E-3</v>
      </c>
      <c r="F8989">
        <v>8</v>
      </c>
      <c r="G8989">
        <f>LOG(382/(8+1))</f>
        <v>1.6278208534723839</v>
      </c>
      <c r="H8989">
        <f>0.00757575757575757*3.74819603127035</f>
        <v>2.8395424479320811E-2</v>
      </c>
      <c r="I8989">
        <v>2.8395424479320881E-2</v>
      </c>
    </row>
    <row r="8990" spans="1:9" x14ac:dyDescent="0.25">
      <c r="A8990">
        <v>385</v>
      </c>
      <c r="B8990" t="s">
        <v>2882</v>
      </c>
      <c r="C8990" t="s">
        <v>10</v>
      </c>
      <c r="D8990" t="s">
        <v>379</v>
      </c>
      <c r="E8990">
        <f t="shared" si="417"/>
        <v>7.575757575757576E-3</v>
      </c>
      <c r="F8990">
        <v>17</v>
      </c>
      <c r="G8990">
        <f>LOG(382/(17+1))</f>
        <v>1.3267908578084027</v>
      </c>
      <c r="H8990">
        <f>0.00757575757575757*3.05504885071041</f>
        <v>2.3144309475078846E-2</v>
      </c>
      <c r="I8990">
        <v>2.314430947507887E-2</v>
      </c>
    </row>
    <row r="8991" spans="1:9" x14ac:dyDescent="0.25">
      <c r="A8991">
        <v>386</v>
      </c>
      <c r="B8991" t="s">
        <v>2900</v>
      </c>
      <c r="C8991" t="s">
        <v>10</v>
      </c>
      <c r="D8991" t="s">
        <v>2901</v>
      </c>
      <c r="E8991">
        <f>3/147</f>
        <v>2.0408163265306121E-2</v>
      </c>
      <c r="F8991">
        <v>1</v>
      </c>
      <c r="G8991">
        <f>LOG(382/(1+1))</f>
        <v>2.2810333672477277</v>
      </c>
      <c r="H8991">
        <f>0.0204081632653061*5.25227342804663</f>
        <v>0.10718925363360457</v>
      </c>
      <c r="I8991">
        <v>0.10718925363360469</v>
      </c>
    </row>
    <row r="8992" spans="1:9" x14ac:dyDescent="0.25">
      <c r="A8992">
        <v>386</v>
      </c>
      <c r="B8992" t="s">
        <v>2900</v>
      </c>
      <c r="C8992" t="s">
        <v>10</v>
      </c>
      <c r="D8992" t="s">
        <v>2230</v>
      </c>
      <c r="E8992">
        <f>2/147</f>
        <v>1.3605442176870748E-2</v>
      </c>
      <c r="F8992">
        <v>7</v>
      </c>
      <c r="G8992">
        <f>LOG(382/(7+1))</f>
        <v>1.6789733759197651</v>
      </c>
      <c r="H8992">
        <f>0.0136054421768707*3.86597906692673</f>
        <v>5.2598354652064166E-2</v>
      </c>
      <c r="I8992">
        <v>5.2598354652064479E-2</v>
      </c>
    </row>
    <row r="8993" spans="1:9" x14ac:dyDescent="0.25">
      <c r="A8993">
        <v>386</v>
      </c>
      <c r="B8993" t="s">
        <v>2900</v>
      </c>
      <c r="C8993" t="s">
        <v>10</v>
      </c>
      <c r="D8993" t="s">
        <v>408</v>
      </c>
      <c r="E8993">
        <f>3/147</f>
        <v>2.0408163265306121E-2</v>
      </c>
      <c r="F8993">
        <v>27</v>
      </c>
      <c r="G8993">
        <f>LOG(382/(27+1))</f>
        <v>1.1349053315694895</v>
      </c>
      <c r="H8993">
        <f>0.0204081632653061*2.61321609843137</f>
        <v>5.3330940784313621E-2</v>
      </c>
      <c r="I8993">
        <v>5.3330940784313691E-2</v>
      </c>
    </row>
    <row r="8994" spans="1:9" x14ac:dyDescent="0.25">
      <c r="A8994">
        <v>386</v>
      </c>
      <c r="B8994" t="s">
        <v>2900</v>
      </c>
      <c r="C8994" t="s">
        <v>10</v>
      </c>
      <c r="D8994" t="s">
        <v>2902</v>
      </c>
      <c r="E8994">
        <f>1/147</f>
        <v>6.8027210884353739E-3</v>
      </c>
      <c r="F8994">
        <v>1</v>
      </c>
      <c r="G8994">
        <f>LOG(382/(1+1))</f>
        <v>2.2810333672477277</v>
      </c>
      <c r="H8994">
        <f>0.00680272108843537*5.25227342804663</f>
        <v>3.5729751211201546E-2</v>
      </c>
      <c r="I8994">
        <v>3.572975121120156E-2</v>
      </c>
    </row>
    <row r="8995" spans="1:9" x14ac:dyDescent="0.25">
      <c r="A8995">
        <v>386</v>
      </c>
      <c r="B8995" t="s">
        <v>2900</v>
      </c>
      <c r="C8995" t="s">
        <v>10</v>
      </c>
      <c r="D8995" t="s">
        <v>2863</v>
      </c>
      <c r="E8995">
        <f>3/147</f>
        <v>2.0408163265306121E-2</v>
      </c>
      <c r="F8995">
        <v>6</v>
      </c>
      <c r="G8995">
        <f>LOG(382/(6+1))</f>
        <v>1.736965322897452</v>
      </c>
      <c r="H8995">
        <f>0.0204081632653061*3.99951045955126</f>
        <v>8.1622662439821539E-2</v>
      </c>
      <c r="I8995">
        <v>8.1622662439821664E-2</v>
      </c>
    </row>
    <row r="8996" spans="1:9" x14ac:dyDescent="0.25">
      <c r="A8996">
        <v>386</v>
      </c>
      <c r="B8996" t="s">
        <v>2900</v>
      </c>
      <c r="C8996" t="s">
        <v>10</v>
      </c>
      <c r="D8996" t="s">
        <v>247</v>
      </c>
      <c r="E8996">
        <f>2/147</f>
        <v>1.3605442176870748E-2</v>
      </c>
      <c r="F8996">
        <v>121</v>
      </c>
      <c r="G8996">
        <f>LOG(382/(121+1))</f>
        <v>0.49570353223696051</v>
      </c>
      <c r="H8996">
        <f>0.0136054421768707*1.14139956387331</f>
        <v>1.5529245766983755E-2</v>
      </c>
      <c r="I8996">
        <v>1.552924576698393E-2</v>
      </c>
    </row>
    <row r="8997" spans="1:9" x14ac:dyDescent="0.25">
      <c r="A8997">
        <v>386</v>
      </c>
      <c r="B8997" t="s">
        <v>2900</v>
      </c>
      <c r="C8997" t="s">
        <v>10</v>
      </c>
      <c r="D8997" t="s">
        <v>39</v>
      </c>
      <c r="E8997">
        <f>1/147</f>
        <v>6.8027210884353739E-3</v>
      </c>
      <c r="F8997">
        <v>145</v>
      </c>
      <c r="G8997">
        <f>LOG(382/(145+1))</f>
        <v>0.41771050712727159</v>
      </c>
      <c r="H8997">
        <f>0.00680272108843537*0.961813986898238</f>
        <v>6.5429522918247452E-3</v>
      </c>
      <c r="I8997">
        <v>6.542952291824753E-3</v>
      </c>
    </row>
    <row r="8998" spans="1:9" x14ac:dyDescent="0.25">
      <c r="A8998">
        <v>386</v>
      </c>
      <c r="B8998" t="s">
        <v>2900</v>
      </c>
      <c r="C8998" t="s">
        <v>10</v>
      </c>
      <c r="D8998" t="s">
        <v>42</v>
      </c>
      <c r="E8998">
        <f>1/147</f>
        <v>6.8027210884353739E-3</v>
      </c>
      <c r="F8998">
        <v>251</v>
      </c>
      <c r="G8998">
        <f>LOG(382/(251+1))</f>
        <v>0.18066282213016463</v>
      </c>
      <c r="H8998">
        <f>0.00680272108843537*0.415991521095151</f>
        <v>2.8298742931642906E-3</v>
      </c>
      <c r="I8998">
        <v>2.829874293164298E-3</v>
      </c>
    </row>
    <row r="8999" spans="1:9" x14ac:dyDescent="0.25">
      <c r="A8999">
        <v>386</v>
      </c>
      <c r="B8999" t="s">
        <v>2900</v>
      </c>
      <c r="C8999" t="s">
        <v>10</v>
      </c>
      <c r="D8999" t="s">
        <v>44</v>
      </c>
      <c r="E8999">
        <f>2/147</f>
        <v>1.3605442176870748E-2</v>
      </c>
      <c r="F8999">
        <v>151</v>
      </c>
      <c r="G8999">
        <f>LOG(382/(151+1))</f>
        <v>0.40021977496693617</v>
      </c>
      <c r="H8999">
        <f>0.0136054421768707*0.921540087760298</f>
        <v>1.2537960377691084E-2</v>
      </c>
      <c r="I8999">
        <v>1.253796037769114E-2</v>
      </c>
    </row>
    <row r="9000" spans="1:9" x14ac:dyDescent="0.25">
      <c r="A9000">
        <v>386</v>
      </c>
      <c r="B9000" t="s">
        <v>2900</v>
      </c>
      <c r="C9000" t="s">
        <v>10</v>
      </c>
      <c r="D9000" t="s">
        <v>22</v>
      </c>
      <c r="E9000">
        <f>1/147</f>
        <v>6.8027210884353739E-3</v>
      </c>
      <c r="F9000">
        <v>259</v>
      </c>
      <c r="G9000">
        <f>LOG(382/(259+1))</f>
        <v>0.16709001494089079</v>
      </c>
      <c r="H9000">
        <f>0.00680272108843537*0.384738977591047</f>
        <v>2.6172719564016792E-3</v>
      </c>
      <c r="I9000">
        <v>2.617271956401684E-3</v>
      </c>
    </row>
    <row r="9001" spans="1:9" x14ac:dyDescent="0.25">
      <c r="A9001">
        <v>386</v>
      </c>
      <c r="B9001" t="s">
        <v>2900</v>
      </c>
      <c r="C9001" t="s">
        <v>10</v>
      </c>
      <c r="D9001" t="s">
        <v>23</v>
      </c>
      <c r="E9001">
        <f>1/147</f>
        <v>6.8027210884353739E-3</v>
      </c>
      <c r="F9001">
        <v>275</v>
      </c>
      <c r="G9001">
        <f>LOG(382/(275+1))</f>
        <v>0.14115428084649101</v>
      </c>
      <c r="H9001">
        <f>0.00680272108843537*0.325019742889425</f>
        <v>2.2110186591117334E-3</v>
      </c>
      <c r="I9001">
        <v>2.211018659111736E-3</v>
      </c>
    </row>
    <row r="9002" spans="1:9" x14ac:dyDescent="0.25">
      <c r="A9002">
        <v>386</v>
      </c>
      <c r="B9002" t="s">
        <v>2900</v>
      </c>
      <c r="C9002" t="s">
        <v>10</v>
      </c>
      <c r="D9002" t="s">
        <v>204</v>
      </c>
      <c r="E9002">
        <f>2/147</f>
        <v>1.3605442176870748E-2</v>
      </c>
      <c r="F9002">
        <v>166</v>
      </c>
      <c r="G9002">
        <f>LOG(382/(166+1))</f>
        <v>0.35934689176412549</v>
      </c>
      <c r="H9002">
        <f>0.0136054421768707*0.82742679618982</f>
        <v>1.1257507431153972E-2</v>
      </c>
      <c r="I9002">
        <v>1.125750743115401E-2</v>
      </c>
    </row>
    <row r="9003" spans="1:9" x14ac:dyDescent="0.25">
      <c r="A9003">
        <v>386</v>
      </c>
      <c r="B9003" t="s">
        <v>2900</v>
      </c>
      <c r="C9003" t="s">
        <v>10</v>
      </c>
      <c r="D9003" t="s">
        <v>2903</v>
      </c>
      <c r="E9003">
        <f>1/147</f>
        <v>6.8027210884353739E-3</v>
      </c>
      <c r="F9003">
        <v>3</v>
      </c>
      <c r="G9003">
        <f>LOG(382/(3+1))</f>
        <v>1.9800033715837464</v>
      </c>
      <c r="H9003">
        <f>0.00680272108843537*4.55912624748668</f>
        <v>3.1014464268616853E-2</v>
      </c>
      <c r="I9003">
        <v>3.1014464268616902E-2</v>
      </c>
    </row>
    <row r="9004" spans="1:9" x14ac:dyDescent="0.25">
      <c r="A9004">
        <v>386</v>
      </c>
      <c r="B9004" t="s">
        <v>2900</v>
      </c>
      <c r="C9004" t="s">
        <v>10</v>
      </c>
      <c r="D9004" t="s">
        <v>1857</v>
      </c>
      <c r="E9004">
        <f>6/147</f>
        <v>4.0816326530612242E-2</v>
      </c>
      <c r="F9004">
        <v>17</v>
      </c>
      <c r="G9004">
        <f>LOG(382/(17+1))</f>
        <v>1.3267908578084027</v>
      </c>
      <c r="H9004">
        <f>0.0408163265306122*3.05504885071041</f>
        <v>0.12469587145756761</v>
      </c>
      <c r="I9004">
        <v>0.1246958714575678</v>
      </c>
    </row>
    <row r="9005" spans="1:9" x14ac:dyDescent="0.25">
      <c r="A9005">
        <v>386</v>
      </c>
      <c r="B9005" t="s">
        <v>2900</v>
      </c>
      <c r="C9005" t="s">
        <v>10</v>
      </c>
      <c r="D9005" t="s">
        <v>76</v>
      </c>
      <c r="E9005">
        <f>3/147</f>
        <v>2.0408163265306121E-2</v>
      </c>
      <c r="F9005">
        <v>140</v>
      </c>
      <c r="G9005">
        <f>LOG(382/(140+1))</f>
        <v>0.43284425025632883</v>
      </c>
      <c r="H9005">
        <f>0.0204081632653061*0.996660718228407</f>
        <v>2.0340014657722567E-2</v>
      </c>
      <c r="I9005">
        <v>2.0340014657722592E-2</v>
      </c>
    </row>
    <row r="9006" spans="1:9" x14ac:dyDescent="0.25">
      <c r="A9006">
        <v>386</v>
      </c>
      <c r="B9006" t="s">
        <v>2900</v>
      </c>
      <c r="C9006" t="s">
        <v>10</v>
      </c>
      <c r="D9006" t="s">
        <v>77</v>
      </c>
      <c r="E9006">
        <f>4/147</f>
        <v>2.7210884353741496E-2</v>
      </c>
      <c r="F9006">
        <v>148</v>
      </c>
      <c r="G9006">
        <f>LOG(382/(148+1))</f>
        <v>0.40887709449943471</v>
      </c>
      <c r="H9006">
        <f>0.0272108843537414*0.941474302661116</f>
        <v>2.5618348371730954E-2</v>
      </c>
      <c r="I9006">
        <v>2.5618348371731051E-2</v>
      </c>
    </row>
    <row r="9007" spans="1:9" x14ac:dyDescent="0.25">
      <c r="A9007">
        <v>386</v>
      </c>
      <c r="B9007" t="s">
        <v>2900</v>
      </c>
      <c r="C9007" t="s">
        <v>10</v>
      </c>
      <c r="D9007" t="s">
        <v>40</v>
      </c>
      <c r="E9007">
        <f>3/147</f>
        <v>2.0408163265306121E-2</v>
      </c>
      <c r="F9007">
        <v>159</v>
      </c>
      <c r="G9007">
        <f>LOG(382/(159+1))</f>
        <v>0.377943380255784</v>
      </c>
      <c r="H9007">
        <f>0.0204081632653061*0.870246793372748</f>
        <v>1.7760138640260145E-2</v>
      </c>
      <c r="I9007">
        <v>1.776013864026017E-2</v>
      </c>
    </row>
    <row r="9008" spans="1:9" x14ac:dyDescent="0.25">
      <c r="A9008">
        <v>386</v>
      </c>
      <c r="B9008" t="s">
        <v>2900</v>
      </c>
      <c r="C9008" t="s">
        <v>10</v>
      </c>
      <c r="D9008" t="s">
        <v>41</v>
      </c>
      <c r="E9008">
        <f>3/147</f>
        <v>2.0408163265306121E-2</v>
      </c>
      <c r="F9008">
        <v>195</v>
      </c>
      <c r="G9008">
        <f>LOG(382/(195+1))</f>
        <v>0.28980729155523272</v>
      </c>
      <c r="H9008">
        <f>0.0204081632653061*0.667305949376058</f>
        <v>1.361848876277668E-2</v>
      </c>
      <c r="I9008">
        <v>1.3618488762776691E-2</v>
      </c>
    </row>
    <row r="9009" spans="1:9" x14ac:dyDescent="0.25">
      <c r="A9009">
        <v>386</v>
      </c>
      <c r="B9009" t="s">
        <v>2900</v>
      </c>
      <c r="C9009" t="s">
        <v>10</v>
      </c>
      <c r="D9009" t="s">
        <v>2904</v>
      </c>
      <c r="E9009">
        <f>1/147</f>
        <v>6.8027210884353739E-3</v>
      </c>
      <c r="F9009">
        <v>1</v>
      </c>
      <c r="G9009">
        <f>LOG(382/(1+1))</f>
        <v>2.2810333672477277</v>
      </c>
      <c r="H9009">
        <f>0.00680272108843537*5.25227342804663</f>
        <v>3.5729751211201546E-2</v>
      </c>
      <c r="I9009">
        <v>3.572975121120156E-2</v>
      </c>
    </row>
    <row r="9010" spans="1:9" x14ac:dyDescent="0.25">
      <c r="A9010">
        <v>386</v>
      </c>
      <c r="B9010" t="s">
        <v>2900</v>
      </c>
      <c r="C9010" t="s">
        <v>10</v>
      </c>
      <c r="D9010" t="s">
        <v>746</v>
      </c>
      <c r="E9010">
        <f>1/147</f>
        <v>6.8027210884353739E-3</v>
      </c>
      <c r="F9010">
        <v>58</v>
      </c>
      <c r="G9010">
        <f>LOG(382/(58+1))</f>
        <v>0.81121135126956456</v>
      </c>
      <c r="H9010">
        <f>0.00680272108843537*1.86788316470085</f>
        <v>1.270668819524387E-2</v>
      </c>
      <c r="I9010">
        <v>1.2706688195243921E-2</v>
      </c>
    </row>
    <row r="9011" spans="1:9" x14ac:dyDescent="0.25">
      <c r="A9011">
        <v>386</v>
      </c>
      <c r="B9011" t="s">
        <v>2900</v>
      </c>
      <c r="C9011" t="s">
        <v>10</v>
      </c>
      <c r="D9011" t="s">
        <v>1079</v>
      </c>
      <c r="E9011">
        <f>1/147</f>
        <v>6.8027210884353739E-3</v>
      </c>
      <c r="F9011">
        <v>34</v>
      </c>
      <c r="G9011">
        <f>LOG(382/(34+1))</f>
        <v>1.037995318561433</v>
      </c>
      <c r="H9011">
        <f>0.00680272108843537*2.39007254711716</f>
        <v>1.6258996919164343E-2</v>
      </c>
      <c r="I9011">
        <v>1.625899691916436E-2</v>
      </c>
    </row>
    <row r="9012" spans="1:9" x14ac:dyDescent="0.25">
      <c r="A9012">
        <v>386</v>
      </c>
      <c r="B9012" t="s">
        <v>2900</v>
      </c>
      <c r="C9012" t="s">
        <v>10</v>
      </c>
      <c r="D9012" t="s">
        <v>119</v>
      </c>
      <c r="E9012">
        <f>2/147</f>
        <v>1.3605442176870748E-2</v>
      </c>
      <c r="F9012">
        <v>79</v>
      </c>
      <c r="G9012">
        <f>LOG(382/(79+1))</f>
        <v>0.67897337591976514</v>
      </c>
      <c r="H9012">
        <f>0.0136054421768707*1.56339397393269</f>
        <v>2.1270666312009311E-2</v>
      </c>
      <c r="I9012">
        <v>2.127066631200944E-2</v>
      </c>
    </row>
    <row r="9013" spans="1:9" x14ac:dyDescent="0.25">
      <c r="A9013">
        <v>386</v>
      </c>
      <c r="B9013" t="s">
        <v>2900</v>
      </c>
      <c r="C9013" t="s">
        <v>10</v>
      </c>
      <c r="D9013" t="s">
        <v>133</v>
      </c>
      <c r="E9013">
        <f>5/147</f>
        <v>3.4013605442176874E-2</v>
      </c>
      <c r="F9013">
        <v>142</v>
      </c>
      <c r="G9013">
        <f>LOG(382/(142+1))</f>
        <v>0.42672732544664693</v>
      </c>
      <c r="H9013">
        <f>0.0340136054421768*0.982575978346667</f>
        <v>3.3420951644444384E-2</v>
      </c>
      <c r="I9013">
        <v>3.3420951644444488E-2</v>
      </c>
    </row>
    <row r="9014" spans="1:9" x14ac:dyDescent="0.25">
      <c r="A9014">
        <v>386</v>
      </c>
      <c r="B9014" t="s">
        <v>2900</v>
      </c>
      <c r="C9014" t="s">
        <v>10</v>
      </c>
      <c r="D9014" t="s">
        <v>331</v>
      </c>
      <c r="E9014">
        <f>3/147</f>
        <v>2.0408163265306121E-2</v>
      </c>
      <c r="F9014">
        <v>130</v>
      </c>
      <c r="G9014">
        <f>LOG(382/(130+1))</f>
        <v>0.46479206725594452</v>
      </c>
      <c r="H9014">
        <f>0.0204081632653061*1.07022328540542</f>
        <v>2.1841291538886101E-2</v>
      </c>
      <c r="I9014">
        <v>2.1841291538886191E-2</v>
      </c>
    </row>
    <row r="9015" spans="1:9" x14ac:dyDescent="0.25">
      <c r="A9015">
        <v>386</v>
      </c>
      <c r="B9015" t="s">
        <v>2900</v>
      </c>
      <c r="C9015" t="s">
        <v>10</v>
      </c>
      <c r="D9015" t="s">
        <v>322</v>
      </c>
      <c r="E9015">
        <f>2/147</f>
        <v>1.3605442176870748E-2</v>
      </c>
      <c r="F9015">
        <v>128</v>
      </c>
      <c r="G9015">
        <f>LOG(382/(128+1))</f>
        <v>0.47147365261245977</v>
      </c>
      <c r="H9015">
        <f>0.0136054421768707*1.0856082042449</f>
        <v>1.4770179649590423E-2</v>
      </c>
      <c r="I9015">
        <v>1.477017964959052E-2</v>
      </c>
    </row>
    <row r="9016" spans="1:9" x14ac:dyDescent="0.25">
      <c r="A9016">
        <v>386</v>
      </c>
      <c r="B9016" t="s">
        <v>2900</v>
      </c>
      <c r="C9016" t="s">
        <v>10</v>
      </c>
      <c r="D9016" t="s">
        <v>123</v>
      </c>
      <c r="E9016">
        <f>1/147</f>
        <v>6.8027210884353739E-3</v>
      </c>
      <c r="F9016">
        <v>74</v>
      </c>
      <c r="G9016">
        <f>LOG(382/(74+1))</f>
        <v>0.7070020995200087</v>
      </c>
      <c r="H9016">
        <f>0.00680272108843537*1.62793249507026</f>
        <v>1.1074370714763668E-2</v>
      </c>
      <c r="I9016">
        <v>1.10743707147637E-2</v>
      </c>
    </row>
    <row r="9017" spans="1:9" x14ac:dyDescent="0.25">
      <c r="A9017">
        <v>386</v>
      </c>
      <c r="B9017" t="s">
        <v>2900</v>
      </c>
      <c r="C9017" t="s">
        <v>10</v>
      </c>
      <c r="D9017" t="s">
        <v>324</v>
      </c>
      <c r="E9017">
        <f>4/147</f>
        <v>2.7210884353741496E-2</v>
      </c>
      <c r="F9017">
        <v>82</v>
      </c>
      <c r="G9017">
        <f>LOG(382/(82+1))</f>
        <v>0.66298527053563483</v>
      </c>
      <c r="H9017">
        <f>0.0272108843537414*1.52658000080997</f>
        <v>4.1539591858774538E-2</v>
      </c>
      <c r="I9017">
        <v>4.1539591858774892E-2</v>
      </c>
    </row>
    <row r="9018" spans="1:9" x14ac:dyDescent="0.25">
      <c r="A9018">
        <v>386</v>
      </c>
      <c r="B9018" t="s">
        <v>2900</v>
      </c>
      <c r="C9018" t="s">
        <v>10</v>
      </c>
      <c r="D9018" t="s">
        <v>2905</v>
      </c>
      <c r="E9018">
        <f t="shared" ref="E9018:E9023" si="418">1/147</f>
        <v>6.8027210884353739E-3</v>
      </c>
      <c r="F9018">
        <v>1</v>
      </c>
      <c r="G9018">
        <f>LOG(382/(1+1))</f>
        <v>2.2810333672477277</v>
      </c>
      <c r="H9018">
        <f>0.00680272108843537*5.25227342804663</f>
        <v>3.5729751211201546E-2</v>
      </c>
      <c r="I9018">
        <v>3.572975121120156E-2</v>
      </c>
    </row>
    <row r="9019" spans="1:9" x14ac:dyDescent="0.25">
      <c r="A9019">
        <v>386</v>
      </c>
      <c r="B9019" t="s">
        <v>2900</v>
      </c>
      <c r="C9019" t="s">
        <v>10</v>
      </c>
      <c r="D9019" t="s">
        <v>675</v>
      </c>
      <c r="E9019">
        <f t="shared" si="418"/>
        <v>6.8027210884353739E-3</v>
      </c>
      <c r="F9019">
        <v>10</v>
      </c>
      <c r="G9019">
        <f>LOG(382/(10+1))</f>
        <v>1.5406706777534838</v>
      </c>
      <c r="H9019">
        <f>0.00680272108843537*3.5475253358082</f>
        <v>2.4132825413661213E-2</v>
      </c>
      <c r="I9019">
        <v>2.4132825413661251E-2</v>
      </c>
    </row>
    <row r="9020" spans="1:9" x14ac:dyDescent="0.25">
      <c r="A9020">
        <v>386</v>
      </c>
      <c r="B9020" t="s">
        <v>2900</v>
      </c>
      <c r="C9020" t="s">
        <v>10</v>
      </c>
      <c r="D9020" t="s">
        <v>485</v>
      </c>
      <c r="E9020">
        <f t="shared" si="418"/>
        <v>6.8027210884353739E-3</v>
      </c>
      <c r="F9020">
        <v>74</v>
      </c>
      <c r="G9020">
        <f>LOG(382/(74+1))</f>
        <v>0.7070020995200087</v>
      </c>
      <c r="H9020">
        <f>0.00680272108843537*1.62793249507026</f>
        <v>1.1074370714763668E-2</v>
      </c>
      <c r="I9020">
        <v>1.10743707147637E-2</v>
      </c>
    </row>
    <row r="9021" spans="1:9" x14ac:dyDescent="0.25">
      <c r="A9021">
        <v>386</v>
      </c>
      <c r="B9021" t="s">
        <v>2900</v>
      </c>
      <c r="C9021" t="s">
        <v>10</v>
      </c>
      <c r="D9021" t="s">
        <v>754</v>
      </c>
      <c r="E9021">
        <f t="shared" si="418"/>
        <v>6.8027210884353739E-3</v>
      </c>
      <c r="F9021">
        <v>111</v>
      </c>
      <c r="G9021">
        <f>LOG(382/(111+1))</f>
        <v>0.53284534024152708</v>
      </c>
      <c r="H9021">
        <f>0.00680272108843537*1.22692173731148</f>
        <v>8.3464063762685673E-3</v>
      </c>
      <c r="I9021">
        <v>8.346406376268576E-3</v>
      </c>
    </row>
    <row r="9022" spans="1:9" x14ac:dyDescent="0.25">
      <c r="A9022">
        <v>386</v>
      </c>
      <c r="B9022" t="s">
        <v>2900</v>
      </c>
      <c r="C9022" t="s">
        <v>10</v>
      </c>
      <c r="D9022" t="s">
        <v>237</v>
      </c>
      <c r="E9022">
        <f t="shared" si="418"/>
        <v>6.8027210884353739E-3</v>
      </c>
      <c r="F9022">
        <v>138</v>
      </c>
      <c r="G9022">
        <f>LOG(382/(138+1))</f>
        <v>0.43904856265761361</v>
      </c>
      <c r="H9022">
        <f>0.00680272108843537*1.01094667547588</f>
        <v>6.8771882685433978E-3</v>
      </c>
      <c r="I9022">
        <v>6.8771882685434238E-3</v>
      </c>
    </row>
    <row r="9023" spans="1:9" x14ac:dyDescent="0.25">
      <c r="A9023">
        <v>386</v>
      </c>
      <c r="B9023" t="s">
        <v>2900</v>
      </c>
      <c r="C9023" t="s">
        <v>10</v>
      </c>
      <c r="D9023" t="s">
        <v>78</v>
      </c>
      <c r="E9023">
        <f t="shared" si="418"/>
        <v>6.8027210884353739E-3</v>
      </c>
      <c r="F9023">
        <v>122</v>
      </c>
      <c r="G9023">
        <f>LOG(382/(122+1))</f>
        <v>0.49215825147231079</v>
      </c>
      <c r="H9023">
        <f>0.00680272108843537*1.13323625323415</f>
        <v>7.7090901580554377E-3</v>
      </c>
      <c r="I9023">
        <v>7.7090901580554932E-3</v>
      </c>
    </row>
    <row r="9024" spans="1:9" x14ac:dyDescent="0.25">
      <c r="A9024">
        <v>386</v>
      </c>
      <c r="B9024" t="s">
        <v>2900</v>
      </c>
      <c r="C9024" t="s">
        <v>10</v>
      </c>
      <c r="D9024" t="s">
        <v>2211</v>
      </c>
      <c r="E9024">
        <f>2/147</f>
        <v>1.3605442176870748E-2</v>
      </c>
      <c r="F9024">
        <v>9</v>
      </c>
      <c r="G9024">
        <f>LOG(382/(9+1))</f>
        <v>1.5820633629117087</v>
      </c>
      <c r="H9024">
        <f>0.0136054421768707*3.64283551561252</f>
        <v>4.9562387967517101E-2</v>
      </c>
      <c r="I9024">
        <v>4.9562387967517413E-2</v>
      </c>
    </row>
    <row r="9025" spans="1:9" x14ac:dyDescent="0.25">
      <c r="A9025">
        <v>386</v>
      </c>
      <c r="B9025" t="s">
        <v>2900</v>
      </c>
      <c r="C9025" t="s">
        <v>10</v>
      </c>
      <c r="D9025" t="s">
        <v>597</v>
      </c>
      <c r="E9025">
        <f>2/147</f>
        <v>1.3605442176870748E-2</v>
      </c>
      <c r="F9025">
        <v>51</v>
      </c>
      <c r="G9025">
        <f>LOG(382/(51+1))</f>
        <v>0.86606001927690957</v>
      </c>
      <c r="H9025">
        <f>0.0136054421768707*1.99417689002514</f>
        <v>2.7131658367688882E-2</v>
      </c>
      <c r="I9025">
        <v>2.713165836768908E-2</v>
      </c>
    </row>
    <row r="9026" spans="1:9" x14ac:dyDescent="0.25">
      <c r="A9026">
        <v>386</v>
      </c>
      <c r="B9026" t="s">
        <v>2900</v>
      </c>
      <c r="C9026" t="s">
        <v>10</v>
      </c>
      <c r="D9026" t="s">
        <v>1953</v>
      </c>
      <c r="E9026">
        <f>1/147</f>
        <v>6.8027210884353739E-3</v>
      </c>
      <c r="F9026">
        <v>11</v>
      </c>
      <c r="G9026">
        <f>LOG(382/(11+1))</f>
        <v>1.5028821168640838</v>
      </c>
      <c r="H9026">
        <f>0.00680272108843537*3.46051395881857</f>
        <v>2.3540911284480055E-2</v>
      </c>
      <c r="I9026">
        <v>2.35409112844801E-2</v>
      </c>
    </row>
    <row r="9027" spans="1:9" x14ac:dyDescent="0.25">
      <c r="A9027">
        <v>386</v>
      </c>
      <c r="B9027" t="s">
        <v>2900</v>
      </c>
      <c r="C9027" t="s">
        <v>10</v>
      </c>
      <c r="D9027" t="s">
        <v>81</v>
      </c>
      <c r="E9027">
        <f>2/147</f>
        <v>1.3605442176870748E-2</v>
      </c>
      <c r="F9027">
        <v>114</v>
      </c>
      <c r="G9027">
        <f>LOG(382/(114+1))</f>
        <v>0.52136552255809698</v>
      </c>
      <c r="H9027">
        <f>0.0136054421768707*1.20048848024332</f>
        <v>1.6333176601949873E-2</v>
      </c>
      <c r="I9027">
        <v>1.6333176601950002E-2</v>
      </c>
    </row>
    <row r="9028" spans="1:9" x14ac:dyDescent="0.25">
      <c r="A9028">
        <v>386</v>
      </c>
      <c r="B9028" t="s">
        <v>2900</v>
      </c>
      <c r="C9028" t="s">
        <v>10</v>
      </c>
      <c r="D9028" t="s">
        <v>2906</v>
      </c>
      <c r="E9028">
        <f t="shared" ref="E9028:E9035" si="419">1/147</f>
        <v>6.8027210884353739E-3</v>
      </c>
      <c r="F9028">
        <v>1</v>
      </c>
      <c r="G9028">
        <f>LOG(382/(1+1))</f>
        <v>2.2810333672477277</v>
      </c>
      <c r="H9028">
        <f>0.00680272108843537*5.25227342804663</f>
        <v>3.5729751211201546E-2</v>
      </c>
      <c r="I9028">
        <v>3.572975121120156E-2</v>
      </c>
    </row>
    <row r="9029" spans="1:9" x14ac:dyDescent="0.25">
      <c r="A9029">
        <v>386</v>
      </c>
      <c r="B9029" t="s">
        <v>2900</v>
      </c>
      <c r="C9029" t="s">
        <v>10</v>
      </c>
      <c r="D9029" t="s">
        <v>315</v>
      </c>
      <c r="E9029">
        <f t="shared" si="419"/>
        <v>6.8027210884353739E-3</v>
      </c>
      <c r="F9029">
        <v>55</v>
      </c>
      <c r="G9029">
        <f>LOG(382/(55+1))</f>
        <v>0.83387533590550833</v>
      </c>
      <c r="H9029">
        <f>0.00680272108843537*1.92006891787142</f>
        <v>1.3061693318853191E-2</v>
      </c>
      <c r="I9029">
        <v>1.306169331885324E-2</v>
      </c>
    </row>
    <row r="9030" spans="1:9" x14ac:dyDescent="0.25">
      <c r="A9030">
        <v>386</v>
      </c>
      <c r="B9030" t="s">
        <v>2900</v>
      </c>
      <c r="C9030" t="s">
        <v>10</v>
      </c>
      <c r="D9030" t="s">
        <v>2907</v>
      </c>
      <c r="E9030">
        <f t="shared" si="419"/>
        <v>6.8027210884353739E-3</v>
      </c>
      <c r="F9030">
        <v>1</v>
      </c>
      <c r="G9030">
        <f>LOG(382/(1+1))</f>
        <v>2.2810333672477277</v>
      </c>
      <c r="H9030">
        <f>0.00680272108843537*5.25227342804663</f>
        <v>3.5729751211201546E-2</v>
      </c>
      <c r="I9030">
        <v>3.572975121120156E-2</v>
      </c>
    </row>
    <row r="9031" spans="1:9" x14ac:dyDescent="0.25">
      <c r="A9031">
        <v>386</v>
      </c>
      <c r="B9031" t="s">
        <v>2900</v>
      </c>
      <c r="C9031" t="s">
        <v>10</v>
      </c>
      <c r="D9031" t="s">
        <v>752</v>
      </c>
      <c r="E9031">
        <f t="shared" si="419"/>
        <v>6.8027210884353739E-3</v>
      </c>
      <c r="F9031">
        <v>34</v>
      </c>
      <c r="G9031">
        <f>LOG(382/(34+1))</f>
        <v>1.037995318561433</v>
      </c>
      <c r="H9031">
        <f>0.00680272108843537*2.39007254711716</f>
        <v>1.6258996919164343E-2</v>
      </c>
      <c r="I9031">
        <v>1.625899691916436E-2</v>
      </c>
    </row>
    <row r="9032" spans="1:9" x14ac:dyDescent="0.25">
      <c r="A9032">
        <v>386</v>
      </c>
      <c r="B9032" t="s">
        <v>2900</v>
      </c>
      <c r="C9032" t="s">
        <v>10</v>
      </c>
      <c r="D9032" t="s">
        <v>764</v>
      </c>
      <c r="E9032">
        <f t="shared" si="419"/>
        <v>6.8027210884353739E-3</v>
      </c>
      <c r="F9032">
        <v>57</v>
      </c>
      <c r="G9032">
        <f>LOG(382/(57+1))</f>
        <v>0.81863536934877146</v>
      </c>
      <c r="H9032">
        <f>0.00680272108843537*1.88497759806015</f>
        <v>1.2822976857552034E-2</v>
      </c>
      <c r="I9032">
        <v>1.282297685755208E-2</v>
      </c>
    </row>
    <row r="9033" spans="1:9" x14ac:dyDescent="0.25">
      <c r="A9033">
        <v>386</v>
      </c>
      <c r="B9033" t="s">
        <v>2900</v>
      </c>
      <c r="C9033" t="s">
        <v>10</v>
      </c>
      <c r="D9033" t="s">
        <v>1083</v>
      </c>
      <c r="E9033">
        <f t="shared" si="419"/>
        <v>6.8027210884353739E-3</v>
      </c>
      <c r="F9033">
        <v>51</v>
      </c>
      <c r="G9033">
        <f>LOG(382/(51+1))</f>
        <v>0.86606001927690957</v>
      </c>
      <c r="H9033">
        <f>0.00680272108843537*1.99417689002514</f>
        <v>1.3565829183844483E-2</v>
      </c>
      <c r="I9033">
        <v>1.356582918384454E-2</v>
      </c>
    </row>
    <row r="9034" spans="1:9" x14ac:dyDescent="0.25">
      <c r="A9034">
        <v>386</v>
      </c>
      <c r="B9034" t="s">
        <v>2900</v>
      </c>
      <c r="C9034" t="s">
        <v>10</v>
      </c>
      <c r="D9034" t="s">
        <v>2908</v>
      </c>
      <c r="E9034">
        <f t="shared" si="419"/>
        <v>6.8027210884353739E-3</v>
      </c>
      <c r="F9034">
        <v>1</v>
      </c>
      <c r="G9034">
        <f>LOG(382/(1+1))</f>
        <v>2.2810333672477277</v>
      </c>
      <c r="H9034">
        <f>0.00680272108843537*5.25227342804663</f>
        <v>3.5729751211201546E-2</v>
      </c>
      <c r="I9034">
        <v>3.572975121120156E-2</v>
      </c>
    </row>
    <row r="9035" spans="1:9" x14ac:dyDescent="0.25">
      <c r="A9035">
        <v>386</v>
      </c>
      <c r="B9035" t="s">
        <v>2900</v>
      </c>
      <c r="C9035" t="s">
        <v>10</v>
      </c>
      <c r="D9035" t="s">
        <v>136</v>
      </c>
      <c r="E9035">
        <f t="shared" si="419"/>
        <v>6.8027210884353739E-3</v>
      </c>
      <c r="F9035">
        <v>17</v>
      </c>
      <c r="G9035">
        <f>LOG(382/(17+1))</f>
        <v>1.3267908578084027</v>
      </c>
      <c r="H9035">
        <f>0.00680272108843537*3.05504885071041</f>
        <v>2.0782645242927947E-2</v>
      </c>
      <c r="I9035">
        <v>2.0782645242927961E-2</v>
      </c>
    </row>
    <row r="9036" spans="1:9" x14ac:dyDescent="0.25">
      <c r="A9036">
        <v>386</v>
      </c>
      <c r="B9036" t="s">
        <v>2900</v>
      </c>
      <c r="C9036" t="s">
        <v>10</v>
      </c>
      <c r="D9036" t="s">
        <v>593</v>
      </c>
      <c r="E9036">
        <f>2/147</f>
        <v>1.3605442176870748E-2</v>
      </c>
      <c r="F9036">
        <v>30</v>
      </c>
      <c r="G9036">
        <f>LOG(382/(30+1))</f>
        <v>1.090701669077436</v>
      </c>
      <c r="H9036">
        <f>0.0136054421768707*2.51143340412142</f>
        <v>3.4169161960835526E-2</v>
      </c>
      <c r="I9036">
        <v>3.4169161960835769E-2</v>
      </c>
    </row>
    <row r="9037" spans="1:9" x14ac:dyDescent="0.25">
      <c r="A9037">
        <v>386</v>
      </c>
      <c r="B9037" t="s">
        <v>2900</v>
      </c>
      <c r="C9037" t="s">
        <v>10</v>
      </c>
      <c r="D9037" t="s">
        <v>594</v>
      </c>
      <c r="E9037">
        <f>2/147</f>
        <v>1.3605442176870748E-2</v>
      </c>
      <c r="F9037">
        <v>36</v>
      </c>
      <c r="G9037">
        <f>LOG(382/(36+1))</f>
        <v>1.0138616388447137</v>
      </c>
      <c r="H9037">
        <f>0.0136054421768707*2.33450269596235</f>
        <v>3.1761941441664512E-2</v>
      </c>
      <c r="I9037">
        <v>3.1761941441664637E-2</v>
      </c>
    </row>
    <row r="9038" spans="1:9" x14ac:dyDescent="0.25">
      <c r="A9038">
        <v>386</v>
      </c>
      <c r="B9038" t="s">
        <v>2900</v>
      </c>
      <c r="C9038" t="s">
        <v>10</v>
      </c>
      <c r="D9038" t="s">
        <v>2909</v>
      </c>
      <c r="E9038">
        <f>1/147</f>
        <v>6.8027210884353739E-3</v>
      </c>
      <c r="F9038">
        <v>1</v>
      </c>
      <c r="G9038">
        <f>LOG(382/(1+1))</f>
        <v>2.2810333672477277</v>
      </c>
      <c r="H9038">
        <f>0.00680272108843537*5.25227342804663</f>
        <v>3.5729751211201546E-2</v>
      </c>
      <c r="I9038">
        <v>3.572975121120156E-2</v>
      </c>
    </row>
    <row r="9039" spans="1:9" x14ac:dyDescent="0.25">
      <c r="A9039">
        <v>386</v>
      </c>
      <c r="B9039" t="s">
        <v>2900</v>
      </c>
      <c r="C9039" t="s">
        <v>10</v>
      </c>
      <c r="D9039" t="s">
        <v>216</v>
      </c>
      <c r="E9039">
        <f>2/147</f>
        <v>1.3605442176870748E-2</v>
      </c>
      <c r="F9039">
        <v>63</v>
      </c>
      <c r="G9039">
        <f>LOG(382/(63+1))</f>
        <v>0.7758833889278216</v>
      </c>
      <c r="H9039">
        <f>0.0136054421768707*1.7865375252469</f>
        <v>2.4306632996556374E-2</v>
      </c>
      <c r="I9039">
        <v>2.4306632996556509E-2</v>
      </c>
    </row>
    <row r="9040" spans="1:9" x14ac:dyDescent="0.25">
      <c r="A9040">
        <v>386</v>
      </c>
      <c r="B9040" t="s">
        <v>2900</v>
      </c>
      <c r="C9040" t="s">
        <v>10</v>
      </c>
      <c r="D9040" t="s">
        <v>1854</v>
      </c>
      <c r="E9040">
        <f>1/147</f>
        <v>6.8027210884353739E-3</v>
      </c>
      <c r="F9040">
        <v>9</v>
      </c>
      <c r="G9040">
        <f>LOG(382/(9+1))</f>
        <v>1.5820633629117087</v>
      </c>
      <c r="H9040">
        <f>0.00680272108843537*3.64283551561252</f>
        <v>2.4781193983758627E-2</v>
      </c>
      <c r="I9040">
        <v>2.4781193983758699E-2</v>
      </c>
    </row>
    <row r="9041" spans="1:9" x14ac:dyDescent="0.25">
      <c r="A9041">
        <v>386</v>
      </c>
      <c r="B9041" t="s">
        <v>2900</v>
      </c>
      <c r="C9041" t="s">
        <v>10</v>
      </c>
      <c r="D9041" t="s">
        <v>327</v>
      </c>
      <c r="E9041">
        <f>1/147</f>
        <v>6.8027210884353739E-3</v>
      </c>
      <c r="F9041">
        <v>46</v>
      </c>
      <c r="G9041">
        <f>LOG(382/(46+1))</f>
        <v>0.90996550497599127</v>
      </c>
      <c r="H9041">
        <f>0.00680272108843537*2.09527300689651</f>
        <v>1.425355787004428E-2</v>
      </c>
      <c r="I9041">
        <v>1.425355787004433E-2</v>
      </c>
    </row>
    <row r="9042" spans="1:9" x14ac:dyDescent="0.25">
      <c r="A9042">
        <v>386</v>
      </c>
      <c r="B9042" t="s">
        <v>2900</v>
      </c>
      <c r="C9042" t="s">
        <v>10</v>
      </c>
      <c r="D9042" t="s">
        <v>1303</v>
      </c>
      <c r="E9042">
        <f>1/147</f>
        <v>6.8027210884353739E-3</v>
      </c>
      <c r="F9042">
        <v>17</v>
      </c>
      <c r="G9042">
        <f>LOG(382/(17+1))</f>
        <v>1.3267908578084027</v>
      </c>
      <c r="H9042">
        <f>0.00680272108843537*3.05504885071041</f>
        <v>2.0782645242927947E-2</v>
      </c>
      <c r="I9042">
        <v>2.0782645242927961E-2</v>
      </c>
    </row>
    <row r="9043" spans="1:9" x14ac:dyDescent="0.25">
      <c r="A9043">
        <v>386</v>
      </c>
      <c r="B9043" t="s">
        <v>2900</v>
      </c>
      <c r="C9043" t="s">
        <v>10</v>
      </c>
      <c r="D9043" t="s">
        <v>1012</v>
      </c>
      <c r="E9043">
        <f>1/147</f>
        <v>6.8027210884353739E-3</v>
      </c>
      <c r="F9043">
        <v>17</v>
      </c>
      <c r="G9043">
        <f>LOG(382/(17+1))</f>
        <v>1.3267908578084027</v>
      </c>
      <c r="H9043">
        <f>0.00680272108843537*3.05504885071041</f>
        <v>2.0782645242927947E-2</v>
      </c>
      <c r="I9043">
        <v>2.0782645242927961E-2</v>
      </c>
    </row>
    <row r="9044" spans="1:9" x14ac:dyDescent="0.25">
      <c r="A9044">
        <v>386</v>
      </c>
      <c r="B9044" t="s">
        <v>2900</v>
      </c>
      <c r="C9044" t="s">
        <v>10</v>
      </c>
      <c r="D9044" t="s">
        <v>236</v>
      </c>
      <c r="E9044">
        <f>3/147</f>
        <v>2.0408163265306121E-2</v>
      </c>
      <c r="F9044">
        <v>87</v>
      </c>
      <c r="G9044">
        <f>LOG(382/(87+1))</f>
        <v>0.63758069076154011</v>
      </c>
      <c r="H9044">
        <f>0.0204081632653061*1.46808379412836</f>
        <v>2.99608937577216E-2</v>
      </c>
      <c r="I9044">
        <v>2.9960893757721811E-2</v>
      </c>
    </row>
    <row r="9045" spans="1:9" x14ac:dyDescent="0.25">
      <c r="A9045">
        <v>386</v>
      </c>
      <c r="B9045" t="s">
        <v>2900</v>
      </c>
      <c r="C9045" t="s">
        <v>10</v>
      </c>
      <c r="D9045" t="s">
        <v>2910</v>
      </c>
      <c r="E9045">
        <f t="shared" ref="E9045:E9050" si="420">1/147</f>
        <v>6.8027210884353739E-3</v>
      </c>
      <c r="F9045">
        <v>1</v>
      </c>
      <c r="G9045">
        <f>LOG(382/(1+1))</f>
        <v>2.2810333672477277</v>
      </c>
      <c r="H9045">
        <f>0.00680272108843537*5.25227342804663</f>
        <v>3.5729751211201546E-2</v>
      </c>
      <c r="I9045">
        <v>3.572975121120156E-2</v>
      </c>
    </row>
    <row r="9046" spans="1:9" x14ac:dyDescent="0.25">
      <c r="A9046">
        <v>386</v>
      </c>
      <c r="B9046" t="s">
        <v>2900</v>
      </c>
      <c r="C9046" t="s">
        <v>10</v>
      </c>
      <c r="D9046" t="s">
        <v>532</v>
      </c>
      <c r="E9046">
        <f t="shared" si="420"/>
        <v>6.8027210884353739E-3</v>
      </c>
      <c r="F9046">
        <v>8</v>
      </c>
      <c r="G9046">
        <f>LOG(382/(8+1))</f>
        <v>1.6278208534723839</v>
      </c>
      <c r="H9046">
        <f>0.00680272108843537*3.74819603127035</f>
        <v>2.5497932185512572E-2</v>
      </c>
      <c r="I9046">
        <v>2.549793218551262E-2</v>
      </c>
    </row>
    <row r="9047" spans="1:9" x14ac:dyDescent="0.25">
      <c r="A9047">
        <v>386</v>
      </c>
      <c r="B9047" t="s">
        <v>2900</v>
      </c>
      <c r="C9047" t="s">
        <v>10</v>
      </c>
      <c r="D9047" t="s">
        <v>1808</v>
      </c>
      <c r="E9047">
        <f t="shared" si="420"/>
        <v>6.8027210884353739E-3</v>
      </c>
      <c r="F9047">
        <v>10</v>
      </c>
      <c r="G9047">
        <f>LOG(382/(10+1))</f>
        <v>1.5406706777534838</v>
      </c>
      <c r="H9047">
        <f>0.00680272108843537*3.5475253358082</f>
        <v>2.4132825413661213E-2</v>
      </c>
      <c r="I9047">
        <v>2.4132825413661251E-2</v>
      </c>
    </row>
    <row r="9048" spans="1:9" x14ac:dyDescent="0.25">
      <c r="A9048">
        <v>386</v>
      </c>
      <c r="B9048" t="s">
        <v>2900</v>
      </c>
      <c r="C9048" t="s">
        <v>10</v>
      </c>
      <c r="D9048" t="s">
        <v>1222</v>
      </c>
      <c r="E9048">
        <f t="shared" si="420"/>
        <v>6.8027210884353739E-3</v>
      </c>
      <c r="F9048">
        <v>56</v>
      </c>
      <c r="G9048">
        <f>LOG(382/(56+1))</f>
        <v>0.82618850723921733</v>
      </c>
      <c r="H9048">
        <f>0.00680272108843537*1.90236934077202</f>
        <v>1.2941288032462714E-2</v>
      </c>
      <c r="I9048">
        <v>1.294128803246276E-2</v>
      </c>
    </row>
    <row r="9049" spans="1:9" x14ac:dyDescent="0.25">
      <c r="A9049">
        <v>386</v>
      </c>
      <c r="B9049" t="s">
        <v>2900</v>
      </c>
      <c r="C9049" t="s">
        <v>10</v>
      </c>
      <c r="D9049" t="s">
        <v>1540</v>
      </c>
      <c r="E9049">
        <f t="shared" si="420"/>
        <v>6.8027210884353739E-3</v>
      </c>
      <c r="F9049">
        <v>12</v>
      </c>
      <c r="G9049">
        <f>LOG(382/(12+1))</f>
        <v>1.468120010604872</v>
      </c>
      <c r="H9049">
        <f>0.00680272108843537*3.38047125114503</f>
        <v>2.2996403069013797E-2</v>
      </c>
      <c r="I9049">
        <v>2.299640306901387E-2</v>
      </c>
    </row>
    <row r="9050" spans="1:9" x14ac:dyDescent="0.25">
      <c r="A9050">
        <v>386</v>
      </c>
      <c r="B9050" t="s">
        <v>2900</v>
      </c>
      <c r="C9050" t="s">
        <v>10</v>
      </c>
      <c r="D9050" t="s">
        <v>1544</v>
      </c>
      <c r="E9050">
        <f t="shared" si="420"/>
        <v>6.8027210884353739E-3</v>
      </c>
      <c r="F9050">
        <v>19</v>
      </c>
      <c r="G9050">
        <f>LOG(382/(19+1))</f>
        <v>1.2810333672477277</v>
      </c>
      <c r="H9050">
        <f>0.00680272108843537*2.94968833505258</f>
        <v>2.0065907041174003E-2</v>
      </c>
      <c r="I9050">
        <v>2.0065907041174041E-2</v>
      </c>
    </row>
    <row r="9051" spans="1:9" x14ac:dyDescent="0.25">
      <c r="A9051">
        <v>386</v>
      </c>
      <c r="B9051" t="s">
        <v>2900</v>
      </c>
      <c r="C9051" t="s">
        <v>10</v>
      </c>
      <c r="D9051" t="s">
        <v>82</v>
      </c>
      <c r="E9051">
        <f>2/147</f>
        <v>1.3605442176870748E-2</v>
      </c>
      <c r="F9051">
        <v>92</v>
      </c>
      <c r="G9051">
        <f>LOG(382/(92+1))</f>
        <v>0.61358041435777355</v>
      </c>
      <c r="H9051">
        <f>0.0136054421768707*1.41282111545331</f>
        <v>1.9222055992561972E-2</v>
      </c>
      <c r="I9051">
        <v>1.922205599256217E-2</v>
      </c>
    </row>
    <row r="9052" spans="1:9" x14ac:dyDescent="0.25">
      <c r="A9052">
        <v>386</v>
      </c>
      <c r="B9052" t="s">
        <v>2900</v>
      </c>
      <c r="C9052" t="s">
        <v>10</v>
      </c>
      <c r="D9052" t="s">
        <v>362</v>
      </c>
      <c r="E9052">
        <f t="shared" ref="E9052:E9071" si="421">1/147</f>
        <v>6.8027210884353739E-3</v>
      </c>
      <c r="F9052">
        <v>81</v>
      </c>
      <c r="G9052">
        <f>LOG(382/(81+1))</f>
        <v>0.66824951052799197</v>
      </c>
      <c r="H9052">
        <f>0.00680272108843537*1.53870136134232</f>
        <v>1.0467356199607612E-2</v>
      </c>
      <c r="I9052">
        <v>1.046735619960763E-2</v>
      </c>
    </row>
    <row r="9053" spans="1:9" x14ac:dyDescent="0.25">
      <c r="A9053">
        <v>386</v>
      </c>
      <c r="B9053" t="s">
        <v>2900</v>
      </c>
      <c r="C9053" t="s">
        <v>10</v>
      </c>
      <c r="D9053" t="s">
        <v>1769</v>
      </c>
      <c r="E9053">
        <f t="shared" si="421"/>
        <v>6.8027210884353739E-3</v>
      </c>
      <c r="F9053">
        <v>84</v>
      </c>
      <c r="G9053">
        <f>LOG(382/(84+1))</f>
        <v>0.65264443719741605</v>
      </c>
      <c r="H9053">
        <f>0.00680272108843537*1.50276935211625</f>
        <v>1.0222920762695572E-2</v>
      </c>
      <c r="I9053">
        <v>1.0222920762695639E-2</v>
      </c>
    </row>
    <row r="9054" spans="1:9" x14ac:dyDescent="0.25">
      <c r="A9054">
        <v>386</v>
      </c>
      <c r="B9054" t="s">
        <v>2900</v>
      </c>
      <c r="C9054" t="s">
        <v>10</v>
      </c>
      <c r="D9054" t="s">
        <v>201</v>
      </c>
      <c r="E9054">
        <f t="shared" si="421"/>
        <v>6.8027210884353739E-3</v>
      </c>
      <c r="F9054">
        <v>72</v>
      </c>
      <c r="G9054">
        <f>LOG(382/(72+1))</f>
        <v>0.71874050279125279</v>
      </c>
      <c r="H9054">
        <f>0.00680272108843537*1.65496116745818</f>
        <v>1.1258239234409381E-2</v>
      </c>
      <c r="I9054">
        <v>1.125823923440941E-2</v>
      </c>
    </row>
    <row r="9055" spans="1:9" x14ac:dyDescent="0.25">
      <c r="A9055">
        <v>386</v>
      </c>
      <c r="B9055" t="s">
        <v>2900</v>
      </c>
      <c r="C9055" t="s">
        <v>10</v>
      </c>
      <c r="D9055" t="s">
        <v>1398</v>
      </c>
      <c r="E9055">
        <f t="shared" si="421"/>
        <v>6.8027210884353739E-3</v>
      </c>
      <c r="F9055">
        <v>29</v>
      </c>
      <c r="G9055">
        <f>LOG(382/(29+1))</f>
        <v>1.1049421081920463</v>
      </c>
      <c r="H9055">
        <f>0.00680272108843537*2.54422322694442</f>
        <v>1.7307640999621895E-2</v>
      </c>
      <c r="I9055">
        <v>1.7307640999621898E-2</v>
      </c>
    </row>
    <row r="9056" spans="1:9" x14ac:dyDescent="0.25">
      <c r="A9056">
        <v>386</v>
      </c>
      <c r="B9056" t="s">
        <v>2900</v>
      </c>
      <c r="C9056" t="s">
        <v>10</v>
      </c>
      <c r="D9056" t="s">
        <v>1514</v>
      </c>
      <c r="E9056">
        <f t="shared" si="421"/>
        <v>6.8027210884353739E-3</v>
      </c>
      <c r="F9056">
        <v>5</v>
      </c>
      <c r="G9056">
        <f>LOG(382/(5+1))</f>
        <v>1.803912112528065</v>
      </c>
      <c r="H9056">
        <f>0.00680272108843537*4.15366113937852</f>
        <v>2.8256198227064745E-2</v>
      </c>
      <c r="I9056">
        <v>2.8256198227064759E-2</v>
      </c>
    </row>
    <row r="9057" spans="1:9" x14ac:dyDescent="0.25">
      <c r="A9057">
        <v>386</v>
      </c>
      <c r="B9057" t="s">
        <v>2900</v>
      </c>
      <c r="C9057" t="s">
        <v>10</v>
      </c>
      <c r="D9057" t="s">
        <v>1855</v>
      </c>
      <c r="E9057">
        <f t="shared" si="421"/>
        <v>6.8027210884353739E-3</v>
      </c>
      <c r="F9057">
        <v>17</v>
      </c>
      <c r="G9057">
        <f>LOG(382/(17+1))</f>
        <v>1.3267908578084027</v>
      </c>
      <c r="H9057">
        <f>0.00680272108843537*3.05504885071041</f>
        <v>2.0782645242927947E-2</v>
      </c>
      <c r="I9057">
        <v>2.0782645242927961E-2</v>
      </c>
    </row>
    <row r="9058" spans="1:9" x14ac:dyDescent="0.25">
      <c r="A9058">
        <v>386</v>
      </c>
      <c r="B9058" t="s">
        <v>2900</v>
      </c>
      <c r="C9058" t="s">
        <v>10</v>
      </c>
      <c r="D9058" t="s">
        <v>542</v>
      </c>
      <c r="E9058">
        <f t="shared" si="421"/>
        <v>6.8027210884353739E-3</v>
      </c>
      <c r="F9058">
        <v>42</v>
      </c>
      <c r="G9058">
        <f>LOG(382/(42+1))</f>
        <v>0.94859490733212215</v>
      </c>
      <c r="H9058">
        <f>0.00680272108843537*2.18422049291301</f>
        <v>1.4858642808932031E-2</v>
      </c>
      <c r="I9058">
        <v>1.485864280893206E-2</v>
      </c>
    </row>
    <row r="9059" spans="1:9" x14ac:dyDescent="0.25">
      <c r="A9059">
        <v>386</v>
      </c>
      <c r="B9059" t="s">
        <v>2900</v>
      </c>
      <c r="C9059" t="s">
        <v>10</v>
      </c>
      <c r="D9059" t="s">
        <v>600</v>
      </c>
      <c r="E9059">
        <f t="shared" si="421"/>
        <v>6.8027210884353739E-3</v>
      </c>
      <c r="F9059">
        <v>102</v>
      </c>
      <c r="G9059">
        <f>LOG(382/(102+1))</f>
        <v>0.56922613820653656</v>
      </c>
      <c r="H9059">
        <f>0.00680272108843537*1.31069162037693</f>
        <v>8.9162695263736696E-3</v>
      </c>
      <c r="I9059">
        <v>8.9162695263737372E-3</v>
      </c>
    </row>
    <row r="9060" spans="1:9" x14ac:dyDescent="0.25">
      <c r="A9060">
        <v>386</v>
      </c>
      <c r="B9060" t="s">
        <v>2900</v>
      </c>
      <c r="C9060" t="s">
        <v>10</v>
      </c>
      <c r="D9060" t="s">
        <v>1433</v>
      </c>
      <c r="E9060">
        <f t="shared" si="421"/>
        <v>6.8027210884353739E-3</v>
      </c>
      <c r="F9060">
        <v>21</v>
      </c>
      <c r="G9060">
        <f>LOG(382/(21+1))</f>
        <v>1.2396406820895025</v>
      </c>
      <c r="H9060">
        <f>0.00680272108843537*2.85437815524825</f>
        <v>1.941753847107652E-2</v>
      </c>
      <c r="I9060">
        <v>1.9417538471076589E-2</v>
      </c>
    </row>
    <row r="9061" spans="1:9" x14ac:dyDescent="0.25">
      <c r="A9061">
        <v>386</v>
      </c>
      <c r="B9061" t="s">
        <v>2900</v>
      </c>
      <c r="C9061" t="s">
        <v>10</v>
      </c>
      <c r="D9061" t="s">
        <v>2911</v>
      </c>
      <c r="E9061">
        <f t="shared" si="421"/>
        <v>6.8027210884353739E-3</v>
      </c>
      <c r="F9061">
        <v>1</v>
      </c>
      <c r="G9061">
        <f>LOG(382/(1+1))</f>
        <v>2.2810333672477277</v>
      </c>
      <c r="H9061">
        <f>0.00680272108843537*5.25227342804663</f>
        <v>3.5729751211201546E-2</v>
      </c>
      <c r="I9061">
        <v>3.572975121120156E-2</v>
      </c>
    </row>
    <row r="9062" spans="1:9" x14ac:dyDescent="0.25">
      <c r="A9062">
        <v>386</v>
      </c>
      <c r="B9062" t="s">
        <v>2900</v>
      </c>
      <c r="C9062" t="s">
        <v>10</v>
      </c>
      <c r="D9062" t="s">
        <v>1473</v>
      </c>
      <c r="E9062">
        <f t="shared" si="421"/>
        <v>6.8027210884353739E-3</v>
      </c>
      <c r="F9062">
        <v>39</v>
      </c>
      <c r="G9062">
        <f>LOG(382/(39+1))</f>
        <v>0.9800033715837464</v>
      </c>
      <c r="H9062">
        <f>0.00680272108843537*2.25654115449263</f>
        <v>1.5350620098589313E-2</v>
      </c>
      <c r="I9062">
        <v>1.535062009858938E-2</v>
      </c>
    </row>
    <row r="9063" spans="1:9" x14ac:dyDescent="0.25">
      <c r="A9063">
        <v>386</v>
      </c>
      <c r="B9063" t="s">
        <v>2900</v>
      </c>
      <c r="C9063" t="s">
        <v>10</v>
      </c>
      <c r="D9063" t="s">
        <v>147</v>
      </c>
      <c r="E9063">
        <f t="shared" si="421"/>
        <v>6.8027210884353739E-3</v>
      </c>
      <c r="F9063">
        <v>48</v>
      </c>
      <c r="G9063">
        <f>LOG(382/(48+1))</f>
        <v>0.89186728288319506</v>
      </c>
      <c r="H9063">
        <f>0.00680272108843537*2.05360031049594</f>
        <v>1.3970070139428156E-2</v>
      </c>
      <c r="I9063">
        <v>1.397007013942822E-2</v>
      </c>
    </row>
    <row r="9064" spans="1:9" x14ac:dyDescent="0.25">
      <c r="A9064">
        <v>386</v>
      </c>
      <c r="B9064" t="s">
        <v>2900</v>
      </c>
      <c r="C9064" t="s">
        <v>10</v>
      </c>
      <c r="D9064" t="s">
        <v>599</v>
      </c>
      <c r="E9064">
        <f t="shared" si="421"/>
        <v>6.8027210884353739E-3</v>
      </c>
      <c r="F9064">
        <v>28</v>
      </c>
      <c r="G9064">
        <f>LOG(382/(28+1))</f>
        <v>1.1196653650127526</v>
      </c>
      <c r="H9064">
        <f>0.00680272108843537*2.5781247786201</f>
        <v>1.7538263800136723E-2</v>
      </c>
      <c r="I9064">
        <v>1.753826380013674E-2</v>
      </c>
    </row>
    <row r="9065" spans="1:9" x14ac:dyDescent="0.25">
      <c r="A9065">
        <v>386</v>
      </c>
      <c r="B9065" t="s">
        <v>2900</v>
      </c>
      <c r="C9065" t="s">
        <v>10</v>
      </c>
      <c r="D9065" t="s">
        <v>2912</v>
      </c>
      <c r="E9065">
        <f t="shared" si="421"/>
        <v>6.8027210884353739E-3</v>
      </c>
      <c r="F9065">
        <v>1</v>
      </c>
      <c r="G9065">
        <f>LOG(382/(1+1))</f>
        <v>2.2810333672477277</v>
      </c>
      <c r="H9065">
        <f>0.00680272108843537*5.25227342804663</f>
        <v>3.5729751211201546E-2</v>
      </c>
      <c r="I9065">
        <v>3.572975121120156E-2</v>
      </c>
    </row>
    <row r="9066" spans="1:9" x14ac:dyDescent="0.25">
      <c r="A9066">
        <v>386</v>
      </c>
      <c r="B9066" t="s">
        <v>2900</v>
      </c>
      <c r="C9066" t="s">
        <v>10</v>
      </c>
      <c r="D9066" t="s">
        <v>144</v>
      </c>
      <c r="E9066">
        <f t="shared" si="421"/>
        <v>6.8027210884353739E-3</v>
      </c>
      <c r="F9066">
        <v>105</v>
      </c>
      <c r="G9066">
        <f>LOG(382/(105+1))</f>
        <v>0.55675749764693849</v>
      </c>
      <c r="H9066">
        <f>0.00680272108843537*1.2819815144945</f>
        <v>8.7209626836360493E-3</v>
      </c>
      <c r="I9066">
        <v>8.7209626836361083E-3</v>
      </c>
    </row>
    <row r="9067" spans="1:9" x14ac:dyDescent="0.25">
      <c r="A9067">
        <v>386</v>
      </c>
      <c r="B9067" t="s">
        <v>2900</v>
      </c>
      <c r="C9067" t="s">
        <v>10</v>
      </c>
      <c r="D9067" t="s">
        <v>758</v>
      </c>
      <c r="E9067">
        <f t="shared" si="421"/>
        <v>6.8027210884353739E-3</v>
      </c>
      <c r="F9067">
        <v>26</v>
      </c>
      <c r="G9067">
        <f>LOG(382/(26+1))</f>
        <v>1.1506995987527215</v>
      </c>
      <c r="H9067">
        <f>0.00680272108843537*2.64958374260224</f>
        <v>1.8024379201375774E-2</v>
      </c>
      <c r="I9067">
        <v>1.8024379201375819E-2</v>
      </c>
    </row>
    <row r="9068" spans="1:9" x14ac:dyDescent="0.25">
      <c r="A9068">
        <v>386</v>
      </c>
      <c r="B9068" t="s">
        <v>2900</v>
      </c>
      <c r="C9068" t="s">
        <v>10</v>
      </c>
      <c r="D9068" t="s">
        <v>811</v>
      </c>
      <c r="E9068">
        <f t="shared" si="421"/>
        <v>6.8027210884353739E-3</v>
      </c>
      <c r="F9068">
        <v>27</v>
      </c>
      <c r="G9068">
        <f>LOG(382/(27+1))</f>
        <v>1.1349053315694895</v>
      </c>
      <c r="H9068">
        <f>0.00680272108843537*2.61321609843137</f>
        <v>1.7776980261437883E-2</v>
      </c>
      <c r="I9068">
        <v>1.77769802614379E-2</v>
      </c>
    </row>
    <row r="9069" spans="1:9" x14ac:dyDescent="0.25">
      <c r="A9069">
        <v>386</v>
      </c>
      <c r="B9069" t="s">
        <v>2900</v>
      </c>
      <c r="C9069" t="s">
        <v>10</v>
      </c>
      <c r="D9069" t="s">
        <v>340</v>
      </c>
      <c r="E9069">
        <f t="shared" si="421"/>
        <v>6.8027210884353739E-3</v>
      </c>
      <c r="F9069">
        <v>28</v>
      </c>
      <c r="G9069">
        <f>LOG(382/(28+1))</f>
        <v>1.1196653650127526</v>
      </c>
      <c r="H9069">
        <f>0.00680272108843537*2.5781247786201</f>
        <v>1.7538263800136723E-2</v>
      </c>
      <c r="I9069">
        <v>1.753826380013674E-2</v>
      </c>
    </row>
    <row r="9070" spans="1:9" x14ac:dyDescent="0.25">
      <c r="A9070">
        <v>386</v>
      </c>
      <c r="B9070" t="s">
        <v>2900</v>
      </c>
      <c r="C9070" t="s">
        <v>10</v>
      </c>
      <c r="D9070" t="s">
        <v>339</v>
      </c>
      <c r="E9070">
        <f t="shared" si="421"/>
        <v>6.8027210884353739E-3</v>
      </c>
      <c r="F9070">
        <v>66</v>
      </c>
      <c r="G9070">
        <f>LOG(382/(66+1))</f>
        <v>0.75598856021088234</v>
      </c>
      <c r="H9070">
        <f>0.00680272108843537*1.7407279892156</f>
        <v>1.184168700146666E-2</v>
      </c>
      <c r="I9070">
        <v>1.184168700146673E-2</v>
      </c>
    </row>
    <row r="9071" spans="1:9" x14ac:dyDescent="0.25">
      <c r="A9071">
        <v>386</v>
      </c>
      <c r="B9071" t="s">
        <v>2900</v>
      </c>
      <c r="C9071" t="s">
        <v>10</v>
      </c>
      <c r="D9071" t="s">
        <v>2913</v>
      </c>
      <c r="E9071">
        <f t="shared" si="421"/>
        <v>6.8027210884353739E-3</v>
      </c>
      <c r="F9071">
        <v>1</v>
      </c>
      <c r="G9071">
        <f>LOG(382/(1+1))</f>
        <v>2.2810333672477277</v>
      </c>
      <c r="H9071">
        <f>0.00680272108843537*5.25227342804663</f>
        <v>3.5729751211201546E-2</v>
      </c>
      <c r="I9071">
        <v>3.572975121120156E-2</v>
      </c>
    </row>
    <row r="9072" spans="1:9" x14ac:dyDescent="0.25">
      <c r="A9072">
        <v>386</v>
      </c>
      <c r="B9072" t="s">
        <v>2900</v>
      </c>
      <c r="C9072" t="s">
        <v>10</v>
      </c>
      <c r="D9072" t="s">
        <v>693</v>
      </c>
      <c r="E9072">
        <f>2/147</f>
        <v>1.3605442176870748E-2</v>
      </c>
      <c r="F9072">
        <v>25</v>
      </c>
      <c r="G9072">
        <f>LOG(382/(25+1))</f>
        <v>1.1670900149408907</v>
      </c>
      <c r="H9072">
        <f>0.0136054421768707*2.68732407058509</f>
        <v>3.6562232252858234E-2</v>
      </c>
      <c r="I9072">
        <v>3.6562232252858408E-2</v>
      </c>
    </row>
    <row r="9073" spans="1:9" x14ac:dyDescent="0.25">
      <c r="A9073">
        <v>386</v>
      </c>
      <c r="B9073" t="s">
        <v>2900</v>
      </c>
      <c r="C9073" t="s">
        <v>10</v>
      </c>
      <c r="D9073" t="s">
        <v>436</v>
      </c>
      <c r="E9073">
        <f t="shared" ref="E9073:E9084" si="422">1/147</f>
        <v>6.8027210884353739E-3</v>
      </c>
      <c r="F9073">
        <v>20</v>
      </c>
      <c r="G9073">
        <f>LOG(382/(20+1))</f>
        <v>1.2598440681777894</v>
      </c>
      <c r="H9073">
        <f>0.00680272108843537*2.90089817088315</f>
        <v>1.9734001162470399E-2</v>
      </c>
      <c r="I9073">
        <v>1.973400116247042E-2</v>
      </c>
    </row>
    <row r="9074" spans="1:9" x14ac:dyDescent="0.25">
      <c r="A9074">
        <v>386</v>
      </c>
      <c r="B9074" t="s">
        <v>2900</v>
      </c>
      <c r="C9074" t="s">
        <v>10</v>
      </c>
      <c r="D9074" t="s">
        <v>437</v>
      </c>
      <c r="E9074">
        <f t="shared" si="422"/>
        <v>6.8027210884353739E-3</v>
      </c>
      <c r="F9074">
        <v>18</v>
      </c>
      <c r="G9074">
        <f>LOG(382/(18+1))</f>
        <v>1.3033097619588798</v>
      </c>
      <c r="H9074">
        <f>0.00680272108843537*3.00098162944013</f>
        <v>2.0414841016599513E-2</v>
      </c>
      <c r="I9074">
        <v>2.0414841016599551E-2</v>
      </c>
    </row>
    <row r="9075" spans="1:9" x14ac:dyDescent="0.25">
      <c r="A9075">
        <v>386</v>
      </c>
      <c r="B9075" t="s">
        <v>2900</v>
      </c>
      <c r="C9075" t="s">
        <v>10</v>
      </c>
      <c r="D9075" t="s">
        <v>2746</v>
      </c>
      <c r="E9075">
        <f t="shared" si="422"/>
        <v>6.8027210884353739E-3</v>
      </c>
      <c r="F9075">
        <v>5</v>
      </c>
      <c r="G9075">
        <f>LOG(382/(5+1))</f>
        <v>1.803912112528065</v>
      </c>
      <c r="H9075">
        <f>0.00680272108843537*4.15366113937852</f>
        <v>2.8256198227064745E-2</v>
      </c>
      <c r="I9075">
        <v>2.8256198227064759E-2</v>
      </c>
    </row>
    <row r="9076" spans="1:9" x14ac:dyDescent="0.25">
      <c r="A9076">
        <v>386</v>
      </c>
      <c r="B9076" t="s">
        <v>2900</v>
      </c>
      <c r="C9076" t="s">
        <v>10</v>
      </c>
      <c r="D9076" t="s">
        <v>1181</v>
      </c>
      <c r="E9076">
        <f t="shared" si="422"/>
        <v>6.8027210884353739E-3</v>
      </c>
      <c r="F9076">
        <v>11</v>
      </c>
      <c r="G9076">
        <f>LOG(382/(11+1))</f>
        <v>1.5028821168640838</v>
      </c>
      <c r="H9076">
        <f>0.00680272108843537*3.46051395881857</f>
        <v>2.3540911284480055E-2</v>
      </c>
      <c r="I9076">
        <v>2.35409112844801E-2</v>
      </c>
    </row>
    <row r="9077" spans="1:9" x14ac:dyDescent="0.25">
      <c r="A9077">
        <v>386</v>
      </c>
      <c r="B9077" t="s">
        <v>2900</v>
      </c>
      <c r="C9077" t="s">
        <v>10</v>
      </c>
      <c r="D9077" t="s">
        <v>2914</v>
      </c>
      <c r="E9077">
        <f t="shared" si="422"/>
        <v>6.8027210884353739E-3</v>
      </c>
      <c r="F9077">
        <v>1</v>
      </c>
      <c r="G9077">
        <f>LOG(382/(1+1))</f>
        <v>2.2810333672477277</v>
      </c>
      <c r="H9077">
        <f>0.00680272108843537*5.25227342804663</f>
        <v>3.5729751211201546E-2</v>
      </c>
      <c r="I9077">
        <v>3.572975121120156E-2</v>
      </c>
    </row>
    <row r="9078" spans="1:9" x14ac:dyDescent="0.25">
      <c r="A9078">
        <v>386</v>
      </c>
      <c r="B9078" t="s">
        <v>2900</v>
      </c>
      <c r="C9078" t="s">
        <v>10</v>
      </c>
      <c r="D9078" t="s">
        <v>388</v>
      </c>
      <c r="E9078">
        <f t="shared" si="422"/>
        <v>6.8027210884353739E-3</v>
      </c>
      <c r="F9078">
        <v>44</v>
      </c>
      <c r="G9078">
        <f>LOG(382/(44+1))</f>
        <v>0.92885084913636506</v>
      </c>
      <c r="H9078">
        <f>0.00680272108843537*2.13875811883625</f>
        <v>1.4549374958069719E-2</v>
      </c>
      <c r="I9078">
        <v>1.4549374958069759E-2</v>
      </c>
    </row>
    <row r="9079" spans="1:9" x14ac:dyDescent="0.25">
      <c r="A9079">
        <v>386</v>
      </c>
      <c r="B9079" t="s">
        <v>2900</v>
      </c>
      <c r="C9079" t="s">
        <v>10</v>
      </c>
      <c r="D9079" t="s">
        <v>2915</v>
      </c>
      <c r="E9079">
        <f t="shared" si="422"/>
        <v>6.8027210884353739E-3</v>
      </c>
      <c r="F9079">
        <v>1</v>
      </c>
      <c r="G9079">
        <f>LOG(382/(1+1))</f>
        <v>2.2810333672477277</v>
      </c>
      <c r="H9079">
        <f>0.00680272108843537*5.25227342804663</f>
        <v>3.5729751211201546E-2</v>
      </c>
      <c r="I9079">
        <v>3.572975121120156E-2</v>
      </c>
    </row>
    <row r="9080" spans="1:9" x14ac:dyDescent="0.25">
      <c r="A9080">
        <v>386</v>
      </c>
      <c r="B9080" t="s">
        <v>2900</v>
      </c>
      <c r="C9080" t="s">
        <v>10</v>
      </c>
      <c r="D9080" t="s">
        <v>1922</v>
      </c>
      <c r="E9080">
        <f t="shared" si="422"/>
        <v>6.8027210884353739E-3</v>
      </c>
      <c r="F9080">
        <v>15</v>
      </c>
      <c r="G9080">
        <f>LOG(382/(15+1))</f>
        <v>1.3779433802557839</v>
      </c>
      <c r="H9080">
        <f>0.00680272108843537*3.17283188636679</f>
        <v>2.1583890383447539E-2</v>
      </c>
      <c r="I9080">
        <v>2.1583890383447581E-2</v>
      </c>
    </row>
    <row r="9081" spans="1:9" x14ac:dyDescent="0.25">
      <c r="A9081">
        <v>386</v>
      </c>
      <c r="B9081" t="s">
        <v>2900</v>
      </c>
      <c r="C9081" t="s">
        <v>10</v>
      </c>
      <c r="D9081" t="s">
        <v>1921</v>
      </c>
      <c r="E9081">
        <f t="shared" si="422"/>
        <v>6.8027210884353739E-3</v>
      </c>
      <c r="F9081">
        <v>37</v>
      </c>
      <c r="G9081">
        <f>LOG(382/(37+1))</f>
        <v>1.0022797662948986</v>
      </c>
      <c r="H9081">
        <f>0.00680272108843537*2.30783444888018</f>
        <v>1.569955407401482E-2</v>
      </c>
      <c r="I9081">
        <v>1.5699554074014889E-2</v>
      </c>
    </row>
    <row r="9082" spans="1:9" x14ac:dyDescent="0.25">
      <c r="A9082">
        <v>386</v>
      </c>
      <c r="B9082" t="s">
        <v>2900</v>
      </c>
      <c r="C9082" t="s">
        <v>10</v>
      </c>
      <c r="D9082" t="s">
        <v>338</v>
      </c>
      <c r="E9082">
        <f t="shared" si="422"/>
        <v>6.8027210884353739E-3</v>
      </c>
      <c r="F9082">
        <v>54</v>
      </c>
      <c r="G9082">
        <f>LOG(382/(54+1))</f>
        <v>0.84170067341746491</v>
      </c>
      <c r="H9082">
        <f>0.00680272108843537*1.9380874233741</f>
        <v>1.3184268186218359E-2</v>
      </c>
      <c r="I9082">
        <v>1.3184268186218401E-2</v>
      </c>
    </row>
    <row r="9083" spans="1:9" x14ac:dyDescent="0.25">
      <c r="A9083">
        <v>386</v>
      </c>
      <c r="B9083" t="s">
        <v>2900</v>
      </c>
      <c r="C9083" t="s">
        <v>10</v>
      </c>
      <c r="D9083" t="s">
        <v>2916</v>
      </c>
      <c r="E9083">
        <f t="shared" si="422"/>
        <v>6.8027210884353739E-3</v>
      </c>
      <c r="F9083">
        <v>1</v>
      </c>
      <c r="G9083">
        <f>LOG(382/(1+1))</f>
        <v>2.2810333672477277</v>
      </c>
      <c r="H9083">
        <f>0.00680272108843537*5.25227342804663</f>
        <v>3.5729751211201546E-2</v>
      </c>
      <c r="I9083">
        <v>3.572975121120156E-2</v>
      </c>
    </row>
    <row r="9084" spans="1:9" x14ac:dyDescent="0.25">
      <c r="A9084">
        <v>386</v>
      </c>
      <c r="B9084" t="s">
        <v>2900</v>
      </c>
      <c r="C9084" t="s">
        <v>10</v>
      </c>
      <c r="D9084" t="s">
        <v>688</v>
      </c>
      <c r="E9084">
        <f t="shared" si="422"/>
        <v>6.8027210884353739E-3</v>
      </c>
      <c r="F9084">
        <v>23</v>
      </c>
      <c r="G9084">
        <f>LOG(382/(23+1))</f>
        <v>1.2018521212001028</v>
      </c>
      <c r="H9084">
        <f>0.00680272108843537*2.76736677825862</f>
        <v>1.8825624341895365E-2</v>
      </c>
      <c r="I9084">
        <v>1.8825624341895442E-2</v>
      </c>
    </row>
    <row r="9085" spans="1:9" x14ac:dyDescent="0.25">
      <c r="A9085">
        <v>386</v>
      </c>
      <c r="B9085" t="s">
        <v>2900</v>
      </c>
      <c r="C9085" t="s">
        <v>10</v>
      </c>
      <c r="D9085" t="s">
        <v>1469</v>
      </c>
      <c r="E9085">
        <f>2/147</f>
        <v>1.3605442176870748E-2</v>
      </c>
      <c r="F9085">
        <v>24</v>
      </c>
      <c r="G9085">
        <f>LOG(382/(24+1))</f>
        <v>1.1841233542396712</v>
      </c>
      <c r="H9085">
        <f>0.0136054421768707*2.72654478373837</f>
        <v>3.7095847397800814E-2</v>
      </c>
      <c r="I9085">
        <v>3.7095847397801009E-2</v>
      </c>
    </row>
    <row r="9086" spans="1:9" x14ac:dyDescent="0.25">
      <c r="A9086">
        <v>386</v>
      </c>
      <c r="B9086" t="s">
        <v>2900</v>
      </c>
      <c r="C9086" t="s">
        <v>10</v>
      </c>
      <c r="D9086" t="s">
        <v>439</v>
      </c>
      <c r="E9086">
        <f t="shared" ref="E9086:E9091" si="423">1/147</f>
        <v>6.8027210884353739E-3</v>
      </c>
      <c r="F9086">
        <v>28</v>
      </c>
      <c r="G9086">
        <f>LOG(382/(28+1))</f>
        <v>1.1196653650127526</v>
      </c>
      <c r="H9086">
        <f>0.00680272108843537*2.5781247786201</f>
        <v>1.7538263800136723E-2</v>
      </c>
      <c r="I9086">
        <v>1.753826380013674E-2</v>
      </c>
    </row>
    <row r="9087" spans="1:9" x14ac:dyDescent="0.25">
      <c r="A9087">
        <v>386</v>
      </c>
      <c r="B9087" t="s">
        <v>2900</v>
      </c>
      <c r="C9087" t="s">
        <v>10</v>
      </c>
      <c r="D9087" t="s">
        <v>2476</v>
      </c>
      <c r="E9087">
        <f t="shared" si="423"/>
        <v>6.8027210884353739E-3</v>
      </c>
      <c r="F9087">
        <v>12</v>
      </c>
      <c r="G9087">
        <f>LOG(382/(12+1))</f>
        <v>1.468120010604872</v>
      </c>
      <c r="H9087">
        <f>0.00680272108843537*3.38047125114503</f>
        <v>2.2996403069013797E-2</v>
      </c>
      <c r="I9087">
        <v>2.299640306901387E-2</v>
      </c>
    </row>
    <row r="9088" spans="1:9" x14ac:dyDescent="0.25">
      <c r="A9088">
        <v>386</v>
      </c>
      <c r="B9088" t="s">
        <v>2900</v>
      </c>
      <c r="C9088" t="s">
        <v>10</v>
      </c>
      <c r="D9088" t="s">
        <v>898</v>
      </c>
      <c r="E9088">
        <f t="shared" si="423"/>
        <v>6.8027210884353739E-3</v>
      </c>
      <c r="F9088">
        <v>22</v>
      </c>
      <c r="G9088">
        <f>LOG(382/(22+1))</f>
        <v>1.2203355268941158</v>
      </c>
      <c r="H9088">
        <f>0.00680272108843537*2.80992639267742</f>
        <v>1.9115145528417813E-2</v>
      </c>
      <c r="I9088">
        <v>1.9115145528417862E-2</v>
      </c>
    </row>
    <row r="9089" spans="1:9" x14ac:dyDescent="0.25">
      <c r="A9089">
        <v>386</v>
      </c>
      <c r="B9089" t="s">
        <v>2900</v>
      </c>
      <c r="C9089" t="s">
        <v>10</v>
      </c>
      <c r="D9089" t="s">
        <v>2917</v>
      </c>
      <c r="E9089">
        <f t="shared" si="423"/>
        <v>6.8027210884353739E-3</v>
      </c>
      <c r="F9089">
        <v>1</v>
      </c>
      <c r="G9089">
        <f>LOG(382/(1+1))</f>
        <v>2.2810333672477277</v>
      </c>
      <c r="H9089">
        <f>0.00680272108843537*5.25227342804663</f>
        <v>3.5729751211201546E-2</v>
      </c>
      <c r="I9089">
        <v>3.572975121120156E-2</v>
      </c>
    </row>
    <row r="9090" spans="1:9" x14ac:dyDescent="0.25">
      <c r="A9090">
        <v>386</v>
      </c>
      <c r="B9090" t="s">
        <v>2900</v>
      </c>
      <c r="C9090" t="s">
        <v>10</v>
      </c>
      <c r="D9090" t="s">
        <v>915</v>
      </c>
      <c r="E9090">
        <f t="shared" si="423"/>
        <v>6.8027210884353739E-3</v>
      </c>
      <c r="F9090">
        <v>8</v>
      </c>
      <c r="G9090">
        <f>LOG(382/(8+1))</f>
        <v>1.6278208534723839</v>
      </c>
      <c r="H9090">
        <f>0.00680272108843537*3.74819603127035</f>
        <v>2.5497932185512572E-2</v>
      </c>
      <c r="I9090">
        <v>2.549793218551262E-2</v>
      </c>
    </row>
    <row r="9091" spans="1:9" x14ac:dyDescent="0.25">
      <c r="A9091">
        <v>386</v>
      </c>
      <c r="B9091" t="s">
        <v>2900</v>
      </c>
      <c r="C9091" t="s">
        <v>10</v>
      </c>
      <c r="D9091" t="s">
        <v>379</v>
      </c>
      <c r="E9091">
        <f t="shared" si="423"/>
        <v>6.8027210884353739E-3</v>
      </c>
      <c r="F9091">
        <v>17</v>
      </c>
      <c r="G9091">
        <f>LOG(382/(17+1))</f>
        <v>1.3267908578084027</v>
      </c>
      <c r="H9091">
        <f>0.00680272108843537*3.05504885071041</f>
        <v>2.0782645242927947E-2</v>
      </c>
      <c r="I9091">
        <v>2.0782645242927961E-2</v>
      </c>
    </row>
    <row r="9092" spans="1:9" x14ac:dyDescent="0.25">
      <c r="A9092">
        <v>387</v>
      </c>
      <c r="B9092" t="s">
        <v>2918</v>
      </c>
      <c r="C9092" t="s">
        <v>10</v>
      </c>
      <c r="D9092" t="s">
        <v>1071</v>
      </c>
      <c r="E9092">
        <f>2/27</f>
        <v>7.407407407407407E-2</v>
      </c>
      <c r="F9092">
        <v>5</v>
      </c>
      <c r="G9092">
        <f>LOG(382/(5+1))</f>
        <v>1.803912112528065</v>
      </c>
      <c r="H9092">
        <f>0.074074074074074*4.15366113937852</f>
        <v>0.30767860291692711</v>
      </c>
      <c r="I9092">
        <v>0.30767860291692739</v>
      </c>
    </row>
    <row r="9093" spans="1:9" x14ac:dyDescent="0.25">
      <c r="A9093">
        <v>387</v>
      </c>
      <c r="B9093" t="s">
        <v>2918</v>
      </c>
      <c r="C9093" t="s">
        <v>10</v>
      </c>
      <c r="D9093" t="s">
        <v>76</v>
      </c>
      <c r="E9093">
        <f t="shared" ref="E9093:E9099" si="424">1/27</f>
        <v>3.7037037037037035E-2</v>
      </c>
      <c r="F9093">
        <v>140</v>
      </c>
      <c r="G9093">
        <f>LOG(382/(140+1))</f>
        <v>0.43284425025632883</v>
      </c>
      <c r="H9093">
        <f>0.037037037037037*0.996660718228407</f>
        <v>3.6913359934385409E-2</v>
      </c>
      <c r="I9093">
        <v>3.6913359934385437E-2</v>
      </c>
    </row>
    <row r="9094" spans="1:9" x14ac:dyDescent="0.25">
      <c r="A9094">
        <v>387</v>
      </c>
      <c r="B9094" t="s">
        <v>2918</v>
      </c>
      <c r="C9094" t="s">
        <v>10</v>
      </c>
      <c r="D9094" t="s">
        <v>1068</v>
      </c>
      <c r="E9094">
        <f t="shared" si="424"/>
        <v>3.7037037037037035E-2</v>
      </c>
      <c r="F9094">
        <v>5</v>
      </c>
      <c r="G9094">
        <f>LOG(382/(5+1))</f>
        <v>1.803912112528065</v>
      </c>
      <c r="H9094">
        <f>0.037037037037037*4.15366113937852</f>
        <v>0.15383930145846356</v>
      </c>
      <c r="I9094">
        <v>0.1538393014584637</v>
      </c>
    </row>
    <row r="9095" spans="1:9" x14ac:dyDescent="0.25">
      <c r="A9095">
        <v>387</v>
      </c>
      <c r="B9095" t="s">
        <v>2918</v>
      </c>
      <c r="C9095" t="s">
        <v>10</v>
      </c>
      <c r="D9095" t="s">
        <v>38</v>
      </c>
      <c r="E9095">
        <f t="shared" si="424"/>
        <v>3.7037037037037035E-2</v>
      </c>
      <c r="F9095">
        <v>86</v>
      </c>
      <c r="G9095">
        <f>LOG(382/(86+1))</f>
        <v>0.64254411029309022</v>
      </c>
      <c r="H9095">
        <f>0.037037037037037*1.47951248995199</f>
        <v>5.4796758887110684E-2</v>
      </c>
      <c r="I9095">
        <v>5.4796758887110789E-2</v>
      </c>
    </row>
    <row r="9096" spans="1:9" x14ac:dyDescent="0.25">
      <c r="A9096">
        <v>387</v>
      </c>
      <c r="B9096" t="s">
        <v>2918</v>
      </c>
      <c r="C9096" t="s">
        <v>10</v>
      </c>
      <c r="D9096" t="s">
        <v>2919</v>
      </c>
      <c r="E9096">
        <f t="shared" si="424"/>
        <v>3.7037037037037035E-2</v>
      </c>
      <c r="F9096">
        <v>1</v>
      </c>
      <c r="G9096">
        <f>LOG(382/(1+1))</f>
        <v>2.2810333672477277</v>
      </c>
      <c r="H9096">
        <f>0.037037037037037*5.25227342804663</f>
        <v>0.19452864548320833</v>
      </c>
      <c r="I9096">
        <v>0.1945286454832085</v>
      </c>
    </row>
    <row r="9097" spans="1:9" x14ac:dyDescent="0.25">
      <c r="A9097">
        <v>387</v>
      </c>
      <c r="B9097" t="s">
        <v>2918</v>
      </c>
      <c r="C9097" t="s">
        <v>10</v>
      </c>
      <c r="D9097" t="s">
        <v>953</v>
      </c>
      <c r="E9097">
        <f t="shared" si="424"/>
        <v>3.7037037037037035E-2</v>
      </c>
      <c r="F9097">
        <v>16</v>
      </c>
      <c r="G9097">
        <f>LOG(382/(16+1))</f>
        <v>1.3516144415334348</v>
      </c>
      <c r="H9097">
        <f>0.037037037037037*3.11220726455035</f>
        <v>0.11526693572408692</v>
      </c>
      <c r="I9097">
        <v>0.1152669357240874</v>
      </c>
    </row>
    <row r="9098" spans="1:9" x14ac:dyDescent="0.25">
      <c r="A9098">
        <v>387</v>
      </c>
      <c r="B9098" t="s">
        <v>2918</v>
      </c>
      <c r="C9098" t="s">
        <v>10</v>
      </c>
      <c r="D9098" t="s">
        <v>42</v>
      </c>
      <c r="E9098">
        <f t="shared" si="424"/>
        <v>3.7037037037037035E-2</v>
      </c>
      <c r="F9098">
        <v>251</v>
      </c>
      <c r="G9098">
        <f>LOG(382/(251+1))</f>
        <v>0.18066282213016463</v>
      </c>
      <c r="H9098">
        <f>0.037037037037037*0.415991521095151</f>
        <v>1.5407093373894466E-2</v>
      </c>
      <c r="I9098">
        <v>1.5407093373894509E-2</v>
      </c>
    </row>
    <row r="9099" spans="1:9" x14ac:dyDescent="0.25">
      <c r="A9099">
        <v>387</v>
      </c>
      <c r="B9099" t="s">
        <v>2918</v>
      </c>
      <c r="C9099" t="s">
        <v>10</v>
      </c>
      <c r="D9099" t="s">
        <v>68</v>
      </c>
      <c r="E9099">
        <f t="shared" si="424"/>
        <v>3.7037037037037035E-2</v>
      </c>
      <c r="F9099">
        <v>43</v>
      </c>
      <c r="G9099">
        <f>LOG(382/(43+1))</f>
        <v>0.93861068642552126</v>
      </c>
      <c r="H9099">
        <f>0.037037037037037*2.16123097468831</f>
        <v>8.0045591655122511E-2</v>
      </c>
      <c r="I9099">
        <v>8.0045591655122733E-2</v>
      </c>
    </row>
    <row r="9100" spans="1:9" x14ac:dyDescent="0.25">
      <c r="A9100">
        <v>387</v>
      </c>
      <c r="B9100" t="s">
        <v>2918</v>
      </c>
      <c r="C9100" t="s">
        <v>10</v>
      </c>
      <c r="D9100" t="s">
        <v>44</v>
      </c>
      <c r="E9100">
        <f>2/27</f>
        <v>7.407407407407407E-2</v>
      </c>
      <c r="F9100">
        <v>151</v>
      </c>
      <c r="G9100">
        <f>LOG(382/(151+1))</f>
        <v>0.40021977496693617</v>
      </c>
      <c r="H9100">
        <f>0.074074074074074*0.921540087760298</f>
        <v>6.8262228722984972E-2</v>
      </c>
      <c r="I9100">
        <v>6.8262228722985083E-2</v>
      </c>
    </row>
    <row r="9101" spans="1:9" x14ac:dyDescent="0.25">
      <c r="A9101">
        <v>387</v>
      </c>
      <c r="B9101" t="s">
        <v>2918</v>
      </c>
      <c r="C9101" t="s">
        <v>10</v>
      </c>
      <c r="D9101" t="s">
        <v>69</v>
      </c>
      <c r="E9101">
        <f t="shared" ref="E9101:E9116" si="425">1/27</f>
        <v>3.7037037037037035E-2</v>
      </c>
      <c r="F9101">
        <v>13</v>
      </c>
      <c r="G9101">
        <f>LOG(382/(13+1))</f>
        <v>1.4359353272334707</v>
      </c>
      <c r="H9101">
        <f>0.037037037037037*3.30636327899131</f>
        <v>0.12245789922190026</v>
      </c>
      <c r="I9101">
        <v>0.1224578992219006</v>
      </c>
    </row>
    <row r="9102" spans="1:9" x14ac:dyDescent="0.25">
      <c r="A9102">
        <v>387</v>
      </c>
      <c r="B9102" t="s">
        <v>2918</v>
      </c>
      <c r="C9102" t="s">
        <v>10</v>
      </c>
      <c r="D9102" t="s">
        <v>15</v>
      </c>
      <c r="E9102">
        <f t="shared" si="425"/>
        <v>3.7037037037037035E-2</v>
      </c>
      <c r="F9102">
        <v>112</v>
      </c>
      <c r="G9102">
        <f>LOG(382/(112+1))</f>
        <v>0.52898491942828896</v>
      </c>
      <c r="H9102">
        <f>0.037037037037037*1.21803278989423</f>
        <v>4.5112325551638105E-2</v>
      </c>
      <c r="I9102">
        <v>4.511232555163832E-2</v>
      </c>
    </row>
    <row r="9103" spans="1:9" x14ac:dyDescent="0.25">
      <c r="A9103">
        <v>387</v>
      </c>
      <c r="B9103" t="s">
        <v>2918</v>
      </c>
      <c r="C9103" t="s">
        <v>10</v>
      </c>
      <c r="D9103" t="s">
        <v>2308</v>
      </c>
      <c r="E9103">
        <f t="shared" si="425"/>
        <v>3.7037037037037035E-2</v>
      </c>
      <c r="F9103">
        <v>3</v>
      </c>
      <c r="G9103">
        <f>LOG(382/(3+1))</f>
        <v>1.9800033715837464</v>
      </c>
      <c r="H9103">
        <f>0.037037037037037*4.55912624748668</f>
        <v>0.1688565276846917</v>
      </c>
      <c r="I9103">
        <v>0.168856527684692</v>
      </c>
    </row>
    <row r="9104" spans="1:9" x14ac:dyDescent="0.25">
      <c r="A9104">
        <v>387</v>
      </c>
      <c r="B9104" t="s">
        <v>2918</v>
      </c>
      <c r="C9104" t="s">
        <v>10</v>
      </c>
      <c r="D9104" t="s">
        <v>2309</v>
      </c>
      <c r="E9104">
        <f t="shared" si="425"/>
        <v>3.7037037037037035E-2</v>
      </c>
      <c r="F9104">
        <v>2</v>
      </c>
      <c r="G9104">
        <f>LOG(382/(2+1))</f>
        <v>2.1049421081920463</v>
      </c>
      <c r="H9104">
        <f>0.037037037037037*4.84680831993846</f>
        <v>0.17951141925697983</v>
      </c>
      <c r="I9104">
        <v>0.17951141925698019</v>
      </c>
    </row>
    <row r="9105" spans="1:9" x14ac:dyDescent="0.25">
      <c r="A9105">
        <v>387</v>
      </c>
      <c r="B9105" t="s">
        <v>2918</v>
      </c>
      <c r="C9105" t="s">
        <v>10</v>
      </c>
      <c r="D9105" t="s">
        <v>17</v>
      </c>
      <c r="E9105">
        <f t="shared" si="425"/>
        <v>3.7037037037037035E-2</v>
      </c>
      <c r="F9105">
        <v>169</v>
      </c>
      <c r="G9105">
        <f>LOG(382/(169+1))</f>
        <v>0.3516144415334348</v>
      </c>
      <c r="H9105">
        <f>0.037037037037037*0.809622171556313</f>
        <v>2.998600635393749E-2</v>
      </c>
      <c r="I9105">
        <v>2.9986006353937531E-2</v>
      </c>
    </row>
    <row r="9106" spans="1:9" x14ac:dyDescent="0.25">
      <c r="A9106">
        <v>387</v>
      </c>
      <c r="B9106" t="s">
        <v>2918</v>
      </c>
      <c r="C9106" t="s">
        <v>10</v>
      </c>
      <c r="D9106" t="s">
        <v>573</v>
      </c>
      <c r="E9106">
        <f t="shared" si="425"/>
        <v>3.7037037037037035E-2</v>
      </c>
      <c r="F9106">
        <v>14</v>
      </c>
      <c r="G9106">
        <f>LOG(382/(14+1))</f>
        <v>1.4059721038560276</v>
      </c>
      <c r="H9106">
        <f>0.037037037037037*3.23737040750436</f>
        <v>0.11990260768534654</v>
      </c>
      <c r="I9106">
        <v>0.1199026076853469</v>
      </c>
    </row>
    <row r="9107" spans="1:9" x14ac:dyDescent="0.25">
      <c r="A9107">
        <v>387</v>
      </c>
      <c r="B9107" t="s">
        <v>2918</v>
      </c>
      <c r="C9107" t="s">
        <v>10</v>
      </c>
      <c r="D9107" t="s">
        <v>19</v>
      </c>
      <c r="E9107">
        <f t="shared" si="425"/>
        <v>3.7037037037037035E-2</v>
      </c>
      <c r="F9107">
        <v>220</v>
      </c>
      <c r="G9107">
        <f>LOG(382/(220+1))</f>
        <v>0.23767108922659805</v>
      </c>
      <c r="H9107">
        <f>0.037037037037037*0.547257907088822</f>
        <v>2.0268811373660055E-2</v>
      </c>
      <c r="I9107">
        <v>2.026881137366009E-2</v>
      </c>
    </row>
    <row r="9108" spans="1:9" x14ac:dyDescent="0.25">
      <c r="A9108">
        <v>387</v>
      </c>
      <c r="B9108" t="s">
        <v>2918</v>
      </c>
      <c r="C9108" t="s">
        <v>10</v>
      </c>
      <c r="D9108" t="s">
        <v>21</v>
      </c>
      <c r="E9108">
        <f t="shared" si="425"/>
        <v>3.7037037037037035E-2</v>
      </c>
      <c r="F9108">
        <v>14</v>
      </c>
      <c r="G9108">
        <f>LOG(382/(14+1))</f>
        <v>1.4059721038560276</v>
      </c>
      <c r="H9108">
        <f>0.037037037037037*3.23737040750436</f>
        <v>0.11990260768534654</v>
      </c>
      <c r="I9108">
        <v>0.1199026076853469</v>
      </c>
    </row>
    <row r="9109" spans="1:9" x14ac:dyDescent="0.25">
      <c r="A9109">
        <v>387</v>
      </c>
      <c r="B9109" t="s">
        <v>2918</v>
      </c>
      <c r="C9109" t="s">
        <v>10</v>
      </c>
      <c r="D9109" t="s">
        <v>22</v>
      </c>
      <c r="E9109">
        <f t="shared" si="425"/>
        <v>3.7037037037037035E-2</v>
      </c>
      <c r="F9109">
        <v>259</v>
      </c>
      <c r="G9109">
        <f>LOG(382/(259+1))</f>
        <v>0.16709001494089079</v>
      </c>
      <c r="H9109">
        <f>0.037037037037037*0.384738977591047</f>
        <v>1.4249591762631358E-2</v>
      </c>
      <c r="I9109">
        <v>1.4249591762631389E-2</v>
      </c>
    </row>
    <row r="9110" spans="1:9" x14ac:dyDescent="0.25">
      <c r="A9110">
        <v>387</v>
      </c>
      <c r="B9110" t="s">
        <v>2918</v>
      </c>
      <c r="C9110" t="s">
        <v>10</v>
      </c>
      <c r="D9110" t="s">
        <v>23</v>
      </c>
      <c r="E9110">
        <f t="shared" si="425"/>
        <v>3.7037037037037035E-2</v>
      </c>
      <c r="F9110">
        <v>275</v>
      </c>
      <c r="G9110">
        <f>LOG(382/(275+1))</f>
        <v>0.14115428084649101</v>
      </c>
      <c r="H9110">
        <f>0.037037037037037*0.325019742889425</f>
        <v>1.2037768255163877E-2</v>
      </c>
      <c r="I9110">
        <v>1.2037768255163891E-2</v>
      </c>
    </row>
    <row r="9111" spans="1:9" x14ac:dyDescent="0.25">
      <c r="A9111">
        <v>387</v>
      </c>
      <c r="B9111" t="s">
        <v>2918</v>
      </c>
      <c r="C9111" t="s">
        <v>10</v>
      </c>
      <c r="D9111" t="s">
        <v>24</v>
      </c>
      <c r="E9111">
        <f t="shared" si="425"/>
        <v>3.7037037037037035E-2</v>
      </c>
      <c r="F9111">
        <v>59</v>
      </c>
      <c r="G9111">
        <f>LOG(382/(59+1))</f>
        <v>0.80391211252806505</v>
      </c>
      <c r="H9111">
        <f>0.037037037037037*1.85107604638447</f>
        <v>6.855837208831364E-2</v>
      </c>
      <c r="I9111">
        <v>6.8558372088313863E-2</v>
      </c>
    </row>
    <row r="9112" spans="1:9" x14ac:dyDescent="0.25">
      <c r="A9112">
        <v>387</v>
      </c>
      <c r="B9112" t="s">
        <v>2918</v>
      </c>
      <c r="C9112" t="s">
        <v>10</v>
      </c>
      <c r="D9112" t="s">
        <v>26</v>
      </c>
      <c r="E9112">
        <f t="shared" si="425"/>
        <v>3.7037037037037035E-2</v>
      </c>
      <c r="F9112">
        <v>40</v>
      </c>
      <c r="G9112">
        <f>LOG(382/(40+1))</f>
        <v>0.96927950619197323</v>
      </c>
      <c r="H9112">
        <f>0.037037037037037*2.23184854190226</f>
        <v>8.2661057107491026E-2</v>
      </c>
      <c r="I9112">
        <v>8.2661057107491373E-2</v>
      </c>
    </row>
    <row r="9113" spans="1:9" x14ac:dyDescent="0.25">
      <c r="A9113">
        <v>387</v>
      </c>
      <c r="B9113" t="s">
        <v>2918</v>
      </c>
      <c r="C9113" t="s">
        <v>10</v>
      </c>
      <c r="D9113" t="s">
        <v>2920</v>
      </c>
      <c r="E9113">
        <f t="shared" si="425"/>
        <v>3.7037037037037035E-2</v>
      </c>
      <c r="F9113">
        <v>1</v>
      </c>
      <c r="G9113">
        <f>LOG(382/(1+1))</f>
        <v>2.2810333672477277</v>
      </c>
      <c r="H9113">
        <f>0.037037037037037*5.25227342804663</f>
        <v>0.19452864548320833</v>
      </c>
      <c r="I9113">
        <v>0.1945286454832085</v>
      </c>
    </row>
    <row r="9114" spans="1:9" x14ac:dyDescent="0.25">
      <c r="A9114">
        <v>387</v>
      </c>
      <c r="B9114" t="s">
        <v>2918</v>
      </c>
      <c r="C9114" t="s">
        <v>10</v>
      </c>
      <c r="D9114" t="s">
        <v>28</v>
      </c>
      <c r="E9114">
        <f t="shared" si="425"/>
        <v>3.7037037037037035E-2</v>
      </c>
      <c r="F9114">
        <v>35</v>
      </c>
      <c r="G9114">
        <f>LOG(382/(35+1))</f>
        <v>1.0257608621444214</v>
      </c>
      <c r="H9114">
        <f>0.037037037037037*2.36190167015046</f>
        <v>8.7477839635202143E-2</v>
      </c>
      <c r="I9114">
        <v>8.7477839635202406E-2</v>
      </c>
    </row>
    <row r="9115" spans="1:9" x14ac:dyDescent="0.25">
      <c r="A9115">
        <v>387</v>
      </c>
      <c r="B9115" t="s">
        <v>2918</v>
      </c>
      <c r="C9115" t="s">
        <v>10</v>
      </c>
      <c r="D9115" t="s">
        <v>476</v>
      </c>
      <c r="E9115">
        <f t="shared" si="425"/>
        <v>3.7037037037037035E-2</v>
      </c>
      <c r="F9115">
        <v>18</v>
      </c>
      <c r="G9115">
        <f>LOG(382/(18+1))</f>
        <v>1.3033097619588798</v>
      </c>
      <c r="H9115">
        <f>0.037037037037037*3.00098162944013</f>
        <v>0.11114746775704175</v>
      </c>
      <c r="I9115">
        <v>0.111147467757042</v>
      </c>
    </row>
    <row r="9116" spans="1:9" x14ac:dyDescent="0.25">
      <c r="A9116">
        <v>387</v>
      </c>
      <c r="B9116" t="s">
        <v>2918</v>
      </c>
      <c r="C9116" t="s">
        <v>10</v>
      </c>
      <c r="D9116" t="s">
        <v>929</v>
      </c>
      <c r="E9116">
        <f t="shared" si="425"/>
        <v>3.7037037037037035E-2</v>
      </c>
      <c r="F9116">
        <v>32</v>
      </c>
      <c r="G9116">
        <f>LOG(382/(32+1))</f>
        <v>1.0635494230338212</v>
      </c>
      <c r="H9116">
        <f>0.037037037037037*2.44891304714009</f>
        <v>9.0700483227410658E-2</v>
      </c>
      <c r="I9116">
        <v>9.0700483227410922E-2</v>
      </c>
    </row>
    <row r="9117" spans="1:9" x14ac:dyDescent="0.25">
      <c r="A9117">
        <v>388</v>
      </c>
      <c r="B9117" t="s">
        <v>2921</v>
      </c>
      <c r="C9117" t="s">
        <v>10</v>
      </c>
      <c r="D9117" t="s">
        <v>315</v>
      </c>
      <c r="E9117">
        <f>4/65</f>
        <v>6.1538461538461542E-2</v>
      </c>
      <c r="F9117">
        <v>55</v>
      </c>
      <c r="G9117">
        <f>LOG(382/(55+1))</f>
        <v>0.83387533590550833</v>
      </c>
      <c r="H9117">
        <f>0.0615384615384615*1.92006891787142</f>
        <v>0.11815808725362578</v>
      </c>
      <c r="I9117">
        <v>0.1181580872536262</v>
      </c>
    </row>
    <row r="9118" spans="1:9" x14ac:dyDescent="0.25">
      <c r="A9118">
        <v>388</v>
      </c>
      <c r="B9118" t="s">
        <v>2921</v>
      </c>
      <c r="C9118" t="s">
        <v>10</v>
      </c>
      <c r="D9118" t="s">
        <v>2922</v>
      </c>
      <c r="E9118">
        <f>4/65</f>
        <v>6.1538461538461542E-2</v>
      </c>
      <c r="F9118">
        <v>2</v>
      </c>
      <c r="G9118">
        <f>LOG(382/(2+1))</f>
        <v>2.1049421081920463</v>
      </c>
      <c r="H9118">
        <f>0.0615384615384615*4.84680831993846</f>
        <v>0.29826512738082811</v>
      </c>
      <c r="I9118">
        <v>0.29826512738082872</v>
      </c>
    </row>
    <row r="9119" spans="1:9" x14ac:dyDescent="0.25">
      <c r="A9119">
        <v>388</v>
      </c>
      <c r="B9119" t="s">
        <v>2921</v>
      </c>
      <c r="C9119" t="s">
        <v>10</v>
      </c>
      <c r="D9119" t="s">
        <v>2923</v>
      </c>
      <c r="E9119">
        <f>4/65</f>
        <v>6.1538461538461542E-2</v>
      </c>
      <c r="F9119">
        <v>1</v>
      </c>
      <c r="G9119">
        <f>LOG(382/(1+1))</f>
        <v>2.2810333672477277</v>
      </c>
      <c r="H9119">
        <f>0.0615384615384615*5.25227342804663</f>
        <v>0.32321682634133087</v>
      </c>
      <c r="I9119">
        <v>0.32321682634133109</v>
      </c>
    </row>
    <row r="9120" spans="1:9" x14ac:dyDescent="0.25">
      <c r="A9120">
        <v>388</v>
      </c>
      <c r="B9120" t="s">
        <v>2921</v>
      </c>
      <c r="C9120" t="s">
        <v>10</v>
      </c>
      <c r="D9120" t="s">
        <v>42</v>
      </c>
      <c r="E9120">
        <f t="shared" ref="E9120:E9127" si="426">1/65</f>
        <v>1.5384615384615385E-2</v>
      </c>
      <c r="F9120">
        <v>251</v>
      </c>
      <c r="G9120">
        <f>LOG(382/(251+1))</f>
        <v>0.18066282213016463</v>
      </c>
      <c r="H9120">
        <f>0.0153846153846153*0.415991521095151</f>
        <v>6.3998695553099802E-3</v>
      </c>
      <c r="I9120">
        <v>6.3998695553100287E-3</v>
      </c>
    </row>
    <row r="9121" spans="1:9" x14ac:dyDescent="0.25">
      <c r="A9121">
        <v>388</v>
      </c>
      <c r="B9121" t="s">
        <v>2921</v>
      </c>
      <c r="C9121" t="s">
        <v>10</v>
      </c>
      <c r="D9121" t="s">
        <v>15</v>
      </c>
      <c r="E9121">
        <f t="shared" si="426"/>
        <v>1.5384615384615385E-2</v>
      </c>
      <c r="F9121">
        <v>112</v>
      </c>
      <c r="G9121">
        <f>LOG(382/(112+1))</f>
        <v>0.52898491942828896</v>
      </c>
      <c r="H9121">
        <f>0.0153846153846153*1.21803278989423</f>
        <v>1.8738965998372666E-2</v>
      </c>
      <c r="I9121">
        <v>1.8738965998372839E-2</v>
      </c>
    </row>
    <row r="9122" spans="1:9" x14ac:dyDescent="0.25">
      <c r="A9122">
        <v>388</v>
      </c>
      <c r="B9122" t="s">
        <v>2921</v>
      </c>
      <c r="C9122" t="s">
        <v>10</v>
      </c>
      <c r="D9122" t="s">
        <v>1180</v>
      </c>
      <c r="E9122">
        <f t="shared" si="426"/>
        <v>1.5384615384615385E-2</v>
      </c>
      <c r="F9122">
        <v>3</v>
      </c>
      <c r="G9122">
        <f>LOG(382/(3+1))</f>
        <v>1.9800033715837464</v>
      </c>
      <c r="H9122">
        <f>0.0153846153846153*4.55912624748668</f>
        <v>7.0140403807486998E-2</v>
      </c>
      <c r="I9122">
        <v>7.0140403807487456E-2</v>
      </c>
    </row>
    <row r="9123" spans="1:9" x14ac:dyDescent="0.25">
      <c r="A9123">
        <v>388</v>
      </c>
      <c r="B9123" t="s">
        <v>2921</v>
      </c>
      <c r="C9123" t="s">
        <v>10</v>
      </c>
      <c r="D9123" t="s">
        <v>2924</v>
      </c>
      <c r="E9123">
        <f t="shared" si="426"/>
        <v>1.5384615384615385E-2</v>
      </c>
      <c r="F9123">
        <v>2</v>
      </c>
      <c r="G9123">
        <f>LOG(382/(2+1))</f>
        <v>2.1049421081920463</v>
      </c>
      <c r="H9123">
        <f>0.0153846153846153*4.84680831993846</f>
        <v>7.4566281845206667E-2</v>
      </c>
      <c r="I9123">
        <v>7.4566281845207166E-2</v>
      </c>
    </row>
    <row r="9124" spans="1:9" x14ac:dyDescent="0.25">
      <c r="A9124">
        <v>388</v>
      </c>
      <c r="B9124" t="s">
        <v>2921</v>
      </c>
      <c r="C9124" t="s">
        <v>10</v>
      </c>
      <c r="D9124" t="s">
        <v>19</v>
      </c>
      <c r="E9124">
        <f t="shared" si="426"/>
        <v>1.5384615384615385E-2</v>
      </c>
      <c r="F9124">
        <v>220</v>
      </c>
      <c r="G9124">
        <f>LOG(382/(220+1))</f>
        <v>0.23767108922659805</v>
      </c>
      <c r="H9124">
        <f>0.0153846153846153*0.547257907088822</f>
        <v>8.4193524167510622E-3</v>
      </c>
      <c r="I9124">
        <v>8.4193524167511143E-3</v>
      </c>
    </row>
    <row r="9125" spans="1:9" x14ac:dyDescent="0.25">
      <c r="A9125">
        <v>388</v>
      </c>
      <c r="B9125" t="s">
        <v>2921</v>
      </c>
      <c r="C9125" t="s">
        <v>10</v>
      </c>
      <c r="D9125" t="s">
        <v>195</v>
      </c>
      <c r="E9125">
        <f t="shared" si="426"/>
        <v>1.5384615384615385E-2</v>
      </c>
      <c r="F9125">
        <v>55</v>
      </c>
      <c r="G9125">
        <f>LOG(382/(55+1))</f>
        <v>0.83387533590550833</v>
      </c>
      <c r="H9125">
        <f>0.0153846153846153*1.92006891787142</f>
        <v>2.95395218134063E-2</v>
      </c>
      <c r="I9125">
        <v>2.953952181340655E-2</v>
      </c>
    </row>
    <row r="9126" spans="1:9" x14ac:dyDescent="0.25">
      <c r="A9126">
        <v>388</v>
      </c>
      <c r="B9126" t="s">
        <v>2921</v>
      </c>
      <c r="C9126" t="s">
        <v>10</v>
      </c>
      <c r="D9126" t="s">
        <v>22</v>
      </c>
      <c r="E9126">
        <f t="shared" si="426"/>
        <v>1.5384615384615385E-2</v>
      </c>
      <c r="F9126">
        <v>259</v>
      </c>
      <c r="G9126">
        <f>LOG(382/(259+1))</f>
        <v>0.16709001494089079</v>
      </c>
      <c r="H9126">
        <f>0.0153846153846153*0.384738977591047</f>
        <v>5.9190611937083833E-3</v>
      </c>
      <c r="I9126">
        <v>5.9190611937084241E-3</v>
      </c>
    </row>
    <row r="9127" spans="1:9" x14ac:dyDescent="0.25">
      <c r="A9127">
        <v>388</v>
      </c>
      <c r="B9127" t="s">
        <v>2921</v>
      </c>
      <c r="C9127" t="s">
        <v>10</v>
      </c>
      <c r="D9127" t="s">
        <v>23</v>
      </c>
      <c r="E9127">
        <f t="shared" si="426"/>
        <v>1.5384615384615385E-2</v>
      </c>
      <c r="F9127">
        <v>275</v>
      </c>
      <c r="G9127">
        <f>LOG(382/(275+1))</f>
        <v>0.14115428084649101</v>
      </c>
      <c r="H9127">
        <f>0.0153846153846153*0.325019742889425</f>
        <v>5.0003037367603569E-3</v>
      </c>
      <c r="I9127">
        <v>5.0003037367603873E-3</v>
      </c>
    </row>
    <row r="9128" spans="1:9" x14ac:dyDescent="0.25">
      <c r="A9128">
        <v>388</v>
      </c>
      <c r="B9128" t="s">
        <v>2921</v>
      </c>
      <c r="C9128" t="s">
        <v>10</v>
      </c>
      <c r="D9128" t="s">
        <v>247</v>
      </c>
      <c r="E9128">
        <f>3/65</f>
        <v>4.6153846153846156E-2</v>
      </c>
      <c r="F9128">
        <v>121</v>
      </c>
      <c r="G9128">
        <f>LOG(382/(121+1))</f>
        <v>0.49570353223696051</v>
      </c>
      <c r="H9128">
        <f>0.0461538461538461*1.14139956387331</f>
        <v>5.267997987107579E-2</v>
      </c>
      <c r="I9128">
        <v>5.2679979871076248E-2</v>
      </c>
    </row>
    <row r="9129" spans="1:9" x14ac:dyDescent="0.25">
      <c r="A9129">
        <v>388</v>
      </c>
      <c r="B9129" t="s">
        <v>2921</v>
      </c>
      <c r="C9129" t="s">
        <v>10</v>
      </c>
      <c r="D9129" t="s">
        <v>39</v>
      </c>
      <c r="E9129">
        <f>4/65</f>
        <v>6.1538461538461542E-2</v>
      </c>
      <c r="F9129">
        <v>145</v>
      </c>
      <c r="G9129">
        <f>LOG(382/(145+1))</f>
        <v>0.41771050712727159</v>
      </c>
      <c r="H9129">
        <f>0.0615384615384615*0.961813986898238</f>
        <v>5.9188553039891532E-2</v>
      </c>
      <c r="I9129">
        <v>5.9188553039891623E-2</v>
      </c>
    </row>
    <row r="9130" spans="1:9" x14ac:dyDescent="0.25">
      <c r="A9130">
        <v>388</v>
      </c>
      <c r="B9130" t="s">
        <v>2921</v>
      </c>
      <c r="C9130" t="s">
        <v>10</v>
      </c>
      <c r="D9130" t="s">
        <v>216</v>
      </c>
      <c r="E9130">
        <f>1/65</f>
        <v>1.5384615384615385E-2</v>
      </c>
      <c r="F9130">
        <v>63</v>
      </c>
      <c r="G9130">
        <f>LOG(382/(63+1))</f>
        <v>0.7758833889278216</v>
      </c>
      <c r="H9130">
        <f>0.0153846153846153*1.7865375252469</f>
        <v>2.7485192696106005E-2</v>
      </c>
      <c r="I9130">
        <v>2.7485192696106209E-2</v>
      </c>
    </row>
    <row r="9131" spans="1:9" x14ac:dyDescent="0.25">
      <c r="A9131">
        <v>388</v>
      </c>
      <c r="B9131" t="s">
        <v>2921</v>
      </c>
      <c r="C9131" t="s">
        <v>10</v>
      </c>
      <c r="D9131" t="s">
        <v>119</v>
      </c>
      <c r="E9131">
        <f>3/65</f>
        <v>4.6153846153846156E-2</v>
      </c>
      <c r="F9131">
        <v>79</v>
      </c>
      <c r="G9131">
        <f>LOG(382/(79+1))</f>
        <v>0.67897337591976514</v>
      </c>
      <c r="H9131">
        <f>0.0461538461538461*1.56339397393269</f>
        <v>7.2156644950739465E-2</v>
      </c>
      <c r="I9131">
        <v>7.2156644950739715E-2</v>
      </c>
    </row>
    <row r="9132" spans="1:9" x14ac:dyDescent="0.25">
      <c r="A9132">
        <v>388</v>
      </c>
      <c r="B9132" t="s">
        <v>2921</v>
      </c>
      <c r="C9132" t="s">
        <v>10</v>
      </c>
      <c r="D9132" t="s">
        <v>201</v>
      </c>
      <c r="E9132">
        <f t="shared" ref="E9132:E9140" si="427">1/65</f>
        <v>1.5384615384615385E-2</v>
      </c>
      <c r="F9132">
        <v>72</v>
      </c>
      <c r="G9132">
        <f>LOG(382/(72+1))</f>
        <v>0.71874050279125279</v>
      </c>
      <c r="H9132">
        <f>0.0153846153846153*1.65496116745818</f>
        <v>2.5460941037818013E-2</v>
      </c>
      <c r="I9132">
        <v>2.5460941037818211E-2</v>
      </c>
    </row>
    <row r="9133" spans="1:9" x14ac:dyDescent="0.25">
      <c r="A9133">
        <v>388</v>
      </c>
      <c r="B9133" t="s">
        <v>2921</v>
      </c>
      <c r="C9133" t="s">
        <v>10</v>
      </c>
      <c r="D9133" t="s">
        <v>1164</v>
      </c>
      <c r="E9133">
        <f t="shared" si="427"/>
        <v>1.5384615384615385E-2</v>
      </c>
      <c r="F9133">
        <v>4</v>
      </c>
      <c r="G9133">
        <f>LOG(382/(4+1))</f>
        <v>1.8830933585756899</v>
      </c>
      <c r="H9133">
        <f>0.0153846153846153*4.33598269617247</f>
        <v>6.670742609496072E-2</v>
      </c>
      <c r="I9133">
        <v>6.670742609496115E-2</v>
      </c>
    </row>
    <row r="9134" spans="1:9" x14ac:dyDescent="0.25">
      <c r="A9134">
        <v>388</v>
      </c>
      <c r="B9134" t="s">
        <v>2921</v>
      </c>
      <c r="C9134" t="s">
        <v>10</v>
      </c>
      <c r="D9134" t="s">
        <v>2504</v>
      </c>
      <c r="E9134">
        <f t="shared" si="427"/>
        <v>1.5384615384615385E-2</v>
      </c>
      <c r="F9134">
        <v>3</v>
      </c>
      <c r="G9134">
        <f>LOG(382/(3+1))</f>
        <v>1.9800033715837464</v>
      </c>
      <c r="H9134">
        <f>0.0153846153846153*4.55912624748668</f>
        <v>7.0140403807486998E-2</v>
      </c>
      <c r="I9134">
        <v>7.0140403807487456E-2</v>
      </c>
    </row>
    <row r="9135" spans="1:9" x14ac:dyDescent="0.25">
      <c r="A9135">
        <v>388</v>
      </c>
      <c r="B9135" t="s">
        <v>2921</v>
      </c>
      <c r="C9135" t="s">
        <v>10</v>
      </c>
      <c r="D9135" t="s">
        <v>2925</v>
      </c>
      <c r="E9135">
        <f t="shared" si="427"/>
        <v>1.5384615384615385E-2</v>
      </c>
      <c r="F9135">
        <v>3</v>
      </c>
      <c r="G9135">
        <f>LOG(382/(3+1))</f>
        <v>1.9800033715837464</v>
      </c>
      <c r="H9135">
        <f>0.0153846153846153*4.55912624748668</f>
        <v>7.0140403807486998E-2</v>
      </c>
      <c r="I9135">
        <v>7.0140403807487456E-2</v>
      </c>
    </row>
    <row r="9136" spans="1:9" x14ac:dyDescent="0.25">
      <c r="A9136">
        <v>388</v>
      </c>
      <c r="B9136" t="s">
        <v>2921</v>
      </c>
      <c r="C9136" t="s">
        <v>10</v>
      </c>
      <c r="D9136" t="s">
        <v>2926</v>
      </c>
      <c r="E9136">
        <f t="shared" si="427"/>
        <v>1.5384615384615385E-2</v>
      </c>
      <c r="F9136">
        <v>1</v>
      </c>
      <c r="G9136">
        <f>LOG(382/(1+1))</f>
        <v>2.2810333672477277</v>
      </c>
      <c r="H9136">
        <f>0.0153846153846153*5.25227342804663</f>
        <v>8.0804206585332328E-2</v>
      </c>
      <c r="I9136">
        <v>8.0804206585332772E-2</v>
      </c>
    </row>
    <row r="9137" spans="1:9" x14ac:dyDescent="0.25">
      <c r="A9137">
        <v>388</v>
      </c>
      <c r="B9137" t="s">
        <v>2921</v>
      </c>
      <c r="C9137" t="s">
        <v>10</v>
      </c>
      <c r="D9137" t="s">
        <v>2927</v>
      </c>
      <c r="E9137">
        <f t="shared" si="427"/>
        <v>1.5384615384615385E-2</v>
      </c>
      <c r="F9137">
        <v>1</v>
      </c>
      <c r="G9137">
        <f>LOG(382/(1+1))</f>
        <v>2.2810333672477277</v>
      </c>
      <c r="H9137">
        <f>0.0153846153846153*5.25227342804663</f>
        <v>8.0804206585332328E-2</v>
      </c>
      <c r="I9137">
        <v>8.0804206585332772E-2</v>
      </c>
    </row>
    <row r="9138" spans="1:9" x14ac:dyDescent="0.25">
      <c r="A9138">
        <v>388</v>
      </c>
      <c r="B9138" t="s">
        <v>2921</v>
      </c>
      <c r="C9138" t="s">
        <v>10</v>
      </c>
      <c r="D9138" t="s">
        <v>2928</v>
      </c>
      <c r="E9138">
        <f t="shared" si="427"/>
        <v>1.5384615384615385E-2</v>
      </c>
      <c r="F9138">
        <v>1</v>
      </c>
      <c r="G9138">
        <f>LOG(382/(1+1))</f>
        <v>2.2810333672477277</v>
      </c>
      <c r="H9138">
        <f>0.0153846153846153*5.25227342804663</f>
        <v>8.0804206585332328E-2</v>
      </c>
      <c r="I9138">
        <v>8.0804206585332772E-2</v>
      </c>
    </row>
    <row r="9139" spans="1:9" x14ac:dyDescent="0.25">
      <c r="A9139">
        <v>388</v>
      </c>
      <c r="B9139" t="s">
        <v>2921</v>
      </c>
      <c r="C9139" t="s">
        <v>10</v>
      </c>
      <c r="D9139" t="s">
        <v>2929</v>
      </c>
      <c r="E9139">
        <f t="shared" si="427"/>
        <v>1.5384615384615385E-2</v>
      </c>
      <c r="F9139">
        <v>1</v>
      </c>
      <c r="G9139">
        <f>LOG(382/(1+1))</f>
        <v>2.2810333672477277</v>
      </c>
      <c r="H9139">
        <f>0.0153846153846153*5.25227342804663</f>
        <v>8.0804206585332328E-2</v>
      </c>
      <c r="I9139">
        <v>8.0804206585332772E-2</v>
      </c>
    </row>
    <row r="9140" spans="1:9" x14ac:dyDescent="0.25">
      <c r="A9140">
        <v>388</v>
      </c>
      <c r="B9140" t="s">
        <v>2921</v>
      </c>
      <c r="C9140" t="s">
        <v>10</v>
      </c>
      <c r="D9140" t="s">
        <v>540</v>
      </c>
      <c r="E9140">
        <f t="shared" si="427"/>
        <v>1.5384615384615385E-2</v>
      </c>
      <c r="F9140">
        <v>5</v>
      </c>
      <c r="G9140">
        <f>LOG(382/(5+1))</f>
        <v>1.803912112528065</v>
      </c>
      <c r="H9140">
        <f>0.0153846153846153*4.15366113937852</f>
        <v>6.390247906736149E-2</v>
      </c>
      <c r="I9140">
        <v>6.390247906736185E-2</v>
      </c>
    </row>
    <row r="9141" spans="1:9" x14ac:dyDescent="0.25">
      <c r="A9141">
        <v>388</v>
      </c>
      <c r="B9141" t="s">
        <v>2921</v>
      </c>
      <c r="C9141" t="s">
        <v>10</v>
      </c>
      <c r="D9141" t="s">
        <v>232</v>
      </c>
      <c r="E9141">
        <f>2/65</f>
        <v>3.0769230769230771E-2</v>
      </c>
      <c r="F9141">
        <v>5</v>
      </c>
      <c r="G9141">
        <f>LOG(382/(5+1))</f>
        <v>1.803912112528065</v>
      </c>
      <c r="H9141">
        <f>0.0307692307692307*4.15366113937852</f>
        <v>0.1278049581347234</v>
      </c>
      <c r="I9141">
        <v>0.1278049581347237</v>
      </c>
    </row>
    <row r="9142" spans="1:9" x14ac:dyDescent="0.25">
      <c r="A9142">
        <v>388</v>
      </c>
      <c r="B9142" t="s">
        <v>2921</v>
      </c>
      <c r="C9142" t="s">
        <v>10</v>
      </c>
      <c r="D9142" t="s">
        <v>2930</v>
      </c>
      <c r="E9142">
        <f>2/65</f>
        <v>3.0769230769230771E-2</v>
      </c>
      <c r="F9142">
        <v>15</v>
      </c>
      <c r="G9142">
        <f>LOG(382/(15+1))</f>
        <v>1.3779433802557839</v>
      </c>
      <c r="H9142">
        <f>0.0307692307692307*3.17283188636679</f>
        <v>9.7625596503593329E-2</v>
      </c>
      <c r="I9142">
        <v>9.7625596503593676E-2</v>
      </c>
    </row>
    <row r="9143" spans="1:9" x14ac:dyDescent="0.25">
      <c r="A9143">
        <v>388</v>
      </c>
      <c r="B9143" t="s">
        <v>2921</v>
      </c>
      <c r="C9143" t="s">
        <v>10</v>
      </c>
      <c r="D9143" t="s">
        <v>767</v>
      </c>
      <c r="E9143">
        <f>2/65</f>
        <v>3.0769230769230771E-2</v>
      </c>
      <c r="F9143">
        <v>47</v>
      </c>
      <c r="G9143">
        <f>LOG(382/(47+1))</f>
        <v>0.90082212553612151</v>
      </c>
      <c r="H9143">
        <f>0.0307692307692307*2.07421959769868</f>
        <v>6.3822141467651555E-2</v>
      </c>
      <c r="I9143">
        <v>6.3822141467651819E-2</v>
      </c>
    </row>
    <row r="9144" spans="1:9" x14ac:dyDescent="0.25">
      <c r="A9144">
        <v>388</v>
      </c>
      <c r="B9144" t="s">
        <v>2921</v>
      </c>
      <c r="C9144" t="s">
        <v>10</v>
      </c>
      <c r="D9144" t="s">
        <v>25</v>
      </c>
      <c r="E9144">
        <f>1/65</f>
        <v>1.5384615384615385E-2</v>
      </c>
      <c r="F9144">
        <v>106</v>
      </c>
      <c r="G9144">
        <f>LOG(382/(106+1))</f>
        <v>0.55267958522649907</v>
      </c>
      <c r="H9144">
        <f>0.0153846153846153*1.27259177414466</f>
        <v>1.9578334986840817E-2</v>
      </c>
      <c r="I9144">
        <v>1.957833498684106E-2</v>
      </c>
    </row>
    <row r="9145" spans="1:9" x14ac:dyDescent="0.25">
      <c r="A9145">
        <v>388</v>
      </c>
      <c r="B9145" t="s">
        <v>2921</v>
      </c>
      <c r="C9145" t="s">
        <v>10</v>
      </c>
      <c r="D9145" t="s">
        <v>2708</v>
      </c>
      <c r="E9145">
        <f>1/65</f>
        <v>1.5384615384615385E-2</v>
      </c>
      <c r="F9145">
        <v>2</v>
      </c>
      <c r="G9145">
        <f>LOG(382/(2+1))</f>
        <v>2.1049421081920463</v>
      </c>
      <c r="H9145">
        <f>0.0153846153846153*4.84680831993846</f>
        <v>7.4566281845206667E-2</v>
      </c>
      <c r="I9145">
        <v>7.4566281845207166E-2</v>
      </c>
    </row>
    <row r="9146" spans="1:9" x14ac:dyDescent="0.25">
      <c r="A9146">
        <v>388</v>
      </c>
      <c r="B9146" t="s">
        <v>2921</v>
      </c>
      <c r="C9146" t="s">
        <v>10</v>
      </c>
      <c r="D9146" t="s">
        <v>543</v>
      </c>
      <c r="E9146">
        <f>1/65</f>
        <v>1.5384615384615385E-2</v>
      </c>
      <c r="F9146">
        <v>6</v>
      </c>
      <c r="G9146">
        <f>LOG(382/(6+1))</f>
        <v>1.736965322897452</v>
      </c>
      <c r="H9146">
        <f>0.0153846153846153*3.99951045955126</f>
        <v>6.1530930146942123E-2</v>
      </c>
      <c r="I9146">
        <v>6.153093014694249E-2</v>
      </c>
    </row>
    <row r="9147" spans="1:9" x14ac:dyDescent="0.25">
      <c r="A9147">
        <v>388</v>
      </c>
      <c r="B9147" t="s">
        <v>2921</v>
      </c>
      <c r="C9147" t="s">
        <v>10</v>
      </c>
      <c r="D9147" t="s">
        <v>1795</v>
      </c>
      <c r="E9147">
        <f>2/65</f>
        <v>3.0769230769230771E-2</v>
      </c>
      <c r="F9147">
        <v>2</v>
      </c>
      <c r="G9147">
        <f>LOG(382/(2+1))</f>
        <v>2.1049421081920463</v>
      </c>
      <c r="H9147">
        <f>0.0307692307692307*4.84680831993846</f>
        <v>0.14913256369041383</v>
      </c>
      <c r="I9147">
        <v>0.1491325636904143</v>
      </c>
    </row>
    <row r="9148" spans="1:9" x14ac:dyDescent="0.25">
      <c r="A9148">
        <v>388</v>
      </c>
      <c r="B9148" t="s">
        <v>2921</v>
      </c>
      <c r="C9148" t="s">
        <v>10</v>
      </c>
      <c r="D9148" t="s">
        <v>236</v>
      </c>
      <c r="E9148">
        <f>3/65</f>
        <v>4.6153846153846156E-2</v>
      </c>
      <c r="F9148">
        <v>87</v>
      </c>
      <c r="G9148">
        <f>LOG(382/(87+1))</f>
        <v>0.63758069076154011</v>
      </c>
      <c r="H9148">
        <f>0.0461538461538461*1.46808379412836</f>
        <v>6.7757713575155004E-2</v>
      </c>
      <c r="I9148">
        <v>6.7757713575155476E-2</v>
      </c>
    </row>
    <row r="9149" spans="1:9" x14ac:dyDescent="0.25">
      <c r="A9149">
        <v>388</v>
      </c>
      <c r="B9149" t="s">
        <v>2921</v>
      </c>
      <c r="C9149" t="s">
        <v>10</v>
      </c>
      <c r="D9149" t="s">
        <v>2931</v>
      </c>
      <c r="E9149">
        <f t="shared" ref="E9149:E9159" si="428">1/65</f>
        <v>1.5384615384615385E-2</v>
      </c>
      <c r="F9149">
        <v>1</v>
      </c>
      <c r="G9149">
        <f>LOG(382/(1+1))</f>
        <v>2.2810333672477277</v>
      </c>
      <c r="H9149">
        <f>0.0153846153846153*5.25227342804663</f>
        <v>8.0804206585332328E-2</v>
      </c>
      <c r="I9149">
        <v>8.0804206585332772E-2</v>
      </c>
    </row>
    <row r="9150" spans="1:9" x14ac:dyDescent="0.25">
      <c r="A9150">
        <v>388</v>
      </c>
      <c r="B9150" t="s">
        <v>2921</v>
      </c>
      <c r="C9150" t="s">
        <v>10</v>
      </c>
      <c r="D9150" t="s">
        <v>564</v>
      </c>
      <c r="E9150">
        <f t="shared" si="428"/>
        <v>1.5384615384615385E-2</v>
      </c>
      <c r="F9150">
        <v>7</v>
      </c>
      <c r="G9150">
        <f>LOG(382/(7+1))</f>
        <v>1.6789733759197651</v>
      </c>
      <c r="H9150">
        <f>0.0153846153846153*3.86597906692673</f>
        <v>5.9476601029641675E-2</v>
      </c>
      <c r="I9150">
        <v>5.947660102964214E-2</v>
      </c>
    </row>
    <row r="9151" spans="1:9" x14ac:dyDescent="0.25">
      <c r="A9151">
        <v>388</v>
      </c>
      <c r="B9151" t="s">
        <v>2921</v>
      </c>
      <c r="C9151" t="s">
        <v>10</v>
      </c>
      <c r="D9151" t="s">
        <v>2932</v>
      </c>
      <c r="E9151">
        <f t="shared" si="428"/>
        <v>1.5384615384615385E-2</v>
      </c>
      <c r="F9151">
        <v>1</v>
      </c>
      <c r="G9151">
        <f>LOG(382/(1+1))</f>
        <v>2.2810333672477277</v>
      </c>
      <c r="H9151">
        <f>0.0153846153846153*5.25227342804663</f>
        <v>8.0804206585332328E-2</v>
      </c>
      <c r="I9151">
        <v>8.0804206585332772E-2</v>
      </c>
    </row>
    <row r="9152" spans="1:9" x14ac:dyDescent="0.25">
      <c r="A9152">
        <v>388</v>
      </c>
      <c r="B9152" t="s">
        <v>2921</v>
      </c>
      <c r="C9152" t="s">
        <v>10</v>
      </c>
      <c r="D9152" t="s">
        <v>233</v>
      </c>
      <c r="E9152">
        <f t="shared" si="428"/>
        <v>1.5384615384615385E-2</v>
      </c>
      <c r="F9152">
        <v>14</v>
      </c>
      <c r="G9152">
        <f>LOG(382/(14+1))</f>
        <v>1.4059721038560276</v>
      </c>
      <c r="H9152">
        <f>0.0153846153846153*3.23737040750436</f>
        <v>4.9805698576989882E-2</v>
      </c>
      <c r="I9152">
        <v>4.9805698576990243E-2</v>
      </c>
    </row>
    <row r="9153" spans="1:9" x14ac:dyDescent="0.25">
      <c r="A9153">
        <v>388</v>
      </c>
      <c r="B9153" t="s">
        <v>2921</v>
      </c>
      <c r="C9153" t="s">
        <v>10</v>
      </c>
      <c r="D9153" t="s">
        <v>2933</v>
      </c>
      <c r="E9153">
        <f t="shared" si="428"/>
        <v>1.5384615384615385E-2</v>
      </c>
      <c r="F9153">
        <v>1</v>
      </c>
      <c r="G9153">
        <f>LOG(382/(1+1))</f>
        <v>2.2810333672477277</v>
      </c>
      <c r="H9153">
        <f>0.0153846153846153*5.25227342804663</f>
        <v>8.0804206585332328E-2</v>
      </c>
      <c r="I9153">
        <v>8.0804206585332772E-2</v>
      </c>
    </row>
    <row r="9154" spans="1:9" x14ac:dyDescent="0.25">
      <c r="A9154">
        <v>388</v>
      </c>
      <c r="B9154" t="s">
        <v>2921</v>
      </c>
      <c r="C9154" t="s">
        <v>10</v>
      </c>
      <c r="D9154" t="s">
        <v>2934</v>
      </c>
      <c r="E9154">
        <f t="shared" si="428"/>
        <v>1.5384615384615385E-2</v>
      </c>
      <c r="F9154">
        <v>1</v>
      </c>
      <c r="G9154">
        <f>LOG(382/(1+1))</f>
        <v>2.2810333672477277</v>
      </c>
      <c r="H9154">
        <f>0.0153846153846153*5.25227342804663</f>
        <v>8.0804206585332328E-2</v>
      </c>
      <c r="I9154">
        <v>8.0804206585332772E-2</v>
      </c>
    </row>
    <row r="9155" spans="1:9" x14ac:dyDescent="0.25">
      <c r="A9155">
        <v>388</v>
      </c>
      <c r="B9155" t="s">
        <v>2921</v>
      </c>
      <c r="C9155" t="s">
        <v>10</v>
      </c>
      <c r="D9155" t="s">
        <v>1296</v>
      </c>
      <c r="E9155">
        <f t="shared" si="428"/>
        <v>1.5384615384615385E-2</v>
      </c>
      <c r="F9155">
        <v>14</v>
      </c>
      <c r="G9155">
        <f>LOG(382/(14+1))</f>
        <v>1.4059721038560276</v>
      </c>
      <c r="H9155">
        <f>0.0153846153846153*3.23737040750436</f>
        <v>4.9805698576989882E-2</v>
      </c>
      <c r="I9155">
        <v>4.9805698576990243E-2</v>
      </c>
    </row>
    <row r="9156" spans="1:9" x14ac:dyDescent="0.25">
      <c r="A9156">
        <v>388</v>
      </c>
      <c r="B9156" t="s">
        <v>2921</v>
      </c>
      <c r="C9156" t="s">
        <v>10</v>
      </c>
      <c r="D9156" t="s">
        <v>342</v>
      </c>
      <c r="E9156">
        <f t="shared" si="428"/>
        <v>1.5384615384615385E-2</v>
      </c>
      <c r="F9156">
        <v>35</v>
      </c>
      <c r="G9156">
        <f>LOG(382/(35+1))</f>
        <v>1.0257608621444214</v>
      </c>
      <c r="H9156">
        <f>0.0153846153846153*2.36190167015046</f>
        <v>3.6336948771545342E-2</v>
      </c>
      <c r="I9156">
        <v>3.6336948771545613E-2</v>
      </c>
    </row>
    <row r="9157" spans="1:9" x14ac:dyDescent="0.25">
      <c r="A9157">
        <v>388</v>
      </c>
      <c r="B9157" t="s">
        <v>2921</v>
      </c>
      <c r="C9157" t="s">
        <v>10</v>
      </c>
      <c r="D9157" t="s">
        <v>814</v>
      </c>
      <c r="E9157">
        <f t="shared" si="428"/>
        <v>1.5384615384615385E-2</v>
      </c>
      <c r="F9157">
        <v>18</v>
      </c>
      <c r="G9157">
        <f>LOG(382/(18+1))</f>
        <v>1.3033097619588798</v>
      </c>
      <c r="H9157">
        <f>0.0153846153846153*3.00098162944013</f>
        <v>4.6168948145232522E-2</v>
      </c>
      <c r="I9157">
        <v>4.6168948145232841E-2</v>
      </c>
    </row>
    <row r="9158" spans="1:9" x14ac:dyDescent="0.25">
      <c r="A9158">
        <v>388</v>
      </c>
      <c r="B9158" t="s">
        <v>2921</v>
      </c>
      <c r="C9158" t="s">
        <v>10</v>
      </c>
      <c r="D9158" t="s">
        <v>514</v>
      </c>
      <c r="E9158">
        <f t="shared" si="428"/>
        <v>1.5384615384615385E-2</v>
      </c>
      <c r="F9158">
        <v>6</v>
      </c>
      <c r="G9158">
        <f>LOG(382/(6+1))</f>
        <v>1.736965322897452</v>
      </c>
      <c r="H9158">
        <f>0.0153846153846153*3.99951045955126</f>
        <v>6.1530930146942123E-2</v>
      </c>
      <c r="I9158">
        <v>6.153093014694249E-2</v>
      </c>
    </row>
    <row r="9159" spans="1:9" x14ac:dyDescent="0.25">
      <c r="A9159">
        <v>388</v>
      </c>
      <c r="B9159" t="s">
        <v>2921</v>
      </c>
      <c r="C9159" t="s">
        <v>10</v>
      </c>
      <c r="D9159" t="s">
        <v>2230</v>
      </c>
      <c r="E9159">
        <f t="shared" si="428"/>
        <v>1.5384615384615385E-2</v>
      </c>
      <c r="F9159">
        <v>7</v>
      </c>
      <c r="G9159">
        <f>LOG(382/(7+1))</f>
        <v>1.6789733759197651</v>
      </c>
      <c r="H9159">
        <f>0.0153846153846153*3.86597906692673</f>
        <v>5.9476601029641675E-2</v>
      </c>
      <c r="I9159">
        <v>5.947660102964214E-2</v>
      </c>
    </row>
    <row r="9160" spans="1:9" x14ac:dyDescent="0.25">
      <c r="A9160">
        <v>389</v>
      </c>
      <c r="B9160" t="s">
        <v>2935</v>
      </c>
      <c r="C9160" t="s">
        <v>10</v>
      </c>
      <c r="D9160" t="s">
        <v>36</v>
      </c>
      <c r="E9160">
        <f>11/109</f>
        <v>0.10091743119266056</v>
      </c>
      <c r="F9160">
        <v>58</v>
      </c>
      <c r="G9160">
        <f>LOG(382/(58+1))</f>
        <v>0.81121135126956456</v>
      </c>
      <c r="H9160">
        <f>0.10091743119266*1.86788316470085</f>
        <v>0.18850197074962605</v>
      </c>
      <c r="I9160">
        <v>0.1885019707496276</v>
      </c>
    </row>
    <row r="9161" spans="1:9" x14ac:dyDescent="0.25">
      <c r="A9161">
        <v>389</v>
      </c>
      <c r="B9161" t="s">
        <v>2935</v>
      </c>
      <c r="C9161" t="s">
        <v>10</v>
      </c>
      <c r="D9161" t="s">
        <v>1866</v>
      </c>
      <c r="E9161">
        <f>5/109</f>
        <v>4.5871559633027525E-2</v>
      </c>
      <c r="F9161">
        <v>18</v>
      </c>
      <c r="G9161">
        <f>LOG(382/(18+1))</f>
        <v>1.3033097619588798</v>
      </c>
      <c r="H9161">
        <f>0.0458715596330275*3.00098162944013</f>
        <v>0.13765970777248296</v>
      </c>
      <c r="I9161">
        <v>0.13765970777248321</v>
      </c>
    </row>
    <row r="9162" spans="1:9" x14ac:dyDescent="0.25">
      <c r="A9162">
        <v>389</v>
      </c>
      <c r="B9162" t="s">
        <v>2935</v>
      </c>
      <c r="C9162" t="s">
        <v>10</v>
      </c>
      <c r="D9162" t="s">
        <v>368</v>
      </c>
      <c r="E9162">
        <f>5/109</f>
        <v>4.5871559633027525E-2</v>
      </c>
      <c r="F9162">
        <v>17</v>
      </c>
      <c r="G9162">
        <f>LOG(382/(17+1))</f>
        <v>1.3267908578084027</v>
      </c>
      <c r="H9162">
        <f>0.0458715596330275*3.05504885071041</f>
        <v>0.1401398555371747</v>
      </c>
      <c r="I9162">
        <v>0.14013985553717481</v>
      </c>
    </row>
    <row r="9163" spans="1:9" x14ac:dyDescent="0.25">
      <c r="A9163">
        <v>389</v>
      </c>
      <c r="B9163" t="s">
        <v>2935</v>
      </c>
      <c r="C9163" t="s">
        <v>10</v>
      </c>
      <c r="D9163" t="s">
        <v>38</v>
      </c>
      <c r="E9163">
        <f>2/109</f>
        <v>1.834862385321101E-2</v>
      </c>
      <c r="F9163">
        <v>86</v>
      </c>
      <c r="G9163">
        <f>LOG(382/(86+1))</f>
        <v>0.64254411029309022</v>
      </c>
      <c r="H9163">
        <f>0.018348623853211*1.47951248995199</f>
        <v>2.7147018164256683E-2</v>
      </c>
      <c r="I9163">
        <v>2.7147018164256721E-2</v>
      </c>
    </row>
    <row r="9164" spans="1:9" x14ac:dyDescent="0.25">
      <c r="A9164">
        <v>389</v>
      </c>
      <c r="B9164" t="s">
        <v>2935</v>
      </c>
      <c r="C9164" t="s">
        <v>10</v>
      </c>
      <c r="D9164" t="s">
        <v>39</v>
      </c>
      <c r="E9164">
        <f>2/109</f>
        <v>1.834862385321101E-2</v>
      </c>
      <c r="F9164">
        <v>145</v>
      </c>
      <c r="G9164">
        <f>LOG(382/(145+1))</f>
        <v>0.41771050712727159</v>
      </c>
      <c r="H9164">
        <f>0.018348623853211*0.961813986898238</f>
        <v>1.7647963062352983E-2</v>
      </c>
      <c r="I9164">
        <v>1.7647963062353E-2</v>
      </c>
    </row>
    <row r="9165" spans="1:9" x14ac:dyDescent="0.25">
      <c r="A9165">
        <v>389</v>
      </c>
      <c r="B9165" t="s">
        <v>2935</v>
      </c>
      <c r="C9165" t="s">
        <v>10</v>
      </c>
      <c r="D9165" t="s">
        <v>331</v>
      </c>
      <c r="E9165">
        <f>4/109</f>
        <v>3.669724770642202E-2</v>
      </c>
      <c r="F9165">
        <v>130</v>
      </c>
      <c r="G9165">
        <f>LOG(382/(130+1))</f>
        <v>0.46479206725594452</v>
      </c>
      <c r="H9165">
        <f>0.036697247706422*1.07022328540542</f>
        <v>3.927424900570347E-2</v>
      </c>
      <c r="I9165">
        <v>3.9274249005703622E-2</v>
      </c>
    </row>
    <row r="9166" spans="1:9" x14ac:dyDescent="0.25">
      <c r="A9166">
        <v>389</v>
      </c>
      <c r="B9166" t="s">
        <v>2935</v>
      </c>
      <c r="C9166" t="s">
        <v>10</v>
      </c>
      <c r="D9166" t="s">
        <v>42</v>
      </c>
      <c r="E9166">
        <f>3/109</f>
        <v>2.7522935779816515E-2</v>
      </c>
      <c r="F9166">
        <v>251</v>
      </c>
      <c r="G9166">
        <f>LOG(382/(251+1))</f>
        <v>0.18066282213016463</v>
      </c>
      <c r="H9166">
        <f>0.0275229357798165*0.415991521095151</f>
        <v>1.1449307920050021E-2</v>
      </c>
      <c r="I9166">
        <v>1.1449307920050051E-2</v>
      </c>
    </row>
    <row r="9167" spans="1:9" x14ac:dyDescent="0.25">
      <c r="A9167">
        <v>389</v>
      </c>
      <c r="B9167" t="s">
        <v>2935</v>
      </c>
      <c r="C9167" t="s">
        <v>10</v>
      </c>
      <c r="D9167" t="s">
        <v>2713</v>
      </c>
      <c r="E9167">
        <f>1/109</f>
        <v>9.1743119266055051E-3</v>
      </c>
      <c r="F9167">
        <v>4</v>
      </c>
      <c r="G9167">
        <f>LOG(382/(4+1))</f>
        <v>1.8830933585756899</v>
      </c>
      <c r="H9167">
        <f>0.0091743119266055*4.33598269617247</f>
        <v>3.9779657763050168E-2</v>
      </c>
      <c r="I9167">
        <v>3.977965776305023E-2</v>
      </c>
    </row>
    <row r="9168" spans="1:9" x14ac:dyDescent="0.25">
      <c r="A9168">
        <v>389</v>
      </c>
      <c r="B9168" t="s">
        <v>2935</v>
      </c>
      <c r="C9168" t="s">
        <v>10</v>
      </c>
      <c r="D9168" t="s">
        <v>23</v>
      </c>
      <c r="E9168">
        <f>2/109</f>
        <v>1.834862385321101E-2</v>
      </c>
      <c r="F9168">
        <v>275</v>
      </c>
      <c r="G9168">
        <f>LOG(382/(275+1))</f>
        <v>0.14115428084649101</v>
      </c>
      <c r="H9168">
        <f>0.018348623853211*0.325019742889425</f>
        <v>5.9636650071454092E-3</v>
      </c>
      <c r="I9168">
        <v>5.9636650071454161E-3</v>
      </c>
    </row>
    <row r="9169" spans="1:9" x14ac:dyDescent="0.25">
      <c r="A9169">
        <v>389</v>
      </c>
      <c r="B9169" t="s">
        <v>2935</v>
      </c>
      <c r="C9169" t="s">
        <v>10</v>
      </c>
      <c r="D9169" t="s">
        <v>25</v>
      </c>
      <c r="E9169">
        <f>1/109</f>
        <v>9.1743119266055051E-3</v>
      </c>
      <c r="F9169">
        <v>106</v>
      </c>
      <c r="G9169">
        <f>LOG(382/(106+1))</f>
        <v>0.55267958522649907</v>
      </c>
      <c r="H9169">
        <f>0.0091743119266055*1.27259177414466</f>
        <v>1.1675153891235407E-2</v>
      </c>
      <c r="I9169">
        <v>1.1675153891235499E-2</v>
      </c>
    </row>
    <row r="9170" spans="1:9" x14ac:dyDescent="0.25">
      <c r="A9170">
        <v>389</v>
      </c>
      <c r="B9170" t="s">
        <v>2935</v>
      </c>
      <c r="C9170" t="s">
        <v>10</v>
      </c>
      <c r="D9170" t="s">
        <v>483</v>
      </c>
      <c r="E9170">
        <f>3/109</f>
        <v>2.7522935779816515E-2</v>
      </c>
      <c r="F9170">
        <v>61</v>
      </c>
      <c r="G9170">
        <f>LOG(382/(61+1))</f>
        <v>0.7896716734134549</v>
      </c>
      <c r="H9170">
        <f>0.0275229357798165*1.81828622356148</f>
        <v>5.0044574960407685E-2</v>
      </c>
      <c r="I9170">
        <v>5.004457496040781E-2</v>
      </c>
    </row>
    <row r="9171" spans="1:9" x14ac:dyDescent="0.25">
      <c r="A9171">
        <v>389</v>
      </c>
      <c r="B9171" t="s">
        <v>2935</v>
      </c>
      <c r="C9171" t="s">
        <v>10</v>
      </c>
      <c r="D9171" t="s">
        <v>77</v>
      </c>
      <c r="E9171">
        <f>2/109</f>
        <v>1.834862385321101E-2</v>
      </c>
      <c r="F9171">
        <v>148</v>
      </c>
      <c r="G9171">
        <f>LOG(382/(148+1))</f>
        <v>0.40887709449943471</v>
      </c>
      <c r="H9171">
        <f>0.018348623853211*0.941474302661116</f>
        <v>1.7274757846992946E-2</v>
      </c>
      <c r="I9171">
        <v>1.727475784699296E-2</v>
      </c>
    </row>
    <row r="9172" spans="1:9" x14ac:dyDescent="0.25">
      <c r="A9172">
        <v>389</v>
      </c>
      <c r="B9172" t="s">
        <v>2935</v>
      </c>
      <c r="C9172" t="s">
        <v>10</v>
      </c>
      <c r="D9172" t="s">
        <v>240</v>
      </c>
      <c r="E9172">
        <f t="shared" ref="E9172:E9181" si="429">1/109</f>
        <v>9.1743119266055051E-3</v>
      </c>
      <c r="F9172">
        <v>15</v>
      </c>
      <c r="G9172">
        <f>LOG(382/(15+1))</f>
        <v>1.3779433802557839</v>
      </c>
      <c r="H9172">
        <f>0.0091743119266055*3.17283188636679</f>
        <v>2.9108549416209068E-2</v>
      </c>
      <c r="I9172">
        <v>2.910854941620912E-2</v>
      </c>
    </row>
    <row r="9173" spans="1:9" x14ac:dyDescent="0.25">
      <c r="A9173">
        <v>389</v>
      </c>
      <c r="B9173" t="s">
        <v>2935</v>
      </c>
      <c r="C9173" t="s">
        <v>10</v>
      </c>
      <c r="D9173" t="s">
        <v>22</v>
      </c>
      <c r="E9173">
        <f t="shared" si="429"/>
        <v>9.1743119266055051E-3</v>
      </c>
      <c r="F9173">
        <v>259</v>
      </c>
      <c r="G9173">
        <f>LOG(382/(259+1))</f>
        <v>0.16709001494089079</v>
      </c>
      <c r="H9173">
        <f>0.0091743119266055*0.384738977591047</f>
        <v>3.5297153907435487E-3</v>
      </c>
      <c r="I9173">
        <v>3.5297153907435561E-3</v>
      </c>
    </row>
    <row r="9174" spans="1:9" x14ac:dyDescent="0.25">
      <c r="A9174">
        <v>389</v>
      </c>
      <c r="B9174" t="s">
        <v>2935</v>
      </c>
      <c r="C9174" t="s">
        <v>10</v>
      </c>
      <c r="D9174" t="s">
        <v>247</v>
      </c>
      <c r="E9174">
        <f t="shared" si="429"/>
        <v>9.1743119266055051E-3</v>
      </c>
      <c r="F9174">
        <v>121</v>
      </c>
      <c r="G9174">
        <f>LOG(382/(121+1))</f>
        <v>0.49570353223696051</v>
      </c>
      <c r="H9174">
        <f>0.0091743119266055*1.14139956387331</f>
        <v>1.0471555631865226E-2</v>
      </c>
      <c r="I9174">
        <v>1.0471555631865311E-2</v>
      </c>
    </row>
    <row r="9175" spans="1:9" x14ac:dyDescent="0.25">
      <c r="A9175">
        <v>389</v>
      </c>
      <c r="B9175" t="s">
        <v>2935</v>
      </c>
      <c r="C9175" t="s">
        <v>10</v>
      </c>
      <c r="D9175" t="s">
        <v>1079</v>
      </c>
      <c r="E9175">
        <f t="shared" si="429"/>
        <v>9.1743119266055051E-3</v>
      </c>
      <c r="F9175">
        <v>34</v>
      </c>
      <c r="G9175">
        <f>LOG(382/(34+1))</f>
        <v>1.037995318561433</v>
      </c>
      <c r="H9175">
        <f>0.0091743119266055*2.39007254711716</f>
        <v>2.1927271074469346E-2</v>
      </c>
      <c r="I9175">
        <v>2.192727107446937E-2</v>
      </c>
    </row>
    <row r="9176" spans="1:9" x14ac:dyDescent="0.25">
      <c r="A9176">
        <v>389</v>
      </c>
      <c r="B9176" t="s">
        <v>2935</v>
      </c>
      <c r="C9176" t="s">
        <v>10</v>
      </c>
      <c r="D9176" t="s">
        <v>1884</v>
      </c>
      <c r="E9176">
        <f t="shared" si="429"/>
        <v>9.1743119266055051E-3</v>
      </c>
      <c r="F9176">
        <v>9</v>
      </c>
      <c r="G9176">
        <f>LOG(382/(9+1))</f>
        <v>1.5820633629117087</v>
      </c>
      <c r="H9176">
        <f>0.0091743119266055*3.64283551561252</f>
        <v>3.3420509317546039E-2</v>
      </c>
      <c r="I9176">
        <v>3.3420509317546143E-2</v>
      </c>
    </row>
    <row r="9177" spans="1:9" x14ac:dyDescent="0.25">
      <c r="A9177">
        <v>389</v>
      </c>
      <c r="B9177" t="s">
        <v>2935</v>
      </c>
      <c r="C9177" t="s">
        <v>10</v>
      </c>
      <c r="D9177" t="s">
        <v>119</v>
      </c>
      <c r="E9177">
        <f t="shared" si="429"/>
        <v>9.1743119266055051E-3</v>
      </c>
      <c r="F9177">
        <v>79</v>
      </c>
      <c r="G9177">
        <f>LOG(382/(79+1))</f>
        <v>0.67897337591976514</v>
      </c>
      <c r="H9177">
        <f>0.0091743119266055*1.56339397393269</f>
        <v>1.4343063981033846E-2</v>
      </c>
      <c r="I9177">
        <v>1.4343063981033889E-2</v>
      </c>
    </row>
    <row r="9178" spans="1:9" x14ac:dyDescent="0.25">
      <c r="A9178">
        <v>389</v>
      </c>
      <c r="B9178" t="s">
        <v>2935</v>
      </c>
      <c r="C9178" t="s">
        <v>10</v>
      </c>
      <c r="D9178" t="s">
        <v>15</v>
      </c>
      <c r="E9178">
        <f t="shared" si="429"/>
        <v>9.1743119266055051E-3</v>
      </c>
      <c r="F9178">
        <v>112</v>
      </c>
      <c r="G9178">
        <f>LOG(382/(112+1))</f>
        <v>0.52898491942828896</v>
      </c>
      <c r="H9178">
        <f>0.0091743119266055*1.21803278989423</f>
        <v>1.1174612751323205E-2</v>
      </c>
      <c r="I9178">
        <v>1.1174612751323251E-2</v>
      </c>
    </row>
    <row r="9179" spans="1:9" x14ac:dyDescent="0.25">
      <c r="A9179">
        <v>389</v>
      </c>
      <c r="B9179" t="s">
        <v>2935</v>
      </c>
      <c r="C9179" t="s">
        <v>10</v>
      </c>
      <c r="D9179" t="s">
        <v>19</v>
      </c>
      <c r="E9179">
        <f t="shared" si="429"/>
        <v>9.1743119266055051E-3</v>
      </c>
      <c r="F9179">
        <v>220</v>
      </c>
      <c r="G9179">
        <f>LOG(382/(220+1))</f>
        <v>0.23767108922659805</v>
      </c>
      <c r="H9179">
        <f>0.0091743119266055*0.547257907088822</f>
        <v>5.0207147439341451E-3</v>
      </c>
      <c r="I9179">
        <v>5.0207147439341503E-3</v>
      </c>
    </row>
    <row r="9180" spans="1:9" x14ac:dyDescent="0.25">
      <c r="A9180">
        <v>389</v>
      </c>
      <c r="B9180" t="s">
        <v>2935</v>
      </c>
      <c r="C9180" t="s">
        <v>10</v>
      </c>
      <c r="D9180" t="s">
        <v>370</v>
      </c>
      <c r="E9180">
        <f t="shared" si="429"/>
        <v>9.1743119266055051E-3</v>
      </c>
      <c r="F9180">
        <v>14</v>
      </c>
      <c r="G9180">
        <f>LOG(382/(14+1))</f>
        <v>1.4059721038560276</v>
      </c>
      <c r="H9180">
        <f>0.0091743119266055*3.23737040750436</f>
        <v>2.9700645940406955E-2</v>
      </c>
      <c r="I9180">
        <v>2.9700645940407021E-2</v>
      </c>
    </row>
    <row r="9181" spans="1:9" x14ac:dyDescent="0.25">
      <c r="A9181">
        <v>389</v>
      </c>
      <c r="B9181" t="s">
        <v>2935</v>
      </c>
      <c r="C9181" t="s">
        <v>10</v>
      </c>
      <c r="D9181" t="s">
        <v>204</v>
      </c>
      <c r="E9181">
        <f t="shared" si="429"/>
        <v>9.1743119266055051E-3</v>
      </c>
      <c r="F9181">
        <v>166</v>
      </c>
      <c r="G9181">
        <f>LOG(382/(166+1))</f>
        <v>0.35934689176412549</v>
      </c>
      <c r="H9181">
        <f>0.0091743119266055*0.82742679618982</f>
        <v>7.5910715246772431E-3</v>
      </c>
      <c r="I9181">
        <v>7.5910715246772491E-3</v>
      </c>
    </row>
    <row r="9182" spans="1:9" x14ac:dyDescent="0.25">
      <c r="A9182">
        <v>389</v>
      </c>
      <c r="B9182" t="s">
        <v>2935</v>
      </c>
      <c r="C9182" t="s">
        <v>10</v>
      </c>
      <c r="D9182" t="s">
        <v>76</v>
      </c>
      <c r="E9182">
        <f>4/109</f>
        <v>3.669724770642202E-2</v>
      </c>
      <c r="F9182">
        <v>140</v>
      </c>
      <c r="G9182">
        <f>LOG(382/(140+1))</f>
        <v>0.43284425025632883</v>
      </c>
      <c r="H9182">
        <f>0.036697247706422*0.996660718228407</f>
        <v>3.6574705256088309E-2</v>
      </c>
      <c r="I9182">
        <v>3.657470525608833E-2</v>
      </c>
    </row>
    <row r="9183" spans="1:9" x14ac:dyDescent="0.25">
      <c r="A9183">
        <v>389</v>
      </c>
      <c r="B9183" t="s">
        <v>2935</v>
      </c>
      <c r="C9183" t="s">
        <v>10</v>
      </c>
      <c r="D9183" t="s">
        <v>752</v>
      </c>
      <c r="E9183">
        <f>1/109</f>
        <v>9.1743119266055051E-3</v>
      </c>
      <c r="F9183">
        <v>34</v>
      </c>
      <c r="G9183">
        <f>LOG(382/(34+1))</f>
        <v>1.037995318561433</v>
      </c>
      <c r="H9183">
        <f>0.0091743119266055*2.39007254711716</f>
        <v>2.1927271074469346E-2</v>
      </c>
      <c r="I9183">
        <v>2.192727107446937E-2</v>
      </c>
    </row>
    <row r="9184" spans="1:9" x14ac:dyDescent="0.25">
      <c r="A9184">
        <v>389</v>
      </c>
      <c r="B9184" t="s">
        <v>2935</v>
      </c>
      <c r="C9184" t="s">
        <v>10</v>
      </c>
      <c r="D9184" t="s">
        <v>764</v>
      </c>
      <c r="E9184">
        <f>1/109</f>
        <v>9.1743119266055051E-3</v>
      </c>
      <c r="F9184">
        <v>57</v>
      </c>
      <c r="G9184">
        <f>LOG(382/(57+1))</f>
        <v>0.81863536934877146</v>
      </c>
      <c r="H9184">
        <f>0.0091743119266055*1.88497759806015</f>
        <v>1.7293372459267421E-2</v>
      </c>
      <c r="I9184">
        <v>1.729337245926749E-2</v>
      </c>
    </row>
    <row r="9185" spans="1:9" x14ac:dyDescent="0.25">
      <c r="A9185">
        <v>389</v>
      </c>
      <c r="B9185" t="s">
        <v>2935</v>
      </c>
      <c r="C9185" t="s">
        <v>10</v>
      </c>
      <c r="D9185" t="s">
        <v>1083</v>
      </c>
      <c r="E9185">
        <f>1/109</f>
        <v>9.1743119266055051E-3</v>
      </c>
      <c r="F9185">
        <v>51</v>
      </c>
      <c r="G9185">
        <f>LOG(382/(51+1))</f>
        <v>0.86606001927690957</v>
      </c>
      <c r="H9185">
        <f>0.0091743119266055*1.99417689002514</f>
        <v>1.8295200825918706E-2</v>
      </c>
      <c r="I9185">
        <v>1.8295200825918789E-2</v>
      </c>
    </row>
    <row r="9186" spans="1:9" x14ac:dyDescent="0.25">
      <c r="A9186">
        <v>389</v>
      </c>
      <c r="B9186" t="s">
        <v>2935</v>
      </c>
      <c r="C9186" t="s">
        <v>10</v>
      </c>
      <c r="D9186" t="s">
        <v>133</v>
      </c>
      <c r="E9186">
        <f>2/109</f>
        <v>1.834862385321101E-2</v>
      </c>
      <c r="F9186">
        <v>142</v>
      </c>
      <c r="G9186">
        <f>LOG(382/(142+1))</f>
        <v>0.42672732544664693</v>
      </c>
      <c r="H9186">
        <f>0.018348623853211*0.982575978346667</f>
        <v>1.802891703388379E-2</v>
      </c>
      <c r="I9186">
        <v>1.8028917033883811E-2</v>
      </c>
    </row>
    <row r="9187" spans="1:9" x14ac:dyDescent="0.25">
      <c r="A9187">
        <v>389</v>
      </c>
      <c r="B9187" t="s">
        <v>2935</v>
      </c>
      <c r="C9187" t="s">
        <v>10</v>
      </c>
      <c r="D9187" t="s">
        <v>40</v>
      </c>
      <c r="E9187">
        <f>4/109</f>
        <v>3.669724770642202E-2</v>
      </c>
      <c r="F9187">
        <v>159</v>
      </c>
      <c r="G9187">
        <f>LOG(382/(159+1))</f>
        <v>0.377943380255784</v>
      </c>
      <c r="H9187">
        <f>0.036697247706422*0.870246793372748</f>
        <v>3.1935662142119174E-2</v>
      </c>
      <c r="I9187">
        <v>3.1935662142119209E-2</v>
      </c>
    </row>
    <row r="9188" spans="1:9" x14ac:dyDescent="0.25">
      <c r="A9188">
        <v>389</v>
      </c>
      <c r="B9188" t="s">
        <v>2935</v>
      </c>
      <c r="C9188" t="s">
        <v>10</v>
      </c>
      <c r="D9188" t="s">
        <v>41</v>
      </c>
      <c r="E9188">
        <f>3/109</f>
        <v>2.7522935779816515E-2</v>
      </c>
      <c r="F9188">
        <v>195</v>
      </c>
      <c r="G9188">
        <f>LOG(382/(195+1))</f>
        <v>0.28980729155523272</v>
      </c>
      <c r="H9188">
        <f>0.0275229357798165*0.667305949376058</f>
        <v>1.8366218790166727E-2</v>
      </c>
      <c r="I9188">
        <v>1.8366218790166731E-2</v>
      </c>
    </row>
    <row r="9189" spans="1:9" x14ac:dyDescent="0.25">
      <c r="A9189">
        <v>389</v>
      </c>
      <c r="B9189" t="s">
        <v>2935</v>
      </c>
      <c r="C9189" t="s">
        <v>10</v>
      </c>
      <c r="D9189" t="s">
        <v>26</v>
      </c>
      <c r="E9189">
        <f>1/109</f>
        <v>9.1743119266055051E-3</v>
      </c>
      <c r="F9189">
        <v>40</v>
      </c>
      <c r="G9189">
        <f>LOG(382/(40+1))</f>
        <v>0.96927950619197323</v>
      </c>
      <c r="H9189">
        <f>0.0091743119266055*2.23184854190226</f>
        <v>2.0475674696350997E-2</v>
      </c>
      <c r="I9189">
        <v>2.047567469635108E-2</v>
      </c>
    </row>
    <row r="9190" spans="1:9" x14ac:dyDescent="0.25">
      <c r="A9190">
        <v>389</v>
      </c>
      <c r="B9190" t="s">
        <v>2935</v>
      </c>
      <c r="C9190" t="s">
        <v>10</v>
      </c>
      <c r="D9190" t="s">
        <v>237</v>
      </c>
      <c r="E9190">
        <f>4/109</f>
        <v>3.669724770642202E-2</v>
      </c>
      <c r="F9190">
        <v>138</v>
      </c>
      <c r="G9190">
        <f>LOG(382/(138+1))</f>
        <v>0.43904856265761361</v>
      </c>
      <c r="H9190">
        <f>0.036697247706422*1.01094667547588</f>
        <v>3.7098960567922182E-2</v>
      </c>
      <c r="I9190">
        <v>3.7098960567922327E-2</v>
      </c>
    </row>
    <row r="9191" spans="1:9" x14ac:dyDescent="0.25">
      <c r="A9191">
        <v>389</v>
      </c>
      <c r="B9191" t="s">
        <v>2935</v>
      </c>
      <c r="C9191" t="s">
        <v>10</v>
      </c>
      <c r="D9191" t="s">
        <v>2154</v>
      </c>
      <c r="E9191">
        <f>1/109</f>
        <v>9.1743119266055051E-3</v>
      </c>
      <c r="F9191">
        <v>9</v>
      </c>
      <c r="G9191">
        <f>LOG(382/(9+1))</f>
        <v>1.5820633629117087</v>
      </c>
      <c r="H9191">
        <f>0.0091743119266055*3.64283551561252</f>
        <v>3.3420509317546039E-2</v>
      </c>
      <c r="I9191">
        <v>3.3420509317546143E-2</v>
      </c>
    </row>
    <row r="9192" spans="1:9" x14ac:dyDescent="0.25">
      <c r="A9192">
        <v>389</v>
      </c>
      <c r="B9192" t="s">
        <v>2935</v>
      </c>
      <c r="C9192" t="s">
        <v>10</v>
      </c>
      <c r="D9192" t="s">
        <v>485</v>
      </c>
      <c r="E9192">
        <f>1/109</f>
        <v>9.1743119266055051E-3</v>
      </c>
      <c r="F9192">
        <v>74</v>
      </c>
      <c r="G9192">
        <f>LOG(382/(74+1))</f>
        <v>0.7070020995200087</v>
      </c>
      <c r="H9192">
        <f>0.0091743119266055*1.62793249507026</f>
        <v>1.4935160505231736E-2</v>
      </c>
      <c r="I9192">
        <v>1.493516050523179E-2</v>
      </c>
    </row>
    <row r="9193" spans="1:9" x14ac:dyDescent="0.25">
      <c r="A9193">
        <v>389</v>
      </c>
      <c r="B9193" t="s">
        <v>2935</v>
      </c>
      <c r="C9193" t="s">
        <v>10</v>
      </c>
      <c r="D9193" t="s">
        <v>2224</v>
      </c>
      <c r="E9193">
        <f>1/109</f>
        <v>9.1743119266055051E-3</v>
      </c>
      <c r="F9193">
        <v>6</v>
      </c>
      <c r="G9193">
        <f>LOG(382/(6+1))</f>
        <v>1.736965322897452</v>
      </c>
      <c r="H9193">
        <f>0.0091743119266055*3.99951045955126</f>
        <v>3.669275650964457E-2</v>
      </c>
      <c r="I9193">
        <v>3.6692756509644597E-2</v>
      </c>
    </row>
    <row r="9194" spans="1:9" x14ac:dyDescent="0.25">
      <c r="A9194">
        <v>389</v>
      </c>
      <c r="B9194" t="s">
        <v>2935</v>
      </c>
      <c r="C9194" t="s">
        <v>10</v>
      </c>
      <c r="D9194" t="s">
        <v>932</v>
      </c>
      <c r="E9194">
        <f>1/109</f>
        <v>9.1743119266055051E-3</v>
      </c>
      <c r="F9194">
        <v>35</v>
      </c>
      <c r="G9194">
        <f>LOG(382/(35+1))</f>
        <v>1.0257608621444214</v>
      </c>
      <c r="H9194">
        <f>0.0091743119266055*2.36190167015046</f>
        <v>2.1668822661930816E-2</v>
      </c>
      <c r="I9194">
        <v>2.1668822661930869E-2</v>
      </c>
    </row>
    <row r="9195" spans="1:9" x14ac:dyDescent="0.25">
      <c r="A9195">
        <v>389</v>
      </c>
      <c r="B9195" t="s">
        <v>2935</v>
      </c>
      <c r="C9195" t="s">
        <v>10</v>
      </c>
      <c r="D9195" t="s">
        <v>161</v>
      </c>
      <c r="E9195">
        <f>3/109</f>
        <v>2.7522935779816515E-2</v>
      </c>
      <c r="F9195">
        <v>33</v>
      </c>
      <c r="G9195">
        <f>LOG(382/(33+1))</f>
        <v>1.0505844458694535</v>
      </c>
      <c r="H9195">
        <f>0.0275229357798165*2.41906008399041</f>
        <v>6.6579635339185567E-2</v>
      </c>
      <c r="I9195">
        <v>6.6579635339185705E-2</v>
      </c>
    </row>
    <row r="9196" spans="1:9" x14ac:dyDescent="0.25">
      <c r="A9196">
        <v>389</v>
      </c>
      <c r="B9196" t="s">
        <v>2935</v>
      </c>
      <c r="C9196" t="s">
        <v>10</v>
      </c>
      <c r="D9196" t="s">
        <v>2936</v>
      </c>
      <c r="E9196">
        <f t="shared" ref="E9196:E9203" si="430">1/109</f>
        <v>9.1743119266055051E-3</v>
      </c>
      <c r="F9196">
        <v>1</v>
      </c>
      <c r="G9196">
        <f>LOG(382/(1+1))</f>
        <v>2.2810333672477277</v>
      </c>
      <c r="H9196">
        <f>0.0091743119266055*5.25227342804663</f>
        <v>4.8185994752721353E-2</v>
      </c>
      <c r="I9196">
        <v>4.8185994752721381E-2</v>
      </c>
    </row>
    <row r="9197" spans="1:9" x14ac:dyDescent="0.25">
      <c r="A9197">
        <v>389</v>
      </c>
      <c r="B9197" t="s">
        <v>2935</v>
      </c>
      <c r="C9197" t="s">
        <v>10</v>
      </c>
      <c r="D9197" t="s">
        <v>1553</v>
      </c>
      <c r="E9197">
        <f t="shared" si="430"/>
        <v>9.1743119266055051E-3</v>
      </c>
      <c r="F9197">
        <v>3</v>
      </c>
      <c r="G9197">
        <f>LOG(382/(3+1))</f>
        <v>1.9800033715837464</v>
      </c>
      <c r="H9197">
        <f>0.0091743119266055*4.55912624748668</f>
        <v>4.1826846307217225E-2</v>
      </c>
      <c r="I9197">
        <v>4.1826846307217287E-2</v>
      </c>
    </row>
    <row r="9198" spans="1:9" x14ac:dyDescent="0.25">
      <c r="A9198">
        <v>389</v>
      </c>
      <c r="B9198" t="s">
        <v>2935</v>
      </c>
      <c r="C9198" t="s">
        <v>10</v>
      </c>
      <c r="D9198" t="s">
        <v>1745</v>
      </c>
      <c r="E9198">
        <f t="shared" si="430"/>
        <v>9.1743119266055051E-3</v>
      </c>
      <c r="F9198">
        <v>12</v>
      </c>
      <c r="G9198">
        <f>LOG(382/(12+1))</f>
        <v>1.468120010604872</v>
      </c>
      <c r="H9198">
        <f>0.0091743119266055*3.38047125114503</f>
        <v>3.1013497716926866E-2</v>
      </c>
      <c r="I9198">
        <v>3.101349771692696E-2</v>
      </c>
    </row>
    <row r="9199" spans="1:9" x14ac:dyDescent="0.25">
      <c r="A9199">
        <v>389</v>
      </c>
      <c r="B9199" t="s">
        <v>2935</v>
      </c>
      <c r="C9199" t="s">
        <v>10</v>
      </c>
      <c r="D9199" t="s">
        <v>78</v>
      </c>
      <c r="E9199">
        <f t="shared" si="430"/>
        <v>9.1743119266055051E-3</v>
      </c>
      <c r="F9199">
        <v>122</v>
      </c>
      <c r="G9199">
        <f>LOG(382/(122+1))</f>
        <v>0.49215825147231079</v>
      </c>
      <c r="H9199">
        <f>0.0091743119266055*1.13323625323415</f>
        <v>1.0396662873707793E-2</v>
      </c>
      <c r="I9199">
        <v>1.0396662873707869E-2</v>
      </c>
    </row>
    <row r="9200" spans="1:9" x14ac:dyDescent="0.25">
      <c r="A9200">
        <v>389</v>
      </c>
      <c r="B9200" t="s">
        <v>2935</v>
      </c>
      <c r="C9200" t="s">
        <v>10</v>
      </c>
      <c r="D9200" t="s">
        <v>1084</v>
      </c>
      <c r="E9200">
        <f t="shared" si="430"/>
        <v>9.1743119266055051E-3</v>
      </c>
      <c r="F9200">
        <v>6</v>
      </c>
      <c r="G9200">
        <f>LOG(382/(6+1))</f>
        <v>1.736965322897452</v>
      </c>
      <c r="H9200">
        <f>0.0091743119266055*3.99951045955126</f>
        <v>3.669275650964457E-2</v>
      </c>
      <c r="I9200">
        <v>3.6692756509644597E-2</v>
      </c>
    </row>
    <row r="9201" spans="1:9" x14ac:dyDescent="0.25">
      <c r="A9201">
        <v>389</v>
      </c>
      <c r="B9201" t="s">
        <v>2935</v>
      </c>
      <c r="C9201" t="s">
        <v>10</v>
      </c>
      <c r="D9201" t="s">
        <v>600</v>
      </c>
      <c r="E9201">
        <f t="shared" si="430"/>
        <v>9.1743119266055051E-3</v>
      </c>
      <c r="F9201">
        <v>102</v>
      </c>
      <c r="G9201">
        <f>LOG(382/(102+1))</f>
        <v>0.56922613820653656</v>
      </c>
      <c r="H9201">
        <f>0.0091743119266055*1.31069162037693</f>
        <v>1.2024693764925959E-2</v>
      </c>
      <c r="I9201">
        <v>1.2024693764926051E-2</v>
      </c>
    </row>
    <row r="9202" spans="1:9" x14ac:dyDescent="0.25">
      <c r="A9202">
        <v>389</v>
      </c>
      <c r="B9202" t="s">
        <v>2935</v>
      </c>
      <c r="C9202" t="s">
        <v>10</v>
      </c>
      <c r="D9202" t="s">
        <v>936</v>
      </c>
      <c r="E9202">
        <f t="shared" si="430"/>
        <v>9.1743119266055051E-3</v>
      </c>
      <c r="F9202">
        <v>21</v>
      </c>
      <c r="G9202">
        <f>LOG(382/(21+1))</f>
        <v>1.2396406820895025</v>
      </c>
      <c r="H9202">
        <f>0.0091743119266055*2.85437815524825</f>
        <v>2.6186955552736223E-2</v>
      </c>
      <c r="I9202">
        <v>2.618695555273632E-2</v>
      </c>
    </row>
    <row r="9203" spans="1:9" x14ac:dyDescent="0.25">
      <c r="A9203">
        <v>389</v>
      </c>
      <c r="B9203" t="s">
        <v>2935</v>
      </c>
      <c r="C9203" t="s">
        <v>10</v>
      </c>
      <c r="D9203" t="s">
        <v>937</v>
      </c>
      <c r="E9203">
        <f t="shared" si="430"/>
        <v>9.1743119266055051E-3</v>
      </c>
      <c r="F9203">
        <v>41</v>
      </c>
      <c r="G9203">
        <f>LOG(382/(41+1))</f>
        <v>0.95881407251380824</v>
      </c>
      <c r="H9203">
        <f>0.0091743119266055*2.2077509903232</f>
        <v>2.0254596241497239E-2</v>
      </c>
      <c r="I9203">
        <v>2.0254596241497311E-2</v>
      </c>
    </row>
    <row r="9204" spans="1:9" x14ac:dyDescent="0.25">
      <c r="A9204">
        <v>389</v>
      </c>
      <c r="B9204" t="s">
        <v>2935</v>
      </c>
      <c r="C9204" t="s">
        <v>10</v>
      </c>
      <c r="D9204" t="s">
        <v>602</v>
      </c>
      <c r="E9204">
        <f>2/109</f>
        <v>1.834862385321101E-2</v>
      </c>
      <c r="F9204">
        <v>13</v>
      </c>
      <c r="G9204">
        <f>LOG(382/(13+1))</f>
        <v>1.4359353272334707</v>
      </c>
      <c r="H9204">
        <f>0.018348623853211*3.30636327899131</f>
        <v>6.0667216128280889E-2</v>
      </c>
      <c r="I9204">
        <v>6.0667216128281042E-2</v>
      </c>
    </row>
    <row r="9205" spans="1:9" x14ac:dyDescent="0.25">
      <c r="A9205">
        <v>389</v>
      </c>
      <c r="B9205" t="s">
        <v>2935</v>
      </c>
      <c r="C9205" t="s">
        <v>10</v>
      </c>
      <c r="D9205" t="s">
        <v>905</v>
      </c>
      <c r="E9205">
        <f t="shared" ref="E9205:E9224" si="431">1/109</f>
        <v>9.1743119266055051E-3</v>
      </c>
      <c r="F9205">
        <v>5</v>
      </c>
      <c r="G9205">
        <f>LOG(382/(5+1))</f>
        <v>1.803912112528065</v>
      </c>
      <c r="H9205">
        <f>0.0091743119266055*4.15366113937852</f>
        <v>3.8106982930078144E-2</v>
      </c>
      <c r="I9205">
        <v>3.8106982930078158E-2</v>
      </c>
    </row>
    <row r="9206" spans="1:9" x14ac:dyDescent="0.25">
      <c r="A9206">
        <v>389</v>
      </c>
      <c r="B9206" t="s">
        <v>2935</v>
      </c>
      <c r="C9206" t="s">
        <v>10</v>
      </c>
      <c r="D9206" t="s">
        <v>1581</v>
      </c>
      <c r="E9206">
        <f t="shared" si="431"/>
        <v>9.1743119266055051E-3</v>
      </c>
      <c r="F9206">
        <v>4</v>
      </c>
      <c r="G9206">
        <f>LOG(382/(4+1))</f>
        <v>1.8830933585756899</v>
      </c>
      <c r="H9206">
        <f>0.0091743119266055*4.33598269617247</f>
        <v>3.9779657763050168E-2</v>
      </c>
      <c r="I9206">
        <v>3.977965776305023E-2</v>
      </c>
    </row>
    <row r="9207" spans="1:9" x14ac:dyDescent="0.25">
      <c r="A9207">
        <v>389</v>
      </c>
      <c r="B9207" t="s">
        <v>2935</v>
      </c>
      <c r="C9207" t="s">
        <v>10</v>
      </c>
      <c r="D9207" t="s">
        <v>34</v>
      </c>
      <c r="E9207">
        <f t="shared" si="431"/>
        <v>9.1743119266055051E-3</v>
      </c>
      <c r="F9207">
        <v>11</v>
      </c>
      <c r="G9207">
        <f>LOG(382/(11+1))</f>
        <v>1.5028821168640838</v>
      </c>
      <c r="H9207">
        <f>0.0091743119266055*3.46051395881857</f>
        <v>3.1747834484574022E-2</v>
      </c>
      <c r="I9207">
        <v>3.1747834484574078E-2</v>
      </c>
    </row>
    <row r="9208" spans="1:9" x14ac:dyDescent="0.25">
      <c r="A9208">
        <v>389</v>
      </c>
      <c r="B9208" t="s">
        <v>2935</v>
      </c>
      <c r="C9208" t="s">
        <v>10</v>
      </c>
      <c r="D9208" t="s">
        <v>1853</v>
      </c>
      <c r="E9208">
        <f t="shared" si="431"/>
        <v>9.1743119266055051E-3</v>
      </c>
      <c r="F9208">
        <v>15</v>
      </c>
      <c r="G9208">
        <f>LOG(382/(15+1))</f>
        <v>1.3779433802557839</v>
      </c>
      <c r="H9208">
        <f>0.0091743119266055*3.17283188636679</f>
        <v>2.9108549416209068E-2</v>
      </c>
      <c r="I9208">
        <v>2.910854941620912E-2</v>
      </c>
    </row>
    <row r="9209" spans="1:9" x14ac:dyDescent="0.25">
      <c r="A9209">
        <v>389</v>
      </c>
      <c r="B9209" t="s">
        <v>2935</v>
      </c>
      <c r="C9209" t="s">
        <v>10</v>
      </c>
      <c r="D9209" t="s">
        <v>593</v>
      </c>
      <c r="E9209">
        <f t="shared" si="431"/>
        <v>9.1743119266055051E-3</v>
      </c>
      <c r="F9209">
        <v>30</v>
      </c>
      <c r="G9209">
        <f>LOG(382/(30+1))</f>
        <v>1.090701669077436</v>
      </c>
      <c r="H9209">
        <f>0.0091743119266055*2.51143340412142</f>
        <v>2.3040673432306594E-2</v>
      </c>
      <c r="I9209">
        <v>2.3040673432306692E-2</v>
      </c>
    </row>
    <row r="9210" spans="1:9" x14ac:dyDescent="0.25">
      <c r="A9210">
        <v>389</v>
      </c>
      <c r="B9210" t="s">
        <v>2935</v>
      </c>
      <c r="C9210" t="s">
        <v>10</v>
      </c>
      <c r="D9210" t="s">
        <v>216</v>
      </c>
      <c r="E9210">
        <f t="shared" si="431"/>
        <v>9.1743119266055051E-3</v>
      </c>
      <c r="F9210">
        <v>63</v>
      </c>
      <c r="G9210">
        <f>LOG(382/(63+1))</f>
        <v>0.7758833889278216</v>
      </c>
      <c r="H9210">
        <f>0.0091743119266055*1.7865375252469</f>
        <v>1.6390252525200908E-2</v>
      </c>
      <c r="I9210">
        <v>1.639025252520095E-2</v>
      </c>
    </row>
    <row r="9211" spans="1:9" x14ac:dyDescent="0.25">
      <c r="A9211">
        <v>389</v>
      </c>
      <c r="B9211" t="s">
        <v>2935</v>
      </c>
      <c r="C9211" t="s">
        <v>10</v>
      </c>
      <c r="D9211" t="s">
        <v>994</v>
      </c>
      <c r="E9211">
        <f t="shared" si="431"/>
        <v>9.1743119266055051E-3</v>
      </c>
      <c r="F9211">
        <v>37</v>
      </c>
      <c r="G9211">
        <f>LOG(382/(37+1))</f>
        <v>1.0022797662948986</v>
      </c>
      <c r="H9211">
        <f>0.0091743119266055*2.30783444888018</f>
        <v>2.1172793108992467E-2</v>
      </c>
      <c r="I9211">
        <v>2.117279310899256E-2</v>
      </c>
    </row>
    <row r="9212" spans="1:9" x14ac:dyDescent="0.25">
      <c r="A9212">
        <v>389</v>
      </c>
      <c r="B9212" t="s">
        <v>2935</v>
      </c>
      <c r="C9212" t="s">
        <v>10</v>
      </c>
      <c r="D9212" t="s">
        <v>469</v>
      </c>
      <c r="E9212">
        <f t="shared" si="431"/>
        <v>9.1743119266055051E-3</v>
      </c>
      <c r="F9212">
        <v>13</v>
      </c>
      <c r="G9212">
        <f>LOG(382/(13+1))</f>
        <v>1.4359353272334707</v>
      </c>
      <c r="H9212">
        <f>0.0091743119266055*3.30636327899131</f>
        <v>3.0333608064140444E-2</v>
      </c>
      <c r="I9212">
        <v>3.0333608064140521E-2</v>
      </c>
    </row>
    <row r="9213" spans="1:9" x14ac:dyDescent="0.25">
      <c r="A9213">
        <v>389</v>
      </c>
      <c r="B9213" t="s">
        <v>2935</v>
      </c>
      <c r="C9213" t="s">
        <v>10</v>
      </c>
      <c r="D9213" t="s">
        <v>594</v>
      </c>
      <c r="E9213">
        <f t="shared" si="431"/>
        <v>9.1743119266055051E-3</v>
      </c>
      <c r="F9213">
        <v>36</v>
      </c>
      <c r="G9213">
        <f>LOG(382/(36+1))</f>
        <v>1.0138616388447137</v>
      </c>
      <c r="H9213">
        <f>0.0091743119266055*2.33450269596235</f>
        <v>2.1417455926260081E-2</v>
      </c>
      <c r="I9213">
        <v>2.1417455926260098E-2</v>
      </c>
    </row>
    <row r="9214" spans="1:9" x14ac:dyDescent="0.25">
      <c r="A9214">
        <v>389</v>
      </c>
      <c r="B9214" t="s">
        <v>2935</v>
      </c>
      <c r="C9214" t="s">
        <v>10</v>
      </c>
      <c r="D9214" t="s">
        <v>477</v>
      </c>
      <c r="E9214">
        <f t="shared" si="431"/>
        <v>9.1743119266055051E-3</v>
      </c>
      <c r="F9214">
        <v>17</v>
      </c>
      <c r="G9214">
        <f>LOG(382/(17+1))</f>
        <v>1.3267908578084027</v>
      </c>
      <c r="H9214">
        <f>0.0091743119266055*3.05504885071041</f>
        <v>2.8027971107434938E-2</v>
      </c>
      <c r="I9214">
        <v>2.8027971107434959E-2</v>
      </c>
    </row>
    <row r="9215" spans="1:9" x14ac:dyDescent="0.25">
      <c r="A9215">
        <v>389</v>
      </c>
      <c r="B9215" t="s">
        <v>2935</v>
      </c>
      <c r="C9215" t="s">
        <v>10</v>
      </c>
      <c r="D9215" t="s">
        <v>910</v>
      </c>
      <c r="E9215">
        <f t="shared" si="431"/>
        <v>9.1743119266055051E-3</v>
      </c>
      <c r="F9215">
        <v>6</v>
      </c>
      <c r="G9215">
        <f>LOG(382/(6+1))</f>
        <v>1.736965322897452</v>
      </c>
      <c r="H9215">
        <f>0.0091743119266055*3.99951045955126</f>
        <v>3.669275650964457E-2</v>
      </c>
      <c r="I9215">
        <v>3.6692756509644597E-2</v>
      </c>
    </row>
    <row r="9216" spans="1:9" x14ac:dyDescent="0.25">
      <c r="A9216">
        <v>389</v>
      </c>
      <c r="B9216" t="s">
        <v>2935</v>
      </c>
      <c r="C9216" t="s">
        <v>10</v>
      </c>
      <c r="D9216" t="s">
        <v>911</v>
      </c>
      <c r="E9216">
        <f t="shared" si="431"/>
        <v>9.1743119266055051E-3</v>
      </c>
      <c r="F9216">
        <v>22</v>
      </c>
      <c r="G9216">
        <f>LOG(382/(22+1))</f>
        <v>1.2203355268941158</v>
      </c>
      <c r="H9216">
        <f>0.0091743119266055*2.80992639267742</f>
        <v>2.5779141217224022E-2</v>
      </c>
      <c r="I9216">
        <v>2.5779141217224091E-2</v>
      </c>
    </row>
    <row r="9217" spans="1:9" x14ac:dyDescent="0.25">
      <c r="A9217">
        <v>389</v>
      </c>
      <c r="B9217" t="s">
        <v>2935</v>
      </c>
      <c r="C9217" t="s">
        <v>10</v>
      </c>
      <c r="D9217" t="s">
        <v>693</v>
      </c>
      <c r="E9217">
        <f t="shared" si="431"/>
        <v>9.1743119266055051E-3</v>
      </c>
      <c r="F9217">
        <v>25</v>
      </c>
      <c r="G9217">
        <f>LOG(382/(25+1))</f>
        <v>1.1670900149408907</v>
      </c>
      <c r="H9217">
        <f>0.0091743119266055*2.68732407058509</f>
        <v>2.4654349271422831E-2</v>
      </c>
      <c r="I9217">
        <v>2.4654349271422869E-2</v>
      </c>
    </row>
    <row r="9218" spans="1:9" x14ac:dyDescent="0.25">
      <c r="A9218">
        <v>389</v>
      </c>
      <c r="B9218" t="s">
        <v>2935</v>
      </c>
      <c r="C9218" t="s">
        <v>10</v>
      </c>
      <c r="D9218" t="s">
        <v>236</v>
      </c>
      <c r="E9218">
        <f t="shared" si="431"/>
        <v>9.1743119266055051E-3</v>
      </c>
      <c r="F9218">
        <v>87</v>
      </c>
      <c r="G9218">
        <f>LOG(382/(87+1))</f>
        <v>0.63758069076154011</v>
      </c>
      <c r="H9218">
        <f>0.0091743119266055*1.46808379412836</f>
        <v>1.3468658661728066E-2</v>
      </c>
      <c r="I9218">
        <v>1.3468658661728149E-2</v>
      </c>
    </row>
    <row r="9219" spans="1:9" x14ac:dyDescent="0.25">
      <c r="A9219">
        <v>389</v>
      </c>
      <c r="B9219" t="s">
        <v>2935</v>
      </c>
      <c r="C9219" t="s">
        <v>10</v>
      </c>
      <c r="D9219" t="s">
        <v>134</v>
      </c>
      <c r="E9219">
        <f t="shared" si="431"/>
        <v>9.1743119266055051E-3</v>
      </c>
      <c r="F9219">
        <v>21</v>
      </c>
      <c r="G9219">
        <f>LOG(382/(21+1))</f>
        <v>1.2396406820895025</v>
      </c>
      <c r="H9219">
        <f>0.0091743119266055*2.85437815524825</f>
        <v>2.6186955552736223E-2</v>
      </c>
      <c r="I9219">
        <v>2.618695555273632E-2</v>
      </c>
    </row>
    <row r="9220" spans="1:9" x14ac:dyDescent="0.25">
      <c r="A9220">
        <v>389</v>
      </c>
      <c r="B9220" t="s">
        <v>2935</v>
      </c>
      <c r="C9220" t="s">
        <v>10</v>
      </c>
      <c r="D9220" t="s">
        <v>135</v>
      </c>
      <c r="E9220">
        <f t="shared" si="431"/>
        <v>9.1743119266055051E-3</v>
      </c>
      <c r="F9220">
        <v>6</v>
      </c>
      <c r="G9220">
        <f>LOG(382/(6+1))</f>
        <v>1.736965322897452</v>
      </c>
      <c r="H9220">
        <f>0.0091743119266055*3.99951045955126</f>
        <v>3.669275650964457E-2</v>
      </c>
      <c r="I9220">
        <v>3.6692756509644597E-2</v>
      </c>
    </row>
    <row r="9221" spans="1:9" x14ac:dyDescent="0.25">
      <c r="A9221">
        <v>389</v>
      </c>
      <c r="B9221" t="s">
        <v>2935</v>
      </c>
      <c r="C9221" t="s">
        <v>10</v>
      </c>
      <c r="D9221" t="s">
        <v>136</v>
      </c>
      <c r="E9221">
        <f t="shared" si="431"/>
        <v>9.1743119266055051E-3</v>
      </c>
      <c r="F9221">
        <v>17</v>
      </c>
      <c r="G9221">
        <f>LOG(382/(17+1))</f>
        <v>1.3267908578084027</v>
      </c>
      <c r="H9221">
        <f>0.0091743119266055*3.05504885071041</f>
        <v>2.8027971107434938E-2</v>
      </c>
      <c r="I9221">
        <v>2.8027971107434959E-2</v>
      </c>
    </row>
    <row r="9222" spans="1:9" x14ac:dyDescent="0.25">
      <c r="A9222">
        <v>389</v>
      </c>
      <c r="B9222" t="s">
        <v>2935</v>
      </c>
      <c r="C9222" t="s">
        <v>10</v>
      </c>
      <c r="D9222" t="s">
        <v>243</v>
      </c>
      <c r="E9222">
        <f t="shared" si="431"/>
        <v>9.1743119266055051E-3</v>
      </c>
      <c r="F9222">
        <v>131</v>
      </c>
      <c r="G9222">
        <f>LOG(382/(131+1))</f>
        <v>0.46148943170585888</v>
      </c>
      <c r="H9222">
        <f>0.0091743119266055*1.0626186860202</f>
        <v>9.7487952845889854E-3</v>
      </c>
      <c r="I9222">
        <v>9.7487952845890305E-3</v>
      </c>
    </row>
    <row r="9223" spans="1:9" x14ac:dyDescent="0.25">
      <c r="A9223">
        <v>389</v>
      </c>
      <c r="B9223" t="s">
        <v>2935</v>
      </c>
      <c r="C9223" t="s">
        <v>10</v>
      </c>
      <c r="D9223" t="s">
        <v>362</v>
      </c>
      <c r="E9223">
        <f t="shared" si="431"/>
        <v>9.1743119266055051E-3</v>
      </c>
      <c r="F9223">
        <v>81</v>
      </c>
      <c r="G9223">
        <f>LOG(382/(81+1))</f>
        <v>0.66824951052799197</v>
      </c>
      <c r="H9223">
        <f>0.0091743119266055*1.53870136134232</f>
        <v>1.4116526250846965E-2</v>
      </c>
      <c r="I9223">
        <v>1.411652625084699E-2</v>
      </c>
    </row>
    <row r="9224" spans="1:9" x14ac:dyDescent="0.25">
      <c r="A9224">
        <v>389</v>
      </c>
      <c r="B9224" t="s">
        <v>2935</v>
      </c>
      <c r="C9224" t="s">
        <v>10</v>
      </c>
      <c r="D9224" t="s">
        <v>2937</v>
      </c>
      <c r="E9224">
        <f t="shared" si="431"/>
        <v>9.1743119266055051E-3</v>
      </c>
      <c r="F9224">
        <v>1</v>
      </c>
      <c r="G9224">
        <f>LOG(382/(1+1))</f>
        <v>2.2810333672477277</v>
      </c>
      <c r="H9224">
        <f>0.0091743119266055*5.25227342804663</f>
        <v>4.8185994752721353E-2</v>
      </c>
      <c r="I9224">
        <v>4.8185994752721381E-2</v>
      </c>
    </row>
    <row r="9225" spans="1:9" x14ac:dyDescent="0.25">
      <c r="A9225">
        <v>391</v>
      </c>
      <c r="B9225" t="s">
        <v>2938</v>
      </c>
      <c r="C9225" t="s">
        <v>10</v>
      </c>
      <c r="D9225" t="s">
        <v>580</v>
      </c>
      <c r="E9225">
        <f>5/76</f>
        <v>6.5789473684210523E-2</v>
      </c>
      <c r="F9225">
        <v>17</v>
      </c>
      <c r="G9225">
        <f>LOG(382/(17+1))</f>
        <v>1.3267908578084027</v>
      </c>
      <c r="H9225">
        <f>0.0657894736842105*3.05504885071041</f>
        <v>0.20099005596779002</v>
      </c>
      <c r="I9225">
        <v>0.20099005596779021</v>
      </c>
    </row>
    <row r="9226" spans="1:9" x14ac:dyDescent="0.25">
      <c r="A9226">
        <v>391</v>
      </c>
      <c r="B9226" t="s">
        <v>2938</v>
      </c>
      <c r="C9226" t="s">
        <v>10</v>
      </c>
      <c r="D9226" t="s">
        <v>2939</v>
      </c>
      <c r="E9226">
        <f>3/76</f>
        <v>3.9473684210526314E-2</v>
      </c>
      <c r="F9226">
        <v>1</v>
      </c>
      <c r="G9226">
        <f>LOG(382/(1+1))</f>
        <v>2.2810333672477277</v>
      </c>
      <c r="H9226">
        <f>0.0394736842105263*5.25227342804663</f>
        <v>0.20732658268605109</v>
      </c>
      <c r="I9226">
        <v>0.2073265826860512</v>
      </c>
    </row>
    <row r="9227" spans="1:9" x14ac:dyDescent="0.25">
      <c r="A9227">
        <v>391</v>
      </c>
      <c r="B9227" t="s">
        <v>2938</v>
      </c>
      <c r="C9227" t="s">
        <v>10</v>
      </c>
      <c r="D9227" t="s">
        <v>38</v>
      </c>
      <c r="E9227">
        <f>1/76</f>
        <v>1.3157894736842105E-2</v>
      </c>
      <c r="F9227">
        <v>86</v>
      </c>
      <c r="G9227">
        <f>LOG(382/(86+1))</f>
        <v>0.64254411029309022</v>
      </c>
      <c r="H9227">
        <f>0.0131578947368421*1.47951248995199</f>
        <v>1.9467269604631438E-2</v>
      </c>
      <c r="I9227">
        <v>1.9467269604631469E-2</v>
      </c>
    </row>
    <row r="9228" spans="1:9" x14ac:dyDescent="0.25">
      <c r="A9228">
        <v>391</v>
      </c>
      <c r="B9228" t="s">
        <v>2938</v>
      </c>
      <c r="C9228" t="s">
        <v>10</v>
      </c>
      <c r="D9228" t="s">
        <v>39</v>
      </c>
      <c r="E9228">
        <f>1/76</f>
        <v>1.3157894736842105E-2</v>
      </c>
      <c r="F9228">
        <v>145</v>
      </c>
      <c r="G9228">
        <f>LOG(382/(145+1))</f>
        <v>0.41771050712727159</v>
      </c>
      <c r="H9228">
        <f>0.0131578947368421*0.961813986898238</f>
        <v>1.2655447196029443E-2</v>
      </c>
      <c r="I9228">
        <v>1.265544719602946E-2</v>
      </c>
    </row>
    <row r="9229" spans="1:9" x14ac:dyDescent="0.25">
      <c r="A9229">
        <v>391</v>
      </c>
      <c r="B9229" t="s">
        <v>2938</v>
      </c>
      <c r="C9229" t="s">
        <v>10</v>
      </c>
      <c r="D9229" t="s">
        <v>19</v>
      </c>
      <c r="E9229">
        <f>2/76</f>
        <v>2.6315789473684209E-2</v>
      </c>
      <c r="F9229">
        <v>220</v>
      </c>
      <c r="G9229">
        <f>LOG(382/(220+1))</f>
        <v>0.23767108922659805</v>
      </c>
      <c r="H9229">
        <f>0.0263157894736842*0.547257907088822</f>
        <v>1.4401523870758468E-2</v>
      </c>
      <c r="I9229">
        <v>1.440152387075848E-2</v>
      </c>
    </row>
    <row r="9230" spans="1:9" x14ac:dyDescent="0.25">
      <c r="A9230">
        <v>391</v>
      </c>
      <c r="B9230" t="s">
        <v>2938</v>
      </c>
      <c r="C9230" t="s">
        <v>10</v>
      </c>
      <c r="D9230" t="s">
        <v>41</v>
      </c>
      <c r="E9230">
        <f>3/76</f>
        <v>3.9473684210526314E-2</v>
      </c>
      <c r="F9230">
        <v>195</v>
      </c>
      <c r="G9230">
        <f>LOG(382/(195+1))</f>
        <v>0.28980729155523272</v>
      </c>
      <c r="H9230">
        <f>0.0394736842105263*0.667305949376058</f>
        <v>2.6341024317475963E-2</v>
      </c>
      <c r="I9230">
        <v>2.634102431747597E-2</v>
      </c>
    </row>
    <row r="9231" spans="1:9" x14ac:dyDescent="0.25">
      <c r="A9231">
        <v>391</v>
      </c>
      <c r="B9231" t="s">
        <v>2938</v>
      </c>
      <c r="C9231" t="s">
        <v>10</v>
      </c>
      <c r="D9231" t="s">
        <v>44</v>
      </c>
      <c r="E9231">
        <f>2/76</f>
        <v>2.6315789473684209E-2</v>
      </c>
      <c r="F9231">
        <v>151</v>
      </c>
      <c r="G9231">
        <f>LOG(382/(151+1))</f>
        <v>0.40021977496693617</v>
      </c>
      <c r="H9231">
        <f>0.0263157894736842*0.921540087760298</f>
        <v>2.4251054941060463E-2</v>
      </c>
      <c r="I9231">
        <v>2.4251054941060491E-2</v>
      </c>
    </row>
    <row r="9232" spans="1:9" x14ac:dyDescent="0.25">
      <c r="A9232">
        <v>391</v>
      </c>
      <c r="B9232" t="s">
        <v>2938</v>
      </c>
      <c r="C9232" t="s">
        <v>10</v>
      </c>
      <c r="D9232" t="s">
        <v>22</v>
      </c>
      <c r="E9232">
        <f t="shared" ref="E9232:E9256" si="432">1/76</f>
        <v>1.3157894736842105E-2</v>
      </c>
      <c r="F9232">
        <v>259</v>
      </c>
      <c r="G9232">
        <f>LOG(382/(259+1))</f>
        <v>0.16709001494089079</v>
      </c>
      <c r="H9232">
        <f>0.0131578947368421*0.384738977591047</f>
        <v>5.0623549683032482E-3</v>
      </c>
      <c r="I9232">
        <v>5.0623549683032568E-3</v>
      </c>
    </row>
    <row r="9233" spans="1:9" x14ac:dyDescent="0.25">
      <c r="A9233">
        <v>391</v>
      </c>
      <c r="B9233" t="s">
        <v>2938</v>
      </c>
      <c r="C9233" t="s">
        <v>10</v>
      </c>
      <c r="D9233" t="s">
        <v>23</v>
      </c>
      <c r="E9233">
        <f t="shared" si="432"/>
        <v>1.3157894736842105E-2</v>
      </c>
      <c r="F9233">
        <v>275</v>
      </c>
      <c r="G9233">
        <f>LOG(382/(275+1))</f>
        <v>0.14115428084649101</v>
      </c>
      <c r="H9233">
        <f>0.0131578947368421*0.325019742889425</f>
        <v>4.2765755643345369E-3</v>
      </c>
      <c r="I9233">
        <v>4.2765755643345412E-3</v>
      </c>
    </row>
    <row r="9234" spans="1:9" x14ac:dyDescent="0.25">
      <c r="A9234">
        <v>391</v>
      </c>
      <c r="B9234" t="s">
        <v>2938</v>
      </c>
      <c r="C9234" t="s">
        <v>10</v>
      </c>
      <c r="D9234" t="s">
        <v>204</v>
      </c>
      <c r="E9234">
        <f t="shared" si="432"/>
        <v>1.3157894736842105E-2</v>
      </c>
      <c r="F9234">
        <v>166</v>
      </c>
      <c r="G9234">
        <f>LOG(382/(166+1))</f>
        <v>0.35934689176412549</v>
      </c>
      <c r="H9234">
        <f>0.0131578947368421*0.82742679618982</f>
        <v>1.0887194686708153E-2</v>
      </c>
      <c r="I9234">
        <v>1.088719468670816E-2</v>
      </c>
    </row>
    <row r="9235" spans="1:9" x14ac:dyDescent="0.25">
      <c r="A9235">
        <v>391</v>
      </c>
      <c r="B9235" t="s">
        <v>2938</v>
      </c>
      <c r="C9235" t="s">
        <v>10</v>
      </c>
      <c r="D9235" t="s">
        <v>76</v>
      </c>
      <c r="E9235">
        <f t="shared" si="432"/>
        <v>1.3157894736842105E-2</v>
      </c>
      <c r="F9235">
        <v>140</v>
      </c>
      <c r="G9235">
        <f>LOG(382/(140+1))</f>
        <v>0.43284425025632883</v>
      </c>
      <c r="H9235">
        <f>0.0131578947368421*0.996660718228407</f>
        <v>1.3113956818794823E-2</v>
      </c>
      <c r="I9235">
        <v>1.311395681879483E-2</v>
      </c>
    </row>
    <row r="9236" spans="1:9" x14ac:dyDescent="0.25">
      <c r="A9236">
        <v>391</v>
      </c>
      <c r="B9236" t="s">
        <v>2938</v>
      </c>
      <c r="C9236" t="s">
        <v>10</v>
      </c>
      <c r="D9236" t="s">
        <v>40</v>
      </c>
      <c r="E9236">
        <f t="shared" si="432"/>
        <v>1.3157894736842105E-2</v>
      </c>
      <c r="F9236">
        <v>159</v>
      </c>
      <c r="G9236">
        <f>LOG(382/(159+1))</f>
        <v>0.377943380255784</v>
      </c>
      <c r="H9236">
        <f>0.0131578947368421*0.870246793372748</f>
        <v>1.1450615702272996E-2</v>
      </c>
      <c r="I9236">
        <v>1.1450615702272999E-2</v>
      </c>
    </row>
    <row r="9237" spans="1:9" x14ac:dyDescent="0.25">
      <c r="A9237">
        <v>391</v>
      </c>
      <c r="B9237" t="s">
        <v>2938</v>
      </c>
      <c r="C9237" t="s">
        <v>10</v>
      </c>
      <c r="D9237" t="s">
        <v>726</v>
      </c>
      <c r="E9237">
        <f t="shared" si="432"/>
        <v>1.3157894736842105E-2</v>
      </c>
      <c r="F9237">
        <v>37</v>
      </c>
      <c r="G9237">
        <f>LOG(382/(37+1))</f>
        <v>1.0022797662948986</v>
      </c>
      <c r="H9237">
        <f>0.0131578947368421*2.30783444888018</f>
        <v>3.0366242748423405E-2</v>
      </c>
      <c r="I9237">
        <v>3.036624274842354E-2</v>
      </c>
    </row>
    <row r="9238" spans="1:9" x14ac:dyDescent="0.25">
      <c r="A9238">
        <v>391</v>
      </c>
      <c r="B9238" t="s">
        <v>2938</v>
      </c>
      <c r="C9238" t="s">
        <v>10</v>
      </c>
      <c r="D9238" t="s">
        <v>36</v>
      </c>
      <c r="E9238">
        <f t="shared" si="432"/>
        <v>1.3157894736842105E-2</v>
      </c>
      <c r="F9238">
        <v>58</v>
      </c>
      <c r="G9238">
        <f>LOG(382/(58+1))</f>
        <v>0.81121135126956456</v>
      </c>
      <c r="H9238">
        <f>0.0131578947368421*1.86788316470085</f>
        <v>2.457741006185328E-2</v>
      </c>
      <c r="I9238">
        <v>2.457741006185336E-2</v>
      </c>
    </row>
    <row r="9239" spans="1:9" x14ac:dyDescent="0.25">
      <c r="A9239">
        <v>391</v>
      </c>
      <c r="B9239" t="s">
        <v>2938</v>
      </c>
      <c r="C9239" t="s">
        <v>10</v>
      </c>
      <c r="D9239" t="s">
        <v>2158</v>
      </c>
      <c r="E9239">
        <f t="shared" si="432"/>
        <v>1.3157894736842105E-2</v>
      </c>
      <c r="F9239">
        <v>2</v>
      </c>
      <c r="G9239">
        <f>LOG(382/(2+1))</f>
        <v>2.1049421081920463</v>
      </c>
      <c r="H9239">
        <f>0.0131578947368421*4.84680831993846</f>
        <v>6.3773793683400762E-2</v>
      </c>
      <c r="I9239">
        <v>6.3773793683400859E-2</v>
      </c>
    </row>
    <row r="9240" spans="1:9" x14ac:dyDescent="0.25">
      <c r="A9240">
        <v>391</v>
      </c>
      <c r="B9240" t="s">
        <v>2938</v>
      </c>
      <c r="C9240" t="s">
        <v>10</v>
      </c>
      <c r="D9240" t="s">
        <v>477</v>
      </c>
      <c r="E9240">
        <f t="shared" si="432"/>
        <v>1.3157894736842105E-2</v>
      </c>
      <c r="F9240">
        <v>17</v>
      </c>
      <c r="G9240">
        <f>LOG(382/(17+1))</f>
        <v>1.3267908578084027</v>
      </c>
      <c r="H9240">
        <f>0.0131578947368421*3.05504885071041</f>
        <v>4.0198011193558009E-2</v>
      </c>
      <c r="I9240">
        <v>4.0198011193558029E-2</v>
      </c>
    </row>
    <row r="9241" spans="1:9" x14ac:dyDescent="0.25">
      <c r="A9241">
        <v>391</v>
      </c>
      <c r="B9241" t="s">
        <v>2938</v>
      </c>
      <c r="C9241" t="s">
        <v>10</v>
      </c>
      <c r="D9241" t="s">
        <v>1608</v>
      </c>
      <c r="E9241">
        <f t="shared" si="432"/>
        <v>1.3157894736842105E-2</v>
      </c>
      <c r="F9241">
        <v>13</v>
      </c>
      <c r="G9241">
        <f>LOG(382/(13+1))</f>
        <v>1.4359353272334707</v>
      </c>
      <c r="H9241">
        <f>0.0131578947368421*3.30636327899131</f>
        <v>4.3504779986727748E-2</v>
      </c>
      <c r="I9241">
        <v>4.3504779986727853E-2</v>
      </c>
    </row>
    <row r="9242" spans="1:9" x14ac:dyDescent="0.25">
      <c r="A9242">
        <v>391</v>
      </c>
      <c r="B9242" t="s">
        <v>2938</v>
      </c>
      <c r="C9242" t="s">
        <v>10</v>
      </c>
      <c r="D9242" t="s">
        <v>924</v>
      </c>
      <c r="E9242">
        <f t="shared" si="432"/>
        <v>1.3157894736842105E-2</v>
      </c>
      <c r="F9242">
        <v>13</v>
      </c>
      <c r="G9242">
        <f>LOG(382/(13+1))</f>
        <v>1.4359353272334707</v>
      </c>
      <c r="H9242">
        <f>0.0131578947368421*3.30636327899131</f>
        <v>4.3504779986727748E-2</v>
      </c>
      <c r="I9242">
        <v>4.3504779986727853E-2</v>
      </c>
    </row>
    <row r="9243" spans="1:9" x14ac:dyDescent="0.25">
      <c r="A9243">
        <v>391</v>
      </c>
      <c r="B9243" t="s">
        <v>2938</v>
      </c>
      <c r="C9243" t="s">
        <v>10</v>
      </c>
      <c r="D9243" t="s">
        <v>42</v>
      </c>
      <c r="E9243">
        <f t="shared" si="432"/>
        <v>1.3157894736842105E-2</v>
      </c>
      <c r="F9243">
        <v>251</v>
      </c>
      <c r="G9243">
        <f>LOG(382/(251+1))</f>
        <v>0.18066282213016463</v>
      </c>
      <c r="H9243">
        <f>0.0131578947368421*0.415991521095151</f>
        <v>5.4735726459888261E-3</v>
      </c>
      <c r="I9243">
        <v>5.47357264598884E-3</v>
      </c>
    </row>
    <row r="9244" spans="1:9" x14ac:dyDescent="0.25">
      <c r="A9244">
        <v>391</v>
      </c>
      <c r="B9244" t="s">
        <v>2938</v>
      </c>
      <c r="C9244" t="s">
        <v>10</v>
      </c>
      <c r="D9244" t="s">
        <v>17</v>
      </c>
      <c r="E9244">
        <f t="shared" si="432"/>
        <v>1.3157894736842105E-2</v>
      </c>
      <c r="F9244">
        <v>169</v>
      </c>
      <c r="G9244">
        <f>LOG(382/(169+1))</f>
        <v>0.3516144415334348</v>
      </c>
      <c r="H9244">
        <f>0.0131578947368421*0.809622171556313</f>
        <v>1.0652923309951483E-2</v>
      </c>
      <c r="I9244">
        <v>1.065292330995149E-2</v>
      </c>
    </row>
    <row r="9245" spans="1:9" x14ac:dyDescent="0.25">
      <c r="A9245">
        <v>391</v>
      </c>
      <c r="B9245" t="s">
        <v>2938</v>
      </c>
      <c r="C9245" t="s">
        <v>10</v>
      </c>
      <c r="D9245" t="s">
        <v>1838</v>
      </c>
      <c r="E9245">
        <f t="shared" si="432"/>
        <v>1.3157894736842105E-2</v>
      </c>
      <c r="F9245">
        <v>5</v>
      </c>
      <c r="G9245">
        <f>LOG(382/(5+1))</f>
        <v>1.803912112528065</v>
      </c>
      <c r="H9245">
        <f>0.0131578947368421*4.15366113937852</f>
        <v>5.4653436044454183E-2</v>
      </c>
      <c r="I9245">
        <v>5.4653436044454197E-2</v>
      </c>
    </row>
    <row r="9246" spans="1:9" x14ac:dyDescent="0.25">
      <c r="A9246">
        <v>391</v>
      </c>
      <c r="B9246" t="s">
        <v>2938</v>
      </c>
      <c r="C9246" t="s">
        <v>10</v>
      </c>
      <c r="D9246" t="s">
        <v>1478</v>
      </c>
      <c r="E9246">
        <f t="shared" si="432"/>
        <v>1.3157894736842105E-2</v>
      </c>
      <c r="F9246">
        <v>17</v>
      </c>
      <c r="G9246">
        <f>LOG(382/(17+1))</f>
        <v>1.3267908578084027</v>
      </c>
      <c r="H9246">
        <f>0.0131578947368421*3.05504885071041</f>
        <v>4.0198011193558009E-2</v>
      </c>
      <c r="I9246">
        <v>4.0198011193558029E-2</v>
      </c>
    </row>
    <row r="9247" spans="1:9" x14ac:dyDescent="0.25">
      <c r="A9247">
        <v>391</v>
      </c>
      <c r="B9247" t="s">
        <v>2938</v>
      </c>
      <c r="C9247" t="s">
        <v>10</v>
      </c>
      <c r="D9247" t="s">
        <v>830</v>
      </c>
      <c r="E9247">
        <f t="shared" si="432"/>
        <v>1.3157894736842105E-2</v>
      </c>
      <c r="F9247">
        <v>19</v>
      </c>
      <c r="G9247">
        <f>LOG(382/(19+1))</f>
        <v>1.2810333672477277</v>
      </c>
      <c r="H9247">
        <f>0.0131578947368421*2.94968833505258</f>
        <v>3.8811688619112876E-2</v>
      </c>
      <c r="I9247">
        <v>3.8811688619112952E-2</v>
      </c>
    </row>
    <row r="9248" spans="1:9" x14ac:dyDescent="0.25">
      <c r="A9248">
        <v>391</v>
      </c>
      <c r="B9248" t="s">
        <v>2938</v>
      </c>
      <c r="C9248" t="s">
        <v>10</v>
      </c>
      <c r="D9248" t="s">
        <v>475</v>
      </c>
      <c r="E9248">
        <f t="shared" si="432"/>
        <v>1.3157894736842105E-2</v>
      </c>
      <c r="F9248">
        <v>16</v>
      </c>
      <c r="G9248">
        <f>LOG(382/(16+1))</f>
        <v>1.3516144415334348</v>
      </c>
      <c r="H9248">
        <f>0.0131578947368421*3.11220726455035</f>
        <v>4.0950095586188798E-2</v>
      </c>
      <c r="I9248">
        <v>4.0950095586188943E-2</v>
      </c>
    </row>
    <row r="9249" spans="1:9" x14ac:dyDescent="0.25">
      <c r="A9249">
        <v>391</v>
      </c>
      <c r="B9249" t="s">
        <v>2938</v>
      </c>
      <c r="C9249" t="s">
        <v>10</v>
      </c>
      <c r="D9249" t="s">
        <v>196</v>
      </c>
      <c r="E9249">
        <f t="shared" si="432"/>
        <v>1.3157894736842105E-2</v>
      </c>
      <c r="F9249">
        <v>33</v>
      </c>
      <c r="G9249">
        <f>LOG(382/(33+1))</f>
        <v>1.0505844458694535</v>
      </c>
      <c r="H9249">
        <f>0.0131578947368421*2.41906008399041</f>
        <v>3.1829737947242226E-2</v>
      </c>
      <c r="I9249">
        <v>3.1829737947242281E-2</v>
      </c>
    </row>
    <row r="9250" spans="1:9" x14ac:dyDescent="0.25">
      <c r="A9250">
        <v>391</v>
      </c>
      <c r="B9250" t="s">
        <v>2938</v>
      </c>
      <c r="C9250" t="s">
        <v>10</v>
      </c>
      <c r="D9250" t="s">
        <v>432</v>
      </c>
      <c r="E9250">
        <f t="shared" si="432"/>
        <v>1.3157894736842105E-2</v>
      </c>
      <c r="F9250">
        <v>67</v>
      </c>
      <c r="G9250">
        <f>LOG(382/(67+1))</f>
        <v>0.7495544502054724</v>
      </c>
      <c r="H9250">
        <f>0.0131578947368421*1.72591290343046</f>
        <v>2.2709380308295519E-2</v>
      </c>
      <c r="I9250">
        <v>2.270938030829563E-2</v>
      </c>
    </row>
    <row r="9251" spans="1:9" x14ac:dyDescent="0.25">
      <c r="A9251">
        <v>391</v>
      </c>
      <c r="B9251" t="s">
        <v>2938</v>
      </c>
      <c r="C9251" t="s">
        <v>10</v>
      </c>
      <c r="D9251" t="s">
        <v>168</v>
      </c>
      <c r="E9251">
        <f t="shared" si="432"/>
        <v>1.3157894736842105E-2</v>
      </c>
      <c r="F9251">
        <v>34</v>
      </c>
      <c r="G9251">
        <f>LOG(382/(34+1))</f>
        <v>1.037995318561433</v>
      </c>
      <c r="H9251">
        <f>0.0131578947368421*2.39007254711716</f>
        <v>3.1448322988383667E-2</v>
      </c>
      <c r="I9251">
        <v>3.1448322988383702E-2</v>
      </c>
    </row>
    <row r="9252" spans="1:9" x14ac:dyDescent="0.25">
      <c r="A9252">
        <v>391</v>
      </c>
      <c r="B9252" t="s">
        <v>2938</v>
      </c>
      <c r="C9252" t="s">
        <v>10</v>
      </c>
      <c r="D9252" t="s">
        <v>1405</v>
      </c>
      <c r="E9252">
        <f t="shared" si="432"/>
        <v>1.3157894736842105E-2</v>
      </c>
      <c r="F9252">
        <v>14</v>
      </c>
      <c r="G9252">
        <f>LOG(382/(14+1))</f>
        <v>1.4059721038560276</v>
      </c>
      <c r="H9252">
        <f>0.0131578947368421*3.23737040750436</f>
        <v>4.2596979046109977E-2</v>
      </c>
      <c r="I9252">
        <v>4.2596979046110067E-2</v>
      </c>
    </row>
    <row r="9253" spans="1:9" x14ac:dyDescent="0.25">
      <c r="A9253">
        <v>391</v>
      </c>
      <c r="B9253" t="s">
        <v>2938</v>
      </c>
      <c r="C9253" t="s">
        <v>10</v>
      </c>
      <c r="D9253" t="s">
        <v>2940</v>
      </c>
      <c r="E9253">
        <f t="shared" si="432"/>
        <v>1.3157894736842105E-2</v>
      </c>
      <c r="F9253">
        <v>1</v>
      </c>
      <c r="G9253">
        <f>LOG(382/(1+1))</f>
        <v>2.2810333672477277</v>
      </c>
      <c r="H9253">
        <f>0.0131578947368421*5.25227342804663</f>
        <v>6.9108860895350357E-2</v>
      </c>
      <c r="I9253">
        <v>6.9108860895350385E-2</v>
      </c>
    </row>
    <row r="9254" spans="1:9" x14ac:dyDescent="0.25">
      <c r="A9254">
        <v>391</v>
      </c>
      <c r="B9254" t="s">
        <v>2938</v>
      </c>
      <c r="C9254" t="s">
        <v>10</v>
      </c>
      <c r="D9254" t="s">
        <v>1407</v>
      </c>
      <c r="E9254">
        <f t="shared" si="432"/>
        <v>1.3157894736842105E-2</v>
      </c>
      <c r="F9254">
        <v>16</v>
      </c>
      <c r="G9254">
        <f>LOG(382/(16+1))</f>
        <v>1.3516144415334348</v>
      </c>
      <c r="H9254">
        <f>0.0131578947368421*3.11220726455035</f>
        <v>4.0950095586188798E-2</v>
      </c>
      <c r="I9254">
        <v>4.0950095586188943E-2</v>
      </c>
    </row>
    <row r="9255" spans="1:9" x14ac:dyDescent="0.25">
      <c r="A9255">
        <v>391</v>
      </c>
      <c r="B9255" t="s">
        <v>2938</v>
      </c>
      <c r="C9255" t="s">
        <v>10</v>
      </c>
      <c r="D9255" t="s">
        <v>596</v>
      </c>
      <c r="E9255">
        <f t="shared" si="432"/>
        <v>1.3157894736842105E-2</v>
      </c>
      <c r="F9255">
        <v>60</v>
      </c>
      <c r="G9255">
        <f>LOG(382/(60+1))</f>
        <v>0.79673352790094176</v>
      </c>
      <c r="H9255">
        <f>0.0131578947368421*1.83454674443326</f>
        <v>2.4138772953069199E-2</v>
      </c>
      <c r="I9255">
        <v>2.4138772953069262E-2</v>
      </c>
    </row>
    <row r="9256" spans="1:9" x14ac:dyDescent="0.25">
      <c r="A9256">
        <v>391</v>
      </c>
      <c r="B9256" t="s">
        <v>2938</v>
      </c>
      <c r="C9256" t="s">
        <v>10</v>
      </c>
      <c r="D9256" t="s">
        <v>786</v>
      </c>
      <c r="E9256">
        <f t="shared" si="432"/>
        <v>1.3157894736842105E-2</v>
      </c>
      <c r="F9256">
        <v>11</v>
      </c>
      <c r="G9256">
        <f>LOG(382/(11+1))</f>
        <v>1.5028821168640838</v>
      </c>
      <c r="H9256">
        <f>0.0131578947368421*3.46051395881857</f>
        <v>4.5533078405507479E-2</v>
      </c>
      <c r="I9256">
        <v>4.5533078405507563E-2</v>
      </c>
    </row>
    <row r="9257" spans="1:9" x14ac:dyDescent="0.25">
      <c r="A9257">
        <v>391</v>
      </c>
      <c r="B9257" t="s">
        <v>2938</v>
      </c>
      <c r="C9257" t="s">
        <v>10</v>
      </c>
      <c r="D9257" t="s">
        <v>25</v>
      </c>
      <c r="E9257">
        <f>4/76</f>
        <v>5.2631578947368418E-2</v>
      </c>
      <c r="F9257">
        <v>106</v>
      </c>
      <c r="G9257">
        <f>LOG(382/(106+1))</f>
        <v>0.55267958522649907</v>
      </c>
      <c r="H9257">
        <f>0.0526315789473684*1.27259177414466</f>
        <v>6.6978514428666286E-2</v>
      </c>
      <c r="I9257">
        <v>6.6978514428666786E-2</v>
      </c>
    </row>
    <row r="9258" spans="1:9" x14ac:dyDescent="0.25">
      <c r="A9258">
        <v>391</v>
      </c>
      <c r="B9258" t="s">
        <v>2938</v>
      </c>
      <c r="C9258" t="s">
        <v>10</v>
      </c>
      <c r="D9258" t="s">
        <v>339</v>
      </c>
      <c r="E9258">
        <f>1/76</f>
        <v>1.3157894736842105E-2</v>
      </c>
      <c r="F9258">
        <v>66</v>
      </c>
      <c r="G9258">
        <f>LOG(382/(66+1))</f>
        <v>0.75598856021088234</v>
      </c>
      <c r="H9258">
        <f>0.0131578947368421*1.7407279892156</f>
        <v>2.2904315647573673E-2</v>
      </c>
      <c r="I9258">
        <v>2.2904315647573802E-2</v>
      </c>
    </row>
    <row r="9259" spans="1:9" x14ac:dyDescent="0.25">
      <c r="A9259">
        <v>391</v>
      </c>
      <c r="B9259" t="s">
        <v>2938</v>
      </c>
      <c r="C9259" t="s">
        <v>10</v>
      </c>
      <c r="D9259" t="s">
        <v>600</v>
      </c>
      <c r="E9259">
        <f>2/76</f>
        <v>2.6315789473684209E-2</v>
      </c>
      <c r="F9259">
        <v>102</v>
      </c>
      <c r="G9259">
        <f>LOG(382/(102+1))</f>
        <v>0.56922613820653656</v>
      </c>
      <c r="H9259">
        <f>0.0263157894736842*1.31069162037693</f>
        <v>3.4491884746761306E-2</v>
      </c>
      <c r="I9259">
        <v>3.4491884746761563E-2</v>
      </c>
    </row>
    <row r="9260" spans="1:9" x14ac:dyDescent="0.25">
      <c r="A9260">
        <v>391</v>
      </c>
      <c r="B9260" t="s">
        <v>2938</v>
      </c>
      <c r="C9260" t="s">
        <v>10</v>
      </c>
      <c r="D9260" t="s">
        <v>2173</v>
      </c>
      <c r="E9260">
        <f t="shared" ref="E9260:E9286" si="433">1/76</f>
        <v>1.3157894736842105E-2</v>
      </c>
      <c r="F9260">
        <v>5</v>
      </c>
      <c r="G9260">
        <f>LOG(382/(5+1))</f>
        <v>1.803912112528065</v>
      </c>
      <c r="H9260">
        <f>0.0131578947368421*4.15366113937852</f>
        <v>5.4653436044454183E-2</v>
      </c>
      <c r="I9260">
        <v>5.4653436044454197E-2</v>
      </c>
    </row>
    <row r="9261" spans="1:9" x14ac:dyDescent="0.25">
      <c r="A9261">
        <v>391</v>
      </c>
      <c r="B9261" t="s">
        <v>2938</v>
      </c>
      <c r="C9261" t="s">
        <v>10</v>
      </c>
      <c r="D9261" t="s">
        <v>593</v>
      </c>
      <c r="E9261">
        <f t="shared" si="433"/>
        <v>1.3157894736842105E-2</v>
      </c>
      <c r="F9261">
        <v>30</v>
      </c>
      <c r="G9261">
        <f>LOG(382/(30+1))</f>
        <v>1.090701669077436</v>
      </c>
      <c r="H9261">
        <f>0.0131578947368421*2.51143340412142</f>
        <v>3.3045176370018671E-2</v>
      </c>
      <c r="I9261">
        <v>3.3045176370018803E-2</v>
      </c>
    </row>
    <row r="9262" spans="1:9" x14ac:dyDescent="0.25">
      <c r="A9262">
        <v>391</v>
      </c>
      <c r="B9262" t="s">
        <v>2938</v>
      </c>
      <c r="C9262" t="s">
        <v>10</v>
      </c>
      <c r="D9262" t="s">
        <v>594</v>
      </c>
      <c r="E9262">
        <f t="shared" si="433"/>
        <v>1.3157894736842105E-2</v>
      </c>
      <c r="F9262">
        <v>36</v>
      </c>
      <c r="G9262">
        <f>LOG(382/(36+1))</f>
        <v>1.0138616388447137</v>
      </c>
      <c r="H9262">
        <f>0.0131578947368421*2.33450269596235</f>
        <v>3.0717140736346696E-2</v>
      </c>
      <c r="I9262">
        <v>3.071714073634672E-2</v>
      </c>
    </row>
    <row r="9263" spans="1:9" x14ac:dyDescent="0.25">
      <c r="A9263">
        <v>391</v>
      </c>
      <c r="B9263" t="s">
        <v>2938</v>
      </c>
      <c r="C9263" t="s">
        <v>10</v>
      </c>
      <c r="D9263" t="s">
        <v>77</v>
      </c>
      <c r="E9263">
        <f t="shared" si="433"/>
        <v>1.3157894736842105E-2</v>
      </c>
      <c r="F9263">
        <v>148</v>
      </c>
      <c r="G9263">
        <f>LOG(382/(148+1))</f>
        <v>0.40887709449943471</v>
      </c>
      <c r="H9263">
        <f>0.0131578947368421*0.941474302661116</f>
        <v>1.2387819771856783E-2</v>
      </c>
      <c r="I9263">
        <v>1.238781977185679E-2</v>
      </c>
    </row>
    <row r="9264" spans="1:9" x14ac:dyDescent="0.25">
      <c r="A9264">
        <v>391</v>
      </c>
      <c r="B9264" t="s">
        <v>2938</v>
      </c>
      <c r="C9264" t="s">
        <v>10</v>
      </c>
      <c r="D9264" t="s">
        <v>1986</v>
      </c>
      <c r="E9264">
        <f t="shared" si="433"/>
        <v>1.3157894736842105E-2</v>
      </c>
      <c r="F9264">
        <v>5</v>
      </c>
      <c r="G9264">
        <f>LOG(382/(5+1))</f>
        <v>1.803912112528065</v>
      </c>
      <c r="H9264">
        <f>0.0131578947368421*4.15366113937852</f>
        <v>5.4653436044454183E-2</v>
      </c>
      <c r="I9264">
        <v>5.4653436044454197E-2</v>
      </c>
    </row>
    <row r="9265" spans="1:9" x14ac:dyDescent="0.25">
      <c r="A9265">
        <v>391</v>
      </c>
      <c r="B9265" t="s">
        <v>2938</v>
      </c>
      <c r="C9265" t="s">
        <v>10</v>
      </c>
      <c r="D9265" t="s">
        <v>1233</v>
      </c>
      <c r="E9265">
        <f t="shared" si="433"/>
        <v>1.3157894736842105E-2</v>
      </c>
      <c r="F9265">
        <v>4</v>
      </c>
      <c r="G9265">
        <f>LOG(382/(4+1))</f>
        <v>1.8830933585756899</v>
      </c>
      <c r="H9265">
        <f>0.0131578947368421*4.33598269617247</f>
        <v>5.7052403897006165E-2</v>
      </c>
      <c r="I9265">
        <v>5.7052403897006242E-2</v>
      </c>
    </row>
    <row r="9266" spans="1:9" x14ac:dyDescent="0.25">
      <c r="A9266">
        <v>391</v>
      </c>
      <c r="B9266" t="s">
        <v>2938</v>
      </c>
      <c r="C9266" t="s">
        <v>10</v>
      </c>
      <c r="D9266" t="s">
        <v>542</v>
      </c>
      <c r="E9266">
        <f t="shared" si="433"/>
        <v>1.3157894736842105E-2</v>
      </c>
      <c r="F9266">
        <v>42</v>
      </c>
      <c r="G9266">
        <f>LOG(382/(42+1))</f>
        <v>0.94859490733212215</v>
      </c>
      <c r="H9266">
        <f>0.0131578947368421*2.18422049291301</f>
        <v>2.8739743327802748E-2</v>
      </c>
      <c r="I9266">
        <v>2.87397433278028E-2</v>
      </c>
    </row>
    <row r="9267" spans="1:9" x14ac:dyDescent="0.25">
      <c r="A9267">
        <v>391</v>
      </c>
      <c r="B9267" t="s">
        <v>2938</v>
      </c>
      <c r="C9267" t="s">
        <v>10</v>
      </c>
      <c r="D9267" t="s">
        <v>2941</v>
      </c>
      <c r="E9267">
        <f t="shared" si="433"/>
        <v>1.3157894736842105E-2</v>
      </c>
      <c r="F9267">
        <v>2</v>
      </c>
      <c r="G9267">
        <f>LOG(382/(2+1))</f>
        <v>2.1049421081920463</v>
      </c>
      <c r="H9267">
        <f>0.0131578947368421*4.84680831993846</f>
        <v>6.3773793683400762E-2</v>
      </c>
      <c r="I9267">
        <v>6.3773793683400859E-2</v>
      </c>
    </row>
    <row r="9268" spans="1:9" x14ac:dyDescent="0.25">
      <c r="A9268">
        <v>391</v>
      </c>
      <c r="B9268" t="s">
        <v>2938</v>
      </c>
      <c r="C9268" t="s">
        <v>10</v>
      </c>
      <c r="D9268" t="s">
        <v>626</v>
      </c>
      <c r="E9268">
        <f t="shared" si="433"/>
        <v>1.3157894736842105E-2</v>
      </c>
      <c r="F9268">
        <v>12</v>
      </c>
      <c r="G9268">
        <f>LOG(382/(12+1))</f>
        <v>1.468120010604872</v>
      </c>
      <c r="H9268">
        <f>0.0131578947368421*3.38047125114503</f>
        <v>4.4479884883487218E-2</v>
      </c>
      <c r="I9268">
        <v>4.447988488348735E-2</v>
      </c>
    </row>
    <row r="9269" spans="1:9" x14ac:dyDescent="0.25">
      <c r="A9269">
        <v>391</v>
      </c>
      <c r="B9269" t="s">
        <v>2938</v>
      </c>
      <c r="C9269" t="s">
        <v>10</v>
      </c>
      <c r="D9269" t="s">
        <v>53</v>
      </c>
      <c r="E9269">
        <f t="shared" si="433"/>
        <v>1.3157894736842105E-2</v>
      </c>
      <c r="F9269">
        <v>57</v>
      </c>
      <c r="G9269">
        <f>LOG(382/(57+1))</f>
        <v>0.81863536934877146</v>
      </c>
      <c r="H9269">
        <f>0.0131578947368421*1.88497759806015</f>
        <v>2.4802336816580908E-2</v>
      </c>
      <c r="I9269">
        <v>2.4802336816580998E-2</v>
      </c>
    </row>
    <row r="9270" spans="1:9" x14ac:dyDescent="0.25">
      <c r="A9270">
        <v>391</v>
      </c>
      <c r="B9270" t="s">
        <v>2938</v>
      </c>
      <c r="C9270" t="s">
        <v>10</v>
      </c>
      <c r="D9270" t="s">
        <v>52</v>
      </c>
      <c r="E9270">
        <f t="shared" si="433"/>
        <v>1.3157894736842105E-2</v>
      </c>
      <c r="F9270">
        <v>35</v>
      </c>
      <c r="G9270">
        <f>LOG(382/(35+1))</f>
        <v>1.0257608621444214</v>
      </c>
      <c r="H9270">
        <f>0.0131578947368421*2.36190167015046</f>
        <v>3.1077653554611302E-2</v>
      </c>
      <c r="I9270">
        <v>3.1077653554611381E-2</v>
      </c>
    </row>
    <row r="9271" spans="1:9" x14ac:dyDescent="0.25">
      <c r="A9271">
        <v>391</v>
      </c>
      <c r="B9271" t="s">
        <v>2938</v>
      </c>
      <c r="C9271" t="s">
        <v>10</v>
      </c>
      <c r="D9271" t="s">
        <v>216</v>
      </c>
      <c r="E9271">
        <f t="shared" si="433"/>
        <v>1.3157894736842105E-2</v>
      </c>
      <c r="F9271">
        <v>63</v>
      </c>
      <c r="G9271">
        <f>LOG(382/(63+1))</f>
        <v>0.7758833889278216</v>
      </c>
      <c r="H9271">
        <f>0.0131578947368421*1.7865375252469</f>
        <v>2.3507072700617096E-2</v>
      </c>
      <c r="I9271">
        <v>2.3507072700617151E-2</v>
      </c>
    </row>
    <row r="9272" spans="1:9" x14ac:dyDescent="0.25">
      <c r="A9272">
        <v>391</v>
      </c>
      <c r="B9272" t="s">
        <v>2938</v>
      </c>
      <c r="C9272" t="s">
        <v>10</v>
      </c>
      <c r="D9272" t="s">
        <v>965</v>
      </c>
      <c r="E9272">
        <f t="shared" si="433"/>
        <v>1.3157894736842105E-2</v>
      </c>
      <c r="F9272">
        <v>2</v>
      </c>
      <c r="G9272">
        <f>LOG(382/(2+1))</f>
        <v>2.1049421081920463</v>
      </c>
      <c r="H9272">
        <f>0.0131578947368421*4.84680831993846</f>
        <v>6.3773793683400762E-2</v>
      </c>
      <c r="I9272">
        <v>6.3773793683400859E-2</v>
      </c>
    </row>
    <row r="9273" spans="1:9" x14ac:dyDescent="0.25">
      <c r="A9273">
        <v>391</v>
      </c>
      <c r="B9273" t="s">
        <v>2938</v>
      </c>
      <c r="C9273" t="s">
        <v>10</v>
      </c>
      <c r="D9273" t="s">
        <v>591</v>
      </c>
      <c r="E9273">
        <f t="shared" si="433"/>
        <v>1.3157894736842105E-2</v>
      </c>
      <c r="F9273">
        <v>21</v>
      </c>
      <c r="G9273">
        <f>LOG(382/(21+1))</f>
        <v>1.2396406820895025</v>
      </c>
      <c r="H9273">
        <f>0.0131578947368421*2.85437815524825</f>
        <v>3.7557607305898008E-2</v>
      </c>
      <c r="I9273">
        <v>3.7557607305898147E-2</v>
      </c>
    </row>
    <row r="9274" spans="1:9" x14ac:dyDescent="0.25">
      <c r="A9274">
        <v>391</v>
      </c>
      <c r="B9274" t="s">
        <v>2938</v>
      </c>
      <c r="C9274" t="s">
        <v>10</v>
      </c>
      <c r="D9274" t="s">
        <v>2942</v>
      </c>
      <c r="E9274">
        <f t="shared" si="433"/>
        <v>1.3157894736842105E-2</v>
      </c>
      <c r="F9274">
        <v>1</v>
      </c>
      <c r="G9274">
        <f>LOG(382/(1+1))</f>
        <v>2.2810333672477277</v>
      </c>
      <c r="H9274">
        <f>0.0131578947368421*5.25227342804663</f>
        <v>6.9108860895350357E-2</v>
      </c>
      <c r="I9274">
        <v>6.9108860895350385E-2</v>
      </c>
    </row>
    <row r="9275" spans="1:9" x14ac:dyDescent="0.25">
      <c r="A9275">
        <v>391</v>
      </c>
      <c r="B9275" t="s">
        <v>2938</v>
      </c>
      <c r="C9275" t="s">
        <v>10</v>
      </c>
      <c r="D9275" t="s">
        <v>188</v>
      </c>
      <c r="E9275">
        <f t="shared" si="433"/>
        <v>1.3157894736842105E-2</v>
      </c>
      <c r="F9275">
        <v>19</v>
      </c>
      <c r="G9275">
        <f>LOG(382/(19+1))</f>
        <v>1.2810333672477277</v>
      </c>
      <c r="H9275">
        <f>0.0131578947368421*2.94968833505258</f>
        <v>3.8811688619112876E-2</v>
      </c>
      <c r="I9275">
        <v>3.8811688619112952E-2</v>
      </c>
    </row>
    <row r="9276" spans="1:9" x14ac:dyDescent="0.25">
      <c r="A9276">
        <v>391</v>
      </c>
      <c r="B9276" t="s">
        <v>2938</v>
      </c>
      <c r="C9276" t="s">
        <v>10</v>
      </c>
      <c r="D9276" t="s">
        <v>905</v>
      </c>
      <c r="E9276">
        <f t="shared" si="433"/>
        <v>1.3157894736842105E-2</v>
      </c>
      <c r="F9276">
        <v>5</v>
      </c>
      <c r="G9276">
        <f>LOG(382/(5+1))</f>
        <v>1.803912112528065</v>
      </c>
      <c r="H9276">
        <f>0.0131578947368421*4.15366113937852</f>
        <v>5.4653436044454183E-2</v>
      </c>
      <c r="I9276">
        <v>5.4653436044454197E-2</v>
      </c>
    </row>
    <row r="9277" spans="1:9" x14ac:dyDescent="0.25">
      <c r="A9277">
        <v>391</v>
      </c>
      <c r="B9277" t="s">
        <v>2938</v>
      </c>
      <c r="C9277" t="s">
        <v>10</v>
      </c>
      <c r="D9277" t="s">
        <v>123</v>
      </c>
      <c r="E9277">
        <f t="shared" si="433"/>
        <v>1.3157894736842105E-2</v>
      </c>
      <c r="F9277">
        <v>74</v>
      </c>
      <c r="G9277">
        <f>LOG(382/(74+1))</f>
        <v>0.7070020995200087</v>
      </c>
      <c r="H9277">
        <f>0.0131578947368421*1.62793249507026</f>
        <v>2.1420164408819203E-2</v>
      </c>
      <c r="I9277">
        <v>2.1420164408819269E-2</v>
      </c>
    </row>
    <row r="9278" spans="1:9" x14ac:dyDescent="0.25">
      <c r="A9278">
        <v>391</v>
      </c>
      <c r="B9278" t="s">
        <v>2938</v>
      </c>
      <c r="C9278" t="s">
        <v>10</v>
      </c>
      <c r="D9278" t="s">
        <v>935</v>
      </c>
      <c r="E9278">
        <f t="shared" si="433"/>
        <v>1.3157894736842105E-2</v>
      </c>
      <c r="F9278">
        <v>2</v>
      </c>
      <c r="G9278">
        <f>LOG(382/(2+1))</f>
        <v>2.1049421081920463</v>
      </c>
      <c r="H9278">
        <f>0.0131578947368421*4.84680831993846</f>
        <v>6.3773793683400762E-2</v>
      </c>
      <c r="I9278">
        <v>6.3773793683400859E-2</v>
      </c>
    </row>
    <row r="9279" spans="1:9" x14ac:dyDescent="0.25">
      <c r="A9279">
        <v>391</v>
      </c>
      <c r="B9279" t="s">
        <v>2938</v>
      </c>
      <c r="C9279" t="s">
        <v>10</v>
      </c>
      <c r="D9279" t="s">
        <v>2943</v>
      </c>
      <c r="E9279">
        <f t="shared" si="433"/>
        <v>1.3157894736842105E-2</v>
      </c>
      <c r="F9279">
        <v>1</v>
      </c>
      <c r="G9279">
        <f>LOG(382/(1+1))</f>
        <v>2.2810333672477277</v>
      </c>
      <c r="H9279">
        <f>0.0131578947368421*5.25227342804663</f>
        <v>6.9108860895350357E-2</v>
      </c>
      <c r="I9279">
        <v>6.9108860895350385E-2</v>
      </c>
    </row>
    <row r="9280" spans="1:9" x14ac:dyDescent="0.25">
      <c r="A9280">
        <v>391</v>
      </c>
      <c r="B9280" t="s">
        <v>2938</v>
      </c>
      <c r="C9280" t="s">
        <v>10</v>
      </c>
      <c r="D9280" t="s">
        <v>2944</v>
      </c>
      <c r="E9280">
        <f t="shared" si="433"/>
        <v>1.3157894736842105E-2</v>
      </c>
      <c r="F9280">
        <v>1</v>
      </c>
      <c r="G9280">
        <f>LOG(382/(1+1))</f>
        <v>2.2810333672477277</v>
      </c>
      <c r="H9280">
        <f>0.0131578947368421*5.25227342804663</f>
        <v>6.9108860895350357E-2</v>
      </c>
      <c r="I9280">
        <v>6.9108860895350385E-2</v>
      </c>
    </row>
    <row r="9281" spans="1:9" x14ac:dyDescent="0.25">
      <c r="A9281">
        <v>391</v>
      </c>
      <c r="B9281" t="s">
        <v>2938</v>
      </c>
      <c r="C9281" t="s">
        <v>10</v>
      </c>
      <c r="D9281" t="s">
        <v>2468</v>
      </c>
      <c r="E9281">
        <f t="shared" si="433"/>
        <v>1.3157894736842105E-2</v>
      </c>
      <c r="F9281">
        <v>7</v>
      </c>
      <c r="G9281">
        <f>LOG(382/(7+1))</f>
        <v>1.6789733759197651</v>
      </c>
      <c r="H9281">
        <f>0.0131578947368421*3.86597906692673</f>
        <v>5.086814561745695E-2</v>
      </c>
      <c r="I9281">
        <v>5.0868145617457089E-2</v>
      </c>
    </row>
    <row r="9282" spans="1:9" x14ac:dyDescent="0.25">
      <c r="A9282">
        <v>391</v>
      </c>
      <c r="B9282" t="s">
        <v>2938</v>
      </c>
      <c r="C9282" t="s">
        <v>10</v>
      </c>
      <c r="D9282" t="s">
        <v>632</v>
      </c>
      <c r="E9282">
        <f t="shared" si="433"/>
        <v>1.3157894736842105E-2</v>
      </c>
      <c r="F9282">
        <v>7</v>
      </c>
      <c r="G9282">
        <f>LOG(382/(7+1))</f>
        <v>1.6789733759197651</v>
      </c>
      <c r="H9282">
        <f>0.0131578947368421*3.86597906692673</f>
        <v>5.086814561745695E-2</v>
      </c>
      <c r="I9282">
        <v>5.0868145617457089E-2</v>
      </c>
    </row>
    <row r="9283" spans="1:9" x14ac:dyDescent="0.25">
      <c r="A9283">
        <v>391</v>
      </c>
      <c r="B9283" t="s">
        <v>2938</v>
      </c>
      <c r="C9283" t="s">
        <v>10</v>
      </c>
      <c r="D9283" t="s">
        <v>133</v>
      </c>
      <c r="E9283">
        <f t="shared" si="433"/>
        <v>1.3157894736842105E-2</v>
      </c>
      <c r="F9283">
        <v>142</v>
      </c>
      <c r="G9283">
        <f>LOG(382/(142+1))</f>
        <v>0.42672732544664693</v>
      </c>
      <c r="H9283">
        <f>0.0131578947368421*0.982575978346667</f>
        <v>1.2928631294035086E-2</v>
      </c>
      <c r="I9283">
        <v>1.29286312940351E-2</v>
      </c>
    </row>
    <row r="9284" spans="1:9" x14ac:dyDescent="0.25">
      <c r="A9284">
        <v>391</v>
      </c>
      <c r="B9284" t="s">
        <v>2938</v>
      </c>
      <c r="C9284" t="s">
        <v>10</v>
      </c>
      <c r="D9284" t="s">
        <v>487</v>
      </c>
      <c r="E9284">
        <f t="shared" si="433"/>
        <v>1.3157894736842105E-2</v>
      </c>
      <c r="F9284">
        <v>32</v>
      </c>
      <c r="G9284">
        <f>LOG(382/(32+1))</f>
        <v>1.0635494230338212</v>
      </c>
      <c r="H9284">
        <f>0.0131578947368421*2.44891304714009</f>
        <v>3.2222540093948537E-2</v>
      </c>
      <c r="I9284">
        <v>3.2222540093948621E-2</v>
      </c>
    </row>
    <row r="9285" spans="1:9" x14ac:dyDescent="0.25">
      <c r="A9285">
        <v>391</v>
      </c>
      <c r="B9285" t="s">
        <v>2938</v>
      </c>
      <c r="C9285" t="s">
        <v>10</v>
      </c>
      <c r="D9285" t="s">
        <v>2450</v>
      </c>
      <c r="E9285">
        <f t="shared" si="433"/>
        <v>1.3157894736842105E-2</v>
      </c>
      <c r="F9285">
        <v>3</v>
      </c>
      <c r="G9285">
        <f>LOG(382/(3+1))</f>
        <v>1.9800033715837464</v>
      </c>
      <c r="H9285">
        <f>0.0131578947368421*4.55912624748668</f>
        <v>5.9988503256403661E-2</v>
      </c>
      <c r="I9285">
        <v>5.9988503256403737E-2</v>
      </c>
    </row>
    <row r="9286" spans="1:9" x14ac:dyDescent="0.25">
      <c r="A9286">
        <v>391</v>
      </c>
      <c r="B9286" t="s">
        <v>2938</v>
      </c>
      <c r="C9286" t="s">
        <v>10</v>
      </c>
      <c r="D9286" t="s">
        <v>938</v>
      </c>
      <c r="E9286">
        <f t="shared" si="433"/>
        <v>1.3157894736842105E-2</v>
      </c>
      <c r="F9286">
        <v>6</v>
      </c>
      <c r="G9286">
        <f>LOG(382/(6+1))</f>
        <v>1.736965322897452</v>
      </c>
      <c r="H9286">
        <f>0.0131578947368421*3.99951045955126</f>
        <v>5.2625137625674452E-2</v>
      </c>
      <c r="I9286">
        <v>5.2625137625674487E-2</v>
      </c>
    </row>
    <row r="9287" spans="1:9" x14ac:dyDescent="0.25">
      <c r="A9287">
        <v>392</v>
      </c>
      <c r="B9287" t="s">
        <v>2945</v>
      </c>
      <c r="C9287" t="s">
        <v>48</v>
      </c>
      <c r="D9287" t="s">
        <v>1792</v>
      </c>
      <c r="E9287">
        <f>1/21</f>
        <v>4.7619047619047616E-2</v>
      </c>
      <c r="F9287">
        <v>3</v>
      </c>
      <c r="G9287">
        <f>LOG(382/(3+1))</f>
        <v>1.9800033715837464</v>
      </c>
      <c r="H9287">
        <f>0.0476190476190476*4.55912624748668</f>
        <v>0.21710124988031801</v>
      </c>
      <c r="I9287">
        <v>0.21710124988031829</v>
      </c>
    </row>
    <row r="9288" spans="1:9" x14ac:dyDescent="0.25">
      <c r="A9288">
        <v>392</v>
      </c>
      <c r="B9288" t="s">
        <v>2945</v>
      </c>
      <c r="C9288" t="s">
        <v>48</v>
      </c>
      <c r="D9288" t="s">
        <v>184</v>
      </c>
      <c r="E9288">
        <f>1/21</f>
        <v>4.7619047619047616E-2</v>
      </c>
      <c r="F9288">
        <v>7</v>
      </c>
      <c r="G9288">
        <f>LOG(382/(7+1))</f>
        <v>1.6789733759197651</v>
      </c>
      <c r="H9288">
        <f>0.0476190476190476*3.86597906692673</f>
        <v>0.18409424128222518</v>
      </c>
      <c r="I9288">
        <v>0.18409424128222571</v>
      </c>
    </row>
    <row r="9289" spans="1:9" x14ac:dyDescent="0.25">
      <c r="A9289">
        <v>392</v>
      </c>
      <c r="B9289" t="s">
        <v>2945</v>
      </c>
      <c r="C9289" t="s">
        <v>48</v>
      </c>
      <c r="D9289" t="s">
        <v>1298</v>
      </c>
      <c r="E9289">
        <f>2/21</f>
        <v>9.5238095238095233E-2</v>
      </c>
      <c r="F9289">
        <v>4</v>
      </c>
      <c r="G9289">
        <f>LOG(382/(4+1))</f>
        <v>1.8830933585756899</v>
      </c>
      <c r="H9289">
        <f>0.0952380952380952*4.33598269617247</f>
        <v>0.41295073296880658</v>
      </c>
      <c r="I9289">
        <v>0.41295073296880708</v>
      </c>
    </row>
    <row r="9290" spans="1:9" x14ac:dyDescent="0.25">
      <c r="A9290">
        <v>392</v>
      </c>
      <c r="B9290" t="s">
        <v>2945</v>
      </c>
      <c r="C9290" t="s">
        <v>48</v>
      </c>
      <c r="D9290" t="s">
        <v>2946</v>
      </c>
      <c r="E9290">
        <f>2/21</f>
        <v>9.5238095238095233E-2</v>
      </c>
      <c r="F9290">
        <v>1</v>
      </c>
      <c r="G9290">
        <f>LOG(382/(1+1))</f>
        <v>2.2810333672477277</v>
      </c>
      <c r="H9290">
        <f>0.0952380952380952*5.25227342804663</f>
        <v>0.50021651695682168</v>
      </c>
      <c r="I9290">
        <v>0.5002165169568219</v>
      </c>
    </row>
    <row r="9291" spans="1:9" x14ac:dyDescent="0.25">
      <c r="A9291">
        <v>392</v>
      </c>
      <c r="B9291" t="s">
        <v>2945</v>
      </c>
      <c r="C9291" t="s">
        <v>48</v>
      </c>
      <c r="D9291" t="s">
        <v>458</v>
      </c>
      <c r="E9291">
        <f t="shared" ref="E9291:E9305" si="434">1/21</f>
        <v>4.7619047619047616E-2</v>
      </c>
      <c r="F9291">
        <v>34</v>
      </c>
      <c r="G9291">
        <f>LOG(382/(34+1))</f>
        <v>1.037995318561433</v>
      </c>
      <c r="H9291">
        <f>0.0476190476190476*2.39007254711716</f>
        <v>0.11381297843415043</v>
      </c>
      <c r="I9291">
        <v>0.1138129784341505</v>
      </c>
    </row>
    <row r="9292" spans="1:9" x14ac:dyDescent="0.25">
      <c r="A9292">
        <v>392</v>
      </c>
      <c r="B9292" t="s">
        <v>2945</v>
      </c>
      <c r="C9292" t="s">
        <v>48</v>
      </c>
      <c r="D9292" t="s">
        <v>53</v>
      </c>
      <c r="E9292">
        <f t="shared" si="434"/>
        <v>4.7619047619047616E-2</v>
      </c>
      <c r="F9292">
        <v>57</v>
      </c>
      <c r="G9292">
        <f>LOG(382/(57+1))</f>
        <v>0.81863536934877146</v>
      </c>
      <c r="H9292">
        <f>0.0476190476190476*1.88497759806015</f>
        <v>8.976083800286426E-2</v>
      </c>
      <c r="I9292">
        <v>8.9760838002864551E-2</v>
      </c>
    </row>
    <row r="9293" spans="1:9" x14ac:dyDescent="0.25">
      <c r="A9293">
        <v>392</v>
      </c>
      <c r="B9293" t="s">
        <v>2945</v>
      </c>
      <c r="C9293" t="s">
        <v>48</v>
      </c>
      <c r="D9293" t="s">
        <v>60</v>
      </c>
      <c r="E9293">
        <f t="shared" si="434"/>
        <v>4.7619047619047616E-2</v>
      </c>
      <c r="F9293">
        <v>24</v>
      </c>
      <c r="G9293">
        <f>LOG(382/(24+1))</f>
        <v>1.1841233542396712</v>
      </c>
      <c r="H9293">
        <f>0.0476190476190476*2.72654478373837</f>
        <v>0.12983546589230327</v>
      </c>
      <c r="I9293">
        <v>0.12983546589230349</v>
      </c>
    </row>
    <row r="9294" spans="1:9" x14ac:dyDescent="0.25">
      <c r="A9294">
        <v>392</v>
      </c>
      <c r="B9294" t="s">
        <v>2945</v>
      </c>
      <c r="C9294" t="s">
        <v>48</v>
      </c>
      <c r="D9294" t="s">
        <v>2947</v>
      </c>
      <c r="E9294">
        <f t="shared" si="434"/>
        <v>4.7619047619047616E-2</v>
      </c>
      <c r="F9294">
        <v>1</v>
      </c>
      <c r="G9294">
        <f>LOG(382/(1+1))</f>
        <v>2.2810333672477277</v>
      </c>
      <c r="H9294">
        <f>0.0476190476190476*5.25227342804663</f>
        <v>0.25010825847841084</v>
      </c>
      <c r="I9294">
        <v>0.25010825847841089</v>
      </c>
    </row>
    <row r="9295" spans="1:9" x14ac:dyDescent="0.25">
      <c r="A9295">
        <v>392</v>
      </c>
      <c r="B9295" t="s">
        <v>2945</v>
      </c>
      <c r="C9295" t="s">
        <v>48</v>
      </c>
      <c r="D9295" t="s">
        <v>2948</v>
      </c>
      <c r="E9295">
        <f t="shared" si="434"/>
        <v>4.7619047619047616E-2</v>
      </c>
      <c r="F9295">
        <v>1</v>
      </c>
      <c r="G9295">
        <f>LOG(382/(1+1))</f>
        <v>2.2810333672477277</v>
      </c>
      <c r="H9295">
        <f>0.0476190476190476*5.25227342804663</f>
        <v>0.25010825847841084</v>
      </c>
      <c r="I9295">
        <v>0.25010825847841089</v>
      </c>
    </row>
    <row r="9296" spans="1:9" x14ac:dyDescent="0.25">
      <c r="A9296">
        <v>392</v>
      </c>
      <c r="B9296" t="s">
        <v>2945</v>
      </c>
      <c r="C9296" t="s">
        <v>48</v>
      </c>
      <c r="D9296" t="s">
        <v>196</v>
      </c>
      <c r="E9296">
        <f t="shared" si="434"/>
        <v>4.7619047619047616E-2</v>
      </c>
      <c r="F9296">
        <v>33</v>
      </c>
      <c r="G9296">
        <f>LOG(382/(33+1))</f>
        <v>1.0505844458694535</v>
      </c>
      <c r="H9296">
        <f>0.0476190476190476*2.41906008399041</f>
        <v>0.11519333733287664</v>
      </c>
      <c r="I9296">
        <v>0.1151933373328768</v>
      </c>
    </row>
    <row r="9297" spans="1:9" x14ac:dyDescent="0.25">
      <c r="A9297">
        <v>392</v>
      </c>
      <c r="B9297" t="s">
        <v>2945</v>
      </c>
      <c r="C9297" t="s">
        <v>48</v>
      </c>
      <c r="D9297" t="s">
        <v>1325</v>
      </c>
      <c r="E9297">
        <f t="shared" si="434"/>
        <v>4.7619047619047616E-2</v>
      </c>
      <c r="F9297">
        <v>2</v>
      </c>
      <c r="G9297">
        <f>LOG(382/(2+1))</f>
        <v>2.1049421081920463</v>
      </c>
      <c r="H9297">
        <f>0.0476190476190476*4.84680831993846</f>
        <v>0.23080039618754564</v>
      </c>
      <c r="I9297">
        <v>0.23080039618754589</v>
      </c>
    </row>
    <row r="9298" spans="1:9" x14ac:dyDescent="0.25">
      <c r="A9298">
        <v>392</v>
      </c>
      <c r="B9298" t="s">
        <v>2945</v>
      </c>
      <c r="C9298" t="s">
        <v>48</v>
      </c>
      <c r="D9298" t="s">
        <v>1056</v>
      </c>
      <c r="E9298">
        <f t="shared" si="434"/>
        <v>4.7619047619047616E-2</v>
      </c>
      <c r="F9298">
        <v>3</v>
      </c>
      <c r="G9298">
        <f>LOG(382/(3+1))</f>
        <v>1.9800033715837464</v>
      </c>
      <c r="H9298">
        <f>0.0476190476190476*4.55912624748668</f>
        <v>0.21710124988031801</v>
      </c>
      <c r="I9298">
        <v>0.21710124988031829</v>
      </c>
    </row>
    <row r="9299" spans="1:9" x14ac:dyDescent="0.25">
      <c r="A9299">
        <v>392</v>
      </c>
      <c r="B9299" t="s">
        <v>2945</v>
      </c>
      <c r="C9299" t="s">
        <v>48</v>
      </c>
      <c r="D9299" t="s">
        <v>2949</v>
      </c>
      <c r="E9299">
        <f t="shared" si="434"/>
        <v>4.7619047619047616E-2</v>
      </c>
      <c r="F9299">
        <v>1</v>
      </c>
      <c r="G9299">
        <f>LOG(382/(1+1))</f>
        <v>2.2810333672477277</v>
      </c>
      <c r="H9299">
        <f>0.0476190476190476*5.25227342804663</f>
        <v>0.25010825847841084</v>
      </c>
      <c r="I9299">
        <v>0.25010825847841089</v>
      </c>
    </row>
    <row r="9300" spans="1:9" x14ac:dyDescent="0.25">
      <c r="A9300">
        <v>392</v>
      </c>
      <c r="B9300" t="s">
        <v>2945</v>
      </c>
      <c r="C9300" t="s">
        <v>48</v>
      </c>
      <c r="D9300" t="s">
        <v>36</v>
      </c>
      <c r="E9300">
        <f t="shared" si="434"/>
        <v>4.7619047619047616E-2</v>
      </c>
      <c r="F9300">
        <v>58</v>
      </c>
      <c r="G9300">
        <f>LOG(382/(58+1))</f>
        <v>0.81121135126956456</v>
      </c>
      <c r="H9300">
        <f>0.0476190476190476*1.86788316470085</f>
        <v>8.8946817366707107E-2</v>
      </c>
      <c r="I9300">
        <v>8.8946817366707398E-2</v>
      </c>
    </row>
    <row r="9301" spans="1:9" x14ac:dyDescent="0.25">
      <c r="A9301">
        <v>392</v>
      </c>
      <c r="B9301" t="s">
        <v>2945</v>
      </c>
      <c r="C9301" t="s">
        <v>48</v>
      </c>
      <c r="D9301" t="s">
        <v>2950</v>
      </c>
      <c r="E9301">
        <f t="shared" si="434"/>
        <v>4.7619047619047616E-2</v>
      </c>
      <c r="F9301">
        <v>1</v>
      </c>
      <c r="G9301">
        <f>LOG(382/(1+1))</f>
        <v>2.2810333672477277</v>
      </c>
      <c r="H9301">
        <f>0.0476190476190476*5.25227342804663</f>
        <v>0.25010825847841084</v>
      </c>
      <c r="I9301">
        <v>0.25010825847841089</v>
      </c>
    </row>
    <row r="9302" spans="1:9" x14ac:dyDescent="0.25">
      <c r="A9302">
        <v>392</v>
      </c>
      <c r="B9302" t="s">
        <v>2945</v>
      </c>
      <c r="C9302" t="s">
        <v>48</v>
      </c>
      <c r="D9302" t="s">
        <v>727</v>
      </c>
      <c r="E9302">
        <f t="shared" si="434"/>
        <v>4.7619047619047616E-2</v>
      </c>
      <c r="F9302">
        <v>9</v>
      </c>
      <c r="G9302">
        <f>LOG(382/(9+1))</f>
        <v>1.5820633629117087</v>
      </c>
      <c r="H9302">
        <f>0.0476190476190476*3.64283551561252</f>
        <v>0.17346835788631043</v>
      </c>
      <c r="I9302">
        <v>0.1734683578863109</v>
      </c>
    </row>
    <row r="9303" spans="1:9" x14ac:dyDescent="0.25">
      <c r="A9303">
        <v>392</v>
      </c>
      <c r="B9303" t="s">
        <v>2945</v>
      </c>
      <c r="C9303" t="s">
        <v>48</v>
      </c>
      <c r="D9303" t="s">
        <v>728</v>
      </c>
      <c r="E9303">
        <f t="shared" si="434"/>
        <v>4.7619047619047616E-2</v>
      </c>
      <c r="F9303">
        <v>9</v>
      </c>
      <c r="G9303">
        <f>LOG(382/(9+1))</f>
        <v>1.5820633629117087</v>
      </c>
      <c r="H9303">
        <f>0.0476190476190476*3.64283551561252</f>
        <v>0.17346835788631043</v>
      </c>
      <c r="I9303">
        <v>0.1734683578863109</v>
      </c>
    </row>
    <row r="9304" spans="1:9" x14ac:dyDescent="0.25">
      <c r="A9304">
        <v>392</v>
      </c>
      <c r="B9304" t="s">
        <v>2945</v>
      </c>
      <c r="C9304" t="s">
        <v>48</v>
      </c>
      <c r="D9304" t="s">
        <v>17</v>
      </c>
      <c r="E9304">
        <f t="shared" si="434"/>
        <v>4.7619047619047616E-2</v>
      </c>
      <c r="F9304">
        <v>169</v>
      </c>
      <c r="G9304">
        <f>LOG(382/(169+1))</f>
        <v>0.3516144415334348</v>
      </c>
      <c r="H9304">
        <f>0.0476190476190476*0.809622171556313</f>
        <v>3.8553436740776797E-2</v>
      </c>
      <c r="I9304">
        <v>3.8553436740776832E-2</v>
      </c>
    </row>
    <row r="9305" spans="1:9" x14ac:dyDescent="0.25">
      <c r="A9305">
        <v>392</v>
      </c>
      <c r="B9305" t="s">
        <v>2945</v>
      </c>
      <c r="C9305" t="s">
        <v>48</v>
      </c>
      <c r="D9305" t="s">
        <v>250</v>
      </c>
      <c r="E9305">
        <f t="shared" si="434"/>
        <v>4.7619047619047616E-2</v>
      </c>
      <c r="F9305">
        <v>14</v>
      </c>
      <c r="G9305">
        <f>LOG(382/(14+1))</f>
        <v>1.4059721038560276</v>
      </c>
      <c r="H9305">
        <f>0.0476190476190476*3.23737040750436</f>
        <v>0.15416049559544565</v>
      </c>
      <c r="I9305">
        <v>0.15416049559544601</v>
      </c>
    </row>
    <row r="9306" spans="1:9" x14ac:dyDescent="0.25">
      <c r="A9306">
        <v>393</v>
      </c>
      <c r="B9306" t="s">
        <v>2951</v>
      </c>
      <c r="C9306" t="s">
        <v>10</v>
      </c>
      <c r="D9306" t="s">
        <v>315</v>
      </c>
      <c r="E9306">
        <f>3/89</f>
        <v>3.3707865168539325E-2</v>
      </c>
      <c r="F9306">
        <v>55</v>
      </c>
      <c r="G9306">
        <f>LOG(382/(55+1))</f>
        <v>0.83387533590550833</v>
      </c>
      <c r="H9306">
        <f>0.0337078651685393*1.92006891787142</f>
        <v>6.4721424197912977E-2</v>
      </c>
      <c r="I9306">
        <v>6.4721424197913227E-2</v>
      </c>
    </row>
    <row r="9307" spans="1:9" x14ac:dyDescent="0.25">
      <c r="A9307">
        <v>393</v>
      </c>
      <c r="B9307" t="s">
        <v>2951</v>
      </c>
      <c r="C9307" t="s">
        <v>10</v>
      </c>
      <c r="D9307" t="s">
        <v>2952</v>
      </c>
      <c r="E9307">
        <f>2/89</f>
        <v>2.247191011235955E-2</v>
      </c>
      <c r="F9307">
        <v>1</v>
      </c>
      <c r="G9307">
        <f>LOG(382/(1+1))</f>
        <v>2.2810333672477277</v>
      </c>
      <c r="H9307">
        <f>0.0224719101123595*5.25227342804663</f>
        <v>0.11802861636059817</v>
      </c>
      <c r="I9307">
        <v>0.1180286163605984</v>
      </c>
    </row>
    <row r="9308" spans="1:9" x14ac:dyDescent="0.25">
      <c r="A9308">
        <v>393</v>
      </c>
      <c r="B9308" t="s">
        <v>2951</v>
      </c>
      <c r="C9308" t="s">
        <v>10</v>
      </c>
      <c r="D9308" t="s">
        <v>15</v>
      </c>
      <c r="E9308">
        <f>4/89</f>
        <v>4.49438202247191E-2</v>
      </c>
      <c r="F9308">
        <v>112</v>
      </c>
      <c r="G9308">
        <f>LOG(382/(112+1))</f>
        <v>0.52898491942828896</v>
      </c>
      <c r="H9308">
        <f>0.0449438202247191*1.21803278989423</f>
        <v>5.4743046736819324E-2</v>
      </c>
      <c r="I9308">
        <v>5.4743046736819533E-2</v>
      </c>
    </row>
    <row r="9309" spans="1:9" x14ac:dyDescent="0.25">
      <c r="A9309">
        <v>393</v>
      </c>
      <c r="B9309" t="s">
        <v>2951</v>
      </c>
      <c r="C9309" t="s">
        <v>10</v>
      </c>
      <c r="D9309" t="s">
        <v>1122</v>
      </c>
      <c r="E9309">
        <f>5/89</f>
        <v>5.6179775280898875E-2</v>
      </c>
      <c r="F9309">
        <v>4</v>
      </c>
      <c r="G9309">
        <f>LOG(382/(4+1))</f>
        <v>1.8830933585756899</v>
      </c>
      <c r="H9309">
        <f>0.0561797752808988*4.33598269617247</f>
        <v>0.24359453349283508</v>
      </c>
      <c r="I9309">
        <v>0.24359453349283569</v>
      </c>
    </row>
    <row r="9310" spans="1:9" x14ac:dyDescent="0.25">
      <c r="A9310">
        <v>393</v>
      </c>
      <c r="B9310" t="s">
        <v>2951</v>
      </c>
      <c r="C9310" t="s">
        <v>10</v>
      </c>
      <c r="D9310" t="s">
        <v>17</v>
      </c>
      <c r="E9310">
        <f>1/89</f>
        <v>1.1235955056179775E-2</v>
      </c>
      <c r="F9310">
        <v>169</v>
      </c>
      <c r="G9310">
        <f>LOG(382/(169+1))</f>
        <v>0.3516144415334348</v>
      </c>
      <c r="H9310">
        <f>0.0112359550561797*0.809622171556313</f>
        <v>9.0968783320933434E-3</v>
      </c>
      <c r="I9310">
        <v>9.0968783320934093E-3</v>
      </c>
    </row>
    <row r="9311" spans="1:9" x14ac:dyDescent="0.25">
      <c r="A9311">
        <v>393</v>
      </c>
      <c r="B9311" t="s">
        <v>2951</v>
      </c>
      <c r="C9311" t="s">
        <v>10</v>
      </c>
      <c r="D9311" t="s">
        <v>1838</v>
      </c>
      <c r="E9311">
        <f>1/89</f>
        <v>1.1235955056179775E-2</v>
      </c>
      <c r="F9311">
        <v>5</v>
      </c>
      <c r="G9311">
        <f>LOG(382/(5+1))</f>
        <v>1.803912112528065</v>
      </c>
      <c r="H9311">
        <f>0.0112359550561797*4.15366113937852</f>
        <v>4.6670349880657214E-2</v>
      </c>
      <c r="I9311">
        <v>4.6670349880657533E-2</v>
      </c>
    </row>
    <row r="9312" spans="1:9" x14ac:dyDescent="0.25">
      <c r="A9312">
        <v>393</v>
      </c>
      <c r="B9312" t="s">
        <v>2951</v>
      </c>
      <c r="C9312" t="s">
        <v>10</v>
      </c>
      <c r="D9312" t="s">
        <v>19</v>
      </c>
      <c r="E9312">
        <f>2/89</f>
        <v>2.247191011235955E-2</v>
      </c>
      <c r="F9312">
        <v>220</v>
      </c>
      <c r="G9312">
        <f>LOG(382/(220+1))</f>
        <v>0.23767108922659805</v>
      </c>
      <c r="H9312">
        <f>0.0224719101123595*0.547257907088822</f>
        <v>1.2297930496377996E-2</v>
      </c>
      <c r="I9312">
        <v>1.2297930496378029E-2</v>
      </c>
    </row>
    <row r="9313" spans="1:9" x14ac:dyDescent="0.25">
      <c r="A9313">
        <v>393</v>
      </c>
      <c r="B9313" t="s">
        <v>2951</v>
      </c>
      <c r="C9313" t="s">
        <v>10</v>
      </c>
      <c r="D9313" t="s">
        <v>41</v>
      </c>
      <c r="E9313">
        <f>5/89</f>
        <v>5.6179775280898875E-2</v>
      </c>
      <c r="F9313">
        <v>195</v>
      </c>
      <c r="G9313">
        <f>LOG(382/(195+1))</f>
        <v>0.28980729155523272</v>
      </c>
      <c r="H9313">
        <f>0.0561797752808988*0.667305949376058</f>
        <v>3.7489098279553768E-2</v>
      </c>
      <c r="I9313">
        <v>3.7489098279553823E-2</v>
      </c>
    </row>
    <row r="9314" spans="1:9" x14ac:dyDescent="0.25">
      <c r="A9314">
        <v>393</v>
      </c>
      <c r="B9314" t="s">
        <v>2951</v>
      </c>
      <c r="C9314" t="s">
        <v>10</v>
      </c>
      <c r="D9314" t="s">
        <v>2953</v>
      </c>
      <c r="E9314">
        <f>1/89</f>
        <v>1.1235955056179775E-2</v>
      </c>
      <c r="F9314">
        <v>1</v>
      </c>
      <c r="G9314">
        <f>LOG(382/(1+1))</f>
        <v>2.2810333672477277</v>
      </c>
      <c r="H9314">
        <f>0.0112359550561797*5.25227342804663</f>
        <v>5.9014308180298819E-2</v>
      </c>
      <c r="I9314">
        <v>5.9014308180299208E-2</v>
      </c>
    </row>
    <row r="9315" spans="1:9" x14ac:dyDescent="0.25">
      <c r="A9315">
        <v>393</v>
      </c>
      <c r="B9315" t="s">
        <v>2951</v>
      </c>
      <c r="C9315" t="s">
        <v>10</v>
      </c>
      <c r="D9315" t="s">
        <v>22</v>
      </c>
      <c r="E9315">
        <f>1/89</f>
        <v>1.1235955056179775E-2</v>
      </c>
      <c r="F9315">
        <v>259</v>
      </c>
      <c r="G9315">
        <f>LOG(382/(259+1))</f>
        <v>0.16709001494089079</v>
      </c>
      <c r="H9315">
        <f>0.0112359550561797*0.384738977591047</f>
        <v>4.3229098605735332E-3</v>
      </c>
      <c r="I9315">
        <v>4.3229098605735679E-3</v>
      </c>
    </row>
    <row r="9316" spans="1:9" x14ac:dyDescent="0.25">
      <c r="A9316">
        <v>393</v>
      </c>
      <c r="B9316" t="s">
        <v>2951</v>
      </c>
      <c r="C9316" t="s">
        <v>10</v>
      </c>
      <c r="D9316" t="s">
        <v>23</v>
      </c>
      <c r="E9316">
        <f>1/89</f>
        <v>1.1235955056179775E-2</v>
      </c>
      <c r="F9316">
        <v>275</v>
      </c>
      <c r="G9316">
        <f>LOG(382/(275+1))</f>
        <v>0.14115428084649101</v>
      </c>
      <c r="H9316">
        <f>0.0112359550561797*0.325019742889425</f>
        <v>3.6519072234766606E-3</v>
      </c>
      <c r="I9316">
        <v>3.6519072234766871E-3</v>
      </c>
    </row>
    <row r="9317" spans="1:9" x14ac:dyDescent="0.25">
      <c r="A9317">
        <v>393</v>
      </c>
      <c r="B9317" t="s">
        <v>2951</v>
      </c>
      <c r="C9317" t="s">
        <v>10</v>
      </c>
      <c r="D9317" t="s">
        <v>247</v>
      </c>
      <c r="E9317">
        <f>3/89</f>
        <v>3.3707865168539325E-2</v>
      </c>
      <c r="F9317">
        <v>121</v>
      </c>
      <c r="G9317">
        <f>LOG(382/(121+1))</f>
        <v>0.49570353223696051</v>
      </c>
      <c r="H9317">
        <f>0.0337078651685393*1.14139956387331</f>
        <v>3.8474142602471097E-2</v>
      </c>
      <c r="I9317">
        <v>3.8474142602471423E-2</v>
      </c>
    </row>
    <row r="9318" spans="1:9" x14ac:dyDescent="0.25">
      <c r="A9318">
        <v>393</v>
      </c>
      <c r="B9318" t="s">
        <v>2951</v>
      </c>
      <c r="C9318" t="s">
        <v>10</v>
      </c>
      <c r="D9318" t="s">
        <v>39</v>
      </c>
      <c r="E9318">
        <f>4/89</f>
        <v>4.49438202247191E-2</v>
      </c>
      <c r="F9318">
        <v>145</v>
      </c>
      <c r="G9318">
        <f>LOG(382/(145+1))</f>
        <v>0.41771050712727159</v>
      </c>
      <c r="H9318">
        <f>0.0449438202247191*0.961813986898238</f>
        <v>4.3227594916774741E-2</v>
      </c>
      <c r="I9318">
        <v>4.3227594916774782E-2</v>
      </c>
    </row>
    <row r="9319" spans="1:9" x14ac:dyDescent="0.25">
      <c r="A9319">
        <v>393</v>
      </c>
      <c r="B9319" t="s">
        <v>2951</v>
      </c>
      <c r="C9319" t="s">
        <v>10</v>
      </c>
      <c r="D9319" t="s">
        <v>204</v>
      </c>
      <c r="E9319">
        <f>1/89</f>
        <v>1.1235955056179775E-2</v>
      </c>
      <c r="F9319">
        <v>166</v>
      </c>
      <c r="G9319">
        <f>LOG(382/(166+1))</f>
        <v>0.35934689176412549</v>
      </c>
      <c r="H9319">
        <f>0.0112359550561797*0.82742679618982</f>
        <v>9.2969302942675774E-3</v>
      </c>
      <c r="I9319">
        <v>9.2969302942676416E-3</v>
      </c>
    </row>
    <row r="9320" spans="1:9" x14ac:dyDescent="0.25">
      <c r="A9320">
        <v>393</v>
      </c>
      <c r="B9320" t="s">
        <v>2951</v>
      </c>
      <c r="C9320" t="s">
        <v>10</v>
      </c>
      <c r="D9320" t="s">
        <v>76</v>
      </c>
      <c r="E9320">
        <f>3/89</f>
        <v>3.3707865168539325E-2</v>
      </c>
      <c r="F9320">
        <v>140</v>
      </c>
      <c r="G9320">
        <f>LOG(382/(140+1))</f>
        <v>0.43284425025632883</v>
      </c>
      <c r="H9320">
        <f>0.0337078651685393*0.996660718228407</f>
        <v>3.3595305108822679E-2</v>
      </c>
      <c r="I9320">
        <v>3.3595305108822707E-2</v>
      </c>
    </row>
    <row r="9321" spans="1:9" x14ac:dyDescent="0.25">
      <c r="A9321">
        <v>393</v>
      </c>
      <c r="B9321" t="s">
        <v>2951</v>
      </c>
      <c r="C9321" t="s">
        <v>10</v>
      </c>
      <c r="D9321" t="s">
        <v>77</v>
      </c>
      <c r="E9321">
        <f>4/89</f>
        <v>4.49438202247191E-2</v>
      </c>
      <c r="F9321">
        <v>148</v>
      </c>
      <c r="G9321">
        <f>LOG(382/(148+1))</f>
        <v>0.40887709449943471</v>
      </c>
      <c r="H9321">
        <f>0.0449438202247191*0.941474302661116</f>
        <v>4.2313451804993976E-2</v>
      </c>
      <c r="I9321">
        <v>4.2313451804993983E-2</v>
      </c>
    </row>
    <row r="9322" spans="1:9" x14ac:dyDescent="0.25">
      <c r="A9322">
        <v>393</v>
      </c>
      <c r="B9322" t="s">
        <v>2951</v>
      </c>
      <c r="C9322" t="s">
        <v>10</v>
      </c>
      <c r="D9322" t="s">
        <v>40</v>
      </c>
      <c r="E9322">
        <f>3/89</f>
        <v>3.3707865168539325E-2</v>
      </c>
      <c r="F9322">
        <v>159</v>
      </c>
      <c r="G9322">
        <f>LOG(382/(159+1))</f>
        <v>0.377943380255784</v>
      </c>
      <c r="H9322">
        <f>0.0337078651685393*0.870246793372748</f>
        <v>2.9334161574362267E-2</v>
      </c>
      <c r="I9322">
        <v>2.9334161574362302E-2</v>
      </c>
    </row>
    <row r="9323" spans="1:9" x14ac:dyDescent="0.25">
      <c r="A9323">
        <v>393</v>
      </c>
      <c r="B9323" t="s">
        <v>2951</v>
      </c>
      <c r="C9323" t="s">
        <v>10</v>
      </c>
      <c r="D9323" t="s">
        <v>105</v>
      </c>
      <c r="E9323">
        <f>2/89</f>
        <v>2.247191011235955E-2</v>
      </c>
      <c r="F9323">
        <v>122</v>
      </c>
      <c r="G9323">
        <f>LOG(382/(122+1))</f>
        <v>0.49215825147231079</v>
      </c>
      <c r="H9323">
        <f>0.0224719101123595*1.13323625323415</f>
        <v>2.5465983218744888E-2</v>
      </c>
      <c r="I9323">
        <v>2.546598321874511E-2</v>
      </c>
    </row>
    <row r="9324" spans="1:9" x14ac:dyDescent="0.25">
      <c r="A9324">
        <v>393</v>
      </c>
      <c r="B9324" t="s">
        <v>2951</v>
      </c>
      <c r="C9324" t="s">
        <v>10</v>
      </c>
      <c r="D9324" t="s">
        <v>477</v>
      </c>
      <c r="E9324">
        <f>2/89</f>
        <v>2.247191011235955E-2</v>
      </c>
      <c r="F9324">
        <v>17</v>
      </c>
      <c r="G9324">
        <f>LOG(382/(17+1))</f>
        <v>1.3267908578084027</v>
      </c>
      <c r="H9324">
        <f>0.0224719101123595*3.05504885071041</f>
        <v>6.8652783162031536E-2</v>
      </c>
      <c r="I9324">
        <v>6.8652783162031689E-2</v>
      </c>
    </row>
    <row r="9325" spans="1:9" x14ac:dyDescent="0.25">
      <c r="A9325">
        <v>393</v>
      </c>
      <c r="B9325" t="s">
        <v>2951</v>
      </c>
      <c r="C9325" t="s">
        <v>10</v>
      </c>
      <c r="D9325" t="s">
        <v>1081</v>
      </c>
      <c r="E9325">
        <f>1/89</f>
        <v>1.1235955056179775E-2</v>
      </c>
      <c r="F9325">
        <v>27</v>
      </c>
      <c r="G9325">
        <f>LOG(382/(27+1))</f>
        <v>1.1349053315694895</v>
      </c>
      <c r="H9325">
        <f>0.0112359550561797*2.61321609843137</f>
        <v>2.9361978634060142E-2</v>
      </c>
      <c r="I9325">
        <v>2.936197863406035E-2</v>
      </c>
    </row>
    <row r="9326" spans="1:9" x14ac:dyDescent="0.25">
      <c r="A9326">
        <v>393</v>
      </c>
      <c r="B9326" t="s">
        <v>2951</v>
      </c>
      <c r="C9326" t="s">
        <v>10</v>
      </c>
      <c r="D9326" t="s">
        <v>152</v>
      </c>
      <c r="E9326">
        <f>1/89</f>
        <v>1.1235955056179775E-2</v>
      </c>
      <c r="F9326">
        <v>31</v>
      </c>
      <c r="G9326">
        <f>LOG(382/(31+1))</f>
        <v>1.0769133845918029</v>
      </c>
      <c r="H9326">
        <f>0.0112359550561797*2.47968470580684</f>
        <v>2.7861625907941834E-2</v>
      </c>
      <c r="I9326">
        <v>2.7861625907942118E-2</v>
      </c>
    </row>
    <row r="9327" spans="1:9" x14ac:dyDescent="0.25">
      <c r="A9327">
        <v>393</v>
      </c>
      <c r="B9327" t="s">
        <v>2951</v>
      </c>
      <c r="C9327" t="s">
        <v>10</v>
      </c>
      <c r="D9327" t="s">
        <v>2954</v>
      </c>
      <c r="E9327">
        <f>1/89</f>
        <v>1.1235955056179775E-2</v>
      </c>
      <c r="F9327">
        <v>1</v>
      </c>
      <c r="G9327">
        <f>LOG(382/(1+1))</f>
        <v>2.2810333672477277</v>
      </c>
      <c r="H9327">
        <f>0.0112359550561797*5.25227342804663</f>
        <v>5.9014308180298819E-2</v>
      </c>
      <c r="I9327">
        <v>5.9014308180299208E-2</v>
      </c>
    </row>
    <row r="9328" spans="1:9" x14ac:dyDescent="0.25">
      <c r="A9328">
        <v>393</v>
      </c>
      <c r="B9328" t="s">
        <v>2951</v>
      </c>
      <c r="C9328" t="s">
        <v>10</v>
      </c>
      <c r="D9328" t="s">
        <v>994</v>
      </c>
      <c r="E9328">
        <f>2/89</f>
        <v>2.247191011235955E-2</v>
      </c>
      <c r="F9328">
        <v>37</v>
      </c>
      <c r="G9328">
        <f>LOG(382/(37+1))</f>
        <v>1.0022797662948986</v>
      </c>
      <c r="H9328">
        <f>0.0224719101123595*2.30783444888018</f>
        <v>5.1861448289442127E-2</v>
      </c>
      <c r="I9328">
        <v>5.1861448289442447E-2</v>
      </c>
    </row>
    <row r="9329" spans="1:9" x14ac:dyDescent="0.25">
      <c r="A9329">
        <v>393</v>
      </c>
      <c r="B9329" t="s">
        <v>2951</v>
      </c>
      <c r="C9329" t="s">
        <v>10</v>
      </c>
      <c r="D9329" t="s">
        <v>327</v>
      </c>
      <c r="E9329">
        <f t="shared" ref="E9329:E9351" si="435">1/89</f>
        <v>1.1235955056179775E-2</v>
      </c>
      <c r="F9329">
        <v>46</v>
      </c>
      <c r="G9329">
        <f>LOG(382/(46+1))</f>
        <v>0.90996550497599127</v>
      </c>
      <c r="H9329">
        <f>0.0112359550561797*2.09527300689651</f>
        <v>2.3542393335915689E-2</v>
      </c>
      <c r="I9329">
        <v>2.3542393335915911E-2</v>
      </c>
    </row>
    <row r="9330" spans="1:9" x14ac:dyDescent="0.25">
      <c r="A9330">
        <v>393</v>
      </c>
      <c r="B9330" t="s">
        <v>2951</v>
      </c>
      <c r="C9330" t="s">
        <v>10</v>
      </c>
      <c r="D9330" t="s">
        <v>1083</v>
      </c>
      <c r="E9330">
        <f t="shared" si="435"/>
        <v>1.1235955056179775E-2</v>
      </c>
      <c r="F9330">
        <v>51</v>
      </c>
      <c r="G9330">
        <f>LOG(382/(51+1))</f>
        <v>0.86606001927690957</v>
      </c>
      <c r="H9330">
        <f>0.0112359550561797*1.99417689002514</f>
        <v>2.2406481910394682E-2</v>
      </c>
      <c r="I9330">
        <v>2.2406481910394922E-2</v>
      </c>
    </row>
    <row r="9331" spans="1:9" x14ac:dyDescent="0.25">
      <c r="A9331">
        <v>393</v>
      </c>
      <c r="B9331" t="s">
        <v>2951</v>
      </c>
      <c r="C9331" t="s">
        <v>10</v>
      </c>
      <c r="D9331" t="s">
        <v>133</v>
      </c>
      <c r="E9331">
        <f t="shared" si="435"/>
        <v>1.1235955056179775E-2</v>
      </c>
      <c r="F9331">
        <v>142</v>
      </c>
      <c r="G9331">
        <f>LOG(382/(142+1))</f>
        <v>0.42672732544664693</v>
      </c>
      <c r="H9331">
        <f>0.0112359550561797*0.982575978346667</f>
        <v>1.1040179531984948E-2</v>
      </c>
      <c r="I9331">
        <v>1.104017953198503E-2</v>
      </c>
    </row>
    <row r="9332" spans="1:9" x14ac:dyDescent="0.25">
      <c r="A9332">
        <v>393</v>
      </c>
      <c r="B9332" t="s">
        <v>2951</v>
      </c>
      <c r="C9332" t="s">
        <v>10</v>
      </c>
      <c r="D9332" t="s">
        <v>2955</v>
      </c>
      <c r="E9332">
        <f t="shared" si="435"/>
        <v>1.1235955056179775E-2</v>
      </c>
      <c r="F9332">
        <v>1</v>
      </c>
      <c r="G9332">
        <f>LOG(382/(1+1))</f>
        <v>2.2810333672477277</v>
      </c>
      <c r="H9332">
        <f>0.0112359550561797*5.25227342804663</f>
        <v>5.9014308180298819E-2</v>
      </c>
      <c r="I9332">
        <v>5.9014308180299208E-2</v>
      </c>
    </row>
    <row r="9333" spans="1:9" x14ac:dyDescent="0.25">
      <c r="A9333">
        <v>393</v>
      </c>
      <c r="B9333" t="s">
        <v>2951</v>
      </c>
      <c r="C9333" t="s">
        <v>10</v>
      </c>
      <c r="D9333" t="s">
        <v>25</v>
      </c>
      <c r="E9333">
        <f t="shared" si="435"/>
        <v>1.1235955056179775E-2</v>
      </c>
      <c r="F9333">
        <v>106</v>
      </c>
      <c r="G9333">
        <f>LOG(382/(106+1))</f>
        <v>0.55267958522649907</v>
      </c>
      <c r="H9333">
        <f>0.0112359550561797*1.27259177414466</f>
        <v>1.4298783979153388E-2</v>
      </c>
      <c r="I9333">
        <v>1.429878397915359E-2</v>
      </c>
    </row>
    <row r="9334" spans="1:9" x14ac:dyDescent="0.25">
      <c r="A9334">
        <v>393</v>
      </c>
      <c r="B9334" t="s">
        <v>2951</v>
      </c>
      <c r="C9334" t="s">
        <v>10</v>
      </c>
      <c r="D9334" t="s">
        <v>215</v>
      </c>
      <c r="E9334">
        <f t="shared" si="435"/>
        <v>1.1235955056179775E-2</v>
      </c>
      <c r="F9334">
        <v>25</v>
      </c>
      <c r="G9334">
        <f>LOG(382/(25+1))</f>
        <v>1.1670900149408907</v>
      </c>
      <c r="H9334">
        <f>0.0112359550561797*2.68732407058509</f>
        <v>3.0194652478483956E-2</v>
      </c>
      <c r="I9334">
        <v>3.0194652478484189E-2</v>
      </c>
    </row>
    <row r="9335" spans="1:9" x14ac:dyDescent="0.25">
      <c r="A9335">
        <v>393</v>
      </c>
      <c r="B9335" t="s">
        <v>2951</v>
      </c>
      <c r="C9335" t="s">
        <v>10</v>
      </c>
      <c r="D9335" t="s">
        <v>216</v>
      </c>
      <c r="E9335">
        <f t="shared" si="435"/>
        <v>1.1235955056179775E-2</v>
      </c>
      <c r="F9335">
        <v>63</v>
      </c>
      <c r="G9335">
        <f>LOG(382/(63+1))</f>
        <v>0.7758833889278216</v>
      </c>
      <c r="H9335">
        <f>0.0112359550561797*1.7865375252469</f>
        <v>2.0073455339852674E-2</v>
      </c>
      <c r="I9335">
        <v>2.0073455339852851E-2</v>
      </c>
    </row>
    <row r="9336" spans="1:9" x14ac:dyDescent="0.25">
      <c r="A9336">
        <v>393</v>
      </c>
      <c r="B9336" t="s">
        <v>2951</v>
      </c>
      <c r="C9336" t="s">
        <v>10</v>
      </c>
      <c r="D9336" t="s">
        <v>442</v>
      </c>
      <c r="E9336">
        <f t="shared" si="435"/>
        <v>1.1235955056179775E-2</v>
      </c>
      <c r="F9336">
        <v>9</v>
      </c>
      <c r="G9336">
        <f>LOG(382/(9+1))</f>
        <v>1.5820633629117087</v>
      </c>
      <c r="H9336">
        <f>0.0112359550561797*3.64283551561252</f>
        <v>4.0930736130477478E-2</v>
      </c>
      <c r="I9336">
        <v>4.093073613047786E-2</v>
      </c>
    </row>
    <row r="9337" spans="1:9" x14ac:dyDescent="0.25">
      <c r="A9337">
        <v>393</v>
      </c>
      <c r="B9337" t="s">
        <v>2951</v>
      </c>
      <c r="C9337" t="s">
        <v>10</v>
      </c>
      <c r="D9337" t="s">
        <v>331</v>
      </c>
      <c r="E9337">
        <f t="shared" si="435"/>
        <v>1.1235955056179775E-2</v>
      </c>
      <c r="F9337">
        <v>130</v>
      </c>
      <c r="G9337">
        <f>LOG(382/(130+1))</f>
        <v>0.46479206725594452</v>
      </c>
      <c r="H9337">
        <f>0.0112359550561797*1.07022328540542</f>
        <v>1.202498073489228E-2</v>
      </c>
      <c r="I9337">
        <v>1.20249807348924E-2</v>
      </c>
    </row>
    <row r="9338" spans="1:9" x14ac:dyDescent="0.25">
      <c r="A9338">
        <v>393</v>
      </c>
      <c r="B9338" t="s">
        <v>2951</v>
      </c>
      <c r="C9338" t="s">
        <v>10</v>
      </c>
      <c r="D9338" t="s">
        <v>939</v>
      </c>
      <c r="E9338">
        <f t="shared" si="435"/>
        <v>1.1235955056179775E-2</v>
      </c>
      <c r="F9338">
        <v>35</v>
      </c>
      <c r="G9338">
        <f>LOG(382/(35+1))</f>
        <v>1.0257608621444214</v>
      </c>
      <c r="H9338">
        <f>0.0112359550561797*2.36190167015046</f>
        <v>2.6538221012926341E-2</v>
      </c>
      <c r="I9338">
        <v>2.653822101292657E-2</v>
      </c>
    </row>
    <row r="9339" spans="1:9" x14ac:dyDescent="0.25">
      <c r="A9339">
        <v>393</v>
      </c>
      <c r="B9339" t="s">
        <v>2951</v>
      </c>
      <c r="C9339" t="s">
        <v>10</v>
      </c>
      <c r="D9339" t="s">
        <v>1608</v>
      </c>
      <c r="E9339">
        <f t="shared" si="435"/>
        <v>1.1235955056179775E-2</v>
      </c>
      <c r="F9339">
        <v>13</v>
      </c>
      <c r="G9339">
        <f>LOG(382/(13+1))</f>
        <v>1.4359353272334707</v>
      </c>
      <c r="H9339">
        <f>0.0112359550561797*3.30636327899131</f>
        <v>3.7150149202149305E-2</v>
      </c>
      <c r="I9339">
        <v>3.7150149202149617E-2</v>
      </c>
    </row>
    <row r="9340" spans="1:9" x14ac:dyDescent="0.25">
      <c r="A9340">
        <v>393</v>
      </c>
      <c r="B9340" t="s">
        <v>2951</v>
      </c>
      <c r="C9340" t="s">
        <v>10</v>
      </c>
      <c r="D9340" t="s">
        <v>1986</v>
      </c>
      <c r="E9340">
        <f t="shared" si="435"/>
        <v>1.1235955056179775E-2</v>
      </c>
      <c r="F9340">
        <v>5</v>
      </c>
      <c r="G9340">
        <f>LOG(382/(5+1))</f>
        <v>1.803912112528065</v>
      </c>
      <c r="H9340">
        <f>0.0112359550561797*4.15366113937852</f>
        <v>4.6670349880657214E-2</v>
      </c>
      <c r="I9340">
        <v>4.6670349880657533E-2</v>
      </c>
    </row>
    <row r="9341" spans="1:9" x14ac:dyDescent="0.25">
      <c r="A9341">
        <v>393</v>
      </c>
      <c r="B9341" t="s">
        <v>2951</v>
      </c>
      <c r="C9341" t="s">
        <v>10</v>
      </c>
      <c r="D9341" t="s">
        <v>2956</v>
      </c>
      <c r="E9341">
        <f t="shared" si="435"/>
        <v>1.1235955056179775E-2</v>
      </c>
      <c r="F9341">
        <v>1</v>
      </c>
      <c r="G9341">
        <f>LOG(382/(1+1))</f>
        <v>2.2810333672477277</v>
      </c>
      <c r="H9341">
        <f>0.0112359550561797*5.25227342804663</f>
        <v>5.9014308180298819E-2</v>
      </c>
      <c r="I9341">
        <v>5.9014308180299208E-2</v>
      </c>
    </row>
    <row r="9342" spans="1:9" x14ac:dyDescent="0.25">
      <c r="A9342">
        <v>393</v>
      </c>
      <c r="B9342" t="s">
        <v>2951</v>
      </c>
      <c r="C9342" t="s">
        <v>10</v>
      </c>
      <c r="D9342" t="s">
        <v>487</v>
      </c>
      <c r="E9342">
        <f t="shared" si="435"/>
        <v>1.1235955056179775E-2</v>
      </c>
      <c r="F9342">
        <v>32</v>
      </c>
      <c r="G9342">
        <f>LOG(382/(32+1))</f>
        <v>1.0635494230338212</v>
      </c>
      <c r="H9342">
        <f>0.0112359550561797*2.44891304714009</f>
        <v>2.7515876934158134E-2</v>
      </c>
      <c r="I9342">
        <v>2.751587693415837E-2</v>
      </c>
    </row>
    <row r="9343" spans="1:9" x14ac:dyDescent="0.25">
      <c r="A9343">
        <v>393</v>
      </c>
      <c r="B9343" t="s">
        <v>2951</v>
      </c>
      <c r="C9343" t="s">
        <v>10</v>
      </c>
      <c r="D9343" t="s">
        <v>752</v>
      </c>
      <c r="E9343">
        <f t="shared" si="435"/>
        <v>1.1235955056179775E-2</v>
      </c>
      <c r="F9343">
        <v>34</v>
      </c>
      <c r="G9343">
        <f>LOG(382/(34+1))</f>
        <v>1.037995318561433</v>
      </c>
      <c r="H9343">
        <f>0.0112359550561797*2.39007254711716</f>
        <v>2.6854747720417349E-2</v>
      </c>
      <c r="I9343">
        <v>2.685474772041754E-2</v>
      </c>
    </row>
    <row r="9344" spans="1:9" x14ac:dyDescent="0.25">
      <c r="A9344">
        <v>393</v>
      </c>
      <c r="B9344" t="s">
        <v>2951</v>
      </c>
      <c r="C9344" t="s">
        <v>10</v>
      </c>
      <c r="D9344" t="s">
        <v>2957</v>
      </c>
      <c r="E9344">
        <f t="shared" si="435"/>
        <v>1.1235955056179775E-2</v>
      </c>
      <c r="F9344">
        <v>1</v>
      </c>
      <c r="G9344">
        <f>LOG(382/(1+1))</f>
        <v>2.2810333672477277</v>
      </c>
      <c r="H9344">
        <f>0.0112359550561797*5.25227342804663</f>
        <v>5.9014308180298819E-2</v>
      </c>
      <c r="I9344">
        <v>5.9014308180299208E-2</v>
      </c>
    </row>
    <row r="9345" spans="1:9" x14ac:dyDescent="0.25">
      <c r="A9345">
        <v>393</v>
      </c>
      <c r="B9345" t="s">
        <v>2951</v>
      </c>
      <c r="C9345" t="s">
        <v>10</v>
      </c>
      <c r="D9345" t="s">
        <v>2958</v>
      </c>
      <c r="E9345">
        <f t="shared" si="435"/>
        <v>1.1235955056179775E-2</v>
      </c>
      <c r="F9345">
        <v>1</v>
      </c>
      <c r="G9345">
        <f>LOG(382/(1+1))</f>
        <v>2.2810333672477277</v>
      </c>
      <c r="H9345">
        <f>0.0112359550561797*5.25227342804663</f>
        <v>5.9014308180298819E-2</v>
      </c>
      <c r="I9345">
        <v>5.9014308180299208E-2</v>
      </c>
    </row>
    <row r="9346" spans="1:9" x14ac:dyDescent="0.25">
      <c r="A9346">
        <v>393</v>
      </c>
      <c r="B9346" t="s">
        <v>2951</v>
      </c>
      <c r="C9346" t="s">
        <v>10</v>
      </c>
      <c r="D9346" t="s">
        <v>823</v>
      </c>
      <c r="E9346">
        <f t="shared" si="435"/>
        <v>1.1235955056179775E-2</v>
      </c>
      <c r="F9346">
        <v>45</v>
      </c>
      <c r="G9346">
        <f>LOG(382/(45+1))</f>
        <v>0.9193055312301347</v>
      </c>
      <c r="H9346">
        <f>0.0112359550561797*2.11677921211748</f>
        <v>2.3784036091207484E-2</v>
      </c>
      <c r="I9346">
        <v>2.378403609120764E-2</v>
      </c>
    </row>
    <row r="9347" spans="1:9" x14ac:dyDescent="0.25">
      <c r="A9347">
        <v>393</v>
      </c>
      <c r="B9347" t="s">
        <v>2951</v>
      </c>
      <c r="C9347" t="s">
        <v>10</v>
      </c>
      <c r="D9347" t="s">
        <v>44</v>
      </c>
      <c r="E9347">
        <f t="shared" si="435"/>
        <v>1.1235955056179775E-2</v>
      </c>
      <c r="F9347">
        <v>151</v>
      </c>
      <c r="G9347">
        <f>LOG(382/(151+1))</f>
        <v>0.40021977496693617</v>
      </c>
      <c r="H9347">
        <f>0.0112359550561797*0.921540087760298</f>
        <v>1.0354383008542606E-2</v>
      </c>
      <c r="I9347">
        <v>1.035438300854268E-2</v>
      </c>
    </row>
    <row r="9348" spans="1:9" x14ac:dyDescent="0.25">
      <c r="A9348">
        <v>393</v>
      </c>
      <c r="B9348" t="s">
        <v>2951</v>
      </c>
      <c r="C9348" t="s">
        <v>10</v>
      </c>
      <c r="D9348" t="s">
        <v>2959</v>
      </c>
      <c r="E9348">
        <f t="shared" si="435"/>
        <v>1.1235955056179775E-2</v>
      </c>
      <c r="F9348">
        <v>1</v>
      </c>
      <c r="G9348">
        <f>LOG(382/(1+1))</f>
        <v>2.2810333672477277</v>
      </c>
      <c r="H9348">
        <f>0.0112359550561797*5.25227342804663</f>
        <v>5.9014308180298819E-2</v>
      </c>
      <c r="I9348">
        <v>5.9014308180299208E-2</v>
      </c>
    </row>
    <row r="9349" spans="1:9" x14ac:dyDescent="0.25">
      <c r="A9349">
        <v>393</v>
      </c>
      <c r="B9349" t="s">
        <v>2951</v>
      </c>
      <c r="C9349" t="s">
        <v>10</v>
      </c>
      <c r="D9349" t="s">
        <v>2960</v>
      </c>
      <c r="E9349">
        <f t="shared" si="435"/>
        <v>1.1235955056179775E-2</v>
      </c>
      <c r="F9349">
        <v>1</v>
      </c>
      <c r="G9349">
        <f>LOG(382/(1+1))</f>
        <v>2.2810333672477277</v>
      </c>
      <c r="H9349">
        <f>0.0112359550561797*5.25227342804663</f>
        <v>5.9014308180298819E-2</v>
      </c>
      <c r="I9349">
        <v>5.9014308180299208E-2</v>
      </c>
    </row>
    <row r="9350" spans="1:9" x14ac:dyDescent="0.25">
      <c r="A9350">
        <v>393</v>
      </c>
      <c r="B9350" t="s">
        <v>2951</v>
      </c>
      <c r="C9350" t="s">
        <v>10</v>
      </c>
      <c r="D9350" t="s">
        <v>2961</v>
      </c>
      <c r="E9350">
        <f t="shared" si="435"/>
        <v>1.1235955056179775E-2</v>
      </c>
      <c r="F9350">
        <v>1</v>
      </c>
      <c r="G9350">
        <f>LOG(382/(1+1))</f>
        <v>2.2810333672477277</v>
      </c>
      <c r="H9350">
        <f>0.0112359550561797*5.25227342804663</f>
        <v>5.9014308180298819E-2</v>
      </c>
      <c r="I9350">
        <v>5.9014308180299208E-2</v>
      </c>
    </row>
    <row r="9351" spans="1:9" x14ac:dyDescent="0.25">
      <c r="A9351">
        <v>393</v>
      </c>
      <c r="B9351" t="s">
        <v>2951</v>
      </c>
      <c r="C9351" t="s">
        <v>10</v>
      </c>
      <c r="D9351" t="s">
        <v>123</v>
      </c>
      <c r="E9351">
        <f t="shared" si="435"/>
        <v>1.1235955056179775E-2</v>
      </c>
      <c r="F9351">
        <v>74</v>
      </c>
      <c r="G9351">
        <f>LOG(382/(74+1))</f>
        <v>0.7070020995200087</v>
      </c>
      <c r="H9351">
        <f>0.0112359550561797*1.62793249507026</f>
        <v>1.8291376349103924E-2</v>
      </c>
      <c r="I9351">
        <v>1.8291376349104101E-2</v>
      </c>
    </row>
    <row r="9352" spans="1:9" x14ac:dyDescent="0.25">
      <c r="A9352">
        <v>393</v>
      </c>
      <c r="B9352" t="s">
        <v>2951</v>
      </c>
      <c r="C9352" t="s">
        <v>10</v>
      </c>
      <c r="D9352" t="s">
        <v>1857</v>
      </c>
      <c r="E9352">
        <f>2/89</f>
        <v>2.247191011235955E-2</v>
      </c>
      <c r="F9352">
        <v>17</v>
      </c>
      <c r="G9352">
        <f>LOG(382/(17+1))</f>
        <v>1.3267908578084027</v>
      </c>
      <c r="H9352">
        <f>0.0224719101123595*3.05504885071041</f>
        <v>6.8652783162031536E-2</v>
      </c>
      <c r="I9352">
        <v>6.8652783162031689E-2</v>
      </c>
    </row>
    <row r="9353" spans="1:9" x14ac:dyDescent="0.25">
      <c r="A9353">
        <v>393</v>
      </c>
      <c r="B9353" t="s">
        <v>2951</v>
      </c>
      <c r="C9353" t="s">
        <v>10</v>
      </c>
      <c r="D9353" t="s">
        <v>324</v>
      </c>
      <c r="E9353">
        <f t="shared" ref="E9353:E9363" si="436">1/89</f>
        <v>1.1235955056179775E-2</v>
      </c>
      <c r="F9353">
        <v>82</v>
      </c>
      <c r="G9353">
        <f>LOG(382/(82+1))</f>
        <v>0.66298527053563483</v>
      </c>
      <c r="H9353">
        <f>0.0112359550561797*1.52658000080997</f>
        <v>1.7152584278763594E-2</v>
      </c>
      <c r="I9353">
        <v>1.7152584278763788E-2</v>
      </c>
    </row>
    <row r="9354" spans="1:9" x14ac:dyDescent="0.25">
      <c r="A9354">
        <v>393</v>
      </c>
      <c r="B9354" t="s">
        <v>2951</v>
      </c>
      <c r="C9354" t="s">
        <v>10</v>
      </c>
      <c r="D9354" t="s">
        <v>733</v>
      </c>
      <c r="E9354">
        <f t="shared" si="436"/>
        <v>1.1235955056179775E-2</v>
      </c>
      <c r="F9354">
        <v>6</v>
      </c>
      <c r="G9354">
        <f>LOG(382/(6+1))</f>
        <v>1.736965322897452</v>
      </c>
      <c r="H9354">
        <f>0.0112359550561797*3.99951045955126</f>
        <v>4.4938319770238579E-2</v>
      </c>
      <c r="I9354">
        <v>4.4938319770238898E-2</v>
      </c>
    </row>
    <row r="9355" spans="1:9" x14ac:dyDescent="0.25">
      <c r="A9355">
        <v>393</v>
      </c>
      <c r="B9355" t="s">
        <v>2951</v>
      </c>
      <c r="C9355" t="s">
        <v>10</v>
      </c>
      <c r="D9355" t="s">
        <v>2962</v>
      </c>
      <c r="E9355">
        <f t="shared" si="436"/>
        <v>1.1235955056179775E-2</v>
      </c>
      <c r="F9355">
        <v>2</v>
      </c>
      <c r="G9355">
        <f>LOG(382/(2+1))</f>
        <v>2.1049421081920463</v>
      </c>
      <c r="H9355">
        <f>0.0112359550561797*4.84680831993846</f>
        <v>5.4458520448746377E-2</v>
      </c>
      <c r="I9355">
        <v>5.44585204487468E-2</v>
      </c>
    </row>
    <row r="9356" spans="1:9" x14ac:dyDescent="0.25">
      <c r="A9356">
        <v>393</v>
      </c>
      <c r="B9356" t="s">
        <v>2951</v>
      </c>
      <c r="C9356" t="s">
        <v>10</v>
      </c>
      <c r="D9356" t="s">
        <v>2211</v>
      </c>
      <c r="E9356">
        <f t="shared" si="436"/>
        <v>1.1235955056179775E-2</v>
      </c>
      <c r="F9356">
        <v>9</v>
      </c>
      <c r="G9356">
        <f>LOG(382/(9+1))</f>
        <v>1.5820633629117087</v>
      </c>
      <c r="H9356">
        <f>0.0112359550561797*3.64283551561252</f>
        <v>4.0930736130477478E-2</v>
      </c>
      <c r="I9356">
        <v>4.093073613047786E-2</v>
      </c>
    </row>
    <row r="9357" spans="1:9" x14ac:dyDescent="0.25">
      <c r="A9357">
        <v>393</v>
      </c>
      <c r="B9357" t="s">
        <v>2951</v>
      </c>
      <c r="C9357" t="s">
        <v>10</v>
      </c>
      <c r="D9357" t="s">
        <v>1079</v>
      </c>
      <c r="E9357">
        <f t="shared" si="436"/>
        <v>1.1235955056179775E-2</v>
      </c>
      <c r="F9357">
        <v>34</v>
      </c>
      <c r="G9357">
        <f>LOG(382/(34+1))</f>
        <v>1.037995318561433</v>
      </c>
      <c r="H9357">
        <f>0.0112359550561797*2.39007254711716</f>
        <v>2.6854747720417349E-2</v>
      </c>
      <c r="I9357">
        <v>2.685474772041754E-2</v>
      </c>
    </row>
    <row r="9358" spans="1:9" x14ac:dyDescent="0.25">
      <c r="A9358">
        <v>393</v>
      </c>
      <c r="B9358" t="s">
        <v>2951</v>
      </c>
      <c r="C9358" t="s">
        <v>10</v>
      </c>
      <c r="D9358" t="s">
        <v>222</v>
      </c>
      <c r="E9358">
        <f t="shared" si="436"/>
        <v>1.1235955056179775E-2</v>
      </c>
      <c r="F9358">
        <v>22</v>
      </c>
      <c r="G9358">
        <f>LOG(382/(22+1))</f>
        <v>1.2203355268941158</v>
      </c>
      <c r="H9358">
        <f>0.0112359550561797*2.80992639267742</f>
        <v>3.1572206659296644E-2</v>
      </c>
      <c r="I9358">
        <v>3.1572206659296907E-2</v>
      </c>
    </row>
    <row r="9359" spans="1:9" x14ac:dyDescent="0.25">
      <c r="A9359">
        <v>393</v>
      </c>
      <c r="B9359" t="s">
        <v>2951</v>
      </c>
      <c r="C9359" t="s">
        <v>10</v>
      </c>
      <c r="D9359" t="s">
        <v>2963</v>
      </c>
      <c r="E9359">
        <f t="shared" si="436"/>
        <v>1.1235955056179775E-2</v>
      </c>
      <c r="F9359">
        <v>1</v>
      </c>
      <c r="G9359">
        <f>LOG(382/(1+1))</f>
        <v>2.2810333672477277</v>
      </c>
      <c r="H9359">
        <f>0.0112359550561797*5.25227342804663</f>
        <v>5.9014308180298819E-2</v>
      </c>
      <c r="I9359">
        <v>5.9014308180299208E-2</v>
      </c>
    </row>
    <row r="9360" spans="1:9" x14ac:dyDescent="0.25">
      <c r="A9360">
        <v>393</v>
      </c>
      <c r="B9360" t="s">
        <v>2951</v>
      </c>
      <c r="C9360" t="s">
        <v>10</v>
      </c>
      <c r="D9360" t="s">
        <v>332</v>
      </c>
      <c r="E9360">
        <f t="shared" si="436"/>
        <v>1.1235955056179775E-2</v>
      </c>
      <c r="F9360">
        <v>3</v>
      </c>
      <c r="G9360">
        <f>LOG(382/(3+1))</f>
        <v>1.9800033715837464</v>
      </c>
      <c r="H9360">
        <f>0.0112359550561797*4.55912624748668</f>
        <v>5.1226137612209545E-2</v>
      </c>
      <c r="I9360">
        <v>5.1226137612209927E-2</v>
      </c>
    </row>
    <row r="9361" spans="1:9" x14ac:dyDescent="0.25">
      <c r="A9361">
        <v>393</v>
      </c>
      <c r="B9361" t="s">
        <v>2951</v>
      </c>
      <c r="C9361" t="s">
        <v>10</v>
      </c>
      <c r="D9361" t="s">
        <v>1296</v>
      </c>
      <c r="E9361">
        <f t="shared" si="436"/>
        <v>1.1235955056179775E-2</v>
      </c>
      <c r="F9361">
        <v>14</v>
      </c>
      <c r="G9361">
        <f>LOG(382/(14+1))</f>
        <v>1.4059721038560276</v>
      </c>
      <c r="H9361">
        <f>0.0112359550561797*3.23737040750436</f>
        <v>3.6374948398925147E-2</v>
      </c>
      <c r="I9361">
        <v>3.6374948398925452E-2</v>
      </c>
    </row>
    <row r="9362" spans="1:9" x14ac:dyDescent="0.25">
      <c r="A9362">
        <v>393</v>
      </c>
      <c r="B9362" t="s">
        <v>2951</v>
      </c>
      <c r="C9362" t="s">
        <v>10</v>
      </c>
      <c r="D9362" t="s">
        <v>342</v>
      </c>
      <c r="E9362">
        <f t="shared" si="436"/>
        <v>1.1235955056179775E-2</v>
      </c>
      <c r="F9362">
        <v>35</v>
      </c>
      <c r="G9362">
        <f>LOG(382/(35+1))</f>
        <v>1.0257608621444214</v>
      </c>
      <c r="H9362">
        <f>0.0112359550561797*2.36190167015046</f>
        <v>2.6538221012926341E-2</v>
      </c>
      <c r="I9362">
        <v>2.653822101292657E-2</v>
      </c>
    </row>
    <row r="9363" spans="1:9" x14ac:dyDescent="0.25">
      <c r="A9363">
        <v>393</v>
      </c>
      <c r="B9363" t="s">
        <v>2951</v>
      </c>
      <c r="C9363" t="s">
        <v>10</v>
      </c>
      <c r="D9363" t="s">
        <v>2180</v>
      </c>
      <c r="E9363">
        <f t="shared" si="436"/>
        <v>1.1235955056179775E-2</v>
      </c>
      <c r="F9363">
        <v>7</v>
      </c>
      <c r="G9363">
        <f>LOG(382/(7+1))</f>
        <v>1.6789733759197651</v>
      </c>
      <c r="H9363">
        <f>0.0112359550561797*3.86597906692673</f>
        <v>4.3437967044120278E-2</v>
      </c>
      <c r="I9363">
        <v>4.3437967044120659E-2</v>
      </c>
    </row>
    <row r="9364" spans="1:9" x14ac:dyDescent="0.25">
      <c r="A9364">
        <v>394</v>
      </c>
      <c r="B9364" t="s">
        <v>2964</v>
      </c>
      <c r="C9364" t="s">
        <v>10</v>
      </c>
      <c r="D9364" t="s">
        <v>2965</v>
      </c>
      <c r="E9364">
        <f>3/101</f>
        <v>2.9702970297029702E-2</v>
      </c>
      <c r="F9364">
        <v>1</v>
      </c>
      <c r="G9364">
        <f>LOG(382/(1+1))</f>
        <v>2.2810333672477277</v>
      </c>
      <c r="H9364">
        <f>0.0297029702970297*5.25227342804663</f>
        <v>0.15600812162514741</v>
      </c>
      <c r="I9364">
        <v>0.15600812162514741</v>
      </c>
    </row>
    <row r="9365" spans="1:9" x14ac:dyDescent="0.25">
      <c r="A9365">
        <v>394</v>
      </c>
      <c r="B9365" t="s">
        <v>2964</v>
      </c>
      <c r="C9365" t="s">
        <v>10</v>
      </c>
      <c r="D9365" t="s">
        <v>2966</v>
      </c>
      <c r="E9365">
        <f>3/101</f>
        <v>2.9702970297029702E-2</v>
      </c>
      <c r="F9365">
        <v>1</v>
      </c>
      <c r="G9365">
        <f>LOG(382/(1+1))</f>
        <v>2.2810333672477277</v>
      </c>
      <c r="H9365">
        <f>0.0297029702970297*5.25227342804663</f>
        <v>0.15600812162514741</v>
      </c>
      <c r="I9365">
        <v>0.15600812162514741</v>
      </c>
    </row>
    <row r="9366" spans="1:9" x14ac:dyDescent="0.25">
      <c r="A9366">
        <v>394</v>
      </c>
      <c r="B9366" t="s">
        <v>2964</v>
      </c>
      <c r="C9366" t="s">
        <v>10</v>
      </c>
      <c r="D9366" t="s">
        <v>2967</v>
      </c>
      <c r="E9366">
        <f>3/101</f>
        <v>2.9702970297029702E-2</v>
      </c>
      <c r="F9366">
        <v>1</v>
      </c>
      <c r="G9366">
        <f>LOG(382/(1+1))</f>
        <v>2.2810333672477277</v>
      </c>
      <c r="H9366">
        <f>0.0297029702970297*5.25227342804663</f>
        <v>0.15600812162514741</v>
      </c>
      <c r="I9366">
        <v>0.15600812162514741</v>
      </c>
    </row>
    <row r="9367" spans="1:9" x14ac:dyDescent="0.25">
      <c r="A9367">
        <v>394</v>
      </c>
      <c r="B9367" t="s">
        <v>2964</v>
      </c>
      <c r="C9367" t="s">
        <v>10</v>
      </c>
      <c r="D9367" t="s">
        <v>2968</v>
      </c>
      <c r="E9367">
        <f>1/101</f>
        <v>9.9009900990099011E-3</v>
      </c>
      <c r="F9367">
        <v>1</v>
      </c>
      <c r="G9367">
        <f>LOG(382/(1+1))</f>
        <v>2.2810333672477277</v>
      </c>
      <c r="H9367">
        <f>0.0099009900990099*5.25227342804663</f>
        <v>5.2002707208382466E-2</v>
      </c>
      <c r="I9367">
        <v>5.2002707208382473E-2</v>
      </c>
    </row>
    <row r="9368" spans="1:9" x14ac:dyDescent="0.25">
      <c r="A9368">
        <v>394</v>
      </c>
      <c r="B9368" t="s">
        <v>2964</v>
      </c>
      <c r="C9368" t="s">
        <v>10</v>
      </c>
      <c r="D9368" t="s">
        <v>247</v>
      </c>
      <c r="E9368">
        <f>1/101</f>
        <v>9.9009900990099011E-3</v>
      </c>
      <c r="F9368">
        <v>121</v>
      </c>
      <c r="G9368">
        <f>LOG(382/(121+1))</f>
        <v>0.49570353223696051</v>
      </c>
      <c r="H9368">
        <f>0.0099009900990099*1.14139956387331</f>
        <v>1.130098578092386E-2</v>
      </c>
      <c r="I9368">
        <v>1.130098578092395E-2</v>
      </c>
    </row>
    <row r="9369" spans="1:9" x14ac:dyDescent="0.25">
      <c r="A9369">
        <v>394</v>
      </c>
      <c r="B9369" t="s">
        <v>2964</v>
      </c>
      <c r="C9369" t="s">
        <v>10</v>
      </c>
      <c r="D9369" t="s">
        <v>39</v>
      </c>
      <c r="E9369">
        <f>1/101</f>
        <v>9.9009900990099011E-3</v>
      </c>
      <c r="F9369">
        <v>145</v>
      </c>
      <c r="G9369">
        <f>LOG(382/(145+1))</f>
        <v>0.41771050712727159</v>
      </c>
      <c r="H9369">
        <f>0.0099009900990099*0.961813986898238</f>
        <v>9.5229107613686928E-3</v>
      </c>
      <c r="I9369">
        <v>9.5229107613686997E-3</v>
      </c>
    </row>
    <row r="9370" spans="1:9" x14ac:dyDescent="0.25">
      <c r="A9370">
        <v>394</v>
      </c>
      <c r="B9370" t="s">
        <v>2964</v>
      </c>
      <c r="C9370" t="s">
        <v>10</v>
      </c>
      <c r="D9370" t="s">
        <v>42</v>
      </c>
      <c r="E9370">
        <f>1/101</f>
        <v>9.9009900990099011E-3</v>
      </c>
      <c r="F9370">
        <v>251</v>
      </c>
      <c r="G9370">
        <f>LOG(382/(251+1))</f>
        <v>0.18066282213016463</v>
      </c>
      <c r="H9370">
        <f>0.0099009900990099*0.415991521095151</f>
        <v>4.1187279316351579E-3</v>
      </c>
      <c r="I9370">
        <v>4.1187279316351674E-3</v>
      </c>
    </row>
    <row r="9371" spans="1:9" x14ac:dyDescent="0.25">
      <c r="A9371">
        <v>394</v>
      </c>
      <c r="B9371" t="s">
        <v>2964</v>
      </c>
      <c r="C9371" t="s">
        <v>10</v>
      </c>
      <c r="D9371" t="s">
        <v>15</v>
      </c>
      <c r="E9371">
        <f>1/101</f>
        <v>9.9009900990099011E-3</v>
      </c>
      <c r="F9371">
        <v>112</v>
      </c>
      <c r="G9371">
        <f>LOG(382/(112+1))</f>
        <v>0.52898491942828896</v>
      </c>
      <c r="H9371">
        <f>0.0099009900990099*1.21803278989423</f>
        <v>1.2059730593012177E-2</v>
      </c>
      <c r="I9371">
        <v>1.2059730593012231E-2</v>
      </c>
    </row>
    <row r="9372" spans="1:9" x14ac:dyDescent="0.25">
      <c r="A9372">
        <v>394</v>
      </c>
      <c r="B9372" t="s">
        <v>2964</v>
      </c>
      <c r="C9372" t="s">
        <v>10</v>
      </c>
      <c r="D9372" t="s">
        <v>1196</v>
      </c>
      <c r="E9372">
        <f>3/101</f>
        <v>2.9702970297029702E-2</v>
      </c>
      <c r="F9372">
        <v>7</v>
      </c>
      <c r="G9372">
        <f>LOG(382/(7+1))</f>
        <v>1.6789733759197651</v>
      </c>
      <c r="H9372">
        <f>0.0297029702970297*3.86597906692673</f>
        <v>0.11483106139386327</v>
      </c>
      <c r="I9372">
        <v>0.1148310613938635</v>
      </c>
    </row>
    <row r="9373" spans="1:9" x14ac:dyDescent="0.25">
      <c r="A9373">
        <v>394</v>
      </c>
      <c r="B9373" t="s">
        <v>2964</v>
      </c>
      <c r="C9373" t="s">
        <v>10</v>
      </c>
      <c r="D9373" t="s">
        <v>17</v>
      </c>
      <c r="E9373">
        <f t="shared" ref="E9373:E9379" si="437">1/101</f>
        <v>9.9009900990099011E-3</v>
      </c>
      <c r="F9373">
        <v>169</v>
      </c>
      <c r="G9373">
        <f>LOG(382/(169+1))</f>
        <v>0.3516144415334348</v>
      </c>
      <c r="H9373">
        <f>0.0099009900990099*0.809622171556313</f>
        <v>8.0160611045179495E-3</v>
      </c>
      <c r="I9373">
        <v>8.0160611045179547E-3</v>
      </c>
    </row>
    <row r="9374" spans="1:9" x14ac:dyDescent="0.25">
      <c r="A9374">
        <v>394</v>
      </c>
      <c r="B9374" t="s">
        <v>2964</v>
      </c>
      <c r="C9374" t="s">
        <v>10</v>
      </c>
      <c r="D9374" t="s">
        <v>1838</v>
      </c>
      <c r="E9374">
        <f t="shared" si="437"/>
        <v>9.9009900990099011E-3</v>
      </c>
      <c r="F9374">
        <v>5</v>
      </c>
      <c r="G9374">
        <f>LOG(382/(5+1))</f>
        <v>1.803912112528065</v>
      </c>
      <c r="H9374">
        <f>0.0099009900990099*4.15366113937852</f>
        <v>4.1125357815628906E-2</v>
      </c>
      <c r="I9374">
        <v>4.1125357815628913E-2</v>
      </c>
    </row>
    <row r="9375" spans="1:9" x14ac:dyDescent="0.25">
      <c r="A9375">
        <v>394</v>
      </c>
      <c r="B9375" t="s">
        <v>2964</v>
      </c>
      <c r="C9375" t="s">
        <v>10</v>
      </c>
      <c r="D9375" t="s">
        <v>19</v>
      </c>
      <c r="E9375">
        <f t="shared" si="437"/>
        <v>9.9009900990099011E-3</v>
      </c>
      <c r="F9375">
        <v>220</v>
      </c>
      <c r="G9375">
        <f>LOG(382/(220+1))</f>
        <v>0.23767108922659805</v>
      </c>
      <c r="H9375">
        <f>0.0099009900990099*0.547257907088822</f>
        <v>5.4183951196913067E-3</v>
      </c>
      <c r="I9375">
        <v>5.418395119691311E-3</v>
      </c>
    </row>
    <row r="9376" spans="1:9" x14ac:dyDescent="0.25">
      <c r="A9376">
        <v>394</v>
      </c>
      <c r="B9376" t="s">
        <v>2964</v>
      </c>
      <c r="C9376" t="s">
        <v>10</v>
      </c>
      <c r="D9376" t="s">
        <v>41</v>
      </c>
      <c r="E9376">
        <f t="shared" si="437"/>
        <v>9.9009900990099011E-3</v>
      </c>
      <c r="F9376">
        <v>195</v>
      </c>
      <c r="G9376">
        <f>LOG(382/(195+1))</f>
        <v>0.28980729155523272</v>
      </c>
      <c r="H9376">
        <f>0.0099009900990099*0.667305949376058</f>
        <v>6.6069895977827519E-3</v>
      </c>
      <c r="I9376">
        <v>6.6069895977827527E-3</v>
      </c>
    </row>
    <row r="9377" spans="1:9" x14ac:dyDescent="0.25">
      <c r="A9377">
        <v>394</v>
      </c>
      <c r="B9377" t="s">
        <v>2964</v>
      </c>
      <c r="C9377" t="s">
        <v>10</v>
      </c>
      <c r="D9377" t="s">
        <v>2969</v>
      </c>
      <c r="E9377">
        <f t="shared" si="437"/>
        <v>9.9009900990099011E-3</v>
      </c>
      <c r="F9377">
        <v>1</v>
      </c>
      <c r="G9377">
        <f>LOG(382/(1+1))</f>
        <v>2.2810333672477277</v>
      </c>
      <c r="H9377">
        <f>0.0099009900990099*5.25227342804663</f>
        <v>5.2002707208382466E-2</v>
      </c>
      <c r="I9377">
        <v>5.2002707208382473E-2</v>
      </c>
    </row>
    <row r="9378" spans="1:9" x14ac:dyDescent="0.25">
      <c r="A9378">
        <v>394</v>
      </c>
      <c r="B9378" t="s">
        <v>2964</v>
      </c>
      <c r="C9378" t="s">
        <v>10</v>
      </c>
      <c r="D9378" t="s">
        <v>22</v>
      </c>
      <c r="E9378">
        <f t="shared" si="437"/>
        <v>9.9009900990099011E-3</v>
      </c>
      <c r="F9378">
        <v>259</v>
      </c>
      <c r="G9378">
        <f>LOG(382/(259+1))</f>
        <v>0.16709001494089079</v>
      </c>
      <c r="H9378">
        <f>0.0099009900990099*0.384738977591047</f>
        <v>3.8092968078321482E-3</v>
      </c>
      <c r="I9378">
        <v>3.8092968078321538E-3</v>
      </c>
    </row>
    <row r="9379" spans="1:9" x14ac:dyDescent="0.25">
      <c r="A9379">
        <v>394</v>
      </c>
      <c r="B9379" t="s">
        <v>2964</v>
      </c>
      <c r="C9379" t="s">
        <v>10</v>
      </c>
      <c r="D9379" t="s">
        <v>23</v>
      </c>
      <c r="E9379">
        <f t="shared" si="437"/>
        <v>9.9009900990099011E-3</v>
      </c>
      <c r="F9379">
        <v>275</v>
      </c>
      <c r="G9379">
        <f>LOG(382/(275+1))</f>
        <v>0.14115428084649101</v>
      </c>
      <c r="H9379">
        <f>0.0099009900990099*0.325019742889425</f>
        <v>3.2180172563309396E-3</v>
      </c>
      <c r="I9379">
        <v>3.2180172563309418E-3</v>
      </c>
    </row>
    <row r="9380" spans="1:9" x14ac:dyDescent="0.25">
      <c r="A9380">
        <v>394</v>
      </c>
      <c r="B9380" t="s">
        <v>2964</v>
      </c>
      <c r="C9380" t="s">
        <v>10</v>
      </c>
      <c r="D9380" t="s">
        <v>105</v>
      </c>
      <c r="E9380">
        <f>2/101</f>
        <v>1.9801980198019802E-2</v>
      </c>
      <c r="F9380">
        <v>122</v>
      </c>
      <c r="G9380">
        <f>LOG(382/(122+1))</f>
        <v>0.49215825147231079</v>
      </c>
      <c r="H9380">
        <f>0.0198019801980198*1.13323625323415</f>
        <v>2.2440321846220787E-2</v>
      </c>
      <c r="I9380">
        <v>2.244032184622094E-2</v>
      </c>
    </row>
    <row r="9381" spans="1:9" x14ac:dyDescent="0.25">
      <c r="A9381">
        <v>394</v>
      </c>
      <c r="B9381" t="s">
        <v>2964</v>
      </c>
      <c r="C9381" t="s">
        <v>10</v>
      </c>
      <c r="D9381" t="s">
        <v>2970</v>
      </c>
      <c r="E9381">
        <f>1/101</f>
        <v>9.9009900990099011E-3</v>
      </c>
      <c r="F9381">
        <v>1</v>
      </c>
      <c r="G9381">
        <f>LOG(382/(1+1))</f>
        <v>2.2810333672477277</v>
      </c>
      <c r="H9381">
        <f>0.0099009900990099*5.25227342804663</f>
        <v>5.2002707208382466E-2</v>
      </c>
      <c r="I9381">
        <v>5.2002707208382473E-2</v>
      </c>
    </row>
    <row r="9382" spans="1:9" x14ac:dyDescent="0.25">
      <c r="A9382">
        <v>394</v>
      </c>
      <c r="B9382" t="s">
        <v>2964</v>
      </c>
      <c r="C9382" t="s">
        <v>10</v>
      </c>
      <c r="D9382" t="s">
        <v>2971</v>
      </c>
      <c r="E9382">
        <f>3/101</f>
        <v>2.9702970297029702E-2</v>
      </c>
      <c r="F9382">
        <v>1</v>
      </c>
      <c r="G9382">
        <f>LOG(382/(1+1))</f>
        <v>2.2810333672477277</v>
      </c>
      <c r="H9382">
        <f>0.0297029702970297*5.25227342804663</f>
        <v>0.15600812162514741</v>
      </c>
      <c r="I9382">
        <v>0.15600812162514741</v>
      </c>
    </row>
    <row r="9383" spans="1:9" x14ac:dyDescent="0.25">
      <c r="A9383">
        <v>394</v>
      </c>
      <c r="B9383" t="s">
        <v>2964</v>
      </c>
      <c r="C9383" t="s">
        <v>10</v>
      </c>
      <c r="D9383" t="s">
        <v>1871</v>
      </c>
      <c r="E9383">
        <f t="shared" ref="E9383:E9388" si="438">1/101</f>
        <v>9.9009900990099011E-3</v>
      </c>
      <c r="F9383">
        <v>4</v>
      </c>
      <c r="G9383">
        <f>LOG(382/(4+1))</f>
        <v>1.8830933585756899</v>
      </c>
      <c r="H9383">
        <f>0.0099009900990099*4.33598269617247</f>
        <v>4.2930521744281878E-2</v>
      </c>
      <c r="I9383">
        <v>4.2930521744281927E-2</v>
      </c>
    </row>
    <row r="9384" spans="1:9" x14ac:dyDescent="0.25">
      <c r="A9384">
        <v>394</v>
      </c>
      <c r="B9384" t="s">
        <v>2964</v>
      </c>
      <c r="C9384" t="s">
        <v>10</v>
      </c>
      <c r="D9384" t="s">
        <v>2972</v>
      </c>
      <c r="E9384">
        <f t="shared" si="438"/>
        <v>9.9009900990099011E-3</v>
      </c>
      <c r="F9384">
        <v>1</v>
      </c>
      <c r="G9384">
        <f>LOG(382/(1+1))</f>
        <v>2.2810333672477277</v>
      </c>
      <c r="H9384">
        <f>0.0099009900990099*5.25227342804663</f>
        <v>5.2002707208382466E-2</v>
      </c>
      <c r="I9384">
        <v>5.2002707208382473E-2</v>
      </c>
    </row>
    <row r="9385" spans="1:9" x14ac:dyDescent="0.25">
      <c r="A9385">
        <v>394</v>
      </c>
      <c r="B9385" t="s">
        <v>2964</v>
      </c>
      <c r="C9385" t="s">
        <v>10</v>
      </c>
      <c r="D9385" t="s">
        <v>2973</v>
      </c>
      <c r="E9385">
        <f t="shared" si="438"/>
        <v>9.9009900990099011E-3</v>
      </c>
      <c r="F9385">
        <v>1</v>
      </c>
      <c r="G9385">
        <f>LOG(382/(1+1))</f>
        <v>2.2810333672477277</v>
      </c>
      <c r="H9385">
        <f>0.0099009900990099*5.25227342804663</f>
        <v>5.2002707208382466E-2</v>
      </c>
      <c r="I9385">
        <v>5.2002707208382473E-2</v>
      </c>
    </row>
    <row r="9386" spans="1:9" x14ac:dyDescent="0.25">
      <c r="A9386">
        <v>394</v>
      </c>
      <c r="B9386" t="s">
        <v>2964</v>
      </c>
      <c r="C9386" t="s">
        <v>10</v>
      </c>
      <c r="D9386" t="s">
        <v>1127</v>
      </c>
      <c r="E9386">
        <f t="shared" si="438"/>
        <v>9.9009900990099011E-3</v>
      </c>
      <c r="F9386">
        <v>18</v>
      </c>
      <c r="G9386">
        <f>LOG(382/(18+1))</f>
        <v>1.3033097619588798</v>
      </c>
      <c r="H9386">
        <f>0.0099009900990099*3.00098162944013</f>
        <v>2.9712689400397323E-2</v>
      </c>
      <c r="I9386">
        <v>2.9712689400397368E-2</v>
      </c>
    </row>
    <row r="9387" spans="1:9" x14ac:dyDescent="0.25">
      <c r="A9387">
        <v>394</v>
      </c>
      <c r="B9387" t="s">
        <v>2964</v>
      </c>
      <c r="C9387" t="s">
        <v>10</v>
      </c>
      <c r="D9387" t="s">
        <v>2974</v>
      </c>
      <c r="E9387">
        <f t="shared" si="438"/>
        <v>9.9009900990099011E-3</v>
      </c>
      <c r="F9387">
        <v>1</v>
      </c>
      <c r="G9387">
        <f>LOG(382/(1+1))</f>
        <v>2.2810333672477277</v>
      </c>
      <c r="H9387">
        <f>0.0099009900990099*5.25227342804663</f>
        <v>5.2002707208382466E-2</v>
      </c>
      <c r="I9387">
        <v>5.2002707208382473E-2</v>
      </c>
    </row>
    <row r="9388" spans="1:9" x14ac:dyDescent="0.25">
      <c r="A9388">
        <v>394</v>
      </c>
      <c r="B9388" t="s">
        <v>2964</v>
      </c>
      <c r="C9388" t="s">
        <v>10</v>
      </c>
      <c r="D9388" t="s">
        <v>2975</v>
      </c>
      <c r="E9388">
        <f t="shared" si="438"/>
        <v>9.9009900990099011E-3</v>
      </c>
      <c r="F9388">
        <v>1</v>
      </c>
      <c r="G9388">
        <f>LOG(382/(1+1))</f>
        <v>2.2810333672477277</v>
      </c>
      <c r="H9388">
        <f>0.0099009900990099*5.25227342804663</f>
        <v>5.2002707208382466E-2</v>
      </c>
      <c r="I9388">
        <v>5.2002707208382473E-2</v>
      </c>
    </row>
    <row r="9389" spans="1:9" x14ac:dyDescent="0.25">
      <c r="A9389">
        <v>394</v>
      </c>
      <c r="B9389" t="s">
        <v>2964</v>
      </c>
      <c r="C9389" t="s">
        <v>10</v>
      </c>
      <c r="D9389" t="s">
        <v>2976</v>
      </c>
      <c r="E9389">
        <f>6/101</f>
        <v>5.9405940594059403E-2</v>
      </c>
      <c r="F9389">
        <v>2</v>
      </c>
      <c r="G9389">
        <f>LOG(382/(2+1))</f>
        <v>2.1049421081920463</v>
      </c>
      <c r="H9389">
        <f>0.0594059405940594*4.84680831993846</f>
        <v>0.28792920712505704</v>
      </c>
      <c r="I9389">
        <v>0.28792920712505732</v>
      </c>
    </row>
    <row r="9390" spans="1:9" x14ac:dyDescent="0.25">
      <c r="A9390">
        <v>394</v>
      </c>
      <c r="B9390" t="s">
        <v>2964</v>
      </c>
      <c r="C9390" t="s">
        <v>10</v>
      </c>
      <c r="D9390" t="s">
        <v>2977</v>
      </c>
      <c r="E9390">
        <f>1/101</f>
        <v>9.9009900990099011E-3</v>
      </c>
      <c r="F9390">
        <v>1</v>
      </c>
      <c r="G9390">
        <f>LOG(382/(1+1))</f>
        <v>2.2810333672477277</v>
      </c>
      <c r="H9390">
        <f>0.0099009900990099*5.25227342804663</f>
        <v>5.2002707208382466E-2</v>
      </c>
      <c r="I9390">
        <v>5.2002707208382473E-2</v>
      </c>
    </row>
    <row r="9391" spans="1:9" x14ac:dyDescent="0.25">
      <c r="A9391">
        <v>394</v>
      </c>
      <c r="B9391" t="s">
        <v>2964</v>
      </c>
      <c r="C9391" t="s">
        <v>10</v>
      </c>
      <c r="D9391" t="s">
        <v>1018</v>
      </c>
      <c r="E9391">
        <f>2/101</f>
        <v>1.9801980198019802E-2</v>
      </c>
      <c r="F9391">
        <v>6</v>
      </c>
      <c r="G9391">
        <f>LOG(382/(6+1))</f>
        <v>1.736965322897452</v>
      </c>
      <c r="H9391">
        <f>0.0198019801980198*3.99951045955126</f>
        <v>7.9198226921807113E-2</v>
      </c>
      <c r="I9391">
        <v>7.9198226921807169E-2</v>
      </c>
    </row>
    <row r="9392" spans="1:9" x14ac:dyDescent="0.25">
      <c r="A9392">
        <v>394</v>
      </c>
      <c r="B9392" t="s">
        <v>2964</v>
      </c>
      <c r="C9392" t="s">
        <v>10</v>
      </c>
      <c r="D9392" t="s">
        <v>564</v>
      </c>
      <c r="E9392">
        <f>2/101</f>
        <v>1.9801980198019802E-2</v>
      </c>
      <c r="F9392">
        <v>7</v>
      </c>
      <c r="G9392">
        <f>LOG(382/(7+1))</f>
        <v>1.6789733759197651</v>
      </c>
      <c r="H9392">
        <f>0.0198019801980198*3.86597906692673</f>
        <v>7.6554040929242173E-2</v>
      </c>
      <c r="I9392">
        <v>7.6554040929242353E-2</v>
      </c>
    </row>
    <row r="9393" spans="1:9" x14ac:dyDescent="0.25">
      <c r="A9393">
        <v>394</v>
      </c>
      <c r="B9393" t="s">
        <v>2964</v>
      </c>
      <c r="C9393" t="s">
        <v>10</v>
      </c>
      <c r="D9393" t="s">
        <v>197</v>
      </c>
      <c r="E9393">
        <f>2/101</f>
        <v>1.9801980198019802E-2</v>
      </c>
      <c r="F9393">
        <v>18</v>
      </c>
      <c r="G9393">
        <f>LOG(382/(18+1))</f>
        <v>1.3033097619588798</v>
      </c>
      <c r="H9393">
        <f>0.0198019801980198*3.00098162944013</f>
        <v>5.9425378800794647E-2</v>
      </c>
      <c r="I9393">
        <v>5.9425378800794737E-2</v>
      </c>
    </row>
    <row r="9394" spans="1:9" x14ac:dyDescent="0.25">
      <c r="A9394">
        <v>394</v>
      </c>
      <c r="B9394" t="s">
        <v>2964</v>
      </c>
      <c r="C9394" t="s">
        <v>10</v>
      </c>
      <c r="D9394" t="s">
        <v>2978</v>
      </c>
      <c r="E9394">
        <f>2/101</f>
        <v>1.9801980198019802E-2</v>
      </c>
      <c r="F9394">
        <v>1</v>
      </c>
      <c r="G9394">
        <f>LOG(382/(1+1))</f>
        <v>2.2810333672477277</v>
      </c>
      <c r="H9394">
        <f>0.0198019801980198*5.25227342804663</f>
        <v>0.10400541441676493</v>
      </c>
      <c r="I9394">
        <v>0.1040054144167649</v>
      </c>
    </row>
    <row r="9395" spans="1:9" x14ac:dyDescent="0.25">
      <c r="A9395">
        <v>394</v>
      </c>
      <c r="B9395" t="s">
        <v>2964</v>
      </c>
      <c r="C9395" t="s">
        <v>10</v>
      </c>
      <c r="D9395" t="s">
        <v>260</v>
      </c>
      <c r="E9395">
        <f t="shared" ref="E9395:E9405" si="439">1/101</f>
        <v>9.9009900990099011E-3</v>
      </c>
      <c r="F9395">
        <v>31</v>
      </c>
      <c r="G9395">
        <f>LOG(382/(31+1))</f>
        <v>1.0769133845918029</v>
      </c>
      <c r="H9395">
        <f>0.0099009900990099*2.47968470580684</f>
        <v>2.4551333720859797E-2</v>
      </c>
      <c r="I9395">
        <v>2.4551333720859891E-2</v>
      </c>
    </row>
    <row r="9396" spans="1:9" x14ac:dyDescent="0.25">
      <c r="A9396">
        <v>394</v>
      </c>
      <c r="B9396" t="s">
        <v>2964</v>
      </c>
      <c r="C9396" t="s">
        <v>10</v>
      </c>
      <c r="D9396" t="s">
        <v>261</v>
      </c>
      <c r="E9396">
        <f t="shared" si="439"/>
        <v>9.9009900990099011E-3</v>
      </c>
      <c r="F9396">
        <v>3</v>
      </c>
      <c r="G9396">
        <f>LOG(382/(3+1))</f>
        <v>1.9800033715837464</v>
      </c>
      <c r="H9396">
        <f>0.0099009900990099*4.55912624748668</f>
        <v>4.5139863836501773E-2</v>
      </c>
      <c r="I9396">
        <v>4.5139863836501828E-2</v>
      </c>
    </row>
    <row r="9397" spans="1:9" x14ac:dyDescent="0.25">
      <c r="A9397">
        <v>394</v>
      </c>
      <c r="B9397" t="s">
        <v>2964</v>
      </c>
      <c r="C9397" t="s">
        <v>10</v>
      </c>
      <c r="D9397" t="s">
        <v>2979</v>
      </c>
      <c r="E9397">
        <f t="shared" si="439"/>
        <v>9.9009900990099011E-3</v>
      </c>
      <c r="F9397">
        <v>2</v>
      </c>
      <c r="G9397">
        <f>LOG(382/(2+1))</f>
        <v>2.1049421081920463</v>
      </c>
      <c r="H9397">
        <f>0.0099009900990099*4.84680831993846</f>
        <v>4.7988201187509495E-2</v>
      </c>
      <c r="I9397">
        <v>4.7988201187509558E-2</v>
      </c>
    </row>
    <row r="9398" spans="1:9" x14ac:dyDescent="0.25">
      <c r="A9398">
        <v>394</v>
      </c>
      <c r="B9398" t="s">
        <v>2964</v>
      </c>
      <c r="C9398" t="s">
        <v>10</v>
      </c>
      <c r="D9398" t="s">
        <v>418</v>
      </c>
      <c r="E9398">
        <f t="shared" si="439"/>
        <v>9.9009900990099011E-3</v>
      </c>
      <c r="F9398">
        <v>11</v>
      </c>
      <c r="G9398">
        <f>LOG(382/(11+1))</f>
        <v>1.5028821168640838</v>
      </c>
      <c r="H9398">
        <f>0.0099009900990099*3.46051395881857</f>
        <v>3.4262514443748213E-2</v>
      </c>
      <c r="I9398">
        <v>3.4262514443748268E-2</v>
      </c>
    </row>
    <row r="9399" spans="1:9" x14ac:dyDescent="0.25">
      <c r="A9399">
        <v>394</v>
      </c>
      <c r="B9399" t="s">
        <v>2964</v>
      </c>
      <c r="C9399" t="s">
        <v>10</v>
      </c>
      <c r="D9399" t="s">
        <v>600</v>
      </c>
      <c r="E9399">
        <f t="shared" si="439"/>
        <v>9.9009900990099011E-3</v>
      </c>
      <c r="F9399">
        <v>102</v>
      </c>
      <c r="G9399">
        <f>LOG(382/(102+1))</f>
        <v>0.56922613820653656</v>
      </c>
      <c r="H9399">
        <f>0.0099009900990099*1.31069162037693</f>
        <v>1.2977144756207227E-2</v>
      </c>
      <c r="I9399">
        <v>1.297714475620732E-2</v>
      </c>
    </row>
    <row r="9400" spans="1:9" x14ac:dyDescent="0.25">
      <c r="A9400">
        <v>394</v>
      </c>
      <c r="B9400" t="s">
        <v>2964</v>
      </c>
      <c r="C9400" t="s">
        <v>10</v>
      </c>
      <c r="D9400" t="s">
        <v>140</v>
      </c>
      <c r="E9400">
        <f t="shared" si="439"/>
        <v>9.9009900990099011E-3</v>
      </c>
      <c r="F9400">
        <v>7</v>
      </c>
      <c r="G9400">
        <f>LOG(382/(7+1))</f>
        <v>1.6789733759197651</v>
      </c>
      <c r="H9400">
        <f>0.0099009900990099*3.86597906692673</f>
        <v>3.8277020464621087E-2</v>
      </c>
      <c r="I9400">
        <v>3.8277020464621177E-2</v>
      </c>
    </row>
    <row r="9401" spans="1:9" x14ac:dyDescent="0.25">
      <c r="A9401">
        <v>394</v>
      </c>
      <c r="B9401" t="s">
        <v>2964</v>
      </c>
      <c r="C9401" t="s">
        <v>10</v>
      </c>
      <c r="D9401" t="s">
        <v>2746</v>
      </c>
      <c r="E9401">
        <f t="shared" si="439"/>
        <v>9.9009900990099011E-3</v>
      </c>
      <c r="F9401">
        <v>5</v>
      </c>
      <c r="G9401">
        <f>LOG(382/(5+1))</f>
        <v>1.803912112528065</v>
      </c>
      <c r="H9401">
        <f>0.0099009900990099*4.15366113937852</f>
        <v>4.1125357815628906E-2</v>
      </c>
      <c r="I9401">
        <v>4.1125357815628913E-2</v>
      </c>
    </row>
    <row r="9402" spans="1:9" x14ac:dyDescent="0.25">
      <c r="A9402">
        <v>394</v>
      </c>
      <c r="B9402" t="s">
        <v>2964</v>
      </c>
      <c r="C9402" t="s">
        <v>10</v>
      </c>
      <c r="D9402" t="s">
        <v>172</v>
      </c>
      <c r="E9402">
        <f t="shared" si="439"/>
        <v>9.9009900990099011E-3</v>
      </c>
      <c r="F9402">
        <v>2</v>
      </c>
      <c r="G9402">
        <f>LOG(382/(2+1))</f>
        <v>2.1049421081920463</v>
      </c>
      <c r="H9402">
        <f>0.0099009900990099*4.84680831993846</f>
        <v>4.7988201187509495E-2</v>
      </c>
      <c r="I9402">
        <v>4.7988201187509558E-2</v>
      </c>
    </row>
    <row r="9403" spans="1:9" x14ac:dyDescent="0.25">
      <c r="A9403">
        <v>394</v>
      </c>
      <c r="B9403" t="s">
        <v>2964</v>
      </c>
      <c r="C9403" t="s">
        <v>10</v>
      </c>
      <c r="D9403" t="s">
        <v>2980</v>
      </c>
      <c r="E9403">
        <f t="shared" si="439"/>
        <v>9.9009900990099011E-3</v>
      </c>
      <c r="F9403">
        <v>1</v>
      </c>
      <c r="G9403">
        <f>LOG(382/(1+1))</f>
        <v>2.2810333672477277</v>
      </c>
      <c r="H9403">
        <f>0.0099009900990099*5.25227342804663</f>
        <v>5.2002707208382466E-2</v>
      </c>
      <c r="I9403">
        <v>5.2002707208382473E-2</v>
      </c>
    </row>
    <row r="9404" spans="1:9" x14ac:dyDescent="0.25">
      <c r="A9404">
        <v>394</v>
      </c>
      <c r="B9404" t="s">
        <v>2964</v>
      </c>
      <c r="C9404" t="s">
        <v>10</v>
      </c>
      <c r="D9404" t="s">
        <v>596</v>
      </c>
      <c r="E9404">
        <f t="shared" si="439"/>
        <v>9.9009900990099011E-3</v>
      </c>
      <c r="F9404">
        <v>60</v>
      </c>
      <c r="G9404">
        <f>LOG(382/(60+1))</f>
        <v>0.79673352790094176</v>
      </c>
      <c r="H9404">
        <f>0.0099009900990099*1.83454674443326</f>
        <v>1.816382915280455E-2</v>
      </c>
      <c r="I9404">
        <v>1.8163829152804591E-2</v>
      </c>
    </row>
    <row r="9405" spans="1:9" x14ac:dyDescent="0.25">
      <c r="A9405">
        <v>394</v>
      </c>
      <c r="B9405" t="s">
        <v>2964</v>
      </c>
      <c r="C9405" t="s">
        <v>10</v>
      </c>
      <c r="D9405" t="s">
        <v>2981</v>
      </c>
      <c r="E9405">
        <f t="shared" si="439"/>
        <v>9.9009900990099011E-3</v>
      </c>
      <c r="F9405">
        <v>1</v>
      </c>
      <c r="G9405">
        <f>LOG(382/(1+1))</f>
        <v>2.2810333672477277</v>
      </c>
      <c r="H9405">
        <f>0.0099009900990099*5.25227342804663</f>
        <v>5.2002707208382466E-2</v>
      </c>
      <c r="I9405">
        <v>5.2002707208382473E-2</v>
      </c>
    </row>
    <row r="9406" spans="1:9" x14ac:dyDescent="0.25">
      <c r="A9406">
        <v>394</v>
      </c>
      <c r="B9406" t="s">
        <v>2964</v>
      </c>
      <c r="C9406" t="s">
        <v>10</v>
      </c>
      <c r="D9406" t="s">
        <v>347</v>
      </c>
      <c r="E9406">
        <f>2/101</f>
        <v>1.9801980198019802E-2</v>
      </c>
      <c r="F9406">
        <v>3</v>
      </c>
      <c r="G9406">
        <f>LOG(382/(3+1))</f>
        <v>1.9800033715837464</v>
      </c>
      <c r="H9406">
        <f>0.0198019801980198*4.55912624748668</f>
        <v>9.0279727673003546E-2</v>
      </c>
      <c r="I9406">
        <v>9.0279727673003657E-2</v>
      </c>
    </row>
    <row r="9407" spans="1:9" x14ac:dyDescent="0.25">
      <c r="A9407">
        <v>394</v>
      </c>
      <c r="B9407" t="s">
        <v>2964</v>
      </c>
      <c r="C9407" t="s">
        <v>10</v>
      </c>
      <c r="D9407" t="s">
        <v>2982</v>
      </c>
      <c r="E9407">
        <f>2/101</f>
        <v>1.9801980198019802E-2</v>
      </c>
      <c r="F9407">
        <v>2</v>
      </c>
      <c r="G9407">
        <f>LOG(382/(2+1))</f>
        <v>2.1049421081920463</v>
      </c>
      <c r="H9407">
        <f>0.0198019801980198*4.84680831993846</f>
        <v>9.597640237501899E-2</v>
      </c>
      <c r="I9407">
        <v>9.5976402375019115E-2</v>
      </c>
    </row>
    <row r="9408" spans="1:9" x14ac:dyDescent="0.25">
      <c r="A9408">
        <v>394</v>
      </c>
      <c r="B9408" t="s">
        <v>2964</v>
      </c>
      <c r="C9408" t="s">
        <v>10</v>
      </c>
      <c r="D9408" t="s">
        <v>2983</v>
      </c>
      <c r="E9408">
        <f>3/101</f>
        <v>2.9702970297029702E-2</v>
      </c>
      <c r="F9408">
        <v>1</v>
      </c>
      <c r="G9408">
        <f>LOG(382/(1+1))</f>
        <v>2.2810333672477277</v>
      </c>
      <c r="H9408">
        <f>0.0297029702970297*5.25227342804663</f>
        <v>0.15600812162514741</v>
      </c>
      <c r="I9408">
        <v>0.15600812162514741</v>
      </c>
    </row>
    <row r="9409" spans="1:9" x14ac:dyDescent="0.25">
      <c r="A9409">
        <v>394</v>
      </c>
      <c r="B9409" t="s">
        <v>2964</v>
      </c>
      <c r="C9409" t="s">
        <v>10</v>
      </c>
      <c r="D9409" t="s">
        <v>1418</v>
      </c>
      <c r="E9409">
        <f>1/101</f>
        <v>9.9009900990099011E-3</v>
      </c>
      <c r="F9409">
        <v>6</v>
      </c>
      <c r="G9409">
        <f>LOG(382/(6+1))</f>
        <v>1.736965322897452</v>
      </c>
      <c r="H9409">
        <f>0.0099009900990099*3.99951045955126</f>
        <v>3.9599113460903557E-2</v>
      </c>
      <c r="I9409">
        <v>3.9599113460903577E-2</v>
      </c>
    </row>
    <row r="9410" spans="1:9" x14ac:dyDescent="0.25">
      <c r="A9410">
        <v>394</v>
      </c>
      <c r="B9410" t="s">
        <v>2964</v>
      </c>
      <c r="C9410" t="s">
        <v>10</v>
      </c>
      <c r="D9410" t="s">
        <v>2984</v>
      </c>
      <c r="E9410">
        <f>1/101</f>
        <v>9.9009900990099011E-3</v>
      </c>
      <c r="F9410">
        <v>1</v>
      </c>
      <c r="G9410">
        <f>LOG(382/(1+1))</f>
        <v>2.2810333672477277</v>
      </c>
      <c r="H9410">
        <f>0.0099009900990099*5.25227342804663</f>
        <v>5.2002707208382466E-2</v>
      </c>
      <c r="I9410">
        <v>5.2002707208382473E-2</v>
      </c>
    </row>
    <row r="9411" spans="1:9" x14ac:dyDescent="0.25">
      <c r="A9411">
        <v>394</v>
      </c>
      <c r="B9411" t="s">
        <v>2964</v>
      </c>
      <c r="C9411" t="s">
        <v>10</v>
      </c>
      <c r="D9411" t="s">
        <v>82</v>
      </c>
      <c r="E9411">
        <f>2/101</f>
        <v>1.9801980198019802E-2</v>
      </c>
      <c r="F9411">
        <v>92</v>
      </c>
      <c r="G9411">
        <f>LOG(382/(92+1))</f>
        <v>0.61358041435777355</v>
      </c>
      <c r="H9411">
        <f>0.0198019801980198*1.41282111545331</f>
        <v>2.7976655751550686E-2</v>
      </c>
      <c r="I9411">
        <v>2.797665575155088E-2</v>
      </c>
    </row>
    <row r="9412" spans="1:9" x14ac:dyDescent="0.25">
      <c r="A9412">
        <v>394</v>
      </c>
      <c r="B9412" t="s">
        <v>2964</v>
      </c>
      <c r="C9412" t="s">
        <v>10</v>
      </c>
      <c r="D9412" t="s">
        <v>2985</v>
      </c>
      <c r="E9412">
        <f t="shared" ref="E9412:E9425" si="440">1/101</f>
        <v>9.9009900990099011E-3</v>
      </c>
      <c r="F9412">
        <v>1</v>
      </c>
      <c r="G9412">
        <f>LOG(382/(1+1))</f>
        <v>2.2810333672477277</v>
      </c>
      <c r="H9412">
        <f>0.0099009900990099*5.25227342804663</f>
        <v>5.2002707208382466E-2</v>
      </c>
      <c r="I9412">
        <v>5.2002707208382473E-2</v>
      </c>
    </row>
    <row r="9413" spans="1:9" x14ac:dyDescent="0.25">
      <c r="A9413">
        <v>394</v>
      </c>
      <c r="B9413" t="s">
        <v>2964</v>
      </c>
      <c r="C9413" t="s">
        <v>10</v>
      </c>
      <c r="D9413" t="s">
        <v>324</v>
      </c>
      <c r="E9413">
        <f t="shared" si="440"/>
        <v>9.9009900990099011E-3</v>
      </c>
      <c r="F9413">
        <v>82</v>
      </c>
      <c r="G9413">
        <f>LOG(382/(82+1))</f>
        <v>0.66298527053563483</v>
      </c>
      <c r="H9413">
        <f>0.0099009900990099*1.52658000080997</f>
        <v>1.5114653473366036E-2</v>
      </c>
      <c r="I9413">
        <v>1.5114653473366111E-2</v>
      </c>
    </row>
    <row r="9414" spans="1:9" x14ac:dyDescent="0.25">
      <c r="A9414">
        <v>394</v>
      </c>
      <c r="B9414" t="s">
        <v>2964</v>
      </c>
      <c r="C9414" t="s">
        <v>10</v>
      </c>
      <c r="D9414" t="s">
        <v>1991</v>
      </c>
      <c r="E9414">
        <f t="shared" si="440"/>
        <v>9.9009900990099011E-3</v>
      </c>
      <c r="F9414">
        <v>2</v>
      </c>
      <c r="G9414">
        <f>LOG(382/(2+1))</f>
        <v>2.1049421081920463</v>
      </c>
      <c r="H9414">
        <f>0.0099009900990099*4.84680831993846</f>
        <v>4.7988201187509495E-2</v>
      </c>
      <c r="I9414">
        <v>4.7988201187509558E-2</v>
      </c>
    </row>
    <row r="9415" spans="1:9" x14ac:dyDescent="0.25">
      <c r="A9415">
        <v>394</v>
      </c>
      <c r="B9415" t="s">
        <v>2964</v>
      </c>
      <c r="C9415" t="s">
        <v>10</v>
      </c>
      <c r="D9415" t="s">
        <v>2986</v>
      </c>
      <c r="E9415">
        <f t="shared" si="440"/>
        <v>9.9009900990099011E-3</v>
      </c>
      <c r="F9415">
        <v>1</v>
      </c>
      <c r="G9415">
        <f>LOG(382/(1+1))</f>
        <v>2.2810333672477277</v>
      </c>
      <c r="H9415">
        <f>0.0099009900990099*5.25227342804663</f>
        <v>5.2002707208382466E-2</v>
      </c>
      <c r="I9415">
        <v>5.2002707208382473E-2</v>
      </c>
    </row>
    <row r="9416" spans="1:9" x14ac:dyDescent="0.25">
      <c r="A9416">
        <v>394</v>
      </c>
      <c r="B9416" t="s">
        <v>2964</v>
      </c>
      <c r="C9416" t="s">
        <v>10</v>
      </c>
      <c r="D9416" t="s">
        <v>2987</v>
      </c>
      <c r="E9416">
        <f t="shared" si="440"/>
        <v>9.9009900990099011E-3</v>
      </c>
      <c r="F9416">
        <v>1</v>
      </c>
      <c r="G9416">
        <f>LOG(382/(1+1))</f>
        <v>2.2810333672477277</v>
      </c>
      <c r="H9416">
        <f>0.0099009900990099*5.25227342804663</f>
        <v>5.2002707208382466E-2</v>
      </c>
      <c r="I9416">
        <v>5.2002707208382473E-2</v>
      </c>
    </row>
    <row r="9417" spans="1:9" x14ac:dyDescent="0.25">
      <c r="A9417">
        <v>394</v>
      </c>
      <c r="B9417" t="s">
        <v>2964</v>
      </c>
      <c r="C9417" t="s">
        <v>10</v>
      </c>
      <c r="D9417" t="s">
        <v>2988</v>
      </c>
      <c r="E9417">
        <f t="shared" si="440"/>
        <v>9.9009900990099011E-3</v>
      </c>
      <c r="F9417">
        <v>1</v>
      </c>
      <c r="G9417">
        <f>LOG(382/(1+1))</f>
        <v>2.2810333672477277</v>
      </c>
      <c r="H9417">
        <f>0.0099009900990099*5.25227342804663</f>
        <v>5.2002707208382466E-2</v>
      </c>
      <c r="I9417">
        <v>5.2002707208382473E-2</v>
      </c>
    </row>
    <row r="9418" spans="1:9" x14ac:dyDescent="0.25">
      <c r="A9418">
        <v>394</v>
      </c>
      <c r="B9418" t="s">
        <v>2964</v>
      </c>
      <c r="C9418" t="s">
        <v>10</v>
      </c>
      <c r="D9418" t="s">
        <v>81</v>
      </c>
      <c r="E9418">
        <f t="shared" si="440"/>
        <v>9.9009900990099011E-3</v>
      </c>
      <c r="F9418">
        <v>114</v>
      </c>
      <c r="G9418">
        <f>LOG(382/(114+1))</f>
        <v>0.52136552255809698</v>
      </c>
      <c r="H9418">
        <f>0.0099009900990099*1.20048848024332</f>
        <v>1.1886024556864553E-2</v>
      </c>
      <c r="I9418">
        <v>1.188602455686461E-2</v>
      </c>
    </row>
    <row r="9419" spans="1:9" x14ac:dyDescent="0.25">
      <c r="A9419">
        <v>394</v>
      </c>
      <c r="B9419" t="s">
        <v>2964</v>
      </c>
      <c r="C9419" t="s">
        <v>10</v>
      </c>
      <c r="D9419" t="s">
        <v>322</v>
      </c>
      <c r="E9419">
        <f t="shared" si="440"/>
        <v>9.9009900990099011E-3</v>
      </c>
      <c r="F9419">
        <v>128</v>
      </c>
      <c r="G9419">
        <f>LOG(382/(128+1))</f>
        <v>0.47147365261245977</v>
      </c>
      <c r="H9419">
        <f>0.0099009900990099*1.0856082042449</f>
        <v>1.0748596081632672E-2</v>
      </c>
      <c r="I9419">
        <v>1.07485960816327E-2</v>
      </c>
    </row>
    <row r="9420" spans="1:9" x14ac:dyDescent="0.25">
      <c r="A9420">
        <v>394</v>
      </c>
      <c r="B9420" t="s">
        <v>2964</v>
      </c>
      <c r="C9420" t="s">
        <v>10</v>
      </c>
      <c r="D9420" t="s">
        <v>591</v>
      </c>
      <c r="E9420">
        <f t="shared" si="440"/>
        <v>9.9009900990099011E-3</v>
      </c>
      <c r="F9420">
        <v>21</v>
      </c>
      <c r="G9420">
        <f>LOG(382/(21+1))</f>
        <v>1.2396406820895025</v>
      </c>
      <c r="H9420">
        <f>0.0099009900990099*2.85437815524825</f>
        <v>2.8261169853943065E-2</v>
      </c>
      <c r="I9420">
        <v>2.8261169853943158E-2</v>
      </c>
    </row>
    <row r="9421" spans="1:9" x14ac:dyDescent="0.25">
      <c r="A9421">
        <v>394</v>
      </c>
      <c r="B9421" t="s">
        <v>2964</v>
      </c>
      <c r="C9421" t="s">
        <v>10</v>
      </c>
      <c r="D9421" t="s">
        <v>897</v>
      </c>
      <c r="E9421">
        <f t="shared" si="440"/>
        <v>9.9009900990099011E-3</v>
      </c>
      <c r="F9421">
        <v>4</v>
      </c>
      <c r="G9421">
        <f>LOG(382/(4+1))</f>
        <v>1.8830933585756899</v>
      </c>
      <c r="H9421">
        <f>0.0099009900990099*4.33598269617247</f>
        <v>4.2930521744281878E-2</v>
      </c>
      <c r="I9421">
        <v>4.2930521744281927E-2</v>
      </c>
    </row>
    <row r="9422" spans="1:9" x14ac:dyDescent="0.25">
      <c r="A9422">
        <v>394</v>
      </c>
      <c r="B9422" t="s">
        <v>2964</v>
      </c>
      <c r="C9422" t="s">
        <v>10</v>
      </c>
      <c r="D9422" t="s">
        <v>2989</v>
      </c>
      <c r="E9422">
        <f t="shared" si="440"/>
        <v>9.9009900990099011E-3</v>
      </c>
      <c r="F9422">
        <v>1</v>
      </c>
      <c r="G9422">
        <f>LOG(382/(1+1))</f>
        <v>2.2810333672477277</v>
      </c>
      <c r="H9422">
        <f>0.0099009900990099*5.25227342804663</f>
        <v>5.2002707208382466E-2</v>
      </c>
      <c r="I9422">
        <v>5.2002707208382473E-2</v>
      </c>
    </row>
    <row r="9423" spans="1:9" x14ac:dyDescent="0.25">
      <c r="A9423">
        <v>394</v>
      </c>
      <c r="B9423" t="s">
        <v>2964</v>
      </c>
      <c r="C9423" t="s">
        <v>10</v>
      </c>
      <c r="D9423" t="s">
        <v>2990</v>
      </c>
      <c r="E9423">
        <f t="shared" si="440"/>
        <v>9.9009900990099011E-3</v>
      </c>
      <c r="F9423">
        <v>1</v>
      </c>
      <c r="G9423">
        <f>LOG(382/(1+1))</f>
        <v>2.2810333672477277</v>
      </c>
      <c r="H9423">
        <f>0.0099009900990099*5.25227342804663</f>
        <v>5.2002707208382466E-2</v>
      </c>
      <c r="I9423">
        <v>5.2002707208382473E-2</v>
      </c>
    </row>
    <row r="9424" spans="1:9" x14ac:dyDescent="0.25">
      <c r="A9424">
        <v>394</v>
      </c>
      <c r="B9424" t="s">
        <v>2964</v>
      </c>
      <c r="C9424" t="s">
        <v>10</v>
      </c>
      <c r="D9424" t="s">
        <v>2991</v>
      </c>
      <c r="E9424">
        <f t="shared" si="440"/>
        <v>9.9009900990099011E-3</v>
      </c>
      <c r="F9424">
        <v>1</v>
      </c>
      <c r="G9424">
        <f>LOG(382/(1+1))</f>
        <v>2.2810333672477277</v>
      </c>
      <c r="H9424">
        <f>0.0099009900990099*5.25227342804663</f>
        <v>5.2002707208382466E-2</v>
      </c>
      <c r="I9424">
        <v>5.2002707208382473E-2</v>
      </c>
    </row>
    <row r="9425" spans="1:9" x14ac:dyDescent="0.25">
      <c r="A9425">
        <v>394</v>
      </c>
      <c r="B9425" t="s">
        <v>2964</v>
      </c>
      <c r="C9425" t="s">
        <v>10</v>
      </c>
      <c r="D9425" t="s">
        <v>97</v>
      </c>
      <c r="E9425">
        <f t="shared" si="440"/>
        <v>9.9009900990099011E-3</v>
      </c>
      <c r="F9425">
        <v>19</v>
      </c>
      <c r="G9425">
        <f>LOG(382/(19+1))</f>
        <v>1.2810333672477277</v>
      </c>
      <c r="H9425">
        <f>0.0099009900990099*2.94968833505258</f>
        <v>2.9204835000520589E-2</v>
      </c>
      <c r="I9425">
        <v>2.9204835000520641E-2</v>
      </c>
    </row>
    <row r="9426" spans="1:9" x14ac:dyDescent="0.25">
      <c r="A9426">
        <v>394</v>
      </c>
      <c r="B9426" t="s">
        <v>2964</v>
      </c>
      <c r="C9426" t="s">
        <v>10</v>
      </c>
      <c r="D9426" t="s">
        <v>1452</v>
      </c>
      <c r="E9426">
        <f>2/101</f>
        <v>1.9801980198019802E-2</v>
      </c>
      <c r="F9426">
        <v>8</v>
      </c>
      <c r="G9426">
        <f>LOG(382/(8+1))</f>
        <v>1.6278208534723839</v>
      </c>
      <c r="H9426">
        <f>0.0198019801980198*3.74819603127035</f>
        <v>7.422170358951187E-2</v>
      </c>
      <c r="I9426">
        <v>7.4221703589511995E-2</v>
      </c>
    </row>
    <row r="9427" spans="1:9" x14ac:dyDescent="0.25">
      <c r="A9427">
        <v>394</v>
      </c>
      <c r="B9427" t="s">
        <v>2964</v>
      </c>
      <c r="C9427" t="s">
        <v>10</v>
      </c>
      <c r="D9427" t="s">
        <v>1098</v>
      </c>
      <c r="E9427">
        <f t="shared" ref="E9427:E9438" si="441">1/101</f>
        <v>9.9009900990099011E-3</v>
      </c>
      <c r="F9427">
        <v>19</v>
      </c>
      <c r="G9427">
        <f>LOG(382/(19+1))</f>
        <v>1.2810333672477277</v>
      </c>
      <c r="H9427">
        <f>0.0099009900990099*2.94968833505258</f>
        <v>2.9204835000520589E-2</v>
      </c>
      <c r="I9427">
        <v>2.9204835000520641E-2</v>
      </c>
    </row>
    <row r="9428" spans="1:9" x14ac:dyDescent="0.25">
      <c r="A9428">
        <v>394</v>
      </c>
      <c r="B9428" t="s">
        <v>2964</v>
      </c>
      <c r="C9428" t="s">
        <v>10</v>
      </c>
      <c r="D9428" t="s">
        <v>680</v>
      </c>
      <c r="E9428">
        <f t="shared" si="441"/>
        <v>9.9009900990099011E-3</v>
      </c>
      <c r="F9428">
        <v>25</v>
      </c>
      <c r="G9428">
        <f>LOG(382/(25+1))</f>
        <v>1.1670900149408907</v>
      </c>
      <c r="H9428">
        <f>0.0099009900990099*2.68732407058509</f>
        <v>2.6607169015693957E-2</v>
      </c>
      <c r="I9428">
        <v>2.6607169015693991E-2</v>
      </c>
    </row>
    <row r="9429" spans="1:9" x14ac:dyDescent="0.25">
      <c r="A9429">
        <v>394</v>
      </c>
      <c r="B9429" t="s">
        <v>2964</v>
      </c>
      <c r="C9429" t="s">
        <v>10</v>
      </c>
      <c r="D9429" t="s">
        <v>237</v>
      </c>
      <c r="E9429">
        <f t="shared" si="441"/>
        <v>9.9009900990099011E-3</v>
      </c>
      <c r="F9429">
        <v>138</v>
      </c>
      <c r="G9429">
        <f>LOG(382/(138+1))</f>
        <v>0.43904856265761361</v>
      </c>
      <c r="H9429">
        <f>0.0099009900990099*1.01094667547588</f>
        <v>1.0009373024513662E-2</v>
      </c>
      <c r="I9429">
        <v>1.00093730245137E-2</v>
      </c>
    </row>
    <row r="9430" spans="1:9" x14ac:dyDescent="0.25">
      <c r="A9430">
        <v>394</v>
      </c>
      <c r="B9430" t="s">
        <v>2964</v>
      </c>
      <c r="C9430" t="s">
        <v>10</v>
      </c>
      <c r="D9430" t="s">
        <v>2992</v>
      </c>
      <c r="E9430">
        <f t="shared" si="441"/>
        <v>9.9009900990099011E-3</v>
      </c>
      <c r="F9430">
        <v>1</v>
      </c>
      <c r="G9430">
        <f>LOG(382/(1+1))</f>
        <v>2.2810333672477277</v>
      </c>
      <c r="H9430">
        <f>0.0099009900990099*5.25227342804663</f>
        <v>5.2002707208382466E-2</v>
      </c>
      <c r="I9430">
        <v>5.2002707208382473E-2</v>
      </c>
    </row>
    <row r="9431" spans="1:9" x14ac:dyDescent="0.25">
      <c r="A9431">
        <v>394</v>
      </c>
      <c r="B9431" t="s">
        <v>2964</v>
      </c>
      <c r="C9431" t="s">
        <v>10</v>
      </c>
      <c r="D9431" t="s">
        <v>1296</v>
      </c>
      <c r="E9431">
        <f t="shared" si="441"/>
        <v>9.9009900990099011E-3</v>
      </c>
      <c r="F9431">
        <v>14</v>
      </c>
      <c r="G9431">
        <f>LOG(382/(14+1))</f>
        <v>1.4059721038560276</v>
      </c>
      <c r="H9431">
        <f>0.0099009900990099*3.23737040750436</f>
        <v>3.2053172351528311E-2</v>
      </c>
      <c r="I9431">
        <v>3.2053172351528367E-2</v>
      </c>
    </row>
    <row r="9432" spans="1:9" x14ac:dyDescent="0.25">
      <c r="A9432">
        <v>394</v>
      </c>
      <c r="B9432" t="s">
        <v>2964</v>
      </c>
      <c r="C9432" t="s">
        <v>10</v>
      </c>
      <c r="D9432" t="s">
        <v>222</v>
      </c>
      <c r="E9432">
        <f t="shared" si="441"/>
        <v>9.9009900990099011E-3</v>
      </c>
      <c r="F9432">
        <v>22</v>
      </c>
      <c r="G9432">
        <f>LOG(382/(22+1))</f>
        <v>1.2203355268941158</v>
      </c>
      <c r="H9432">
        <f>0.0099009900990099*2.80992639267742</f>
        <v>2.7821053392845737E-2</v>
      </c>
      <c r="I9432">
        <v>2.7821053392845799E-2</v>
      </c>
    </row>
    <row r="9433" spans="1:9" x14ac:dyDescent="0.25">
      <c r="A9433">
        <v>394</v>
      </c>
      <c r="B9433" t="s">
        <v>2964</v>
      </c>
      <c r="C9433" t="s">
        <v>10</v>
      </c>
      <c r="D9433" t="s">
        <v>342</v>
      </c>
      <c r="E9433">
        <f t="shared" si="441"/>
        <v>9.9009900990099011E-3</v>
      </c>
      <c r="F9433">
        <v>35</v>
      </c>
      <c r="G9433">
        <f>LOG(382/(35+1))</f>
        <v>1.0257608621444214</v>
      </c>
      <c r="H9433">
        <f>0.0099009900990099*2.36190167015046</f>
        <v>2.3385165050994649E-2</v>
      </c>
      <c r="I9433">
        <v>2.3385165050994701E-2</v>
      </c>
    </row>
    <row r="9434" spans="1:9" x14ac:dyDescent="0.25">
      <c r="A9434">
        <v>394</v>
      </c>
      <c r="B9434" t="s">
        <v>2964</v>
      </c>
      <c r="C9434" t="s">
        <v>10</v>
      </c>
      <c r="D9434" t="s">
        <v>123</v>
      </c>
      <c r="E9434">
        <f t="shared" si="441"/>
        <v>9.9009900990099011E-3</v>
      </c>
      <c r="F9434">
        <v>74</v>
      </c>
      <c r="G9434">
        <f>LOG(382/(74+1))</f>
        <v>0.7070020995200087</v>
      </c>
      <c r="H9434">
        <f>0.0099009900990099*1.62793249507026</f>
        <v>1.6118143515547127E-2</v>
      </c>
      <c r="I9434">
        <v>1.6118143515547179E-2</v>
      </c>
    </row>
    <row r="9435" spans="1:9" x14ac:dyDescent="0.25">
      <c r="A9435">
        <v>394</v>
      </c>
      <c r="B9435" t="s">
        <v>2964</v>
      </c>
      <c r="C9435" t="s">
        <v>10</v>
      </c>
      <c r="D9435" t="s">
        <v>144</v>
      </c>
      <c r="E9435">
        <f t="shared" si="441"/>
        <v>9.9009900990099011E-3</v>
      </c>
      <c r="F9435">
        <v>105</v>
      </c>
      <c r="G9435">
        <f>LOG(382/(105+1))</f>
        <v>0.55675749764693849</v>
      </c>
      <c r="H9435">
        <f>0.0099009900990099*1.2819815144945</f>
        <v>1.2692886282123759E-2</v>
      </c>
      <c r="I9435">
        <v>1.269288628212384E-2</v>
      </c>
    </row>
    <row r="9436" spans="1:9" x14ac:dyDescent="0.25">
      <c r="A9436">
        <v>394</v>
      </c>
      <c r="B9436" t="s">
        <v>2964</v>
      </c>
      <c r="C9436" t="s">
        <v>10</v>
      </c>
      <c r="D9436" t="s">
        <v>2993</v>
      </c>
      <c r="E9436">
        <f t="shared" si="441"/>
        <v>9.9009900990099011E-3</v>
      </c>
      <c r="F9436">
        <v>1</v>
      </c>
      <c r="G9436">
        <f>LOG(382/(1+1))</f>
        <v>2.2810333672477277</v>
      </c>
      <c r="H9436">
        <f>0.0099009900990099*5.25227342804663</f>
        <v>5.2002707208382466E-2</v>
      </c>
      <c r="I9436">
        <v>5.2002707208382473E-2</v>
      </c>
    </row>
    <row r="9437" spans="1:9" x14ac:dyDescent="0.25">
      <c r="A9437">
        <v>394</v>
      </c>
      <c r="B9437" t="s">
        <v>2964</v>
      </c>
      <c r="C9437" t="s">
        <v>10</v>
      </c>
      <c r="D9437" t="s">
        <v>739</v>
      </c>
      <c r="E9437">
        <f t="shared" si="441"/>
        <v>9.9009900990099011E-3</v>
      </c>
      <c r="F9437">
        <v>24</v>
      </c>
      <c r="G9437">
        <f>LOG(382/(24+1))</f>
        <v>1.1841233542396712</v>
      </c>
      <c r="H9437">
        <f>0.0099009900990099*2.72654478373837</f>
        <v>2.6995492908300688E-2</v>
      </c>
      <c r="I9437">
        <v>2.699549290830074E-2</v>
      </c>
    </row>
    <row r="9438" spans="1:9" x14ac:dyDescent="0.25">
      <c r="A9438">
        <v>394</v>
      </c>
      <c r="B9438" t="s">
        <v>2964</v>
      </c>
      <c r="C9438" t="s">
        <v>10</v>
      </c>
      <c r="D9438" t="s">
        <v>2994</v>
      </c>
      <c r="E9438">
        <f t="shared" si="441"/>
        <v>9.9009900990099011E-3</v>
      </c>
      <c r="F9438">
        <v>1</v>
      </c>
      <c r="G9438">
        <f>LOG(382/(1+1))</f>
        <v>2.2810333672477277</v>
      </c>
      <c r="H9438">
        <f>0.0099009900990099*5.25227342804663</f>
        <v>5.2002707208382466E-2</v>
      </c>
      <c r="I9438">
        <v>5.2002707208382473E-2</v>
      </c>
    </row>
    <row r="9439" spans="1:9" x14ac:dyDescent="0.25">
      <c r="A9439">
        <v>395</v>
      </c>
      <c r="B9439" t="s">
        <v>2995</v>
      </c>
      <c r="C9439" t="s">
        <v>10</v>
      </c>
      <c r="D9439" t="s">
        <v>593</v>
      </c>
      <c r="E9439">
        <f>2/86</f>
        <v>2.3255813953488372E-2</v>
      </c>
      <c r="F9439">
        <v>30</v>
      </c>
      <c r="G9439">
        <f>LOG(382/(30+1))</f>
        <v>1.090701669077436</v>
      </c>
      <c r="H9439">
        <f>0.0232558139534883*2.51143340412142</f>
        <v>5.8405428002823542E-2</v>
      </c>
      <c r="I9439">
        <v>5.8405428002823931E-2</v>
      </c>
    </row>
    <row r="9440" spans="1:9" x14ac:dyDescent="0.25">
      <c r="A9440">
        <v>395</v>
      </c>
      <c r="B9440" t="s">
        <v>2995</v>
      </c>
      <c r="C9440" t="s">
        <v>10</v>
      </c>
      <c r="D9440" t="s">
        <v>594</v>
      </c>
      <c r="E9440">
        <f>2/86</f>
        <v>2.3255813953488372E-2</v>
      </c>
      <c r="F9440">
        <v>36</v>
      </c>
      <c r="G9440">
        <f>LOG(382/(36+1))</f>
        <v>1.0138616388447137</v>
      </c>
      <c r="H9440">
        <f>0.0232558139534883*2.33450269596235</f>
        <v>5.4290760371217273E-2</v>
      </c>
      <c r="I9440">
        <v>5.429076037121746E-2</v>
      </c>
    </row>
    <row r="9441" spans="1:9" x14ac:dyDescent="0.25">
      <c r="A9441">
        <v>395</v>
      </c>
      <c r="B9441" t="s">
        <v>2995</v>
      </c>
      <c r="C9441" t="s">
        <v>10</v>
      </c>
      <c r="D9441" t="s">
        <v>368</v>
      </c>
      <c r="E9441">
        <f>7/86</f>
        <v>8.1395348837209308E-2</v>
      </c>
      <c r="F9441">
        <v>17</v>
      </c>
      <c r="G9441">
        <f>LOG(382/(17+1))</f>
        <v>1.3267908578084027</v>
      </c>
      <c r="H9441">
        <f>0.0813953488372093*3.05504885071041</f>
        <v>0.24866676691828915</v>
      </c>
      <c r="I9441">
        <v>0.24866676691828921</v>
      </c>
    </row>
    <row r="9442" spans="1:9" x14ac:dyDescent="0.25">
      <c r="A9442">
        <v>395</v>
      </c>
      <c r="B9442" t="s">
        <v>2995</v>
      </c>
      <c r="C9442" t="s">
        <v>10</v>
      </c>
      <c r="D9442" t="s">
        <v>22</v>
      </c>
      <c r="E9442">
        <f>1/86</f>
        <v>1.1627906976744186E-2</v>
      </c>
      <c r="F9442">
        <v>259</v>
      </c>
      <c r="G9442">
        <f>LOG(382/(259+1))</f>
        <v>0.16709001494089079</v>
      </c>
      <c r="H9442">
        <f>0.0116279069767441*0.384738977591047</f>
        <v>4.4737090417563278E-3</v>
      </c>
      <c r="I9442">
        <v>4.4737090417563668E-3</v>
      </c>
    </row>
    <row r="9443" spans="1:9" x14ac:dyDescent="0.25">
      <c r="A9443">
        <v>395</v>
      </c>
      <c r="B9443" t="s">
        <v>2995</v>
      </c>
      <c r="C9443" t="s">
        <v>10</v>
      </c>
      <c r="D9443" t="s">
        <v>23</v>
      </c>
      <c r="E9443">
        <f>1/86</f>
        <v>1.1627906976744186E-2</v>
      </c>
      <c r="F9443">
        <v>275</v>
      </c>
      <c r="G9443">
        <f>LOG(382/(275+1))</f>
        <v>0.14115428084649101</v>
      </c>
      <c r="H9443">
        <f>0.0116279069767441*0.325019742889425</f>
        <v>3.779299335923518E-3</v>
      </c>
      <c r="I9443">
        <v>3.7792993359235479E-3</v>
      </c>
    </row>
    <row r="9444" spans="1:9" x14ac:dyDescent="0.25">
      <c r="A9444">
        <v>395</v>
      </c>
      <c r="B9444" t="s">
        <v>2995</v>
      </c>
      <c r="C9444" t="s">
        <v>10</v>
      </c>
      <c r="D9444" t="s">
        <v>36</v>
      </c>
      <c r="E9444">
        <f>3/86</f>
        <v>3.4883720930232558E-2</v>
      </c>
      <c r="F9444">
        <v>58</v>
      </c>
      <c r="G9444">
        <f>LOG(382/(58+1))</f>
        <v>0.81121135126956456</v>
      </c>
      <c r="H9444">
        <f>0.0348837209302325*1.86788316470085</f>
        <v>6.5158715047703972E-2</v>
      </c>
      <c r="I9444">
        <v>6.5158715047704263E-2</v>
      </c>
    </row>
    <row r="9445" spans="1:9" x14ac:dyDescent="0.25">
      <c r="A9445">
        <v>395</v>
      </c>
      <c r="B9445" t="s">
        <v>2995</v>
      </c>
      <c r="C9445" t="s">
        <v>10</v>
      </c>
      <c r="D9445" t="s">
        <v>1866</v>
      </c>
      <c r="E9445">
        <f>2/86</f>
        <v>2.3255813953488372E-2</v>
      </c>
      <c r="F9445">
        <v>18</v>
      </c>
      <c r="G9445">
        <f>LOG(382/(18+1))</f>
        <v>1.3033097619588798</v>
      </c>
      <c r="H9445">
        <f>0.0232558139534883*3.00098162944013</f>
        <v>6.9790270452095834E-2</v>
      </c>
      <c r="I9445">
        <v>6.9790270452096154E-2</v>
      </c>
    </row>
    <row r="9446" spans="1:9" x14ac:dyDescent="0.25">
      <c r="A9446">
        <v>395</v>
      </c>
      <c r="B9446" t="s">
        <v>2995</v>
      </c>
      <c r="C9446" t="s">
        <v>10</v>
      </c>
      <c r="D9446" t="s">
        <v>15</v>
      </c>
      <c r="E9446">
        <f>2/86</f>
        <v>2.3255813953488372E-2</v>
      </c>
      <c r="F9446">
        <v>112</v>
      </c>
      <c r="G9446">
        <f>LOG(382/(112+1))</f>
        <v>0.52898491942828896</v>
      </c>
      <c r="H9446">
        <f>0.0232558139534883*1.21803278989423</f>
        <v>2.8326343951028517E-2</v>
      </c>
      <c r="I9446">
        <v>2.8326343951028711E-2</v>
      </c>
    </row>
    <row r="9447" spans="1:9" x14ac:dyDescent="0.25">
      <c r="A9447">
        <v>395</v>
      </c>
      <c r="B9447" t="s">
        <v>2995</v>
      </c>
      <c r="C9447" t="s">
        <v>10</v>
      </c>
      <c r="D9447" t="s">
        <v>39</v>
      </c>
      <c r="E9447">
        <f>3/86</f>
        <v>3.4883720930232558E-2</v>
      </c>
      <c r="F9447">
        <v>145</v>
      </c>
      <c r="G9447">
        <f>LOG(382/(145+1))</f>
        <v>0.41771050712727159</v>
      </c>
      <c r="H9447">
        <f>0.0348837209302325*0.961813986898238</f>
        <v>3.3551650705752438E-2</v>
      </c>
      <c r="I9447">
        <v>3.3551650705752507E-2</v>
      </c>
    </row>
    <row r="9448" spans="1:9" x14ac:dyDescent="0.25">
      <c r="A9448">
        <v>395</v>
      </c>
      <c r="B9448" t="s">
        <v>2995</v>
      </c>
      <c r="C9448" t="s">
        <v>10</v>
      </c>
      <c r="D9448" t="s">
        <v>2996</v>
      </c>
      <c r="E9448">
        <f>2/86</f>
        <v>2.3255813953488372E-2</v>
      </c>
      <c r="F9448">
        <v>3</v>
      </c>
      <c r="G9448">
        <f>LOG(382/(3+1))</f>
        <v>1.9800033715837464</v>
      </c>
      <c r="H9448">
        <f>0.0232558139534883*4.55912624748668</f>
        <v>0.10602619180201549</v>
      </c>
      <c r="I9448">
        <v>0.1060261918020159</v>
      </c>
    </row>
    <row r="9449" spans="1:9" x14ac:dyDescent="0.25">
      <c r="A9449">
        <v>395</v>
      </c>
      <c r="B9449" t="s">
        <v>2995</v>
      </c>
      <c r="C9449" t="s">
        <v>10</v>
      </c>
      <c r="D9449" t="s">
        <v>315</v>
      </c>
      <c r="E9449">
        <f>4/86</f>
        <v>4.6511627906976744E-2</v>
      </c>
      <c r="F9449">
        <v>55</v>
      </c>
      <c r="G9449">
        <f>LOG(382/(55+1))</f>
        <v>0.83387533590550833</v>
      </c>
      <c r="H9449">
        <f>0.0465116279069767*1.92006891787142</f>
        <v>8.93055310637869E-2</v>
      </c>
      <c r="I9449">
        <v>8.9305531063787247E-2</v>
      </c>
    </row>
    <row r="9450" spans="1:9" x14ac:dyDescent="0.25">
      <c r="A9450">
        <v>395</v>
      </c>
      <c r="B9450" t="s">
        <v>2995</v>
      </c>
      <c r="C9450" t="s">
        <v>10</v>
      </c>
      <c r="D9450" t="s">
        <v>2997</v>
      </c>
      <c r="E9450">
        <f>2/86</f>
        <v>2.3255813953488372E-2</v>
      </c>
      <c r="F9450">
        <v>3</v>
      </c>
      <c r="G9450">
        <f>LOG(382/(3+1))</f>
        <v>1.9800033715837464</v>
      </c>
      <c r="H9450">
        <f>0.0232558139534883*4.55912624748668</f>
        <v>0.10602619180201549</v>
      </c>
      <c r="I9450">
        <v>0.1060261918020159</v>
      </c>
    </row>
    <row r="9451" spans="1:9" x14ac:dyDescent="0.25">
      <c r="A9451">
        <v>395</v>
      </c>
      <c r="B9451" t="s">
        <v>2995</v>
      </c>
      <c r="C9451" t="s">
        <v>10</v>
      </c>
      <c r="D9451" t="s">
        <v>25</v>
      </c>
      <c r="E9451">
        <f>4/86</f>
        <v>4.6511627906976744E-2</v>
      </c>
      <c r="F9451">
        <v>106</v>
      </c>
      <c r="G9451">
        <f>LOG(382/(106+1))</f>
        <v>0.55267958522649907</v>
      </c>
      <c r="H9451">
        <f>0.0465116279069767*1.27259177414466</f>
        <v>5.9190315076495761E-2</v>
      </c>
      <c r="I9451">
        <v>5.9190315076496233E-2</v>
      </c>
    </row>
    <row r="9452" spans="1:9" x14ac:dyDescent="0.25">
      <c r="A9452">
        <v>395</v>
      </c>
      <c r="B9452" t="s">
        <v>2995</v>
      </c>
      <c r="C9452" t="s">
        <v>10</v>
      </c>
      <c r="D9452" t="s">
        <v>487</v>
      </c>
      <c r="E9452">
        <f>1/86</f>
        <v>1.1627906976744186E-2</v>
      </c>
      <c r="F9452">
        <v>32</v>
      </c>
      <c r="G9452">
        <f>LOG(382/(32+1))</f>
        <v>1.0635494230338212</v>
      </c>
      <c r="H9452">
        <f>0.0116279069767441*2.44891304714009</f>
        <v>2.8475733106279905E-2</v>
      </c>
      <c r="I9452">
        <v>2.8475733106280179E-2</v>
      </c>
    </row>
    <row r="9453" spans="1:9" x14ac:dyDescent="0.25">
      <c r="A9453">
        <v>395</v>
      </c>
      <c r="B9453" t="s">
        <v>2995</v>
      </c>
      <c r="C9453" t="s">
        <v>10</v>
      </c>
      <c r="D9453" t="s">
        <v>331</v>
      </c>
      <c r="E9453">
        <f>2/86</f>
        <v>2.3255813953488372E-2</v>
      </c>
      <c r="F9453">
        <v>130</v>
      </c>
      <c r="G9453">
        <f>LOG(382/(130+1))</f>
        <v>0.46479206725594452</v>
      </c>
      <c r="H9453">
        <f>0.0232558139534883*1.07022328540542</f>
        <v>2.488891361407946E-2</v>
      </c>
      <c r="I9453">
        <v>2.4888913614079619E-2</v>
      </c>
    </row>
    <row r="9454" spans="1:9" x14ac:dyDescent="0.25">
      <c r="A9454">
        <v>395</v>
      </c>
      <c r="B9454" t="s">
        <v>2995</v>
      </c>
      <c r="C9454" t="s">
        <v>10</v>
      </c>
      <c r="D9454" t="s">
        <v>77</v>
      </c>
      <c r="E9454">
        <f>1/86</f>
        <v>1.1627906976744186E-2</v>
      </c>
      <c r="F9454">
        <v>148</v>
      </c>
      <c r="G9454">
        <f>LOG(382/(148+1))</f>
        <v>0.40887709449943471</v>
      </c>
      <c r="H9454">
        <f>0.0116279069767441*0.941474302661116</f>
        <v>1.0947375612338476E-2</v>
      </c>
      <c r="I9454">
        <v>1.0947375612338561E-2</v>
      </c>
    </row>
    <row r="9455" spans="1:9" x14ac:dyDescent="0.25">
      <c r="A9455">
        <v>395</v>
      </c>
      <c r="B9455" t="s">
        <v>2995</v>
      </c>
      <c r="C9455" t="s">
        <v>10</v>
      </c>
      <c r="D9455" t="s">
        <v>1524</v>
      </c>
      <c r="E9455">
        <f>1/86</f>
        <v>1.1627906976744186E-2</v>
      </c>
      <c r="F9455">
        <v>3</v>
      </c>
      <c r="G9455">
        <f>LOG(382/(3+1))</f>
        <v>1.9800033715837464</v>
      </c>
      <c r="H9455">
        <f>0.0116279069767441*4.55912624748668</f>
        <v>5.3013095901007515E-2</v>
      </c>
      <c r="I9455">
        <v>5.3013095901007959E-2</v>
      </c>
    </row>
    <row r="9456" spans="1:9" x14ac:dyDescent="0.25">
      <c r="A9456">
        <v>395</v>
      </c>
      <c r="B9456" t="s">
        <v>2995</v>
      </c>
      <c r="C9456" t="s">
        <v>10</v>
      </c>
      <c r="D9456" t="s">
        <v>1746</v>
      </c>
      <c r="E9456">
        <f>1/86</f>
        <v>1.1627906976744186E-2</v>
      </c>
      <c r="F9456">
        <v>5</v>
      </c>
      <c r="G9456">
        <f>LOG(382/(5+1))</f>
        <v>1.803912112528065</v>
      </c>
      <c r="H9456">
        <f>0.0116279069767441*4.15366113937852</f>
        <v>4.8298385341610336E-2</v>
      </c>
      <c r="I9456">
        <v>4.8298385341610697E-2</v>
      </c>
    </row>
    <row r="9457" spans="1:9" x14ac:dyDescent="0.25">
      <c r="A9457">
        <v>395</v>
      </c>
      <c r="B9457" t="s">
        <v>2995</v>
      </c>
      <c r="C9457" t="s">
        <v>10</v>
      </c>
      <c r="D9457" t="s">
        <v>602</v>
      </c>
      <c r="E9457">
        <f>1/86</f>
        <v>1.1627906976744186E-2</v>
      </c>
      <c r="F9457">
        <v>13</v>
      </c>
      <c r="G9457">
        <f>LOG(382/(13+1))</f>
        <v>1.4359353272334707</v>
      </c>
      <c r="H9457">
        <f>0.0116279069767441*3.30636327899131</f>
        <v>3.8446084639433553E-2</v>
      </c>
      <c r="I9457">
        <v>3.8446084639433907E-2</v>
      </c>
    </row>
    <row r="9458" spans="1:9" x14ac:dyDescent="0.25">
      <c r="A9458">
        <v>395</v>
      </c>
      <c r="B9458" t="s">
        <v>2995</v>
      </c>
      <c r="C9458" t="s">
        <v>10</v>
      </c>
      <c r="D9458" t="s">
        <v>40</v>
      </c>
      <c r="E9458">
        <f>3/86</f>
        <v>3.4883720930232558E-2</v>
      </c>
      <c r="F9458">
        <v>159</v>
      </c>
      <c r="G9458">
        <f>LOG(382/(159+1))</f>
        <v>0.377943380255784</v>
      </c>
      <c r="H9458">
        <f>0.0348837209302325*0.870246793372748</f>
        <v>3.035744628044465E-2</v>
      </c>
      <c r="I9458">
        <v>3.0357446280444709E-2</v>
      </c>
    </row>
    <row r="9459" spans="1:9" x14ac:dyDescent="0.25">
      <c r="A9459">
        <v>395</v>
      </c>
      <c r="B9459" t="s">
        <v>2995</v>
      </c>
      <c r="C9459" t="s">
        <v>10</v>
      </c>
      <c r="D9459" t="s">
        <v>41</v>
      </c>
      <c r="E9459">
        <f>3/86</f>
        <v>3.4883720930232558E-2</v>
      </c>
      <c r="F9459">
        <v>195</v>
      </c>
      <c r="G9459">
        <f>LOG(382/(195+1))</f>
        <v>0.28980729155523272</v>
      </c>
      <c r="H9459">
        <f>0.0348837209302325*0.667305949376058</f>
        <v>2.3278114513118266E-2</v>
      </c>
      <c r="I9459">
        <v>2.32781145131183E-2</v>
      </c>
    </row>
    <row r="9460" spans="1:9" x14ac:dyDescent="0.25">
      <c r="A9460">
        <v>395</v>
      </c>
      <c r="B9460" t="s">
        <v>2995</v>
      </c>
      <c r="C9460" t="s">
        <v>10</v>
      </c>
      <c r="D9460" t="s">
        <v>2284</v>
      </c>
      <c r="E9460">
        <f>1/86</f>
        <v>1.1627906976744186E-2</v>
      </c>
      <c r="F9460">
        <v>4</v>
      </c>
      <c r="G9460">
        <f>LOG(382/(4+1))</f>
        <v>1.8830933585756899</v>
      </c>
      <c r="H9460">
        <f>0.0116279069767441*4.33598269617247</f>
        <v>5.0418403443865556E-2</v>
      </c>
      <c r="I9460">
        <v>5.0418403443865993E-2</v>
      </c>
    </row>
    <row r="9461" spans="1:9" x14ac:dyDescent="0.25">
      <c r="A9461">
        <v>395</v>
      </c>
      <c r="B9461" t="s">
        <v>2995</v>
      </c>
      <c r="C9461" t="s">
        <v>10</v>
      </c>
      <c r="D9461" t="s">
        <v>779</v>
      </c>
      <c r="E9461">
        <f>1/86</f>
        <v>1.1627906976744186E-2</v>
      </c>
      <c r="F9461">
        <v>25</v>
      </c>
      <c r="G9461">
        <f>LOG(382/(25+1))</f>
        <v>1.1670900149408907</v>
      </c>
      <c r="H9461">
        <f>0.0116279069767441*2.68732407058509</f>
        <v>3.1247954309128721E-2</v>
      </c>
      <c r="I9461">
        <v>3.1247954309128991E-2</v>
      </c>
    </row>
    <row r="9462" spans="1:9" x14ac:dyDescent="0.25">
      <c r="A9462">
        <v>395</v>
      </c>
      <c r="B9462" t="s">
        <v>2995</v>
      </c>
      <c r="C9462" t="s">
        <v>10</v>
      </c>
      <c r="D9462" t="s">
        <v>11</v>
      </c>
      <c r="E9462">
        <f>3/86</f>
        <v>3.4883720930232558E-2</v>
      </c>
      <c r="F9462">
        <v>83</v>
      </c>
      <c r="G9462">
        <f>LOG(382/(83+1))</f>
        <v>0.65778407684982709</v>
      </c>
      <c r="H9462">
        <f>0.0348837209302325*1.51460380976326</f>
        <v>5.2835016619648519E-2</v>
      </c>
      <c r="I9462">
        <v>5.2835016619648657E-2</v>
      </c>
    </row>
    <row r="9463" spans="1:9" x14ac:dyDescent="0.25">
      <c r="A9463">
        <v>395</v>
      </c>
      <c r="B9463" t="s">
        <v>2995</v>
      </c>
      <c r="C9463" t="s">
        <v>10</v>
      </c>
      <c r="D9463" t="s">
        <v>12</v>
      </c>
      <c r="E9463">
        <f>2/86</f>
        <v>2.3255813953488372E-2</v>
      </c>
      <c r="F9463">
        <v>28</v>
      </c>
      <c r="G9463">
        <f>LOG(382/(28+1))</f>
        <v>1.1196653650127526</v>
      </c>
      <c r="H9463">
        <f>0.0232558139534883*2.5781247786201</f>
        <v>5.9956390200467252E-2</v>
      </c>
      <c r="I9463">
        <v>5.9956390200467467E-2</v>
      </c>
    </row>
    <row r="9464" spans="1:9" x14ac:dyDescent="0.25">
      <c r="A9464">
        <v>395</v>
      </c>
      <c r="B9464" t="s">
        <v>2995</v>
      </c>
      <c r="C9464" t="s">
        <v>10</v>
      </c>
      <c r="D9464" t="s">
        <v>2585</v>
      </c>
      <c r="E9464">
        <f t="shared" ref="E9464:E9482" si="442">1/86</f>
        <v>1.1627906976744186E-2</v>
      </c>
      <c r="F9464">
        <v>2</v>
      </c>
      <c r="G9464">
        <f>LOG(382/(2+1))</f>
        <v>2.1049421081920463</v>
      </c>
      <c r="H9464">
        <f>0.0116279069767441*4.84680831993846</f>
        <v>5.6358236278353763E-2</v>
      </c>
      <c r="I9464">
        <v>5.6358236278354248E-2</v>
      </c>
    </row>
    <row r="9465" spans="1:9" x14ac:dyDescent="0.25">
      <c r="A9465">
        <v>395</v>
      </c>
      <c r="B9465" t="s">
        <v>2995</v>
      </c>
      <c r="C9465" t="s">
        <v>10</v>
      </c>
      <c r="D9465" t="s">
        <v>2998</v>
      </c>
      <c r="E9465">
        <f t="shared" si="442"/>
        <v>1.1627906976744186E-2</v>
      </c>
      <c r="F9465">
        <v>1</v>
      </c>
      <c r="G9465">
        <f>LOG(382/(1+1))</f>
        <v>2.2810333672477277</v>
      </c>
      <c r="H9465">
        <f>0.0116279069767441*5.25227342804663</f>
        <v>6.1072946837751052E-2</v>
      </c>
      <c r="I9465">
        <v>6.107294683775151E-2</v>
      </c>
    </row>
    <row r="9466" spans="1:9" x14ac:dyDescent="0.25">
      <c r="A9466">
        <v>395</v>
      </c>
      <c r="B9466" t="s">
        <v>2995</v>
      </c>
      <c r="C9466" t="s">
        <v>10</v>
      </c>
      <c r="D9466" t="s">
        <v>54</v>
      </c>
      <c r="E9466">
        <f t="shared" si="442"/>
        <v>1.1627906976744186E-2</v>
      </c>
      <c r="F9466">
        <v>25</v>
      </c>
      <c r="G9466">
        <f>LOG(382/(25+1))</f>
        <v>1.1670900149408907</v>
      </c>
      <c r="H9466">
        <f>0.0116279069767441*2.68732407058509</f>
        <v>3.1247954309128721E-2</v>
      </c>
      <c r="I9466">
        <v>3.1247954309128991E-2</v>
      </c>
    </row>
    <row r="9467" spans="1:9" x14ac:dyDescent="0.25">
      <c r="A9467">
        <v>395</v>
      </c>
      <c r="B9467" t="s">
        <v>2995</v>
      </c>
      <c r="C9467" t="s">
        <v>10</v>
      </c>
      <c r="D9467" t="s">
        <v>53</v>
      </c>
      <c r="E9467">
        <f t="shared" si="442"/>
        <v>1.1627906976744186E-2</v>
      </c>
      <c r="F9467">
        <v>57</v>
      </c>
      <c r="G9467">
        <f>LOG(382/(57+1))</f>
        <v>0.81863536934877146</v>
      </c>
      <c r="H9467">
        <f>0.0116279069767441*1.88497759806015</f>
        <v>2.1918344163489954E-2</v>
      </c>
      <c r="I9467">
        <v>2.1918344163490179E-2</v>
      </c>
    </row>
    <row r="9468" spans="1:9" x14ac:dyDescent="0.25">
      <c r="A9468">
        <v>395</v>
      </c>
      <c r="B9468" t="s">
        <v>2995</v>
      </c>
      <c r="C9468" t="s">
        <v>10</v>
      </c>
      <c r="D9468" t="s">
        <v>1437</v>
      </c>
      <c r="E9468">
        <f t="shared" si="442"/>
        <v>1.1627906976744186E-2</v>
      </c>
      <c r="F9468">
        <v>4</v>
      </c>
      <c r="G9468">
        <f>LOG(382/(4+1))</f>
        <v>1.8830933585756899</v>
      </c>
      <c r="H9468">
        <f>0.0116279069767441*4.33598269617247</f>
        <v>5.0418403443865556E-2</v>
      </c>
      <c r="I9468">
        <v>5.0418403443865993E-2</v>
      </c>
    </row>
    <row r="9469" spans="1:9" x14ac:dyDescent="0.25">
      <c r="A9469">
        <v>395</v>
      </c>
      <c r="B9469" t="s">
        <v>2995</v>
      </c>
      <c r="C9469" t="s">
        <v>10</v>
      </c>
      <c r="D9469" t="s">
        <v>608</v>
      </c>
      <c r="E9469">
        <f t="shared" si="442"/>
        <v>1.1627906976744186E-2</v>
      </c>
      <c r="F9469">
        <v>4</v>
      </c>
      <c r="G9469">
        <f>LOG(382/(4+1))</f>
        <v>1.8830933585756899</v>
      </c>
      <c r="H9469">
        <f>0.0116279069767441*4.33598269617247</f>
        <v>5.0418403443865556E-2</v>
      </c>
      <c r="I9469">
        <v>5.0418403443865993E-2</v>
      </c>
    </row>
    <row r="9470" spans="1:9" x14ac:dyDescent="0.25">
      <c r="A9470">
        <v>395</v>
      </c>
      <c r="B9470" t="s">
        <v>2995</v>
      </c>
      <c r="C9470" t="s">
        <v>10</v>
      </c>
      <c r="D9470" t="s">
        <v>189</v>
      </c>
      <c r="E9470">
        <f t="shared" si="442"/>
        <v>1.1627906976744186E-2</v>
      </c>
      <c r="F9470">
        <v>27</v>
      </c>
      <c r="G9470">
        <f>LOG(382/(27+1))</f>
        <v>1.1349053315694895</v>
      </c>
      <c r="H9470">
        <f>0.0116279069767441*2.61321609843137</f>
        <v>3.0386233702690123E-2</v>
      </c>
      <c r="I9470">
        <v>3.0386233702690359E-2</v>
      </c>
    </row>
    <row r="9471" spans="1:9" x14ac:dyDescent="0.25">
      <c r="A9471">
        <v>395</v>
      </c>
      <c r="B9471" t="s">
        <v>2995</v>
      </c>
      <c r="C9471" t="s">
        <v>10</v>
      </c>
      <c r="D9471" t="s">
        <v>2999</v>
      </c>
      <c r="E9471">
        <f t="shared" si="442"/>
        <v>1.1627906976744186E-2</v>
      </c>
      <c r="F9471">
        <v>1</v>
      </c>
      <c r="G9471">
        <f>LOG(382/(1+1))</f>
        <v>2.2810333672477277</v>
      </c>
      <c r="H9471">
        <f>0.0116279069767441*5.25227342804663</f>
        <v>6.1072946837751052E-2</v>
      </c>
      <c r="I9471">
        <v>6.107294683775151E-2</v>
      </c>
    </row>
    <row r="9472" spans="1:9" x14ac:dyDescent="0.25">
      <c r="A9472">
        <v>395</v>
      </c>
      <c r="B9472" t="s">
        <v>2995</v>
      </c>
      <c r="C9472" t="s">
        <v>10</v>
      </c>
      <c r="D9472" t="s">
        <v>26</v>
      </c>
      <c r="E9472">
        <f t="shared" si="442"/>
        <v>1.1627906976744186E-2</v>
      </c>
      <c r="F9472">
        <v>40</v>
      </c>
      <c r="G9472">
        <f>LOG(382/(40+1))</f>
        <v>0.96927950619197323</v>
      </c>
      <c r="H9472">
        <f>0.0116279069767441*2.23184854190226</f>
        <v>2.5951727231421431E-2</v>
      </c>
      <c r="I9472">
        <v>2.5951727231421709E-2</v>
      </c>
    </row>
    <row r="9473" spans="1:9" x14ac:dyDescent="0.25">
      <c r="A9473">
        <v>395</v>
      </c>
      <c r="B9473" t="s">
        <v>2995</v>
      </c>
      <c r="C9473" t="s">
        <v>10</v>
      </c>
      <c r="D9473" t="s">
        <v>2962</v>
      </c>
      <c r="E9473">
        <f t="shared" si="442"/>
        <v>1.1627906976744186E-2</v>
      </c>
      <c r="F9473">
        <v>2</v>
      </c>
      <c r="G9473">
        <f>LOG(382/(2+1))</f>
        <v>2.1049421081920463</v>
      </c>
      <c r="H9473">
        <f>0.0116279069767441*4.84680831993846</f>
        <v>5.6358236278353763E-2</v>
      </c>
      <c r="I9473">
        <v>5.6358236278354248E-2</v>
      </c>
    </row>
    <row r="9474" spans="1:9" x14ac:dyDescent="0.25">
      <c r="A9474">
        <v>395</v>
      </c>
      <c r="B9474" t="s">
        <v>2995</v>
      </c>
      <c r="C9474" t="s">
        <v>10</v>
      </c>
      <c r="D9474" t="s">
        <v>1235</v>
      </c>
      <c r="E9474">
        <f t="shared" si="442"/>
        <v>1.1627906976744186E-2</v>
      </c>
      <c r="F9474">
        <v>6</v>
      </c>
      <c r="G9474">
        <f>LOG(382/(6+1))</f>
        <v>1.736965322897452</v>
      </c>
      <c r="H9474">
        <f>0.0116279069767441*3.99951045955126</f>
        <v>4.6505935576177097E-2</v>
      </c>
      <c r="I9474">
        <v>4.6505935576177472E-2</v>
      </c>
    </row>
    <row r="9475" spans="1:9" x14ac:dyDescent="0.25">
      <c r="A9475">
        <v>395</v>
      </c>
      <c r="B9475" t="s">
        <v>2995</v>
      </c>
      <c r="C9475" t="s">
        <v>10</v>
      </c>
      <c r="D9475" t="s">
        <v>936</v>
      </c>
      <c r="E9475">
        <f t="shared" si="442"/>
        <v>1.1627906976744186E-2</v>
      </c>
      <c r="F9475">
        <v>21</v>
      </c>
      <c r="G9475">
        <f>LOG(382/(21+1))</f>
        <v>1.2396406820895025</v>
      </c>
      <c r="H9475">
        <f>0.0116279069767441*2.85437815524825</f>
        <v>3.3190443665677076E-2</v>
      </c>
      <c r="I9475">
        <v>3.319044366567743E-2</v>
      </c>
    </row>
    <row r="9476" spans="1:9" x14ac:dyDescent="0.25">
      <c r="A9476">
        <v>395</v>
      </c>
      <c r="B9476" t="s">
        <v>2995</v>
      </c>
      <c r="C9476" t="s">
        <v>10</v>
      </c>
      <c r="D9476" t="s">
        <v>79</v>
      </c>
      <c r="E9476">
        <f t="shared" si="442"/>
        <v>1.1627906976744186E-2</v>
      </c>
      <c r="F9476">
        <v>26</v>
      </c>
      <c r="G9476">
        <f>LOG(382/(26+1))</f>
        <v>1.1506995987527215</v>
      </c>
      <c r="H9476">
        <f>0.0116279069767441*2.64958374260224</f>
        <v>3.0809113286072328E-2</v>
      </c>
      <c r="I9476">
        <v>3.080911328607263E-2</v>
      </c>
    </row>
    <row r="9477" spans="1:9" x14ac:dyDescent="0.25">
      <c r="A9477">
        <v>395</v>
      </c>
      <c r="B9477" t="s">
        <v>2995</v>
      </c>
      <c r="C9477" t="s">
        <v>10</v>
      </c>
      <c r="D9477" t="s">
        <v>2154</v>
      </c>
      <c r="E9477">
        <f t="shared" si="442"/>
        <v>1.1627906976744186E-2</v>
      </c>
      <c r="F9477">
        <v>9</v>
      </c>
      <c r="G9477">
        <f>LOG(382/(9+1))</f>
        <v>1.5820633629117087</v>
      </c>
      <c r="H9477">
        <f>0.0116279069767441*3.64283551561252</f>
        <v>4.2358552507122012E-2</v>
      </c>
      <c r="I9477">
        <v>4.2358552507122442E-2</v>
      </c>
    </row>
    <row r="9478" spans="1:9" x14ac:dyDescent="0.25">
      <c r="A9478">
        <v>395</v>
      </c>
      <c r="B9478" t="s">
        <v>2995</v>
      </c>
      <c r="C9478" t="s">
        <v>10</v>
      </c>
      <c r="D9478" t="s">
        <v>76</v>
      </c>
      <c r="E9478">
        <f t="shared" si="442"/>
        <v>1.1627906976744186E-2</v>
      </c>
      <c r="F9478">
        <v>140</v>
      </c>
      <c r="G9478">
        <f>LOG(382/(140+1))</f>
        <v>0.43284425025632883</v>
      </c>
      <c r="H9478">
        <f>0.0116279069767441*0.996660718228407</f>
        <v>1.1589078118934878E-2</v>
      </c>
      <c r="I9478">
        <v>1.158907811893497E-2</v>
      </c>
    </row>
    <row r="9479" spans="1:9" x14ac:dyDescent="0.25">
      <c r="A9479">
        <v>395</v>
      </c>
      <c r="B9479" t="s">
        <v>2995</v>
      </c>
      <c r="C9479" t="s">
        <v>10</v>
      </c>
      <c r="D9479" t="s">
        <v>763</v>
      </c>
      <c r="E9479">
        <f t="shared" si="442"/>
        <v>1.1627906976744186E-2</v>
      </c>
      <c r="F9479">
        <v>47</v>
      </c>
      <c r="G9479">
        <f>LOG(382/(47+1))</f>
        <v>0.90082212553612151</v>
      </c>
      <c r="H9479">
        <f>0.0116279069767441*2.07421959769868</f>
        <v>2.4118832531379822E-2</v>
      </c>
      <c r="I9479">
        <v>2.4118832531380051E-2</v>
      </c>
    </row>
    <row r="9480" spans="1:9" x14ac:dyDescent="0.25">
      <c r="A9480">
        <v>395</v>
      </c>
      <c r="B9480" t="s">
        <v>2995</v>
      </c>
      <c r="C9480" t="s">
        <v>10</v>
      </c>
      <c r="D9480" t="s">
        <v>477</v>
      </c>
      <c r="E9480">
        <f t="shared" si="442"/>
        <v>1.1627906976744186E-2</v>
      </c>
      <c r="F9480">
        <v>17</v>
      </c>
      <c r="G9480">
        <f>LOG(382/(17+1))</f>
        <v>1.3267908578084027</v>
      </c>
      <c r="H9480">
        <f>0.0116279069767441*3.05504885071041</f>
        <v>3.5523823845469614E-2</v>
      </c>
      <c r="I9480">
        <v>3.5523823845469878E-2</v>
      </c>
    </row>
    <row r="9481" spans="1:9" x14ac:dyDescent="0.25">
      <c r="A9481">
        <v>395</v>
      </c>
      <c r="B9481" t="s">
        <v>2995</v>
      </c>
      <c r="C9481" t="s">
        <v>10</v>
      </c>
      <c r="D9481" t="s">
        <v>161</v>
      </c>
      <c r="E9481">
        <f t="shared" si="442"/>
        <v>1.1627906976744186E-2</v>
      </c>
      <c r="F9481">
        <v>33</v>
      </c>
      <c r="G9481">
        <f>LOG(382/(33+1))</f>
        <v>1.0505844458694535</v>
      </c>
      <c r="H9481">
        <f>0.0116279069767441*2.41906008399041</f>
        <v>2.8128605627795258E-2</v>
      </c>
      <c r="I9481">
        <v>2.8128605627795511E-2</v>
      </c>
    </row>
    <row r="9482" spans="1:9" x14ac:dyDescent="0.25">
      <c r="A9482">
        <v>395</v>
      </c>
      <c r="B9482" t="s">
        <v>2995</v>
      </c>
      <c r="C9482" t="s">
        <v>10</v>
      </c>
      <c r="D9482" t="s">
        <v>726</v>
      </c>
      <c r="E9482">
        <f t="shared" si="442"/>
        <v>1.1627906976744186E-2</v>
      </c>
      <c r="F9482">
        <v>37</v>
      </c>
      <c r="G9482">
        <f>LOG(382/(37+1))</f>
        <v>1.0022797662948986</v>
      </c>
      <c r="H9482">
        <f>0.0116279069767441*2.30783444888018</f>
        <v>2.6835284289304217E-2</v>
      </c>
      <c r="I9482">
        <v>2.6835284289304529E-2</v>
      </c>
    </row>
    <row r="9483" spans="1:9" x14ac:dyDescent="0.25">
      <c r="A9483">
        <v>395</v>
      </c>
      <c r="B9483" t="s">
        <v>2995</v>
      </c>
      <c r="C9483" t="s">
        <v>10</v>
      </c>
      <c r="D9483" t="s">
        <v>741</v>
      </c>
      <c r="E9483">
        <f>2/86</f>
        <v>2.3255813953488372E-2</v>
      </c>
      <c r="F9483">
        <v>7</v>
      </c>
      <c r="G9483">
        <f>LOG(382/(7+1))</f>
        <v>1.6789733759197651</v>
      </c>
      <c r="H9483">
        <f>0.0232558139534883*3.86597906692673</f>
        <v>8.990648992852833E-2</v>
      </c>
      <c r="I9483">
        <v>8.9906489928528815E-2</v>
      </c>
    </row>
    <row r="9484" spans="1:9" x14ac:dyDescent="0.25">
      <c r="A9484">
        <v>395</v>
      </c>
      <c r="B9484" t="s">
        <v>2995</v>
      </c>
      <c r="C9484" t="s">
        <v>10</v>
      </c>
      <c r="D9484" t="s">
        <v>216</v>
      </c>
      <c r="E9484">
        <f t="shared" ref="E9484:E9493" si="443">1/86</f>
        <v>1.1627906976744186E-2</v>
      </c>
      <c r="F9484">
        <v>63</v>
      </c>
      <c r="G9484">
        <f>LOG(382/(63+1))</f>
        <v>0.7758833889278216</v>
      </c>
      <c r="H9484">
        <f>0.0116279069767441*1.7865375252469</f>
        <v>2.0773692154033567E-2</v>
      </c>
      <c r="I9484">
        <v>2.0773692154033761E-2</v>
      </c>
    </row>
    <row r="9485" spans="1:9" x14ac:dyDescent="0.25">
      <c r="A9485">
        <v>395</v>
      </c>
      <c r="B9485" t="s">
        <v>2995</v>
      </c>
      <c r="C9485" t="s">
        <v>10</v>
      </c>
      <c r="D9485" t="s">
        <v>1595</v>
      </c>
      <c r="E9485">
        <f t="shared" si="443"/>
        <v>1.1627906976744186E-2</v>
      </c>
      <c r="F9485">
        <v>2</v>
      </c>
      <c r="G9485">
        <f>LOG(382/(2+1))</f>
        <v>2.1049421081920463</v>
      </c>
      <c r="H9485">
        <f>0.0116279069767441*4.84680831993846</f>
        <v>5.6358236278353763E-2</v>
      </c>
      <c r="I9485">
        <v>5.6358236278354248E-2</v>
      </c>
    </row>
    <row r="9486" spans="1:9" x14ac:dyDescent="0.25">
      <c r="A9486">
        <v>395</v>
      </c>
      <c r="B9486" t="s">
        <v>2995</v>
      </c>
      <c r="C9486" t="s">
        <v>10</v>
      </c>
      <c r="D9486" t="s">
        <v>680</v>
      </c>
      <c r="E9486">
        <f t="shared" si="443"/>
        <v>1.1627906976744186E-2</v>
      </c>
      <c r="F9486">
        <v>25</v>
      </c>
      <c r="G9486">
        <f>LOG(382/(25+1))</f>
        <v>1.1670900149408907</v>
      </c>
      <c r="H9486">
        <f>0.0116279069767441*2.68732407058509</f>
        <v>3.1247954309128721E-2</v>
      </c>
      <c r="I9486">
        <v>3.1247954309128991E-2</v>
      </c>
    </row>
    <row r="9487" spans="1:9" x14ac:dyDescent="0.25">
      <c r="A9487">
        <v>395</v>
      </c>
      <c r="B9487" t="s">
        <v>2995</v>
      </c>
      <c r="C9487" t="s">
        <v>10</v>
      </c>
      <c r="D9487" t="s">
        <v>1396</v>
      </c>
      <c r="E9487">
        <f t="shared" si="443"/>
        <v>1.1627906976744186E-2</v>
      </c>
      <c r="F9487">
        <v>18</v>
      </c>
      <c r="G9487">
        <f>LOG(382/(18+1))</f>
        <v>1.3033097619588798</v>
      </c>
      <c r="H9487">
        <f>0.0116279069767441*3.00098162944013</f>
        <v>3.4895135226047765E-2</v>
      </c>
      <c r="I9487">
        <v>3.4895135226048077E-2</v>
      </c>
    </row>
    <row r="9488" spans="1:9" x14ac:dyDescent="0.25">
      <c r="A9488">
        <v>395</v>
      </c>
      <c r="B9488" t="s">
        <v>2995</v>
      </c>
      <c r="C9488" t="s">
        <v>10</v>
      </c>
      <c r="D9488" t="s">
        <v>207</v>
      </c>
      <c r="E9488">
        <f t="shared" si="443"/>
        <v>1.1627906976744186E-2</v>
      </c>
      <c r="F9488">
        <v>21</v>
      </c>
      <c r="G9488">
        <f>LOG(382/(21+1))</f>
        <v>1.2396406820895025</v>
      </c>
      <c r="H9488">
        <f>0.0116279069767441*2.85437815524825</f>
        <v>3.3190443665677076E-2</v>
      </c>
      <c r="I9488">
        <v>3.319044366567743E-2</v>
      </c>
    </row>
    <row r="9489" spans="1:9" x14ac:dyDescent="0.25">
      <c r="A9489">
        <v>395</v>
      </c>
      <c r="B9489" t="s">
        <v>2995</v>
      </c>
      <c r="C9489" t="s">
        <v>10</v>
      </c>
      <c r="D9489" t="s">
        <v>1096</v>
      </c>
      <c r="E9489">
        <f t="shared" si="443"/>
        <v>1.1627906976744186E-2</v>
      </c>
      <c r="F9489">
        <v>5</v>
      </c>
      <c r="G9489">
        <f>LOG(382/(5+1))</f>
        <v>1.803912112528065</v>
      </c>
      <c r="H9489">
        <f>0.0116279069767441*4.15366113937852</f>
        <v>4.8298385341610336E-2</v>
      </c>
      <c r="I9489">
        <v>4.8298385341610697E-2</v>
      </c>
    </row>
    <row r="9490" spans="1:9" x14ac:dyDescent="0.25">
      <c r="A9490">
        <v>395</v>
      </c>
      <c r="B9490" t="s">
        <v>2995</v>
      </c>
      <c r="C9490" t="s">
        <v>10</v>
      </c>
      <c r="D9490" t="s">
        <v>1097</v>
      </c>
      <c r="E9490">
        <f t="shared" si="443"/>
        <v>1.1627906976744186E-2</v>
      </c>
      <c r="F9490">
        <v>2</v>
      </c>
      <c r="G9490">
        <f>LOG(382/(2+1))</f>
        <v>2.1049421081920463</v>
      </c>
      <c r="H9490">
        <f>0.0116279069767441*4.84680831993846</f>
        <v>5.6358236278353763E-2</v>
      </c>
      <c r="I9490">
        <v>5.6358236278354248E-2</v>
      </c>
    </row>
    <row r="9491" spans="1:9" x14ac:dyDescent="0.25">
      <c r="A9491">
        <v>395</v>
      </c>
      <c r="B9491" t="s">
        <v>2995</v>
      </c>
      <c r="C9491" t="s">
        <v>10</v>
      </c>
      <c r="D9491" t="s">
        <v>624</v>
      </c>
      <c r="E9491">
        <f t="shared" si="443"/>
        <v>1.1627906976744186E-2</v>
      </c>
      <c r="F9491">
        <v>5</v>
      </c>
      <c r="G9491">
        <f>LOG(382/(5+1))</f>
        <v>1.803912112528065</v>
      </c>
      <c r="H9491">
        <f>0.0116279069767441*4.15366113937852</f>
        <v>4.8298385341610336E-2</v>
      </c>
      <c r="I9491">
        <v>4.8298385341610697E-2</v>
      </c>
    </row>
    <row r="9492" spans="1:9" x14ac:dyDescent="0.25">
      <c r="A9492">
        <v>395</v>
      </c>
      <c r="B9492" t="s">
        <v>2995</v>
      </c>
      <c r="C9492" t="s">
        <v>10</v>
      </c>
      <c r="D9492" t="s">
        <v>701</v>
      </c>
      <c r="E9492">
        <f t="shared" si="443"/>
        <v>1.1627906976744186E-2</v>
      </c>
      <c r="F9492">
        <v>3</v>
      </c>
      <c r="G9492">
        <f>LOG(382/(3+1))</f>
        <v>1.9800033715837464</v>
      </c>
      <c r="H9492">
        <f>0.0116279069767441*4.55912624748668</f>
        <v>5.3013095901007515E-2</v>
      </c>
      <c r="I9492">
        <v>5.3013095901007959E-2</v>
      </c>
    </row>
    <row r="9493" spans="1:9" x14ac:dyDescent="0.25">
      <c r="A9493">
        <v>395</v>
      </c>
      <c r="B9493" t="s">
        <v>2995</v>
      </c>
      <c r="C9493" t="s">
        <v>10</v>
      </c>
      <c r="D9493" t="s">
        <v>363</v>
      </c>
      <c r="E9493">
        <f t="shared" si="443"/>
        <v>1.1627906976744186E-2</v>
      </c>
      <c r="F9493">
        <v>36</v>
      </c>
      <c r="G9493">
        <f>LOG(382/(36+1))</f>
        <v>1.0138616388447137</v>
      </c>
      <c r="H9493">
        <f>0.0116279069767441*2.33450269596235</f>
        <v>2.7145380185608518E-2</v>
      </c>
      <c r="I9493">
        <v>2.714538018560873E-2</v>
      </c>
    </row>
    <row r="9494" spans="1:9" x14ac:dyDescent="0.25">
      <c r="A9494">
        <v>396</v>
      </c>
      <c r="B9494" t="s">
        <v>3000</v>
      </c>
      <c r="C9494" t="s">
        <v>10</v>
      </c>
      <c r="D9494" t="s">
        <v>3001</v>
      </c>
      <c r="E9494">
        <f>1/54</f>
        <v>1.8518518518518517E-2</v>
      </c>
      <c r="F9494">
        <v>1</v>
      </c>
      <c r="G9494">
        <f>LOG(382/(1+1))</f>
        <v>2.2810333672477277</v>
      </c>
      <c r="H9494">
        <f>0.0185185185185185*5.25227342804663</f>
        <v>9.7264322741604167E-2</v>
      </c>
      <c r="I9494">
        <v>9.7264322741604251E-2</v>
      </c>
    </row>
    <row r="9495" spans="1:9" x14ac:dyDescent="0.25">
      <c r="A9495">
        <v>396</v>
      </c>
      <c r="B9495" t="s">
        <v>3000</v>
      </c>
      <c r="C9495" t="s">
        <v>10</v>
      </c>
      <c r="D9495" t="s">
        <v>3002</v>
      </c>
      <c r="E9495">
        <f>1/54</f>
        <v>1.8518518518518517E-2</v>
      </c>
      <c r="F9495">
        <v>1</v>
      </c>
      <c r="G9495">
        <f>LOG(382/(1+1))</f>
        <v>2.2810333672477277</v>
      </c>
      <c r="H9495">
        <f>0.0185185185185185*5.25227342804663</f>
        <v>9.7264322741604167E-2</v>
      </c>
      <c r="I9495">
        <v>9.7264322741604251E-2</v>
      </c>
    </row>
    <row r="9496" spans="1:9" x14ac:dyDescent="0.25">
      <c r="A9496">
        <v>396</v>
      </c>
      <c r="B9496" t="s">
        <v>3000</v>
      </c>
      <c r="C9496" t="s">
        <v>10</v>
      </c>
      <c r="D9496" t="s">
        <v>449</v>
      </c>
      <c r="E9496">
        <f>1/54</f>
        <v>1.8518518518518517E-2</v>
      </c>
      <c r="F9496">
        <v>9</v>
      </c>
      <c r="G9496">
        <f>LOG(382/(9+1))</f>
        <v>1.5820633629117087</v>
      </c>
      <c r="H9496">
        <f>0.0185185185185185*3.64283551561252</f>
        <v>6.7459916955787347E-2</v>
      </c>
      <c r="I9496">
        <v>6.7459916955787583E-2</v>
      </c>
    </row>
    <row r="9497" spans="1:9" x14ac:dyDescent="0.25">
      <c r="A9497">
        <v>396</v>
      </c>
      <c r="B9497" t="s">
        <v>3000</v>
      </c>
      <c r="C9497" t="s">
        <v>10</v>
      </c>
      <c r="D9497" t="s">
        <v>36</v>
      </c>
      <c r="E9497">
        <f>5/54</f>
        <v>9.2592592592592587E-2</v>
      </c>
      <c r="F9497">
        <v>58</v>
      </c>
      <c r="G9497">
        <f>LOG(382/(58+1))</f>
        <v>0.81121135126956456</v>
      </c>
      <c r="H9497">
        <f>0.0925925925925925*1.86788316470085</f>
        <v>0.17295214487970817</v>
      </c>
      <c r="I9497">
        <v>0.17295214487970881</v>
      </c>
    </row>
    <row r="9498" spans="1:9" x14ac:dyDescent="0.25">
      <c r="A9498">
        <v>396</v>
      </c>
      <c r="B9498" t="s">
        <v>3000</v>
      </c>
      <c r="C9498" t="s">
        <v>10</v>
      </c>
      <c r="D9498" t="s">
        <v>3003</v>
      </c>
      <c r="E9498">
        <f>2/54</f>
        <v>3.7037037037037035E-2</v>
      </c>
      <c r="F9498">
        <v>1</v>
      </c>
      <c r="G9498">
        <f>LOG(382/(1+1))</f>
        <v>2.2810333672477277</v>
      </c>
      <c r="H9498">
        <f>0.037037037037037*5.25227342804663</f>
        <v>0.19452864548320833</v>
      </c>
      <c r="I9498">
        <v>0.1945286454832085</v>
      </c>
    </row>
    <row r="9499" spans="1:9" x14ac:dyDescent="0.25">
      <c r="A9499">
        <v>396</v>
      </c>
      <c r="B9499" t="s">
        <v>3000</v>
      </c>
      <c r="C9499" t="s">
        <v>10</v>
      </c>
      <c r="D9499" t="s">
        <v>154</v>
      </c>
      <c r="E9499">
        <f>1/54</f>
        <v>1.8518518518518517E-2</v>
      </c>
      <c r="F9499">
        <v>5</v>
      </c>
      <c r="G9499">
        <f>LOG(382/(5+1))</f>
        <v>1.803912112528065</v>
      </c>
      <c r="H9499">
        <f>0.0185185185185185*4.15366113937852</f>
        <v>7.6919650729231778E-2</v>
      </c>
      <c r="I9499">
        <v>7.6919650729231848E-2</v>
      </c>
    </row>
    <row r="9500" spans="1:9" x14ac:dyDescent="0.25">
      <c r="A9500">
        <v>396</v>
      </c>
      <c r="B9500" t="s">
        <v>3000</v>
      </c>
      <c r="C9500" t="s">
        <v>10</v>
      </c>
      <c r="D9500" t="s">
        <v>42</v>
      </c>
      <c r="E9500">
        <f>2/54</f>
        <v>3.7037037037037035E-2</v>
      </c>
      <c r="F9500">
        <v>251</v>
      </c>
      <c r="G9500">
        <f>LOG(382/(251+1))</f>
        <v>0.18066282213016463</v>
      </c>
      <c r="H9500">
        <f>0.037037037037037*0.415991521095151</f>
        <v>1.5407093373894466E-2</v>
      </c>
      <c r="I9500">
        <v>1.5407093373894509E-2</v>
      </c>
    </row>
    <row r="9501" spans="1:9" x14ac:dyDescent="0.25">
      <c r="A9501">
        <v>396</v>
      </c>
      <c r="B9501" t="s">
        <v>3000</v>
      </c>
      <c r="C9501" t="s">
        <v>10</v>
      </c>
      <c r="D9501" t="s">
        <v>600</v>
      </c>
      <c r="E9501">
        <f t="shared" ref="E9501:E9507" si="444">1/54</f>
        <v>1.8518518518518517E-2</v>
      </c>
      <c r="F9501">
        <v>102</v>
      </c>
      <c r="G9501">
        <f>LOG(382/(102+1))</f>
        <v>0.56922613820653656</v>
      </c>
      <c r="H9501">
        <f>0.0185185185185185*1.31069162037693</f>
        <v>2.4272067044017201E-2</v>
      </c>
      <c r="I9501">
        <v>2.4272067044017399E-2</v>
      </c>
    </row>
    <row r="9502" spans="1:9" x14ac:dyDescent="0.25">
      <c r="A9502">
        <v>396</v>
      </c>
      <c r="B9502" t="s">
        <v>3000</v>
      </c>
      <c r="C9502" t="s">
        <v>10</v>
      </c>
      <c r="D9502" t="s">
        <v>3004</v>
      </c>
      <c r="E9502">
        <f t="shared" si="444"/>
        <v>1.8518518518518517E-2</v>
      </c>
      <c r="F9502">
        <v>1</v>
      </c>
      <c r="G9502">
        <f>LOG(382/(1+1))</f>
        <v>2.2810333672477277</v>
      </c>
      <c r="H9502">
        <f>0.0185185185185185*5.25227342804663</f>
        <v>9.7264322741604167E-2</v>
      </c>
      <c r="I9502">
        <v>9.7264322741604251E-2</v>
      </c>
    </row>
    <row r="9503" spans="1:9" x14ac:dyDescent="0.25">
      <c r="A9503">
        <v>396</v>
      </c>
      <c r="B9503" t="s">
        <v>3000</v>
      </c>
      <c r="C9503" t="s">
        <v>10</v>
      </c>
      <c r="D9503" t="s">
        <v>636</v>
      </c>
      <c r="E9503">
        <f t="shared" si="444"/>
        <v>1.8518518518518517E-2</v>
      </c>
      <c r="F9503">
        <v>31</v>
      </c>
      <c r="G9503">
        <f>LOG(382/(31+1))</f>
        <v>1.0769133845918029</v>
      </c>
      <c r="H9503">
        <f>0.0185185185185185*2.47968470580684</f>
        <v>4.5920087144571062E-2</v>
      </c>
      <c r="I9503">
        <v>4.592008714457127E-2</v>
      </c>
    </row>
    <row r="9504" spans="1:9" x14ac:dyDescent="0.25">
      <c r="A9504">
        <v>396</v>
      </c>
      <c r="B9504" t="s">
        <v>3000</v>
      </c>
      <c r="C9504" t="s">
        <v>10</v>
      </c>
      <c r="D9504" t="s">
        <v>637</v>
      </c>
      <c r="E9504">
        <f t="shared" si="444"/>
        <v>1.8518518518518517E-2</v>
      </c>
      <c r="F9504">
        <v>29</v>
      </c>
      <c r="G9504">
        <f>LOG(382/(29+1))</f>
        <v>1.1049421081920463</v>
      </c>
      <c r="H9504">
        <f>0.0185185185185185*2.54422322694442</f>
        <v>4.7115244943415138E-2</v>
      </c>
      <c r="I9504">
        <v>4.711524494341518E-2</v>
      </c>
    </row>
    <row r="9505" spans="1:9" x14ac:dyDescent="0.25">
      <c r="A9505">
        <v>396</v>
      </c>
      <c r="B9505" t="s">
        <v>3000</v>
      </c>
      <c r="C9505" t="s">
        <v>10</v>
      </c>
      <c r="D9505" t="s">
        <v>17</v>
      </c>
      <c r="E9505">
        <f t="shared" si="444"/>
        <v>1.8518518518518517E-2</v>
      </c>
      <c r="F9505">
        <v>169</v>
      </c>
      <c r="G9505">
        <f>LOG(382/(169+1))</f>
        <v>0.3516144415334348</v>
      </c>
      <c r="H9505">
        <f>0.0185185185185185*0.809622171556313</f>
        <v>1.4993003176968745E-2</v>
      </c>
      <c r="I9505">
        <v>1.4993003176968771E-2</v>
      </c>
    </row>
    <row r="9506" spans="1:9" x14ac:dyDescent="0.25">
      <c r="A9506">
        <v>396</v>
      </c>
      <c r="B9506" t="s">
        <v>3000</v>
      </c>
      <c r="C9506" t="s">
        <v>10</v>
      </c>
      <c r="D9506" t="s">
        <v>70</v>
      </c>
      <c r="E9506">
        <f t="shared" si="444"/>
        <v>1.8518518518518517E-2</v>
      </c>
      <c r="F9506">
        <v>44</v>
      </c>
      <c r="G9506">
        <f>LOG(382/(44+1))</f>
        <v>0.92885084913636506</v>
      </c>
      <c r="H9506">
        <f>0.0185185185185185*2.13875811883625</f>
        <v>3.9606631830300887E-2</v>
      </c>
      <c r="I9506">
        <v>3.9606631830301019E-2</v>
      </c>
    </row>
    <row r="9507" spans="1:9" x14ac:dyDescent="0.25">
      <c r="A9507">
        <v>396</v>
      </c>
      <c r="B9507" t="s">
        <v>3000</v>
      </c>
      <c r="C9507" t="s">
        <v>10</v>
      </c>
      <c r="D9507" t="s">
        <v>19</v>
      </c>
      <c r="E9507">
        <f t="shared" si="444"/>
        <v>1.8518518518518517E-2</v>
      </c>
      <c r="F9507">
        <v>220</v>
      </c>
      <c r="G9507">
        <f>LOG(382/(220+1))</f>
        <v>0.23767108922659805</v>
      </c>
      <c r="H9507">
        <f>0.0185185185185185*0.547257907088822</f>
        <v>1.0134405686830028E-2</v>
      </c>
      <c r="I9507">
        <v>1.013440568683004E-2</v>
      </c>
    </row>
    <row r="9508" spans="1:9" x14ac:dyDescent="0.25">
      <c r="A9508">
        <v>396</v>
      </c>
      <c r="B9508" t="s">
        <v>3000</v>
      </c>
      <c r="C9508" t="s">
        <v>10</v>
      </c>
      <c r="D9508" t="s">
        <v>44</v>
      </c>
      <c r="E9508">
        <f>2/54</f>
        <v>3.7037037037037035E-2</v>
      </c>
      <c r="F9508">
        <v>151</v>
      </c>
      <c r="G9508">
        <f>LOG(382/(151+1))</f>
        <v>0.40021977496693617</v>
      </c>
      <c r="H9508">
        <f>0.037037037037037*0.921540087760298</f>
        <v>3.4131114361492486E-2</v>
      </c>
      <c r="I9508">
        <v>3.4131114361492541E-2</v>
      </c>
    </row>
    <row r="9509" spans="1:9" x14ac:dyDescent="0.25">
      <c r="A9509">
        <v>396</v>
      </c>
      <c r="B9509" t="s">
        <v>3000</v>
      </c>
      <c r="C9509" t="s">
        <v>10</v>
      </c>
      <c r="D9509" t="s">
        <v>21</v>
      </c>
      <c r="E9509">
        <f t="shared" ref="E9509:E9515" si="445">1/54</f>
        <v>1.8518518518518517E-2</v>
      </c>
      <c r="F9509">
        <v>14</v>
      </c>
      <c r="G9509">
        <f>LOG(382/(14+1))</f>
        <v>1.4059721038560276</v>
      </c>
      <c r="H9509">
        <f>0.0185185185185185*3.23737040750436</f>
        <v>5.9951303842673269E-2</v>
      </c>
      <c r="I9509">
        <v>5.9951303842673428E-2</v>
      </c>
    </row>
    <row r="9510" spans="1:9" x14ac:dyDescent="0.25">
      <c r="A9510">
        <v>396</v>
      </c>
      <c r="B9510" t="s">
        <v>3000</v>
      </c>
      <c r="C9510" t="s">
        <v>10</v>
      </c>
      <c r="D9510" t="s">
        <v>22</v>
      </c>
      <c r="E9510">
        <f t="shared" si="445"/>
        <v>1.8518518518518517E-2</v>
      </c>
      <c r="F9510">
        <v>259</v>
      </c>
      <c r="G9510">
        <f>LOG(382/(259+1))</f>
        <v>0.16709001494089079</v>
      </c>
      <c r="H9510">
        <f>0.0185185185185185*0.384738977591047</f>
        <v>7.124795881315679E-3</v>
      </c>
      <c r="I9510">
        <v>7.1247958813156946E-3</v>
      </c>
    </row>
    <row r="9511" spans="1:9" x14ac:dyDescent="0.25">
      <c r="A9511">
        <v>396</v>
      </c>
      <c r="B9511" t="s">
        <v>3000</v>
      </c>
      <c r="C9511" t="s">
        <v>10</v>
      </c>
      <c r="D9511" t="s">
        <v>23</v>
      </c>
      <c r="E9511">
        <f t="shared" si="445"/>
        <v>1.8518518518518517E-2</v>
      </c>
      <c r="F9511">
        <v>275</v>
      </c>
      <c r="G9511">
        <f>LOG(382/(275+1))</f>
        <v>0.14115428084649101</v>
      </c>
      <c r="H9511">
        <f>0.0185185185185185*0.325019742889425</f>
        <v>6.0188841275819385E-3</v>
      </c>
      <c r="I9511">
        <v>6.0188841275819471E-3</v>
      </c>
    </row>
    <row r="9512" spans="1:9" x14ac:dyDescent="0.25">
      <c r="A9512">
        <v>396</v>
      </c>
      <c r="B9512" t="s">
        <v>3000</v>
      </c>
      <c r="C9512" t="s">
        <v>10</v>
      </c>
      <c r="D9512" t="s">
        <v>725</v>
      </c>
      <c r="E9512">
        <f t="shared" si="445"/>
        <v>1.8518518518518517E-2</v>
      </c>
      <c r="F9512">
        <v>12</v>
      </c>
      <c r="G9512">
        <f>LOG(382/(12+1))</f>
        <v>1.468120010604872</v>
      </c>
      <c r="H9512">
        <f>0.0185185185185185*3.38047125114503</f>
        <v>6.2601319465648647E-2</v>
      </c>
      <c r="I9512">
        <v>6.2601319465648855E-2</v>
      </c>
    </row>
    <row r="9513" spans="1:9" x14ac:dyDescent="0.25">
      <c r="A9513">
        <v>396</v>
      </c>
      <c r="B9513" t="s">
        <v>3000</v>
      </c>
      <c r="C9513" t="s">
        <v>10</v>
      </c>
      <c r="D9513" t="s">
        <v>2719</v>
      </c>
      <c r="E9513">
        <f t="shared" si="445"/>
        <v>1.8518518518518517E-2</v>
      </c>
      <c r="F9513">
        <v>3</v>
      </c>
      <c r="G9513">
        <f>LOG(382/(3+1))</f>
        <v>1.9800033715837464</v>
      </c>
      <c r="H9513">
        <f>0.0185185185185185*4.55912624748668</f>
        <v>8.4428263842345849E-2</v>
      </c>
      <c r="I9513">
        <v>8.4428263842346002E-2</v>
      </c>
    </row>
    <row r="9514" spans="1:9" x14ac:dyDescent="0.25">
      <c r="A9514">
        <v>396</v>
      </c>
      <c r="B9514" t="s">
        <v>3000</v>
      </c>
      <c r="C9514" t="s">
        <v>10</v>
      </c>
      <c r="D9514" t="s">
        <v>24</v>
      </c>
      <c r="E9514">
        <f t="shared" si="445"/>
        <v>1.8518518518518517E-2</v>
      </c>
      <c r="F9514">
        <v>59</v>
      </c>
      <c r="G9514">
        <f>LOG(382/(59+1))</f>
        <v>0.80391211252806505</v>
      </c>
      <c r="H9514">
        <f>0.0185185185185185*1.85107604638447</f>
        <v>3.427918604415682E-2</v>
      </c>
      <c r="I9514">
        <v>3.4279186044156931E-2</v>
      </c>
    </row>
    <row r="9515" spans="1:9" x14ac:dyDescent="0.25">
      <c r="A9515">
        <v>396</v>
      </c>
      <c r="B9515" t="s">
        <v>3000</v>
      </c>
      <c r="C9515" t="s">
        <v>10</v>
      </c>
      <c r="D9515" t="s">
        <v>68</v>
      </c>
      <c r="E9515">
        <f t="shared" si="445"/>
        <v>1.8518518518518517E-2</v>
      </c>
      <c r="F9515">
        <v>43</v>
      </c>
      <c r="G9515">
        <f>LOG(382/(43+1))</f>
        <v>0.93861068642552126</v>
      </c>
      <c r="H9515">
        <f>0.0185185185185185*2.16123097468831</f>
        <v>4.0022795827561256E-2</v>
      </c>
      <c r="I9515">
        <v>4.0022795827561367E-2</v>
      </c>
    </row>
    <row r="9516" spans="1:9" x14ac:dyDescent="0.25">
      <c r="A9516">
        <v>396</v>
      </c>
      <c r="B9516" t="s">
        <v>3000</v>
      </c>
      <c r="C9516" t="s">
        <v>10</v>
      </c>
      <c r="D9516" t="s">
        <v>932</v>
      </c>
      <c r="E9516">
        <f>2/54</f>
        <v>3.7037037037037035E-2</v>
      </c>
      <c r="F9516">
        <v>35</v>
      </c>
      <c r="G9516">
        <f>LOG(382/(35+1))</f>
        <v>1.0257608621444214</v>
      </c>
      <c r="H9516">
        <f>0.037037037037037*2.36190167015046</f>
        <v>8.7477839635202143E-2</v>
      </c>
      <c r="I9516">
        <v>8.7477839635202406E-2</v>
      </c>
    </row>
    <row r="9517" spans="1:9" x14ac:dyDescent="0.25">
      <c r="A9517">
        <v>396</v>
      </c>
      <c r="B9517" t="s">
        <v>3000</v>
      </c>
      <c r="C9517" t="s">
        <v>10</v>
      </c>
      <c r="D9517" t="s">
        <v>2006</v>
      </c>
      <c r="E9517">
        <f t="shared" ref="E9517:E9524" si="446">1/54</f>
        <v>1.8518518518518517E-2</v>
      </c>
      <c r="F9517">
        <v>3</v>
      </c>
      <c r="G9517">
        <f>LOG(382/(3+1))</f>
        <v>1.9800033715837464</v>
      </c>
      <c r="H9517">
        <f>0.0185185185185185*4.55912624748668</f>
        <v>8.4428263842345849E-2</v>
      </c>
      <c r="I9517">
        <v>8.4428263842346002E-2</v>
      </c>
    </row>
    <row r="9518" spans="1:9" x14ac:dyDescent="0.25">
      <c r="A9518">
        <v>396</v>
      </c>
      <c r="B9518" t="s">
        <v>3000</v>
      </c>
      <c r="C9518" t="s">
        <v>10</v>
      </c>
      <c r="D9518" t="s">
        <v>161</v>
      </c>
      <c r="E9518">
        <f t="shared" si="446"/>
        <v>1.8518518518518517E-2</v>
      </c>
      <c r="F9518">
        <v>33</v>
      </c>
      <c r="G9518">
        <f>LOG(382/(33+1))</f>
        <v>1.0505844458694535</v>
      </c>
      <c r="H9518">
        <f>0.0185185185185185*2.41906008399041</f>
        <v>4.4797408962785328E-2</v>
      </c>
      <c r="I9518">
        <v>4.4797408962785439E-2</v>
      </c>
    </row>
    <row r="9519" spans="1:9" x14ac:dyDescent="0.25">
      <c r="A9519">
        <v>396</v>
      </c>
      <c r="B9519" t="s">
        <v>3000</v>
      </c>
      <c r="C9519" t="s">
        <v>10</v>
      </c>
      <c r="D9519" t="s">
        <v>953</v>
      </c>
      <c r="E9519">
        <f t="shared" si="446"/>
        <v>1.8518518518518517E-2</v>
      </c>
      <c r="F9519">
        <v>16</v>
      </c>
      <c r="G9519">
        <f>LOG(382/(16+1))</f>
        <v>1.3516144415334348</v>
      </c>
      <c r="H9519">
        <f>0.0185185185185185*3.11220726455035</f>
        <v>5.7633467862043458E-2</v>
      </c>
      <c r="I9519">
        <v>5.7633467862043687E-2</v>
      </c>
    </row>
    <row r="9520" spans="1:9" x14ac:dyDescent="0.25">
      <c r="A9520">
        <v>396</v>
      </c>
      <c r="B9520" t="s">
        <v>3000</v>
      </c>
      <c r="C9520" t="s">
        <v>10</v>
      </c>
      <c r="D9520" t="s">
        <v>1250</v>
      </c>
      <c r="E9520">
        <f t="shared" si="446"/>
        <v>1.8518518518518517E-2</v>
      </c>
      <c r="F9520">
        <v>5</v>
      </c>
      <c r="G9520">
        <f>LOG(382/(5+1))</f>
        <v>1.803912112528065</v>
      </c>
      <c r="H9520">
        <f>0.0185185185185185*4.15366113937852</f>
        <v>7.6919650729231778E-2</v>
      </c>
      <c r="I9520">
        <v>7.6919650729231848E-2</v>
      </c>
    </row>
    <row r="9521" spans="1:9" x14ac:dyDescent="0.25">
      <c r="A9521">
        <v>396</v>
      </c>
      <c r="B9521" t="s">
        <v>3000</v>
      </c>
      <c r="C9521" t="s">
        <v>10</v>
      </c>
      <c r="D9521" t="s">
        <v>1328</v>
      </c>
      <c r="E9521">
        <f t="shared" si="446"/>
        <v>1.8518518518518517E-2</v>
      </c>
      <c r="F9521">
        <v>22</v>
      </c>
      <c r="G9521">
        <f>LOG(382/(22+1))</f>
        <v>1.2203355268941158</v>
      </c>
      <c r="H9521">
        <f>0.0185185185185185*2.80992639267742</f>
        <v>5.2035673938470688E-2</v>
      </c>
      <c r="I9521">
        <v>5.203567393847084E-2</v>
      </c>
    </row>
    <row r="9522" spans="1:9" x14ac:dyDescent="0.25">
      <c r="A9522">
        <v>396</v>
      </c>
      <c r="B9522" t="s">
        <v>3000</v>
      </c>
      <c r="C9522" t="s">
        <v>10</v>
      </c>
      <c r="D9522" t="s">
        <v>994</v>
      </c>
      <c r="E9522">
        <f t="shared" si="446"/>
        <v>1.8518518518518517E-2</v>
      </c>
      <c r="F9522">
        <v>37</v>
      </c>
      <c r="G9522">
        <f>LOG(382/(37+1))</f>
        <v>1.0022797662948986</v>
      </c>
      <c r="H9522">
        <f>0.0185185185185185*2.30783444888018</f>
        <v>4.2737674979262549E-2</v>
      </c>
      <c r="I9522">
        <v>4.2737674979262757E-2</v>
      </c>
    </row>
    <row r="9523" spans="1:9" x14ac:dyDescent="0.25">
      <c r="A9523">
        <v>396</v>
      </c>
      <c r="B9523" t="s">
        <v>3000</v>
      </c>
      <c r="C9523" t="s">
        <v>10</v>
      </c>
      <c r="D9523" t="s">
        <v>3005</v>
      </c>
      <c r="E9523">
        <f t="shared" si="446"/>
        <v>1.8518518518518517E-2</v>
      </c>
      <c r="F9523">
        <v>1</v>
      </c>
      <c r="G9523">
        <f>LOG(382/(1+1))</f>
        <v>2.2810333672477277</v>
      </c>
      <c r="H9523">
        <f>0.0185185185185185*5.25227342804663</f>
        <v>9.7264322741604167E-2</v>
      </c>
      <c r="I9523">
        <v>9.7264322741604251E-2</v>
      </c>
    </row>
    <row r="9524" spans="1:9" x14ac:dyDescent="0.25">
      <c r="A9524">
        <v>396</v>
      </c>
      <c r="B9524" t="s">
        <v>3000</v>
      </c>
      <c r="C9524" t="s">
        <v>10</v>
      </c>
      <c r="D9524" t="s">
        <v>3006</v>
      </c>
      <c r="E9524">
        <f t="shared" si="446"/>
        <v>1.8518518518518517E-2</v>
      </c>
      <c r="F9524">
        <v>2</v>
      </c>
      <c r="G9524">
        <f>LOG(382/(2+1))</f>
        <v>2.1049421081920463</v>
      </c>
      <c r="H9524">
        <f>0.0185185185185185*4.84680831993846</f>
        <v>8.9755709628489916E-2</v>
      </c>
      <c r="I9524">
        <v>8.9755709628490096E-2</v>
      </c>
    </row>
    <row r="9525" spans="1:9" x14ac:dyDescent="0.25">
      <c r="A9525">
        <v>396</v>
      </c>
      <c r="B9525" t="s">
        <v>3000</v>
      </c>
      <c r="C9525" t="s">
        <v>10</v>
      </c>
      <c r="D9525" t="s">
        <v>3007</v>
      </c>
      <c r="E9525">
        <f>3/54</f>
        <v>5.5555555555555552E-2</v>
      </c>
      <c r="F9525">
        <v>1</v>
      </c>
      <c r="G9525">
        <f>LOG(382/(1+1))</f>
        <v>2.2810333672477277</v>
      </c>
      <c r="H9525">
        <f>0.0555555555555555*5.25227342804663</f>
        <v>0.29179296822481249</v>
      </c>
      <c r="I9525">
        <v>0.29179296822481282</v>
      </c>
    </row>
    <row r="9526" spans="1:9" x14ac:dyDescent="0.25">
      <c r="A9526">
        <v>396</v>
      </c>
      <c r="B9526" t="s">
        <v>3000</v>
      </c>
      <c r="C9526" t="s">
        <v>10</v>
      </c>
      <c r="D9526" t="s">
        <v>38</v>
      </c>
      <c r="E9526">
        <f t="shared" ref="E9526:E9537" si="447">1/54</f>
        <v>1.8518518518518517E-2</v>
      </c>
      <c r="F9526">
        <v>86</v>
      </c>
      <c r="G9526">
        <f>LOG(382/(86+1))</f>
        <v>0.64254411029309022</v>
      </c>
      <c r="H9526">
        <f>0.0185185185185185*1.47951248995199</f>
        <v>2.7398379443555342E-2</v>
      </c>
      <c r="I9526">
        <v>2.7398379443555391E-2</v>
      </c>
    </row>
    <row r="9527" spans="1:9" x14ac:dyDescent="0.25">
      <c r="A9527">
        <v>396</v>
      </c>
      <c r="B9527" t="s">
        <v>3000</v>
      </c>
      <c r="C9527" t="s">
        <v>10</v>
      </c>
      <c r="D9527" t="s">
        <v>144</v>
      </c>
      <c r="E9527">
        <f t="shared" si="447"/>
        <v>1.8518518518518517E-2</v>
      </c>
      <c r="F9527">
        <v>105</v>
      </c>
      <c r="G9527">
        <f>LOG(382/(105+1))</f>
        <v>0.55675749764693849</v>
      </c>
      <c r="H9527">
        <f>0.0185185185185185*1.2819815144945</f>
        <v>2.3740398416564789E-2</v>
      </c>
      <c r="I9527">
        <v>2.3740398416564959E-2</v>
      </c>
    </row>
    <row r="9528" spans="1:9" x14ac:dyDescent="0.25">
      <c r="A9528">
        <v>396</v>
      </c>
      <c r="B9528" t="s">
        <v>3000</v>
      </c>
      <c r="C9528" t="s">
        <v>10</v>
      </c>
      <c r="D9528" t="s">
        <v>693</v>
      </c>
      <c r="E9528">
        <f t="shared" si="447"/>
        <v>1.8518518518518517E-2</v>
      </c>
      <c r="F9528">
        <v>25</v>
      </c>
      <c r="G9528">
        <f>LOG(382/(25+1))</f>
        <v>1.1670900149408907</v>
      </c>
      <c r="H9528">
        <f>0.0185185185185185*2.68732407058509</f>
        <v>4.976526056639051E-2</v>
      </c>
      <c r="I9528">
        <v>4.9765260566390607E-2</v>
      </c>
    </row>
    <row r="9529" spans="1:9" x14ac:dyDescent="0.25">
      <c r="A9529">
        <v>396</v>
      </c>
      <c r="B9529" t="s">
        <v>3000</v>
      </c>
      <c r="C9529" t="s">
        <v>10</v>
      </c>
      <c r="D9529" t="s">
        <v>582</v>
      </c>
      <c r="E9529">
        <f t="shared" si="447"/>
        <v>1.8518518518518517E-2</v>
      </c>
      <c r="F9529">
        <v>14</v>
      </c>
      <c r="G9529">
        <f>LOG(382/(14+1))</f>
        <v>1.4059721038560276</v>
      </c>
      <c r="H9529">
        <f>0.0185185185185185*3.23737040750436</f>
        <v>5.9951303842673269E-2</v>
      </c>
      <c r="I9529">
        <v>5.9951303842673428E-2</v>
      </c>
    </row>
    <row r="9530" spans="1:9" x14ac:dyDescent="0.25">
      <c r="A9530">
        <v>396</v>
      </c>
      <c r="B9530" t="s">
        <v>3000</v>
      </c>
      <c r="C9530" t="s">
        <v>10</v>
      </c>
      <c r="D9530" t="s">
        <v>3008</v>
      </c>
      <c r="E9530">
        <f t="shared" si="447"/>
        <v>1.8518518518518517E-2</v>
      </c>
      <c r="F9530">
        <v>1</v>
      </c>
      <c r="G9530">
        <f>LOG(382/(1+1))</f>
        <v>2.2810333672477277</v>
      </c>
      <c r="H9530">
        <f>0.0185185185185185*5.25227342804663</f>
        <v>9.7264322741604167E-2</v>
      </c>
      <c r="I9530">
        <v>9.7264322741604251E-2</v>
      </c>
    </row>
    <row r="9531" spans="1:9" x14ac:dyDescent="0.25">
      <c r="A9531">
        <v>396</v>
      </c>
      <c r="B9531" t="s">
        <v>3000</v>
      </c>
      <c r="C9531" t="s">
        <v>10</v>
      </c>
      <c r="D9531" t="s">
        <v>486</v>
      </c>
      <c r="E9531">
        <f t="shared" si="447"/>
        <v>1.8518518518518517E-2</v>
      </c>
      <c r="F9531">
        <v>5</v>
      </c>
      <c r="G9531">
        <f>LOG(382/(5+1))</f>
        <v>1.803912112528065</v>
      </c>
      <c r="H9531">
        <f>0.0185185185185185*4.15366113937852</f>
        <v>7.6919650729231778E-2</v>
      </c>
      <c r="I9531">
        <v>7.6919650729231848E-2</v>
      </c>
    </row>
    <row r="9532" spans="1:9" x14ac:dyDescent="0.25">
      <c r="A9532">
        <v>396</v>
      </c>
      <c r="B9532" t="s">
        <v>3000</v>
      </c>
      <c r="C9532" t="s">
        <v>10</v>
      </c>
      <c r="D9532" t="s">
        <v>1469</v>
      </c>
      <c r="E9532">
        <f t="shared" si="447"/>
        <v>1.8518518518518517E-2</v>
      </c>
      <c r="F9532">
        <v>24</v>
      </c>
      <c r="G9532">
        <f>LOG(382/(24+1))</f>
        <v>1.1841233542396712</v>
      </c>
      <c r="H9532">
        <f>0.0185185185185185*2.72654478373837</f>
        <v>5.0491570069229018E-2</v>
      </c>
      <c r="I9532">
        <v>5.049157006922915E-2</v>
      </c>
    </row>
    <row r="9533" spans="1:9" x14ac:dyDescent="0.25">
      <c r="A9533">
        <v>396</v>
      </c>
      <c r="B9533" t="s">
        <v>3000</v>
      </c>
      <c r="C9533" t="s">
        <v>10</v>
      </c>
      <c r="D9533" t="s">
        <v>2048</v>
      </c>
      <c r="E9533">
        <f t="shared" si="447"/>
        <v>1.8518518518518517E-2</v>
      </c>
      <c r="F9533">
        <v>3</v>
      </c>
      <c r="G9533">
        <f>LOG(382/(3+1))</f>
        <v>1.9800033715837464</v>
      </c>
      <c r="H9533">
        <f>0.0185185185185185*4.55912624748668</f>
        <v>8.4428263842345849E-2</v>
      </c>
      <c r="I9533">
        <v>8.4428263842346002E-2</v>
      </c>
    </row>
    <row r="9534" spans="1:9" x14ac:dyDescent="0.25">
      <c r="A9534">
        <v>396</v>
      </c>
      <c r="B9534" t="s">
        <v>3000</v>
      </c>
      <c r="C9534" t="s">
        <v>10</v>
      </c>
      <c r="D9534" t="s">
        <v>3009</v>
      </c>
      <c r="E9534">
        <f t="shared" si="447"/>
        <v>1.8518518518518517E-2</v>
      </c>
      <c r="F9534">
        <v>1</v>
      </c>
      <c r="G9534">
        <f>LOG(382/(1+1))</f>
        <v>2.2810333672477277</v>
      </c>
      <c r="H9534">
        <f>0.0185185185185185*5.25227342804663</f>
        <v>9.7264322741604167E-2</v>
      </c>
      <c r="I9534">
        <v>9.7264322741604251E-2</v>
      </c>
    </row>
    <row r="9535" spans="1:9" x14ac:dyDescent="0.25">
      <c r="A9535">
        <v>396</v>
      </c>
      <c r="B9535" t="s">
        <v>3000</v>
      </c>
      <c r="C9535" t="s">
        <v>10</v>
      </c>
      <c r="D9535" t="s">
        <v>3010</v>
      </c>
      <c r="E9535">
        <f t="shared" si="447"/>
        <v>1.8518518518518517E-2</v>
      </c>
      <c r="F9535">
        <v>1</v>
      </c>
      <c r="G9535">
        <f>LOG(382/(1+1))</f>
        <v>2.2810333672477277</v>
      </c>
      <c r="H9535">
        <f>0.0185185185185185*5.25227342804663</f>
        <v>9.7264322741604167E-2</v>
      </c>
      <c r="I9535">
        <v>9.7264322741604251E-2</v>
      </c>
    </row>
    <row r="9536" spans="1:9" x14ac:dyDescent="0.25">
      <c r="A9536">
        <v>396</v>
      </c>
      <c r="B9536" t="s">
        <v>3000</v>
      </c>
      <c r="C9536" t="s">
        <v>10</v>
      </c>
      <c r="D9536" t="s">
        <v>3011</v>
      </c>
      <c r="E9536">
        <f t="shared" si="447"/>
        <v>1.8518518518518517E-2</v>
      </c>
      <c r="F9536">
        <v>1</v>
      </c>
      <c r="G9536">
        <f>LOG(382/(1+1))</f>
        <v>2.2810333672477277</v>
      </c>
      <c r="H9536">
        <f>0.0185185185185185*5.25227342804663</f>
        <v>9.7264322741604167E-2</v>
      </c>
      <c r="I9536">
        <v>9.7264322741604251E-2</v>
      </c>
    </row>
    <row r="9537" spans="1:9" x14ac:dyDescent="0.25">
      <c r="A9537">
        <v>396</v>
      </c>
      <c r="B9537" t="s">
        <v>3000</v>
      </c>
      <c r="C9537" t="s">
        <v>10</v>
      </c>
      <c r="D9537" t="s">
        <v>936</v>
      </c>
      <c r="E9537">
        <f t="shared" si="447"/>
        <v>1.8518518518518517E-2</v>
      </c>
      <c r="F9537">
        <v>21</v>
      </c>
      <c r="G9537">
        <f>LOG(382/(21+1))</f>
        <v>1.2396406820895025</v>
      </c>
      <c r="H9537">
        <f>0.0185185185185185*2.85437815524825</f>
        <v>5.2858854726819393E-2</v>
      </c>
      <c r="I9537">
        <v>5.2858854726819622E-2</v>
      </c>
    </row>
    <row r="9538" spans="1:9" x14ac:dyDescent="0.25">
      <c r="A9538">
        <v>397</v>
      </c>
      <c r="B9538" t="s">
        <v>3012</v>
      </c>
      <c r="C9538" t="s">
        <v>138</v>
      </c>
      <c r="D9538" t="s">
        <v>3013</v>
      </c>
      <c r="E9538">
        <f>5/124</f>
        <v>4.0322580645161289E-2</v>
      </c>
      <c r="F9538">
        <v>2</v>
      </c>
      <c r="G9538">
        <f>LOG(382/(2+1))</f>
        <v>2.1049421081920463</v>
      </c>
      <c r="H9538">
        <f>0.0403225806451612*4.84680831993846</f>
        <v>0.19543581935235682</v>
      </c>
      <c r="I9538">
        <v>0.19543581935235749</v>
      </c>
    </row>
    <row r="9539" spans="1:9" x14ac:dyDescent="0.25">
      <c r="A9539">
        <v>397</v>
      </c>
      <c r="B9539" t="s">
        <v>3012</v>
      </c>
      <c r="C9539" t="s">
        <v>138</v>
      </c>
      <c r="D9539" t="s">
        <v>2230</v>
      </c>
      <c r="E9539">
        <f>5/124</f>
        <v>4.0322580645161289E-2</v>
      </c>
      <c r="F9539">
        <v>7</v>
      </c>
      <c r="G9539">
        <f>LOG(382/(7+1))</f>
        <v>1.6789733759197651</v>
      </c>
      <c r="H9539">
        <f>0.0403225806451612*3.86597906692673</f>
        <v>0.15588625269865813</v>
      </c>
      <c r="I9539">
        <v>0.1558862526986588</v>
      </c>
    </row>
    <row r="9540" spans="1:9" x14ac:dyDescent="0.25">
      <c r="A9540">
        <v>397</v>
      </c>
      <c r="B9540" t="s">
        <v>3012</v>
      </c>
      <c r="C9540" t="s">
        <v>138</v>
      </c>
      <c r="D9540" t="s">
        <v>744</v>
      </c>
      <c r="E9540">
        <f>4/124</f>
        <v>3.2258064516129031E-2</v>
      </c>
      <c r="F9540">
        <v>28</v>
      </c>
      <c r="G9540">
        <f>LOG(382/(28+1))</f>
        <v>1.1196653650127526</v>
      </c>
      <c r="H9540">
        <f>0.032258064516129*2.5781247786201</f>
        <v>8.316531543935797E-2</v>
      </c>
      <c r="I9540">
        <v>8.3165315439358095E-2</v>
      </c>
    </row>
    <row r="9541" spans="1:9" x14ac:dyDescent="0.25">
      <c r="A9541">
        <v>397</v>
      </c>
      <c r="B9541" t="s">
        <v>3012</v>
      </c>
      <c r="C9541" t="s">
        <v>138</v>
      </c>
      <c r="D9541" t="s">
        <v>1224</v>
      </c>
      <c r="E9541">
        <f>2/124</f>
        <v>1.6129032258064516E-2</v>
      </c>
      <c r="F9541">
        <v>11</v>
      </c>
      <c r="G9541">
        <f>LOG(382/(11+1))</f>
        <v>1.5028821168640838</v>
      </c>
      <c r="H9541">
        <f>0.0161290322580645*3.46051395881857</f>
        <v>5.5814741271267197E-2</v>
      </c>
      <c r="I9541">
        <v>5.5814741271267343E-2</v>
      </c>
    </row>
    <row r="9542" spans="1:9" x14ac:dyDescent="0.25">
      <c r="A9542">
        <v>397</v>
      </c>
      <c r="B9542" t="s">
        <v>3012</v>
      </c>
      <c r="C9542" t="s">
        <v>138</v>
      </c>
      <c r="D9542" t="s">
        <v>1765</v>
      </c>
      <c r="E9542">
        <f>2/124</f>
        <v>1.6129032258064516E-2</v>
      </c>
      <c r="F9542">
        <v>14</v>
      </c>
      <c r="G9542">
        <f>LOG(382/(14+1))</f>
        <v>1.4059721038560276</v>
      </c>
      <c r="H9542">
        <f>0.0161290322580645*3.23737040750436</f>
        <v>5.2215651733941229E-2</v>
      </c>
      <c r="I9542">
        <v>5.2215651733941368E-2</v>
      </c>
    </row>
    <row r="9543" spans="1:9" x14ac:dyDescent="0.25">
      <c r="A9543">
        <v>397</v>
      </c>
      <c r="B9543" t="s">
        <v>3012</v>
      </c>
      <c r="C9543" t="s">
        <v>138</v>
      </c>
      <c r="D9543" t="s">
        <v>247</v>
      </c>
      <c r="E9543">
        <f>2/124</f>
        <v>1.6129032258064516E-2</v>
      </c>
      <c r="F9543">
        <v>121</v>
      </c>
      <c r="G9543">
        <f>LOG(382/(121+1))</f>
        <v>0.49570353223696051</v>
      </c>
      <c r="H9543">
        <f>0.0161290322580645*1.14139956387331</f>
        <v>1.8409670385053367E-2</v>
      </c>
      <c r="I9543">
        <v>1.840967038505353E-2</v>
      </c>
    </row>
    <row r="9544" spans="1:9" x14ac:dyDescent="0.25">
      <c r="A9544">
        <v>397</v>
      </c>
      <c r="B9544" t="s">
        <v>3012</v>
      </c>
      <c r="C9544" t="s">
        <v>138</v>
      </c>
      <c r="D9544" t="s">
        <v>39</v>
      </c>
      <c r="E9544">
        <f>2/124</f>
        <v>1.6129032258064516E-2</v>
      </c>
      <c r="F9544">
        <v>145</v>
      </c>
      <c r="G9544">
        <f>LOG(382/(145+1))</f>
        <v>0.41771050712727159</v>
      </c>
      <c r="H9544">
        <f>0.0161290322580645*0.961813986898238</f>
        <v>1.5513128820939305E-2</v>
      </c>
      <c r="I9544">
        <v>1.551312882093933E-2</v>
      </c>
    </row>
    <row r="9545" spans="1:9" x14ac:dyDescent="0.25">
      <c r="A9545">
        <v>397</v>
      </c>
      <c r="B9545" t="s">
        <v>3012</v>
      </c>
      <c r="C9545" t="s">
        <v>138</v>
      </c>
      <c r="D9545" t="s">
        <v>3014</v>
      </c>
      <c r="E9545">
        <f>3/124</f>
        <v>2.4193548387096774E-2</v>
      </c>
      <c r="F9545">
        <v>11</v>
      </c>
      <c r="G9545">
        <f>LOG(382/(11+1))</f>
        <v>1.5028821168640838</v>
      </c>
      <c r="H9545">
        <f>0.0241935483870967*3.46051395881857</f>
        <v>8.372211190690064E-2</v>
      </c>
      <c r="I9545">
        <v>8.3722111906901001E-2</v>
      </c>
    </row>
    <row r="9546" spans="1:9" x14ac:dyDescent="0.25">
      <c r="A9546">
        <v>397</v>
      </c>
      <c r="B9546" t="s">
        <v>3012</v>
      </c>
      <c r="C9546" t="s">
        <v>138</v>
      </c>
      <c r="D9546" t="s">
        <v>42</v>
      </c>
      <c r="E9546">
        <f>1/124</f>
        <v>8.0645161290322578E-3</v>
      </c>
      <c r="F9546">
        <v>251</v>
      </c>
      <c r="G9546">
        <f>LOG(382/(251+1))</f>
        <v>0.18066282213016463</v>
      </c>
      <c r="H9546">
        <f>0.00806451612903225*0.415991521095151</f>
        <v>3.3547703314125042E-3</v>
      </c>
      <c r="I9546">
        <v>3.354770331412515E-3</v>
      </c>
    </row>
    <row r="9547" spans="1:9" x14ac:dyDescent="0.25">
      <c r="A9547">
        <v>397</v>
      </c>
      <c r="B9547" t="s">
        <v>3012</v>
      </c>
      <c r="C9547" t="s">
        <v>138</v>
      </c>
      <c r="D9547" t="s">
        <v>465</v>
      </c>
      <c r="E9547">
        <f>1/124</f>
        <v>8.0645161290322578E-3</v>
      </c>
      <c r="F9547">
        <v>36</v>
      </c>
      <c r="G9547">
        <f>LOG(382/(36+1))</f>
        <v>1.0138616388447137</v>
      </c>
      <c r="H9547">
        <f>0.00806451612903225*2.33450269596235</f>
        <v>1.8826634644857641E-2</v>
      </c>
      <c r="I9547">
        <v>1.8826634644857669E-2</v>
      </c>
    </row>
    <row r="9548" spans="1:9" x14ac:dyDescent="0.25">
      <c r="A9548">
        <v>397</v>
      </c>
      <c r="B9548" t="s">
        <v>3012</v>
      </c>
      <c r="C9548" t="s">
        <v>138</v>
      </c>
      <c r="D9548" t="s">
        <v>40</v>
      </c>
      <c r="E9548">
        <f>4/124</f>
        <v>3.2258064516129031E-2</v>
      </c>
      <c r="F9548">
        <v>159</v>
      </c>
      <c r="G9548">
        <f>LOG(382/(159+1))</f>
        <v>0.377943380255784</v>
      </c>
      <c r="H9548">
        <f>0.032258064516129*0.870246793372748</f>
        <v>2.8072477205572485E-2</v>
      </c>
      <c r="I9548">
        <v>2.807247720557253E-2</v>
      </c>
    </row>
    <row r="9549" spans="1:9" x14ac:dyDescent="0.25">
      <c r="A9549">
        <v>397</v>
      </c>
      <c r="B9549" t="s">
        <v>3012</v>
      </c>
      <c r="C9549" t="s">
        <v>138</v>
      </c>
      <c r="D9549" t="s">
        <v>41</v>
      </c>
      <c r="E9549">
        <f>3/124</f>
        <v>2.4193548387096774E-2</v>
      </c>
      <c r="F9549">
        <v>195</v>
      </c>
      <c r="G9549">
        <f>LOG(382/(195+1))</f>
        <v>0.28980729155523272</v>
      </c>
      <c r="H9549">
        <f>0.0241935483870967*0.667305949376058</f>
        <v>1.614449877522716E-2</v>
      </c>
      <c r="I9549">
        <v>1.6144498775227209E-2</v>
      </c>
    </row>
    <row r="9550" spans="1:9" x14ac:dyDescent="0.25">
      <c r="A9550">
        <v>397</v>
      </c>
      <c r="B9550" t="s">
        <v>3012</v>
      </c>
      <c r="C9550" t="s">
        <v>138</v>
      </c>
      <c r="D9550" t="s">
        <v>22</v>
      </c>
      <c r="E9550">
        <f>1/124</f>
        <v>8.0645161290322578E-3</v>
      </c>
      <c r="F9550">
        <v>259</v>
      </c>
      <c r="G9550">
        <f>LOG(382/(259+1))</f>
        <v>0.16709001494089079</v>
      </c>
      <c r="H9550">
        <f>0.00806451612903225*0.384738977591047</f>
        <v>3.1027336902503758E-3</v>
      </c>
      <c r="I9550">
        <v>3.1027336902503832E-3</v>
      </c>
    </row>
    <row r="9551" spans="1:9" x14ac:dyDescent="0.25">
      <c r="A9551">
        <v>397</v>
      </c>
      <c r="B9551" t="s">
        <v>3012</v>
      </c>
      <c r="C9551" t="s">
        <v>138</v>
      </c>
      <c r="D9551" t="s">
        <v>23</v>
      </c>
      <c r="E9551">
        <f>1/124</f>
        <v>8.0645161290322578E-3</v>
      </c>
      <c r="F9551">
        <v>275</v>
      </c>
      <c r="G9551">
        <f>LOG(382/(275+1))</f>
        <v>0.14115428084649101</v>
      </c>
      <c r="H9551">
        <f>0.00806451612903225*0.325019742889425</f>
        <v>2.6211269587856825E-3</v>
      </c>
      <c r="I9551">
        <v>2.6211269587856868E-3</v>
      </c>
    </row>
    <row r="9552" spans="1:9" x14ac:dyDescent="0.25">
      <c r="A9552">
        <v>397</v>
      </c>
      <c r="B9552" t="s">
        <v>3012</v>
      </c>
      <c r="C9552" t="s">
        <v>138</v>
      </c>
      <c r="D9552" t="s">
        <v>204</v>
      </c>
      <c r="E9552">
        <f>3/124</f>
        <v>2.4193548387096774E-2</v>
      </c>
      <c r="F9552">
        <v>166</v>
      </c>
      <c r="G9552">
        <f>LOG(382/(166+1))</f>
        <v>0.35934689176412549</v>
      </c>
      <c r="H9552">
        <f>0.0241935483870967*0.82742679618982</f>
        <v>2.0018390230398808E-2</v>
      </c>
      <c r="I9552">
        <v>2.0018390230398871E-2</v>
      </c>
    </row>
    <row r="9553" spans="1:9" x14ac:dyDescent="0.25">
      <c r="A9553">
        <v>397</v>
      </c>
      <c r="B9553" t="s">
        <v>3012</v>
      </c>
      <c r="C9553" t="s">
        <v>138</v>
      </c>
      <c r="D9553" t="s">
        <v>331</v>
      </c>
      <c r="E9553">
        <f>3/124</f>
        <v>2.4193548387096774E-2</v>
      </c>
      <c r="F9553">
        <v>130</v>
      </c>
      <c r="G9553">
        <f>LOG(382/(130+1))</f>
        <v>0.46479206725594452</v>
      </c>
      <c r="H9553">
        <f>0.0241935483870967*1.07022328540542</f>
        <v>2.5892498840453634E-2</v>
      </c>
      <c r="I9553">
        <v>2.58924988404538E-2</v>
      </c>
    </row>
    <row r="9554" spans="1:9" x14ac:dyDescent="0.25">
      <c r="A9554">
        <v>397</v>
      </c>
      <c r="B9554" t="s">
        <v>3012</v>
      </c>
      <c r="C9554" t="s">
        <v>138</v>
      </c>
      <c r="D9554" t="s">
        <v>1633</v>
      </c>
      <c r="E9554">
        <f>1/124</f>
        <v>8.0645161290322578E-3</v>
      </c>
      <c r="F9554">
        <v>18</v>
      </c>
      <c r="G9554">
        <f>LOG(382/(18+1))</f>
        <v>1.3033097619588798</v>
      </c>
      <c r="H9554">
        <f>0.00806451612903225*3.00098162944013</f>
        <v>2.4201464753549409E-2</v>
      </c>
      <c r="I9554">
        <v>2.4201464753549468E-2</v>
      </c>
    </row>
    <row r="9555" spans="1:9" x14ac:dyDescent="0.25">
      <c r="A9555">
        <v>397</v>
      </c>
      <c r="B9555" t="s">
        <v>3012</v>
      </c>
      <c r="C9555" t="s">
        <v>138</v>
      </c>
      <c r="D9555" t="s">
        <v>898</v>
      </c>
      <c r="E9555">
        <f>1/124</f>
        <v>8.0645161290322578E-3</v>
      </c>
      <c r="F9555">
        <v>22</v>
      </c>
      <c r="G9555">
        <f>LOG(382/(22+1))</f>
        <v>1.2203355268941158</v>
      </c>
      <c r="H9555">
        <f>0.00806451612903225*2.80992639267742</f>
        <v>2.2660696715140458E-2</v>
      </c>
      <c r="I9555">
        <v>2.2660696715140531E-2</v>
      </c>
    </row>
    <row r="9556" spans="1:9" x14ac:dyDescent="0.25">
      <c r="A9556">
        <v>397</v>
      </c>
      <c r="B9556" t="s">
        <v>3012</v>
      </c>
      <c r="C9556" t="s">
        <v>138</v>
      </c>
      <c r="D9556" t="s">
        <v>322</v>
      </c>
      <c r="E9556">
        <f>4/124</f>
        <v>3.2258064516129031E-2</v>
      </c>
      <c r="F9556">
        <v>128</v>
      </c>
      <c r="G9556">
        <f>LOG(382/(128+1))</f>
        <v>0.47147365261245977</v>
      </c>
      <c r="H9556">
        <f>0.032258064516129*1.0856082042449</f>
        <v>3.5019619491770931E-2</v>
      </c>
      <c r="I9556">
        <v>3.501961949177107E-2</v>
      </c>
    </row>
    <row r="9557" spans="1:9" x14ac:dyDescent="0.25">
      <c r="A9557">
        <v>397</v>
      </c>
      <c r="B9557" t="s">
        <v>3012</v>
      </c>
      <c r="C9557" t="s">
        <v>138</v>
      </c>
      <c r="D9557" t="s">
        <v>2007</v>
      </c>
      <c r="E9557">
        <f>1/124</f>
        <v>8.0645161290322578E-3</v>
      </c>
      <c r="F9557">
        <v>5</v>
      </c>
      <c r="G9557">
        <f>LOG(382/(5+1))</f>
        <v>1.803912112528065</v>
      </c>
      <c r="H9557">
        <f>0.00806451612903225*4.15366113937852</f>
        <v>3.3497267253052541E-2</v>
      </c>
      <c r="I9557">
        <v>3.3497267253052583E-2</v>
      </c>
    </row>
    <row r="9558" spans="1:9" x14ac:dyDescent="0.25">
      <c r="A9558">
        <v>397</v>
      </c>
      <c r="B9558" t="s">
        <v>3012</v>
      </c>
      <c r="C9558" t="s">
        <v>138</v>
      </c>
      <c r="D9558" t="s">
        <v>77</v>
      </c>
      <c r="E9558">
        <f>4/124</f>
        <v>3.2258064516129031E-2</v>
      </c>
      <c r="F9558">
        <v>148</v>
      </c>
      <c r="G9558">
        <f>LOG(382/(148+1))</f>
        <v>0.40887709449943471</v>
      </c>
      <c r="H9558">
        <f>0.032258064516129*0.941474302661116</f>
        <v>3.0370138795519835E-2</v>
      </c>
      <c r="I9558">
        <v>3.037013879551987E-2</v>
      </c>
    </row>
    <row r="9559" spans="1:9" x14ac:dyDescent="0.25">
      <c r="A9559">
        <v>397</v>
      </c>
      <c r="B9559" t="s">
        <v>3012</v>
      </c>
      <c r="C9559" t="s">
        <v>138</v>
      </c>
      <c r="D9559" t="s">
        <v>754</v>
      </c>
      <c r="E9559">
        <f>3/124</f>
        <v>2.4193548387096774E-2</v>
      </c>
      <c r="F9559">
        <v>111</v>
      </c>
      <c r="G9559">
        <f>LOG(382/(111+1))</f>
        <v>0.53284534024152708</v>
      </c>
      <c r="H9559">
        <f>0.0241935483870967*1.22692173731148</f>
        <v>2.9683590418826039E-2</v>
      </c>
      <c r="I9559">
        <v>2.968359041882614E-2</v>
      </c>
    </row>
    <row r="9560" spans="1:9" x14ac:dyDescent="0.25">
      <c r="A9560">
        <v>397</v>
      </c>
      <c r="B9560" t="s">
        <v>3012</v>
      </c>
      <c r="C9560" t="s">
        <v>138</v>
      </c>
      <c r="D9560" t="s">
        <v>237</v>
      </c>
      <c r="E9560">
        <f>2/124</f>
        <v>1.6129032258064516E-2</v>
      </c>
      <c r="F9560">
        <v>138</v>
      </c>
      <c r="G9560">
        <f>LOG(382/(138+1))</f>
        <v>0.43904856265761361</v>
      </c>
      <c r="H9560">
        <f>0.0161290322580645*1.01094667547588</f>
        <v>1.630559153993353E-2</v>
      </c>
      <c r="I9560">
        <v>1.6305591539933599E-2</v>
      </c>
    </row>
    <row r="9561" spans="1:9" x14ac:dyDescent="0.25">
      <c r="A9561">
        <v>397</v>
      </c>
      <c r="B9561" t="s">
        <v>3012</v>
      </c>
      <c r="C9561" t="s">
        <v>138</v>
      </c>
      <c r="D9561" t="s">
        <v>133</v>
      </c>
      <c r="E9561">
        <f>6/124</f>
        <v>4.8387096774193547E-2</v>
      </c>
      <c r="F9561">
        <v>142</v>
      </c>
      <c r="G9561">
        <f>LOG(382/(142+1))</f>
        <v>0.42672732544664693</v>
      </c>
      <c r="H9561">
        <f>0.0483870967741935*0.982575978346667</f>
        <v>4.7543998952258033E-2</v>
      </c>
      <c r="I9561">
        <v>4.7543998952258117E-2</v>
      </c>
    </row>
    <row r="9562" spans="1:9" x14ac:dyDescent="0.25">
      <c r="A9562">
        <v>397</v>
      </c>
      <c r="B9562" t="s">
        <v>3012</v>
      </c>
      <c r="C9562" t="s">
        <v>138</v>
      </c>
      <c r="D9562" t="s">
        <v>76</v>
      </c>
      <c r="E9562">
        <f>2/124</f>
        <v>1.6129032258064516E-2</v>
      </c>
      <c r="F9562">
        <v>140</v>
      </c>
      <c r="G9562">
        <f>LOG(382/(140+1))</f>
        <v>0.43284425025632883</v>
      </c>
      <c r="H9562">
        <f>0.0161290322580645*0.996660718228407</f>
        <v>1.6075172874651707E-2</v>
      </c>
      <c r="I9562">
        <v>1.6075172874651721E-2</v>
      </c>
    </row>
    <row r="9563" spans="1:9" x14ac:dyDescent="0.25">
      <c r="A9563">
        <v>397</v>
      </c>
      <c r="B9563" t="s">
        <v>3012</v>
      </c>
      <c r="C9563" t="s">
        <v>138</v>
      </c>
      <c r="D9563" t="s">
        <v>485</v>
      </c>
      <c r="E9563">
        <f t="shared" ref="E9563:E9569" si="448">1/124</f>
        <v>8.0645161290322578E-3</v>
      </c>
      <c r="F9563">
        <v>74</v>
      </c>
      <c r="G9563">
        <f>LOG(382/(74+1))</f>
        <v>0.7070020995200087</v>
      </c>
      <c r="H9563">
        <f>0.00806451612903225*1.62793249507026</f>
        <v>1.3128487863469825E-2</v>
      </c>
      <c r="I9563">
        <v>1.312848786346988E-2</v>
      </c>
    </row>
    <row r="9564" spans="1:9" x14ac:dyDescent="0.25">
      <c r="A9564">
        <v>397</v>
      </c>
      <c r="B9564" t="s">
        <v>3012</v>
      </c>
      <c r="C9564" t="s">
        <v>138</v>
      </c>
      <c r="D9564" t="s">
        <v>78</v>
      </c>
      <c r="E9564">
        <f t="shared" si="448"/>
        <v>8.0645161290322578E-3</v>
      </c>
      <c r="F9564">
        <v>122</v>
      </c>
      <c r="G9564">
        <f>LOG(382/(122+1))</f>
        <v>0.49215825147231079</v>
      </c>
      <c r="H9564">
        <f>0.00806451612903225*1.13323625323415</f>
        <v>9.1390020422108774E-3</v>
      </c>
      <c r="I9564">
        <v>9.1390020422109485E-3</v>
      </c>
    </row>
    <row r="9565" spans="1:9" x14ac:dyDescent="0.25">
      <c r="A9565">
        <v>397</v>
      </c>
      <c r="B9565" t="s">
        <v>3012</v>
      </c>
      <c r="C9565" t="s">
        <v>138</v>
      </c>
      <c r="D9565" t="s">
        <v>483</v>
      </c>
      <c r="E9565">
        <f t="shared" si="448"/>
        <v>8.0645161290322578E-3</v>
      </c>
      <c r="F9565">
        <v>61</v>
      </c>
      <c r="G9565">
        <f>LOG(382/(61+1))</f>
        <v>0.7896716734134549</v>
      </c>
      <c r="H9565">
        <f>0.00806451612903225*1.81828622356148</f>
        <v>1.4663598577108694E-2</v>
      </c>
      <c r="I9565">
        <v>1.4663598577108739E-2</v>
      </c>
    </row>
    <row r="9566" spans="1:9" x14ac:dyDescent="0.25">
      <c r="A9566">
        <v>397</v>
      </c>
      <c r="B9566" t="s">
        <v>3012</v>
      </c>
      <c r="C9566" t="s">
        <v>138</v>
      </c>
      <c r="D9566" t="s">
        <v>79</v>
      </c>
      <c r="E9566">
        <f t="shared" si="448"/>
        <v>8.0645161290322578E-3</v>
      </c>
      <c r="F9566">
        <v>26</v>
      </c>
      <c r="G9566">
        <f>LOG(382/(26+1))</f>
        <v>1.1506995987527215</v>
      </c>
      <c r="H9566">
        <f>0.00806451612903225*2.64958374260224</f>
        <v>2.1367610827437395E-2</v>
      </c>
      <c r="I9566">
        <v>2.1367610827437471E-2</v>
      </c>
    </row>
    <row r="9567" spans="1:9" x14ac:dyDescent="0.25">
      <c r="A9567">
        <v>397</v>
      </c>
      <c r="B9567" t="s">
        <v>3012</v>
      </c>
      <c r="C9567" t="s">
        <v>138</v>
      </c>
      <c r="D9567" t="s">
        <v>764</v>
      </c>
      <c r="E9567">
        <f t="shared" si="448"/>
        <v>8.0645161290322578E-3</v>
      </c>
      <c r="F9567">
        <v>57</v>
      </c>
      <c r="G9567">
        <f>LOG(382/(57+1))</f>
        <v>0.81863536934877146</v>
      </c>
      <c r="H9567">
        <f>0.00806451612903225*1.88497759806015</f>
        <v>1.5201432242420548E-2</v>
      </c>
      <c r="I9567">
        <v>1.520143224242061E-2</v>
      </c>
    </row>
    <row r="9568" spans="1:9" x14ac:dyDescent="0.25">
      <c r="A9568">
        <v>397</v>
      </c>
      <c r="B9568" t="s">
        <v>3012</v>
      </c>
      <c r="C9568" t="s">
        <v>138</v>
      </c>
      <c r="D9568" t="s">
        <v>1083</v>
      </c>
      <c r="E9568">
        <f t="shared" si="448"/>
        <v>8.0645161290322578E-3</v>
      </c>
      <c r="F9568">
        <v>51</v>
      </c>
      <c r="G9568">
        <f>LOG(382/(51+1))</f>
        <v>0.86606001927690957</v>
      </c>
      <c r="H9568">
        <f>0.00806451612903225*1.99417689002514</f>
        <v>1.6082071693751112E-2</v>
      </c>
      <c r="I9568">
        <v>1.6082071693751188E-2</v>
      </c>
    </row>
    <row r="9569" spans="1:9" x14ac:dyDescent="0.25">
      <c r="A9569">
        <v>397</v>
      </c>
      <c r="B9569" t="s">
        <v>3012</v>
      </c>
      <c r="C9569" t="s">
        <v>138</v>
      </c>
      <c r="D9569" t="s">
        <v>2930</v>
      </c>
      <c r="E9569">
        <f t="shared" si="448"/>
        <v>8.0645161290322578E-3</v>
      </c>
      <c r="F9569">
        <v>15</v>
      </c>
      <c r="G9569">
        <f>LOG(382/(15+1))</f>
        <v>1.3779433802557839</v>
      </c>
      <c r="H9569">
        <f>0.00806451612903225*3.17283188636679</f>
        <v>2.5587353922312796E-2</v>
      </c>
      <c r="I9569">
        <v>2.5587353922312851E-2</v>
      </c>
    </row>
    <row r="9570" spans="1:9" x14ac:dyDescent="0.25">
      <c r="A9570">
        <v>397</v>
      </c>
      <c r="B9570" t="s">
        <v>3012</v>
      </c>
      <c r="C9570" t="s">
        <v>138</v>
      </c>
      <c r="D9570" t="s">
        <v>765</v>
      </c>
      <c r="E9570">
        <f>2/124</f>
        <v>1.6129032258064516E-2</v>
      </c>
      <c r="F9570">
        <v>44</v>
      </c>
      <c r="G9570">
        <f>LOG(382/(44+1))</f>
        <v>0.92885084913636506</v>
      </c>
      <c r="H9570">
        <f>0.0161290322580645*2.13875811883625</f>
        <v>3.4496098690907216E-2</v>
      </c>
      <c r="I9570">
        <v>3.4496098690907341E-2</v>
      </c>
    </row>
    <row r="9571" spans="1:9" x14ac:dyDescent="0.25">
      <c r="A9571">
        <v>397</v>
      </c>
      <c r="B9571" t="s">
        <v>3012</v>
      </c>
      <c r="C9571" t="s">
        <v>138</v>
      </c>
      <c r="D9571" t="s">
        <v>2220</v>
      </c>
      <c r="E9571">
        <f>1/124</f>
        <v>8.0645161290322578E-3</v>
      </c>
      <c r="F9571">
        <v>21</v>
      </c>
      <c r="G9571">
        <f>LOG(382/(21+1))</f>
        <v>1.2396406820895025</v>
      </c>
      <c r="H9571">
        <f>0.00806451612903225*2.85437815524825</f>
        <v>2.3019178671356829E-2</v>
      </c>
      <c r="I9571">
        <v>2.301917867135693E-2</v>
      </c>
    </row>
    <row r="9572" spans="1:9" x14ac:dyDescent="0.25">
      <c r="A9572">
        <v>397</v>
      </c>
      <c r="B9572" t="s">
        <v>3012</v>
      </c>
      <c r="C9572" t="s">
        <v>138</v>
      </c>
      <c r="D9572" t="s">
        <v>81</v>
      </c>
      <c r="E9572">
        <f>2/124</f>
        <v>1.6129032258064516E-2</v>
      </c>
      <c r="F9572">
        <v>114</v>
      </c>
      <c r="G9572">
        <f>LOG(382/(114+1))</f>
        <v>0.52136552255809698</v>
      </c>
      <c r="H9572">
        <f>0.0161290322580645*1.20048848024332</f>
        <v>1.9362717423279333E-2</v>
      </c>
      <c r="I9572">
        <v>1.9362717423279441E-2</v>
      </c>
    </row>
    <row r="9573" spans="1:9" x14ac:dyDescent="0.25">
      <c r="A9573">
        <v>397</v>
      </c>
      <c r="B9573" t="s">
        <v>3012</v>
      </c>
      <c r="C9573" t="s">
        <v>138</v>
      </c>
      <c r="D9573" t="s">
        <v>747</v>
      </c>
      <c r="E9573">
        <f>1/124</f>
        <v>8.0645161290322578E-3</v>
      </c>
      <c r="F9573">
        <v>14</v>
      </c>
      <c r="G9573">
        <f>LOG(382/(14+1))</f>
        <v>1.4059721038560276</v>
      </c>
      <c r="H9573">
        <f>0.00806451612903225*3.23737040750436</f>
        <v>2.6107825866970615E-2</v>
      </c>
      <c r="I9573">
        <v>2.6107825866970691E-2</v>
      </c>
    </row>
    <row r="9574" spans="1:9" x14ac:dyDescent="0.25">
      <c r="A9574">
        <v>397</v>
      </c>
      <c r="B9574" t="s">
        <v>3012</v>
      </c>
      <c r="C9574" t="s">
        <v>138</v>
      </c>
      <c r="D9574" t="s">
        <v>746</v>
      </c>
      <c r="E9574">
        <f>3/124</f>
        <v>2.4193548387096774E-2</v>
      </c>
      <c r="F9574">
        <v>58</v>
      </c>
      <c r="G9574">
        <f>LOG(382/(58+1))</f>
        <v>0.81121135126956456</v>
      </c>
      <c r="H9574">
        <f>0.0241935483870967*1.86788316470085</f>
        <v>4.5190721726633333E-2</v>
      </c>
      <c r="I9574">
        <v>4.5190721726633597E-2</v>
      </c>
    </row>
    <row r="9575" spans="1:9" x14ac:dyDescent="0.25">
      <c r="A9575">
        <v>397</v>
      </c>
      <c r="B9575" t="s">
        <v>3012</v>
      </c>
      <c r="C9575" t="s">
        <v>138</v>
      </c>
      <c r="D9575" t="s">
        <v>762</v>
      </c>
      <c r="E9575">
        <f>1/124</f>
        <v>8.0645161290322578E-3</v>
      </c>
      <c r="F9575">
        <v>29</v>
      </c>
      <c r="G9575">
        <f>LOG(382/(29+1))</f>
        <v>1.1049421081920463</v>
      </c>
      <c r="H9575">
        <f>0.00806451612903225*2.54422322694442</f>
        <v>2.0517929249551752E-2</v>
      </c>
      <c r="I9575">
        <v>2.0517929249551769E-2</v>
      </c>
    </row>
    <row r="9576" spans="1:9" x14ac:dyDescent="0.25">
      <c r="A9576">
        <v>397</v>
      </c>
      <c r="B9576" t="s">
        <v>3012</v>
      </c>
      <c r="C9576" t="s">
        <v>138</v>
      </c>
      <c r="D9576" t="s">
        <v>338</v>
      </c>
      <c r="E9576">
        <f>1/124</f>
        <v>8.0645161290322578E-3</v>
      </c>
      <c r="F9576">
        <v>54</v>
      </c>
      <c r="G9576">
        <f>LOG(382/(54+1))</f>
        <v>0.84170067341746491</v>
      </c>
      <c r="H9576">
        <f>0.00806451612903225*1.9380874233741</f>
        <v>1.5629737285274982E-2</v>
      </c>
      <c r="I9576">
        <v>1.562973728527503E-2</v>
      </c>
    </row>
    <row r="9577" spans="1:9" x14ac:dyDescent="0.25">
      <c r="A9577">
        <v>397</v>
      </c>
      <c r="B9577" t="s">
        <v>3012</v>
      </c>
      <c r="C9577" t="s">
        <v>138</v>
      </c>
      <c r="D9577" t="s">
        <v>3015</v>
      </c>
      <c r="E9577">
        <f>1/124</f>
        <v>8.0645161290322578E-3</v>
      </c>
      <c r="F9577">
        <v>9</v>
      </c>
      <c r="G9577">
        <f>LOG(382/(9+1))</f>
        <v>1.5820633629117087</v>
      </c>
      <c r="H9577">
        <f>0.00806451612903225*3.64283551561252</f>
        <v>2.9377705771068678E-2</v>
      </c>
      <c r="I9577">
        <v>2.9377705771068789E-2</v>
      </c>
    </row>
    <row r="9578" spans="1:9" x14ac:dyDescent="0.25">
      <c r="A9578">
        <v>397</v>
      </c>
      <c r="B9578" t="s">
        <v>3012</v>
      </c>
      <c r="C9578" t="s">
        <v>138</v>
      </c>
      <c r="D9578" t="s">
        <v>450</v>
      </c>
      <c r="E9578">
        <f>1/124</f>
        <v>8.0645161290322578E-3</v>
      </c>
      <c r="F9578">
        <v>17</v>
      </c>
      <c r="G9578">
        <f>LOG(382/(17+1))</f>
        <v>1.3267908578084027</v>
      </c>
      <c r="H9578">
        <f>0.00806451612903225*3.05504885071041</f>
        <v>2.4637490731535535E-2</v>
      </c>
      <c r="I9578">
        <v>2.463749073153557E-2</v>
      </c>
    </row>
    <row r="9579" spans="1:9" x14ac:dyDescent="0.25">
      <c r="A9579">
        <v>397</v>
      </c>
      <c r="B9579" t="s">
        <v>3012</v>
      </c>
      <c r="C9579" t="s">
        <v>138</v>
      </c>
      <c r="D9579" t="s">
        <v>776</v>
      </c>
      <c r="E9579">
        <f>2/124</f>
        <v>1.6129032258064516E-2</v>
      </c>
      <c r="F9579">
        <v>15</v>
      </c>
      <c r="G9579">
        <f>LOG(382/(15+1))</f>
        <v>1.3779433802557839</v>
      </c>
      <c r="H9579">
        <f>0.0161290322580645*3.17283188636679</f>
        <v>5.1174707844625592E-2</v>
      </c>
      <c r="I9579">
        <v>5.1174707844625709E-2</v>
      </c>
    </row>
    <row r="9580" spans="1:9" x14ac:dyDescent="0.25">
      <c r="A9580">
        <v>397</v>
      </c>
      <c r="B9580" t="s">
        <v>3012</v>
      </c>
      <c r="C9580" t="s">
        <v>138</v>
      </c>
      <c r="D9580" t="s">
        <v>119</v>
      </c>
      <c r="E9580">
        <f>2/124</f>
        <v>1.6129032258064516E-2</v>
      </c>
      <c r="F9580">
        <v>79</v>
      </c>
      <c r="G9580">
        <f>LOG(382/(79+1))</f>
        <v>0.67897337591976514</v>
      </c>
      <c r="H9580">
        <f>0.0161290322580645*1.56339397393269</f>
        <v>2.5216031837624005E-2</v>
      </c>
      <c r="I9580">
        <v>2.5216031837624091E-2</v>
      </c>
    </row>
    <row r="9581" spans="1:9" x14ac:dyDescent="0.25">
      <c r="A9581">
        <v>397</v>
      </c>
      <c r="B9581" t="s">
        <v>3012</v>
      </c>
      <c r="C9581" t="s">
        <v>138</v>
      </c>
      <c r="D9581" t="s">
        <v>3016</v>
      </c>
      <c r="E9581">
        <f t="shared" ref="E9581:E9586" si="449">1/124</f>
        <v>8.0645161290322578E-3</v>
      </c>
      <c r="F9581">
        <v>2</v>
      </c>
      <c r="G9581">
        <f>LOG(382/(2+1))</f>
        <v>2.1049421081920463</v>
      </c>
      <c r="H9581">
        <f>0.00806451612903225*4.84680831993846</f>
        <v>3.9087163870471411E-2</v>
      </c>
      <c r="I9581">
        <v>3.9087163870471488E-2</v>
      </c>
    </row>
    <row r="9582" spans="1:9" x14ac:dyDescent="0.25">
      <c r="A9582">
        <v>397</v>
      </c>
      <c r="B9582" t="s">
        <v>3012</v>
      </c>
      <c r="C9582" t="s">
        <v>138</v>
      </c>
      <c r="D9582" t="s">
        <v>3017</v>
      </c>
      <c r="E9582">
        <f t="shared" si="449"/>
        <v>8.0645161290322578E-3</v>
      </c>
      <c r="F9582">
        <v>2</v>
      </c>
      <c r="G9582">
        <f>LOG(382/(2+1))</f>
        <v>2.1049421081920463</v>
      </c>
      <c r="H9582">
        <f>0.00806451612903225*4.84680831993846</f>
        <v>3.9087163870471411E-2</v>
      </c>
      <c r="I9582">
        <v>3.9087163870471488E-2</v>
      </c>
    </row>
    <row r="9583" spans="1:9" x14ac:dyDescent="0.25">
      <c r="A9583">
        <v>397</v>
      </c>
      <c r="B9583" t="s">
        <v>3012</v>
      </c>
      <c r="C9583" t="s">
        <v>138</v>
      </c>
      <c r="D9583" t="s">
        <v>82</v>
      </c>
      <c r="E9583">
        <f t="shared" si="449"/>
        <v>8.0645161290322578E-3</v>
      </c>
      <c r="F9583">
        <v>92</v>
      </c>
      <c r="G9583">
        <f>LOG(382/(92+1))</f>
        <v>0.61358041435777355</v>
      </c>
      <c r="H9583">
        <f>0.00806451612903225*1.41282111545331</f>
        <v>1.1393718673010551E-2</v>
      </c>
      <c r="I9583">
        <v>1.1393718673010639E-2</v>
      </c>
    </row>
    <row r="9584" spans="1:9" x14ac:dyDescent="0.25">
      <c r="A9584">
        <v>397</v>
      </c>
      <c r="B9584" t="s">
        <v>3012</v>
      </c>
      <c r="C9584" t="s">
        <v>138</v>
      </c>
      <c r="D9584" t="s">
        <v>1921</v>
      </c>
      <c r="E9584">
        <f t="shared" si="449"/>
        <v>8.0645161290322578E-3</v>
      </c>
      <c r="F9584">
        <v>37</v>
      </c>
      <c r="G9584">
        <f>LOG(382/(37+1))</f>
        <v>1.0022797662948986</v>
      </c>
      <c r="H9584">
        <f>0.00806451612903225*2.30783444888018</f>
        <v>1.8611568136130463E-2</v>
      </c>
      <c r="I9584">
        <v>1.861156813613056E-2</v>
      </c>
    </row>
    <row r="9585" spans="1:9" x14ac:dyDescent="0.25">
      <c r="A9585">
        <v>397</v>
      </c>
      <c r="B9585" t="s">
        <v>3012</v>
      </c>
      <c r="C9585" t="s">
        <v>138</v>
      </c>
      <c r="D9585" t="s">
        <v>1546</v>
      </c>
      <c r="E9585">
        <f t="shared" si="449"/>
        <v>8.0645161290322578E-3</v>
      </c>
      <c r="F9585">
        <v>44</v>
      </c>
      <c r="G9585">
        <f>LOG(382/(44+1))</f>
        <v>0.92885084913636506</v>
      </c>
      <c r="H9585">
        <f>0.00806451612903225*2.13875811883625</f>
        <v>1.7248049345453608E-2</v>
      </c>
      <c r="I9585">
        <v>1.7248049345453671E-2</v>
      </c>
    </row>
    <row r="9586" spans="1:9" x14ac:dyDescent="0.25">
      <c r="A9586">
        <v>397</v>
      </c>
      <c r="B9586" t="s">
        <v>3012</v>
      </c>
      <c r="C9586" t="s">
        <v>138</v>
      </c>
      <c r="D9586" t="s">
        <v>2238</v>
      </c>
      <c r="E9586">
        <f t="shared" si="449"/>
        <v>8.0645161290322578E-3</v>
      </c>
      <c r="F9586">
        <v>68</v>
      </c>
      <c r="G9586">
        <f>LOG(382/(68+1))</f>
        <v>0.74321427217445335</v>
      </c>
      <c r="H9586">
        <f>0.00806451612903225*1.71131410400931</f>
        <v>1.3800920193623454E-2</v>
      </c>
      <c r="I9586">
        <v>1.3800920193623511E-2</v>
      </c>
    </row>
    <row r="9587" spans="1:9" x14ac:dyDescent="0.25">
      <c r="A9587">
        <v>397</v>
      </c>
      <c r="B9587" t="s">
        <v>3012</v>
      </c>
      <c r="C9587" t="s">
        <v>138</v>
      </c>
      <c r="D9587" t="s">
        <v>256</v>
      </c>
      <c r="E9587">
        <f>2/124</f>
        <v>1.6129032258064516E-2</v>
      </c>
      <c r="F9587">
        <v>28</v>
      </c>
      <c r="G9587">
        <f>LOG(382/(28+1))</f>
        <v>1.1196653650127526</v>
      </c>
      <c r="H9587">
        <f>0.0161290322580645*2.5781247786201</f>
        <v>4.1582657719678985E-2</v>
      </c>
      <c r="I9587">
        <v>4.1582657719679048E-2</v>
      </c>
    </row>
    <row r="9588" spans="1:9" x14ac:dyDescent="0.25">
      <c r="A9588">
        <v>397</v>
      </c>
      <c r="B9588" t="s">
        <v>3012</v>
      </c>
      <c r="C9588" t="s">
        <v>138</v>
      </c>
      <c r="D9588" t="s">
        <v>362</v>
      </c>
      <c r="E9588">
        <f t="shared" ref="E9588:E9600" si="450">1/124</f>
        <v>8.0645161290322578E-3</v>
      </c>
      <c r="F9588">
        <v>81</v>
      </c>
      <c r="G9588">
        <f>LOG(382/(81+1))</f>
        <v>0.66824951052799197</v>
      </c>
      <c r="H9588">
        <f>0.00806451612903225*1.53870136134232</f>
        <v>1.2408881946309017E-2</v>
      </c>
      <c r="I9588">
        <v>1.240888194630905E-2</v>
      </c>
    </row>
    <row r="9589" spans="1:9" x14ac:dyDescent="0.25">
      <c r="A9589">
        <v>397</v>
      </c>
      <c r="B9589" t="s">
        <v>3012</v>
      </c>
      <c r="C9589" t="s">
        <v>138</v>
      </c>
      <c r="D9589" t="s">
        <v>1762</v>
      </c>
      <c r="E9589">
        <f t="shared" si="450"/>
        <v>8.0645161290322578E-3</v>
      </c>
      <c r="F9589">
        <v>60</v>
      </c>
      <c r="G9589">
        <f>LOG(382/(60+1))</f>
        <v>0.79673352790094176</v>
      </c>
      <c r="H9589">
        <f>0.00806451612903225*1.83454674443326</f>
        <v>1.4794731809945628E-2</v>
      </c>
      <c r="I9589">
        <v>1.479473180994568E-2</v>
      </c>
    </row>
    <row r="9590" spans="1:9" x14ac:dyDescent="0.25">
      <c r="A9590">
        <v>397</v>
      </c>
      <c r="B9590" t="s">
        <v>3012</v>
      </c>
      <c r="C9590" t="s">
        <v>138</v>
      </c>
      <c r="D9590" t="s">
        <v>126</v>
      </c>
      <c r="E9590">
        <f t="shared" si="450"/>
        <v>8.0645161290322578E-3</v>
      </c>
      <c r="F9590">
        <v>79</v>
      </c>
      <c r="G9590">
        <f>LOG(382/(79+1))</f>
        <v>0.67897337591976514</v>
      </c>
      <c r="H9590">
        <f>0.00806451612903225*1.56339397393269</f>
        <v>1.2608015918812002E-2</v>
      </c>
      <c r="I9590">
        <v>1.2608015918812049E-2</v>
      </c>
    </row>
    <row r="9591" spans="1:9" x14ac:dyDescent="0.25">
      <c r="A9591">
        <v>397</v>
      </c>
      <c r="B9591" t="s">
        <v>3012</v>
      </c>
      <c r="C9591" t="s">
        <v>138</v>
      </c>
      <c r="D9591" t="s">
        <v>201</v>
      </c>
      <c r="E9591">
        <f t="shared" si="450"/>
        <v>8.0645161290322578E-3</v>
      </c>
      <c r="F9591">
        <v>72</v>
      </c>
      <c r="G9591">
        <f>LOG(382/(72+1))</f>
        <v>0.71874050279125279</v>
      </c>
      <c r="H9591">
        <f>0.00806451612903225*1.65496116745818</f>
        <v>1.3346461027888532E-2</v>
      </c>
      <c r="I9591">
        <v>1.3346461027888581E-2</v>
      </c>
    </row>
    <row r="9592" spans="1:9" x14ac:dyDescent="0.25">
      <c r="A9592">
        <v>397</v>
      </c>
      <c r="B9592" t="s">
        <v>3012</v>
      </c>
      <c r="C9592" t="s">
        <v>138</v>
      </c>
      <c r="D9592" t="s">
        <v>225</v>
      </c>
      <c r="E9592">
        <f t="shared" si="450"/>
        <v>8.0645161290322578E-3</v>
      </c>
      <c r="F9592">
        <v>30</v>
      </c>
      <c r="G9592">
        <f>LOG(382/(30+1))</f>
        <v>1.090701669077436</v>
      </c>
      <c r="H9592">
        <f>0.00806451612903225*2.51143340412142</f>
        <v>2.0253495194527561E-2</v>
      </c>
      <c r="I9592">
        <v>2.0253495194527651E-2</v>
      </c>
    </row>
    <row r="9593" spans="1:9" x14ac:dyDescent="0.25">
      <c r="A9593">
        <v>397</v>
      </c>
      <c r="B9593" t="s">
        <v>3012</v>
      </c>
      <c r="C9593" t="s">
        <v>138</v>
      </c>
      <c r="D9593" t="s">
        <v>123</v>
      </c>
      <c r="E9593">
        <f t="shared" si="450"/>
        <v>8.0645161290322578E-3</v>
      </c>
      <c r="F9593">
        <v>74</v>
      </c>
      <c r="G9593">
        <f>LOG(382/(74+1))</f>
        <v>0.7070020995200087</v>
      </c>
      <c r="H9593">
        <f>0.00806451612903225*1.62793249507026</f>
        <v>1.3128487863469825E-2</v>
      </c>
      <c r="I9593">
        <v>1.312848786346988E-2</v>
      </c>
    </row>
    <row r="9594" spans="1:9" x14ac:dyDescent="0.25">
      <c r="A9594">
        <v>397</v>
      </c>
      <c r="B9594" t="s">
        <v>3012</v>
      </c>
      <c r="C9594" t="s">
        <v>138</v>
      </c>
      <c r="D9594" t="s">
        <v>2505</v>
      </c>
      <c r="E9594">
        <f t="shared" si="450"/>
        <v>8.0645161290322578E-3</v>
      </c>
      <c r="F9594">
        <v>9</v>
      </c>
      <c r="G9594">
        <f>LOG(382/(9+1))</f>
        <v>1.5820633629117087</v>
      </c>
      <c r="H9594">
        <f>0.00806451612903225*3.64283551561252</f>
        <v>2.9377705771068678E-2</v>
      </c>
      <c r="I9594">
        <v>2.9377705771068789E-2</v>
      </c>
    </row>
    <row r="9595" spans="1:9" x14ac:dyDescent="0.25">
      <c r="A9595">
        <v>397</v>
      </c>
      <c r="B9595" t="s">
        <v>3012</v>
      </c>
      <c r="C9595" t="s">
        <v>138</v>
      </c>
      <c r="D9595" t="s">
        <v>600</v>
      </c>
      <c r="E9595">
        <f t="shared" si="450"/>
        <v>8.0645161290322578E-3</v>
      </c>
      <c r="F9595">
        <v>102</v>
      </c>
      <c r="G9595">
        <f>LOG(382/(102+1))</f>
        <v>0.56922613820653656</v>
      </c>
      <c r="H9595">
        <f>0.00806451612903225*1.31069162037693</f>
        <v>1.0570093712717167E-2</v>
      </c>
      <c r="I9595">
        <v>1.0570093712717251E-2</v>
      </c>
    </row>
    <row r="9596" spans="1:9" x14ac:dyDescent="0.25">
      <c r="A9596">
        <v>397</v>
      </c>
      <c r="B9596" t="s">
        <v>3012</v>
      </c>
      <c r="C9596" t="s">
        <v>138</v>
      </c>
      <c r="D9596" t="s">
        <v>315</v>
      </c>
      <c r="E9596">
        <f t="shared" si="450"/>
        <v>8.0645161290322578E-3</v>
      </c>
      <c r="F9596">
        <v>55</v>
      </c>
      <c r="G9596">
        <f>LOG(382/(55+1))</f>
        <v>0.83387533590550833</v>
      </c>
      <c r="H9596">
        <f>0.00806451612903225*1.92006891787142</f>
        <v>1.5484426757027565E-2</v>
      </c>
      <c r="I9596">
        <v>1.5484426757027631E-2</v>
      </c>
    </row>
    <row r="9597" spans="1:9" x14ac:dyDescent="0.25">
      <c r="A9597">
        <v>397</v>
      </c>
      <c r="B9597" t="s">
        <v>3012</v>
      </c>
      <c r="C9597" t="s">
        <v>138</v>
      </c>
      <c r="D9597" t="s">
        <v>938</v>
      </c>
      <c r="E9597">
        <f t="shared" si="450"/>
        <v>8.0645161290322578E-3</v>
      </c>
      <c r="F9597">
        <v>6</v>
      </c>
      <c r="G9597">
        <f>LOG(382/(6+1))</f>
        <v>1.736965322897452</v>
      </c>
      <c r="H9597">
        <f>0.00806451612903225*3.99951045955126</f>
        <v>3.2254116609284317E-2</v>
      </c>
      <c r="I9597">
        <v>3.2254116609284372E-2</v>
      </c>
    </row>
    <row r="9598" spans="1:9" x14ac:dyDescent="0.25">
      <c r="A9598">
        <v>397</v>
      </c>
      <c r="B9598" t="s">
        <v>3012</v>
      </c>
      <c r="C9598" t="s">
        <v>138</v>
      </c>
      <c r="D9598" t="s">
        <v>939</v>
      </c>
      <c r="E9598">
        <f t="shared" si="450"/>
        <v>8.0645161290322578E-3</v>
      </c>
      <c r="F9598">
        <v>35</v>
      </c>
      <c r="G9598">
        <f>LOG(382/(35+1))</f>
        <v>1.0257608621444214</v>
      </c>
      <c r="H9598">
        <f>0.00806451612903225*2.36190167015046</f>
        <v>1.9047594114116592E-2</v>
      </c>
      <c r="I9598">
        <v>1.9047594114116651E-2</v>
      </c>
    </row>
    <row r="9599" spans="1:9" x14ac:dyDescent="0.25">
      <c r="A9599">
        <v>397</v>
      </c>
      <c r="B9599" t="s">
        <v>3012</v>
      </c>
      <c r="C9599" t="s">
        <v>138</v>
      </c>
      <c r="D9599" t="s">
        <v>1714</v>
      </c>
      <c r="E9599">
        <f t="shared" si="450"/>
        <v>8.0645161290322578E-3</v>
      </c>
      <c r="F9599">
        <v>9</v>
      </c>
      <c r="G9599">
        <f>LOG(382/(9+1))</f>
        <v>1.5820633629117087</v>
      </c>
      <c r="H9599">
        <f>0.00806451612903225*3.64283551561252</f>
        <v>2.9377705771068678E-2</v>
      </c>
      <c r="I9599">
        <v>2.9377705771068789E-2</v>
      </c>
    </row>
    <row r="9600" spans="1:9" x14ac:dyDescent="0.25">
      <c r="A9600">
        <v>397</v>
      </c>
      <c r="B9600" t="s">
        <v>3012</v>
      </c>
      <c r="C9600" t="s">
        <v>138</v>
      </c>
      <c r="D9600" t="s">
        <v>520</v>
      </c>
      <c r="E9600">
        <f t="shared" si="450"/>
        <v>8.0645161290322578E-3</v>
      </c>
      <c r="F9600">
        <v>25</v>
      </c>
      <c r="G9600">
        <f>LOG(382/(25+1))</f>
        <v>1.1670900149408907</v>
      </c>
      <c r="H9600">
        <f>0.00806451612903225*2.68732407058509</f>
        <v>2.1671968311170058E-2</v>
      </c>
      <c r="I9600">
        <v>2.167196831117011E-2</v>
      </c>
    </row>
    <row r="9601" spans="1:9" x14ac:dyDescent="0.25">
      <c r="A9601">
        <v>397</v>
      </c>
      <c r="B9601" t="s">
        <v>3012</v>
      </c>
      <c r="C9601" t="s">
        <v>138</v>
      </c>
      <c r="D9601" t="s">
        <v>767</v>
      </c>
      <c r="E9601">
        <f>2/124</f>
        <v>1.6129032258064516E-2</v>
      </c>
      <c r="F9601">
        <v>47</v>
      </c>
      <c r="G9601">
        <f>LOG(382/(47+1))</f>
        <v>0.90082212553612151</v>
      </c>
      <c r="H9601">
        <f>0.0161290322580645*2.07421959769868</f>
        <v>3.3455154801591579E-2</v>
      </c>
      <c r="I9601">
        <v>3.3455154801591683E-2</v>
      </c>
    </row>
    <row r="9602" spans="1:9" x14ac:dyDescent="0.25">
      <c r="A9602">
        <v>397</v>
      </c>
      <c r="B9602" t="s">
        <v>3012</v>
      </c>
      <c r="C9602" t="s">
        <v>138</v>
      </c>
      <c r="D9602" t="s">
        <v>1130</v>
      </c>
      <c r="E9602">
        <f>1/124</f>
        <v>8.0645161290322578E-3</v>
      </c>
      <c r="F9602">
        <v>12</v>
      </c>
      <c r="G9602">
        <f>LOG(382/(12+1))</f>
        <v>1.468120010604872</v>
      </c>
      <c r="H9602">
        <f>0.00806451612903225*3.38047125114503</f>
        <v>2.7261864928588921E-2</v>
      </c>
      <c r="I9602">
        <v>2.7261864928589018E-2</v>
      </c>
    </row>
    <row r="9603" spans="1:9" x14ac:dyDescent="0.25">
      <c r="A9603">
        <v>397</v>
      </c>
      <c r="B9603" t="s">
        <v>3012</v>
      </c>
      <c r="C9603" t="s">
        <v>138</v>
      </c>
      <c r="D9603" t="s">
        <v>1525</v>
      </c>
      <c r="E9603">
        <f>1/124</f>
        <v>8.0645161290322578E-3</v>
      </c>
      <c r="F9603">
        <v>8</v>
      </c>
      <c r="G9603">
        <f>LOG(382/(8+1))</f>
        <v>1.6278208534723839</v>
      </c>
      <c r="H9603">
        <f>0.00806451612903225*3.74819603127035</f>
        <v>3.0227387348954401E-2</v>
      </c>
      <c r="I9603">
        <v>3.0227387348954481E-2</v>
      </c>
    </row>
    <row r="9604" spans="1:9" x14ac:dyDescent="0.25">
      <c r="A9604">
        <v>397</v>
      </c>
      <c r="B9604" t="s">
        <v>3012</v>
      </c>
      <c r="C9604" t="s">
        <v>138</v>
      </c>
      <c r="D9604" t="s">
        <v>89</v>
      </c>
      <c r="E9604">
        <f>1/124</f>
        <v>8.0645161290322578E-3</v>
      </c>
      <c r="F9604">
        <v>40</v>
      </c>
      <c r="G9604">
        <f>LOG(382/(40+1))</f>
        <v>0.96927950619197323</v>
      </c>
      <c r="H9604">
        <f>0.00806451612903225*2.23184854190226</f>
        <v>1.799877856372788E-2</v>
      </c>
      <c r="I9604">
        <v>1.799877856372796E-2</v>
      </c>
    </row>
    <row r="9605" spans="1:9" x14ac:dyDescent="0.25">
      <c r="A9605">
        <v>397</v>
      </c>
      <c r="B9605" t="s">
        <v>3012</v>
      </c>
      <c r="C9605" t="s">
        <v>138</v>
      </c>
      <c r="D9605" t="s">
        <v>340</v>
      </c>
      <c r="E9605">
        <f>2/124</f>
        <v>1.6129032258064516E-2</v>
      </c>
      <c r="F9605">
        <v>28</v>
      </c>
      <c r="G9605">
        <f>LOG(382/(28+1))</f>
        <v>1.1196653650127526</v>
      </c>
      <c r="H9605">
        <f>0.0161290322580645*2.5781247786201</f>
        <v>4.1582657719678985E-2</v>
      </c>
      <c r="I9605">
        <v>4.1582657719679048E-2</v>
      </c>
    </row>
    <row r="9606" spans="1:9" x14ac:dyDescent="0.25">
      <c r="A9606">
        <v>397</v>
      </c>
      <c r="B9606" t="s">
        <v>3012</v>
      </c>
      <c r="C9606" t="s">
        <v>138</v>
      </c>
      <c r="D9606" t="s">
        <v>339</v>
      </c>
      <c r="E9606">
        <f t="shared" ref="E9606:E9611" si="451">1/124</f>
        <v>8.0645161290322578E-3</v>
      </c>
      <c r="F9606">
        <v>66</v>
      </c>
      <c r="G9606">
        <f>LOG(382/(66+1))</f>
        <v>0.75598856021088234</v>
      </c>
      <c r="H9606">
        <f>0.00806451612903225*1.7407279892156</f>
        <v>1.4038128945287082E-2</v>
      </c>
      <c r="I9606">
        <v>1.403812894528717E-2</v>
      </c>
    </row>
    <row r="9607" spans="1:9" x14ac:dyDescent="0.25">
      <c r="A9607">
        <v>397</v>
      </c>
      <c r="B9607" t="s">
        <v>3012</v>
      </c>
      <c r="C9607" t="s">
        <v>138</v>
      </c>
      <c r="D9607" t="s">
        <v>147</v>
      </c>
      <c r="E9607">
        <f t="shared" si="451"/>
        <v>8.0645161290322578E-3</v>
      </c>
      <c r="F9607">
        <v>48</v>
      </c>
      <c r="G9607">
        <f>LOG(382/(48+1))</f>
        <v>0.89186728288319506</v>
      </c>
      <c r="H9607">
        <f>0.00806451612903225*2.05360031049594</f>
        <v>1.6561292826580143E-2</v>
      </c>
      <c r="I9607">
        <v>1.656129282658023E-2</v>
      </c>
    </row>
    <row r="9608" spans="1:9" x14ac:dyDescent="0.25">
      <c r="A9608">
        <v>397</v>
      </c>
      <c r="B9608" t="s">
        <v>3012</v>
      </c>
      <c r="C9608" t="s">
        <v>138</v>
      </c>
      <c r="D9608" t="s">
        <v>432</v>
      </c>
      <c r="E9608">
        <f t="shared" si="451"/>
        <v>8.0645161290322578E-3</v>
      </c>
      <c r="F9608">
        <v>67</v>
      </c>
      <c r="G9608">
        <f>LOG(382/(67+1))</f>
        <v>0.7495544502054724</v>
      </c>
      <c r="H9608">
        <f>0.00806451612903225*1.72591290343046</f>
        <v>1.3918652447019824E-2</v>
      </c>
      <c r="I9608">
        <v>1.3918652447019911E-2</v>
      </c>
    </row>
    <row r="9609" spans="1:9" x14ac:dyDescent="0.25">
      <c r="A9609">
        <v>397</v>
      </c>
      <c r="B9609" t="s">
        <v>3012</v>
      </c>
      <c r="C9609" t="s">
        <v>138</v>
      </c>
      <c r="D9609" t="s">
        <v>1473</v>
      </c>
      <c r="E9609">
        <f t="shared" si="451"/>
        <v>8.0645161290322578E-3</v>
      </c>
      <c r="F9609">
        <v>39</v>
      </c>
      <c r="G9609">
        <f>LOG(382/(39+1))</f>
        <v>0.9800033715837464</v>
      </c>
      <c r="H9609">
        <f>0.00806451612903225*2.25654115449263</f>
        <v>1.8197912536230869E-2</v>
      </c>
      <c r="I9609">
        <v>1.8197912536230959E-2</v>
      </c>
    </row>
    <row r="9610" spans="1:9" x14ac:dyDescent="0.25">
      <c r="A9610">
        <v>397</v>
      </c>
      <c r="B9610" t="s">
        <v>3012</v>
      </c>
      <c r="C9610" t="s">
        <v>138</v>
      </c>
      <c r="D9610" t="s">
        <v>720</v>
      </c>
      <c r="E9610">
        <f t="shared" si="451"/>
        <v>8.0645161290322578E-3</v>
      </c>
      <c r="F9610">
        <v>9</v>
      </c>
      <c r="G9610">
        <f>LOG(382/(9+1))</f>
        <v>1.5820633629117087</v>
      </c>
      <c r="H9610">
        <f>0.00806451612903225*3.64283551561252</f>
        <v>2.9377705771068678E-2</v>
      </c>
      <c r="I9610">
        <v>2.9377705771068789E-2</v>
      </c>
    </row>
    <row r="9611" spans="1:9" x14ac:dyDescent="0.25">
      <c r="A9611">
        <v>397</v>
      </c>
      <c r="B9611" t="s">
        <v>3012</v>
      </c>
      <c r="C9611" t="s">
        <v>138</v>
      </c>
      <c r="D9611" t="s">
        <v>2193</v>
      </c>
      <c r="E9611">
        <f t="shared" si="451"/>
        <v>8.0645161290322578E-3</v>
      </c>
      <c r="F9611">
        <v>4</v>
      </c>
      <c r="G9611">
        <f>LOG(382/(4+1))</f>
        <v>1.8830933585756899</v>
      </c>
      <c r="H9611">
        <f>0.00806451612903225*4.33598269617247</f>
        <v>3.4967602388487624E-2</v>
      </c>
      <c r="I9611">
        <v>3.4967602388487701E-2</v>
      </c>
    </row>
    <row r="9612" spans="1:9" x14ac:dyDescent="0.25">
      <c r="A9612">
        <v>398</v>
      </c>
      <c r="B9612" t="s">
        <v>3018</v>
      </c>
      <c r="C9612" t="s">
        <v>10</v>
      </c>
      <c r="D9612" t="s">
        <v>1255</v>
      </c>
      <c r="E9612">
        <f>1/28</f>
        <v>3.5714285714285712E-2</v>
      </c>
      <c r="F9612">
        <v>12</v>
      </c>
      <c r="G9612">
        <f>LOG(382/(12+1))</f>
        <v>1.468120010604872</v>
      </c>
      <c r="H9612">
        <f>0.0357142857142857*3.38047125114503</f>
        <v>0.12073111611232246</v>
      </c>
      <c r="I9612">
        <v>0.1207311161123228</v>
      </c>
    </row>
    <row r="9613" spans="1:9" x14ac:dyDescent="0.25">
      <c r="A9613">
        <v>398</v>
      </c>
      <c r="B9613" t="s">
        <v>3018</v>
      </c>
      <c r="C9613" t="s">
        <v>10</v>
      </c>
      <c r="D9613" t="s">
        <v>3019</v>
      </c>
      <c r="E9613">
        <f>2/28</f>
        <v>7.1428571428571425E-2</v>
      </c>
      <c r="F9613">
        <v>1</v>
      </c>
      <c r="G9613">
        <f>LOG(382/(1+1))</f>
        <v>2.2810333672477277</v>
      </c>
      <c r="H9613">
        <f>0.0714285714285714*5.25227342804663</f>
        <v>0.37516238771761623</v>
      </c>
      <c r="I9613">
        <v>0.3751623877176164</v>
      </c>
    </row>
    <row r="9614" spans="1:9" x14ac:dyDescent="0.25">
      <c r="A9614">
        <v>398</v>
      </c>
      <c r="B9614" t="s">
        <v>3018</v>
      </c>
      <c r="C9614" t="s">
        <v>10</v>
      </c>
      <c r="D9614" t="s">
        <v>3020</v>
      </c>
      <c r="E9614">
        <f>2/28</f>
        <v>7.1428571428571425E-2</v>
      </c>
      <c r="F9614">
        <v>1</v>
      </c>
      <c r="G9614">
        <f>LOG(382/(1+1))</f>
        <v>2.2810333672477277</v>
      </c>
      <c r="H9614">
        <f>0.0714285714285714*5.25227342804663</f>
        <v>0.37516238771761623</v>
      </c>
      <c r="I9614">
        <v>0.3751623877176164</v>
      </c>
    </row>
    <row r="9615" spans="1:9" x14ac:dyDescent="0.25">
      <c r="A9615">
        <v>398</v>
      </c>
      <c r="B9615" t="s">
        <v>3018</v>
      </c>
      <c r="C9615" t="s">
        <v>10</v>
      </c>
      <c r="D9615" t="s">
        <v>911</v>
      </c>
      <c r="E9615">
        <f>2/28</f>
        <v>7.1428571428571425E-2</v>
      </c>
      <c r="F9615">
        <v>22</v>
      </c>
      <c r="G9615">
        <f>LOG(382/(22+1))</f>
        <v>1.2203355268941158</v>
      </c>
      <c r="H9615">
        <f>0.0714285714285714*2.80992639267742</f>
        <v>0.20070902804838706</v>
      </c>
      <c r="I9615">
        <v>0.2007090280483875</v>
      </c>
    </row>
    <row r="9616" spans="1:9" x14ac:dyDescent="0.25">
      <c r="A9616">
        <v>398</v>
      </c>
      <c r="B9616" t="s">
        <v>3018</v>
      </c>
      <c r="C9616" t="s">
        <v>10</v>
      </c>
      <c r="D9616" t="s">
        <v>11</v>
      </c>
      <c r="E9616">
        <f>2/28</f>
        <v>7.1428571428571425E-2</v>
      </c>
      <c r="F9616">
        <v>83</v>
      </c>
      <c r="G9616">
        <f>LOG(382/(83+1))</f>
        <v>0.65778407684982709</v>
      </c>
      <c r="H9616">
        <f>0.0714285714285714*1.51460380976326</f>
        <v>0.10818598641166137</v>
      </c>
      <c r="I9616">
        <v>0.10818598641166149</v>
      </c>
    </row>
    <row r="9617" spans="1:9" x14ac:dyDescent="0.25">
      <c r="A9617">
        <v>398</v>
      </c>
      <c r="B9617" t="s">
        <v>3018</v>
      </c>
      <c r="C9617" t="s">
        <v>10</v>
      </c>
      <c r="D9617" t="s">
        <v>186</v>
      </c>
      <c r="E9617">
        <f>2/28</f>
        <v>7.1428571428571425E-2</v>
      </c>
      <c r="F9617">
        <v>5</v>
      </c>
      <c r="G9617">
        <f>LOG(382/(5+1))</f>
        <v>1.803912112528065</v>
      </c>
      <c r="H9617">
        <f>0.0714285714285714*4.15366113937852</f>
        <v>0.29669008138417985</v>
      </c>
      <c r="I9617">
        <v>0.29669008138418002</v>
      </c>
    </row>
    <row r="9618" spans="1:9" x14ac:dyDescent="0.25">
      <c r="A9618">
        <v>398</v>
      </c>
      <c r="B9618" t="s">
        <v>3018</v>
      </c>
      <c r="C9618" t="s">
        <v>10</v>
      </c>
      <c r="D9618" t="s">
        <v>42</v>
      </c>
      <c r="E9618">
        <f>1/28</f>
        <v>3.5714285714285712E-2</v>
      </c>
      <c r="F9618">
        <v>251</v>
      </c>
      <c r="G9618">
        <f>LOG(382/(251+1))</f>
        <v>0.18066282213016463</v>
      </c>
      <c r="H9618">
        <f>0.0357142857142857*0.415991521095151</f>
        <v>1.4856840039112529E-2</v>
      </c>
      <c r="I9618">
        <v>1.485684003911257E-2</v>
      </c>
    </row>
    <row r="9619" spans="1:9" x14ac:dyDescent="0.25">
      <c r="A9619">
        <v>398</v>
      </c>
      <c r="B9619" t="s">
        <v>3018</v>
      </c>
      <c r="C9619" t="s">
        <v>10</v>
      </c>
      <c r="D9619" t="s">
        <v>68</v>
      </c>
      <c r="E9619">
        <f>1/28</f>
        <v>3.5714285714285712E-2</v>
      </c>
      <c r="F9619">
        <v>43</v>
      </c>
      <c r="G9619">
        <f>LOG(382/(43+1))</f>
        <v>0.93861068642552126</v>
      </c>
      <c r="H9619">
        <f>0.0357142857142857*2.16123097468831</f>
        <v>7.7186820524582464E-2</v>
      </c>
      <c r="I9619">
        <v>7.7186820524582631E-2</v>
      </c>
    </row>
    <row r="9620" spans="1:9" x14ac:dyDescent="0.25">
      <c r="A9620">
        <v>398</v>
      </c>
      <c r="B9620" t="s">
        <v>3018</v>
      </c>
      <c r="C9620" t="s">
        <v>10</v>
      </c>
      <c r="D9620" t="s">
        <v>44</v>
      </c>
      <c r="E9620">
        <f>2/28</f>
        <v>7.1428571428571425E-2</v>
      </c>
      <c r="F9620">
        <v>151</v>
      </c>
      <c r="G9620">
        <f>LOG(382/(151+1))</f>
        <v>0.40021977496693617</v>
      </c>
      <c r="H9620">
        <f>0.0714285714285714*0.921540087760298</f>
        <v>6.5824291982878397E-2</v>
      </c>
      <c r="I9620">
        <v>6.582429198287848E-2</v>
      </c>
    </row>
    <row r="9621" spans="1:9" x14ac:dyDescent="0.25">
      <c r="A9621">
        <v>398</v>
      </c>
      <c r="B9621" t="s">
        <v>3018</v>
      </c>
      <c r="C9621" t="s">
        <v>10</v>
      </c>
      <c r="D9621" t="s">
        <v>69</v>
      </c>
      <c r="E9621">
        <f t="shared" ref="E9621:E9633" si="452">1/28</f>
        <v>3.5714285714285712E-2</v>
      </c>
      <c r="F9621">
        <v>13</v>
      </c>
      <c r="G9621">
        <f>LOG(382/(13+1))</f>
        <v>1.4359353272334707</v>
      </c>
      <c r="H9621">
        <f>0.0357142857142857*3.30636327899131</f>
        <v>0.11808440282111816</v>
      </c>
      <c r="I9621">
        <v>0.1180844028211184</v>
      </c>
    </row>
    <row r="9622" spans="1:9" x14ac:dyDescent="0.25">
      <c r="A9622">
        <v>398</v>
      </c>
      <c r="B9622" t="s">
        <v>3018</v>
      </c>
      <c r="C9622" t="s">
        <v>10</v>
      </c>
      <c r="D9622" t="s">
        <v>15</v>
      </c>
      <c r="E9622">
        <f t="shared" si="452"/>
        <v>3.5714285714285712E-2</v>
      </c>
      <c r="F9622">
        <v>112</v>
      </c>
      <c r="G9622">
        <f>LOG(382/(112+1))</f>
        <v>0.52898491942828896</v>
      </c>
      <c r="H9622">
        <f>0.0357142857142857*1.21803278989423</f>
        <v>4.3501171067651057E-2</v>
      </c>
      <c r="I9622">
        <v>4.3501171067651237E-2</v>
      </c>
    </row>
    <row r="9623" spans="1:9" x14ac:dyDescent="0.25">
      <c r="A9623">
        <v>398</v>
      </c>
      <c r="B9623" t="s">
        <v>3018</v>
      </c>
      <c r="C9623" t="s">
        <v>10</v>
      </c>
      <c r="D9623" t="s">
        <v>17</v>
      </c>
      <c r="E9623">
        <f t="shared" si="452"/>
        <v>3.5714285714285712E-2</v>
      </c>
      <c r="F9623">
        <v>169</v>
      </c>
      <c r="G9623">
        <f>LOG(382/(169+1))</f>
        <v>0.3516144415334348</v>
      </c>
      <c r="H9623">
        <f>0.0357142857142857*0.809622171556313</f>
        <v>2.8915077555582595E-2</v>
      </c>
      <c r="I9623">
        <v>2.8915077555582619E-2</v>
      </c>
    </row>
    <row r="9624" spans="1:9" x14ac:dyDescent="0.25">
      <c r="A9624">
        <v>398</v>
      </c>
      <c r="B9624" t="s">
        <v>3018</v>
      </c>
      <c r="C9624" t="s">
        <v>10</v>
      </c>
      <c r="D9624" t="s">
        <v>250</v>
      </c>
      <c r="E9624">
        <f t="shared" si="452"/>
        <v>3.5714285714285712E-2</v>
      </c>
      <c r="F9624">
        <v>14</v>
      </c>
      <c r="G9624">
        <f>LOG(382/(14+1))</f>
        <v>1.4059721038560276</v>
      </c>
      <c r="H9624">
        <f>0.0357142857142857*3.23737040750436</f>
        <v>0.11562037169658423</v>
      </c>
      <c r="I9624">
        <v>0.1156203716965845</v>
      </c>
    </row>
    <row r="9625" spans="1:9" x14ac:dyDescent="0.25">
      <c r="A9625">
        <v>398</v>
      </c>
      <c r="B9625" t="s">
        <v>3018</v>
      </c>
      <c r="C9625" t="s">
        <v>10</v>
      </c>
      <c r="D9625" t="s">
        <v>729</v>
      </c>
      <c r="E9625">
        <f t="shared" si="452"/>
        <v>3.5714285714285712E-2</v>
      </c>
      <c r="F9625">
        <v>4</v>
      </c>
      <c r="G9625">
        <f>LOG(382/(4+1))</f>
        <v>1.8830933585756899</v>
      </c>
      <c r="H9625">
        <f>0.0357142857142857*4.33598269617247</f>
        <v>0.15485652486330245</v>
      </c>
      <c r="I9625">
        <v>0.1548565248633027</v>
      </c>
    </row>
    <row r="9626" spans="1:9" x14ac:dyDescent="0.25">
      <c r="A9626">
        <v>398</v>
      </c>
      <c r="B9626" t="s">
        <v>3018</v>
      </c>
      <c r="C9626" t="s">
        <v>10</v>
      </c>
      <c r="D9626" t="s">
        <v>19</v>
      </c>
      <c r="E9626">
        <f t="shared" si="452"/>
        <v>3.5714285714285712E-2</v>
      </c>
      <c r="F9626">
        <v>220</v>
      </c>
      <c r="G9626">
        <f>LOG(382/(220+1))</f>
        <v>0.23767108922659805</v>
      </c>
      <c r="H9626">
        <f>0.0357142857142857*0.547257907088822</f>
        <v>1.9544925253172207E-2</v>
      </c>
      <c r="I9626">
        <v>1.9544925253172231E-2</v>
      </c>
    </row>
    <row r="9627" spans="1:9" x14ac:dyDescent="0.25">
      <c r="A9627">
        <v>398</v>
      </c>
      <c r="B9627" t="s">
        <v>3018</v>
      </c>
      <c r="C9627" t="s">
        <v>10</v>
      </c>
      <c r="D9627" t="s">
        <v>39</v>
      </c>
      <c r="E9627">
        <f t="shared" si="452"/>
        <v>3.5714285714285712E-2</v>
      </c>
      <c r="F9627">
        <v>145</v>
      </c>
      <c r="G9627">
        <f>LOG(382/(145+1))</f>
        <v>0.41771050712727159</v>
      </c>
      <c r="H9627">
        <f>0.0357142857142857*0.961813986898238</f>
        <v>3.4350499532079914E-2</v>
      </c>
      <c r="I9627">
        <v>3.4350499532079949E-2</v>
      </c>
    </row>
    <row r="9628" spans="1:9" x14ac:dyDescent="0.25">
      <c r="A9628">
        <v>398</v>
      </c>
      <c r="B9628" t="s">
        <v>3018</v>
      </c>
      <c r="C9628" t="s">
        <v>10</v>
      </c>
      <c r="D9628" t="s">
        <v>1181</v>
      </c>
      <c r="E9628">
        <f t="shared" si="452"/>
        <v>3.5714285714285712E-2</v>
      </c>
      <c r="F9628">
        <v>11</v>
      </c>
      <c r="G9628">
        <f>LOG(382/(11+1))</f>
        <v>1.5028821168640838</v>
      </c>
      <c r="H9628">
        <f>0.0357142857142857*3.46051395881857</f>
        <v>0.12358978424352031</v>
      </c>
      <c r="I9628">
        <v>0.1235897842435205</v>
      </c>
    </row>
    <row r="9629" spans="1:9" x14ac:dyDescent="0.25">
      <c r="A9629">
        <v>398</v>
      </c>
      <c r="B9629" t="s">
        <v>3018</v>
      </c>
      <c r="C9629" t="s">
        <v>10</v>
      </c>
      <c r="D9629" t="s">
        <v>236</v>
      </c>
      <c r="E9629">
        <f t="shared" si="452"/>
        <v>3.5714285714285712E-2</v>
      </c>
      <c r="F9629">
        <v>87</v>
      </c>
      <c r="G9629">
        <f>LOG(382/(87+1))</f>
        <v>0.63758069076154011</v>
      </c>
      <c r="H9629">
        <f>0.0357142857142857*1.46808379412836</f>
        <v>5.2431564076012835E-2</v>
      </c>
      <c r="I9629">
        <v>5.2431564076013161E-2</v>
      </c>
    </row>
    <row r="9630" spans="1:9" x14ac:dyDescent="0.25">
      <c r="A9630">
        <v>398</v>
      </c>
      <c r="B9630" t="s">
        <v>3018</v>
      </c>
      <c r="C9630" t="s">
        <v>10</v>
      </c>
      <c r="D9630" t="s">
        <v>219</v>
      </c>
      <c r="E9630">
        <f t="shared" si="452"/>
        <v>3.5714285714285712E-2</v>
      </c>
      <c r="F9630">
        <v>19</v>
      </c>
      <c r="G9630">
        <f>LOG(382/(19+1))</f>
        <v>1.2810333672477277</v>
      </c>
      <c r="H9630">
        <f>0.0357142857142857*2.94968833505258</f>
        <v>0.10534601196616353</v>
      </c>
      <c r="I9630">
        <v>0.10534601196616369</v>
      </c>
    </row>
    <row r="9631" spans="1:9" x14ac:dyDescent="0.25">
      <c r="A9631">
        <v>398</v>
      </c>
      <c r="B9631" t="s">
        <v>3018</v>
      </c>
      <c r="C9631" t="s">
        <v>10</v>
      </c>
      <c r="D9631" t="s">
        <v>25</v>
      </c>
      <c r="E9631">
        <f t="shared" si="452"/>
        <v>3.5714285714285712E-2</v>
      </c>
      <c r="F9631">
        <v>106</v>
      </c>
      <c r="G9631">
        <f>LOG(382/(106+1))</f>
        <v>0.55267958522649907</v>
      </c>
      <c r="H9631">
        <f>0.0357142857142857*1.27259177414466</f>
        <v>4.5449706219452123E-2</v>
      </c>
      <c r="I9631">
        <v>4.5449706219452463E-2</v>
      </c>
    </row>
    <row r="9632" spans="1:9" x14ac:dyDescent="0.25">
      <c r="A9632">
        <v>398</v>
      </c>
      <c r="B9632" t="s">
        <v>3018</v>
      </c>
      <c r="C9632" t="s">
        <v>10</v>
      </c>
      <c r="D9632" t="s">
        <v>3021</v>
      </c>
      <c r="E9632">
        <f t="shared" si="452"/>
        <v>3.5714285714285712E-2</v>
      </c>
      <c r="F9632">
        <v>1</v>
      </c>
      <c r="G9632">
        <f>LOG(382/(1+1))</f>
        <v>2.2810333672477277</v>
      </c>
      <c r="H9632">
        <f>0.0357142857142857*5.25227342804663</f>
        <v>0.18758119385880812</v>
      </c>
      <c r="I9632">
        <v>0.1875811938588082</v>
      </c>
    </row>
    <row r="9633" spans="1:9" x14ac:dyDescent="0.25">
      <c r="A9633">
        <v>398</v>
      </c>
      <c r="B9633" t="s">
        <v>3018</v>
      </c>
      <c r="C9633" t="s">
        <v>10</v>
      </c>
      <c r="D9633" t="s">
        <v>379</v>
      </c>
      <c r="E9633">
        <f t="shared" si="452"/>
        <v>3.5714285714285712E-2</v>
      </c>
      <c r="F9633">
        <v>17</v>
      </c>
      <c r="G9633">
        <f>LOG(382/(17+1))</f>
        <v>1.3267908578084027</v>
      </c>
      <c r="H9633">
        <f>0.0357142857142857*3.05504885071041</f>
        <v>0.10910888752537173</v>
      </c>
      <c r="I9633">
        <v>0.1091088875253718</v>
      </c>
    </row>
    <row r="9634" spans="1:9" x14ac:dyDescent="0.25">
      <c r="A9634">
        <v>399</v>
      </c>
      <c r="B9634" t="s">
        <v>3022</v>
      </c>
      <c r="C9634" t="s">
        <v>10</v>
      </c>
      <c r="D9634" t="s">
        <v>3023</v>
      </c>
      <c r="E9634">
        <f>6/124</f>
        <v>4.8387096774193547E-2</v>
      </c>
      <c r="F9634">
        <v>2</v>
      </c>
      <c r="G9634">
        <f>LOG(382/(2+1))</f>
        <v>2.1049421081920463</v>
      </c>
      <c r="H9634">
        <f>0.0483870967741935*4.84680831993846</f>
        <v>0.23452298322282847</v>
      </c>
      <c r="I9634">
        <v>0.234522983222829</v>
      </c>
    </row>
    <row r="9635" spans="1:9" x14ac:dyDescent="0.25">
      <c r="A9635">
        <v>399</v>
      </c>
      <c r="B9635" t="s">
        <v>3022</v>
      </c>
      <c r="C9635" t="s">
        <v>10</v>
      </c>
      <c r="D9635" t="s">
        <v>3024</v>
      </c>
      <c r="E9635">
        <f>5/124</f>
        <v>4.0322580645161289E-2</v>
      </c>
      <c r="F9635">
        <v>1</v>
      </c>
      <c r="G9635">
        <f>LOG(382/(1+1))</f>
        <v>2.2810333672477277</v>
      </c>
      <c r="H9635">
        <f>0.0403225806451612*5.25227342804663</f>
        <v>0.21178521887284749</v>
      </c>
      <c r="I9635">
        <v>0.21178521887284801</v>
      </c>
    </row>
    <row r="9636" spans="1:9" x14ac:dyDescent="0.25">
      <c r="A9636">
        <v>399</v>
      </c>
      <c r="B9636" t="s">
        <v>3022</v>
      </c>
      <c r="C9636" t="s">
        <v>10</v>
      </c>
      <c r="D9636" t="s">
        <v>3025</v>
      </c>
      <c r="E9636">
        <f>2/124</f>
        <v>1.6129032258064516E-2</v>
      </c>
      <c r="F9636">
        <v>2</v>
      </c>
      <c r="G9636">
        <f>LOG(382/(2+1))</f>
        <v>2.1049421081920463</v>
      </c>
      <c r="H9636">
        <f>0.0161290322580645*4.84680831993846</f>
        <v>7.8174327740942823E-2</v>
      </c>
      <c r="I9636">
        <v>7.8174327740942989E-2</v>
      </c>
    </row>
    <row r="9637" spans="1:9" x14ac:dyDescent="0.25">
      <c r="A9637">
        <v>399</v>
      </c>
      <c r="B9637" t="s">
        <v>3022</v>
      </c>
      <c r="C9637" t="s">
        <v>10</v>
      </c>
      <c r="D9637" t="s">
        <v>274</v>
      </c>
      <c r="E9637">
        <f>2/124</f>
        <v>1.6129032258064516E-2</v>
      </c>
      <c r="F9637">
        <v>3</v>
      </c>
      <c r="G9637">
        <f>LOG(382/(3+1))</f>
        <v>1.9800033715837464</v>
      </c>
      <c r="H9637">
        <f>0.0161290322580645*4.55912624748668</f>
        <v>7.353429431430121E-2</v>
      </c>
      <c r="I9637">
        <v>7.3534294314301363E-2</v>
      </c>
    </row>
    <row r="9638" spans="1:9" x14ac:dyDescent="0.25">
      <c r="A9638">
        <v>399</v>
      </c>
      <c r="B9638" t="s">
        <v>3022</v>
      </c>
      <c r="C9638" t="s">
        <v>10</v>
      </c>
      <c r="D9638" t="s">
        <v>871</v>
      </c>
      <c r="E9638">
        <f>4/124</f>
        <v>3.2258064516129031E-2</v>
      </c>
      <c r="F9638">
        <v>9</v>
      </c>
      <c r="G9638">
        <f>LOG(382/(9+1))</f>
        <v>1.5820633629117087</v>
      </c>
      <c r="H9638">
        <f>0.032258064516129*3.64283551561252</f>
        <v>0.11751082308427471</v>
      </c>
      <c r="I9638">
        <v>0.1175108230842751</v>
      </c>
    </row>
    <row r="9639" spans="1:9" x14ac:dyDescent="0.25">
      <c r="A9639">
        <v>399</v>
      </c>
      <c r="B9639" t="s">
        <v>3022</v>
      </c>
      <c r="C9639" t="s">
        <v>10</v>
      </c>
      <c r="D9639" t="s">
        <v>953</v>
      </c>
      <c r="E9639">
        <f>3/124</f>
        <v>2.4193548387096774E-2</v>
      </c>
      <c r="F9639">
        <v>16</v>
      </c>
      <c r="G9639">
        <f>LOG(382/(16+1))</f>
        <v>1.3516144415334348</v>
      </c>
      <c r="H9639">
        <f>0.0241935483870967*3.11220726455035</f>
        <v>7.5295337045572744E-2</v>
      </c>
      <c r="I9639">
        <v>7.5295337045573202E-2</v>
      </c>
    </row>
    <row r="9640" spans="1:9" x14ac:dyDescent="0.25">
      <c r="A9640">
        <v>399</v>
      </c>
      <c r="B9640" t="s">
        <v>3022</v>
      </c>
      <c r="C9640" t="s">
        <v>10</v>
      </c>
      <c r="D9640" t="s">
        <v>1417</v>
      </c>
      <c r="E9640">
        <f>1/124</f>
        <v>8.0645161290322578E-3</v>
      </c>
      <c r="F9640">
        <v>2</v>
      </c>
      <c r="G9640">
        <f>LOG(382/(2+1))</f>
        <v>2.1049421081920463</v>
      </c>
      <c r="H9640">
        <f>0.00806451612903225*4.84680831993846</f>
        <v>3.9087163870471411E-2</v>
      </c>
      <c r="I9640">
        <v>3.9087163870471488E-2</v>
      </c>
    </row>
    <row r="9641" spans="1:9" x14ac:dyDescent="0.25">
      <c r="A9641">
        <v>399</v>
      </c>
      <c r="B9641" t="s">
        <v>3022</v>
      </c>
      <c r="C9641" t="s">
        <v>10</v>
      </c>
      <c r="D9641" t="s">
        <v>629</v>
      </c>
      <c r="E9641">
        <f>1/124</f>
        <v>8.0645161290322578E-3</v>
      </c>
      <c r="F9641">
        <v>2</v>
      </c>
      <c r="G9641">
        <f>LOG(382/(2+1))</f>
        <v>2.1049421081920463</v>
      </c>
      <c r="H9641">
        <f>0.00806451612903225*4.84680831993846</f>
        <v>3.9087163870471411E-2</v>
      </c>
      <c r="I9641">
        <v>3.9087163870471488E-2</v>
      </c>
    </row>
    <row r="9642" spans="1:9" x14ac:dyDescent="0.25">
      <c r="A9642">
        <v>399</v>
      </c>
      <c r="B9642" t="s">
        <v>3022</v>
      </c>
      <c r="C9642" t="s">
        <v>10</v>
      </c>
      <c r="D9642" t="s">
        <v>3026</v>
      </c>
      <c r="E9642">
        <f>1/124</f>
        <v>8.0645161290322578E-3</v>
      </c>
      <c r="F9642">
        <v>1</v>
      </c>
      <c r="G9642">
        <f>LOG(382/(1+1))</f>
        <v>2.2810333672477277</v>
      </c>
      <c r="H9642">
        <f>0.00806451612903225*5.25227342804663</f>
        <v>4.2357043774569551E-2</v>
      </c>
      <c r="I9642">
        <v>4.2357043774569593E-2</v>
      </c>
    </row>
    <row r="9643" spans="1:9" x14ac:dyDescent="0.25">
      <c r="A9643">
        <v>399</v>
      </c>
      <c r="B9643" t="s">
        <v>3022</v>
      </c>
      <c r="C9643" t="s">
        <v>10</v>
      </c>
      <c r="D9643" t="s">
        <v>3027</v>
      </c>
      <c r="E9643">
        <f>2/124</f>
        <v>1.6129032258064516E-2</v>
      </c>
      <c r="F9643">
        <v>1</v>
      </c>
      <c r="G9643">
        <f>LOG(382/(1+1))</f>
        <v>2.2810333672477277</v>
      </c>
      <c r="H9643">
        <f>0.0161290322580645*5.25227342804663</f>
        <v>8.4714087549139103E-2</v>
      </c>
      <c r="I9643">
        <v>8.4714087549139186E-2</v>
      </c>
    </row>
    <row r="9644" spans="1:9" x14ac:dyDescent="0.25">
      <c r="A9644">
        <v>399</v>
      </c>
      <c r="B9644" t="s">
        <v>3022</v>
      </c>
      <c r="C9644" t="s">
        <v>10</v>
      </c>
      <c r="D9644" t="s">
        <v>3028</v>
      </c>
      <c r="E9644">
        <f>5/124</f>
        <v>4.0322580645161289E-2</v>
      </c>
      <c r="F9644">
        <v>1</v>
      </c>
      <c r="G9644">
        <f>LOG(382/(1+1))</f>
        <v>2.2810333672477277</v>
      </c>
      <c r="H9644">
        <f>0.0403225806451612*5.25227342804663</f>
        <v>0.21178521887284749</v>
      </c>
      <c r="I9644">
        <v>0.21178521887284801</v>
      </c>
    </row>
    <row r="9645" spans="1:9" x14ac:dyDescent="0.25">
      <c r="A9645">
        <v>399</v>
      </c>
      <c r="B9645" t="s">
        <v>3022</v>
      </c>
      <c r="C9645" t="s">
        <v>10</v>
      </c>
      <c r="D9645" t="s">
        <v>17</v>
      </c>
      <c r="E9645">
        <f>1/124</f>
        <v>8.0645161290322578E-3</v>
      </c>
      <c r="F9645">
        <v>169</v>
      </c>
      <c r="G9645">
        <f>LOG(382/(169+1))</f>
        <v>0.3516144415334348</v>
      </c>
      <c r="H9645">
        <f>0.00806451612903225*0.809622171556313</f>
        <v>6.5292110609380012E-3</v>
      </c>
      <c r="I9645">
        <v>6.5292110609380116E-3</v>
      </c>
    </row>
    <row r="9646" spans="1:9" x14ac:dyDescent="0.25">
      <c r="A9646">
        <v>399</v>
      </c>
      <c r="B9646" t="s">
        <v>3022</v>
      </c>
      <c r="C9646" t="s">
        <v>10</v>
      </c>
      <c r="D9646" t="s">
        <v>920</v>
      </c>
      <c r="E9646">
        <f>2/124</f>
        <v>1.6129032258064516E-2</v>
      </c>
      <c r="F9646">
        <v>30</v>
      </c>
      <c r="G9646">
        <f>LOG(382/(30+1))</f>
        <v>1.090701669077436</v>
      </c>
      <c r="H9646">
        <f>0.0161290322580645*2.51143340412142</f>
        <v>4.0506990389055121E-2</v>
      </c>
      <c r="I9646">
        <v>4.0506990389055308E-2</v>
      </c>
    </row>
    <row r="9647" spans="1:9" x14ac:dyDescent="0.25">
      <c r="A9647">
        <v>399</v>
      </c>
      <c r="B9647" t="s">
        <v>3022</v>
      </c>
      <c r="C9647" t="s">
        <v>10</v>
      </c>
      <c r="D9647" t="s">
        <v>19</v>
      </c>
      <c r="E9647">
        <f>1/124</f>
        <v>8.0645161290322578E-3</v>
      </c>
      <c r="F9647">
        <v>220</v>
      </c>
      <c r="G9647">
        <f>LOG(382/(220+1))</f>
        <v>0.23767108922659805</v>
      </c>
      <c r="H9647">
        <f>0.00806451612903225*0.547257907088822</f>
        <v>4.4133702184582374E-3</v>
      </c>
      <c r="I9647">
        <v>4.4133702184582452E-3</v>
      </c>
    </row>
    <row r="9648" spans="1:9" x14ac:dyDescent="0.25">
      <c r="A9648">
        <v>399</v>
      </c>
      <c r="B9648" t="s">
        <v>3022</v>
      </c>
      <c r="C9648" t="s">
        <v>10</v>
      </c>
      <c r="D9648" t="s">
        <v>44</v>
      </c>
      <c r="E9648">
        <f>4/124</f>
        <v>3.2258064516129031E-2</v>
      </c>
      <c r="F9648">
        <v>151</v>
      </c>
      <c r="G9648">
        <f>LOG(382/(151+1))</f>
        <v>0.40021977496693617</v>
      </c>
      <c r="H9648">
        <f>0.032258064516129*0.921540087760298</f>
        <v>2.9727099605170872E-2</v>
      </c>
      <c r="I9648">
        <v>2.9727099605170931E-2</v>
      </c>
    </row>
    <row r="9649" spans="1:9" x14ac:dyDescent="0.25">
      <c r="A9649">
        <v>399</v>
      </c>
      <c r="B9649" t="s">
        <v>3022</v>
      </c>
      <c r="C9649" t="s">
        <v>10</v>
      </c>
      <c r="D9649" t="s">
        <v>60</v>
      </c>
      <c r="E9649">
        <f>2/124</f>
        <v>1.6129032258064516E-2</v>
      </c>
      <c r="F9649">
        <v>24</v>
      </c>
      <c r="G9649">
        <f>LOG(382/(24+1))</f>
        <v>1.1841233542396712</v>
      </c>
      <c r="H9649">
        <f>0.0161290322580645*2.72654478373837</f>
        <v>4.3976528769973655E-2</v>
      </c>
      <c r="I9649">
        <v>4.397652876997378E-2</v>
      </c>
    </row>
    <row r="9650" spans="1:9" x14ac:dyDescent="0.25">
      <c r="A9650">
        <v>399</v>
      </c>
      <c r="B9650" t="s">
        <v>3022</v>
      </c>
      <c r="C9650" t="s">
        <v>10</v>
      </c>
      <c r="D9650" t="s">
        <v>1414</v>
      </c>
      <c r="E9650">
        <f t="shared" ref="E9650:E9658" si="453">1/124</f>
        <v>8.0645161290322578E-3</v>
      </c>
      <c r="F9650">
        <v>3</v>
      </c>
      <c r="G9650">
        <f>LOG(382/(3+1))</f>
        <v>1.9800033715837464</v>
      </c>
      <c r="H9650">
        <f>0.00806451612903225*4.55912624748668</f>
        <v>3.6767147157150605E-2</v>
      </c>
      <c r="I9650">
        <v>3.6767147157150681E-2</v>
      </c>
    </row>
    <row r="9651" spans="1:9" x14ac:dyDescent="0.25">
      <c r="A9651">
        <v>399</v>
      </c>
      <c r="B9651" t="s">
        <v>3022</v>
      </c>
      <c r="C9651" t="s">
        <v>10</v>
      </c>
      <c r="D9651" t="s">
        <v>3029</v>
      </c>
      <c r="E9651">
        <f t="shared" si="453"/>
        <v>8.0645161290322578E-3</v>
      </c>
      <c r="F9651">
        <v>1</v>
      </c>
      <c r="G9651">
        <f>LOG(382/(1+1))</f>
        <v>2.2810333672477277</v>
      </c>
      <c r="H9651">
        <f>0.00806451612903225*5.25227342804663</f>
        <v>4.2357043774569551E-2</v>
      </c>
      <c r="I9651">
        <v>4.2357043774569593E-2</v>
      </c>
    </row>
    <row r="9652" spans="1:9" x14ac:dyDescent="0.25">
      <c r="A9652">
        <v>399</v>
      </c>
      <c r="B9652" t="s">
        <v>3022</v>
      </c>
      <c r="C9652" t="s">
        <v>10</v>
      </c>
      <c r="D9652" t="s">
        <v>1480</v>
      </c>
      <c r="E9652">
        <f t="shared" si="453"/>
        <v>8.0645161290322578E-3</v>
      </c>
      <c r="F9652">
        <v>11</v>
      </c>
      <c r="G9652">
        <f>LOG(382/(11+1))</f>
        <v>1.5028821168640838</v>
      </c>
      <c r="H9652">
        <f>0.00806451612903225*3.46051395881857</f>
        <v>2.7907370635633599E-2</v>
      </c>
      <c r="I9652">
        <v>2.7907370635633671E-2</v>
      </c>
    </row>
    <row r="9653" spans="1:9" x14ac:dyDescent="0.25">
      <c r="A9653">
        <v>399</v>
      </c>
      <c r="B9653" t="s">
        <v>3022</v>
      </c>
      <c r="C9653" t="s">
        <v>10</v>
      </c>
      <c r="D9653" t="s">
        <v>3030</v>
      </c>
      <c r="E9653">
        <f t="shared" si="453"/>
        <v>8.0645161290322578E-3</v>
      </c>
      <c r="F9653">
        <v>1</v>
      </c>
      <c r="G9653">
        <f>LOG(382/(1+1))</f>
        <v>2.2810333672477277</v>
      </c>
      <c r="H9653">
        <f>0.00806451612903225*5.25227342804663</f>
        <v>4.2357043774569551E-2</v>
      </c>
      <c r="I9653">
        <v>4.2357043774569593E-2</v>
      </c>
    </row>
    <row r="9654" spans="1:9" x14ac:dyDescent="0.25">
      <c r="A9654">
        <v>399</v>
      </c>
      <c r="B9654" t="s">
        <v>3022</v>
      </c>
      <c r="C9654" t="s">
        <v>10</v>
      </c>
      <c r="D9654" t="s">
        <v>3031</v>
      </c>
      <c r="E9654">
        <f t="shared" si="453"/>
        <v>8.0645161290322578E-3</v>
      </c>
      <c r="F9654">
        <v>1</v>
      </c>
      <c r="G9654">
        <f>LOG(382/(1+1))</f>
        <v>2.2810333672477277</v>
      </c>
      <c r="H9654">
        <f>0.00806451612903225*5.25227342804663</f>
        <v>4.2357043774569551E-2</v>
      </c>
      <c r="I9654">
        <v>4.2357043774569593E-2</v>
      </c>
    </row>
    <row r="9655" spans="1:9" x14ac:dyDescent="0.25">
      <c r="A9655">
        <v>399</v>
      </c>
      <c r="B9655" t="s">
        <v>3022</v>
      </c>
      <c r="C9655" t="s">
        <v>10</v>
      </c>
      <c r="D9655" t="s">
        <v>533</v>
      </c>
      <c r="E9655">
        <f t="shared" si="453"/>
        <v>8.0645161290322578E-3</v>
      </c>
      <c r="F9655">
        <v>8</v>
      </c>
      <c r="G9655">
        <f>LOG(382/(8+1))</f>
        <v>1.6278208534723839</v>
      </c>
      <c r="H9655">
        <f>0.00806451612903225*3.74819603127035</f>
        <v>3.0227387348954401E-2</v>
      </c>
      <c r="I9655">
        <v>3.0227387348954481E-2</v>
      </c>
    </row>
    <row r="9656" spans="1:9" x14ac:dyDescent="0.25">
      <c r="A9656">
        <v>399</v>
      </c>
      <c r="B9656" t="s">
        <v>3022</v>
      </c>
      <c r="C9656" t="s">
        <v>10</v>
      </c>
      <c r="D9656" t="s">
        <v>3032</v>
      </c>
      <c r="E9656">
        <f t="shared" si="453"/>
        <v>8.0645161290322578E-3</v>
      </c>
      <c r="F9656">
        <v>1</v>
      </c>
      <c r="G9656">
        <f>LOG(382/(1+1))</f>
        <v>2.2810333672477277</v>
      </c>
      <c r="H9656">
        <f>0.00806451612903225*5.25227342804663</f>
        <v>4.2357043774569551E-2</v>
      </c>
      <c r="I9656">
        <v>4.2357043774569593E-2</v>
      </c>
    </row>
    <row r="9657" spans="1:9" x14ac:dyDescent="0.25">
      <c r="A9657">
        <v>399</v>
      </c>
      <c r="B9657" t="s">
        <v>3022</v>
      </c>
      <c r="C9657" t="s">
        <v>10</v>
      </c>
      <c r="D9657" t="s">
        <v>1349</v>
      </c>
      <c r="E9657">
        <f t="shared" si="453"/>
        <v>8.0645161290322578E-3</v>
      </c>
      <c r="F9657">
        <v>7</v>
      </c>
      <c r="G9657">
        <f>LOG(382/(7+1))</f>
        <v>1.6789733759197651</v>
      </c>
      <c r="H9657">
        <f>0.00806451612903225*3.86597906692673</f>
        <v>3.1177250539731662E-2</v>
      </c>
      <c r="I9657">
        <v>3.117725053973177E-2</v>
      </c>
    </row>
    <row r="9658" spans="1:9" x14ac:dyDescent="0.25">
      <c r="A9658">
        <v>399</v>
      </c>
      <c r="B9658" t="s">
        <v>3022</v>
      </c>
      <c r="C9658" t="s">
        <v>10</v>
      </c>
      <c r="D9658" t="s">
        <v>3033</v>
      </c>
      <c r="E9658">
        <f t="shared" si="453"/>
        <v>8.0645161290322578E-3</v>
      </c>
      <c r="F9658">
        <v>2</v>
      </c>
      <c r="G9658">
        <f>LOG(382/(2+1))</f>
        <v>2.1049421081920463</v>
      </c>
      <c r="H9658">
        <f>0.00806451612903225*4.84680831993846</f>
        <v>3.9087163870471411E-2</v>
      </c>
      <c r="I9658">
        <v>3.9087163870471488E-2</v>
      </c>
    </row>
    <row r="9659" spans="1:9" x14ac:dyDescent="0.25">
      <c r="A9659">
        <v>399</v>
      </c>
      <c r="B9659" t="s">
        <v>3022</v>
      </c>
      <c r="C9659" t="s">
        <v>10</v>
      </c>
      <c r="D9659" t="s">
        <v>68</v>
      </c>
      <c r="E9659">
        <f>6/124</f>
        <v>4.8387096774193547E-2</v>
      </c>
      <c r="F9659">
        <v>43</v>
      </c>
      <c r="G9659">
        <f>LOG(382/(43+1))</f>
        <v>0.93861068642552126</v>
      </c>
      <c r="H9659">
        <f>0.0483870967741935*2.16123097468831</f>
        <v>0.10457569232362779</v>
      </c>
      <c r="I9659">
        <v>0.10457569232362809</v>
      </c>
    </row>
    <row r="9660" spans="1:9" x14ac:dyDescent="0.25">
      <c r="A9660">
        <v>399</v>
      </c>
      <c r="B9660" t="s">
        <v>3022</v>
      </c>
      <c r="C9660" t="s">
        <v>10</v>
      </c>
      <c r="D9660" t="s">
        <v>2713</v>
      </c>
      <c r="E9660">
        <f>2/124</f>
        <v>1.6129032258064516E-2</v>
      </c>
      <c r="F9660">
        <v>4</v>
      </c>
      <c r="G9660">
        <f>LOG(382/(4+1))</f>
        <v>1.8830933585756899</v>
      </c>
      <c r="H9660">
        <f>0.0161290322580645*4.33598269617247</f>
        <v>6.9935204776975249E-2</v>
      </c>
      <c r="I9660">
        <v>6.9935204776975401E-2</v>
      </c>
    </row>
    <row r="9661" spans="1:9" x14ac:dyDescent="0.25">
      <c r="A9661">
        <v>399</v>
      </c>
      <c r="B9661" t="s">
        <v>3022</v>
      </c>
      <c r="C9661" t="s">
        <v>10</v>
      </c>
      <c r="D9661" t="s">
        <v>2737</v>
      </c>
      <c r="E9661">
        <f>1/124</f>
        <v>8.0645161290322578E-3</v>
      </c>
      <c r="F9661">
        <v>2</v>
      </c>
      <c r="G9661">
        <f>LOG(382/(2+1))</f>
        <v>2.1049421081920463</v>
      </c>
      <c r="H9661">
        <f>0.00806451612903225*4.84680831993846</f>
        <v>3.9087163870471411E-2</v>
      </c>
      <c r="I9661">
        <v>3.9087163870471488E-2</v>
      </c>
    </row>
    <row r="9662" spans="1:9" x14ac:dyDescent="0.25">
      <c r="A9662">
        <v>399</v>
      </c>
      <c r="B9662" t="s">
        <v>3022</v>
      </c>
      <c r="C9662" t="s">
        <v>10</v>
      </c>
      <c r="D9662" t="s">
        <v>263</v>
      </c>
      <c r="E9662">
        <f>1/124</f>
        <v>8.0645161290322578E-3</v>
      </c>
      <c r="F9662">
        <v>41</v>
      </c>
      <c r="G9662">
        <f>LOG(382/(41+1))</f>
        <v>0.95881407251380824</v>
      </c>
      <c r="H9662">
        <f>0.00806451612903225*2.2077509903232</f>
        <v>1.7804443470348368E-2</v>
      </c>
      <c r="I9662">
        <v>1.780444347034844E-2</v>
      </c>
    </row>
    <row r="9663" spans="1:9" x14ac:dyDescent="0.25">
      <c r="A9663">
        <v>399</v>
      </c>
      <c r="B9663" t="s">
        <v>3022</v>
      </c>
      <c r="C9663" t="s">
        <v>10</v>
      </c>
      <c r="D9663" t="s">
        <v>3034</v>
      </c>
      <c r="E9663">
        <f>1/124</f>
        <v>8.0645161290322578E-3</v>
      </c>
      <c r="F9663">
        <v>1</v>
      </c>
      <c r="G9663">
        <f>LOG(382/(1+1))</f>
        <v>2.2810333672477277</v>
      </c>
      <c r="H9663">
        <f>0.00806451612903225*5.25227342804663</f>
        <v>4.2357043774569551E-2</v>
      </c>
      <c r="I9663">
        <v>4.2357043774569593E-2</v>
      </c>
    </row>
    <row r="9664" spans="1:9" x14ac:dyDescent="0.25">
      <c r="A9664">
        <v>399</v>
      </c>
      <c r="B9664" t="s">
        <v>3022</v>
      </c>
      <c r="C9664" t="s">
        <v>10</v>
      </c>
      <c r="D9664" t="s">
        <v>3035</v>
      </c>
      <c r="E9664">
        <f>1/124</f>
        <v>8.0645161290322578E-3</v>
      </c>
      <c r="F9664">
        <v>1</v>
      </c>
      <c r="G9664">
        <f>LOG(382/(1+1))</f>
        <v>2.2810333672477277</v>
      </c>
      <c r="H9664">
        <f>0.00806451612903225*5.25227342804663</f>
        <v>4.2357043774569551E-2</v>
      </c>
      <c r="I9664">
        <v>4.2357043774569593E-2</v>
      </c>
    </row>
    <row r="9665" spans="1:9" x14ac:dyDescent="0.25">
      <c r="A9665">
        <v>399</v>
      </c>
      <c r="B9665" t="s">
        <v>3022</v>
      </c>
      <c r="C9665" t="s">
        <v>10</v>
      </c>
      <c r="D9665" t="s">
        <v>3036</v>
      </c>
      <c r="E9665">
        <f>2/124</f>
        <v>1.6129032258064516E-2</v>
      </c>
      <c r="F9665">
        <v>1</v>
      </c>
      <c r="G9665">
        <f>LOG(382/(1+1))</f>
        <v>2.2810333672477277</v>
      </c>
      <c r="H9665">
        <f>0.0161290322580645*5.25227342804663</f>
        <v>8.4714087549139103E-2</v>
      </c>
      <c r="I9665">
        <v>8.4714087549139186E-2</v>
      </c>
    </row>
    <row r="9666" spans="1:9" x14ac:dyDescent="0.25">
      <c r="A9666">
        <v>399</v>
      </c>
      <c r="B9666" t="s">
        <v>3022</v>
      </c>
      <c r="C9666" t="s">
        <v>10</v>
      </c>
      <c r="D9666" t="s">
        <v>923</v>
      </c>
      <c r="E9666">
        <f>1/124</f>
        <v>8.0645161290322578E-3</v>
      </c>
      <c r="F9666">
        <v>2</v>
      </c>
      <c r="G9666">
        <f>LOG(382/(2+1))</f>
        <v>2.1049421081920463</v>
      </c>
      <c r="H9666">
        <f>0.00806451612903225*4.84680831993846</f>
        <v>3.9087163870471411E-2</v>
      </c>
      <c r="I9666">
        <v>3.9087163870471488E-2</v>
      </c>
    </row>
    <row r="9667" spans="1:9" x14ac:dyDescent="0.25">
      <c r="A9667">
        <v>399</v>
      </c>
      <c r="B9667" t="s">
        <v>3022</v>
      </c>
      <c r="C9667" t="s">
        <v>10</v>
      </c>
      <c r="D9667" t="s">
        <v>1509</v>
      </c>
      <c r="E9667">
        <f>1/124</f>
        <v>8.0645161290322578E-3</v>
      </c>
      <c r="F9667">
        <v>2</v>
      </c>
      <c r="G9667">
        <f>LOG(382/(2+1))</f>
        <v>2.1049421081920463</v>
      </c>
      <c r="H9667">
        <f>0.00806451612903225*4.84680831993846</f>
        <v>3.9087163870471411E-2</v>
      </c>
      <c r="I9667">
        <v>3.9087163870471488E-2</v>
      </c>
    </row>
    <row r="9668" spans="1:9" x14ac:dyDescent="0.25">
      <c r="A9668">
        <v>399</v>
      </c>
      <c r="B9668" t="s">
        <v>3022</v>
      </c>
      <c r="C9668" t="s">
        <v>10</v>
      </c>
      <c r="D9668" t="s">
        <v>3037</v>
      </c>
      <c r="E9668">
        <f>1/124</f>
        <v>8.0645161290322578E-3</v>
      </c>
      <c r="F9668">
        <v>1</v>
      </c>
      <c r="G9668">
        <f>LOG(382/(1+1))</f>
        <v>2.2810333672477277</v>
      </c>
      <c r="H9668">
        <f>0.00806451612903225*5.25227342804663</f>
        <v>4.2357043774569551E-2</v>
      </c>
      <c r="I9668">
        <v>4.2357043774569593E-2</v>
      </c>
    </row>
    <row r="9669" spans="1:9" x14ac:dyDescent="0.25">
      <c r="A9669">
        <v>399</v>
      </c>
      <c r="B9669" t="s">
        <v>3022</v>
      </c>
      <c r="C9669" t="s">
        <v>10</v>
      </c>
      <c r="D9669" t="s">
        <v>59</v>
      </c>
      <c r="E9669">
        <f>1/124</f>
        <v>8.0645161290322578E-3</v>
      </c>
      <c r="F9669">
        <v>13</v>
      </c>
      <c r="G9669">
        <f>LOG(382/(13+1))</f>
        <v>1.4359353272334707</v>
      </c>
      <c r="H9669">
        <f>0.00806451612903225*3.30636327899131</f>
        <v>2.6664219991865374E-2</v>
      </c>
      <c r="I9669">
        <v>2.666421999186545E-2</v>
      </c>
    </row>
    <row r="9670" spans="1:9" x14ac:dyDescent="0.25">
      <c r="A9670">
        <v>399</v>
      </c>
      <c r="B9670" t="s">
        <v>3022</v>
      </c>
      <c r="C9670" t="s">
        <v>10</v>
      </c>
      <c r="D9670" t="s">
        <v>11</v>
      </c>
      <c r="E9670">
        <f>2/124</f>
        <v>1.6129032258064516E-2</v>
      </c>
      <c r="F9670">
        <v>83</v>
      </c>
      <c r="G9670">
        <f>LOG(382/(83+1))</f>
        <v>0.65778407684982709</v>
      </c>
      <c r="H9670">
        <f>0.0161290322580645*1.51460380976326</f>
        <v>2.4429093705859006E-2</v>
      </c>
      <c r="I9670">
        <v>2.4429093705859051E-2</v>
      </c>
    </row>
    <row r="9671" spans="1:9" x14ac:dyDescent="0.25">
      <c r="A9671">
        <v>399</v>
      </c>
      <c r="B9671" t="s">
        <v>3022</v>
      </c>
      <c r="C9671" t="s">
        <v>10</v>
      </c>
      <c r="D9671" t="s">
        <v>40</v>
      </c>
      <c r="E9671">
        <f>3/124</f>
        <v>2.4193548387096774E-2</v>
      </c>
      <c r="F9671">
        <v>159</v>
      </c>
      <c r="G9671">
        <f>LOG(382/(159+1))</f>
        <v>0.377943380255784</v>
      </c>
      <c r="H9671">
        <f>0.0241935483870967*0.870246793372748</f>
        <v>2.1054357904179324E-2</v>
      </c>
      <c r="I9671">
        <v>2.105435790417939E-2</v>
      </c>
    </row>
    <row r="9672" spans="1:9" x14ac:dyDescent="0.25">
      <c r="A9672">
        <v>399</v>
      </c>
      <c r="B9672" t="s">
        <v>3022</v>
      </c>
      <c r="C9672" t="s">
        <v>10</v>
      </c>
      <c r="D9672" t="s">
        <v>41</v>
      </c>
      <c r="E9672">
        <f>2/124</f>
        <v>1.6129032258064516E-2</v>
      </c>
      <c r="F9672">
        <v>195</v>
      </c>
      <c r="G9672">
        <f>LOG(382/(195+1))</f>
        <v>0.28980729155523272</v>
      </c>
      <c r="H9672">
        <f>0.0161290322580645*0.667305949376058</f>
        <v>1.0762999183484796E-2</v>
      </c>
      <c r="I9672">
        <v>1.0762999183484809E-2</v>
      </c>
    </row>
    <row r="9673" spans="1:9" x14ac:dyDescent="0.25">
      <c r="A9673">
        <v>399</v>
      </c>
      <c r="B9673" t="s">
        <v>3022</v>
      </c>
      <c r="C9673" t="s">
        <v>10</v>
      </c>
      <c r="D9673" t="s">
        <v>190</v>
      </c>
      <c r="E9673">
        <f>1/124</f>
        <v>8.0645161290322578E-3</v>
      </c>
      <c r="F9673">
        <v>23</v>
      </c>
      <c r="G9673">
        <f>LOG(382/(23+1))</f>
        <v>1.2018521212001028</v>
      </c>
      <c r="H9673">
        <f>0.00806451612903225*2.76736677825862</f>
        <v>2.2317474018214656E-2</v>
      </c>
      <c r="I9673">
        <v>2.2317474018214749E-2</v>
      </c>
    </row>
    <row r="9674" spans="1:9" x14ac:dyDescent="0.25">
      <c r="A9674">
        <v>399</v>
      </c>
      <c r="B9674" t="s">
        <v>3022</v>
      </c>
      <c r="C9674" t="s">
        <v>10</v>
      </c>
      <c r="D9674" t="s">
        <v>66</v>
      </c>
      <c r="E9674">
        <f>1/124</f>
        <v>8.0645161290322578E-3</v>
      </c>
      <c r="F9674">
        <v>3</v>
      </c>
      <c r="G9674">
        <f>LOG(382/(3+1))</f>
        <v>1.9800033715837464</v>
      </c>
      <c r="H9674">
        <f>0.00806451612903225*4.55912624748668</f>
        <v>3.6767147157150605E-2</v>
      </c>
      <c r="I9674">
        <v>3.6767147157150681E-2</v>
      </c>
    </row>
    <row r="9675" spans="1:9" x14ac:dyDescent="0.25">
      <c r="A9675">
        <v>399</v>
      </c>
      <c r="B9675" t="s">
        <v>3022</v>
      </c>
      <c r="C9675" t="s">
        <v>10</v>
      </c>
      <c r="D9675" t="s">
        <v>368</v>
      </c>
      <c r="E9675">
        <f>1/124</f>
        <v>8.0645161290322578E-3</v>
      </c>
      <c r="F9675">
        <v>17</v>
      </c>
      <c r="G9675">
        <f>LOG(382/(17+1))</f>
        <v>1.3267908578084027</v>
      </c>
      <c r="H9675">
        <f>0.00806451612903225*3.05504885071041</f>
        <v>2.4637490731535535E-2</v>
      </c>
      <c r="I9675">
        <v>2.463749073153557E-2</v>
      </c>
    </row>
    <row r="9676" spans="1:9" x14ac:dyDescent="0.25">
      <c r="A9676">
        <v>399</v>
      </c>
      <c r="B9676" t="s">
        <v>3022</v>
      </c>
      <c r="C9676" t="s">
        <v>10</v>
      </c>
      <c r="D9676" t="s">
        <v>731</v>
      </c>
      <c r="E9676">
        <f>2/124</f>
        <v>1.6129032258064516E-2</v>
      </c>
      <c r="F9676">
        <v>7</v>
      </c>
      <c r="G9676">
        <f>LOG(382/(7+1))</f>
        <v>1.6789733759197651</v>
      </c>
      <c r="H9676">
        <f>0.0161290322580645*3.86597906692673</f>
        <v>6.2354501079463324E-2</v>
      </c>
      <c r="I9676">
        <v>6.2354501079463533E-2</v>
      </c>
    </row>
    <row r="9677" spans="1:9" x14ac:dyDescent="0.25">
      <c r="A9677">
        <v>399</v>
      </c>
      <c r="B9677" t="s">
        <v>3022</v>
      </c>
      <c r="C9677" t="s">
        <v>10</v>
      </c>
      <c r="D9677" t="s">
        <v>335</v>
      </c>
      <c r="E9677">
        <f>2/124</f>
        <v>1.6129032258064516E-2</v>
      </c>
      <c r="F9677">
        <v>7</v>
      </c>
      <c r="G9677">
        <f>LOG(382/(7+1))</f>
        <v>1.6789733759197651</v>
      </c>
      <c r="H9677">
        <f>0.0161290322580645*3.86597906692673</f>
        <v>6.2354501079463324E-2</v>
      </c>
      <c r="I9677">
        <v>6.2354501079463533E-2</v>
      </c>
    </row>
    <row r="9678" spans="1:9" x14ac:dyDescent="0.25">
      <c r="A9678">
        <v>399</v>
      </c>
      <c r="B9678" t="s">
        <v>3022</v>
      </c>
      <c r="C9678" t="s">
        <v>10</v>
      </c>
      <c r="D9678" t="s">
        <v>932</v>
      </c>
      <c r="E9678">
        <f>1/124</f>
        <v>8.0645161290322578E-3</v>
      </c>
      <c r="F9678">
        <v>35</v>
      </c>
      <c r="G9678">
        <f>LOG(382/(35+1))</f>
        <v>1.0257608621444214</v>
      </c>
      <c r="H9678">
        <f>0.00806451612903225*2.36190167015046</f>
        <v>1.9047594114116592E-2</v>
      </c>
      <c r="I9678">
        <v>1.9047594114116651E-2</v>
      </c>
    </row>
    <row r="9679" spans="1:9" x14ac:dyDescent="0.25">
      <c r="A9679">
        <v>399</v>
      </c>
      <c r="B9679" t="s">
        <v>3022</v>
      </c>
      <c r="C9679" t="s">
        <v>10</v>
      </c>
      <c r="D9679" t="s">
        <v>3038</v>
      </c>
      <c r="E9679">
        <f>1/124</f>
        <v>8.0645161290322578E-3</v>
      </c>
      <c r="F9679">
        <v>1</v>
      </c>
      <c r="G9679">
        <f>LOG(382/(1+1))</f>
        <v>2.2810333672477277</v>
      </c>
      <c r="H9679">
        <f>0.00806451612903225*5.25227342804663</f>
        <v>4.2357043774569551E-2</v>
      </c>
      <c r="I9679">
        <v>4.2357043774569593E-2</v>
      </c>
    </row>
    <row r="9680" spans="1:9" x14ac:dyDescent="0.25">
      <c r="A9680">
        <v>399</v>
      </c>
      <c r="B9680" t="s">
        <v>3022</v>
      </c>
      <c r="C9680" t="s">
        <v>10</v>
      </c>
      <c r="D9680" t="s">
        <v>131</v>
      </c>
      <c r="E9680">
        <f>2/124</f>
        <v>1.6129032258064516E-2</v>
      </c>
      <c r="F9680">
        <v>38</v>
      </c>
      <c r="G9680">
        <f>LOG(382/(38+1))</f>
        <v>0.99099875588520958</v>
      </c>
      <c r="H9680">
        <f>0.0161290322580645*2.28185896247692</f>
        <v>3.680417681414383E-2</v>
      </c>
      <c r="I9680">
        <v>3.6804176814144017E-2</v>
      </c>
    </row>
    <row r="9681" spans="1:9" x14ac:dyDescent="0.25">
      <c r="A9681">
        <v>399</v>
      </c>
      <c r="B9681" t="s">
        <v>3022</v>
      </c>
      <c r="C9681" t="s">
        <v>10</v>
      </c>
      <c r="D9681" t="s">
        <v>50</v>
      </c>
      <c r="E9681">
        <f t="shared" ref="E9681:E9696" si="454">1/124</f>
        <v>8.0645161290322578E-3</v>
      </c>
      <c r="F9681">
        <v>109</v>
      </c>
      <c r="G9681">
        <f>LOG(382/(109+1))</f>
        <v>0.54067067775348365</v>
      </c>
      <c r="H9681">
        <f>0.00806451612903225*1.24494024281415</f>
        <v>1.0039840667856037E-2</v>
      </c>
      <c r="I9681">
        <v>1.0039840667856121E-2</v>
      </c>
    </row>
    <row r="9682" spans="1:9" x14ac:dyDescent="0.25">
      <c r="A9682">
        <v>399</v>
      </c>
      <c r="B9682" t="s">
        <v>3022</v>
      </c>
      <c r="C9682" t="s">
        <v>10</v>
      </c>
      <c r="D9682" t="s">
        <v>1808</v>
      </c>
      <c r="E9682">
        <f t="shared" si="454"/>
        <v>8.0645161290322578E-3</v>
      </c>
      <c r="F9682">
        <v>10</v>
      </c>
      <c r="G9682">
        <f>LOG(382/(10+1))</f>
        <v>1.5406706777534838</v>
      </c>
      <c r="H9682">
        <f>0.00806451612903225*3.5475253358082</f>
        <v>2.8609075288775775E-2</v>
      </c>
      <c r="I9682">
        <v>2.8609075288775841E-2</v>
      </c>
    </row>
    <row r="9683" spans="1:9" x14ac:dyDescent="0.25">
      <c r="A9683">
        <v>399</v>
      </c>
      <c r="B9683" t="s">
        <v>3022</v>
      </c>
      <c r="C9683" t="s">
        <v>10</v>
      </c>
      <c r="D9683" t="s">
        <v>3039</v>
      </c>
      <c r="E9683">
        <f t="shared" si="454"/>
        <v>8.0645161290322578E-3</v>
      </c>
      <c r="F9683">
        <v>1</v>
      </c>
      <c r="G9683">
        <f>LOG(382/(1+1))</f>
        <v>2.2810333672477277</v>
      </c>
      <c r="H9683">
        <f>0.00806451612903225*5.25227342804663</f>
        <v>4.2357043774569551E-2</v>
      </c>
      <c r="I9683">
        <v>4.2357043774569593E-2</v>
      </c>
    </row>
    <row r="9684" spans="1:9" x14ac:dyDescent="0.25">
      <c r="A9684">
        <v>399</v>
      </c>
      <c r="B9684" t="s">
        <v>3022</v>
      </c>
      <c r="C9684" t="s">
        <v>10</v>
      </c>
      <c r="D9684" t="s">
        <v>620</v>
      </c>
      <c r="E9684">
        <f t="shared" si="454"/>
        <v>8.0645161290322578E-3</v>
      </c>
      <c r="F9684">
        <v>5</v>
      </c>
      <c r="G9684">
        <f>LOG(382/(5+1))</f>
        <v>1.803912112528065</v>
      </c>
      <c r="H9684">
        <f>0.00806451612903225*4.15366113937852</f>
        <v>3.3497267253052541E-2</v>
      </c>
      <c r="I9684">
        <v>3.3497267253052583E-2</v>
      </c>
    </row>
    <row r="9685" spans="1:9" x14ac:dyDescent="0.25">
      <c r="A9685">
        <v>399</v>
      </c>
      <c r="B9685" t="s">
        <v>3022</v>
      </c>
      <c r="C9685" t="s">
        <v>10</v>
      </c>
      <c r="D9685" t="s">
        <v>591</v>
      </c>
      <c r="E9685">
        <f t="shared" si="454"/>
        <v>8.0645161290322578E-3</v>
      </c>
      <c r="F9685">
        <v>21</v>
      </c>
      <c r="G9685">
        <f>LOG(382/(21+1))</f>
        <v>1.2396406820895025</v>
      </c>
      <c r="H9685">
        <f>0.00806451612903225*2.85437815524825</f>
        <v>2.3019178671356829E-2</v>
      </c>
      <c r="I9685">
        <v>2.301917867135693E-2</v>
      </c>
    </row>
    <row r="9686" spans="1:9" x14ac:dyDescent="0.25">
      <c r="A9686">
        <v>399</v>
      </c>
      <c r="B9686" t="s">
        <v>3022</v>
      </c>
      <c r="C9686" t="s">
        <v>10</v>
      </c>
      <c r="D9686" t="s">
        <v>3040</v>
      </c>
      <c r="E9686">
        <f t="shared" si="454"/>
        <v>8.0645161290322578E-3</v>
      </c>
      <c r="F9686">
        <v>1</v>
      </c>
      <c r="G9686">
        <f>LOG(382/(1+1))</f>
        <v>2.2810333672477277</v>
      </c>
      <c r="H9686">
        <f>0.00806451612903225*5.25227342804663</f>
        <v>4.2357043774569551E-2</v>
      </c>
      <c r="I9686">
        <v>4.2357043774569593E-2</v>
      </c>
    </row>
    <row r="9687" spans="1:9" x14ac:dyDescent="0.25">
      <c r="A9687">
        <v>399</v>
      </c>
      <c r="B9687" t="s">
        <v>3022</v>
      </c>
      <c r="C9687" t="s">
        <v>10</v>
      </c>
      <c r="D9687" t="s">
        <v>307</v>
      </c>
      <c r="E9687">
        <f t="shared" si="454"/>
        <v>8.0645161290322578E-3</v>
      </c>
      <c r="F9687">
        <v>67</v>
      </c>
      <c r="G9687">
        <f>LOG(382/(67+1))</f>
        <v>0.7495544502054724</v>
      </c>
      <c r="H9687">
        <f>0.00806451612903225*1.72591290343046</f>
        <v>1.3918652447019824E-2</v>
      </c>
      <c r="I9687">
        <v>1.3918652447019911E-2</v>
      </c>
    </row>
    <row r="9688" spans="1:9" x14ac:dyDescent="0.25">
      <c r="A9688">
        <v>399</v>
      </c>
      <c r="B9688" t="s">
        <v>3022</v>
      </c>
      <c r="C9688" t="s">
        <v>10</v>
      </c>
      <c r="D9688" t="s">
        <v>727</v>
      </c>
      <c r="E9688">
        <f t="shared" si="454"/>
        <v>8.0645161290322578E-3</v>
      </c>
      <c r="F9688">
        <v>9</v>
      </c>
      <c r="G9688">
        <f>LOG(382/(9+1))</f>
        <v>1.5820633629117087</v>
      </c>
      <c r="H9688">
        <f>0.00806451612903225*3.64283551561252</f>
        <v>2.9377705771068678E-2</v>
      </c>
      <c r="I9688">
        <v>2.9377705771068789E-2</v>
      </c>
    </row>
    <row r="9689" spans="1:9" x14ac:dyDescent="0.25">
      <c r="A9689">
        <v>399</v>
      </c>
      <c r="B9689" t="s">
        <v>3022</v>
      </c>
      <c r="C9689" t="s">
        <v>10</v>
      </c>
      <c r="D9689" t="s">
        <v>728</v>
      </c>
      <c r="E9689">
        <f t="shared" si="454"/>
        <v>8.0645161290322578E-3</v>
      </c>
      <c r="F9689">
        <v>9</v>
      </c>
      <c r="G9689">
        <f>LOG(382/(9+1))</f>
        <v>1.5820633629117087</v>
      </c>
      <c r="H9689">
        <f>0.00806451612903225*3.64283551561252</f>
        <v>2.9377705771068678E-2</v>
      </c>
      <c r="I9689">
        <v>2.9377705771068789E-2</v>
      </c>
    </row>
    <row r="9690" spans="1:9" x14ac:dyDescent="0.25">
      <c r="A9690">
        <v>399</v>
      </c>
      <c r="B9690" t="s">
        <v>3022</v>
      </c>
      <c r="C9690" t="s">
        <v>10</v>
      </c>
      <c r="D9690" t="s">
        <v>483</v>
      </c>
      <c r="E9690">
        <f t="shared" si="454"/>
        <v>8.0645161290322578E-3</v>
      </c>
      <c r="F9690">
        <v>61</v>
      </c>
      <c r="G9690">
        <f>LOG(382/(61+1))</f>
        <v>0.7896716734134549</v>
      </c>
      <c r="H9690">
        <f>0.00806451612903225*1.81828622356148</f>
        <v>1.4663598577108694E-2</v>
      </c>
      <c r="I9690">
        <v>1.4663598577108739E-2</v>
      </c>
    </row>
    <row r="9691" spans="1:9" x14ac:dyDescent="0.25">
      <c r="A9691">
        <v>399</v>
      </c>
      <c r="B9691" t="s">
        <v>3022</v>
      </c>
      <c r="C9691" t="s">
        <v>10</v>
      </c>
      <c r="D9691" t="s">
        <v>3041</v>
      </c>
      <c r="E9691">
        <f t="shared" si="454"/>
        <v>8.0645161290322578E-3</v>
      </c>
      <c r="F9691">
        <v>1</v>
      </c>
      <c r="G9691">
        <f>LOG(382/(1+1))</f>
        <v>2.2810333672477277</v>
      </c>
      <c r="H9691">
        <f>0.00806451612903225*5.25227342804663</f>
        <v>4.2357043774569551E-2</v>
      </c>
      <c r="I9691">
        <v>4.2357043774569593E-2</v>
      </c>
    </row>
    <row r="9692" spans="1:9" x14ac:dyDescent="0.25">
      <c r="A9692">
        <v>399</v>
      </c>
      <c r="B9692" t="s">
        <v>3022</v>
      </c>
      <c r="C9692" t="s">
        <v>10</v>
      </c>
      <c r="D9692" t="s">
        <v>3042</v>
      </c>
      <c r="E9692">
        <f t="shared" si="454"/>
        <v>8.0645161290322578E-3</v>
      </c>
      <c r="F9692">
        <v>1</v>
      </c>
      <c r="G9692">
        <f>LOG(382/(1+1))</f>
        <v>2.2810333672477277</v>
      </c>
      <c r="H9692">
        <f>0.00806451612903225*5.25227342804663</f>
        <v>4.2357043774569551E-2</v>
      </c>
      <c r="I9692">
        <v>4.2357043774569593E-2</v>
      </c>
    </row>
    <row r="9693" spans="1:9" x14ac:dyDescent="0.25">
      <c r="A9693">
        <v>399</v>
      </c>
      <c r="B9693" t="s">
        <v>3022</v>
      </c>
      <c r="C9693" t="s">
        <v>10</v>
      </c>
      <c r="D9693" t="s">
        <v>3043</v>
      </c>
      <c r="E9693">
        <f t="shared" si="454"/>
        <v>8.0645161290322578E-3</v>
      </c>
      <c r="F9693">
        <v>1</v>
      </c>
      <c r="G9693">
        <f>LOG(382/(1+1))</f>
        <v>2.2810333672477277</v>
      </c>
      <c r="H9693">
        <f>0.00806451612903225*5.25227342804663</f>
        <v>4.2357043774569551E-2</v>
      </c>
      <c r="I9693">
        <v>4.2357043774569593E-2</v>
      </c>
    </row>
    <row r="9694" spans="1:9" x14ac:dyDescent="0.25">
      <c r="A9694">
        <v>399</v>
      </c>
      <c r="B9694" t="s">
        <v>3022</v>
      </c>
      <c r="C9694" t="s">
        <v>10</v>
      </c>
      <c r="D9694" t="s">
        <v>1453</v>
      </c>
      <c r="E9694">
        <f t="shared" si="454"/>
        <v>8.0645161290322578E-3</v>
      </c>
      <c r="F9694">
        <v>23</v>
      </c>
      <c r="G9694">
        <f>LOG(382/(23+1))</f>
        <v>1.2018521212001028</v>
      </c>
      <c r="H9694">
        <f>0.00806451612903225*2.76736677825862</f>
        <v>2.2317474018214656E-2</v>
      </c>
      <c r="I9694">
        <v>2.2317474018214749E-2</v>
      </c>
    </row>
    <row r="9695" spans="1:9" x14ac:dyDescent="0.25">
      <c r="A9695">
        <v>399</v>
      </c>
      <c r="B9695" t="s">
        <v>3022</v>
      </c>
      <c r="C9695" t="s">
        <v>10</v>
      </c>
      <c r="D9695" t="s">
        <v>1328</v>
      </c>
      <c r="E9695">
        <f t="shared" si="454"/>
        <v>8.0645161290322578E-3</v>
      </c>
      <c r="F9695">
        <v>22</v>
      </c>
      <c r="G9695">
        <f>LOG(382/(22+1))</f>
        <v>1.2203355268941158</v>
      </c>
      <c r="H9695">
        <f>0.00806451612903225*2.80992639267742</f>
        <v>2.2660696715140458E-2</v>
      </c>
      <c r="I9695">
        <v>2.2660696715140531E-2</v>
      </c>
    </row>
    <row r="9696" spans="1:9" x14ac:dyDescent="0.25">
      <c r="A9696">
        <v>399</v>
      </c>
      <c r="B9696" t="s">
        <v>3022</v>
      </c>
      <c r="C9696" t="s">
        <v>10</v>
      </c>
      <c r="D9696" t="s">
        <v>730</v>
      </c>
      <c r="E9696">
        <f t="shared" si="454"/>
        <v>8.0645161290322578E-3</v>
      </c>
      <c r="F9696">
        <v>11</v>
      </c>
      <c r="G9696">
        <f>LOG(382/(11+1))</f>
        <v>1.5028821168640838</v>
      </c>
      <c r="H9696">
        <f>0.00806451612903225*3.46051395881857</f>
        <v>2.7907370635633599E-2</v>
      </c>
      <c r="I9696">
        <v>2.7907370635633671E-2</v>
      </c>
    </row>
    <row r="9697" spans="1:9" x14ac:dyDescent="0.25">
      <c r="A9697">
        <v>399</v>
      </c>
      <c r="B9697" t="s">
        <v>3022</v>
      </c>
      <c r="C9697" t="s">
        <v>10</v>
      </c>
      <c r="D9697" t="s">
        <v>1255</v>
      </c>
      <c r="E9697">
        <f>2/124</f>
        <v>1.6129032258064516E-2</v>
      </c>
      <c r="F9697">
        <v>12</v>
      </c>
      <c r="G9697">
        <f>LOG(382/(12+1))</f>
        <v>1.468120010604872</v>
      </c>
      <c r="H9697">
        <f>0.0161290322580645*3.38047125114503</f>
        <v>5.4523729857177843E-2</v>
      </c>
      <c r="I9697">
        <v>5.4523729857178037E-2</v>
      </c>
    </row>
    <row r="9698" spans="1:9" x14ac:dyDescent="0.25">
      <c r="A9698">
        <v>399</v>
      </c>
      <c r="B9698" t="s">
        <v>3022</v>
      </c>
      <c r="C9698" t="s">
        <v>10</v>
      </c>
      <c r="D9698" t="s">
        <v>3044</v>
      </c>
      <c r="E9698">
        <f>2/124</f>
        <v>1.6129032258064516E-2</v>
      </c>
      <c r="F9698">
        <v>2</v>
      </c>
      <c r="G9698">
        <f>LOG(382/(2+1))</f>
        <v>2.1049421081920463</v>
      </c>
      <c r="H9698">
        <f>0.0161290322580645*4.84680831993846</f>
        <v>7.8174327740942823E-2</v>
      </c>
      <c r="I9698">
        <v>7.8174327740942989E-2</v>
      </c>
    </row>
    <row r="9699" spans="1:9" x14ac:dyDescent="0.25">
      <c r="A9699">
        <v>399</v>
      </c>
      <c r="B9699" t="s">
        <v>3022</v>
      </c>
      <c r="C9699" t="s">
        <v>10</v>
      </c>
      <c r="D9699" t="s">
        <v>340</v>
      </c>
      <c r="E9699">
        <f t="shared" ref="E9699:E9711" si="455">1/124</f>
        <v>8.0645161290322578E-3</v>
      </c>
      <c r="F9699">
        <v>28</v>
      </c>
      <c r="G9699">
        <f>LOG(382/(28+1))</f>
        <v>1.1196653650127526</v>
      </c>
      <c r="H9699">
        <f>0.00806451612903225*2.5781247786201</f>
        <v>2.0791328859839493E-2</v>
      </c>
      <c r="I9699">
        <v>2.079132885983952E-2</v>
      </c>
    </row>
    <row r="9700" spans="1:9" x14ac:dyDescent="0.25">
      <c r="A9700">
        <v>399</v>
      </c>
      <c r="B9700" t="s">
        <v>3022</v>
      </c>
      <c r="C9700" t="s">
        <v>10</v>
      </c>
      <c r="D9700" t="s">
        <v>805</v>
      </c>
      <c r="E9700">
        <f t="shared" si="455"/>
        <v>8.0645161290322578E-3</v>
      </c>
      <c r="F9700">
        <v>19</v>
      </c>
      <c r="G9700">
        <f>LOG(382/(19+1))</f>
        <v>1.2810333672477277</v>
      </c>
      <c r="H9700">
        <f>0.00806451612903225*2.94968833505258</f>
        <v>2.3787809153649812E-2</v>
      </c>
      <c r="I9700">
        <v>2.3787809153649871E-2</v>
      </c>
    </row>
    <row r="9701" spans="1:9" x14ac:dyDescent="0.25">
      <c r="A9701">
        <v>399</v>
      </c>
      <c r="B9701" t="s">
        <v>3022</v>
      </c>
      <c r="C9701" t="s">
        <v>10</v>
      </c>
      <c r="D9701" t="s">
        <v>1433</v>
      </c>
      <c r="E9701">
        <f t="shared" si="455"/>
        <v>8.0645161290322578E-3</v>
      </c>
      <c r="F9701">
        <v>21</v>
      </c>
      <c r="G9701">
        <f>LOG(382/(21+1))</f>
        <v>1.2396406820895025</v>
      </c>
      <c r="H9701">
        <f>0.00806451612903225*2.85437815524825</f>
        <v>2.3019178671356829E-2</v>
      </c>
      <c r="I9701">
        <v>2.301917867135693E-2</v>
      </c>
    </row>
    <row r="9702" spans="1:9" x14ac:dyDescent="0.25">
      <c r="A9702">
        <v>399</v>
      </c>
      <c r="B9702" t="s">
        <v>3022</v>
      </c>
      <c r="C9702" t="s">
        <v>10</v>
      </c>
      <c r="D9702" t="s">
        <v>2521</v>
      </c>
      <c r="E9702">
        <f t="shared" si="455"/>
        <v>8.0645161290322578E-3</v>
      </c>
      <c r="F9702">
        <v>3</v>
      </c>
      <c r="G9702">
        <f>LOG(382/(3+1))</f>
        <v>1.9800033715837464</v>
      </c>
      <c r="H9702">
        <f>0.00806451612903225*4.55912624748668</f>
        <v>3.6767147157150605E-2</v>
      </c>
      <c r="I9702">
        <v>3.6767147157150681E-2</v>
      </c>
    </row>
    <row r="9703" spans="1:9" x14ac:dyDescent="0.25">
      <c r="A9703">
        <v>399</v>
      </c>
      <c r="B9703" t="s">
        <v>3022</v>
      </c>
      <c r="C9703" t="s">
        <v>10</v>
      </c>
      <c r="D9703" t="s">
        <v>840</v>
      </c>
      <c r="E9703">
        <f t="shared" si="455"/>
        <v>8.0645161290322578E-3</v>
      </c>
      <c r="F9703">
        <v>3</v>
      </c>
      <c r="G9703">
        <f>LOG(382/(3+1))</f>
        <v>1.9800033715837464</v>
      </c>
      <c r="H9703">
        <f>0.00806451612903225*4.55912624748668</f>
        <v>3.6767147157150605E-2</v>
      </c>
      <c r="I9703">
        <v>3.6767147157150681E-2</v>
      </c>
    </row>
    <row r="9704" spans="1:9" x14ac:dyDescent="0.25">
      <c r="A9704">
        <v>399</v>
      </c>
      <c r="B9704" t="s">
        <v>3022</v>
      </c>
      <c r="C9704" t="s">
        <v>10</v>
      </c>
      <c r="D9704" t="s">
        <v>345</v>
      </c>
      <c r="E9704">
        <f t="shared" si="455"/>
        <v>8.0645161290322578E-3</v>
      </c>
      <c r="F9704">
        <v>8</v>
      </c>
      <c r="G9704">
        <f>LOG(382/(8+1))</f>
        <v>1.6278208534723839</v>
      </c>
      <c r="H9704">
        <f>0.00806451612903225*3.74819603127035</f>
        <v>3.0227387348954401E-2</v>
      </c>
      <c r="I9704">
        <v>3.0227387348954481E-2</v>
      </c>
    </row>
    <row r="9705" spans="1:9" x14ac:dyDescent="0.25">
      <c r="A9705">
        <v>399</v>
      </c>
      <c r="B9705" t="s">
        <v>3022</v>
      </c>
      <c r="C9705" t="s">
        <v>10</v>
      </c>
      <c r="D9705" t="s">
        <v>1374</v>
      </c>
      <c r="E9705">
        <f t="shared" si="455"/>
        <v>8.0645161290322578E-3</v>
      </c>
      <c r="F9705">
        <v>9</v>
      </c>
      <c r="G9705">
        <f>LOG(382/(9+1))</f>
        <v>1.5820633629117087</v>
      </c>
      <c r="H9705">
        <f>0.00806451612903225*3.64283551561252</f>
        <v>2.9377705771068678E-2</v>
      </c>
      <c r="I9705">
        <v>2.9377705771068789E-2</v>
      </c>
    </row>
    <row r="9706" spans="1:9" x14ac:dyDescent="0.25">
      <c r="A9706">
        <v>399</v>
      </c>
      <c r="B9706" t="s">
        <v>3022</v>
      </c>
      <c r="C9706" t="s">
        <v>10</v>
      </c>
      <c r="D9706" t="s">
        <v>3045</v>
      </c>
      <c r="E9706">
        <f t="shared" si="455"/>
        <v>8.0645161290322578E-3</v>
      </c>
      <c r="F9706">
        <v>1</v>
      </c>
      <c r="G9706">
        <f>LOG(382/(1+1))</f>
        <v>2.2810333672477277</v>
      </c>
      <c r="H9706">
        <f>0.00806451612903225*5.25227342804663</f>
        <v>4.2357043774569551E-2</v>
      </c>
      <c r="I9706">
        <v>4.2357043774569593E-2</v>
      </c>
    </row>
    <row r="9707" spans="1:9" x14ac:dyDescent="0.25">
      <c r="A9707">
        <v>399</v>
      </c>
      <c r="B9707" t="s">
        <v>3022</v>
      </c>
      <c r="C9707" t="s">
        <v>10</v>
      </c>
      <c r="D9707" t="s">
        <v>22</v>
      </c>
      <c r="E9707">
        <f t="shared" si="455"/>
        <v>8.0645161290322578E-3</v>
      </c>
      <c r="F9707">
        <v>259</v>
      </c>
      <c r="G9707">
        <f>LOG(382/(259+1))</f>
        <v>0.16709001494089079</v>
      </c>
      <c r="H9707">
        <f>0.00806451612903225*0.384738977591047</f>
        <v>3.1027336902503758E-3</v>
      </c>
      <c r="I9707">
        <v>3.1027336902503832E-3</v>
      </c>
    </row>
    <row r="9708" spans="1:9" x14ac:dyDescent="0.25">
      <c r="A9708">
        <v>399</v>
      </c>
      <c r="B9708" t="s">
        <v>3022</v>
      </c>
      <c r="C9708" t="s">
        <v>10</v>
      </c>
      <c r="D9708" t="s">
        <v>2996</v>
      </c>
      <c r="E9708">
        <f t="shared" si="455"/>
        <v>8.0645161290322578E-3</v>
      </c>
      <c r="F9708">
        <v>3</v>
      </c>
      <c r="G9708">
        <f>LOG(382/(3+1))</f>
        <v>1.9800033715837464</v>
      </c>
      <c r="H9708">
        <f>0.00806451612903225*4.55912624748668</f>
        <v>3.6767147157150605E-2</v>
      </c>
      <c r="I9708">
        <v>3.6767147157150681E-2</v>
      </c>
    </row>
    <row r="9709" spans="1:9" x14ac:dyDescent="0.25">
      <c r="A9709">
        <v>399</v>
      </c>
      <c r="B9709" t="s">
        <v>3022</v>
      </c>
      <c r="C9709" t="s">
        <v>10</v>
      </c>
      <c r="D9709" t="s">
        <v>828</v>
      </c>
      <c r="E9709">
        <f t="shared" si="455"/>
        <v>8.0645161290322578E-3</v>
      </c>
      <c r="F9709">
        <v>3</v>
      </c>
      <c r="G9709">
        <f>LOG(382/(3+1))</f>
        <v>1.9800033715837464</v>
      </c>
      <c r="H9709">
        <f>0.00806451612903225*4.55912624748668</f>
        <v>3.6767147157150605E-2</v>
      </c>
      <c r="I9709">
        <v>3.6767147157150681E-2</v>
      </c>
    </row>
    <row r="9710" spans="1:9" x14ac:dyDescent="0.25">
      <c r="A9710">
        <v>399</v>
      </c>
      <c r="B9710" t="s">
        <v>3022</v>
      </c>
      <c r="C9710" t="s">
        <v>10</v>
      </c>
      <c r="D9710" t="s">
        <v>156</v>
      </c>
      <c r="E9710">
        <f t="shared" si="455"/>
        <v>8.0645161290322578E-3</v>
      </c>
      <c r="F9710">
        <v>2</v>
      </c>
      <c r="G9710">
        <f>LOG(382/(2+1))</f>
        <v>2.1049421081920463</v>
      </c>
      <c r="H9710">
        <f>0.00806451612903225*4.84680831993846</f>
        <v>3.9087163870471411E-2</v>
      </c>
      <c r="I9710">
        <v>3.9087163870471488E-2</v>
      </c>
    </row>
    <row r="9711" spans="1:9" x14ac:dyDescent="0.25">
      <c r="A9711">
        <v>399</v>
      </c>
      <c r="B9711" t="s">
        <v>3022</v>
      </c>
      <c r="C9711" t="s">
        <v>10</v>
      </c>
      <c r="D9711" t="s">
        <v>1403</v>
      </c>
      <c r="E9711">
        <f t="shared" si="455"/>
        <v>8.0645161290322578E-3</v>
      </c>
      <c r="F9711">
        <v>10</v>
      </c>
      <c r="G9711">
        <f>LOG(382/(10+1))</f>
        <v>1.5406706777534838</v>
      </c>
      <c r="H9711">
        <f>0.00806451612903225*3.5475253358082</f>
        <v>2.8609075288775775E-2</v>
      </c>
      <c r="I9711">
        <v>2.8609075288775841E-2</v>
      </c>
    </row>
    <row r="9712" spans="1:9" x14ac:dyDescent="0.25">
      <c r="A9712">
        <v>399</v>
      </c>
      <c r="B9712" t="s">
        <v>3022</v>
      </c>
      <c r="C9712" t="s">
        <v>10</v>
      </c>
      <c r="D9712" t="s">
        <v>28</v>
      </c>
      <c r="E9712">
        <f>2/124</f>
        <v>1.6129032258064516E-2</v>
      </c>
      <c r="F9712">
        <v>35</v>
      </c>
      <c r="G9712">
        <f>LOG(382/(35+1))</f>
        <v>1.0257608621444214</v>
      </c>
      <c r="H9712">
        <f>0.0161290322580645*2.36190167015046</f>
        <v>3.8095188228233184E-2</v>
      </c>
      <c r="I9712">
        <v>3.8095188228233302E-2</v>
      </c>
    </row>
    <row r="9713" spans="1:9" x14ac:dyDescent="0.25">
      <c r="A9713">
        <v>399</v>
      </c>
      <c r="B9713" t="s">
        <v>3022</v>
      </c>
      <c r="C9713" t="s">
        <v>10</v>
      </c>
      <c r="D9713" t="s">
        <v>1133</v>
      </c>
      <c r="E9713">
        <f>1/124</f>
        <v>8.0645161290322578E-3</v>
      </c>
      <c r="F9713">
        <v>5</v>
      </c>
      <c r="G9713">
        <f>LOG(382/(5+1))</f>
        <v>1.803912112528065</v>
      </c>
      <c r="H9713">
        <f>0.00806451612903225*4.15366113937852</f>
        <v>3.3497267253052541E-2</v>
      </c>
      <c r="I9713">
        <v>3.3497267253052583E-2</v>
      </c>
    </row>
    <row r="9714" spans="1:9" x14ac:dyDescent="0.25">
      <c r="A9714">
        <v>399</v>
      </c>
      <c r="B9714" t="s">
        <v>3022</v>
      </c>
      <c r="C9714" t="s">
        <v>10</v>
      </c>
      <c r="D9714" t="s">
        <v>3046</v>
      </c>
      <c r="E9714">
        <f>1/124</f>
        <v>8.0645161290322578E-3</v>
      </c>
      <c r="F9714">
        <v>1</v>
      </c>
      <c r="G9714">
        <f>LOG(382/(1+1))</f>
        <v>2.2810333672477277</v>
      </c>
      <c r="H9714">
        <f>0.00806451612903225*5.25227342804663</f>
        <v>4.2357043774569551E-2</v>
      </c>
      <c r="I9714">
        <v>4.2357043774569593E-2</v>
      </c>
    </row>
    <row r="9715" spans="1:9" x14ac:dyDescent="0.25">
      <c r="A9715">
        <v>400</v>
      </c>
      <c r="B9715" t="s">
        <v>3047</v>
      </c>
      <c r="C9715" t="s">
        <v>10</v>
      </c>
      <c r="D9715" t="s">
        <v>3048</v>
      </c>
      <c r="E9715">
        <f>1/84</f>
        <v>1.1904761904761904E-2</v>
      </c>
      <c r="F9715">
        <v>1</v>
      </c>
      <c r="G9715">
        <f>LOG(382/(1+1))</f>
        <v>2.2810333672477277</v>
      </c>
      <c r="H9715">
        <f>0.0119047619047619*5.25227342804663</f>
        <v>6.252706461960271E-2</v>
      </c>
      <c r="I9715">
        <v>6.2527064619602737E-2</v>
      </c>
    </row>
    <row r="9716" spans="1:9" x14ac:dyDescent="0.25">
      <c r="A9716">
        <v>400</v>
      </c>
      <c r="B9716" t="s">
        <v>3047</v>
      </c>
      <c r="C9716" t="s">
        <v>10</v>
      </c>
      <c r="D9716" t="s">
        <v>2047</v>
      </c>
      <c r="E9716">
        <f>6/84</f>
        <v>7.1428571428571425E-2</v>
      </c>
      <c r="F9716">
        <v>2</v>
      </c>
      <c r="G9716">
        <f>LOG(382/(2+1))</f>
        <v>2.1049421081920463</v>
      </c>
      <c r="H9716">
        <f>0.0714285714285714*4.84680831993846</f>
        <v>0.34620059428131844</v>
      </c>
      <c r="I9716">
        <v>0.34620059428131889</v>
      </c>
    </row>
    <row r="9717" spans="1:9" x14ac:dyDescent="0.25">
      <c r="A9717">
        <v>400</v>
      </c>
      <c r="B9717" t="s">
        <v>3047</v>
      </c>
      <c r="C9717" t="s">
        <v>10</v>
      </c>
      <c r="D9717" t="s">
        <v>247</v>
      </c>
      <c r="E9717">
        <f>1/84</f>
        <v>1.1904761904761904E-2</v>
      </c>
      <c r="F9717">
        <v>121</v>
      </c>
      <c r="G9717">
        <f>LOG(382/(121+1))</f>
        <v>0.49570353223696051</v>
      </c>
      <c r="H9717">
        <f>0.0119047619047619*1.14139956387331</f>
        <v>1.3588090046110829E-2</v>
      </c>
      <c r="I9717">
        <v>1.358809004611094E-2</v>
      </c>
    </row>
    <row r="9718" spans="1:9" x14ac:dyDescent="0.25">
      <c r="A9718">
        <v>400</v>
      </c>
      <c r="B9718" t="s">
        <v>3047</v>
      </c>
      <c r="C9718" t="s">
        <v>10</v>
      </c>
      <c r="D9718" t="s">
        <v>39</v>
      </c>
      <c r="E9718">
        <f>2/84</f>
        <v>2.3809523809523808E-2</v>
      </c>
      <c r="F9718">
        <v>145</v>
      </c>
      <c r="G9718">
        <f>LOG(382/(145+1))</f>
        <v>0.41771050712727159</v>
      </c>
      <c r="H9718">
        <f>0.0238095238095238*0.961813986898238</f>
        <v>2.2900333021386613E-2</v>
      </c>
      <c r="I9718">
        <v>2.290033302138663E-2</v>
      </c>
    </row>
    <row r="9719" spans="1:9" x14ac:dyDescent="0.25">
      <c r="A9719">
        <v>400</v>
      </c>
      <c r="B9719" t="s">
        <v>3047</v>
      </c>
      <c r="C9719" t="s">
        <v>10</v>
      </c>
      <c r="D9719" t="s">
        <v>42</v>
      </c>
      <c r="E9719">
        <f>2/84</f>
        <v>2.3809523809523808E-2</v>
      </c>
      <c r="F9719">
        <v>251</v>
      </c>
      <c r="G9719">
        <f>LOG(382/(251+1))</f>
        <v>0.18066282213016463</v>
      </c>
      <c r="H9719">
        <f>0.0238095238095238*0.415991521095151</f>
        <v>9.9045600260750204E-3</v>
      </c>
      <c r="I9719">
        <v>9.9045600260750429E-3</v>
      </c>
    </row>
    <row r="9720" spans="1:9" x14ac:dyDescent="0.25">
      <c r="A9720">
        <v>400</v>
      </c>
      <c r="B9720" t="s">
        <v>3047</v>
      </c>
      <c r="C9720" t="s">
        <v>10</v>
      </c>
      <c r="D9720" t="s">
        <v>15</v>
      </c>
      <c r="E9720">
        <f>2/84</f>
        <v>2.3809523809523808E-2</v>
      </c>
      <c r="F9720">
        <v>112</v>
      </c>
      <c r="G9720">
        <f>LOG(382/(112+1))</f>
        <v>0.52898491942828896</v>
      </c>
      <c r="H9720">
        <f>0.0238095238095238*1.21803278989423</f>
        <v>2.9000780711767371E-2</v>
      </c>
      <c r="I9720">
        <v>2.9000780711767489E-2</v>
      </c>
    </row>
    <row r="9721" spans="1:9" x14ac:dyDescent="0.25">
      <c r="A9721">
        <v>400</v>
      </c>
      <c r="B9721" t="s">
        <v>3047</v>
      </c>
      <c r="C9721" t="s">
        <v>10</v>
      </c>
      <c r="D9721" t="s">
        <v>17</v>
      </c>
      <c r="E9721">
        <f>1/84</f>
        <v>1.1904761904761904E-2</v>
      </c>
      <c r="F9721">
        <v>169</v>
      </c>
      <c r="G9721">
        <f>LOG(382/(169+1))</f>
        <v>0.3516144415334348</v>
      </c>
      <c r="H9721">
        <f>0.0119047619047619*0.809622171556313</f>
        <v>9.6383591851941994E-3</v>
      </c>
      <c r="I9721">
        <v>9.6383591851942063E-3</v>
      </c>
    </row>
    <row r="9722" spans="1:9" x14ac:dyDescent="0.25">
      <c r="A9722">
        <v>400</v>
      </c>
      <c r="B9722" t="s">
        <v>3047</v>
      </c>
      <c r="C9722" t="s">
        <v>10</v>
      </c>
      <c r="D9722" t="s">
        <v>3049</v>
      </c>
      <c r="E9722">
        <f>1/84</f>
        <v>1.1904761904761904E-2</v>
      </c>
      <c r="F9722">
        <v>2</v>
      </c>
      <c r="G9722">
        <f>LOG(382/(2+1))</f>
        <v>2.1049421081920463</v>
      </c>
      <c r="H9722">
        <f>0.0119047619047619*4.84680831993846</f>
        <v>5.7700099046886409E-2</v>
      </c>
      <c r="I9722">
        <v>5.7700099046886492E-2</v>
      </c>
    </row>
    <row r="9723" spans="1:9" x14ac:dyDescent="0.25">
      <c r="A9723">
        <v>400</v>
      </c>
      <c r="B9723" t="s">
        <v>3047</v>
      </c>
      <c r="C9723" t="s">
        <v>10</v>
      </c>
      <c r="D9723" t="s">
        <v>44</v>
      </c>
      <c r="E9723">
        <f>1/84</f>
        <v>1.1904761904761904E-2</v>
      </c>
      <c r="F9723">
        <v>151</v>
      </c>
      <c r="G9723">
        <f>LOG(382/(151+1))</f>
        <v>0.40021977496693617</v>
      </c>
      <c r="H9723">
        <f>0.0119047619047619*0.921540087760298</f>
        <v>1.0970715330479735E-2</v>
      </c>
      <c r="I9723">
        <v>1.097071533047975E-2</v>
      </c>
    </row>
    <row r="9724" spans="1:9" x14ac:dyDescent="0.25">
      <c r="A9724">
        <v>400</v>
      </c>
      <c r="B9724" t="s">
        <v>3047</v>
      </c>
      <c r="C9724" t="s">
        <v>10</v>
      </c>
      <c r="D9724" t="s">
        <v>22</v>
      </c>
      <c r="E9724">
        <f>1/84</f>
        <v>1.1904761904761904E-2</v>
      </c>
      <c r="F9724">
        <v>259</v>
      </c>
      <c r="G9724">
        <f>LOG(382/(259+1))</f>
        <v>0.16709001494089079</v>
      </c>
      <c r="H9724">
        <f>0.0119047619047619*0.384738977591047</f>
        <v>4.5802259237029391E-3</v>
      </c>
      <c r="I9724">
        <v>4.5802259237029469E-3</v>
      </c>
    </row>
    <row r="9725" spans="1:9" x14ac:dyDescent="0.25">
      <c r="A9725">
        <v>400</v>
      </c>
      <c r="B9725" t="s">
        <v>3047</v>
      </c>
      <c r="C9725" t="s">
        <v>10</v>
      </c>
      <c r="D9725" t="s">
        <v>23</v>
      </c>
      <c r="E9725">
        <f>1/84</f>
        <v>1.1904761904761904E-2</v>
      </c>
      <c r="F9725">
        <v>275</v>
      </c>
      <c r="G9725">
        <f>LOG(382/(275+1))</f>
        <v>0.14115428084649101</v>
      </c>
      <c r="H9725">
        <f>0.0119047619047619*0.325019742889425</f>
        <v>3.8692826534455342E-3</v>
      </c>
      <c r="I9725">
        <v>3.8692826534455372E-3</v>
      </c>
    </row>
    <row r="9726" spans="1:9" x14ac:dyDescent="0.25">
      <c r="A9726">
        <v>400</v>
      </c>
      <c r="B9726" t="s">
        <v>3047</v>
      </c>
      <c r="C9726" t="s">
        <v>10</v>
      </c>
      <c r="D9726" t="s">
        <v>204</v>
      </c>
      <c r="E9726">
        <f>2/84</f>
        <v>2.3809523809523808E-2</v>
      </c>
      <c r="F9726">
        <v>166</v>
      </c>
      <c r="G9726">
        <f>LOG(382/(166+1))</f>
        <v>0.35934689176412549</v>
      </c>
      <c r="H9726">
        <f>0.0238095238095238*0.82742679618982</f>
        <v>1.9700638004519516E-2</v>
      </c>
      <c r="I9726">
        <v>1.970063800451952E-2</v>
      </c>
    </row>
    <row r="9727" spans="1:9" x14ac:dyDescent="0.25">
      <c r="A9727">
        <v>400</v>
      </c>
      <c r="B9727" t="s">
        <v>3047</v>
      </c>
      <c r="C9727" t="s">
        <v>10</v>
      </c>
      <c r="D9727" t="s">
        <v>76</v>
      </c>
      <c r="E9727">
        <f>1/84</f>
        <v>1.1904761904761904E-2</v>
      </c>
      <c r="F9727">
        <v>140</v>
      </c>
      <c r="G9727">
        <f>LOG(382/(140+1))</f>
        <v>0.43284425025632883</v>
      </c>
      <c r="H9727">
        <f>0.0119047619047619*0.996660718228407</f>
        <v>1.1865008550338174E-2</v>
      </c>
      <c r="I9727">
        <v>1.1865008550338179E-2</v>
      </c>
    </row>
    <row r="9728" spans="1:9" x14ac:dyDescent="0.25">
      <c r="A9728">
        <v>400</v>
      </c>
      <c r="B9728" t="s">
        <v>3047</v>
      </c>
      <c r="C9728" t="s">
        <v>10</v>
      </c>
      <c r="D9728" t="s">
        <v>77</v>
      </c>
      <c r="E9728">
        <f>3/84</f>
        <v>3.5714285714285712E-2</v>
      </c>
      <c r="F9728">
        <v>148</v>
      </c>
      <c r="G9728">
        <f>LOG(382/(148+1))</f>
        <v>0.40887709449943471</v>
      </c>
      <c r="H9728">
        <f>0.0357142857142857*0.941474302661116</f>
        <v>3.3624082237896986E-2</v>
      </c>
      <c r="I9728">
        <v>3.3624082237897E-2</v>
      </c>
    </row>
    <row r="9729" spans="1:9" x14ac:dyDescent="0.25">
      <c r="A9729">
        <v>400</v>
      </c>
      <c r="B9729" t="s">
        <v>3047</v>
      </c>
      <c r="C9729" t="s">
        <v>10</v>
      </c>
      <c r="D9729" t="s">
        <v>40</v>
      </c>
      <c r="E9729">
        <f>2/84</f>
        <v>2.3809523809523808E-2</v>
      </c>
      <c r="F9729">
        <v>159</v>
      </c>
      <c r="G9729">
        <f>LOG(382/(159+1))</f>
        <v>0.377943380255784</v>
      </c>
      <c r="H9729">
        <f>0.0238095238095238*0.870246793372748</f>
        <v>2.0720161746970184E-2</v>
      </c>
      <c r="I9729">
        <v>2.0720161746970198E-2</v>
      </c>
    </row>
    <row r="9730" spans="1:9" x14ac:dyDescent="0.25">
      <c r="A9730">
        <v>400</v>
      </c>
      <c r="B9730" t="s">
        <v>3047</v>
      </c>
      <c r="C9730" t="s">
        <v>10</v>
      </c>
      <c r="D9730" t="s">
        <v>41</v>
      </c>
      <c r="E9730">
        <f>1/84</f>
        <v>1.1904761904761904E-2</v>
      </c>
      <c r="F9730">
        <v>195</v>
      </c>
      <c r="G9730">
        <f>LOG(382/(195+1))</f>
        <v>0.28980729155523272</v>
      </c>
      <c r="H9730">
        <f>0.0119047619047619*0.667305949376058</f>
        <v>7.9441184449530692E-3</v>
      </c>
      <c r="I9730">
        <v>7.9441184449530709E-3</v>
      </c>
    </row>
    <row r="9731" spans="1:9" x14ac:dyDescent="0.25">
      <c r="A9731">
        <v>400</v>
      </c>
      <c r="B9731" t="s">
        <v>3047</v>
      </c>
      <c r="C9731" t="s">
        <v>10</v>
      </c>
      <c r="D9731" t="s">
        <v>26</v>
      </c>
      <c r="E9731">
        <f>1/84</f>
        <v>1.1904761904761904E-2</v>
      </c>
      <c r="F9731">
        <v>40</v>
      </c>
      <c r="G9731">
        <f>LOG(382/(40+1))</f>
        <v>0.96927950619197323</v>
      </c>
      <c r="H9731">
        <f>0.0119047619047619*2.23184854190226</f>
        <v>2.6569625498836416E-2</v>
      </c>
      <c r="I9731">
        <v>2.656962549883651E-2</v>
      </c>
    </row>
    <row r="9732" spans="1:9" x14ac:dyDescent="0.25">
      <c r="A9732">
        <v>400</v>
      </c>
      <c r="B9732" t="s">
        <v>3047</v>
      </c>
      <c r="C9732" t="s">
        <v>10</v>
      </c>
      <c r="D9732" t="s">
        <v>3050</v>
      </c>
      <c r="E9732">
        <f>1/84</f>
        <v>1.1904761904761904E-2</v>
      </c>
      <c r="F9732">
        <v>3</v>
      </c>
      <c r="G9732">
        <f>LOG(382/(3+1))</f>
        <v>1.9800033715837464</v>
      </c>
      <c r="H9732">
        <f>0.0119047619047619*4.55912624748668</f>
        <v>5.4275312470079502E-2</v>
      </c>
      <c r="I9732">
        <v>5.4275312470079572E-2</v>
      </c>
    </row>
    <row r="9733" spans="1:9" x14ac:dyDescent="0.25">
      <c r="A9733">
        <v>400</v>
      </c>
      <c r="B9733" t="s">
        <v>3047</v>
      </c>
      <c r="C9733" t="s">
        <v>10</v>
      </c>
      <c r="D9733" t="s">
        <v>3051</v>
      </c>
      <c r="E9733">
        <f>1/84</f>
        <v>1.1904761904761904E-2</v>
      </c>
      <c r="F9733">
        <v>2</v>
      </c>
      <c r="G9733">
        <f>LOG(382/(2+1))</f>
        <v>2.1049421081920463</v>
      </c>
      <c r="H9733">
        <f>0.0119047619047619*4.84680831993846</f>
        <v>5.7700099046886409E-2</v>
      </c>
      <c r="I9733">
        <v>5.7700099046886492E-2</v>
      </c>
    </row>
    <row r="9734" spans="1:9" x14ac:dyDescent="0.25">
      <c r="A9734">
        <v>400</v>
      </c>
      <c r="B9734" t="s">
        <v>3047</v>
      </c>
      <c r="C9734" t="s">
        <v>10</v>
      </c>
      <c r="D9734" t="s">
        <v>3052</v>
      </c>
      <c r="E9734">
        <f>1/84</f>
        <v>1.1904761904761904E-2</v>
      </c>
      <c r="F9734">
        <v>1</v>
      </c>
      <c r="G9734">
        <f>LOG(382/(1+1))</f>
        <v>2.2810333672477277</v>
      </c>
      <c r="H9734">
        <f>0.0119047619047619*5.25227342804663</f>
        <v>6.252706461960271E-2</v>
      </c>
      <c r="I9734">
        <v>6.2527064619602737E-2</v>
      </c>
    </row>
    <row r="9735" spans="1:9" x14ac:dyDescent="0.25">
      <c r="A9735">
        <v>400</v>
      </c>
      <c r="B9735" t="s">
        <v>3047</v>
      </c>
      <c r="C9735" t="s">
        <v>10</v>
      </c>
      <c r="D9735" t="s">
        <v>133</v>
      </c>
      <c r="E9735">
        <f>2/84</f>
        <v>2.3809523809523808E-2</v>
      </c>
      <c r="F9735">
        <v>142</v>
      </c>
      <c r="G9735">
        <f>LOG(382/(142+1))</f>
        <v>0.42672732544664693</v>
      </c>
      <c r="H9735">
        <f>0.0238095238095238*0.982575978346667</f>
        <v>2.3394666151111111E-2</v>
      </c>
      <c r="I9735">
        <v>2.3394666151111139E-2</v>
      </c>
    </row>
    <row r="9736" spans="1:9" x14ac:dyDescent="0.25">
      <c r="A9736">
        <v>400</v>
      </c>
      <c r="B9736" t="s">
        <v>3047</v>
      </c>
      <c r="C9736" t="s">
        <v>10</v>
      </c>
      <c r="D9736" t="s">
        <v>487</v>
      </c>
      <c r="E9736">
        <f>1/84</f>
        <v>1.1904761904761904E-2</v>
      </c>
      <c r="F9736">
        <v>32</v>
      </c>
      <c r="G9736">
        <f>LOG(382/(32+1))</f>
        <v>1.0635494230338212</v>
      </c>
      <c r="H9736">
        <f>0.0119047619047619*2.44891304714009</f>
        <v>2.9153726751667729E-2</v>
      </c>
      <c r="I9736">
        <v>2.9153726751667799E-2</v>
      </c>
    </row>
    <row r="9737" spans="1:9" x14ac:dyDescent="0.25">
      <c r="A9737">
        <v>400</v>
      </c>
      <c r="B9737" t="s">
        <v>3047</v>
      </c>
      <c r="C9737" t="s">
        <v>10</v>
      </c>
      <c r="D9737" t="s">
        <v>485</v>
      </c>
      <c r="E9737">
        <f>1/84</f>
        <v>1.1904761904761904E-2</v>
      </c>
      <c r="F9737">
        <v>74</v>
      </c>
      <c r="G9737">
        <f>LOG(382/(74+1))</f>
        <v>0.7070020995200087</v>
      </c>
      <c r="H9737">
        <f>0.0119047619047619*1.62793249507026</f>
        <v>1.9380148750836424E-2</v>
      </c>
      <c r="I9737">
        <v>1.938014875083648E-2</v>
      </c>
    </row>
    <row r="9738" spans="1:9" x14ac:dyDescent="0.25">
      <c r="A9738">
        <v>400</v>
      </c>
      <c r="B9738" t="s">
        <v>3047</v>
      </c>
      <c r="C9738" t="s">
        <v>10</v>
      </c>
      <c r="D9738" t="s">
        <v>726</v>
      </c>
      <c r="E9738">
        <f>1/84</f>
        <v>1.1904761904761904E-2</v>
      </c>
      <c r="F9738">
        <v>37</v>
      </c>
      <c r="G9738">
        <f>LOG(382/(37+1))</f>
        <v>1.0022797662948986</v>
      </c>
      <c r="H9738">
        <f>0.0119047619047619*2.30783444888018</f>
        <v>2.7474219629525939E-2</v>
      </c>
      <c r="I9738">
        <v>2.7474219629526061E-2</v>
      </c>
    </row>
    <row r="9739" spans="1:9" x14ac:dyDescent="0.25">
      <c r="A9739">
        <v>400</v>
      </c>
      <c r="B9739" t="s">
        <v>3047</v>
      </c>
      <c r="C9739" t="s">
        <v>10</v>
      </c>
      <c r="D9739" t="s">
        <v>1083</v>
      </c>
      <c r="E9739">
        <f>2/84</f>
        <v>2.3809523809523808E-2</v>
      </c>
      <c r="F9739">
        <v>51</v>
      </c>
      <c r="G9739">
        <f>LOG(382/(51+1))</f>
        <v>0.86606001927690957</v>
      </c>
      <c r="H9739">
        <f>0.0238095238095238*1.99417689002514</f>
        <v>4.7480402143455697E-2</v>
      </c>
      <c r="I9739">
        <v>4.7480402143455898E-2</v>
      </c>
    </row>
    <row r="9740" spans="1:9" x14ac:dyDescent="0.25">
      <c r="A9740">
        <v>400</v>
      </c>
      <c r="B9740" t="s">
        <v>3047</v>
      </c>
      <c r="C9740" t="s">
        <v>10</v>
      </c>
      <c r="D9740" t="s">
        <v>2554</v>
      </c>
      <c r="E9740">
        <f>1/84</f>
        <v>1.1904761904761904E-2</v>
      </c>
      <c r="F9740">
        <v>22</v>
      </c>
      <c r="G9740">
        <f>LOG(382/(22+1))</f>
        <v>1.2203355268941158</v>
      </c>
      <c r="H9740">
        <f>0.0119047619047619*2.80992639267742</f>
        <v>3.3451504674731174E-2</v>
      </c>
      <c r="I9740">
        <v>3.3451504674731257E-2</v>
      </c>
    </row>
    <row r="9741" spans="1:9" x14ac:dyDescent="0.25">
      <c r="A9741">
        <v>400</v>
      </c>
      <c r="B9741" t="s">
        <v>3047</v>
      </c>
      <c r="C9741" t="s">
        <v>10</v>
      </c>
      <c r="D9741" t="s">
        <v>81</v>
      </c>
      <c r="E9741">
        <f>2/84</f>
        <v>2.3809523809523808E-2</v>
      </c>
      <c r="F9741">
        <v>114</v>
      </c>
      <c r="G9741">
        <f>LOG(382/(114+1))</f>
        <v>0.52136552255809698</v>
      </c>
      <c r="H9741">
        <f>0.0238095238095238*1.20048848024332</f>
        <v>2.8583059053412373E-2</v>
      </c>
      <c r="I9741">
        <v>2.8583059053412501E-2</v>
      </c>
    </row>
    <row r="9742" spans="1:9" x14ac:dyDescent="0.25">
      <c r="A9742">
        <v>400</v>
      </c>
      <c r="B9742" t="s">
        <v>3047</v>
      </c>
      <c r="C9742" t="s">
        <v>10</v>
      </c>
      <c r="D9742" t="s">
        <v>3053</v>
      </c>
      <c r="E9742">
        <f t="shared" ref="E9742:E9747" si="456">1/84</f>
        <v>1.1904761904761904E-2</v>
      </c>
      <c r="F9742">
        <v>1</v>
      </c>
      <c r="G9742">
        <f>LOG(382/(1+1))</f>
        <v>2.2810333672477277</v>
      </c>
      <c r="H9742">
        <f>0.0119047619047619*5.25227342804663</f>
        <v>6.252706461960271E-2</v>
      </c>
      <c r="I9742">
        <v>6.2527064619602737E-2</v>
      </c>
    </row>
    <row r="9743" spans="1:9" x14ac:dyDescent="0.25">
      <c r="A9743">
        <v>400</v>
      </c>
      <c r="B9743" t="s">
        <v>3047</v>
      </c>
      <c r="C9743" t="s">
        <v>10</v>
      </c>
      <c r="D9743" t="s">
        <v>836</v>
      </c>
      <c r="E9743">
        <f t="shared" si="456"/>
        <v>1.1904761904761904E-2</v>
      </c>
      <c r="F9743">
        <v>21</v>
      </c>
      <c r="G9743">
        <f>LOG(382/(21+1))</f>
        <v>1.2396406820895025</v>
      </c>
      <c r="H9743">
        <f>0.0119047619047619*2.85437815524825</f>
        <v>3.3980692324383915E-2</v>
      </c>
      <c r="I9743">
        <v>3.3980692324384033E-2</v>
      </c>
    </row>
    <row r="9744" spans="1:9" x14ac:dyDescent="0.25">
      <c r="A9744">
        <v>400</v>
      </c>
      <c r="B9744" t="s">
        <v>3047</v>
      </c>
      <c r="C9744" t="s">
        <v>10</v>
      </c>
      <c r="D9744" t="s">
        <v>978</v>
      </c>
      <c r="E9744">
        <f t="shared" si="456"/>
        <v>1.1904761904761904E-2</v>
      </c>
      <c r="F9744">
        <v>2</v>
      </c>
      <c r="G9744">
        <f>LOG(382/(2+1))</f>
        <v>2.1049421081920463</v>
      </c>
      <c r="H9744">
        <f>0.0119047619047619*4.84680831993846</f>
        <v>5.7700099046886409E-2</v>
      </c>
      <c r="I9744">
        <v>5.7700099046886492E-2</v>
      </c>
    </row>
    <row r="9745" spans="1:9" x14ac:dyDescent="0.25">
      <c r="A9745">
        <v>400</v>
      </c>
      <c r="B9745" t="s">
        <v>3047</v>
      </c>
      <c r="C9745" t="s">
        <v>10</v>
      </c>
      <c r="D9745" t="s">
        <v>3054</v>
      </c>
      <c r="E9745">
        <f t="shared" si="456"/>
        <v>1.1904761904761904E-2</v>
      </c>
      <c r="F9745">
        <v>1</v>
      </c>
      <c r="G9745">
        <f>LOG(382/(1+1))</f>
        <v>2.2810333672477277</v>
      </c>
      <c r="H9745">
        <f>0.0119047619047619*5.25227342804663</f>
        <v>6.252706461960271E-2</v>
      </c>
      <c r="I9745">
        <v>6.2527064619602737E-2</v>
      </c>
    </row>
    <row r="9746" spans="1:9" x14ac:dyDescent="0.25">
      <c r="A9746">
        <v>400</v>
      </c>
      <c r="B9746" t="s">
        <v>3047</v>
      </c>
      <c r="C9746" t="s">
        <v>10</v>
      </c>
      <c r="D9746" t="s">
        <v>408</v>
      </c>
      <c r="E9746">
        <f t="shared" si="456"/>
        <v>1.1904761904761904E-2</v>
      </c>
      <c r="F9746">
        <v>27</v>
      </c>
      <c r="G9746">
        <f>LOG(382/(27+1))</f>
        <v>1.1349053315694895</v>
      </c>
      <c r="H9746">
        <f>0.0119047619047619*2.61321609843137</f>
        <v>3.1109715457516302E-2</v>
      </c>
      <c r="I9746">
        <v>3.110971545751632E-2</v>
      </c>
    </row>
    <row r="9747" spans="1:9" x14ac:dyDescent="0.25">
      <c r="A9747">
        <v>400</v>
      </c>
      <c r="B9747" t="s">
        <v>3047</v>
      </c>
      <c r="C9747" t="s">
        <v>10</v>
      </c>
      <c r="D9747" t="s">
        <v>838</v>
      </c>
      <c r="E9747">
        <f t="shared" si="456"/>
        <v>1.1904761904761904E-2</v>
      </c>
      <c r="F9747">
        <v>10</v>
      </c>
      <c r="G9747">
        <f>LOG(382/(10+1))</f>
        <v>1.5406706777534838</v>
      </c>
      <c r="H9747">
        <f>0.0119047619047619*3.5475253358082</f>
        <v>4.223244447390713E-2</v>
      </c>
      <c r="I9747">
        <v>4.2232444473907192E-2</v>
      </c>
    </row>
    <row r="9748" spans="1:9" x14ac:dyDescent="0.25">
      <c r="A9748">
        <v>400</v>
      </c>
      <c r="B9748" t="s">
        <v>3047</v>
      </c>
      <c r="C9748" t="s">
        <v>10</v>
      </c>
      <c r="D9748" t="s">
        <v>3055</v>
      </c>
      <c r="E9748">
        <f>4/84</f>
        <v>4.7619047619047616E-2</v>
      </c>
      <c r="F9748">
        <v>1</v>
      </c>
      <c r="G9748">
        <f>LOG(382/(1+1))</f>
        <v>2.2810333672477277</v>
      </c>
      <c r="H9748">
        <f>0.0476190476190476*5.25227342804663</f>
        <v>0.25010825847841084</v>
      </c>
      <c r="I9748">
        <v>0.25010825847841089</v>
      </c>
    </row>
    <row r="9749" spans="1:9" x14ac:dyDescent="0.25">
      <c r="A9749">
        <v>400</v>
      </c>
      <c r="B9749" t="s">
        <v>3047</v>
      </c>
      <c r="C9749" t="s">
        <v>10</v>
      </c>
      <c r="D9749" t="s">
        <v>3056</v>
      </c>
      <c r="E9749">
        <f t="shared" ref="E9749:E9766" si="457">1/84</f>
        <v>1.1904761904761904E-2</v>
      </c>
      <c r="F9749">
        <v>1</v>
      </c>
      <c r="G9749">
        <f>LOG(382/(1+1))</f>
        <v>2.2810333672477277</v>
      </c>
      <c r="H9749">
        <f>0.0119047619047619*5.25227342804663</f>
        <v>6.252706461960271E-2</v>
      </c>
      <c r="I9749">
        <v>6.2527064619602737E-2</v>
      </c>
    </row>
    <row r="9750" spans="1:9" x14ac:dyDescent="0.25">
      <c r="A9750">
        <v>400</v>
      </c>
      <c r="B9750" t="s">
        <v>3047</v>
      </c>
      <c r="C9750" t="s">
        <v>10</v>
      </c>
      <c r="D9750" t="s">
        <v>1224</v>
      </c>
      <c r="E9750">
        <f t="shared" si="457"/>
        <v>1.1904761904761904E-2</v>
      </c>
      <c r="F9750">
        <v>11</v>
      </c>
      <c r="G9750">
        <f>LOG(382/(11+1))</f>
        <v>1.5028821168640838</v>
      </c>
      <c r="H9750">
        <f>0.0119047619047619*3.46051395881857</f>
        <v>4.1196594747840105E-2</v>
      </c>
      <c r="I9750">
        <v>4.1196594747840168E-2</v>
      </c>
    </row>
    <row r="9751" spans="1:9" x14ac:dyDescent="0.25">
      <c r="A9751">
        <v>400</v>
      </c>
      <c r="B9751" t="s">
        <v>3047</v>
      </c>
      <c r="C9751" t="s">
        <v>10</v>
      </c>
      <c r="D9751" t="s">
        <v>3057</v>
      </c>
      <c r="E9751">
        <f t="shared" si="457"/>
        <v>1.1904761904761904E-2</v>
      </c>
      <c r="F9751">
        <v>7</v>
      </c>
      <c r="G9751">
        <f>LOG(382/(7+1))</f>
        <v>1.6789733759197651</v>
      </c>
      <c r="H9751">
        <f>0.0119047619047619*3.86597906692673</f>
        <v>4.6023560320556295E-2</v>
      </c>
      <c r="I9751">
        <v>4.6023560320556413E-2</v>
      </c>
    </row>
    <row r="9752" spans="1:9" x14ac:dyDescent="0.25">
      <c r="A9752">
        <v>400</v>
      </c>
      <c r="B9752" t="s">
        <v>3047</v>
      </c>
      <c r="C9752" t="s">
        <v>10</v>
      </c>
      <c r="D9752" t="s">
        <v>3058</v>
      </c>
      <c r="E9752">
        <f t="shared" si="457"/>
        <v>1.1904761904761904E-2</v>
      </c>
      <c r="F9752">
        <v>1</v>
      </c>
      <c r="G9752">
        <f>LOG(382/(1+1))</f>
        <v>2.2810333672477277</v>
      </c>
      <c r="H9752">
        <f>0.0119047619047619*5.25227342804663</f>
        <v>6.252706461960271E-2</v>
      </c>
      <c r="I9752">
        <v>6.2527064619602737E-2</v>
      </c>
    </row>
    <row r="9753" spans="1:9" x14ac:dyDescent="0.25">
      <c r="A9753">
        <v>400</v>
      </c>
      <c r="B9753" t="s">
        <v>3047</v>
      </c>
      <c r="C9753" t="s">
        <v>10</v>
      </c>
      <c r="D9753" t="s">
        <v>3059</v>
      </c>
      <c r="E9753">
        <f t="shared" si="457"/>
        <v>1.1904761904761904E-2</v>
      </c>
      <c r="F9753">
        <v>1</v>
      </c>
      <c r="G9753">
        <f>LOG(382/(1+1))</f>
        <v>2.2810333672477277</v>
      </c>
      <c r="H9753">
        <f>0.0119047619047619*5.25227342804663</f>
        <v>6.252706461960271E-2</v>
      </c>
      <c r="I9753">
        <v>6.2527064619602737E-2</v>
      </c>
    </row>
    <row r="9754" spans="1:9" x14ac:dyDescent="0.25">
      <c r="A9754">
        <v>400</v>
      </c>
      <c r="B9754" t="s">
        <v>3047</v>
      </c>
      <c r="C9754" t="s">
        <v>10</v>
      </c>
      <c r="D9754" t="s">
        <v>671</v>
      </c>
      <c r="E9754">
        <f t="shared" si="457"/>
        <v>1.1904761904761904E-2</v>
      </c>
      <c r="F9754">
        <v>10</v>
      </c>
      <c r="G9754">
        <f>LOG(382/(10+1))</f>
        <v>1.5406706777534838</v>
      </c>
      <c r="H9754">
        <f>0.0119047619047619*3.5475253358082</f>
        <v>4.223244447390713E-2</v>
      </c>
      <c r="I9754">
        <v>4.2232444473907192E-2</v>
      </c>
    </row>
    <row r="9755" spans="1:9" x14ac:dyDescent="0.25">
      <c r="A9755">
        <v>400</v>
      </c>
      <c r="B9755" t="s">
        <v>3047</v>
      </c>
      <c r="C9755" t="s">
        <v>10</v>
      </c>
      <c r="D9755" t="s">
        <v>1467</v>
      </c>
      <c r="E9755">
        <f t="shared" si="457"/>
        <v>1.1904761904761904E-2</v>
      </c>
      <c r="F9755">
        <v>21</v>
      </c>
      <c r="G9755">
        <f>LOG(382/(21+1))</f>
        <v>1.2396406820895025</v>
      </c>
      <c r="H9755">
        <f>0.0119047619047619*2.85437815524825</f>
        <v>3.3980692324383915E-2</v>
      </c>
      <c r="I9755">
        <v>3.3980692324384033E-2</v>
      </c>
    </row>
    <row r="9756" spans="1:9" x14ac:dyDescent="0.25">
      <c r="A9756">
        <v>400</v>
      </c>
      <c r="B9756" t="s">
        <v>3047</v>
      </c>
      <c r="C9756" t="s">
        <v>10</v>
      </c>
      <c r="D9756" t="s">
        <v>1748</v>
      </c>
      <c r="E9756">
        <f t="shared" si="457"/>
        <v>1.1904761904761904E-2</v>
      </c>
      <c r="F9756">
        <v>12</v>
      </c>
      <c r="G9756">
        <f>LOG(382/(12+1))</f>
        <v>1.468120010604872</v>
      </c>
      <c r="H9756">
        <f>0.0119047619047619*3.38047125114503</f>
        <v>4.0243705370774152E-2</v>
      </c>
      <c r="I9756">
        <v>4.0243705370774263E-2</v>
      </c>
    </row>
    <row r="9757" spans="1:9" x14ac:dyDescent="0.25">
      <c r="A9757">
        <v>400</v>
      </c>
      <c r="B9757" t="s">
        <v>3047</v>
      </c>
      <c r="C9757" t="s">
        <v>10</v>
      </c>
      <c r="D9757" t="s">
        <v>322</v>
      </c>
      <c r="E9757">
        <f t="shared" si="457"/>
        <v>1.1904761904761904E-2</v>
      </c>
      <c r="F9757">
        <v>128</v>
      </c>
      <c r="G9757">
        <f>LOG(382/(128+1))</f>
        <v>0.47147365261245977</v>
      </c>
      <c r="H9757">
        <f>0.0119047619047619*1.0856082042449</f>
        <v>1.2923907193391662E-2</v>
      </c>
      <c r="I9757">
        <v>1.29239071933917E-2</v>
      </c>
    </row>
    <row r="9758" spans="1:9" x14ac:dyDescent="0.25">
      <c r="A9758">
        <v>400</v>
      </c>
      <c r="B9758" t="s">
        <v>3047</v>
      </c>
      <c r="C9758" t="s">
        <v>10</v>
      </c>
      <c r="D9758" t="s">
        <v>1808</v>
      </c>
      <c r="E9758">
        <f t="shared" si="457"/>
        <v>1.1904761904761904E-2</v>
      </c>
      <c r="F9758">
        <v>10</v>
      </c>
      <c r="G9758">
        <f>LOG(382/(10+1))</f>
        <v>1.5406706777534838</v>
      </c>
      <c r="H9758">
        <f>0.0119047619047619*3.5475253358082</f>
        <v>4.223244447390713E-2</v>
      </c>
      <c r="I9758">
        <v>4.2232444473907192E-2</v>
      </c>
    </row>
    <row r="9759" spans="1:9" x14ac:dyDescent="0.25">
      <c r="A9759">
        <v>400</v>
      </c>
      <c r="B9759" t="s">
        <v>3047</v>
      </c>
      <c r="C9759" t="s">
        <v>10</v>
      </c>
      <c r="D9759" t="s">
        <v>324</v>
      </c>
      <c r="E9759">
        <f t="shared" si="457"/>
        <v>1.1904761904761904E-2</v>
      </c>
      <c r="F9759">
        <v>82</v>
      </c>
      <c r="G9759">
        <f>LOG(382/(82+1))</f>
        <v>0.66298527053563483</v>
      </c>
      <c r="H9759">
        <f>0.0119047619047619*1.52658000080997</f>
        <v>1.8173571438213923E-2</v>
      </c>
      <c r="I9759">
        <v>1.817357143821401E-2</v>
      </c>
    </row>
    <row r="9760" spans="1:9" x14ac:dyDescent="0.25">
      <c r="A9760">
        <v>400</v>
      </c>
      <c r="B9760" t="s">
        <v>3047</v>
      </c>
      <c r="C9760" t="s">
        <v>10</v>
      </c>
      <c r="D9760" t="s">
        <v>1222</v>
      </c>
      <c r="E9760">
        <f t="shared" si="457"/>
        <v>1.1904761904761904E-2</v>
      </c>
      <c r="F9760">
        <v>56</v>
      </c>
      <c r="G9760">
        <f>LOG(382/(56+1))</f>
        <v>0.82618850723921733</v>
      </c>
      <c r="H9760">
        <f>0.0119047619047619*1.90236934077202</f>
        <v>2.2647254056809753E-2</v>
      </c>
      <c r="I9760">
        <v>2.2647254056809819E-2</v>
      </c>
    </row>
    <row r="9761" spans="1:9" x14ac:dyDescent="0.25">
      <c r="A9761">
        <v>400</v>
      </c>
      <c r="B9761" t="s">
        <v>3047</v>
      </c>
      <c r="C9761" t="s">
        <v>10</v>
      </c>
      <c r="D9761" t="s">
        <v>82</v>
      </c>
      <c r="E9761">
        <f t="shared" si="457"/>
        <v>1.1904761904761904E-2</v>
      </c>
      <c r="F9761">
        <v>92</v>
      </c>
      <c r="G9761">
        <f>LOG(382/(92+1))</f>
        <v>0.61358041435777355</v>
      </c>
      <c r="H9761">
        <f>0.0119047619047619*1.41282111545331</f>
        <v>1.6819298993491778E-2</v>
      </c>
      <c r="I9761">
        <v>1.68192989934919E-2</v>
      </c>
    </row>
    <row r="9762" spans="1:9" x14ac:dyDescent="0.25">
      <c r="A9762">
        <v>400</v>
      </c>
      <c r="B9762" t="s">
        <v>3047</v>
      </c>
      <c r="C9762" t="s">
        <v>10</v>
      </c>
      <c r="D9762" t="s">
        <v>1921</v>
      </c>
      <c r="E9762">
        <f t="shared" si="457"/>
        <v>1.1904761904761904E-2</v>
      </c>
      <c r="F9762">
        <v>37</v>
      </c>
      <c r="G9762">
        <f>LOG(382/(37+1))</f>
        <v>1.0022797662948986</v>
      </c>
      <c r="H9762">
        <f>0.0119047619047619*2.30783444888018</f>
        <v>2.7474219629525939E-2</v>
      </c>
      <c r="I9762">
        <v>2.7474219629526061E-2</v>
      </c>
    </row>
    <row r="9763" spans="1:9" x14ac:dyDescent="0.25">
      <c r="A9763">
        <v>400</v>
      </c>
      <c r="B9763" t="s">
        <v>3047</v>
      </c>
      <c r="C9763" t="s">
        <v>10</v>
      </c>
      <c r="D9763" t="s">
        <v>1540</v>
      </c>
      <c r="E9763">
        <f t="shared" si="457"/>
        <v>1.1904761904761904E-2</v>
      </c>
      <c r="F9763">
        <v>12</v>
      </c>
      <c r="G9763">
        <f>LOG(382/(12+1))</f>
        <v>1.468120010604872</v>
      </c>
      <c r="H9763">
        <f>0.0119047619047619*3.38047125114503</f>
        <v>4.0243705370774152E-2</v>
      </c>
      <c r="I9763">
        <v>4.0243705370774263E-2</v>
      </c>
    </row>
    <row r="9764" spans="1:9" x14ac:dyDescent="0.25">
      <c r="A9764">
        <v>400</v>
      </c>
      <c r="B9764" t="s">
        <v>3047</v>
      </c>
      <c r="C9764" t="s">
        <v>10</v>
      </c>
      <c r="D9764" t="s">
        <v>3060</v>
      </c>
      <c r="E9764">
        <f t="shared" si="457"/>
        <v>1.1904761904761904E-2</v>
      </c>
      <c r="F9764">
        <v>1</v>
      </c>
      <c r="G9764">
        <f>LOG(382/(1+1))</f>
        <v>2.2810333672477277</v>
      </c>
      <c r="H9764">
        <f>0.0119047619047619*5.25227342804663</f>
        <v>6.252706461960271E-2</v>
      </c>
      <c r="I9764">
        <v>6.2527064619602737E-2</v>
      </c>
    </row>
    <row r="9765" spans="1:9" x14ac:dyDescent="0.25">
      <c r="A9765">
        <v>400</v>
      </c>
      <c r="B9765" t="s">
        <v>3047</v>
      </c>
      <c r="C9765" t="s">
        <v>10</v>
      </c>
      <c r="D9765" t="s">
        <v>3061</v>
      </c>
      <c r="E9765">
        <f t="shared" si="457"/>
        <v>1.1904761904761904E-2</v>
      </c>
      <c r="F9765">
        <v>1</v>
      </c>
      <c r="G9765">
        <f>LOG(382/(1+1))</f>
        <v>2.2810333672477277</v>
      </c>
      <c r="H9765">
        <f>0.0119047619047619*5.25227342804663</f>
        <v>6.252706461960271E-2</v>
      </c>
      <c r="I9765">
        <v>6.2527064619602737E-2</v>
      </c>
    </row>
    <row r="9766" spans="1:9" x14ac:dyDescent="0.25">
      <c r="A9766">
        <v>400</v>
      </c>
      <c r="B9766" t="s">
        <v>3047</v>
      </c>
      <c r="C9766" t="s">
        <v>10</v>
      </c>
      <c r="D9766" t="s">
        <v>3062</v>
      </c>
      <c r="E9766">
        <f t="shared" si="457"/>
        <v>1.1904761904761904E-2</v>
      </c>
      <c r="F9766">
        <v>1</v>
      </c>
      <c r="G9766">
        <f>LOG(382/(1+1))</f>
        <v>2.2810333672477277</v>
      </c>
      <c r="H9766">
        <f>0.0119047619047619*5.25227342804663</f>
        <v>6.252706461960271E-2</v>
      </c>
      <c r="I9766">
        <v>6.2527064619602737E-2</v>
      </c>
    </row>
    <row r="9767" spans="1:9" x14ac:dyDescent="0.25">
      <c r="A9767">
        <v>400</v>
      </c>
      <c r="B9767" t="s">
        <v>3047</v>
      </c>
      <c r="C9767" t="s">
        <v>10</v>
      </c>
      <c r="D9767" t="s">
        <v>1002</v>
      </c>
      <c r="E9767">
        <f>3/84</f>
        <v>3.5714285714285712E-2</v>
      </c>
      <c r="F9767">
        <v>2</v>
      </c>
      <c r="G9767">
        <f>LOG(382/(2+1))</f>
        <v>2.1049421081920463</v>
      </c>
      <c r="H9767">
        <f>0.0357142857142857*4.84680831993846</f>
        <v>0.17310029714065922</v>
      </c>
      <c r="I9767">
        <v>0.1731002971406595</v>
      </c>
    </row>
    <row r="9768" spans="1:9" x14ac:dyDescent="0.25">
      <c r="A9768">
        <v>400</v>
      </c>
      <c r="B9768" t="s">
        <v>3047</v>
      </c>
      <c r="C9768" t="s">
        <v>10</v>
      </c>
      <c r="D9768" t="s">
        <v>237</v>
      </c>
      <c r="E9768">
        <f t="shared" ref="E9768:E9778" si="458">1/84</f>
        <v>1.1904761904761904E-2</v>
      </c>
      <c r="F9768">
        <v>138</v>
      </c>
      <c r="G9768">
        <f>LOG(382/(138+1))</f>
        <v>0.43904856265761361</v>
      </c>
      <c r="H9768">
        <f>0.0119047619047619*1.01094667547588</f>
        <v>1.2035079469950949E-2</v>
      </c>
      <c r="I9768">
        <v>1.203507946995099E-2</v>
      </c>
    </row>
    <row r="9769" spans="1:9" x14ac:dyDescent="0.25">
      <c r="A9769">
        <v>400</v>
      </c>
      <c r="B9769" t="s">
        <v>3047</v>
      </c>
      <c r="C9769" t="s">
        <v>10</v>
      </c>
      <c r="D9769" t="s">
        <v>596</v>
      </c>
      <c r="E9769">
        <f t="shared" si="458"/>
        <v>1.1904761904761904E-2</v>
      </c>
      <c r="F9769">
        <v>60</v>
      </c>
      <c r="G9769">
        <f>LOG(382/(60+1))</f>
        <v>0.79673352790094176</v>
      </c>
      <c r="H9769">
        <f>0.0119047619047619*1.83454674443326</f>
        <v>2.1839842195634038E-2</v>
      </c>
      <c r="I9769">
        <v>2.183984219563409E-2</v>
      </c>
    </row>
    <row r="9770" spans="1:9" x14ac:dyDescent="0.25">
      <c r="A9770">
        <v>400</v>
      </c>
      <c r="B9770" t="s">
        <v>3047</v>
      </c>
      <c r="C9770" t="s">
        <v>10</v>
      </c>
      <c r="D9770" t="s">
        <v>597</v>
      </c>
      <c r="E9770">
        <f t="shared" si="458"/>
        <v>1.1904761904761904E-2</v>
      </c>
      <c r="F9770">
        <v>51</v>
      </c>
      <c r="G9770">
        <f>LOG(382/(51+1))</f>
        <v>0.86606001927690957</v>
      </c>
      <c r="H9770">
        <f>0.0119047619047619*1.99417689002514</f>
        <v>2.3740201071727848E-2</v>
      </c>
      <c r="I9770">
        <v>2.3740201071727949E-2</v>
      </c>
    </row>
    <row r="9771" spans="1:9" x14ac:dyDescent="0.25">
      <c r="A9771">
        <v>400</v>
      </c>
      <c r="B9771" t="s">
        <v>3047</v>
      </c>
      <c r="C9771" t="s">
        <v>10</v>
      </c>
      <c r="D9771" t="s">
        <v>805</v>
      </c>
      <c r="E9771">
        <f t="shared" si="458"/>
        <v>1.1904761904761904E-2</v>
      </c>
      <c r="F9771">
        <v>19</v>
      </c>
      <c r="G9771">
        <f>LOG(382/(19+1))</f>
        <v>1.2810333672477277</v>
      </c>
      <c r="H9771">
        <f>0.0119047619047619*2.94968833505258</f>
        <v>3.5115337322054511E-2</v>
      </c>
      <c r="I9771">
        <v>3.5115337322054567E-2</v>
      </c>
    </row>
    <row r="9772" spans="1:9" x14ac:dyDescent="0.25">
      <c r="A9772">
        <v>400</v>
      </c>
      <c r="B9772" t="s">
        <v>3047</v>
      </c>
      <c r="C9772" t="s">
        <v>10</v>
      </c>
      <c r="D9772" t="s">
        <v>1362</v>
      </c>
      <c r="E9772">
        <f t="shared" si="458"/>
        <v>1.1904761904761904E-2</v>
      </c>
      <c r="F9772">
        <v>12</v>
      </c>
      <c r="G9772">
        <f>LOG(382/(12+1))</f>
        <v>1.468120010604872</v>
      </c>
      <c r="H9772">
        <f>0.0119047619047619*3.38047125114503</f>
        <v>4.0243705370774152E-2</v>
      </c>
      <c r="I9772">
        <v>4.0243705370774263E-2</v>
      </c>
    </row>
    <row r="9773" spans="1:9" x14ac:dyDescent="0.25">
      <c r="A9773">
        <v>400</v>
      </c>
      <c r="B9773" t="s">
        <v>3047</v>
      </c>
      <c r="C9773" t="s">
        <v>10</v>
      </c>
      <c r="D9773" t="s">
        <v>121</v>
      </c>
      <c r="E9773">
        <f t="shared" si="458"/>
        <v>1.1904761904761904E-2</v>
      </c>
      <c r="F9773">
        <v>22</v>
      </c>
      <c r="G9773">
        <f>LOG(382/(22+1))</f>
        <v>1.2203355268941158</v>
      </c>
      <c r="H9773">
        <f>0.0119047619047619*2.80992639267742</f>
        <v>3.3451504674731174E-2</v>
      </c>
      <c r="I9773">
        <v>3.3451504674731257E-2</v>
      </c>
    </row>
    <row r="9774" spans="1:9" x14ac:dyDescent="0.25">
      <c r="A9774">
        <v>400</v>
      </c>
      <c r="B9774" t="s">
        <v>3047</v>
      </c>
      <c r="C9774" t="s">
        <v>10</v>
      </c>
      <c r="D9774" t="s">
        <v>913</v>
      </c>
      <c r="E9774">
        <f t="shared" si="458"/>
        <v>1.1904761904761904E-2</v>
      </c>
      <c r="F9774">
        <v>14</v>
      </c>
      <c r="G9774">
        <f>LOG(382/(14+1))</f>
        <v>1.4059721038560276</v>
      </c>
      <c r="H9774">
        <f>0.0119047619047619*3.23737040750436</f>
        <v>3.8540123898861411E-2</v>
      </c>
      <c r="I9774">
        <v>3.8540123898861488E-2</v>
      </c>
    </row>
    <row r="9775" spans="1:9" x14ac:dyDescent="0.25">
      <c r="A9775">
        <v>400</v>
      </c>
      <c r="B9775" t="s">
        <v>3047</v>
      </c>
      <c r="C9775" t="s">
        <v>10</v>
      </c>
      <c r="D9775" t="s">
        <v>144</v>
      </c>
      <c r="E9775">
        <f t="shared" si="458"/>
        <v>1.1904761904761904E-2</v>
      </c>
      <c r="F9775">
        <v>105</v>
      </c>
      <c r="G9775">
        <f>LOG(382/(105+1))</f>
        <v>0.55675749764693849</v>
      </c>
      <c r="H9775">
        <f>0.0119047619047619*1.2819815144945</f>
        <v>1.526168469636309E-2</v>
      </c>
      <c r="I9775">
        <v>1.526168469636319E-2</v>
      </c>
    </row>
    <row r="9776" spans="1:9" x14ac:dyDescent="0.25">
      <c r="A9776">
        <v>400</v>
      </c>
      <c r="B9776" t="s">
        <v>3047</v>
      </c>
      <c r="C9776" t="s">
        <v>10</v>
      </c>
      <c r="D9776" t="s">
        <v>331</v>
      </c>
      <c r="E9776">
        <f t="shared" si="458"/>
        <v>1.1904761904761904E-2</v>
      </c>
      <c r="F9776">
        <v>130</v>
      </c>
      <c r="G9776">
        <f>LOG(382/(130+1))</f>
        <v>0.46479206725594452</v>
      </c>
      <c r="H9776">
        <f>0.0119047619047619*1.07022328540542</f>
        <v>1.2740753397683569E-2</v>
      </c>
      <c r="I9776">
        <v>1.274075339768361E-2</v>
      </c>
    </row>
    <row r="9777" spans="1:9" x14ac:dyDescent="0.25">
      <c r="A9777">
        <v>400</v>
      </c>
      <c r="B9777" t="s">
        <v>3047</v>
      </c>
      <c r="C9777" t="s">
        <v>10</v>
      </c>
      <c r="D9777" t="s">
        <v>78</v>
      </c>
      <c r="E9777">
        <f t="shared" si="458"/>
        <v>1.1904761904761904E-2</v>
      </c>
      <c r="F9777">
        <v>122</v>
      </c>
      <c r="G9777">
        <f>LOG(382/(122+1))</f>
        <v>0.49215825147231079</v>
      </c>
      <c r="H9777">
        <f>0.0119047619047619*1.13323625323415</f>
        <v>1.3490907776597019E-2</v>
      </c>
      <c r="I9777">
        <v>1.3490907776597109E-2</v>
      </c>
    </row>
    <row r="9778" spans="1:9" x14ac:dyDescent="0.25">
      <c r="A9778">
        <v>400</v>
      </c>
      <c r="B9778" t="s">
        <v>3047</v>
      </c>
      <c r="C9778" t="s">
        <v>10</v>
      </c>
      <c r="D9778" t="s">
        <v>342</v>
      </c>
      <c r="E9778">
        <f t="shared" si="458"/>
        <v>1.1904761904761904E-2</v>
      </c>
      <c r="F9778">
        <v>35</v>
      </c>
      <c r="G9778">
        <f>LOG(382/(35+1))</f>
        <v>1.0257608621444214</v>
      </c>
      <c r="H9778">
        <f>0.0119047619047619*2.36190167015046</f>
        <v>2.8117877025600705E-2</v>
      </c>
      <c r="I9778">
        <v>2.8117877025600771E-2</v>
      </c>
    </row>
    <row r="9779" spans="1:9" x14ac:dyDescent="0.25">
      <c r="A9779">
        <v>401</v>
      </c>
      <c r="B9779" t="s">
        <v>3063</v>
      </c>
      <c r="C9779" t="s">
        <v>10</v>
      </c>
      <c r="D9779" t="s">
        <v>1081</v>
      </c>
      <c r="E9779">
        <f>3/46</f>
        <v>6.5217391304347824E-2</v>
      </c>
      <c r="F9779">
        <v>27</v>
      </c>
      <c r="G9779">
        <f>LOG(382/(27+1))</f>
        <v>1.1349053315694895</v>
      </c>
      <c r="H9779">
        <f>0.0652173913043478*2.61321609843137</f>
        <v>0.1704271368542197</v>
      </c>
      <c r="I9779">
        <v>0.17042713685421981</v>
      </c>
    </row>
    <row r="9780" spans="1:9" x14ac:dyDescent="0.25">
      <c r="A9780">
        <v>401</v>
      </c>
      <c r="B9780" t="s">
        <v>3063</v>
      </c>
      <c r="C9780" t="s">
        <v>10</v>
      </c>
      <c r="D9780" t="s">
        <v>3064</v>
      </c>
      <c r="E9780">
        <f>4/46</f>
        <v>8.6956521739130432E-2</v>
      </c>
      <c r="F9780">
        <v>1</v>
      </c>
      <c r="G9780">
        <f>LOG(382/(1+1))</f>
        <v>2.2810333672477277</v>
      </c>
      <c r="H9780">
        <f>0.0869565217391304*5.25227342804663</f>
        <v>0.45671942852579372</v>
      </c>
      <c r="I9780">
        <v>0.45671942852579389</v>
      </c>
    </row>
    <row r="9781" spans="1:9" x14ac:dyDescent="0.25">
      <c r="A9781">
        <v>401</v>
      </c>
      <c r="B9781" t="s">
        <v>3063</v>
      </c>
      <c r="C9781" t="s">
        <v>10</v>
      </c>
      <c r="D9781" t="s">
        <v>247</v>
      </c>
      <c r="E9781">
        <f t="shared" ref="E9781:E9793" si="459">1/46</f>
        <v>2.1739130434782608E-2</v>
      </c>
      <c r="F9781">
        <v>121</v>
      </c>
      <c r="G9781">
        <f>LOG(382/(121+1))</f>
        <v>0.49570353223696051</v>
      </c>
      <c r="H9781">
        <f>0.0217391304347826*1.14139956387331</f>
        <v>2.4813033997245864E-2</v>
      </c>
      <c r="I9781">
        <v>2.4813033997246058E-2</v>
      </c>
    </row>
    <row r="9782" spans="1:9" x14ac:dyDescent="0.25">
      <c r="A9782">
        <v>401</v>
      </c>
      <c r="B9782" t="s">
        <v>3063</v>
      </c>
      <c r="C9782" t="s">
        <v>10</v>
      </c>
      <c r="D9782" t="s">
        <v>39</v>
      </c>
      <c r="E9782">
        <f t="shared" si="459"/>
        <v>2.1739130434782608E-2</v>
      </c>
      <c r="F9782">
        <v>145</v>
      </c>
      <c r="G9782">
        <f>LOG(382/(145+1))</f>
        <v>0.41771050712727159</v>
      </c>
      <c r="H9782">
        <f>0.0217391304347826*0.961813986898238</f>
        <v>2.090899971517908E-2</v>
      </c>
      <c r="I9782">
        <v>2.0908999715179101E-2</v>
      </c>
    </row>
    <row r="9783" spans="1:9" x14ac:dyDescent="0.25">
      <c r="A9783">
        <v>401</v>
      </c>
      <c r="B9783" t="s">
        <v>3063</v>
      </c>
      <c r="C9783" t="s">
        <v>10</v>
      </c>
      <c r="D9783" t="s">
        <v>42</v>
      </c>
      <c r="E9783">
        <f t="shared" si="459"/>
        <v>2.1739130434782608E-2</v>
      </c>
      <c r="F9783">
        <v>251</v>
      </c>
      <c r="G9783">
        <f>LOG(382/(251+1))</f>
        <v>0.18066282213016463</v>
      </c>
      <c r="H9783">
        <f>0.0217391304347826*0.415991521095151</f>
        <v>9.0432939368511045E-3</v>
      </c>
      <c r="I9783">
        <v>9.043293936851127E-3</v>
      </c>
    </row>
    <row r="9784" spans="1:9" x14ac:dyDescent="0.25">
      <c r="A9784">
        <v>401</v>
      </c>
      <c r="B9784" t="s">
        <v>3063</v>
      </c>
      <c r="C9784" t="s">
        <v>10</v>
      </c>
      <c r="D9784" t="s">
        <v>15</v>
      </c>
      <c r="E9784">
        <f t="shared" si="459"/>
        <v>2.1739130434782608E-2</v>
      </c>
      <c r="F9784">
        <v>112</v>
      </c>
      <c r="G9784">
        <f>LOG(382/(112+1))</f>
        <v>0.52898491942828896</v>
      </c>
      <c r="H9784">
        <f>0.0217391304347826*1.21803278989423</f>
        <v>2.6478973693352819E-2</v>
      </c>
      <c r="I9784">
        <v>2.647897369335293E-2</v>
      </c>
    </row>
    <row r="9785" spans="1:9" x14ac:dyDescent="0.25">
      <c r="A9785">
        <v>401</v>
      </c>
      <c r="B9785" t="s">
        <v>3063</v>
      </c>
      <c r="C9785" t="s">
        <v>10</v>
      </c>
      <c r="D9785" t="s">
        <v>17</v>
      </c>
      <c r="E9785">
        <f t="shared" si="459"/>
        <v>2.1739130434782608E-2</v>
      </c>
      <c r="F9785">
        <v>169</v>
      </c>
      <c r="G9785">
        <f>LOG(382/(169+1))</f>
        <v>0.3516144415334348</v>
      </c>
      <c r="H9785">
        <f>0.0217391304347826*0.809622171556313</f>
        <v>1.7600481990354626E-2</v>
      </c>
      <c r="I9785">
        <v>1.760048199035464E-2</v>
      </c>
    </row>
    <row r="9786" spans="1:9" x14ac:dyDescent="0.25">
      <c r="A9786">
        <v>401</v>
      </c>
      <c r="B9786" t="s">
        <v>3063</v>
      </c>
      <c r="C9786" t="s">
        <v>10</v>
      </c>
      <c r="D9786" t="s">
        <v>920</v>
      </c>
      <c r="E9786">
        <f t="shared" si="459"/>
        <v>2.1739130434782608E-2</v>
      </c>
      <c r="F9786">
        <v>30</v>
      </c>
      <c r="G9786">
        <f>LOG(382/(30+1))</f>
        <v>1.090701669077436</v>
      </c>
      <c r="H9786">
        <f>0.0217391304347826*2.51143340412142</f>
        <v>5.4596378350465637E-2</v>
      </c>
      <c r="I9786">
        <v>5.4596378350465838E-2</v>
      </c>
    </row>
    <row r="9787" spans="1:9" x14ac:dyDescent="0.25">
      <c r="A9787">
        <v>401</v>
      </c>
      <c r="B9787" t="s">
        <v>3063</v>
      </c>
      <c r="C9787" t="s">
        <v>10</v>
      </c>
      <c r="D9787" t="s">
        <v>19</v>
      </c>
      <c r="E9787">
        <f t="shared" si="459"/>
        <v>2.1739130434782608E-2</v>
      </c>
      <c r="F9787">
        <v>220</v>
      </c>
      <c r="G9787">
        <f>LOG(382/(220+1))</f>
        <v>0.23767108922659805</v>
      </c>
      <c r="H9787">
        <f>0.0217391304347826*0.547257907088822</f>
        <v>1.1896911023670041E-2</v>
      </c>
      <c r="I9787">
        <v>1.189691102367005E-2</v>
      </c>
    </row>
    <row r="9788" spans="1:9" x14ac:dyDescent="0.25">
      <c r="A9788">
        <v>401</v>
      </c>
      <c r="B9788" t="s">
        <v>3063</v>
      </c>
      <c r="C9788" t="s">
        <v>10</v>
      </c>
      <c r="D9788" t="s">
        <v>44</v>
      </c>
      <c r="E9788">
        <f t="shared" si="459"/>
        <v>2.1739130434782608E-2</v>
      </c>
      <c r="F9788">
        <v>151</v>
      </c>
      <c r="G9788">
        <f>LOG(382/(151+1))</f>
        <v>0.40021977496693617</v>
      </c>
      <c r="H9788">
        <f>0.0217391304347826*0.921540087760298</f>
        <v>2.0033480168702125E-2</v>
      </c>
      <c r="I9788">
        <v>2.0033480168702149E-2</v>
      </c>
    </row>
    <row r="9789" spans="1:9" x14ac:dyDescent="0.25">
      <c r="A9789">
        <v>401</v>
      </c>
      <c r="B9789" t="s">
        <v>3063</v>
      </c>
      <c r="C9789" t="s">
        <v>10</v>
      </c>
      <c r="D9789" t="s">
        <v>22</v>
      </c>
      <c r="E9789">
        <f t="shared" si="459"/>
        <v>2.1739130434782608E-2</v>
      </c>
      <c r="F9789">
        <v>259</v>
      </c>
      <c r="G9789">
        <f>LOG(382/(259+1))</f>
        <v>0.16709001494089079</v>
      </c>
      <c r="H9789">
        <f>0.0217391304347826*0.384738977591047</f>
        <v>8.363890817196672E-3</v>
      </c>
      <c r="I9789">
        <v>8.3638908171966859E-3</v>
      </c>
    </row>
    <row r="9790" spans="1:9" x14ac:dyDescent="0.25">
      <c r="A9790">
        <v>401</v>
      </c>
      <c r="B9790" t="s">
        <v>3063</v>
      </c>
      <c r="C9790" t="s">
        <v>10</v>
      </c>
      <c r="D9790" t="s">
        <v>23</v>
      </c>
      <c r="E9790">
        <f t="shared" si="459"/>
        <v>2.1739130434782608E-2</v>
      </c>
      <c r="F9790">
        <v>275</v>
      </c>
      <c r="G9790">
        <f>LOG(382/(275+1))</f>
        <v>0.14115428084649101</v>
      </c>
      <c r="H9790">
        <f>0.0217391304347826*0.325019742889425</f>
        <v>7.0656465845527145E-3</v>
      </c>
      <c r="I9790">
        <v>7.0656465845527214E-3</v>
      </c>
    </row>
    <row r="9791" spans="1:9" x14ac:dyDescent="0.25">
      <c r="A9791">
        <v>401</v>
      </c>
      <c r="B9791" t="s">
        <v>3063</v>
      </c>
      <c r="C9791" t="s">
        <v>10</v>
      </c>
      <c r="D9791" t="s">
        <v>315</v>
      </c>
      <c r="E9791">
        <f t="shared" si="459"/>
        <v>2.1739130434782608E-2</v>
      </c>
      <c r="F9791">
        <v>55</v>
      </c>
      <c r="G9791">
        <f>LOG(382/(55+1))</f>
        <v>0.83387533590550833</v>
      </c>
      <c r="H9791">
        <f>0.0217391304347826*1.92006891787142</f>
        <v>4.1740628649378685E-2</v>
      </c>
      <c r="I9791">
        <v>4.1740628649378823E-2</v>
      </c>
    </row>
    <row r="9792" spans="1:9" x14ac:dyDescent="0.25">
      <c r="A9792">
        <v>401</v>
      </c>
      <c r="B9792" t="s">
        <v>3063</v>
      </c>
      <c r="C9792" t="s">
        <v>10</v>
      </c>
      <c r="D9792" t="s">
        <v>3065</v>
      </c>
      <c r="E9792">
        <f t="shared" si="459"/>
        <v>2.1739130434782608E-2</v>
      </c>
      <c r="F9792">
        <v>1</v>
      </c>
      <c r="G9792">
        <f>LOG(382/(1+1))</f>
        <v>2.2810333672477277</v>
      </c>
      <c r="H9792">
        <f>0.0217391304347826*5.25227342804663</f>
        <v>0.11417985713144843</v>
      </c>
      <c r="I9792">
        <v>0.1141798571314485</v>
      </c>
    </row>
    <row r="9793" spans="1:9" x14ac:dyDescent="0.25">
      <c r="A9793">
        <v>401</v>
      </c>
      <c r="B9793" t="s">
        <v>3063</v>
      </c>
      <c r="C9793" t="s">
        <v>10</v>
      </c>
      <c r="D9793" t="s">
        <v>152</v>
      </c>
      <c r="E9793">
        <f t="shared" si="459"/>
        <v>2.1739130434782608E-2</v>
      </c>
      <c r="F9793">
        <v>31</v>
      </c>
      <c r="G9793">
        <f>LOG(382/(31+1))</f>
        <v>1.0769133845918029</v>
      </c>
      <c r="H9793">
        <f>0.0217391304347826*2.47968470580684</f>
        <v>5.3906189256670414E-2</v>
      </c>
      <c r="I9793">
        <v>5.3906189256670622E-2</v>
      </c>
    </row>
    <row r="9794" spans="1:9" x14ac:dyDescent="0.25">
      <c r="A9794">
        <v>401</v>
      </c>
      <c r="B9794" t="s">
        <v>3063</v>
      </c>
      <c r="C9794" t="s">
        <v>10</v>
      </c>
      <c r="D9794" t="s">
        <v>77</v>
      </c>
      <c r="E9794">
        <f>2/46</f>
        <v>4.3478260869565216E-2</v>
      </c>
      <c r="F9794">
        <v>148</v>
      </c>
      <c r="G9794">
        <f>LOG(382/(148+1))</f>
        <v>0.40887709449943471</v>
      </c>
      <c r="H9794">
        <f>0.0434782608695652*0.941474302661116</f>
        <v>4.0933665333091986E-2</v>
      </c>
      <c r="I9794">
        <v>4.0933665333091999E-2</v>
      </c>
    </row>
    <row r="9795" spans="1:9" x14ac:dyDescent="0.25">
      <c r="A9795">
        <v>401</v>
      </c>
      <c r="B9795" t="s">
        <v>3063</v>
      </c>
      <c r="C9795" t="s">
        <v>10</v>
      </c>
      <c r="D9795" t="s">
        <v>78</v>
      </c>
      <c r="E9795">
        <f t="shared" ref="E9795:E9818" si="460">1/46</f>
        <v>2.1739130434782608E-2</v>
      </c>
      <c r="F9795">
        <v>122</v>
      </c>
      <c r="G9795">
        <f>LOG(382/(122+1))</f>
        <v>0.49215825147231079</v>
      </c>
      <c r="H9795">
        <f>0.0217391304347826*1.13323625323415</f>
        <v>2.4635570722481515E-2</v>
      </c>
      <c r="I9795">
        <v>2.4635570722481681E-2</v>
      </c>
    </row>
    <row r="9796" spans="1:9" x14ac:dyDescent="0.25">
      <c r="A9796">
        <v>401</v>
      </c>
      <c r="B9796" t="s">
        <v>3063</v>
      </c>
      <c r="C9796" t="s">
        <v>10</v>
      </c>
      <c r="D9796" t="s">
        <v>483</v>
      </c>
      <c r="E9796">
        <f t="shared" si="460"/>
        <v>2.1739130434782608E-2</v>
      </c>
      <c r="F9796">
        <v>61</v>
      </c>
      <c r="G9796">
        <f>LOG(382/(61+1))</f>
        <v>0.7896716734134549</v>
      </c>
      <c r="H9796">
        <f>0.0217391304347826*1.81828622356148</f>
        <v>3.9527961381771295E-2</v>
      </c>
      <c r="I9796">
        <v>3.9527961381771379E-2</v>
      </c>
    </row>
    <row r="9797" spans="1:9" x14ac:dyDescent="0.25">
      <c r="A9797">
        <v>401</v>
      </c>
      <c r="B9797" t="s">
        <v>3063</v>
      </c>
      <c r="C9797" t="s">
        <v>10</v>
      </c>
      <c r="D9797" t="s">
        <v>994</v>
      </c>
      <c r="E9797">
        <f t="shared" si="460"/>
        <v>2.1739130434782608E-2</v>
      </c>
      <c r="F9797">
        <v>37</v>
      </c>
      <c r="G9797">
        <f>LOG(382/(37+1))</f>
        <v>1.0022797662948986</v>
      </c>
      <c r="H9797">
        <f>0.0217391304347826*2.30783444888018</f>
        <v>5.0170314106090852E-2</v>
      </c>
      <c r="I9797">
        <v>5.0170314106091067E-2</v>
      </c>
    </row>
    <row r="9798" spans="1:9" x14ac:dyDescent="0.25">
      <c r="A9798">
        <v>401</v>
      </c>
      <c r="B9798" t="s">
        <v>3063</v>
      </c>
      <c r="C9798" t="s">
        <v>10</v>
      </c>
      <c r="D9798" t="s">
        <v>327</v>
      </c>
      <c r="E9798">
        <f t="shared" si="460"/>
        <v>2.1739130434782608E-2</v>
      </c>
      <c r="F9798">
        <v>46</v>
      </c>
      <c r="G9798">
        <f>LOG(382/(46+1))</f>
        <v>0.90996550497599127</v>
      </c>
      <c r="H9798">
        <f>0.0217391304347826*2.09527300689651</f>
        <v>4.5549413193402381E-2</v>
      </c>
      <c r="I9798">
        <v>4.5549413193402527E-2</v>
      </c>
    </row>
    <row r="9799" spans="1:9" x14ac:dyDescent="0.25">
      <c r="A9799">
        <v>401</v>
      </c>
      <c r="B9799" t="s">
        <v>3063</v>
      </c>
      <c r="C9799" t="s">
        <v>10</v>
      </c>
      <c r="D9799" t="s">
        <v>1083</v>
      </c>
      <c r="E9799">
        <f t="shared" si="460"/>
        <v>2.1739130434782608E-2</v>
      </c>
      <c r="F9799">
        <v>51</v>
      </c>
      <c r="G9799">
        <f>LOG(382/(51+1))</f>
        <v>0.86606001927690957</v>
      </c>
      <c r="H9799">
        <f>0.0217391304347826*1.99417689002514</f>
        <v>4.335167152228564E-2</v>
      </c>
      <c r="I9799">
        <v>4.335167152228582E-2</v>
      </c>
    </row>
    <row r="9800" spans="1:9" x14ac:dyDescent="0.25">
      <c r="A9800">
        <v>401</v>
      </c>
      <c r="B9800" t="s">
        <v>3063</v>
      </c>
      <c r="C9800" t="s">
        <v>10</v>
      </c>
      <c r="D9800" t="s">
        <v>133</v>
      </c>
      <c r="E9800">
        <f t="shared" si="460"/>
        <v>2.1739130434782608E-2</v>
      </c>
      <c r="F9800">
        <v>142</v>
      </c>
      <c r="G9800">
        <f>LOG(382/(142+1))</f>
        <v>0.42672732544664693</v>
      </c>
      <c r="H9800">
        <f>0.0217391304347826*0.982575978346667</f>
        <v>2.1360347355362318E-2</v>
      </c>
      <c r="I9800">
        <v>2.1360347355362349E-2</v>
      </c>
    </row>
    <row r="9801" spans="1:9" x14ac:dyDescent="0.25">
      <c r="A9801">
        <v>401</v>
      </c>
      <c r="B9801" t="s">
        <v>3063</v>
      </c>
      <c r="C9801" t="s">
        <v>10</v>
      </c>
      <c r="D9801" t="s">
        <v>331</v>
      </c>
      <c r="E9801">
        <f t="shared" si="460"/>
        <v>2.1739130434782608E-2</v>
      </c>
      <c r="F9801">
        <v>130</v>
      </c>
      <c r="G9801">
        <f>LOG(382/(130+1))</f>
        <v>0.46479206725594452</v>
      </c>
      <c r="H9801">
        <f>0.0217391304347826*1.07022328540542</f>
        <v>2.3265723595769994E-2</v>
      </c>
      <c r="I9801">
        <v>2.3265723595770081E-2</v>
      </c>
    </row>
    <row r="9802" spans="1:9" x14ac:dyDescent="0.25">
      <c r="A9802">
        <v>401</v>
      </c>
      <c r="B9802" t="s">
        <v>3063</v>
      </c>
      <c r="C9802" t="s">
        <v>10</v>
      </c>
      <c r="D9802" t="s">
        <v>3066</v>
      </c>
      <c r="E9802">
        <f t="shared" si="460"/>
        <v>2.1739130434782608E-2</v>
      </c>
      <c r="F9802">
        <v>1</v>
      </c>
      <c r="G9802">
        <f>LOG(382/(1+1))</f>
        <v>2.2810333672477277</v>
      </c>
      <c r="H9802">
        <f>0.0217391304347826*5.25227342804663</f>
        <v>0.11417985713144843</v>
      </c>
      <c r="I9802">
        <v>0.1141798571314485</v>
      </c>
    </row>
    <row r="9803" spans="1:9" x14ac:dyDescent="0.25">
      <c r="A9803">
        <v>401</v>
      </c>
      <c r="B9803" t="s">
        <v>3063</v>
      </c>
      <c r="C9803" t="s">
        <v>10</v>
      </c>
      <c r="D9803" t="s">
        <v>144</v>
      </c>
      <c r="E9803">
        <f t="shared" si="460"/>
        <v>2.1739130434782608E-2</v>
      </c>
      <c r="F9803">
        <v>105</v>
      </c>
      <c r="G9803">
        <f>LOG(382/(105+1))</f>
        <v>0.55675749764693849</v>
      </c>
      <c r="H9803">
        <f>0.0217391304347826*1.2819815144945</f>
        <v>2.7869163358576077E-2</v>
      </c>
      <c r="I9803">
        <v>2.7869163358576261E-2</v>
      </c>
    </row>
    <row r="9804" spans="1:9" x14ac:dyDescent="0.25">
      <c r="A9804">
        <v>401</v>
      </c>
      <c r="B9804" t="s">
        <v>3063</v>
      </c>
      <c r="C9804" t="s">
        <v>10</v>
      </c>
      <c r="D9804" t="s">
        <v>224</v>
      </c>
      <c r="E9804">
        <f t="shared" si="460"/>
        <v>2.1739130434782608E-2</v>
      </c>
      <c r="F9804">
        <v>16</v>
      </c>
      <c r="G9804">
        <f>LOG(382/(16+1))</f>
        <v>1.3516144415334348</v>
      </c>
      <c r="H9804">
        <f>0.0217391304347826*3.11220726455035</f>
        <v>6.765667966413802E-2</v>
      </c>
      <c r="I9804">
        <v>6.7656679664138242E-2</v>
      </c>
    </row>
    <row r="9805" spans="1:9" x14ac:dyDescent="0.25">
      <c r="A9805">
        <v>401</v>
      </c>
      <c r="B9805" t="s">
        <v>3063</v>
      </c>
      <c r="C9805" t="s">
        <v>10</v>
      </c>
      <c r="D9805" t="s">
        <v>3006</v>
      </c>
      <c r="E9805">
        <f t="shared" si="460"/>
        <v>2.1739130434782608E-2</v>
      </c>
      <c r="F9805">
        <v>2</v>
      </c>
      <c r="G9805">
        <f>LOG(382/(2+1))</f>
        <v>2.1049421081920463</v>
      </c>
      <c r="H9805">
        <f>0.0217391304347826*4.84680831993846</f>
        <v>0.1053653982595317</v>
      </c>
      <c r="I9805">
        <v>0.10536539825953189</v>
      </c>
    </row>
    <row r="9806" spans="1:9" x14ac:dyDescent="0.25">
      <c r="A9806">
        <v>401</v>
      </c>
      <c r="B9806" t="s">
        <v>3063</v>
      </c>
      <c r="C9806" t="s">
        <v>10</v>
      </c>
      <c r="D9806" t="s">
        <v>2468</v>
      </c>
      <c r="E9806">
        <f t="shared" si="460"/>
        <v>2.1739130434782608E-2</v>
      </c>
      <c r="F9806">
        <v>7</v>
      </c>
      <c r="G9806">
        <f>LOG(382/(7+1))</f>
        <v>1.6789733759197651</v>
      </c>
      <c r="H9806">
        <f>0.0217391304347826*3.86597906692673</f>
        <v>8.4043023194059319E-2</v>
      </c>
      <c r="I9806">
        <v>8.4043023194059541E-2</v>
      </c>
    </row>
    <row r="9807" spans="1:9" x14ac:dyDescent="0.25">
      <c r="A9807">
        <v>401</v>
      </c>
      <c r="B9807" t="s">
        <v>3063</v>
      </c>
      <c r="C9807" t="s">
        <v>10</v>
      </c>
      <c r="D9807" t="s">
        <v>98</v>
      </c>
      <c r="E9807">
        <f t="shared" si="460"/>
        <v>2.1739130434782608E-2</v>
      </c>
      <c r="F9807">
        <v>56</v>
      </c>
      <c r="G9807">
        <f>LOG(382/(56+1))</f>
        <v>0.82618850723921733</v>
      </c>
      <c r="H9807">
        <f>0.0217391304347826*1.90236934077202</f>
        <v>4.135585523417433E-2</v>
      </c>
      <c r="I9807">
        <v>4.1355855234174448E-2</v>
      </c>
    </row>
    <row r="9808" spans="1:9" x14ac:dyDescent="0.25">
      <c r="A9808">
        <v>401</v>
      </c>
      <c r="B9808" t="s">
        <v>3063</v>
      </c>
      <c r="C9808" t="s">
        <v>10</v>
      </c>
      <c r="D9808" t="s">
        <v>211</v>
      </c>
      <c r="E9808">
        <f t="shared" si="460"/>
        <v>2.1739130434782608E-2</v>
      </c>
      <c r="F9808">
        <v>10</v>
      </c>
      <c r="G9808">
        <f>LOG(382/(10+1))</f>
        <v>1.5406706777534838</v>
      </c>
      <c r="H9808">
        <f>0.0217391304347826*3.5475253358082</f>
        <v>7.7120115995830407E-2</v>
      </c>
      <c r="I9808">
        <v>7.7120115995830532E-2</v>
      </c>
    </row>
    <row r="9809" spans="1:9" x14ac:dyDescent="0.25">
      <c r="A9809">
        <v>401</v>
      </c>
      <c r="B9809" t="s">
        <v>3063</v>
      </c>
      <c r="C9809" t="s">
        <v>10</v>
      </c>
      <c r="D9809" t="s">
        <v>865</v>
      </c>
      <c r="E9809">
        <f t="shared" si="460"/>
        <v>2.1739130434782608E-2</v>
      </c>
      <c r="F9809">
        <v>13</v>
      </c>
      <c r="G9809">
        <f>LOG(382/(13+1))</f>
        <v>1.4359353272334707</v>
      </c>
      <c r="H9809">
        <f>0.0217391304347826*3.30636327899131</f>
        <v>7.1877462586767582E-2</v>
      </c>
      <c r="I9809">
        <v>7.1877462586767749E-2</v>
      </c>
    </row>
    <row r="9810" spans="1:9" x14ac:dyDescent="0.25">
      <c r="A9810">
        <v>401</v>
      </c>
      <c r="B9810" t="s">
        <v>3063</v>
      </c>
      <c r="C9810" t="s">
        <v>10</v>
      </c>
      <c r="D9810" t="s">
        <v>3067</v>
      </c>
      <c r="E9810">
        <f t="shared" si="460"/>
        <v>2.1739130434782608E-2</v>
      </c>
      <c r="F9810">
        <v>1</v>
      </c>
      <c r="G9810">
        <f>LOG(382/(1+1))</f>
        <v>2.2810333672477277</v>
      </c>
      <c r="H9810">
        <f>0.0217391304347826*5.25227342804663</f>
        <v>0.11417985713144843</v>
      </c>
      <c r="I9810">
        <v>0.1141798571314485</v>
      </c>
    </row>
    <row r="9811" spans="1:9" x14ac:dyDescent="0.25">
      <c r="A9811">
        <v>401</v>
      </c>
      <c r="B9811" t="s">
        <v>3063</v>
      </c>
      <c r="C9811" t="s">
        <v>10</v>
      </c>
      <c r="D9811" t="s">
        <v>235</v>
      </c>
      <c r="E9811">
        <f t="shared" si="460"/>
        <v>2.1739130434782608E-2</v>
      </c>
      <c r="F9811">
        <v>2</v>
      </c>
      <c r="G9811">
        <f>LOG(382/(2+1))</f>
        <v>2.1049421081920463</v>
      </c>
      <c r="H9811">
        <f>0.0217391304347826*4.84680831993846</f>
        <v>0.1053653982595317</v>
      </c>
      <c r="I9811">
        <v>0.10536539825953189</v>
      </c>
    </row>
    <row r="9812" spans="1:9" x14ac:dyDescent="0.25">
      <c r="A9812">
        <v>401</v>
      </c>
      <c r="B9812" t="s">
        <v>3063</v>
      </c>
      <c r="C9812" t="s">
        <v>10</v>
      </c>
      <c r="D9812" t="s">
        <v>836</v>
      </c>
      <c r="E9812">
        <f t="shared" si="460"/>
        <v>2.1739130434782608E-2</v>
      </c>
      <c r="F9812">
        <v>21</v>
      </c>
      <c r="G9812">
        <f>LOG(382/(21+1))</f>
        <v>1.2396406820895025</v>
      </c>
      <c r="H9812">
        <f>0.0217391304347826*2.85437815524825</f>
        <v>6.2051699027135844E-2</v>
      </c>
      <c r="I9812">
        <v>6.2051699027136073E-2</v>
      </c>
    </row>
    <row r="9813" spans="1:9" x14ac:dyDescent="0.25">
      <c r="A9813">
        <v>401</v>
      </c>
      <c r="B9813" t="s">
        <v>3063</v>
      </c>
      <c r="C9813" t="s">
        <v>10</v>
      </c>
      <c r="D9813" t="s">
        <v>3068</v>
      </c>
      <c r="E9813">
        <f t="shared" si="460"/>
        <v>2.1739130434782608E-2</v>
      </c>
      <c r="F9813">
        <v>1</v>
      </c>
      <c r="G9813">
        <f>LOG(382/(1+1))</f>
        <v>2.2810333672477277</v>
      </c>
      <c r="H9813">
        <f>0.0217391304347826*5.25227342804663</f>
        <v>0.11417985713144843</v>
      </c>
      <c r="I9813">
        <v>0.1141798571314485</v>
      </c>
    </row>
    <row r="9814" spans="1:9" x14ac:dyDescent="0.25">
      <c r="A9814">
        <v>401</v>
      </c>
      <c r="B9814" t="s">
        <v>3063</v>
      </c>
      <c r="C9814" t="s">
        <v>10</v>
      </c>
      <c r="D9814" t="s">
        <v>237</v>
      </c>
      <c r="E9814">
        <f t="shared" si="460"/>
        <v>2.1739130434782608E-2</v>
      </c>
      <c r="F9814">
        <v>138</v>
      </c>
      <c r="G9814">
        <f>LOG(382/(138+1))</f>
        <v>0.43904856265761361</v>
      </c>
      <c r="H9814">
        <f>0.0217391304347826*1.01094667547588</f>
        <v>2.1977101640779994E-2</v>
      </c>
      <c r="I9814">
        <v>2.197710164078007E-2</v>
      </c>
    </row>
    <row r="9815" spans="1:9" x14ac:dyDescent="0.25">
      <c r="A9815">
        <v>401</v>
      </c>
      <c r="B9815" t="s">
        <v>3063</v>
      </c>
      <c r="C9815" t="s">
        <v>10</v>
      </c>
      <c r="D9815" t="s">
        <v>887</v>
      </c>
      <c r="E9815">
        <f t="shared" si="460"/>
        <v>2.1739130434782608E-2</v>
      </c>
      <c r="F9815">
        <v>12</v>
      </c>
      <c r="G9815">
        <f>LOG(382/(12+1))</f>
        <v>1.468120010604872</v>
      </c>
      <c r="H9815">
        <f>0.0217391304347826*3.38047125114503</f>
        <v>7.3488505459674544E-2</v>
      </c>
      <c r="I9815">
        <v>7.3488505459674752E-2</v>
      </c>
    </row>
    <row r="9816" spans="1:9" x14ac:dyDescent="0.25">
      <c r="A9816">
        <v>401</v>
      </c>
      <c r="B9816" t="s">
        <v>3063</v>
      </c>
      <c r="C9816" t="s">
        <v>10</v>
      </c>
      <c r="D9816" t="s">
        <v>888</v>
      </c>
      <c r="E9816">
        <f t="shared" si="460"/>
        <v>2.1739130434782608E-2</v>
      </c>
      <c r="F9816">
        <v>21</v>
      </c>
      <c r="G9816">
        <f>LOG(382/(21+1))</f>
        <v>1.2396406820895025</v>
      </c>
      <c r="H9816">
        <f>0.0217391304347826*2.85437815524825</f>
        <v>6.2051699027135844E-2</v>
      </c>
      <c r="I9816">
        <v>6.2051699027136073E-2</v>
      </c>
    </row>
    <row r="9817" spans="1:9" x14ac:dyDescent="0.25">
      <c r="A9817">
        <v>401</v>
      </c>
      <c r="B9817" t="s">
        <v>3063</v>
      </c>
      <c r="C9817" t="s">
        <v>10</v>
      </c>
      <c r="D9817" t="s">
        <v>263</v>
      </c>
      <c r="E9817">
        <f t="shared" si="460"/>
        <v>2.1739130434782608E-2</v>
      </c>
      <c r="F9817">
        <v>41</v>
      </c>
      <c r="G9817">
        <f>LOG(382/(41+1))</f>
        <v>0.95881407251380824</v>
      </c>
      <c r="H9817">
        <f>0.0217391304347826*2.2077509903232</f>
        <v>4.799458674615651E-2</v>
      </c>
      <c r="I9817">
        <v>4.799458674615667E-2</v>
      </c>
    </row>
    <row r="9818" spans="1:9" x14ac:dyDescent="0.25">
      <c r="A9818">
        <v>401</v>
      </c>
      <c r="B9818" t="s">
        <v>3063</v>
      </c>
      <c r="C9818" t="s">
        <v>10</v>
      </c>
      <c r="D9818" t="s">
        <v>676</v>
      </c>
      <c r="E9818">
        <f t="shared" si="460"/>
        <v>2.1739130434782608E-2</v>
      </c>
      <c r="F9818">
        <v>20</v>
      </c>
      <c r="G9818">
        <f>LOG(382/(20+1))</f>
        <v>1.2598440681777894</v>
      </c>
      <c r="H9818">
        <f>0.0217391304347826*2.90089817088315</f>
        <v>6.306300371485106E-2</v>
      </c>
      <c r="I9818">
        <v>6.3063003714851129E-2</v>
      </c>
    </row>
    <row r="9819" spans="1:9" x14ac:dyDescent="0.25">
      <c r="A9819">
        <v>402</v>
      </c>
      <c r="B9819" t="s">
        <v>3069</v>
      </c>
      <c r="C9819" t="s">
        <v>10</v>
      </c>
      <c r="D9819" t="s">
        <v>764</v>
      </c>
      <c r="E9819">
        <f>3/47</f>
        <v>6.3829787234042548E-2</v>
      </c>
      <c r="F9819">
        <v>57</v>
      </c>
      <c r="G9819">
        <f>LOG(382/(57+1))</f>
        <v>0.81863536934877146</v>
      </c>
      <c r="H9819">
        <f>0.0638297872340425*1.88497759806015</f>
        <v>0.12031771902511587</v>
      </c>
      <c r="I9819">
        <v>0.1203177190251163</v>
      </c>
    </row>
    <row r="9820" spans="1:9" x14ac:dyDescent="0.25">
      <c r="A9820">
        <v>402</v>
      </c>
      <c r="B9820" t="s">
        <v>3069</v>
      </c>
      <c r="C9820" t="s">
        <v>10</v>
      </c>
      <c r="D9820" t="s">
        <v>765</v>
      </c>
      <c r="E9820">
        <f>1/47</f>
        <v>2.1276595744680851E-2</v>
      </c>
      <c r="F9820">
        <v>44</v>
      </c>
      <c r="G9820">
        <f>LOG(382/(44+1))</f>
        <v>0.92885084913636506</v>
      </c>
      <c r="H9820">
        <f>0.0212765957446808*2.13875811883625</f>
        <v>4.5505491890132865E-2</v>
      </c>
      <c r="I9820">
        <v>4.5505491890133087E-2</v>
      </c>
    </row>
    <row r="9821" spans="1:9" x14ac:dyDescent="0.25">
      <c r="A9821">
        <v>402</v>
      </c>
      <c r="B9821" t="s">
        <v>3069</v>
      </c>
      <c r="C9821" t="s">
        <v>10</v>
      </c>
      <c r="D9821" t="s">
        <v>279</v>
      </c>
      <c r="E9821">
        <f>4/47</f>
        <v>8.5106382978723402E-2</v>
      </c>
      <c r="F9821">
        <v>22</v>
      </c>
      <c r="G9821">
        <f>LOG(382/(22+1))</f>
        <v>1.2203355268941158</v>
      </c>
      <c r="H9821">
        <f>0.0851063829787234*2.80992639267742</f>
        <v>0.23914267171722722</v>
      </c>
      <c r="I9821">
        <v>0.2391426717172277</v>
      </c>
    </row>
    <row r="9822" spans="1:9" x14ac:dyDescent="0.25">
      <c r="A9822">
        <v>402</v>
      </c>
      <c r="B9822" t="s">
        <v>3069</v>
      </c>
      <c r="C9822" t="s">
        <v>10</v>
      </c>
      <c r="D9822" t="s">
        <v>490</v>
      </c>
      <c r="E9822">
        <f>1/47</f>
        <v>2.1276595744680851E-2</v>
      </c>
      <c r="F9822">
        <v>31</v>
      </c>
      <c r="G9822">
        <f>LOG(382/(31+1))</f>
        <v>1.0769133845918029</v>
      </c>
      <c r="H9822">
        <f>0.0212765957446808*2.47968470580684</f>
        <v>5.2759249059719869E-2</v>
      </c>
      <c r="I9822">
        <v>5.2759249059720181E-2</v>
      </c>
    </row>
    <row r="9823" spans="1:9" x14ac:dyDescent="0.25">
      <c r="A9823">
        <v>402</v>
      </c>
      <c r="B9823" t="s">
        <v>3069</v>
      </c>
      <c r="C9823" t="s">
        <v>10</v>
      </c>
      <c r="D9823" t="s">
        <v>113</v>
      </c>
      <c r="E9823">
        <f>1/47</f>
        <v>2.1276595744680851E-2</v>
      </c>
      <c r="F9823">
        <v>8</v>
      </c>
      <c r="G9823">
        <f>LOG(382/(8+1))</f>
        <v>1.6278208534723839</v>
      </c>
      <c r="H9823">
        <f>0.0212765957446808*3.74819603127035</f>
        <v>7.9748851729156189E-2</v>
      </c>
      <c r="I9823">
        <v>7.9748851729156509E-2</v>
      </c>
    </row>
    <row r="9824" spans="1:9" x14ac:dyDescent="0.25">
      <c r="A9824">
        <v>402</v>
      </c>
      <c r="B9824" t="s">
        <v>3069</v>
      </c>
      <c r="C9824" t="s">
        <v>10</v>
      </c>
      <c r="D9824" t="s">
        <v>2468</v>
      </c>
      <c r="E9824">
        <f>1/47</f>
        <v>2.1276595744680851E-2</v>
      </c>
      <c r="F9824">
        <v>7</v>
      </c>
      <c r="G9824">
        <f>LOG(382/(7+1))</f>
        <v>1.6789733759197651</v>
      </c>
      <c r="H9824">
        <f>0.0212765957446808*3.86597906692673</f>
        <v>8.2254873764398315E-2</v>
      </c>
      <c r="I9824">
        <v>8.2254873764398703E-2</v>
      </c>
    </row>
    <row r="9825" spans="1:9" x14ac:dyDescent="0.25">
      <c r="A9825">
        <v>402</v>
      </c>
      <c r="B9825" t="s">
        <v>3069</v>
      </c>
      <c r="C9825" t="s">
        <v>10</v>
      </c>
      <c r="D9825" t="s">
        <v>600</v>
      </c>
      <c r="E9825">
        <f>2/47</f>
        <v>4.2553191489361701E-2</v>
      </c>
      <c r="F9825">
        <v>102</v>
      </c>
      <c r="G9825">
        <f>LOG(382/(102+1))</f>
        <v>0.56922613820653656</v>
      </c>
      <c r="H9825">
        <f>0.0425531914893617*1.31069162037693</f>
        <v>5.5774111505401278E-2</v>
      </c>
      <c r="I9825">
        <v>5.5774111505401673E-2</v>
      </c>
    </row>
    <row r="9826" spans="1:9" x14ac:dyDescent="0.25">
      <c r="A9826">
        <v>402</v>
      </c>
      <c r="B9826" t="s">
        <v>3069</v>
      </c>
      <c r="C9826" t="s">
        <v>10</v>
      </c>
      <c r="D9826" t="s">
        <v>3070</v>
      </c>
      <c r="E9826">
        <f>1/47</f>
        <v>2.1276595744680851E-2</v>
      </c>
      <c r="F9826">
        <v>1</v>
      </c>
      <c r="G9826">
        <f>LOG(382/(1+1))</f>
        <v>2.2810333672477277</v>
      </c>
      <c r="H9826">
        <f>0.0212765957446808*5.25227342804663</f>
        <v>0.11175049846907696</v>
      </c>
      <c r="I9826">
        <v>0.1117504984690772</v>
      </c>
    </row>
    <row r="9827" spans="1:9" x14ac:dyDescent="0.25">
      <c r="A9827">
        <v>402</v>
      </c>
      <c r="B9827" t="s">
        <v>3069</v>
      </c>
      <c r="C9827" t="s">
        <v>10</v>
      </c>
      <c r="D9827" t="s">
        <v>1374</v>
      </c>
      <c r="E9827">
        <f>1/47</f>
        <v>2.1276595744680851E-2</v>
      </c>
      <c r="F9827">
        <v>9</v>
      </c>
      <c r="G9827">
        <f>LOG(382/(9+1))</f>
        <v>1.5820633629117087</v>
      </c>
      <c r="H9827">
        <f>0.0212765957446808*3.64283551561252</f>
        <v>7.7507138630053429E-2</v>
      </c>
      <c r="I9827">
        <v>7.7507138630053818E-2</v>
      </c>
    </row>
    <row r="9828" spans="1:9" x14ac:dyDescent="0.25">
      <c r="A9828">
        <v>402</v>
      </c>
      <c r="B9828" t="s">
        <v>3069</v>
      </c>
      <c r="C9828" t="s">
        <v>10</v>
      </c>
      <c r="D9828" t="s">
        <v>11</v>
      </c>
      <c r="E9828">
        <f>3/47</f>
        <v>6.3829787234042548E-2</v>
      </c>
      <c r="F9828">
        <v>83</v>
      </c>
      <c r="G9828">
        <f>LOG(382/(83+1))</f>
        <v>0.65778407684982709</v>
      </c>
      <c r="H9828">
        <f>0.0638297872340425*1.51460380976326</f>
        <v>9.6676838921059077E-2</v>
      </c>
      <c r="I9828">
        <v>9.667683892105923E-2</v>
      </c>
    </row>
    <row r="9829" spans="1:9" x14ac:dyDescent="0.25">
      <c r="A9829">
        <v>402</v>
      </c>
      <c r="B9829" t="s">
        <v>3069</v>
      </c>
      <c r="C9829" t="s">
        <v>10</v>
      </c>
      <c r="D9829" t="s">
        <v>12</v>
      </c>
      <c r="E9829">
        <f>2/47</f>
        <v>4.2553191489361701E-2</v>
      </c>
      <c r="F9829">
        <v>28</v>
      </c>
      <c r="G9829">
        <f>LOG(382/(28+1))</f>
        <v>1.1196653650127526</v>
      </c>
      <c r="H9829">
        <f>0.0425531914893617*2.5781247786201</f>
        <v>0.10970743738808936</v>
      </c>
      <c r="I9829">
        <v>0.1097074373880894</v>
      </c>
    </row>
    <row r="9830" spans="1:9" x14ac:dyDescent="0.25">
      <c r="A9830">
        <v>402</v>
      </c>
      <c r="B9830" t="s">
        <v>3069</v>
      </c>
      <c r="C9830" t="s">
        <v>10</v>
      </c>
      <c r="D9830" t="s">
        <v>3071</v>
      </c>
      <c r="E9830">
        <f t="shared" ref="E9830:E9840" si="461">1/47</f>
        <v>2.1276595744680851E-2</v>
      </c>
      <c r="F9830">
        <v>6</v>
      </c>
      <c r="G9830">
        <f>LOG(382/(6+1))</f>
        <v>1.736965322897452</v>
      </c>
      <c r="H9830">
        <f>0.0212765957446808*3.99951045955126</f>
        <v>8.5095967224494681E-2</v>
      </c>
      <c r="I9830">
        <v>8.5095967224494931E-2</v>
      </c>
    </row>
    <row r="9831" spans="1:9" x14ac:dyDescent="0.25">
      <c r="A9831">
        <v>402</v>
      </c>
      <c r="B9831" t="s">
        <v>3069</v>
      </c>
      <c r="C9831" t="s">
        <v>10</v>
      </c>
      <c r="D9831" t="s">
        <v>1375</v>
      </c>
      <c r="E9831">
        <f t="shared" si="461"/>
        <v>2.1276595744680851E-2</v>
      </c>
      <c r="F9831">
        <v>5</v>
      </c>
      <c r="G9831">
        <f>LOG(382/(5+1))</f>
        <v>1.803912112528065</v>
      </c>
      <c r="H9831">
        <f>0.0212765957446808*4.15366113937852</f>
        <v>8.8375768922947018E-2</v>
      </c>
      <c r="I9831">
        <v>8.8375768922947226E-2</v>
      </c>
    </row>
    <row r="9832" spans="1:9" x14ac:dyDescent="0.25">
      <c r="A9832">
        <v>402</v>
      </c>
      <c r="B9832" t="s">
        <v>3069</v>
      </c>
      <c r="C9832" t="s">
        <v>10</v>
      </c>
      <c r="D9832" t="s">
        <v>3072</v>
      </c>
      <c r="E9832">
        <f t="shared" si="461"/>
        <v>2.1276595744680851E-2</v>
      </c>
      <c r="F9832">
        <v>3</v>
      </c>
      <c r="G9832">
        <f>LOG(382/(3+1))</f>
        <v>1.9800033715837464</v>
      </c>
      <c r="H9832">
        <f>0.0212765957446808*4.55912624748668</f>
        <v>9.7002686116737638E-2</v>
      </c>
      <c r="I9832">
        <v>9.7002686116737971E-2</v>
      </c>
    </row>
    <row r="9833" spans="1:9" x14ac:dyDescent="0.25">
      <c r="A9833">
        <v>402</v>
      </c>
      <c r="B9833" t="s">
        <v>3069</v>
      </c>
      <c r="C9833" t="s">
        <v>10</v>
      </c>
      <c r="D9833" t="s">
        <v>3073</v>
      </c>
      <c r="E9833">
        <f t="shared" si="461"/>
        <v>2.1276595744680851E-2</v>
      </c>
      <c r="F9833">
        <v>1</v>
      </c>
      <c r="G9833">
        <f>LOG(382/(1+1))</f>
        <v>2.2810333672477277</v>
      </c>
      <c r="H9833">
        <f>0.0212765957446808*5.25227342804663</f>
        <v>0.11175049846907696</v>
      </c>
      <c r="I9833">
        <v>0.1117504984690772</v>
      </c>
    </row>
    <row r="9834" spans="1:9" x14ac:dyDescent="0.25">
      <c r="A9834">
        <v>402</v>
      </c>
      <c r="B9834" t="s">
        <v>3069</v>
      </c>
      <c r="C9834" t="s">
        <v>10</v>
      </c>
      <c r="D9834" t="s">
        <v>3074</v>
      </c>
      <c r="E9834">
        <f t="shared" si="461"/>
        <v>2.1276595744680851E-2</v>
      </c>
      <c r="F9834">
        <v>4</v>
      </c>
      <c r="G9834">
        <f>LOG(382/(4+1))</f>
        <v>1.8830933585756899</v>
      </c>
      <c r="H9834">
        <f>0.0212765957446808*4.33598269617247</f>
        <v>9.2254950982392753E-2</v>
      </c>
      <c r="I9834">
        <v>9.2254950982393072E-2</v>
      </c>
    </row>
    <row r="9835" spans="1:9" x14ac:dyDescent="0.25">
      <c r="A9835">
        <v>402</v>
      </c>
      <c r="B9835" t="s">
        <v>3069</v>
      </c>
      <c r="C9835" t="s">
        <v>10</v>
      </c>
      <c r="D9835" t="s">
        <v>1359</v>
      </c>
      <c r="E9835">
        <f t="shared" si="461"/>
        <v>2.1276595744680851E-2</v>
      </c>
      <c r="F9835">
        <v>4</v>
      </c>
      <c r="G9835">
        <f>LOG(382/(4+1))</f>
        <v>1.8830933585756899</v>
      </c>
      <c r="H9835">
        <f>0.0212765957446808*4.33598269617247</f>
        <v>9.2254950982392753E-2</v>
      </c>
      <c r="I9835">
        <v>9.2254950982393072E-2</v>
      </c>
    </row>
    <row r="9836" spans="1:9" x14ac:dyDescent="0.25">
      <c r="A9836">
        <v>402</v>
      </c>
      <c r="B9836" t="s">
        <v>3069</v>
      </c>
      <c r="C9836" t="s">
        <v>10</v>
      </c>
      <c r="D9836" t="s">
        <v>3075</v>
      </c>
      <c r="E9836">
        <f t="shared" si="461"/>
        <v>2.1276595744680851E-2</v>
      </c>
      <c r="F9836">
        <v>1</v>
      </c>
      <c r="G9836">
        <f>LOG(382/(1+1))</f>
        <v>2.2810333672477277</v>
      </c>
      <c r="H9836">
        <f>0.0212765957446808*5.25227342804663</f>
        <v>0.11175049846907696</v>
      </c>
      <c r="I9836">
        <v>0.1117504984690772</v>
      </c>
    </row>
    <row r="9837" spans="1:9" x14ac:dyDescent="0.25">
      <c r="A9837">
        <v>402</v>
      </c>
      <c r="B9837" t="s">
        <v>3069</v>
      </c>
      <c r="C9837" t="s">
        <v>10</v>
      </c>
      <c r="D9837" t="s">
        <v>2105</v>
      </c>
      <c r="E9837">
        <f t="shared" si="461"/>
        <v>2.1276595744680851E-2</v>
      </c>
      <c r="F9837">
        <v>10</v>
      </c>
      <c r="G9837">
        <f>LOG(382/(10+1))</f>
        <v>1.5406706777534838</v>
      </c>
      <c r="H9837">
        <f>0.0212765957446808*3.5475253358082</f>
        <v>7.5479262464004077E-2</v>
      </c>
      <c r="I9837">
        <v>7.5479262464004354E-2</v>
      </c>
    </row>
    <row r="9838" spans="1:9" x14ac:dyDescent="0.25">
      <c r="A9838">
        <v>402</v>
      </c>
      <c r="B9838" t="s">
        <v>3069</v>
      </c>
      <c r="C9838" t="s">
        <v>10</v>
      </c>
      <c r="D9838" t="s">
        <v>222</v>
      </c>
      <c r="E9838">
        <f t="shared" si="461"/>
        <v>2.1276595744680851E-2</v>
      </c>
      <c r="F9838">
        <v>22</v>
      </c>
      <c r="G9838">
        <f>LOG(382/(22+1))</f>
        <v>1.2203355268941158</v>
      </c>
      <c r="H9838">
        <f>0.0212765957446808*2.80992639267742</f>
        <v>5.978566792930666E-2</v>
      </c>
      <c r="I9838">
        <v>5.9785667929306917E-2</v>
      </c>
    </row>
    <row r="9839" spans="1:9" x14ac:dyDescent="0.25">
      <c r="A9839">
        <v>402</v>
      </c>
      <c r="B9839" t="s">
        <v>3069</v>
      </c>
      <c r="C9839" t="s">
        <v>10</v>
      </c>
      <c r="D9839" t="s">
        <v>622</v>
      </c>
      <c r="E9839">
        <f t="shared" si="461"/>
        <v>2.1276595744680851E-2</v>
      </c>
      <c r="F9839">
        <v>2</v>
      </c>
      <c r="G9839">
        <f>LOG(382/(2+1))</f>
        <v>2.1049421081920463</v>
      </c>
      <c r="H9839">
        <f>0.0212765957446808*4.84680831993846</f>
        <v>0.10312358127528613</v>
      </c>
      <c r="I9839">
        <v>0.10312358127528649</v>
      </c>
    </row>
    <row r="9840" spans="1:9" x14ac:dyDescent="0.25">
      <c r="A9840">
        <v>402</v>
      </c>
      <c r="B9840" t="s">
        <v>3069</v>
      </c>
      <c r="C9840" t="s">
        <v>10</v>
      </c>
      <c r="D9840" t="s">
        <v>183</v>
      </c>
      <c r="E9840">
        <f t="shared" si="461"/>
        <v>2.1276595744680851E-2</v>
      </c>
      <c r="F9840">
        <v>46</v>
      </c>
      <c r="G9840">
        <f>LOG(382/(46+1))</f>
        <v>0.90996550497599127</v>
      </c>
      <c r="H9840">
        <f>0.0212765957446808*2.09527300689651</f>
        <v>4.458027674247883E-2</v>
      </c>
      <c r="I9840">
        <v>4.4580276742479073E-2</v>
      </c>
    </row>
    <row r="9841" spans="1:9" x14ac:dyDescent="0.25">
      <c r="A9841">
        <v>402</v>
      </c>
      <c r="B9841" t="s">
        <v>3069</v>
      </c>
      <c r="C9841" t="s">
        <v>10</v>
      </c>
      <c r="D9841" t="s">
        <v>1982</v>
      </c>
      <c r="E9841">
        <f>3/47</f>
        <v>6.3829787234042548E-2</v>
      </c>
      <c r="F9841">
        <v>3</v>
      </c>
      <c r="G9841">
        <f>LOG(382/(3+1))</f>
        <v>1.9800033715837464</v>
      </c>
      <c r="H9841">
        <f>0.0638297872340425*4.55912624748668</f>
        <v>0.29100805835021343</v>
      </c>
      <c r="I9841">
        <v>0.29100805835021393</v>
      </c>
    </row>
    <row r="9842" spans="1:9" x14ac:dyDescent="0.25">
      <c r="A9842">
        <v>402</v>
      </c>
      <c r="B9842" t="s">
        <v>3069</v>
      </c>
      <c r="C9842" t="s">
        <v>10</v>
      </c>
      <c r="D9842" t="s">
        <v>754</v>
      </c>
      <c r="E9842">
        <f>1/47</f>
        <v>2.1276595744680851E-2</v>
      </c>
      <c r="F9842">
        <v>111</v>
      </c>
      <c r="G9842">
        <f>LOG(382/(111+1))</f>
        <v>0.53284534024152708</v>
      </c>
      <c r="H9842">
        <f>0.0212765957446808*1.22692173731148</f>
        <v>2.6104717815137807E-2</v>
      </c>
      <c r="I9842">
        <v>2.6104717815137891E-2</v>
      </c>
    </row>
    <row r="9843" spans="1:9" x14ac:dyDescent="0.25">
      <c r="A9843">
        <v>402</v>
      </c>
      <c r="B9843" t="s">
        <v>3069</v>
      </c>
      <c r="C9843" t="s">
        <v>10</v>
      </c>
      <c r="D9843" t="s">
        <v>763</v>
      </c>
      <c r="E9843">
        <f>1/47</f>
        <v>2.1276595744680851E-2</v>
      </c>
      <c r="F9843">
        <v>47</v>
      </c>
      <c r="G9843">
        <f>LOG(382/(47+1))</f>
        <v>0.90082212553612151</v>
      </c>
      <c r="H9843">
        <f>0.0212765957446808*2.07421959769868</f>
        <v>4.4132331865929256E-2</v>
      </c>
      <c r="I9843">
        <v>4.413233186592945E-2</v>
      </c>
    </row>
    <row r="9844" spans="1:9" x14ac:dyDescent="0.25">
      <c r="A9844">
        <v>402</v>
      </c>
      <c r="B9844" t="s">
        <v>3069</v>
      </c>
      <c r="C9844" t="s">
        <v>10</v>
      </c>
      <c r="D9844" t="s">
        <v>331</v>
      </c>
      <c r="E9844">
        <f>2/47</f>
        <v>4.2553191489361701E-2</v>
      </c>
      <c r="F9844">
        <v>130</v>
      </c>
      <c r="G9844">
        <f>LOG(382/(130+1))</f>
        <v>0.46479206725594452</v>
      </c>
      <c r="H9844">
        <f>0.0425531914893617*1.07022328540542</f>
        <v>4.5541416400230642E-2</v>
      </c>
      <c r="I9844">
        <v>4.5541416400230787E-2</v>
      </c>
    </row>
    <row r="9845" spans="1:9" x14ac:dyDescent="0.25">
      <c r="A9845">
        <v>402</v>
      </c>
      <c r="B9845" t="s">
        <v>3069</v>
      </c>
      <c r="C9845" t="s">
        <v>10</v>
      </c>
      <c r="D9845" t="s">
        <v>1396</v>
      </c>
      <c r="E9845">
        <f t="shared" ref="E9845:E9853" si="462">1/47</f>
        <v>2.1276595744680851E-2</v>
      </c>
      <c r="F9845">
        <v>18</v>
      </c>
      <c r="G9845">
        <f>LOG(382/(18+1))</f>
        <v>1.3033097619588798</v>
      </c>
      <c r="H9845">
        <f>0.0212765957446808*3.00098162944013</f>
        <v>6.3850672966811128E-2</v>
      </c>
      <c r="I9845">
        <v>6.3850672966811378E-2</v>
      </c>
    </row>
    <row r="9846" spans="1:9" x14ac:dyDescent="0.25">
      <c r="A9846">
        <v>402</v>
      </c>
      <c r="B9846" t="s">
        <v>3069</v>
      </c>
      <c r="C9846" t="s">
        <v>10</v>
      </c>
      <c r="D9846" t="s">
        <v>1831</v>
      </c>
      <c r="E9846">
        <f t="shared" si="462"/>
        <v>2.1276595744680851E-2</v>
      </c>
      <c r="F9846">
        <v>28</v>
      </c>
      <c r="G9846">
        <f>LOG(382/(28+1))</f>
        <v>1.1196653650127526</v>
      </c>
      <c r="H9846">
        <f>0.0212765957446808*2.5781247786201</f>
        <v>5.485371869404454E-2</v>
      </c>
      <c r="I9846">
        <v>5.4853718694044713E-2</v>
      </c>
    </row>
    <row r="9847" spans="1:9" x14ac:dyDescent="0.25">
      <c r="A9847">
        <v>402</v>
      </c>
      <c r="B9847" t="s">
        <v>3069</v>
      </c>
      <c r="C9847" t="s">
        <v>10</v>
      </c>
      <c r="D9847" t="s">
        <v>76</v>
      </c>
      <c r="E9847">
        <f t="shared" si="462"/>
        <v>2.1276595744680851E-2</v>
      </c>
      <c r="F9847">
        <v>140</v>
      </c>
      <c r="G9847">
        <f>LOG(382/(140+1))</f>
        <v>0.43284425025632883</v>
      </c>
      <c r="H9847">
        <f>0.0212765957446808*0.996660718228407</f>
        <v>2.1205547196349032E-2</v>
      </c>
      <c r="I9847">
        <v>2.1205547196349081E-2</v>
      </c>
    </row>
    <row r="9848" spans="1:9" x14ac:dyDescent="0.25">
      <c r="A9848">
        <v>402</v>
      </c>
      <c r="B9848" t="s">
        <v>3069</v>
      </c>
      <c r="C9848" t="s">
        <v>10</v>
      </c>
      <c r="D9848" t="s">
        <v>2173</v>
      </c>
      <c r="E9848">
        <f t="shared" si="462"/>
        <v>2.1276595744680851E-2</v>
      </c>
      <c r="F9848">
        <v>5</v>
      </c>
      <c r="G9848">
        <f>LOG(382/(5+1))</f>
        <v>1.803912112528065</v>
      </c>
      <c r="H9848">
        <f>0.0212765957446808*4.15366113937852</f>
        <v>8.8375768922947018E-2</v>
      </c>
      <c r="I9848">
        <v>8.8375768922947226E-2</v>
      </c>
    </row>
    <row r="9849" spans="1:9" x14ac:dyDescent="0.25">
      <c r="A9849">
        <v>402</v>
      </c>
      <c r="B9849" t="s">
        <v>3069</v>
      </c>
      <c r="C9849" t="s">
        <v>10</v>
      </c>
      <c r="D9849" t="s">
        <v>566</v>
      </c>
      <c r="E9849">
        <f t="shared" si="462"/>
        <v>2.1276595744680851E-2</v>
      </c>
      <c r="F9849">
        <v>8</v>
      </c>
      <c r="G9849">
        <f>LOG(382/(8+1))</f>
        <v>1.6278208534723839</v>
      </c>
      <c r="H9849">
        <f>0.0212765957446808*3.74819603127035</f>
        <v>7.9748851729156189E-2</v>
      </c>
      <c r="I9849">
        <v>7.9748851729156509E-2</v>
      </c>
    </row>
    <row r="9850" spans="1:9" x14ac:dyDescent="0.25">
      <c r="A9850">
        <v>402</v>
      </c>
      <c r="B9850" t="s">
        <v>3069</v>
      </c>
      <c r="C9850" t="s">
        <v>10</v>
      </c>
      <c r="D9850" t="s">
        <v>105</v>
      </c>
      <c r="E9850">
        <f t="shared" si="462"/>
        <v>2.1276595744680851E-2</v>
      </c>
      <c r="F9850">
        <v>122</v>
      </c>
      <c r="G9850">
        <f>LOG(382/(122+1))</f>
        <v>0.49215825147231079</v>
      </c>
      <c r="H9850">
        <f>0.0212765957446808*1.13323625323415</f>
        <v>2.4111409643279728E-2</v>
      </c>
      <c r="I9850">
        <v>2.411140964327995E-2</v>
      </c>
    </row>
    <row r="9851" spans="1:9" x14ac:dyDescent="0.25">
      <c r="A9851">
        <v>402</v>
      </c>
      <c r="B9851" t="s">
        <v>3069</v>
      </c>
      <c r="C9851" t="s">
        <v>10</v>
      </c>
      <c r="D9851" t="s">
        <v>438</v>
      </c>
      <c r="E9851">
        <f t="shared" si="462"/>
        <v>2.1276595744680851E-2</v>
      </c>
      <c r="F9851">
        <v>37</v>
      </c>
      <c r="G9851">
        <f>LOG(382/(37+1))</f>
        <v>1.0022797662948986</v>
      </c>
      <c r="H9851">
        <f>0.0212765957446808*2.30783444888018</f>
        <v>4.9102860614471791E-2</v>
      </c>
      <c r="I9851">
        <v>4.910286061447211E-2</v>
      </c>
    </row>
    <row r="9852" spans="1:9" x14ac:dyDescent="0.25">
      <c r="A9852">
        <v>402</v>
      </c>
      <c r="B9852" t="s">
        <v>3069</v>
      </c>
      <c r="C9852" t="s">
        <v>10</v>
      </c>
      <c r="D9852" t="s">
        <v>3076</v>
      </c>
      <c r="E9852">
        <f t="shared" si="462"/>
        <v>2.1276595744680851E-2</v>
      </c>
      <c r="F9852">
        <v>1</v>
      </c>
      <c r="G9852">
        <f>LOG(382/(1+1))</f>
        <v>2.2810333672477277</v>
      </c>
      <c r="H9852">
        <f>0.0212765957446808*5.25227342804663</f>
        <v>0.11175049846907696</v>
      </c>
      <c r="I9852">
        <v>0.1117504984690772</v>
      </c>
    </row>
    <row r="9853" spans="1:9" x14ac:dyDescent="0.25">
      <c r="A9853">
        <v>402</v>
      </c>
      <c r="B9853" t="s">
        <v>3069</v>
      </c>
      <c r="C9853" t="s">
        <v>10</v>
      </c>
      <c r="D9853" t="s">
        <v>3077</v>
      </c>
      <c r="E9853">
        <f t="shared" si="462"/>
        <v>2.1276595744680851E-2</v>
      </c>
      <c r="F9853">
        <v>1</v>
      </c>
      <c r="G9853">
        <f>LOG(382/(1+1))</f>
        <v>2.2810333672477277</v>
      </c>
      <c r="H9853">
        <f>0.0212765957446808*5.25227342804663</f>
        <v>0.11175049846907696</v>
      </c>
      <c r="I9853">
        <v>0.1117504984690772</v>
      </c>
    </row>
    <row r="9854" spans="1:9" x14ac:dyDescent="0.25">
      <c r="A9854">
        <v>403</v>
      </c>
      <c r="B9854" t="s">
        <v>2151</v>
      </c>
      <c r="C9854" t="s">
        <v>10</v>
      </c>
      <c r="D9854" t="s">
        <v>315</v>
      </c>
      <c r="E9854">
        <f>4/22</f>
        <v>0.18181818181818182</v>
      </c>
      <c r="F9854">
        <v>55</v>
      </c>
      <c r="G9854">
        <f>LOG(382/(55+1))</f>
        <v>0.83387533590550833</v>
      </c>
      <c r="H9854">
        <f>0.181818181818181*1.92006891787142</f>
        <v>0.3491034396129839</v>
      </c>
      <c r="I9854">
        <v>0.34910343961298651</v>
      </c>
    </row>
    <row r="9855" spans="1:9" x14ac:dyDescent="0.25">
      <c r="A9855">
        <v>403</v>
      </c>
      <c r="B9855" t="s">
        <v>2151</v>
      </c>
      <c r="C9855" t="s">
        <v>10</v>
      </c>
      <c r="D9855" t="s">
        <v>1082</v>
      </c>
      <c r="E9855">
        <f t="shared" ref="E9855:E9864" si="463">1/22</f>
        <v>4.5454545454545456E-2</v>
      </c>
      <c r="F9855">
        <v>8</v>
      </c>
      <c r="G9855">
        <f>LOG(382/(8+1))</f>
        <v>1.6278208534723839</v>
      </c>
      <c r="H9855">
        <f>0.0454545454545454*3.74819603127035</f>
        <v>0.17037254687592479</v>
      </c>
      <c r="I9855">
        <v>0.17037254687592529</v>
      </c>
    </row>
    <row r="9856" spans="1:9" x14ac:dyDescent="0.25">
      <c r="A9856">
        <v>403</v>
      </c>
      <c r="B9856" t="s">
        <v>2151</v>
      </c>
      <c r="C9856" t="s">
        <v>10</v>
      </c>
      <c r="D9856" t="s">
        <v>1081</v>
      </c>
      <c r="E9856">
        <f t="shared" si="463"/>
        <v>4.5454545454545456E-2</v>
      </c>
      <c r="F9856">
        <v>27</v>
      </c>
      <c r="G9856">
        <f>LOG(382/(27+1))</f>
        <v>1.1349053315694895</v>
      </c>
      <c r="H9856">
        <f>0.0454545454545454*2.61321609843137</f>
        <v>0.11878254992869851</v>
      </c>
      <c r="I9856">
        <v>0.1187825499286987</v>
      </c>
    </row>
    <row r="9857" spans="1:9" x14ac:dyDescent="0.25">
      <c r="A9857">
        <v>403</v>
      </c>
      <c r="B9857" t="s">
        <v>2151</v>
      </c>
      <c r="C9857" t="s">
        <v>10</v>
      </c>
      <c r="D9857" t="s">
        <v>151</v>
      </c>
      <c r="E9857">
        <f t="shared" si="463"/>
        <v>4.5454545454545456E-2</v>
      </c>
      <c r="F9857">
        <v>14</v>
      </c>
      <c r="G9857">
        <f>LOG(382/(14+1))</f>
        <v>1.4059721038560276</v>
      </c>
      <c r="H9857">
        <f>0.0454545454545454*3.23737040750436</f>
        <v>0.1471532003411071</v>
      </c>
      <c r="I9857">
        <v>0.14715320034110749</v>
      </c>
    </row>
    <row r="9858" spans="1:9" x14ac:dyDescent="0.25">
      <c r="A9858">
        <v>403</v>
      </c>
      <c r="B9858" t="s">
        <v>2151</v>
      </c>
      <c r="C9858" t="s">
        <v>10</v>
      </c>
      <c r="D9858" t="s">
        <v>152</v>
      </c>
      <c r="E9858">
        <f t="shared" si="463"/>
        <v>4.5454545454545456E-2</v>
      </c>
      <c r="F9858">
        <v>31</v>
      </c>
      <c r="G9858">
        <f>LOG(382/(31+1))</f>
        <v>1.0769133845918029</v>
      </c>
      <c r="H9858">
        <f>0.0454545454545454*2.47968470580684</f>
        <v>0.11271294117303804</v>
      </c>
      <c r="I9858">
        <v>0.11271294117303859</v>
      </c>
    </row>
    <row r="9859" spans="1:9" x14ac:dyDescent="0.25">
      <c r="A9859">
        <v>403</v>
      </c>
      <c r="B9859" t="s">
        <v>2151</v>
      </c>
      <c r="C9859" t="s">
        <v>10</v>
      </c>
      <c r="D9859" t="s">
        <v>763</v>
      </c>
      <c r="E9859">
        <f t="shared" si="463"/>
        <v>4.5454545454545456E-2</v>
      </c>
      <c r="F9859">
        <v>47</v>
      </c>
      <c r="G9859">
        <f>LOG(382/(47+1))</f>
        <v>0.90082212553612151</v>
      </c>
      <c r="H9859">
        <f>0.0454545454545454*2.07421959769868</f>
        <v>9.4282708986303532E-2</v>
      </c>
      <c r="I9859">
        <v>9.4282708986303823E-2</v>
      </c>
    </row>
    <row r="9860" spans="1:9" x14ac:dyDescent="0.25">
      <c r="A9860">
        <v>403</v>
      </c>
      <c r="B9860" t="s">
        <v>2151</v>
      </c>
      <c r="C9860" t="s">
        <v>10</v>
      </c>
      <c r="D9860" t="s">
        <v>487</v>
      </c>
      <c r="E9860">
        <f t="shared" si="463"/>
        <v>4.5454545454545456E-2</v>
      </c>
      <c r="F9860">
        <v>32</v>
      </c>
      <c r="G9860">
        <f>LOG(382/(32+1))</f>
        <v>1.0635494230338212</v>
      </c>
      <c r="H9860">
        <f>0.0454545454545454*2.44891304714009</f>
        <v>0.11131422941545852</v>
      </c>
      <c r="I9860">
        <v>0.1113142294154589</v>
      </c>
    </row>
    <row r="9861" spans="1:9" x14ac:dyDescent="0.25">
      <c r="A9861">
        <v>403</v>
      </c>
      <c r="B9861" t="s">
        <v>2151</v>
      </c>
      <c r="C9861" t="s">
        <v>10</v>
      </c>
      <c r="D9861" t="s">
        <v>77</v>
      </c>
      <c r="E9861">
        <f t="shared" si="463"/>
        <v>4.5454545454545456E-2</v>
      </c>
      <c r="F9861">
        <v>148</v>
      </c>
      <c r="G9861">
        <f>LOG(382/(148+1))</f>
        <v>0.40887709449943471</v>
      </c>
      <c r="H9861">
        <f>0.0454545454545454*0.941474302661116</f>
        <v>4.2794286484596128E-2</v>
      </c>
      <c r="I9861">
        <v>4.279428648459619E-2</v>
      </c>
    </row>
    <row r="9862" spans="1:9" x14ac:dyDescent="0.25">
      <c r="A9862">
        <v>403</v>
      </c>
      <c r="B9862" t="s">
        <v>2151</v>
      </c>
      <c r="C9862" t="s">
        <v>10</v>
      </c>
      <c r="D9862" t="s">
        <v>936</v>
      </c>
      <c r="E9862">
        <f t="shared" si="463"/>
        <v>4.5454545454545456E-2</v>
      </c>
      <c r="F9862">
        <v>21</v>
      </c>
      <c r="G9862">
        <f>LOG(382/(21+1))</f>
        <v>1.2396406820895025</v>
      </c>
      <c r="H9862">
        <f>0.0454545454545454*2.85437815524825</f>
        <v>0.12974446160219302</v>
      </c>
      <c r="I9862">
        <v>0.12974446160219361</v>
      </c>
    </row>
    <row r="9863" spans="1:9" x14ac:dyDescent="0.25">
      <c r="A9863">
        <v>403</v>
      </c>
      <c r="B9863" t="s">
        <v>2151</v>
      </c>
      <c r="C9863" t="s">
        <v>10</v>
      </c>
      <c r="D9863" t="s">
        <v>937</v>
      </c>
      <c r="E9863">
        <f t="shared" si="463"/>
        <v>4.5454545454545456E-2</v>
      </c>
      <c r="F9863">
        <v>41</v>
      </c>
      <c r="G9863">
        <f>LOG(382/(41+1))</f>
        <v>0.95881407251380824</v>
      </c>
      <c r="H9863">
        <f>0.0454545454545454*2.2077509903232</f>
        <v>0.10035231774196353</v>
      </c>
      <c r="I9863">
        <v>0.1003523177419639</v>
      </c>
    </row>
    <row r="9864" spans="1:9" x14ac:dyDescent="0.25">
      <c r="A9864">
        <v>403</v>
      </c>
      <c r="B9864" t="s">
        <v>2151</v>
      </c>
      <c r="C9864" t="s">
        <v>10</v>
      </c>
      <c r="D9864" t="s">
        <v>1951</v>
      </c>
      <c r="E9864">
        <f t="shared" si="463"/>
        <v>4.5454545454545456E-2</v>
      </c>
      <c r="F9864">
        <v>6</v>
      </c>
      <c r="G9864">
        <f>LOG(382/(6+1))</f>
        <v>1.736965322897452</v>
      </c>
      <c r="H9864">
        <f>0.0454545454545454*3.99951045955126</f>
        <v>0.18179592997960251</v>
      </c>
      <c r="I9864">
        <v>0.18179592997960281</v>
      </c>
    </row>
    <row r="9865" spans="1:9" x14ac:dyDescent="0.25">
      <c r="A9865">
        <v>403</v>
      </c>
      <c r="B9865" t="s">
        <v>2151</v>
      </c>
      <c r="C9865" t="s">
        <v>10</v>
      </c>
      <c r="D9865" t="s">
        <v>65</v>
      </c>
      <c r="E9865">
        <f>2/22</f>
        <v>9.0909090909090912E-2</v>
      </c>
      <c r="F9865">
        <v>32</v>
      </c>
      <c r="G9865">
        <f>LOG(382/(32+1))</f>
        <v>1.0635494230338212</v>
      </c>
      <c r="H9865">
        <f>0.0909090909090909*2.44891304714009</f>
        <v>0.22262845883091725</v>
      </c>
      <c r="I9865">
        <v>0.2226284588309177</v>
      </c>
    </row>
    <row r="9866" spans="1:9" x14ac:dyDescent="0.25">
      <c r="A9866">
        <v>403</v>
      </c>
      <c r="B9866" t="s">
        <v>2151</v>
      </c>
      <c r="C9866" t="s">
        <v>10</v>
      </c>
      <c r="D9866" t="s">
        <v>929</v>
      </c>
      <c r="E9866">
        <f t="shared" ref="E9866:E9871" si="464">1/22</f>
        <v>4.5454545454545456E-2</v>
      </c>
      <c r="F9866">
        <v>32</v>
      </c>
      <c r="G9866">
        <f>LOG(382/(32+1))</f>
        <v>1.0635494230338212</v>
      </c>
      <c r="H9866">
        <f>0.0454545454545454*2.44891304714009</f>
        <v>0.11131422941545852</v>
      </c>
      <c r="I9866">
        <v>0.1113142294154589</v>
      </c>
    </row>
    <row r="9867" spans="1:9" x14ac:dyDescent="0.25">
      <c r="A9867">
        <v>403</v>
      </c>
      <c r="B9867" t="s">
        <v>2151</v>
      </c>
      <c r="C9867" t="s">
        <v>10</v>
      </c>
      <c r="D9867" t="s">
        <v>40</v>
      </c>
      <c r="E9867">
        <f t="shared" si="464"/>
        <v>4.5454545454545456E-2</v>
      </c>
      <c r="F9867">
        <v>159</v>
      </c>
      <c r="G9867">
        <f>LOG(382/(159+1))</f>
        <v>0.377943380255784</v>
      </c>
      <c r="H9867">
        <f>0.0454545454545454*0.870246793372748</f>
        <v>3.9556672426033952E-2</v>
      </c>
      <c r="I9867">
        <v>3.9556672426034008E-2</v>
      </c>
    </row>
    <row r="9868" spans="1:9" x14ac:dyDescent="0.25">
      <c r="A9868">
        <v>403</v>
      </c>
      <c r="B9868" t="s">
        <v>2151</v>
      </c>
      <c r="C9868" t="s">
        <v>10</v>
      </c>
      <c r="D9868" t="s">
        <v>41</v>
      </c>
      <c r="E9868">
        <f t="shared" si="464"/>
        <v>4.5454545454545456E-2</v>
      </c>
      <c r="F9868">
        <v>195</v>
      </c>
      <c r="G9868">
        <f>LOG(382/(195+1))</f>
        <v>0.28980729155523272</v>
      </c>
      <c r="H9868">
        <f>0.0454545454545454*0.667305949376058</f>
        <v>3.03320886080026E-2</v>
      </c>
      <c r="I9868">
        <v>3.0332088608002641E-2</v>
      </c>
    </row>
    <row r="9869" spans="1:9" x14ac:dyDescent="0.25">
      <c r="A9869">
        <v>403</v>
      </c>
      <c r="B9869" t="s">
        <v>2151</v>
      </c>
      <c r="C9869" t="s">
        <v>10</v>
      </c>
      <c r="D9869" t="s">
        <v>1328</v>
      </c>
      <c r="E9869">
        <f t="shared" si="464"/>
        <v>4.5454545454545456E-2</v>
      </c>
      <c r="F9869">
        <v>22</v>
      </c>
      <c r="G9869">
        <f>LOG(382/(22+1))</f>
        <v>1.2203355268941158</v>
      </c>
      <c r="H9869">
        <f>0.0454545454545454*2.80992639267742</f>
        <v>0.12772392693988258</v>
      </c>
      <c r="I9869">
        <v>0.12772392693988299</v>
      </c>
    </row>
    <row r="9870" spans="1:9" x14ac:dyDescent="0.25">
      <c r="A9870">
        <v>403</v>
      </c>
      <c r="B9870" t="s">
        <v>2151</v>
      </c>
      <c r="C9870" t="s">
        <v>10</v>
      </c>
      <c r="D9870" t="s">
        <v>1397</v>
      </c>
      <c r="E9870">
        <f t="shared" si="464"/>
        <v>4.5454545454545456E-2</v>
      </c>
      <c r="F9870">
        <v>29</v>
      </c>
      <c r="G9870">
        <f>LOG(382/(29+1))</f>
        <v>1.1049421081920463</v>
      </c>
      <c r="H9870">
        <f>0.0454545454545454*2.54422322694442</f>
        <v>0.11564651031565532</v>
      </c>
      <c r="I9870">
        <v>0.1156465103156555</v>
      </c>
    </row>
    <row r="9871" spans="1:9" x14ac:dyDescent="0.25">
      <c r="A9871">
        <v>403</v>
      </c>
      <c r="B9871" t="s">
        <v>2151</v>
      </c>
      <c r="C9871" t="s">
        <v>10</v>
      </c>
      <c r="D9871" t="s">
        <v>79</v>
      </c>
      <c r="E9871">
        <f t="shared" si="464"/>
        <v>4.5454545454545456E-2</v>
      </c>
      <c r="F9871">
        <v>26</v>
      </c>
      <c r="G9871">
        <f>LOG(382/(26+1))</f>
        <v>1.1506995987527215</v>
      </c>
      <c r="H9871">
        <f>0.0454545454545454*2.64958374260224</f>
        <v>0.12043562466373804</v>
      </c>
      <c r="I9871">
        <v>0.1204356246637385</v>
      </c>
    </row>
    <row r="9872" spans="1:9" x14ac:dyDescent="0.25">
      <c r="A9872">
        <v>404</v>
      </c>
      <c r="B9872" t="s">
        <v>3078</v>
      </c>
      <c r="C9872" t="s">
        <v>10</v>
      </c>
      <c r="D9872" t="s">
        <v>3079</v>
      </c>
      <c r="E9872">
        <f>6/132</f>
        <v>4.5454545454545456E-2</v>
      </c>
      <c r="F9872">
        <v>2</v>
      </c>
      <c r="G9872">
        <f>LOG(382/(2+1))</f>
        <v>2.1049421081920463</v>
      </c>
      <c r="H9872">
        <f>0.0454545454545454*4.84680831993846</f>
        <v>0.22030946908811155</v>
      </c>
      <c r="I9872">
        <v>0.22030946908811211</v>
      </c>
    </row>
    <row r="9873" spans="1:9" x14ac:dyDescent="0.25">
      <c r="A9873">
        <v>404</v>
      </c>
      <c r="B9873" t="s">
        <v>3078</v>
      </c>
      <c r="C9873" t="s">
        <v>10</v>
      </c>
      <c r="D9873" t="s">
        <v>15</v>
      </c>
      <c r="E9873">
        <f>6/132</f>
        <v>4.5454545454545456E-2</v>
      </c>
      <c r="F9873">
        <v>112</v>
      </c>
      <c r="G9873">
        <f>LOG(382/(112+1))</f>
        <v>0.52898491942828896</v>
      </c>
      <c r="H9873">
        <f>0.0454545454545454*1.21803278989423</f>
        <v>5.5365126813374028E-2</v>
      </c>
      <c r="I9873">
        <v>5.5365126813374313E-2</v>
      </c>
    </row>
    <row r="9874" spans="1:9" x14ac:dyDescent="0.25">
      <c r="A9874">
        <v>404</v>
      </c>
      <c r="B9874" t="s">
        <v>3078</v>
      </c>
      <c r="C9874" t="s">
        <v>10</v>
      </c>
      <c r="D9874" t="s">
        <v>42</v>
      </c>
      <c r="E9874">
        <f t="shared" ref="E9874:E9882" si="465">1/132</f>
        <v>7.575757575757576E-3</v>
      </c>
      <c r="F9874">
        <v>251</v>
      </c>
      <c r="G9874">
        <f>LOG(382/(251+1))</f>
        <v>0.18066282213016463</v>
      </c>
      <c r="H9874">
        <f>0.00757575757575757*0.415991521095151</f>
        <v>3.151450917387505E-3</v>
      </c>
      <c r="I9874">
        <v>3.1514509173875141E-3</v>
      </c>
    </row>
    <row r="9875" spans="1:9" x14ac:dyDescent="0.25">
      <c r="A9875">
        <v>404</v>
      </c>
      <c r="B9875" t="s">
        <v>3078</v>
      </c>
      <c r="C9875" t="s">
        <v>10</v>
      </c>
      <c r="D9875" t="s">
        <v>17</v>
      </c>
      <c r="E9875">
        <f t="shared" si="465"/>
        <v>7.575757575757576E-3</v>
      </c>
      <c r="F9875">
        <v>169</v>
      </c>
      <c r="G9875">
        <f>LOG(382/(169+1))</f>
        <v>0.3516144415334348</v>
      </c>
      <c r="H9875">
        <f>0.00757575757575757*0.809622171556313</f>
        <v>6.133501299669033E-3</v>
      </c>
      <c r="I9875">
        <v>6.1335012996690417E-3</v>
      </c>
    </row>
    <row r="9876" spans="1:9" x14ac:dyDescent="0.25">
      <c r="A9876">
        <v>404</v>
      </c>
      <c r="B9876" t="s">
        <v>3078</v>
      </c>
      <c r="C9876" t="s">
        <v>10</v>
      </c>
      <c r="D9876" t="s">
        <v>70</v>
      </c>
      <c r="E9876">
        <f t="shared" si="465"/>
        <v>7.575757575757576E-3</v>
      </c>
      <c r="F9876">
        <v>44</v>
      </c>
      <c r="G9876">
        <f>LOG(382/(44+1))</f>
        <v>0.92885084913636506</v>
      </c>
      <c r="H9876">
        <f>0.00757575757575757*2.13875811883625</f>
        <v>1.620271302148673E-2</v>
      </c>
      <c r="I9876">
        <v>1.6202713021486782E-2</v>
      </c>
    </row>
    <row r="9877" spans="1:9" x14ac:dyDescent="0.25">
      <c r="A9877">
        <v>404</v>
      </c>
      <c r="B9877" t="s">
        <v>3078</v>
      </c>
      <c r="C9877" t="s">
        <v>10</v>
      </c>
      <c r="D9877" t="s">
        <v>19</v>
      </c>
      <c r="E9877">
        <f t="shared" si="465"/>
        <v>7.575757575757576E-3</v>
      </c>
      <c r="F9877">
        <v>220</v>
      </c>
      <c r="G9877">
        <f>LOG(382/(220+1))</f>
        <v>0.23767108922659805</v>
      </c>
      <c r="H9877">
        <f>0.00757575757575757*0.547257907088822</f>
        <v>4.1458932355213762E-3</v>
      </c>
      <c r="I9877">
        <v>4.1458932355213814E-3</v>
      </c>
    </row>
    <row r="9878" spans="1:9" x14ac:dyDescent="0.25">
      <c r="A9878">
        <v>404</v>
      </c>
      <c r="B9878" t="s">
        <v>3078</v>
      </c>
      <c r="C9878" t="s">
        <v>10</v>
      </c>
      <c r="D9878" t="s">
        <v>44</v>
      </c>
      <c r="E9878">
        <f t="shared" si="465"/>
        <v>7.575757575757576E-3</v>
      </c>
      <c r="F9878">
        <v>151</v>
      </c>
      <c r="G9878">
        <f>LOG(382/(151+1))</f>
        <v>0.40021977496693617</v>
      </c>
      <c r="H9878">
        <f>0.00757575757575757*0.921540087760298</f>
        <v>6.9813643012143741E-3</v>
      </c>
      <c r="I9878">
        <v>6.9813643012143836E-3</v>
      </c>
    </row>
    <row r="9879" spans="1:9" x14ac:dyDescent="0.25">
      <c r="A9879">
        <v>404</v>
      </c>
      <c r="B9879" t="s">
        <v>3078</v>
      </c>
      <c r="C9879" t="s">
        <v>10</v>
      </c>
      <c r="D9879" t="s">
        <v>21</v>
      </c>
      <c r="E9879">
        <f t="shared" si="465"/>
        <v>7.575757575757576E-3</v>
      </c>
      <c r="F9879">
        <v>14</v>
      </c>
      <c r="G9879">
        <f>LOG(382/(14+1))</f>
        <v>1.4059721038560276</v>
      </c>
      <c r="H9879">
        <f>0.00757575757575757*3.23737040750436</f>
        <v>2.4525533390184526E-2</v>
      </c>
      <c r="I9879">
        <v>2.4525533390184581E-2</v>
      </c>
    </row>
    <row r="9880" spans="1:9" x14ac:dyDescent="0.25">
      <c r="A9880">
        <v>404</v>
      </c>
      <c r="B9880" t="s">
        <v>3078</v>
      </c>
      <c r="C9880" t="s">
        <v>10</v>
      </c>
      <c r="D9880" t="s">
        <v>22</v>
      </c>
      <c r="E9880">
        <f t="shared" si="465"/>
        <v>7.575757575757576E-3</v>
      </c>
      <c r="F9880">
        <v>259</v>
      </c>
      <c r="G9880">
        <f>LOG(382/(259+1))</f>
        <v>0.16709001494089079</v>
      </c>
      <c r="H9880">
        <f>0.00757575757575757*0.384738977591047</f>
        <v>2.9146892241745962E-3</v>
      </c>
      <c r="I9880">
        <v>2.9146892241746032E-3</v>
      </c>
    </row>
    <row r="9881" spans="1:9" x14ac:dyDescent="0.25">
      <c r="A9881">
        <v>404</v>
      </c>
      <c r="B9881" t="s">
        <v>3078</v>
      </c>
      <c r="C9881" t="s">
        <v>10</v>
      </c>
      <c r="D9881" t="s">
        <v>23</v>
      </c>
      <c r="E9881">
        <f t="shared" si="465"/>
        <v>7.575757575757576E-3</v>
      </c>
      <c r="F9881">
        <v>275</v>
      </c>
      <c r="G9881">
        <f>LOG(382/(275+1))</f>
        <v>0.14115428084649101</v>
      </c>
      <c r="H9881">
        <f>0.00757575757575757*0.325019742889425</f>
        <v>2.462270779465339E-3</v>
      </c>
      <c r="I9881">
        <v>2.462270779465342E-3</v>
      </c>
    </row>
    <row r="9882" spans="1:9" x14ac:dyDescent="0.25">
      <c r="A9882">
        <v>404</v>
      </c>
      <c r="B9882" t="s">
        <v>3078</v>
      </c>
      <c r="C9882" t="s">
        <v>10</v>
      </c>
      <c r="D9882" t="s">
        <v>24</v>
      </c>
      <c r="E9882">
        <f t="shared" si="465"/>
        <v>7.575757575757576E-3</v>
      </c>
      <c r="F9882">
        <v>59</v>
      </c>
      <c r="G9882">
        <f>LOG(382/(59+1))</f>
        <v>0.80391211252806505</v>
      </c>
      <c r="H9882">
        <f>0.00757575757575757*1.85107604638447</f>
        <v>1.4023303381700519E-2</v>
      </c>
      <c r="I9882">
        <v>1.4023303381700559E-2</v>
      </c>
    </row>
    <row r="9883" spans="1:9" x14ac:dyDescent="0.25">
      <c r="A9883">
        <v>404</v>
      </c>
      <c r="B9883" t="s">
        <v>3078</v>
      </c>
      <c r="C9883" t="s">
        <v>10</v>
      </c>
      <c r="D9883" t="s">
        <v>39</v>
      </c>
      <c r="E9883">
        <f>5/132</f>
        <v>3.787878787878788E-2</v>
      </c>
      <c r="F9883">
        <v>145</v>
      </c>
      <c r="G9883">
        <f>LOG(382/(145+1))</f>
        <v>0.41771050712727159</v>
      </c>
      <c r="H9883">
        <f>0.0378787878787878*0.961813986898238</f>
        <v>3.6432347988569543E-2</v>
      </c>
      <c r="I9883">
        <v>3.6432347988569647E-2</v>
      </c>
    </row>
    <row r="9884" spans="1:9" x14ac:dyDescent="0.25">
      <c r="A9884">
        <v>404</v>
      </c>
      <c r="B9884" t="s">
        <v>3078</v>
      </c>
      <c r="C9884" t="s">
        <v>10</v>
      </c>
      <c r="D9884" t="s">
        <v>204</v>
      </c>
      <c r="E9884">
        <f>3/132</f>
        <v>2.2727272727272728E-2</v>
      </c>
      <c r="F9884">
        <v>166</v>
      </c>
      <c r="G9884">
        <f>LOG(382/(166+1))</f>
        <v>0.35934689176412549</v>
      </c>
      <c r="H9884">
        <f>0.0227272727272727*0.82742679618982</f>
        <v>1.8805154458859521E-2</v>
      </c>
      <c r="I9884">
        <v>1.8805154458859549E-2</v>
      </c>
    </row>
    <row r="9885" spans="1:9" x14ac:dyDescent="0.25">
      <c r="A9885">
        <v>404</v>
      </c>
      <c r="B9885" t="s">
        <v>3078</v>
      </c>
      <c r="C9885" t="s">
        <v>10</v>
      </c>
      <c r="D9885" t="s">
        <v>1421</v>
      </c>
      <c r="E9885">
        <f>1/132</f>
        <v>7.575757575757576E-3</v>
      </c>
      <c r="F9885">
        <v>4</v>
      </c>
      <c r="G9885">
        <f>LOG(382/(4+1))</f>
        <v>1.8830933585756899</v>
      </c>
      <c r="H9885">
        <f>0.00757575757575757*4.33598269617247</f>
        <v>3.2848353758882329E-2</v>
      </c>
      <c r="I9885">
        <v>3.2848353758882377E-2</v>
      </c>
    </row>
    <row r="9886" spans="1:9" x14ac:dyDescent="0.25">
      <c r="A9886">
        <v>404</v>
      </c>
      <c r="B9886" t="s">
        <v>3078</v>
      </c>
      <c r="C9886" t="s">
        <v>10</v>
      </c>
      <c r="D9886" t="s">
        <v>2007</v>
      </c>
      <c r="E9886">
        <f>1/132</f>
        <v>7.575757575757576E-3</v>
      </c>
      <c r="F9886">
        <v>5</v>
      </c>
      <c r="G9886">
        <f>LOG(382/(5+1))</f>
        <v>1.803912112528065</v>
      </c>
      <c r="H9886">
        <f>0.00757575757575757*4.15366113937852</f>
        <v>3.1467129843776642E-2</v>
      </c>
      <c r="I9886">
        <v>3.146712984377667E-2</v>
      </c>
    </row>
    <row r="9887" spans="1:9" x14ac:dyDescent="0.25">
      <c r="A9887">
        <v>404</v>
      </c>
      <c r="B9887" t="s">
        <v>3078</v>
      </c>
      <c r="C9887" t="s">
        <v>10</v>
      </c>
      <c r="D9887" t="s">
        <v>77</v>
      </c>
      <c r="E9887">
        <f>3/132</f>
        <v>2.2727272727272728E-2</v>
      </c>
      <c r="F9887">
        <v>148</v>
      </c>
      <c r="G9887">
        <f>LOG(382/(148+1))</f>
        <v>0.40887709449943471</v>
      </c>
      <c r="H9887">
        <f>0.0227272727272727*0.941474302661116</f>
        <v>2.1397143242298064E-2</v>
      </c>
      <c r="I9887">
        <v>2.1397143242298099E-2</v>
      </c>
    </row>
    <row r="9888" spans="1:9" x14ac:dyDescent="0.25">
      <c r="A9888">
        <v>404</v>
      </c>
      <c r="B9888" t="s">
        <v>3078</v>
      </c>
      <c r="C9888" t="s">
        <v>10</v>
      </c>
      <c r="D9888" t="s">
        <v>331</v>
      </c>
      <c r="E9888">
        <f>3/132</f>
        <v>2.2727272727272728E-2</v>
      </c>
      <c r="F9888">
        <v>130</v>
      </c>
      <c r="G9888">
        <f>LOG(382/(130+1))</f>
        <v>0.46479206725594452</v>
      </c>
      <c r="H9888">
        <f>0.0227272727272727*1.07022328540542</f>
        <v>2.4323256486486793E-2</v>
      </c>
      <c r="I9888">
        <v>2.4323256486486901E-2</v>
      </c>
    </row>
    <row r="9889" spans="1:9" x14ac:dyDescent="0.25">
      <c r="A9889">
        <v>404</v>
      </c>
      <c r="B9889" t="s">
        <v>3078</v>
      </c>
      <c r="C9889" t="s">
        <v>10</v>
      </c>
      <c r="D9889" t="s">
        <v>207</v>
      </c>
      <c r="E9889">
        <f>1/132</f>
        <v>7.575757575757576E-3</v>
      </c>
      <c r="F9889">
        <v>21</v>
      </c>
      <c r="G9889">
        <f>LOG(382/(21+1))</f>
        <v>1.2396406820895025</v>
      </c>
      <c r="H9889">
        <f>0.00757575757575757*2.85437815524825</f>
        <v>2.1624076933698846E-2</v>
      </c>
      <c r="I9889">
        <v>2.162407693369893E-2</v>
      </c>
    </row>
    <row r="9890" spans="1:9" x14ac:dyDescent="0.25">
      <c r="A9890">
        <v>404</v>
      </c>
      <c r="B9890" t="s">
        <v>3078</v>
      </c>
      <c r="C9890" t="s">
        <v>10</v>
      </c>
      <c r="D9890" t="s">
        <v>53</v>
      </c>
      <c r="E9890">
        <f>2/132</f>
        <v>1.5151515151515152E-2</v>
      </c>
      <c r="F9890">
        <v>57</v>
      </c>
      <c r="G9890">
        <f>LOG(382/(57+1))</f>
        <v>0.81863536934877146</v>
      </c>
      <c r="H9890">
        <f>0.0151515151515151*1.88497759806015</f>
        <v>2.8560266637274904E-2</v>
      </c>
      <c r="I9890">
        <v>2.8560266637275091E-2</v>
      </c>
    </row>
    <row r="9891" spans="1:9" x14ac:dyDescent="0.25">
      <c r="A9891">
        <v>404</v>
      </c>
      <c r="B9891" t="s">
        <v>3078</v>
      </c>
      <c r="C9891" t="s">
        <v>10</v>
      </c>
      <c r="D9891" t="s">
        <v>237</v>
      </c>
      <c r="E9891">
        <f>3/132</f>
        <v>2.2727272727272728E-2</v>
      </c>
      <c r="F9891">
        <v>138</v>
      </c>
      <c r="G9891">
        <f>LOG(382/(138+1))</f>
        <v>0.43904856265761361</v>
      </c>
      <c r="H9891">
        <f>0.0227272727272727*1.01094667547588</f>
        <v>2.2976060806269974E-2</v>
      </c>
      <c r="I9891">
        <v>2.2976060806270081E-2</v>
      </c>
    </row>
    <row r="9892" spans="1:9" x14ac:dyDescent="0.25">
      <c r="A9892">
        <v>404</v>
      </c>
      <c r="B9892" t="s">
        <v>3078</v>
      </c>
      <c r="C9892" t="s">
        <v>10</v>
      </c>
      <c r="D9892" t="s">
        <v>133</v>
      </c>
      <c r="E9892">
        <f>5/132</f>
        <v>3.787878787878788E-2</v>
      </c>
      <c r="F9892">
        <v>142</v>
      </c>
      <c r="G9892">
        <f>LOG(382/(142+1))</f>
        <v>0.42672732544664693</v>
      </c>
      <c r="H9892">
        <f>0.0378787878787878*0.982575978346667</f>
        <v>3.7218787058585792E-2</v>
      </c>
      <c r="I9892">
        <v>3.7218787058585903E-2</v>
      </c>
    </row>
    <row r="9893" spans="1:9" x14ac:dyDescent="0.25">
      <c r="A9893">
        <v>404</v>
      </c>
      <c r="B9893" t="s">
        <v>3078</v>
      </c>
      <c r="C9893" t="s">
        <v>10</v>
      </c>
      <c r="D9893" t="s">
        <v>1125</v>
      </c>
      <c r="E9893">
        <f>1/132</f>
        <v>7.575757575757576E-3</v>
      </c>
      <c r="F9893">
        <v>19</v>
      </c>
      <c r="G9893">
        <f>LOG(382/(19+1))</f>
        <v>1.2810333672477277</v>
      </c>
      <c r="H9893">
        <f>0.00757575757575757*2.94968833505258</f>
        <v>2.2346123750398315E-2</v>
      </c>
      <c r="I9893">
        <v>2.2346123750398371E-2</v>
      </c>
    </row>
    <row r="9894" spans="1:9" x14ac:dyDescent="0.25">
      <c r="A9894">
        <v>404</v>
      </c>
      <c r="B9894" t="s">
        <v>3078</v>
      </c>
      <c r="C9894" t="s">
        <v>10</v>
      </c>
      <c r="D9894" t="s">
        <v>123</v>
      </c>
      <c r="E9894">
        <f>2/132</f>
        <v>1.5151515151515152E-2</v>
      </c>
      <c r="F9894">
        <v>74</v>
      </c>
      <c r="G9894">
        <f>LOG(382/(74+1))</f>
        <v>0.7070020995200087</v>
      </c>
      <c r="H9894">
        <f>0.0151515151515151*1.62793249507026</f>
        <v>2.4665643864700826E-2</v>
      </c>
      <c r="I9894">
        <v>2.4665643864700978E-2</v>
      </c>
    </row>
    <row r="9895" spans="1:9" x14ac:dyDescent="0.25">
      <c r="A9895">
        <v>404</v>
      </c>
      <c r="B9895" t="s">
        <v>3078</v>
      </c>
      <c r="C9895" t="s">
        <v>10</v>
      </c>
      <c r="D9895" t="s">
        <v>132</v>
      </c>
      <c r="E9895">
        <f>2/132</f>
        <v>1.5151515151515152E-2</v>
      </c>
      <c r="F9895">
        <v>8</v>
      </c>
      <c r="G9895">
        <f>LOG(382/(8+1))</f>
        <v>1.6278208534723839</v>
      </c>
      <c r="H9895">
        <f>0.0151515151515151*3.74819603127035</f>
        <v>5.679084895864147E-2</v>
      </c>
      <c r="I9895">
        <v>5.6790848958641747E-2</v>
      </c>
    </row>
    <row r="9896" spans="1:9" x14ac:dyDescent="0.25">
      <c r="A9896">
        <v>404</v>
      </c>
      <c r="B9896" t="s">
        <v>3078</v>
      </c>
      <c r="C9896" t="s">
        <v>10</v>
      </c>
      <c r="D9896" t="s">
        <v>1452</v>
      </c>
      <c r="E9896">
        <f>1/132</f>
        <v>7.575757575757576E-3</v>
      </c>
      <c r="F9896">
        <v>8</v>
      </c>
      <c r="G9896">
        <f>LOG(382/(8+1))</f>
        <v>1.6278208534723839</v>
      </c>
      <c r="H9896">
        <f>0.00757575757575757*3.74819603127035</f>
        <v>2.8395424479320811E-2</v>
      </c>
      <c r="I9896">
        <v>2.8395424479320881E-2</v>
      </c>
    </row>
    <row r="9897" spans="1:9" x14ac:dyDescent="0.25">
      <c r="A9897">
        <v>404</v>
      </c>
      <c r="B9897" t="s">
        <v>3078</v>
      </c>
      <c r="C9897" t="s">
        <v>10</v>
      </c>
      <c r="D9897" t="s">
        <v>131</v>
      </c>
      <c r="E9897">
        <f>2/132</f>
        <v>1.5151515151515152E-2</v>
      </c>
      <c r="F9897">
        <v>38</v>
      </c>
      <c r="G9897">
        <f>LOG(382/(38+1))</f>
        <v>0.99099875588520958</v>
      </c>
      <c r="H9897">
        <f>0.0151515151515151*2.28185896247692</f>
        <v>3.4573620643589584E-2</v>
      </c>
      <c r="I9897">
        <v>3.4573620643589827E-2</v>
      </c>
    </row>
    <row r="9898" spans="1:9" x14ac:dyDescent="0.25">
      <c r="A9898">
        <v>404</v>
      </c>
      <c r="B9898" t="s">
        <v>3078</v>
      </c>
      <c r="C9898" t="s">
        <v>10</v>
      </c>
      <c r="D9898" t="s">
        <v>89</v>
      </c>
      <c r="E9898">
        <f>1/132</f>
        <v>7.575757575757576E-3</v>
      </c>
      <c r="F9898">
        <v>40</v>
      </c>
      <c r="G9898">
        <f>LOG(382/(40+1))</f>
        <v>0.96927950619197323</v>
      </c>
      <c r="H9898">
        <f>0.00757575757575757*2.23184854190226</f>
        <v>1.6907943499259531E-2</v>
      </c>
      <c r="I9898">
        <v>1.6907943499259601E-2</v>
      </c>
    </row>
    <row r="9899" spans="1:9" x14ac:dyDescent="0.25">
      <c r="A9899">
        <v>404</v>
      </c>
      <c r="B9899" t="s">
        <v>3078</v>
      </c>
      <c r="C9899" t="s">
        <v>10</v>
      </c>
      <c r="D9899" t="s">
        <v>126</v>
      </c>
      <c r="E9899">
        <f>1/132</f>
        <v>7.575757575757576E-3</v>
      </c>
      <c r="F9899">
        <v>79</v>
      </c>
      <c r="G9899">
        <f>LOG(382/(79+1))</f>
        <v>0.67897337591976514</v>
      </c>
      <c r="H9899">
        <f>0.00757575757575757*1.56339397393269</f>
        <v>1.1843893741914309E-2</v>
      </c>
      <c r="I9899">
        <v>1.1843893741914351E-2</v>
      </c>
    </row>
    <row r="9900" spans="1:9" x14ac:dyDescent="0.25">
      <c r="A9900">
        <v>404</v>
      </c>
      <c r="B9900" t="s">
        <v>3078</v>
      </c>
      <c r="C9900" t="s">
        <v>10</v>
      </c>
      <c r="D9900" t="s">
        <v>1533</v>
      </c>
      <c r="E9900">
        <f>2/132</f>
        <v>1.5151515151515152E-2</v>
      </c>
      <c r="F9900">
        <v>33</v>
      </c>
      <c r="G9900">
        <f>LOG(382/(33+1))</f>
        <v>1.0505844458694535</v>
      </c>
      <c r="H9900">
        <f>0.0151515151515151*2.41906008399041</f>
        <v>3.6652425515006089E-2</v>
      </c>
      <c r="I9900">
        <v>3.6652425515006269E-2</v>
      </c>
    </row>
    <row r="9901" spans="1:9" x14ac:dyDescent="0.25">
      <c r="A9901">
        <v>404</v>
      </c>
      <c r="B9901" t="s">
        <v>3078</v>
      </c>
      <c r="C9901" t="s">
        <v>10</v>
      </c>
      <c r="D9901" t="s">
        <v>40</v>
      </c>
      <c r="E9901">
        <f>6/132</f>
        <v>4.5454545454545456E-2</v>
      </c>
      <c r="F9901">
        <v>159</v>
      </c>
      <c r="G9901">
        <f>LOG(382/(159+1))</f>
        <v>0.377943380255784</v>
      </c>
      <c r="H9901">
        <f>0.0454545454545454*0.870246793372748</f>
        <v>3.9556672426033952E-2</v>
      </c>
      <c r="I9901">
        <v>3.9556672426034008E-2</v>
      </c>
    </row>
    <row r="9902" spans="1:9" x14ac:dyDescent="0.25">
      <c r="A9902">
        <v>404</v>
      </c>
      <c r="B9902" t="s">
        <v>3078</v>
      </c>
      <c r="C9902" t="s">
        <v>10</v>
      </c>
      <c r="D9902" t="s">
        <v>41</v>
      </c>
      <c r="E9902">
        <f>5/132</f>
        <v>3.787878787878788E-2</v>
      </c>
      <c r="F9902">
        <v>195</v>
      </c>
      <c r="G9902">
        <f>LOG(382/(195+1))</f>
        <v>0.28980729155523272</v>
      </c>
      <c r="H9902">
        <f>0.0378787878787878*0.667305949376058</f>
        <v>2.527674050666881E-2</v>
      </c>
      <c r="I9902">
        <v>2.5276740506668869E-2</v>
      </c>
    </row>
    <row r="9903" spans="1:9" x14ac:dyDescent="0.25">
      <c r="A9903">
        <v>404</v>
      </c>
      <c r="B9903" t="s">
        <v>3078</v>
      </c>
      <c r="C9903" t="s">
        <v>10</v>
      </c>
      <c r="D9903" t="s">
        <v>219</v>
      </c>
      <c r="E9903">
        <f>1/132</f>
        <v>7.575757575757576E-3</v>
      </c>
      <c r="F9903">
        <v>19</v>
      </c>
      <c r="G9903">
        <f>LOG(382/(19+1))</f>
        <v>1.2810333672477277</v>
      </c>
      <c r="H9903">
        <f>0.00757575757575757*2.94968833505258</f>
        <v>2.2346123750398315E-2</v>
      </c>
      <c r="I9903">
        <v>2.2346123750398371E-2</v>
      </c>
    </row>
    <row r="9904" spans="1:9" x14ac:dyDescent="0.25">
      <c r="A9904">
        <v>404</v>
      </c>
      <c r="B9904" t="s">
        <v>3078</v>
      </c>
      <c r="C9904" t="s">
        <v>10</v>
      </c>
      <c r="D9904" t="s">
        <v>25</v>
      </c>
      <c r="E9904">
        <f>2/132</f>
        <v>1.5151515151515152E-2</v>
      </c>
      <c r="F9904">
        <v>106</v>
      </c>
      <c r="G9904">
        <f>LOG(382/(106+1))</f>
        <v>0.55267958522649907</v>
      </c>
      <c r="H9904">
        <f>0.0151515151515151*1.27259177414466</f>
        <v>1.9281693547646299E-2</v>
      </c>
      <c r="I9904">
        <v>1.92816935476465E-2</v>
      </c>
    </row>
    <row r="9905" spans="1:9" x14ac:dyDescent="0.25">
      <c r="A9905">
        <v>404</v>
      </c>
      <c r="B9905" t="s">
        <v>3078</v>
      </c>
      <c r="C9905" t="s">
        <v>10</v>
      </c>
      <c r="D9905" t="s">
        <v>36</v>
      </c>
      <c r="E9905">
        <f>3/132</f>
        <v>2.2727272727272728E-2</v>
      </c>
      <c r="F9905">
        <v>58</v>
      </c>
      <c r="G9905">
        <f>LOG(382/(58+1))</f>
        <v>0.81121135126956456</v>
      </c>
      <c r="H9905">
        <f>0.0227272727272727*1.86788316470085</f>
        <v>4.2451890106837448E-2</v>
      </c>
      <c r="I9905">
        <v>4.2451890106837628E-2</v>
      </c>
    </row>
    <row r="9906" spans="1:9" x14ac:dyDescent="0.25">
      <c r="A9906">
        <v>404</v>
      </c>
      <c r="B9906" t="s">
        <v>3078</v>
      </c>
      <c r="C9906" t="s">
        <v>10</v>
      </c>
      <c r="D9906" t="s">
        <v>76</v>
      </c>
      <c r="E9906">
        <f>2/132</f>
        <v>1.5151515151515152E-2</v>
      </c>
      <c r="F9906">
        <v>140</v>
      </c>
      <c r="G9906">
        <f>LOG(382/(140+1))</f>
        <v>0.43284425025632883</v>
      </c>
      <c r="H9906">
        <f>0.0151515151515151*0.996660718228407</f>
        <v>1.510091997315763E-2</v>
      </c>
      <c r="I9906">
        <v>1.510091997315768E-2</v>
      </c>
    </row>
    <row r="9907" spans="1:9" x14ac:dyDescent="0.25">
      <c r="A9907">
        <v>404</v>
      </c>
      <c r="B9907" t="s">
        <v>3078</v>
      </c>
      <c r="C9907" t="s">
        <v>10</v>
      </c>
      <c r="D9907" t="s">
        <v>3080</v>
      </c>
      <c r="E9907">
        <f>1/132</f>
        <v>7.575757575757576E-3</v>
      </c>
      <c r="F9907">
        <v>1</v>
      </c>
      <c r="G9907">
        <f>LOG(382/(1+1))</f>
        <v>2.2810333672477277</v>
      </c>
      <c r="H9907">
        <f>0.00757575757575757*5.25227342804663</f>
        <v>3.9789950212474438E-2</v>
      </c>
      <c r="I9907">
        <v>3.9789950212474473E-2</v>
      </c>
    </row>
    <row r="9908" spans="1:9" x14ac:dyDescent="0.25">
      <c r="A9908">
        <v>404</v>
      </c>
      <c r="B9908" t="s">
        <v>3078</v>
      </c>
      <c r="C9908" t="s">
        <v>10</v>
      </c>
      <c r="D9908" t="s">
        <v>3081</v>
      </c>
      <c r="E9908">
        <f>1/132</f>
        <v>7.575757575757576E-3</v>
      </c>
      <c r="F9908">
        <v>1</v>
      </c>
      <c r="G9908">
        <f>LOG(382/(1+1))</f>
        <v>2.2810333672477277</v>
      </c>
      <c r="H9908">
        <f>0.00757575757575757*5.25227342804663</f>
        <v>3.9789950212474438E-2</v>
      </c>
      <c r="I9908">
        <v>3.9789950212474473E-2</v>
      </c>
    </row>
    <row r="9909" spans="1:9" x14ac:dyDescent="0.25">
      <c r="A9909">
        <v>404</v>
      </c>
      <c r="B9909" t="s">
        <v>3078</v>
      </c>
      <c r="C9909" t="s">
        <v>10</v>
      </c>
      <c r="D9909" t="s">
        <v>915</v>
      </c>
      <c r="E9909">
        <f>1/132</f>
        <v>7.575757575757576E-3</v>
      </c>
      <c r="F9909">
        <v>8</v>
      </c>
      <c r="G9909">
        <f>LOG(382/(8+1))</f>
        <v>1.6278208534723839</v>
      </c>
      <c r="H9909">
        <f>0.00757575757575757*3.74819603127035</f>
        <v>2.8395424479320811E-2</v>
      </c>
      <c r="I9909">
        <v>2.8395424479320881E-2</v>
      </c>
    </row>
    <row r="9910" spans="1:9" x14ac:dyDescent="0.25">
      <c r="A9910">
        <v>404</v>
      </c>
      <c r="B9910" t="s">
        <v>3078</v>
      </c>
      <c r="C9910" t="s">
        <v>10</v>
      </c>
      <c r="D9910" t="s">
        <v>67</v>
      </c>
      <c r="E9910">
        <f>1/132</f>
        <v>7.575757575757576E-3</v>
      </c>
      <c r="F9910">
        <v>7</v>
      </c>
      <c r="G9910">
        <f>LOG(382/(7+1))</f>
        <v>1.6789733759197651</v>
      </c>
      <c r="H9910">
        <f>0.00757575757575757*3.86597906692673</f>
        <v>2.9287720203990359E-2</v>
      </c>
      <c r="I9910">
        <v>2.9287720203990449E-2</v>
      </c>
    </row>
    <row r="9911" spans="1:9" x14ac:dyDescent="0.25">
      <c r="A9911">
        <v>404</v>
      </c>
      <c r="B9911" t="s">
        <v>3078</v>
      </c>
      <c r="C9911" t="s">
        <v>10</v>
      </c>
      <c r="D9911" t="s">
        <v>81</v>
      </c>
      <c r="E9911">
        <f>1/132</f>
        <v>7.575757575757576E-3</v>
      </c>
      <c r="F9911">
        <v>114</v>
      </c>
      <c r="G9911">
        <f>LOG(382/(114+1))</f>
        <v>0.52136552255809698</v>
      </c>
      <c r="H9911">
        <f>0.00757575757575757*1.20048848024332</f>
        <v>9.0946096988130231E-3</v>
      </c>
      <c r="I9911">
        <v>9.0946096988130699E-3</v>
      </c>
    </row>
    <row r="9912" spans="1:9" x14ac:dyDescent="0.25">
      <c r="A9912">
        <v>404</v>
      </c>
      <c r="B9912" t="s">
        <v>3078</v>
      </c>
      <c r="C9912" t="s">
        <v>10</v>
      </c>
      <c r="D9912" t="s">
        <v>1855</v>
      </c>
      <c r="E9912">
        <f>2/132</f>
        <v>1.5151515151515152E-2</v>
      </c>
      <c r="F9912">
        <v>17</v>
      </c>
      <c r="G9912">
        <f>LOG(382/(17+1))</f>
        <v>1.3267908578084027</v>
      </c>
      <c r="H9912">
        <f>0.0151515151515151*3.05504885071041</f>
        <v>4.6288618950157567E-2</v>
      </c>
      <c r="I9912">
        <v>4.6288618950157727E-2</v>
      </c>
    </row>
    <row r="9913" spans="1:9" x14ac:dyDescent="0.25">
      <c r="A9913">
        <v>404</v>
      </c>
      <c r="B9913" t="s">
        <v>3078</v>
      </c>
      <c r="C9913" t="s">
        <v>10</v>
      </c>
      <c r="D9913" t="s">
        <v>2863</v>
      </c>
      <c r="E9913">
        <f>1/132</f>
        <v>7.575757575757576E-3</v>
      </c>
      <c r="F9913">
        <v>6</v>
      </c>
      <c r="G9913">
        <f>LOG(382/(6+1))</f>
        <v>1.736965322897452</v>
      </c>
      <c r="H9913">
        <f>0.00757575757575757*3.99951045955126</f>
        <v>3.0299321663267098E-2</v>
      </c>
      <c r="I9913">
        <v>3.029932166326714E-2</v>
      </c>
    </row>
    <row r="9914" spans="1:9" x14ac:dyDescent="0.25">
      <c r="A9914">
        <v>404</v>
      </c>
      <c r="B9914" t="s">
        <v>3078</v>
      </c>
      <c r="C9914" t="s">
        <v>10</v>
      </c>
      <c r="D9914" t="s">
        <v>134</v>
      </c>
      <c r="E9914">
        <f>2/132</f>
        <v>1.5151515151515152E-2</v>
      </c>
      <c r="F9914">
        <v>21</v>
      </c>
      <c r="G9914">
        <f>LOG(382/(21+1))</f>
        <v>1.2396406820895025</v>
      </c>
      <c r="H9914">
        <f>0.0151515151515151*2.85437815524825</f>
        <v>4.3248153867397575E-2</v>
      </c>
      <c r="I9914">
        <v>4.3248153867397873E-2</v>
      </c>
    </row>
    <row r="9915" spans="1:9" x14ac:dyDescent="0.25">
      <c r="A9915">
        <v>404</v>
      </c>
      <c r="B9915" t="s">
        <v>3078</v>
      </c>
      <c r="C9915" t="s">
        <v>10</v>
      </c>
      <c r="D9915" t="s">
        <v>135</v>
      </c>
      <c r="E9915">
        <f>2/132</f>
        <v>1.5151515151515152E-2</v>
      </c>
      <c r="F9915">
        <v>6</v>
      </c>
      <c r="G9915">
        <f>LOG(382/(6+1))</f>
        <v>1.736965322897452</v>
      </c>
      <c r="H9915">
        <f>0.0151515151515151*3.99951045955126</f>
        <v>6.0598643326534037E-2</v>
      </c>
      <c r="I9915">
        <v>6.0598643326534272E-2</v>
      </c>
    </row>
    <row r="9916" spans="1:9" x14ac:dyDescent="0.25">
      <c r="A9916">
        <v>404</v>
      </c>
      <c r="B9916" t="s">
        <v>3078</v>
      </c>
      <c r="C9916" t="s">
        <v>10</v>
      </c>
      <c r="D9916" t="s">
        <v>693</v>
      </c>
      <c r="E9916">
        <f>2/132</f>
        <v>1.5151515151515152E-2</v>
      </c>
      <c r="F9916">
        <v>25</v>
      </c>
      <c r="G9916">
        <f>LOG(382/(25+1))</f>
        <v>1.1670900149408907</v>
      </c>
      <c r="H9916">
        <f>0.0151515151515151*2.68732407058509</f>
        <v>4.0717031372501225E-2</v>
      </c>
      <c r="I9916">
        <v>4.0717031372501412E-2</v>
      </c>
    </row>
    <row r="9917" spans="1:9" x14ac:dyDescent="0.25">
      <c r="A9917">
        <v>404</v>
      </c>
      <c r="B9917" t="s">
        <v>3078</v>
      </c>
      <c r="C9917" t="s">
        <v>10</v>
      </c>
      <c r="D9917" t="s">
        <v>465</v>
      </c>
      <c r="E9917">
        <f t="shared" ref="E9917:E9923" si="466">1/132</f>
        <v>7.575757575757576E-3</v>
      </c>
      <c r="F9917">
        <v>36</v>
      </c>
      <c r="G9917">
        <f>LOG(382/(36+1))</f>
        <v>1.0138616388447137</v>
      </c>
      <c r="H9917">
        <f>0.00757575757575757*2.33450269596235</f>
        <v>1.7685626484563243E-2</v>
      </c>
      <c r="I9917">
        <v>1.768562648456326E-2</v>
      </c>
    </row>
    <row r="9918" spans="1:9" x14ac:dyDescent="0.25">
      <c r="A9918">
        <v>404</v>
      </c>
      <c r="B9918" t="s">
        <v>3078</v>
      </c>
      <c r="C9918" t="s">
        <v>10</v>
      </c>
      <c r="D9918" t="s">
        <v>1967</v>
      </c>
      <c r="E9918">
        <f t="shared" si="466"/>
        <v>7.575757575757576E-3</v>
      </c>
      <c r="F9918">
        <v>5</v>
      </c>
      <c r="G9918">
        <f>LOG(382/(5+1))</f>
        <v>1.803912112528065</v>
      </c>
      <c r="H9918">
        <f>0.00757575757575757*4.15366113937852</f>
        <v>3.1467129843776642E-2</v>
      </c>
      <c r="I9918">
        <v>3.146712984377667E-2</v>
      </c>
    </row>
    <row r="9919" spans="1:9" x14ac:dyDescent="0.25">
      <c r="A9919">
        <v>404</v>
      </c>
      <c r="B9919" t="s">
        <v>3078</v>
      </c>
      <c r="C9919" t="s">
        <v>10</v>
      </c>
      <c r="D9919" t="s">
        <v>3082</v>
      </c>
      <c r="E9919">
        <f t="shared" si="466"/>
        <v>7.575757575757576E-3</v>
      </c>
      <c r="F9919">
        <v>2</v>
      </c>
      <c r="G9919">
        <f>LOG(382/(2+1))</f>
        <v>2.1049421081920463</v>
      </c>
      <c r="H9919">
        <f>0.00757575757575757*4.84680831993846</f>
        <v>3.6718244848018611E-2</v>
      </c>
      <c r="I9919">
        <v>3.671824484801868E-2</v>
      </c>
    </row>
    <row r="9920" spans="1:9" x14ac:dyDescent="0.25">
      <c r="A9920">
        <v>404</v>
      </c>
      <c r="B9920" t="s">
        <v>3078</v>
      </c>
      <c r="C9920" t="s">
        <v>10</v>
      </c>
      <c r="D9920" t="s">
        <v>93</v>
      </c>
      <c r="E9920">
        <f t="shared" si="466"/>
        <v>7.575757575757576E-3</v>
      </c>
      <c r="F9920">
        <v>11</v>
      </c>
      <c r="G9920">
        <f>LOG(382/(11+1))</f>
        <v>1.5028821168640838</v>
      </c>
      <c r="H9920">
        <f>0.00757575757575757*3.46051395881857</f>
        <v>2.6216014839534601E-2</v>
      </c>
      <c r="I9920">
        <v>2.621601483953466E-2</v>
      </c>
    </row>
    <row r="9921" spans="1:9" x14ac:dyDescent="0.25">
      <c r="A9921">
        <v>404</v>
      </c>
      <c r="B9921" t="s">
        <v>3078</v>
      </c>
      <c r="C9921" t="s">
        <v>10</v>
      </c>
      <c r="D9921" t="s">
        <v>1296</v>
      </c>
      <c r="E9921">
        <f t="shared" si="466"/>
        <v>7.575757575757576E-3</v>
      </c>
      <c r="F9921">
        <v>14</v>
      </c>
      <c r="G9921">
        <f>LOG(382/(14+1))</f>
        <v>1.4059721038560276</v>
      </c>
      <c r="H9921">
        <f>0.00757575757575757*3.23737040750436</f>
        <v>2.4525533390184526E-2</v>
      </c>
      <c r="I9921">
        <v>2.4525533390184581E-2</v>
      </c>
    </row>
    <row r="9922" spans="1:9" x14ac:dyDescent="0.25">
      <c r="A9922">
        <v>404</v>
      </c>
      <c r="B9922" t="s">
        <v>3078</v>
      </c>
      <c r="C9922" t="s">
        <v>10</v>
      </c>
      <c r="D9922" t="s">
        <v>1127</v>
      </c>
      <c r="E9922">
        <f t="shared" si="466"/>
        <v>7.575757575757576E-3</v>
      </c>
      <c r="F9922">
        <v>18</v>
      </c>
      <c r="G9922">
        <f>LOG(382/(18+1))</f>
        <v>1.3033097619588798</v>
      </c>
      <c r="H9922">
        <f>0.00757575757575757*3.00098162944013</f>
        <v>2.2734709313940362E-2</v>
      </c>
      <c r="I9922">
        <v>2.2734709313940411E-2</v>
      </c>
    </row>
    <row r="9923" spans="1:9" x14ac:dyDescent="0.25">
      <c r="A9923">
        <v>404</v>
      </c>
      <c r="B9923" t="s">
        <v>3078</v>
      </c>
      <c r="C9923" t="s">
        <v>10</v>
      </c>
      <c r="D9923" t="s">
        <v>98</v>
      </c>
      <c r="E9923">
        <f t="shared" si="466"/>
        <v>7.575757575757576E-3</v>
      </c>
      <c r="F9923">
        <v>56</v>
      </c>
      <c r="G9923">
        <f>LOG(382/(56+1))</f>
        <v>0.82618850723921733</v>
      </c>
      <c r="H9923">
        <f>0.00757575757575757*1.90236934077202</f>
        <v>1.4411888945242564E-2</v>
      </c>
      <c r="I9923">
        <v>1.4411888945242609E-2</v>
      </c>
    </row>
    <row r="9924" spans="1:9" x14ac:dyDescent="0.25">
      <c r="A9924">
        <v>404</v>
      </c>
      <c r="B9924" t="s">
        <v>3078</v>
      </c>
      <c r="C9924" t="s">
        <v>10</v>
      </c>
      <c r="D9924" t="s">
        <v>50</v>
      </c>
      <c r="E9924">
        <f>2/132</f>
        <v>1.5151515151515152E-2</v>
      </c>
      <c r="F9924">
        <v>109</v>
      </c>
      <c r="G9924">
        <f>LOG(382/(109+1))</f>
        <v>0.54067067775348365</v>
      </c>
      <c r="H9924">
        <f>0.0151515151515151*1.24494024281415</f>
        <v>1.8862730951729481E-2</v>
      </c>
      <c r="I9924">
        <v>1.8862730951729679E-2</v>
      </c>
    </row>
    <row r="9925" spans="1:9" x14ac:dyDescent="0.25">
      <c r="A9925">
        <v>404</v>
      </c>
      <c r="B9925" t="s">
        <v>3078</v>
      </c>
      <c r="C9925" t="s">
        <v>10</v>
      </c>
      <c r="D9925" t="s">
        <v>32</v>
      </c>
      <c r="E9925">
        <f>1/132</f>
        <v>7.575757575757576E-3</v>
      </c>
      <c r="F9925">
        <v>4</v>
      </c>
      <c r="G9925">
        <f>LOG(382/(4+1))</f>
        <v>1.8830933585756899</v>
      </c>
      <c r="H9925">
        <f>0.00757575757575757*4.33598269617247</f>
        <v>3.2848353758882329E-2</v>
      </c>
      <c r="I9925">
        <v>3.2848353758882377E-2</v>
      </c>
    </row>
    <row r="9926" spans="1:9" x14ac:dyDescent="0.25">
      <c r="A9926">
        <v>404</v>
      </c>
      <c r="B9926" t="s">
        <v>3078</v>
      </c>
      <c r="C9926" t="s">
        <v>10</v>
      </c>
      <c r="D9926" t="s">
        <v>315</v>
      </c>
      <c r="E9926">
        <f>1/132</f>
        <v>7.575757575757576E-3</v>
      </c>
      <c r="F9926">
        <v>55</v>
      </c>
      <c r="G9926">
        <f>LOG(382/(55+1))</f>
        <v>0.83387533590550833</v>
      </c>
      <c r="H9926">
        <f>0.00757575757575757*1.92006891787142</f>
        <v>1.454597665054105E-2</v>
      </c>
      <c r="I9926">
        <v>1.4545976650541109E-2</v>
      </c>
    </row>
    <row r="9927" spans="1:9" x14ac:dyDescent="0.25">
      <c r="A9927">
        <v>404</v>
      </c>
      <c r="B9927" t="s">
        <v>3078</v>
      </c>
      <c r="C9927" t="s">
        <v>10</v>
      </c>
      <c r="D9927" t="s">
        <v>309</v>
      </c>
      <c r="E9927">
        <f>1/132</f>
        <v>7.575757575757576E-3</v>
      </c>
      <c r="F9927">
        <v>25</v>
      </c>
      <c r="G9927">
        <f>LOG(382/(25+1))</f>
        <v>1.1670900149408907</v>
      </c>
      <c r="H9927">
        <f>0.00757575757575757*2.68732407058509</f>
        <v>2.0358515686250668E-2</v>
      </c>
      <c r="I9927">
        <v>2.035851568625071E-2</v>
      </c>
    </row>
    <row r="9928" spans="1:9" x14ac:dyDescent="0.25">
      <c r="A9928">
        <v>404</v>
      </c>
      <c r="B9928" t="s">
        <v>3078</v>
      </c>
      <c r="C9928" t="s">
        <v>10</v>
      </c>
      <c r="D9928" t="s">
        <v>144</v>
      </c>
      <c r="E9928">
        <f>1/132</f>
        <v>7.575757575757576E-3</v>
      </c>
      <c r="F9928">
        <v>105</v>
      </c>
      <c r="G9928">
        <f>LOG(382/(105+1))</f>
        <v>0.55675749764693849</v>
      </c>
      <c r="H9928">
        <f>0.00757575757575757*1.2819815144945</f>
        <v>9.7119811704128711E-3</v>
      </c>
      <c r="I9928">
        <v>9.7119811704129387E-3</v>
      </c>
    </row>
    <row r="9929" spans="1:9" x14ac:dyDescent="0.25">
      <c r="A9929">
        <v>404</v>
      </c>
      <c r="B9929" t="s">
        <v>3078</v>
      </c>
      <c r="C9929" t="s">
        <v>10</v>
      </c>
      <c r="D9929" t="s">
        <v>157</v>
      </c>
      <c r="E9929">
        <f>2/132</f>
        <v>1.5151515151515152E-2</v>
      </c>
      <c r="F9929">
        <v>16</v>
      </c>
      <c r="G9929">
        <f>LOG(382/(16+1))</f>
        <v>1.3516144415334348</v>
      </c>
      <c r="H9929">
        <f>0.0151515151515151*3.11220726455035</f>
        <v>4.7154655523489991E-2</v>
      </c>
      <c r="I9929">
        <v>4.7154655523490289E-2</v>
      </c>
    </row>
    <row r="9930" spans="1:9" x14ac:dyDescent="0.25">
      <c r="A9930">
        <v>404</v>
      </c>
      <c r="B9930" t="s">
        <v>3078</v>
      </c>
      <c r="C9930" t="s">
        <v>10</v>
      </c>
      <c r="D9930" t="s">
        <v>3083</v>
      </c>
      <c r="E9930">
        <f>1/132</f>
        <v>7.575757575757576E-3</v>
      </c>
      <c r="F9930">
        <v>1</v>
      </c>
      <c r="G9930">
        <f>LOG(382/(1+1))</f>
        <v>2.2810333672477277</v>
      </c>
      <c r="H9930">
        <f>0.00757575757575757*5.25227342804663</f>
        <v>3.9789950212474438E-2</v>
      </c>
      <c r="I9930">
        <v>3.9789950212474473E-2</v>
      </c>
    </row>
    <row r="9931" spans="1:9" x14ac:dyDescent="0.25">
      <c r="A9931">
        <v>404</v>
      </c>
      <c r="B9931" t="s">
        <v>3078</v>
      </c>
      <c r="C9931" t="s">
        <v>10</v>
      </c>
      <c r="D9931" t="s">
        <v>101</v>
      </c>
      <c r="E9931">
        <f>1/132</f>
        <v>7.575757575757576E-3</v>
      </c>
      <c r="F9931">
        <v>7</v>
      </c>
      <c r="G9931">
        <f>LOG(382/(7+1))</f>
        <v>1.6789733759197651</v>
      </c>
      <c r="H9931">
        <f>0.00757575757575757*3.86597906692673</f>
        <v>2.9287720203990359E-2</v>
      </c>
      <c r="I9931">
        <v>2.9287720203990449E-2</v>
      </c>
    </row>
    <row r="9932" spans="1:9" x14ac:dyDescent="0.25">
      <c r="A9932">
        <v>404</v>
      </c>
      <c r="B9932" t="s">
        <v>3078</v>
      </c>
      <c r="C9932" t="s">
        <v>10</v>
      </c>
      <c r="D9932" t="s">
        <v>3084</v>
      </c>
      <c r="E9932">
        <f>2/132</f>
        <v>1.5151515151515152E-2</v>
      </c>
      <c r="F9932">
        <v>1</v>
      </c>
      <c r="G9932">
        <f>LOG(382/(1+1))</f>
        <v>2.2810333672477277</v>
      </c>
      <c r="H9932">
        <f>0.0151515151515151*5.25227342804663</f>
        <v>7.9579900424948669E-2</v>
      </c>
      <c r="I9932">
        <v>7.9579900424948946E-2</v>
      </c>
    </row>
    <row r="9933" spans="1:9" x14ac:dyDescent="0.25">
      <c r="A9933">
        <v>404</v>
      </c>
      <c r="B9933" t="s">
        <v>3078</v>
      </c>
      <c r="C9933" t="s">
        <v>10</v>
      </c>
      <c r="D9933" t="s">
        <v>3085</v>
      </c>
      <c r="E9933">
        <f>1/132</f>
        <v>7.575757575757576E-3</v>
      </c>
      <c r="F9933">
        <v>1</v>
      </c>
      <c r="G9933">
        <f>LOG(382/(1+1))</f>
        <v>2.2810333672477277</v>
      </c>
      <c r="H9933">
        <f>0.00757575757575757*5.25227342804663</f>
        <v>3.9789950212474438E-2</v>
      </c>
      <c r="I9933">
        <v>3.9789950212474473E-2</v>
      </c>
    </row>
    <row r="9934" spans="1:9" x14ac:dyDescent="0.25">
      <c r="A9934">
        <v>404</v>
      </c>
      <c r="B9934" t="s">
        <v>3078</v>
      </c>
      <c r="C9934" t="s">
        <v>10</v>
      </c>
      <c r="D9934" t="s">
        <v>779</v>
      </c>
      <c r="E9934">
        <f>2/132</f>
        <v>1.5151515151515152E-2</v>
      </c>
      <c r="F9934">
        <v>25</v>
      </c>
      <c r="G9934">
        <f>LOG(382/(25+1))</f>
        <v>1.1670900149408907</v>
      </c>
      <c r="H9934">
        <f>0.0151515151515151*2.68732407058509</f>
        <v>4.0717031372501225E-2</v>
      </c>
      <c r="I9934">
        <v>4.0717031372501412E-2</v>
      </c>
    </row>
    <row r="9935" spans="1:9" x14ac:dyDescent="0.25">
      <c r="A9935">
        <v>404</v>
      </c>
      <c r="B9935" t="s">
        <v>3078</v>
      </c>
      <c r="C9935" t="s">
        <v>10</v>
      </c>
      <c r="D9935" t="s">
        <v>64</v>
      </c>
      <c r="E9935">
        <f>1/132</f>
        <v>7.575757575757576E-3</v>
      </c>
      <c r="F9935">
        <v>16</v>
      </c>
      <c r="G9935">
        <f>LOG(382/(16+1))</f>
        <v>1.3516144415334348</v>
      </c>
      <c r="H9935">
        <f>0.00757575757575757*3.11220726455035</f>
        <v>2.3577327761745055E-2</v>
      </c>
      <c r="I9935">
        <v>2.3577327761745141E-2</v>
      </c>
    </row>
    <row r="9936" spans="1:9" x14ac:dyDescent="0.25">
      <c r="A9936">
        <v>404</v>
      </c>
      <c r="B9936" t="s">
        <v>3078</v>
      </c>
      <c r="C9936" t="s">
        <v>10</v>
      </c>
      <c r="D9936" t="s">
        <v>3086</v>
      </c>
      <c r="E9936">
        <f>1/132</f>
        <v>7.575757575757576E-3</v>
      </c>
      <c r="F9936">
        <v>1</v>
      </c>
      <c r="G9936">
        <f>LOG(382/(1+1))</f>
        <v>2.2810333672477277</v>
      </c>
      <c r="H9936">
        <f>0.00757575757575757*5.25227342804663</f>
        <v>3.9789950212474438E-2</v>
      </c>
      <c r="I9936">
        <v>3.9789950212474473E-2</v>
      </c>
    </row>
    <row r="9937" spans="1:9" x14ac:dyDescent="0.25">
      <c r="A9937">
        <v>404</v>
      </c>
      <c r="B9937" t="s">
        <v>3078</v>
      </c>
      <c r="C9937" t="s">
        <v>10</v>
      </c>
      <c r="D9937" t="s">
        <v>340</v>
      </c>
      <c r="E9937">
        <f>1/132</f>
        <v>7.575757575757576E-3</v>
      </c>
      <c r="F9937">
        <v>28</v>
      </c>
      <c r="G9937">
        <f>LOG(382/(28+1))</f>
        <v>1.1196653650127526</v>
      </c>
      <c r="H9937">
        <f>0.00757575757575757*2.5781247786201</f>
        <v>1.953124832287953E-2</v>
      </c>
      <c r="I9937">
        <v>1.9531248322879551E-2</v>
      </c>
    </row>
    <row r="9938" spans="1:9" x14ac:dyDescent="0.25">
      <c r="A9938">
        <v>404</v>
      </c>
      <c r="B9938" t="s">
        <v>3078</v>
      </c>
      <c r="C9938" t="s">
        <v>10</v>
      </c>
      <c r="D9938" t="s">
        <v>339</v>
      </c>
      <c r="E9938">
        <f>1/132</f>
        <v>7.575757575757576E-3</v>
      </c>
      <c r="F9938">
        <v>66</v>
      </c>
      <c r="G9938">
        <f>LOG(382/(66+1))</f>
        <v>0.75598856021088234</v>
      </c>
      <c r="H9938">
        <f>0.00757575757575757*1.7407279892156</f>
        <v>1.3187333251633323E-2</v>
      </c>
      <c r="I9938">
        <v>1.3187333251633401E-2</v>
      </c>
    </row>
    <row r="9939" spans="1:9" x14ac:dyDescent="0.25">
      <c r="A9939">
        <v>404</v>
      </c>
      <c r="B9939" t="s">
        <v>3078</v>
      </c>
      <c r="C9939" t="s">
        <v>10</v>
      </c>
      <c r="D9939" t="s">
        <v>119</v>
      </c>
      <c r="E9939">
        <f>2/132</f>
        <v>1.5151515151515152E-2</v>
      </c>
      <c r="F9939">
        <v>79</v>
      </c>
      <c r="G9939">
        <f>LOG(382/(79+1))</f>
        <v>0.67897337591976514</v>
      </c>
      <c r="H9939">
        <f>0.0151515151515151*1.56339397393269</f>
        <v>2.3687787483828555E-2</v>
      </c>
      <c r="I9939">
        <v>2.3687787483828691E-2</v>
      </c>
    </row>
    <row r="9940" spans="1:9" x14ac:dyDescent="0.25">
      <c r="A9940">
        <v>404</v>
      </c>
      <c r="B9940" t="s">
        <v>3078</v>
      </c>
      <c r="C9940" t="s">
        <v>10</v>
      </c>
      <c r="D9940" t="s">
        <v>322</v>
      </c>
      <c r="E9940">
        <f>1/132</f>
        <v>7.575757575757576E-3</v>
      </c>
      <c r="F9940">
        <v>128</v>
      </c>
      <c r="G9940">
        <f>LOG(382/(128+1))</f>
        <v>0.47147365261245977</v>
      </c>
      <c r="H9940">
        <f>0.00757575757575757*1.0856082042449</f>
        <v>8.2243045776128725E-3</v>
      </c>
      <c r="I9940">
        <v>8.2243045776129019E-3</v>
      </c>
    </row>
    <row r="9941" spans="1:9" x14ac:dyDescent="0.25">
      <c r="A9941">
        <v>404</v>
      </c>
      <c r="B9941" t="s">
        <v>3078</v>
      </c>
      <c r="C9941" t="s">
        <v>10</v>
      </c>
      <c r="D9941" t="s">
        <v>338</v>
      </c>
      <c r="E9941">
        <f>2/132</f>
        <v>1.5151515151515152E-2</v>
      </c>
      <c r="F9941">
        <v>54</v>
      </c>
      <c r="G9941">
        <f>LOG(382/(54+1))</f>
        <v>0.84170067341746491</v>
      </c>
      <c r="H9941">
        <f>0.0151515151515151*1.9380874233741</f>
        <v>2.9364960960213536E-2</v>
      </c>
      <c r="I9941">
        <v>2.9364960960213699E-2</v>
      </c>
    </row>
    <row r="9942" spans="1:9" x14ac:dyDescent="0.25">
      <c r="A9942">
        <v>404</v>
      </c>
      <c r="B9942" t="s">
        <v>3078</v>
      </c>
      <c r="C9942" t="s">
        <v>10</v>
      </c>
      <c r="D9942" t="s">
        <v>753</v>
      </c>
      <c r="E9942">
        <f t="shared" ref="E9942:E9949" si="467">1/132</f>
        <v>7.575757575757576E-3</v>
      </c>
      <c r="F9942">
        <v>19</v>
      </c>
      <c r="G9942">
        <f>LOG(382/(19+1))</f>
        <v>1.2810333672477277</v>
      </c>
      <c r="H9942">
        <f>0.00757575757575757*2.94968833505258</f>
        <v>2.2346123750398315E-2</v>
      </c>
      <c r="I9942">
        <v>2.2346123750398371E-2</v>
      </c>
    </row>
    <row r="9943" spans="1:9" x14ac:dyDescent="0.25">
      <c r="A9943">
        <v>404</v>
      </c>
      <c r="B9943" t="s">
        <v>3078</v>
      </c>
      <c r="C9943" t="s">
        <v>10</v>
      </c>
      <c r="D9943" t="s">
        <v>1857</v>
      </c>
      <c r="E9943">
        <f t="shared" si="467"/>
        <v>7.575757575757576E-3</v>
      </c>
      <c r="F9943">
        <v>17</v>
      </c>
      <c r="G9943">
        <f>LOG(382/(17+1))</f>
        <v>1.3267908578084027</v>
      </c>
      <c r="H9943">
        <f>0.00757575757575757*3.05504885071041</f>
        <v>2.3144309475078846E-2</v>
      </c>
      <c r="I9943">
        <v>2.314430947507887E-2</v>
      </c>
    </row>
    <row r="9944" spans="1:9" x14ac:dyDescent="0.25">
      <c r="A9944">
        <v>404</v>
      </c>
      <c r="B9944" t="s">
        <v>3078</v>
      </c>
      <c r="C9944" t="s">
        <v>10</v>
      </c>
      <c r="D9944" t="s">
        <v>994</v>
      </c>
      <c r="E9944">
        <f t="shared" si="467"/>
        <v>7.575757575757576E-3</v>
      </c>
      <c r="F9944">
        <v>37</v>
      </c>
      <c r="G9944">
        <f>LOG(382/(37+1))</f>
        <v>1.0022797662948986</v>
      </c>
      <c r="H9944">
        <f>0.00757575757575757*2.30783444888018</f>
        <v>1.7483594309698317E-2</v>
      </c>
      <c r="I9944">
        <v>1.74835943096984E-2</v>
      </c>
    </row>
    <row r="9945" spans="1:9" x14ac:dyDescent="0.25">
      <c r="A9945">
        <v>404</v>
      </c>
      <c r="B9945" t="s">
        <v>3078</v>
      </c>
      <c r="C9945" t="s">
        <v>10</v>
      </c>
      <c r="D9945" t="s">
        <v>247</v>
      </c>
      <c r="E9945">
        <f t="shared" si="467"/>
        <v>7.575757575757576E-3</v>
      </c>
      <c r="F9945">
        <v>121</v>
      </c>
      <c r="G9945">
        <f>LOG(382/(121+1))</f>
        <v>0.49570353223696051</v>
      </c>
      <c r="H9945">
        <f>0.00757575757575757*1.14139956387331</f>
        <v>8.6469663929796148E-3</v>
      </c>
      <c r="I9945">
        <v>8.6469663929796877E-3</v>
      </c>
    </row>
    <row r="9946" spans="1:9" x14ac:dyDescent="0.25">
      <c r="A9946">
        <v>404</v>
      </c>
      <c r="B9946" t="s">
        <v>3078</v>
      </c>
      <c r="C9946" t="s">
        <v>10</v>
      </c>
      <c r="D9946" t="s">
        <v>754</v>
      </c>
      <c r="E9946">
        <f t="shared" si="467"/>
        <v>7.575757575757576E-3</v>
      </c>
      <c r="F9946">
        <v>111</v>
      </c>
      <c r="G9946">
        <f>LOG(382/(111+1))</f>
        <v>0.53284534024152708</v>
      </c>
      <c r="H9946">
        <f>0.00757575757575757*1.22692173731148</f>
        <v>9.2948616462990834E-3</v>
      </c>
      <c r="I9946">
        <v>9.2948616462990956E-3</v>
      </c>
    </row>
    <row r="9947" spans="1:9" x14ac:dyDescent="0.25">
      <c r="A9947">
        <v>404</v>
      </c>
      <c r="B9947" t="s">
        <v>3078</v>
      </c>
      <c r="C9947" t="s">
        <v>10</v>
      </c>
      <c r="D9947" t="s">
        <v>2450</v>
      </c>
      <c r="E9947">
        <f t="shared" si="467"/>
        <v>7.575757575757576E-3</v>
      </c>
      <c r="F9947">
        <v>3</v>
      </c>
      <c r="G9947">
        <f>LOG(382/(3+1))</f>
        <v>1.9800033715837464</v>
      </c>
      <c r="H9947">
        <f>0.00757575757575757*4.55912624748668</f>
        <v>3.45388352082324E-2</v>
      </c>
      <c r="I9947">
        <v>3.4538835208232463E-2</v>
      </c>
    </row>
    <row r="9948" spans="1:9" x14ac:dyDescent="0.25">
      <c r="A9948">
        <v>404</v>
      </c>
      <c r="B9948" t="s">
        <v>3078</v>
      </c>
      <c r="C9948" t="s">
        <v>10</v>
      </c>
      <c r="D9948" t="s">
        <v>3087</v>
      </c>
      <c r="E9948">
        <f t="shared" si="467"/>
        <v>7.575757575757576E-3</v>
      </c>
      <c r="F9948">
        <v>2</v>
      </c>
      <c r="G9948">
        <f>LOG(382/(2+1))</f>
        <v>2.1049421081920463</v>
      </c>
      <c r="H9948">
        <f>0.00757575757575757*4.84680831993846</f>
        <v>3.6718244848018611E-2</v>
      </c>
      <c r="I9948">
        <v>3.671824484801868E-2</v>
      </c>
    </row>
    <row r="9949" spans="1:9" x14ac:dyDescent="0.25">
      <c r="A9949">
        <v>404</v>
      </c>
      <c r="B9949" t="s">
        <v>3078</v>
      </c>
      <c r="C9949" t="s">
        <v>10</v>
      </c>
      <c r="D9949" t="s">
        <v>1173</v>
      </c>
      <c r="E9949">
        <f t="shared" si="467"/>
        <v>7.575757575757576E-3</v>
      </c>
      <c r="F9949">
        <v>2</v>
      </c>
      <c r="G9949">
        <f>LOG(382/(2+1))</f>
        <v>2.1049421081920463</v>
      </c>
      <c r="H9949">
        <f>0.00757575757575757*4.84680831993846</f>
        <v>3.6718244848018611E-2</v>
      </c>
      <c r="I9949">
        <v>3.671824484801868E-2</v>
      </c>
    </row>
    <row r="9950" spans="1:9" x14ac:dyDescent="0.25">
      <c r="A9950">
        <v>405</v>
      </c>
      <c r="B9950" t="s">
        <v>3088</v>
      </c>
      <c r="C9950" t="s">
        <v>10</v>
      </c>
      <c r="D9950" t="s">
        <v>1857</v>
      </c>
      <c r="E9950">
        <f>5/76</f>
        <v>6.5789473684210523E-2</v>
      </c>
      <c r="F9950">
        <v>17</v>
      </c>
      <c r="G9950">
        <f>LOG(382/(17+1))</f>
        <v>1.3267908578084027</v>
      </c>
      <c r="H9950">
        <f>0.0657894736842105*3.05504885071041</f>
        <v>0.20099005596779002</v>
      </c>
      <c r="I9950">
        <v>0.20099005596779021</v>
      </c>
    </row>
    <row r="9951" spans="1:9" x14ac:dyDescent="0.25">
      <c r="A9951">
        <v>405</v>
      </c>
      <c r="B9951" t="s">
        <v>3088</v>
      </c>
      <c r="C9951" t="s">
        <v>10</v>
      </c>
      <c r="D9951" t="s">
        <v>2997</v>
      </c>
      <c r="E9951">
        <f>6/76</f>
        <v>7.8947368421052627E-2</v>
      </c>
      <c r="F9951">
        <v>3</v>
      </c>
      <c r="G9951">
        <f>LOG(382/(3+1))</f>
        <v>1.9800033715837464</v>
      </c>
      <c r="H9951">
        <f>0.0789473684210526*4.55912624748668</f>
        <v>0.35993101953842194</v>
      </c>
      <c r="I9951">
        <v>0.35993101953842238</v>
      </c>
    </row>
    <row r="9952" spans="1:9" x14ac:dyDescent="0.25">
      <c r="A9952">
        <v>405</v>
      </c>
      <c r="B9952" t="s">
        <v>3088</v>
      </c>
      <c r="C9952" t="s">
        <v>10</v>
      </c>
      <c r="D9952" t="s">
        <v>247</v>
      </c>
      <c r="E9952">
        <f>1/76</f>
        <v>1.3157894736842105E-2</v>
      </c>
      <c r="F9952">
        <v>121</v>
      </c>
      <c r="G9952">
        <f>LOG(382/(121+1))</f>
        <v>0.49570353223696051</v>
      </c>
      <c r="H9952">
        <f>0.0131578947368421*1.14139956387331</f>
        <v>1.5018415314122494E-2</v>
      </c>
      <c r="I9952">
        <v>1.501841531412261E-2</v>
      </c>
    </row>
    <row r="9953" spans="1:9" x14ac:dyDescent="0.25">
      <c r="A9953">
        <v>405</v>
      </c>
      <c r="B9953" t="s">
        <v>3088</v>
      </c>
      <c r="C9953" t="s">
        <v>10</v>
      </c>
      <c r="D9953" t="s">
        <v>39</v>
      </c>
      <c r="E9953">
        <f>1/76</f>
        <v>1.3157894736842105E-2</v>
      </c>
      <c r="F9953">
        <v>145</v>
      </c>
      <c r="G9953">
        <f>LOG(382/(145+1))</f>
        <v>0.41771050712727159</v>
      </c>
      <c r="H9953">
        <f>0.0131578947368421*0.961813986898238</f>
        <v>1.2655447196029443E-2</v>
      </c>
      <c r="I9953">
        <v>1.265544719602946E-2</v>
      </c>
    </row>
    <row r="9954" spans="1:9" x14ac:dyDescent="0.25">
      <c r="A9954">
        <v>405</v>
      </c>
      <c r="B9954" t="s">
        <v>3088</v>
      </c>
      <c r="C9954" t="s">
        <v>10</v>
      </c>
      <c r="D9954" t="s">
        <v>42</v>
      </c>
      <c r="E9954">
        <f>1/76</f>
        <v>1.3157894736842105E-2</v>
      </c>
      <c r="F9954">
        <v>251</v>
      </c>
      <c r="G9954">
        <f>LOG(382/(251+1))</f>
        <v>0.18066282213016463</v>
      </c>
      <c r="H9954">
        <f>0.0131578947368421*0.415991521095151</f>
        <v>5.4735726459888261E-3</v>
      </c>
      <c r="I9954">
        <v>5.47357264598884E-3</v>
      </c>
    </row>
    <row r="9955" spans="1:9" x14ac:dyDescent="0.25">
      <c r="A9955">
        <v>405</v>
      </c>
      <c r="B9955" t="s">
        <v>3088</v>
      </c>
      <c r="C9955" t="s">
        <v>10</v>
      </c>
      <c r="D9955" t="s">
        <v>15</v>
      </c>
      <c r="E9955">
        <f>3/76</f>
        <v>3.9473684210526314E-2</v>
      </c>
      <c r="F9955">
        <v>112</v>
      </c>
      <c r="G9955">
        <f>LOG(382/(112+1))</f>
        <v>0.52898491942828896</v>
      </c>
      <c r="H9955">
        <f>0.0394736842105263*1.21803278989423</f>
        <v>4.8080241706351168E-2</v>
      </c>
      <c r="I9955">
        <v>4.8080241706351369E-2</v>
      </c>
    </row>
    <row r="9956" spans="1:9" x14ac:dyDescent="0.25">
      <c r="A9956">
        <v>405</v>
      </c>
      <c r="B9956" t="s">
        <v>3088</v>
      </c>
      <c r="C9956" t="s">
        <v>10</v>
      </c>
      <c r="D9956" t="s">
        <v>17</v>
      </c>
      <c r="E9956">
        <f t="shared" ref="E9956:E9962" si="468">1/76</f>
        <v>1.3157894736842105E-2</v>
      </c>
      <c r="F9956">
        <v>169</v>
      </c>
      <c r="G9956">
        <f>LOG(382/(169+1))</f>
        <v>0.3516144415334348</v>
      </c>
      <c r="H9956">
        <f>0.0131578947368421*0.809622171556313</f>
        <v>1.0652923309951483E-2</v>
      </c>
      <c r="I9956">
        <v>1.065292330995149E-2</v>
      </c>
    </row>
    <row r="9957" spans="1:9" x14ac:dyDescent="0.25">
      <c r="A9957">
        <v>405</v>
      </c>
      <c r="B9957" t="s">
        <v>3088</v>
      </c>
      <c r="C9957" t="s">
        <v>10</v>
      </c>
      <c r="D9957" t="s">
        <v>947</v>
      </c>
      <c r="E9957">
        <f t="shared" si="468"/>
        <v>1.3157894736842105E-2</v>
      </c>
      <c r="F9957">
        <v>6</v>
      </c>
      <c r="G9957">
        <f>LOG(382/(6+1))</f>
        <v>1.736965322897452</v>
      </c>
      <c r="H9957">
        <f>0.0131578947368421*3.99951045955126</f>
        <v>5.2625137625674452E-2</v>
      </c>
      <c r="I9957">
        <v>5.2625137625674487E-2</v>
      </c>
    </row>
    <row r="9958" spans="1:9" x14ac:dyDescent="0.25">
      <c r="A9958">
        <v>405</v>
      </c>
      <c r="B9958" t="s">
        <v>3088</v>
      </c>
      <c r="C9958" t="s">
        <v>10</v>
      </c>
      <c r="D9958" t="s">
        <v>19</v>
      </c>
      <c r="E9958">
        <f t="shared" si="468"/>
        <v>1.3157894736842105E-2</v>
      </c>
      <c r="F9958">
        <v>220</v>
      </c>
      <c r="G9958">
        <f>LOG(382/(220+1))</f>
        <v>0.23767108922659805</v>
      </c>
      <c r="H9958">
        <f>0.0131578947368421*0.547257907088822</f>
        <v>7.2007619353792341E-3</v>
      </c>
      <c r="I9958">
        <v>7.200761935379241E-3</v>
      </c>
    </row>
    <row r="9959" spans="1:9" x14ac:dyDescent="0.25">
      <c r="A9959">
        <v>405</v>
      </c>
      <c r="B9959" t="s">
        <v>3088</v>
      </c>
      <c r="C9959" t="s">
        <v>10</v>
      </c>
      <c r="D9959" t="s">
        <v>370</v>
      </c>
      <c r="E9959">
        <f t="shared" si="468"/>
        <v>1.3157894736842105E-2</v>
      </c>
      <c r="F9959">
        <v>14</v>
      </c>
      <c r="G9959">
        <f>LOG(382/(14+1))</f>
        <v>1.4059721038560276</v>
      </c>
      <c r="H9959">
        <f>0.0131578947368421*3.23737040750436</f>
        <v>4.2596979046109977E-2</v>
      </c>
      <c r="I9959">
        <v>4.2596979046110067E-2</v>
      </c>
    </row>
    <row r="9960" spans="1:9" x14ac:dyDescent="0.25">
      <c r="A9960">
        <v>405</v>
      </c>
      <c r="B9960" t="s">
        <v>3088</v>
      </c>
      <c r="C9960" t="s">
        <v>10</v>
      </c>
      <c r="D9960" t="s">
        <v>22</v>
      </c>
      <c r="E9960">
        <f t="shared" si="468"/>
        <v>1.3157894736842105E-2</v>
      </c>
      <c r="F9960">
        <v>259</v>
      </c>
      <c r="G9960">
        <f>LOG(382/(259+1))</f>
        <v>0.16709001494089079</v>
      </c>
      <c r="H9960">
        <f>0.0131578947368421*0.384738977591047</f>
        <v>5.0623549683032482E-3</v>
      </c>
      <c r="I9960">
        <v>5.0623549683032568E-3</v>
      </c>
    </row>
    <row r="9961" spans="1:9" x14ac:dyDescent="0.25">
      <c r="A9961">
        <v>405</v>
      </c>
      <c r="B9961" t="s">
        <v>3088</v>
      </c>
      <c r="C9961" t="s">
        <v>10</v>
      </c>
      <c r="D9961" t="s">
        <v>23</v>
      </c>
      <c r="E9961">
        <f t="shared" si="468"/>
        <v>1.3157894736842105E-2</v>
      </c>
      <c r="F9961">
        <v>275</v>
      </c>
      <c r="G9961">
        <f>LOG(382/(275+1))</f>
        <v>0.14115428084649101</v>
      </c>
      <c r="H9961">
        <f>0.0131578947368421*0.325019742889425</f>
        <v>4.2765755643345369E-3</v>
      </c>
      <c r="I9961">
        <v>4.2765755643345412E-3</v>
      </c>
    </row>
    <row r="9962" spans="1:9" x14ac:dyDescent="0.25">
      <c r="A9962">
        <v>405</v>
      </c>
      <c r="B9962" t="s">
        <v>3088</v>
      </c>
      <c r="C9962" t="s">
        <v>10</v>
      </c>
      <c r="D9962" t="s">
        <v>2531</v>
      </c>
      <c r="E9962">
        <f t="shared" si="468"/>
        <v>1.3157894736842105E-2</v>
      </c>
      <c r="F9962">
        <v>2</v>
      </c>
      <c r="G9962">
        <f>LOG(382/(2+1))</f>
        <v>2.1049421081920463</v>
      </c>
      <c r="H9962">
        <f>0.0131578947368421*4.84680831993846</f>
        <v>6.3773793683400762E-2</v>
      </c>
      <c r="I9962">
        <v>6.3773793683400859E-2</v>
      </c>
    </row>
    <row r="9963" spans="1:9" x14ac:dyDescent="0.25">
      <c r="A9963">
        <v>405</v>
      </c>
      <c r="B9963" t="s">
        <v>3088</v>
      </c>
      <c r="C9963" t="s">
        <v>10</v>
      </c>
      <c r="D9963" t="s">
        <v>77</v>
      </c>
      <c r="E9963">
        <f>3/76</f>
        <v>3.9473684210526314E-2</v>
      </c>
      <c r="F9963">
        <v>148</v>
      </c>
      <c r="G9963">
        <f>LOG(382/(148+1))</f>
        <v>0.40887709449943471</v>
      </c>
      <c r="H9963">
        <f>0.0394736842105263*0.941474302661116</f>
        <v>3.716345931557035E-2</v>
      </c>
      <c r="I9963">
        <v>3.7163459315570371E-2</v>
      </c>
    </row>
    <row r="9964" spans="1:9" x14ac:dyDescent="0.25">
      <c r="A9964">
        <v>405</v>
      </c>
      <c r="B9964" t="s">
        <v>3088</v>
      </c>
      <c r="C9964" t="s">
        <v>10</v>
      </c>
      <c r="D9964" t="s">
        <v>331</v>
      </c>
      <c r="E9964">
        <f>2/76</f>
        <v>2.6315789473684209E-2</v>
      </c>
      <c r="F9964">
        <v>130</v>
      </c>
      <c r="G9964">
        <f>LOG(382/(130+1))</f>
        <v>0.46479206725594452</v>
      </c>
      <c r="H9964">
        <f>0.0263157894736842*1.07022328540542</f>
        <v>2.8163770668563674E-2</v>
      </c>
      <c r="I9964">
        <v>2.8163770668563778E-2</v>
      </c>
    </row>
    <row r="9965" spans="1:9" x14ac:dyDescent="0.25">
      <c r="A9965">
        <v>405</v>
      </c>
      <c r="B9965" t="s">
        <v>3088</v>
      </c>
      <c r="C9965" t="s">
        <v>10</v>
      </c>
      <c r="D9965" t="s">
        <v>3089</v>
      </c>
      <c r="E9965">
        <f>1/76</f>
        <v>1.3157894736842105E-2</v>
      </c>
      <c r="F9965">
        <v>1</v>
      </c>
      <c r="G9965">
        <f>LOG(382/(1+1))</f>
        <v>2.2810333672477277</v>
      </c>
      <c r="H9965">
        <f>0.0131578947368421*5.25227342804663</f>
        <v>6.9108860895350357E-2</v>
      </c>
      <c r="I9965">
        <v>6.9108860895350385E-2</v>
      </c>
    </row>
    <row r="9966" spans="1:9" x14ac:dyDescent="0.25">
      <c r="A9966">
        <v>405</v>
      </c>
      <c r="B9966" t="s">
        <v>3088</v>
      </c>
      <c r="C9966" t="s">
        <v>10</v>
      </c>
      <c r="D9966" t="s">
        <v>315</v>
      </c>
      <c r="E9966">
        <f>2/76</f>
        <v>2.6315789473684209E-2</v>
      </c>
      <c r="F9966">
        <v>55</v>
      </c>
      <c r="G9966">
        <f>LOG(382/(55+1))</f>
        <v>0.83387533590550833</v>
      </c>
      <c r="H9966">
        <f>0.0263157894736842*1.92006891787142</f>
        <v>5.0528129417668925E-2</v>
      </c>
      <c r="I9966">
        <v>5.0528129417669099E-2</v>
      </c>
    </row>
    <row r="9967" spans="1:9" x14ac:dyDescent="0.25">
      <c r="A9967">
        <v>405</v>
      </c>
      <c r="B9967" t="s">
        <v>3088</v>
      </c>
      <c r="C9967" t="s">
        <v>10</v>
      </c>
      <c r="D9967" t="s">
        <v>1081</v>
      </c>
      <c r="E9967">
        <f>3/76</f>
        <v>3.9473684210526314E-2</v>
      </c>
      <c r="F9967">
        <v>27</v>
      </c>
      <c r="G9967">
        <f>LOG(382/(27+1))</f>
        <v>1.1349053315694895</v>
      </c>
      <c r="H9967">
        <f>0.0394736842105263*2.61321609843137</f>
        <v>0.10315326704334352</v>
      </c>
      <c r="I9967">
        <v>0.1031532670433436</v>
      </c>
    </row>
    <row r="9968" spans="1:9" x14ac:dyDescent="0.25">
      <c r="A9968">
        <v>405</v>
      </c>
      <c r="B9968" t="s">
        <v>3088</v>
      </c>
      <c r="C9968" t="s">
        <v>10</v>
      </c>
      <c r="D9968" t="s">
        <v>152</v>
      </c>
      <c r="E9968">
        <f t="shared" ref="E9968:E10002" si="469">1/76</f>
        <v>1.3157894736842105E-2</v>
      </c>
      <c r="F9968">
        <v>31</v>
      </c>
      <c r="G9968">
        <f>LOG(382/(31+1))</f>
        <v>1.0769133845918029</v>
      </c>
      <c r="H9968">
        <f>0.0131578947368421*2.47968470580684</f>
        <v>3.2627430339563668E-2</v>
      </c>
      <c r="I9968">
        <v>3.26274303395638E-2</v>
      </c>
    </row>
    <row r="9969" spans="1:9" x14ac:dyDescent="0.25">
      <c r="A9969">
        <v>405</v>
      </c>
      <c r="B9969" t="s">
        <v>3088</v>
      </c>
      <c r="C9969" t="s">
        <v>10</v>
      </c>
      <c r="D9969" t="s">
        <v>36</v>
      </c>
      <c r="E9969">
        <f t="shared" si="469"/>
        <v>1.3157894736842105E-2</v>
      </c>
      <c r="F9969">
        <v>58</v>
      </c>
      <c r="G9969">
        <f>LOG(382/(58+1))</f>
        <v>0.81121135126956456</v>
      </c>
      <c r="H9969">
        <f>0.0131578947368421*1.86788316470085</f>
        <v>2.457741006185328E-2</v>
      </c>
      <c r="I9969">
        <v>2.457741006185336E-2</v>
      </c>
    </row>
    <row r="9970" spans="1:9" x14ac:dyDescent="0.25">
      <c r="A9970">
        <v>405</v>
      </c>
      <c r="B9970" t="s">
        <v>3088</v>
      </c>
      <c r="C9970" t="s">
        <v>10</v>
      </c>
      <c r="D9970" t="s">
        <v>161</v>
      </c>
      <c r="E9970">
        <f t="shared" si="469"/>
        <v>1.3157894736842105E-2</v>
      </c>
      <c r="F9970">
        <v>33</v>
      </c>
      <c r="G9970">
        <f>LOG(382/(33+1))</f>
        <v>1.0505844458694535</v>
      </c>
      <c r="H9970">
        <f>0.0131578947368421*2.41906008399041</f>
        <v>3.1829737947242226E-2</v>
      </c>
      <c r="I9970">
        <v>3.1829737947242281E-2</v>
      </c>
    </row>
    <row r="9971" spans="1:9" x14ac:dyDescent="0.25">
      <c r="A9971">
        <v>405</v>
      </c>
      <c r="B9971" t="s">
        <v>3088</v>
      </c>
      <c r="C9971" t="s">
        <v>10</v>
      </c>
      <c r="D9971" t="s">
        <v>76</v>
      </c>
      <c r="E9971">
        <f t="shared" si="469"/>
        <v>1.3157894736842105E-2</v>
      </c>
      <c r="F9971">
        <v>140</v>
      </c>
      <c r="G9971">
        <f>LOG(382/(140+1))</f>
        <v>0.43284425025632883</v>
      </c>
      <c r="H9971">
        <f>0.0131578947368421*0.996660718228407</f>
        <v>1.3113956818794823E-2</v>
      </c>
      <c r="I9971">
        <v>1.311395681879483E-2</v>
      </c>
    </row>
    <row r="9972" spans="1:9" x14ac:dyDescent="0.25">
      <c r="A9972">
        <v>405</v>
      </c>
      <c r="B9972" t="s">
        <v>3088</v>
      </c>
      <c r="C9972" t="s">
        <v>10</v>
      </c>
      <c r="D9972" t="s">
        <v>134</v>
      </c>
      <c r="E9972">
        <f t="shared" si="469"/>
        <v>1.3157894736842105E-2</v>
      </c>
      <c r="F9972">
        <v>21</v>
      </c>
      <c r="G9972">
        <f>LOG(382/(21+1))</f>
        <v>1.2396406820895025</v>
      </c>
      <c r="H9972">
        <f>0.0131578947368421*2.85437815524825</f>
        <v>3.7557607305898008E-2</v>
      </c>
      <c r="I9972">
        <v>3.7557607305898147E-2</v>
      </c>
    </row>
    <row r="9973" spans="1:9" x14ac:dyDescent="0.25">
      <c r="A9973">
        <v>405</v>
      </c>
      <c r="B9973" t="s">
        <v>3088</v>
      </c>
      <c r="C9973" t="s">
        <v>10</v>
      </c>
      <c r="D9973" t="s">
        <v>136</v>
      </c>
      <c r="E9973">
        <f t="shared" si="469"/>
        <v>1.3157894736842105E-2</v>
      </c>
      <c r="F9973">
        <v>17</v>
      </c>
      <c r="G9973">
        <f>LOG(382/(17+1))</f>
        <v>1.3267908578084027</v>
      </c>
      <c r="H9973">
        <f>0.0131578947368421*3.05504885071041</f>
        <v>4.0198011193558009E-2</v>
      </c>
      <c r="I9973">
        <v>4.0198011193558029E-2</v>
      </c>
    </row>
    <row r="9974" spans="1:9" x14ac:dyDescent="0.25">
      <c r="A9974">
        <v>405</v>
      </c>
      <c r="B9974" t="s">
        <v>3088</v>
      </c>
      <c r="C9974" t="s">
        <v>10</v>
      </c>
      <c r="D9974" t="s">
        <v>3090</v>
      </c>
      <c r="E9974">
        <f t="shared" si="469"/>
        <v>1.3157894736842105E-2</v>
      </c>
      <c r="F9974">
        <v>1</v>
      </c>
      <c r="G9974">
        <f>LOG(382/(1+1))</f>
        <v>2.2810333672477277</v>
      </c>
      <c r="H9974">
        <f>0.0131578947368421*5.25227342804663</f>
        <v>6.9108860895350357E-2</v>
      </c>
      <c r="I9974">
        <v>6.9108860895350385E-2</v>
      </c>
    </row>
    <row r="9975" spans="1:9" x14ac:dyDescent="0.25">
      <c r="A9975">
        <v>405</v>
      </c>
      <c r="B9975" t="s">
        <v>3088</v>
      </c>
      <c r="C9975" t="s">
        <v>10</v>
      </c>
      <c r="D9975" t="s">
        <v>752</v>
      </c>
      <c r="E9975">
        <f t="shared" si="469"/>
        <v>1.3157894736842105E-2</v>
      </c>
      <c r="F9975">
        <v>34</v>
      </c>
      <c r="G9975">
        <f>LOG(382/(34+1))</f>
        <v>1.037995318561433</v>
      </c>
      <c r="H9975">
        <f>0.0131578947368421*2.39007254711716</f>
        <v>3.1448322988383667E-2</v>
      </c>
      <c r="I9975">
        <v>3.1448322988383702E-2</v>
      </c>
    </row>
    <row r="9976" spans="1:9" x14ac:dyDescent="0.25">
      <c r="A9976">
        <v>405</v>
      </c>
      <c r="B9976" t="s">
        <v>3088</v>
      </c>
      <c r="C9976" t="s">
        <v>10</v>
      </c>
      <c r="D9976" t="s">
        <v>3091</v>
      </c>
      <c r="E9976">
        <f t="shared" si="469"/>
        <v>1.3157894736842105E-2</v>
      </c>
      <c r="F9976">
        <v>1</v>
      </c>
      <c r="G9976">
        <f>LOG(382/(1+1))</f>
        <v>2.2810333672477277</v>
      </c>
      <c r="H9976">
        <f>0.0131578947368421*5.25227342804663</f>
        <v>6.9108860895350357E-2</v>
      </c>
      <c r="I9976">
        <v>6.9108860895350385E-2</v>
      </c>
    </row>
    <row r="9977" spans="1:9" x14ac:dyDescent="0.25">
      <c r="A9977">
        <v>405</v>
      </c>
      <c r="B9977" t="s">
        <v>3088</v>
      </c>
      <c r="C9977" t="s">
        <v>10</v>
      </c>
      <c r="D9977" t="s">
        <v>25</v>
      </c>
      <c r="E9977">
        <f t="shared" si="469"/>
        <v>1.3157894736842105E-2</v>
      </c>
      <c r="F9977">
        <v>106</v>
      </c>
      <c r="G9977">
        <f>LOG(382/(106+1))</f>
        <v>0.55267958522649907</v>
      </c>
      <c r="H9977">
        <f>0.0131578947368421*1.27259177414466</f>
        <v>1.6744628607166571E-2</v>
      </c>
      <c r="I9977">
        <v>1.67446286071667E-2</v>
      </c>
    </row>
    <row r="9978" spans="1:9" x14ac:dyDescent="0.25">
      <c r="A9978">
        <v>405</v>
      </c>
      <c r="B9978" t="s">
        <v>3088</v>
      </c>
      <c r="C9978" t="s">
        <v>10</v>
      </c>
      <c r="D9978" t="s">
        <v>3092</v>
      </c>
      <c r="E9978">
        <f t="shared" si="469"/>
        <v>1.3157894736842105E-2</v>
      </c>
      <c r="F9978">
        <v>1</v>
      </c>
      <c r="G9978">
        <f>LOG(382/(1+1))</f>
        <v>2.2810333672477277</v>
      </c>
      <c r="H9978">
        <f>0.0131578947368421*5.25227342804663</f>
        <v>6.9108860895350357E-2</v>
      </c>
      <c r="I9978">
        <v>6.9108860895350385E-2</v>
      </c>
    </row>
    <row r="9979" spans="1:9" x14ac:dyDescent="0.25">
      <c r="A9979">
        <v>405</v>
      </c>
      <c r="B9979" t="s">
        <v>3088</v>
      </c>
      <c r="C9979" t="s">
        <v>10</v>
      </c>
      <c r="D9979" t="s">
        <v>485</v>
      </c>
      <c r="E9979">
        <f t="shared" si="469"/>
        <v>1.3157894736842105E-2</v>
      </c>
      <c r="F9979">
        <v>74</v>
      </c>
      <c r="G9979">
        <f>LOG(382/(74+1))</f>
        <v>0.7070020995200087</v>
      </c>
      <c r="H9979">
        <f>0.0131578947368421*1.62793249507026</f>
        <v>2.1420164408819203E-2</v>
      </c>
      <c r="I9979">
        <v>2.1420164408819269E-2</v>
      </c>
    </row>
    <row r="9980" spans="1:9" x14ac:dyDescent="0.25">
      <c r="A9980">
        <v>405</v>
      </c>
      <c r="B9980" t="s">
        <v>3088</v>
      </c>
      <c r="C9980" t="s">
        <v>10</v>
      </c>
      <c r="D9980" t="s">
        <v>763</v>
      </c>
      <c r="E9980">
        <f t="shared" si="469"/>
        <v>1.3157894736842105E-2</v>
      </c>
      <c r="F9980">
        <v>47</v>
      </c>
      <c r="G9980">
        <f>LOG(382/(47+1))</f>
        <v>0.90082212553612151</v>
      </c>
      <c r="H9980">
        <f>0.0131578947368421*2.07421959769868</f>
        <v>2.72923631276142E-2</v>
      </c>
      <c r="I9980">
        <v>2.7292363127614259E-2</v>
      </c>
    </row>
    <row r="9981" spans="1:9" x14ac:dyDescent="0.25">
      <c r="A9981">
        <v>405</v>
      </c>
      <c r="B9981" t="s">
        <v>3088</v>
      </c>
      <c r="C9981" t="s">
        <v>10</v>
      </c>
      <c r="D9981" t="s">
        <v>1951</v>
      </c>
      <c r="E9981">
        <f t="shared" si="469"/>
        <v>1.3157894736842105E-2</v>
      </c>
      <c r="F9981">
        <v>6</v>
      </c>
      <c r="G9981">
        <f>LOG(382/(6+1))</f>
        <v>1.736965322897452</v>
      </c>
      <c r="H9981">
        <f>0.0131578947368421*3.99951045955126</f>
        <v>5.2625137625674452E-2</v>
      </c>
      <c r="I9981">
        <v>5.2625137625674487E-2</v>
      </c>
    </row>
    <row r="9982" spans="1:9" x14ac:dyDescent="0.25">
      <c r="A9982">
        <v>405</v>
      </c>
      <c r="B9982" t="s">
        <v>3088</v>
      </c>
      <c r="C9982" t="s">
        <v>10</v>
      </c>
      <c r="D9982" t="s">
        <v>483</v>
      </c>
      <c r="E9982">
        <f t="shared" si="469"/>
        <v>1.3157894736842105E-2</v>
      </c>
      <c r="F9982">
        <v>61</v>
      </c>
      <c r="G9982">
        <f>LOG(382/(61+1))</f>
        <v>0.7896716734134549</v>
      </c>
      <c r="H9982">
        <f>0.0131578947368421*1.81828622356148</f>
        <v>2.3924818731072096E-2</v>
      </c>
      <c r="I9982">
        <v>2.3924818731072151E-2</v>
      </c>
    </row>
    <row r="9983" spans="1:9" x14ac:dyDescent="0.25">
      <c r="A9983">
        <v>405</v>
      </c>
      <c r="B9983" t="s">
        <v>3088</v>
      </c>
      <c r="C9983" t="s">
        <v>10</v>
      </c>
      <c r="D9983" t="s">
        <v>11</v>
      </c>
      <c r="E9983">
        <f t="shared" si="469"/>
        <v>1.3157894736842105E-2</v>
      </c>
      <c r="F9983">
        <v>83</v>
      </c>
      <c r="G9983">
        <f>LOG(382/(83+1))</f>
        <v>0.65778407684982709</v>
      </c>
      <c r="H9983">
        <f>0.0131578947368421*1.51460380976326</f>
        <v>1.9928997496884988E-2</v>
      </c>
      <c r="I9983">
        <v>1.992899749688502E-2</v>
      </c>
    </row>
    <row r="9984" spans="1:9" x14ac:dyDescent="0.25">
      <c r="A9984">
        <v>405</v>
      </c>
      <c r="B9984" t="s">
        <v>3088</v>
      </c>
      <c r="C9984" t="s">
        <v>10</v>
      </c>
      <c r="D9984" t="s">
        <v>1534</v>
      </c>
      <c r="E9984">
        <f t="shared" si="469"/>
        <v>1.3157894736842105E-2</v>
      </c>
      <c r="F9984">
        <v>25</v>
      </c>
      <c r="G9984">
        <f>LOG(382/(25+1))</f>
        <v>1.1670900149408907</v>
      </c>
      <c r="H9984">
        <f>0.0131578947368421*2.68732407058509</f>
        <v>3.5359527244540639E-2</v>
      </c>
      <c r="I9984">
        <v>3.5359527244540688E-2</v>
      </c>
    </row>
    <row r="9985" spans="1:9" x14ac:dyDescent="0.25">
      <c r="A9985">
        <v>405</v>
      </c>
      <c r="B9985" t="s">
        <v>3088</v>
      </c>
      <c r="C9985" t="s">
        <v>10</v>
      </c>
      <c r="D9985" t="s">
        <v>144</v>
      </c>
      <c r="E9985">
        <f t="shared" si="469"/>
        <v>1.3157894736842105E-2</v>
      </c>
      <c r="F9985">
        <v>105</v>
      </c>
      <c r="G9985">
        <f>LOG(382/(105+1))</f>
        <v>0.55675749764693849</v>
      </c>
      <c r="H9985">
        <f>0.0131578947368421*1.2819815144945</f>
        <v>1.6868177822296045E-2</v>
      </c>
      <c r="I9985">
        <v>1.686817782229616E-2</v>
      </c>
    </row>
    <row r="9986" spans="1:9" x14ac:dyDescent="0.25">
      <c r="A9986">
        <v>405</v>
      </c>
      <c r="B9986" t="s">
        <v>3088</v>
      </c>
      <c r="C9986" t="s">
        <v>10</v>
      </c>
      <c r="D9986" t="s">
        <v>327</v>
      </c>
      <c r="E9986">
        <f t="shared" si="469"/>
        <v>1.3157894736842105E-2</v>
      </c>
      <c r="F9986">
        <v>46</v>
      </c>
      <c r="G9986">
        <f>LOG(382/(46+1))</f>
        <v>0.90996550497599127</v>
      </c>
      <c r="H9986">
        <f>0.0131578947368421*2.09527300689651</f>
        <v>2.7569381669690911E-2</v>
      </c>
      <c r="I9986">
        <v>2.7569381669691001E-2</v>
      </c>
    </row>
    <row r="9987" spans="1:9" x14ac:dyDescent="0.25">
      <c r="A9987">
        <v>405</v>
      </c>
      <c r="B9987" t="s">
        <v>3088</v>
      </c>
      <c r="C9987" t="s">
        <v>10</v>
      </c>
      <c r="D9987" t="s">
        <v>3093</v>
      </c>
      <c r="E9987">
        <f t="shared" si="469"/>
        <v>1.3157894736842105E-2</v>
      </c>
      <c r="F9987">
        <v>1</v>
      </c>
      <c r="G9987">
        <f>LOG(382/(1+1))</f>
        <v>2.2810333672477277</v>
      </c>
      <c r="H9987">
        <f>0.0131578947368421*5.25227342804663</f>
        <v>6.9108860895350357E-2</v>
      </c>
      <c r="I9987">
        <v>6.9108860895350385E-2</v>
      </c>
    </row>
    <row r="9988" spans="1:9" x14ac:dyDescent="0.25">
      <c r="A9988">
        <v>405</v>
      </c>
      <c r="B9988" t="s">
        <v>3088</v>
      </c>
      <c r="C9988" t="s">
        <v>10</v>
      </c>
      <c r="D9988" t="s">
        <v>1880</v>
      </c>
      <c r="E9988">
        <f t="shared" si="469"/>
        <v>1.3157894736842105E-2</v>
      </c>
      <c r="F9988">
        <v>4</v>
      </c>
      <c r="G9988">
        <f>LOG(382/(4+1))</f>
        <v>1.8830933585756899</v>
      </c>
      <c r="H9988">
        <f>0.0131578947368421*4.33598269617247</f>
        <v>5.7052403897006165E-2</v>
      </c>
      <c r="I9988">
        <v>5.7052403897006242E-2</v>
      </c>
    </row>
    <row r="9989" spans="1:9" x14ac:dyDescent="0.25">
      <c r="A9989">
        <v>405</v>
      </c>
      <c r="B9989" t="s">
        <v>3088</v>
      </c>
      <c r="C9989" t="s">
        <v>10</v>
      </c>
      <c r="D9989" t="s">
        <v>97</v>
      </c>
      <c r="E9989">
        <f t="shared" si="469"/>
        <v>1.3157894736842105E-2</v>
      </c>
      <c r="F9989">
        <v>19</v>
      </c>
      <c r="G9989">
        <f>LOG(382/(19+1))</f>
        <v>1.2810333672477277</v>
      </c>
      <c r="H9989">
        <f>0.0131578947368421*2.94968833505258</f>
        <v>3.8811688619112876E-2</v>
      </c>
      <c r="I9989">
        <v>3.8811688619112952E-2</v>
      </c>
    </row>
    <row r="9990" spans="1:9" x14ac:dyDescent="0.25">
      <c r="A9990">
        <v>405</v>
      </c>
      <c r="B9990" t="s">
        <v>3088</v>
      </c>
      <c r="C9990" t="s">
        <v>10</v>
      </c>
      <c r="D9990" t="s">
        <v>105</v>
      </c>
      <c r="E9990">
        <f t="shared" si="469"/>
        <v>1.3157894736842105E-2</v>
      </c>
      <c r="F9990">
        <v>122</v>
      </c>
      <c r="G9990">
        <f>LOG(382/(122+1))</f>
        <v>0.49215825147231079</v>
      </c>
      <c r="H9990">
        <f>0.0131578947368421*1.13323625323415</f>
        <v>1.4911003332028282E-2</v>
      </c>
      <c r="I9990">
        <v>1.491100333202839E-2</v>
      </c>
    </row>
    <row r="9991" spans="1:9" x14ac:dyDescent="0.25">
      <c r="A9991">
        <v>405</v>
      </c>
      <c r="B9991" t="s">
        <v>3088</v>
      </c>
      <c r="C9991" t="s">
        <v>10</v>
      </c>
      <c r="D9991" t="s">
        <v>117</v>
      </c>
      <c r="E9991">
        <f t="shared" si="469"/>
        <v>1.3157894736842105E-2</v>
      </c>
      <c r="F9991">
        <v>8</v>
      </c>
      <c r="G9991">
        <f>LOG(382/(8+1))</f>
        <v>1.6278208534723839</v>
      </c>
      <c r="H9991">
        <f>0.0131578947368421*3.74819603127035</f>
        <v>4.931836883250458E-2</v>
      </c>
      <c r="I9991">
        <v>4.9318368832504678E-2</v>
      </c>
    </row>
    <row r="9992" spans="1:9" x14ac:dyDescent="0.25">
      <c r="A9992">
        <v>405</v>
      </c>
      <c r="B9992" t="s">
        <v>3088</v>
      </c>
      <c r="C9992" t="s">
        <v>10</v>
      </c>
      <c r="D9992" t="s">
        <v>2133</v>
      </c>
      <c r="E9992">
        <f t="shared" si="469"/>
        <v>1.3157894736842105E-2</v>
      </c>
      <c r="F9992">
        <v>3</v>
      </c>
      <c r="G9992">
        <f>LOG(382/(3+1))</f>
        <v>1.9800033715837464</v>
      </c>
      <c r="H9992">
        <f>0.0131578947368421*4.55912624748668</f>
        <v>5.9988503256403661E-2</v>
      </c>
      <c r="I9992">
        <v>5.9988503256403737E-2</v>
      </c>
    </row>
    <row r="9993" spans="1:9" x14ac:dyDescent="0.25">
      <c r="A9993">
        <v>405</v>
      </c>
      <c r="B9993" t="s">
        <v>3088</v>
      </c>
      <c r="C9993" t="s">
        <v>10</v>
      </c>
      <c r="D9993" t="s">
        <v>174</v>
      </c>
      <c r="E9993">
        <f t="shared" si="469"/>
        <v>1.3157894736842105E-2</v>
      </c>
      <c r="F9993">
        <v>5</v>
      </c>
      <c r="G9993">
        <f>LOG(382/(5+1))</f>
        <v>1.803912112528065</v>
      </c>
      <c r="H9993">
        <f>0.0131578947368421*4.15366113937852</f>
        <v>5.4653436044454183E-2</v>
      </c>
      <c r="I9993">
        <v>5.4653436044454197E-2</v>
      </c>
    </row>
    <row r="9994" spans="1:9" x14ac:dyDescent="0.25">
      <c r="A9994">
        <v>405</v>
      </c>
      <c r="B9994" t="s">
        <v>3088</v>
      </c>
      <c r="C9994" t="s">
        <v>10</v>
      </c>
      <c r="D9994" t="s">
        <v>3094</v>
      </c>
      <c r="E9994">
        <f t="shared" si="469"/>
        <v>1.3157894736842105E-2</v>
      </c>
      <c r="F9994">
        <v>3</v>
      </c>
      <c r="G9994">
        <f>LOG(382/(3+1))</f>
        <v>1.9800033715837464</v>
      </c>
      <c r="H9994">
        <f>0.0131578947368421*4.55912624748668</f>
        <v>5.9988503256403661E-2</v>
      </c>
      <c r="I9994">
        <v>5.9988503256403737E-2</v>
      </c>
    </row>
    <row r="9995" spans="1:9" x14ac:dyDescent="0.25">
      <c r="A9995">
        <v>405</v>
      </c>
      <c r="B9995" t="s">
        <v>3088</v>
      </c>
      <c r="C9995" t="s">
        <v>10</v>
      </c>
      <c r="D9995" t="s">
        <v>1730</v>
      </c>
      <c r="E9995">
        <f t="shared" si="469"/>
        <v>1.3157894736842105E-2</v>
      </c>
      <c r="F9995">
        <v>35</v>
      </c>
      <c r="G9995">
        <f>LOG(382/(35+1))</f>
        <v>1.0257608621444214</v>
      </c>
      <c r="H9995">
        <f>0.0131578947368421*2.36190167015046</f>
        <v>3.1077653554611302E-2</v>
      </c>
      <c r="I9995">
        <v>3.1077653554611381E-2</v>
      </c>
    </row>
    <row r="9996" spans="1:9" x14ac:dyDescent="0.25">
      <c r="A9996">
        <v>405</v>
      </c>
      <c r="B9996" t="s">
        <v>3088</v>
      </c>
      <c r="C9996" t="s">
        <v>10</v>
      </c>
      <c r="D9996" t="s">
        <v>3095</v>
      </c>
      <c r="E9996">
        <f t="shared" si="469"/>
        <v>1.3157894736842105E-2</v>
      </c>
      <c r="F9996">
        <v>1</v>
      </c>
      <c r="G9996">
        <f>LOG(382/(1+1))</f>
        <v>2.2810333672477277</v>
      </c>
      <c r="H9996">
        <f>0.0131578947368421*5.25227342804663</f>
        <v>6.9108860895350357E-2</v>
      </c>
      <c r="I9996">
        <v>6.9108860895350385E-2</v>
      </c>
    </row>
    <row r="9997" spans="1:9" x14ac:dyDescent="0.25">
      <c r="A9997">
        <v>405</v>
      </c>
      <c r="B9997" t="s">
        <v>3088</v>
      </c>
      <c r="C9997" t="s">
        <v>10</v>
      </c>
      <c r="D9997" t="s">
        <v>1546</v>
      </c>
      <c r="E9997">
        <f t="shared" si="469"/>
        <v>1.3157894736842105E-2</v>
      </c>
      <c r="F9997">
        <v>44</v>
      </c>
      <c r="G9997">
        <f>LOG(382/(44+1))</f>
        <v>0.92885084913636506</v>
      </c>
      <c r="H9997">
        <f>0.0131578947368421*2.13875811883625</f>
        <v>2.8141554195213803E-2</v>
      </c>
      <c r="I9997">
        <v>2.8141554195213879E-2</v>
      </c>
    </row>
    <row r="9998" spans="1:9" x14ac:dyDescent="0.25">
      <c r="A9998">
        <v>405</v>
      </c>
      <c r="B9998" t="s">
        <v>3088</v>
      </c>
      <c r="C9998" t="s">
        <v>10</v>
      </c>
      <c r="D9998" t="s">
        <v>183</v>
      </c>
      <c r="E9998">
        <f t="shared" si="469"/>
        <v>1.3157894736842105E-2</v>
      </c>
      <c r="F9998">
        <v>46</v>
      </c>
      <c r="G9998">
        <f>LOG(382/(46+1))</f>
        <v>0.90996550497599127</v>
      </c>
      <c r="H9998">
        <f>0.0131578947368421*2.09527300689651</f>
        <v>2.7569381669690911E-2</v>
      </c>
      <c r="I9998">
        <v>2.7569381669691001E-2</v>
      </c>
    </row>
    <row r="9999" spans="1:9" x14ac:dyDescent="0.25">
      <c r="A9999">
        <v>405</v>
      </c>
      <c r="B9999" t="s">
        <v>3088</v>
      </c>
      <c r="C9999" t="s">
        <v>10</v>
      </c>
      <c r="D9999" t="s">
        <v>542</v>
      </c>
      <c r="E9999">
        <f t="shared" si="469"/>
        <v>1.3157894736842105E-2</v>
      </c>
      <c r="F9999">
        <v>42</v>
      </c>
      <c r="G9999">
        <f>LOG(382/(42+1))</f>
        <v>0.94859490733212215</v>
      </c>
      <c r="H9999">
        <f>0.0131578947368421*2.18422049291301</f>
        <v>2.8739743327802748E-2</v>
      </c>
      <c r="I9999">
        <v>2.87397433278028E-2</v>
      </c>
    </row>
    <row r="10000" spans="1:9" x14ac:dyDescent="0.25">
      <c r="A10000">
        <v>405</v>
      </c>
      <c r="B10000" t="s">
        <v>3088</v>
      </c>
      <c r="C10000" t="s">
        <v>10</v>
      </c>
      <c r="D10000" t="s">
        <v>596</v>
      </c>
      <c r="E10000">
        <f t="shared" si="469"/>
        <v>1.3157894736842105E-2</v>
      </c>
      <c r="F10000">
        <v>60</v>
      </c>
      <c r="G10000">
        <f>LOG(382/(60+1))</f>
        <v>0.79673352790094176</v>
      </c>
      <c r="H10000">
        <f>0.0131578947368421*1.83454674443326</f>
        <v>2.4138772953069199E-2</v>
      </c>
      <c r="I10000">
        <v>2.4138772953069262E-2</v>
      </c>
    </row>
    <row r="10001" spans="1:9" x14ac:dyDescent="0.25">
      <c r="A10001">
        <v>405</v>
      </c>
      <c r="B10001" t="s">
        <v>3088</v>
      </c>
      <c r="C10001" t="s">
        <v>10</v>
      </c>
      <c r="D10001" t="s">
        <v>597</v>
      </c>
      <c r="E10001">
        <f t="shared" si="469"/>
        <v>1.3157894736842105E-2</v>
      </c>
      <c r="F10001">
        <v>51</v>
      </c>
      <c r="G10001">
        <f>LOG(382/(51+1))</f>
        <v>0.86606001927690957</v>
      </c>
      <c r="H10001">
        <f>0.0131578947368421*1.99417689002514</f>
        <v>2.6239169605593936E-2</v>
      </c>
      <c r="I10001">
        <v>2.623916960559405E-2</v>
      </c>
    </row>
    <row r="10002" spans="1:9" x14ac:dyDescent="0.25">
      <c r="A10002">
        <v>405</v>
      </c>
      <c r="B10002" t="s">
        <v>3088</v>
      </c>
      <c r="C10002" t="s">
        <v>10</v>
      </c>
      <c r="D10002" t="s">
        <v>805</v>
      </c>
      <c r="E10002">
        <f t="shared" si="469"/>
        <v>1.3157894736842105E-2</v>
      </c>
      <c r="F10002">
        <v>19</v>
      </c>
      <c r="G10002">
        <f>LOG(382/(19+1))</f>
        <v>1.2810333672477277</v>
      </c>
      <c r="H10002">
        <f>0.0131578947368421*2.94968833505258</f>
        <v>3.8811688619112876E-2</v>
      </c>
      <c r="I10002">
        <v>3.8811688619112952E-2</v>
      </c>
    </row>
    <row r="10003" spans="1:9" x14ac:dyDescent="0.25">
      <c r="A10003">
        <v>405</v>
      </c>
      <c r="B10003" t="s">
        <v>3088</v>
      </c>
      <c r="C10003" t="s">
        <v>10</v>
      </c>
      <c r="D10003" t="s">
        <v>133</v>
      </c>
      <c r="E10003">
        <f>2/76</f>
        <v>2.6315789473684209E-2</v>
      </c>
      <c r="F10003">
        <v>142</v>
      </c>
      <c r="G10003">
        <f>LOG(382/(142+1))</f>
        <v>0.42672732544664693</v>
      </c>
      <c r="H10003">
        <f>0.0263157894736842*0.982575978346667</f>
        <v>2.5857262588070171E-2</v>
      </c>
      <c r="I10003">
        <v>2.5857262588070209E-2</v>
      </c>
    </row>
    <row r="10004" spans="1:9" x14ac:dyDescent="0.25">
      <c r="A10004">
        <v>405</v>
      </c>
      <c r="B10004" t="s">
        <v>3088</v>
      </c>
      <c r="C10004" t="s">
        <v>10</v>
      </c>
      <c r="D10004" t="s">
        <v>123</v>
      </c>
      <c r="E10004">
        <f>1/76</f>
        <v>1.3157894736842105E-2</v>
      </c>
      <c r="F10004">
        <v>74</v>
      </c>
      <c r="G10004">
        <f>LOG(382/(74+1))</f>
        <v>0.7070020995200087</v>
      </c>
      <c r="H10004">
        <f>0.0131578947368421*1.62793249507026</f>
        <v>2.1420164408819203E-2</v>
      </c>
      <c r="I10004">
        <v>2.1420164408819269E-2</v>
      </c>
    </row>
    <row r="10005" spans="1:9" x14ac:dyDescent="0.25">
      <c r="A10005">
        <v>405</v>
      </c>
      <c r="B10005" t="s">
        <v>3088</v>
      </c>
      <c r="C10005" t="s">
        <v>10</v>
      </c>
      <c r="D10005" t="s">
        <v>1952</v>
      </c>
      <c r="E10005">
        <f>1/76</f>
        <v>1.3157894736842105E-2</v>
      </c>
      <c r="F10005">
        <v>8</v>
      </c>
      <c r="G10005">
        <f>LOG(382/(8+1))</f>
        <v>1.6278208534723839</v>
      </c>
      <c r="H10005">
        <f>0.0131578947368421*3.74819603127035</f>
        <v>4.931836883250458E-2</v>
      </c>
      <c r="I10005">
        <v>4.9318368832504678E-2</v>
      </c>
    </row>
    <row r="10006" spans="1:9" x14ac:dyDescent="0.25">
      <c r="A10006">
        <v>405</v>
      </c>
      <c r="B10006" t="s">
        <v>3088</v>
      </c>
      <c r="C10006" t="s">
        <v>10</v>
      </c>
      <c r="D10006" t="s">
        <v>1083</v>
      </c>
      <c r="E10006">
        <f>1/76</f>
        <v>1.3157894736842105E-2</v>
      </c>
      <c r="F10006">
        <v>51</v>
      </c>
      <c r="G10006">
        <f>LOG(382/(51+1))</f>
        <v>0.86606001927690957</v>
      </c>
      <c r="H10006">
        <f>0.0131578947368421*1.99417689002514</f>
        <v>2.6239169605593936E-2</v>
      </c>
      <c r="I10006">
        <v>2.623916960559405E-2</v>
      </c>
    </row>
    <row r="10007" spans="1:9" x14ac:dyDescent="0.25">
      <c r="A10007">
        <v>405</v>
      </c>
      <c r="B10007" t="s">
        <v>3088</v>
      </c>
      <c r="C10007" t="s">
        <v>10</v>
      </c>
      <c r="D10007" t="s">
        <v>342</v>
      </c>
      <c r="E10007">
        <f>1/76</f>
        <v>1.3157894736842105E-2</v>
      </c>
      <c r="F10007">
        <v>35</v>
      </c>
      <c r="G10007">
        <f>LOG(382/(35+1))</f>
        <v>1.0257608621444214</v>
      </c>
      <c r="H10007">
        <f>0.0131578947368421*2.36190167015046</f>
        <v>3.1077653554611302E-2</v>
      </c>
      <c r="I10007">
        <v>3.1077653554611381E-2</v>
      </c>
    </row>
    <row r="10008" spans="1:9" x14ac:dyDescent="0.25">
      <c r="A10008">
        <v>406</v>
      </c>
      <c r="B10008" t="s">
        <v>3096</v>
      </c>
      <c r="C10008" t="s">
        <v>10</v>
      </c>
      <c r="D10008" t="s">
        <v>1396</v>
      </c>
      <c r="E10008">
        <f>3/101</f>
        <v>2.9702970297029702E-2</v>
      </c>
      <c r="F10008">
        <v>18</v>
      </c>
      <c r="G10008">
        <f>LOG(382/(18+1))</f>
        <v>1.3033097619588798</v>
      </c>
      <c r="H10008">
        <f>0.0297029702970297*3.00098162944013</f>
        <v>8.9138068201191981E-2</v>
      </c>
      <c r="I10008">
        <v>8.9138068201192105E-2</v>
      </c>
    </row>
    <row r="10009" spans="1:9" x14ac:dyDescent="0.25">
      <c r="A10009">
        <v>406</v>
      </c>
      <c r="B10009" t="s">
        <v>3096</v>
      </c>
      <c r="C10009" t="s">
        <v>10</v>
      </c>
      <c r="D10009" t="s">
        <v>77</v>
      </c>
      <c r="E10009">
        <f>3/101</f>
        <v>2.9702970297029702E-2</v>
      </c>
      <c r="F10009">
        <v>148</v>
      </c>
      <c r="G10009">
        <f>LOG(382/(148+1))</f>
        <v>0.40887709449943471</v>
      </c>
      <c r="H10009">
        <f>0.0297029702970297*0.941474302661116</f>
        <v>2.796458324735988E-2</v>
      </c>
      <c r="I10009">
        <v>2.796458324735988E-2</v>
      </c>
    </row>
    <row r="10010" spans="1:9" x14ac:dyDescent="0.25">
      <c r="A10010">
        <v>406</v>
      </c>
      <c r="B10010" t="s">
        <v>3096</v>
      </c>
      <c r="C10010" t="s">
        <v>10</v>
      </c>
      <c r="D10010" t="s">
        <v>197</v>
      </c>
      <c r="E10010">
        <f>2/101</f>
        <v>1.9801980198019802E-2</v>
      </c>
      <c r="F10010">
        <v>18</v>
      </c>
      <c r="G10010">
        <f>LOG(382/(18+1))</f>
        <v>1.3033097619588798</v>
      </c>
      <c r="H10010">
        <f>0.0198019801980198*3.00098162944013</f>
        <v>5.9425378800794647E-2</v>
      </c>
      <c r="I10010">
        <v>5.9425378800794737E-2</v>
      </c>
    </row>
    <row r="10011" spans="1:9" x14ac:dyDescent="0.25">
      <c r="A10011">
        <v>406</v>
      </c>
      <c r="B10011" t="s">
        <v>3096</v>
      </c>
      <c r="C10011" t="s">
        <v>10</v>
      </c>
      <c r="D10011" t="s">
        <v>247</v>
      </c>
      <c r="E10011">
        <f>1/101</f>
        <v>9.9009900990099011E-3</v>
      </c>
      <c r="F10011">
        <v>121</v>
      </c>
      <c r="G10011">
        <f>LOG(382/(121+1))</f>
        <v>0.49570353223696051</v>
      </c>
      <c r="H10011">
        <f>0.0099009900990099*1.14139956387331</f>
        <v>1.130098578092386E-2</v>
      </c>
      <c r="I10011">
        <v>1.130098578092395E-2</v>
      </c>
    </row>
    <row r="10012" spans="1:9" x14ac:dyDescent="0.25">
      <c r="A10012">
        <v>406</v>
      </c>
      <c r="B10012" t="s">
        <v>3096</v>
      </c>
      <c r="C10012" t="s">
        <v>10</v>
      </c>
      <c r="D10012" t="s">
        <v>39</v>
      </c>
      <c r="E10012">
        <f>1/101</f>
        <v>9.9009900990099011E-3</v>
      </c>
      <c r="F10012">
        <v>145</v>
      </c>
      <c r="G10012">
        <f>LOG(382/(145+1))</f>
        <v>0.41771050712727159</v>
      </c>
      <c r="H10012">
        <f>0.0099009900990099*0.961813986898238</f>
        <v>9.5229107613686928E-3</v>
      </c>
      <c r="I10012">
        <v>9.5229107613686997E-3</v>
      </c>
    </row>
    <row r="10013" spans="1:9" x14ac:dyDescent="0.25">
      <c r="A10013">
        <v>406</v>
      </c>
      <c r="B10013" t="s">
        <v>3096</v>
      </c>
      <c r="C10013" t="s">
        <v>10</v>
      </c>
      <c r="D10013" t="s">
        <v>331</v>
      </c>
      <c r="E10013">
        <f>4/101</f>
        <v>3.9603960396039604E-2</v>
      </c>
      <c r="F10013">
        <v>130</v>
      </c>
      <c r="G10013">
        <f>LOG(382/(130+1))</f>
        <v>0.46479206725594452</v>
      </c>
      <c r="H10013">
        <f>0.0396039603960396*1.07022328540542</f>
        <v>4.2385080610115644E-2</v>
      </c>
      <c r="I10013">
        <v>4.238508061011579E-2</v>
      </c>
    </row>
    <row r="10014" spans="1:9" x14ac:dyDescent="0.25">
      <c r="A10014">
        <v>406</v>
      </c>
      <c r="B10014" t="s">
        <v>3096</v>
      </c>
      <c r="C10014" t="s">
        <v>10</v>
      </c>
      <c r="D10014" t="s">
        <v>42</v>
      </c>
      <c r="E10014">
        <f>1/101</f>
        <v>9.9009900990099011E-3</v>
      </c>
      <c r="F10014">
        <v>251</v>
      </c>
      <c r="G10014">
        <f>LOG(382/(251+1))</f>
        <v>0.18066282213016463</v>
      </c>
      <c r="H10014">
        <f>0.0099009900990099*0.415991521095151</f>
        <v>4.1187279316351579E-3</v>
      </c>
      <c r="I10014">
        <v>4.1187279316351674E-3</v>
      </c>
    </row>
    <row r="10015" spans="1:9" x14ac:dyDescent="0.25">
      <c r="A10015">
        <v>406</v>
      </c>
      <c r="B10015" t="s">
        <v>3096</v>
      </c>
      <c r="C10015" t="s">
        <v>10</v>
      </c>
      <c r="D10015" t="s">
        <v>64</v>
      </c>
      <c r="E10015">
        <f>2/101</f>
        <v>1.9801980198019802E-2</v>
      </c>
      <c r="F10015">
        <v>16</v>
      </c>
      <c r="G10015">
        <f>LOG(382/(16+1))</f>
        <v>1.3516144415334348</v>
      </c>
      <c r="H10015">
        <f>0.0198019801980198*3.11220726455035</f>
        <v>6.1627866624759393E-2</v>
      </c>
      <c r="I10015">
        <v>6.1627866624759588E-2</v>
      </c>
    </row>
    <row r="10016" spans="1:9" x14ac:dyDescent="0.25">
      <c r="A10016">
        <v>406</v>
      </c>
      <c r="B10016" t="s">
        <v>3096</v>
      </c>
      <c r="C10016" t="s">
        <v>10</v>
      </c>
      <c r="D10016" t="s">
        <v>70</v>
      </c>
      <c r="E10016">
        <f>2/101</f>
        <v>1.9801980198019802E-2</v>
      </c>
      <c r="F10016">
        <v>44</v>
      </c>
      <c r="G10016">
        <f>LOG(382/(44+1))</f>
        <v>0.92885084913636506</v>
      </c>
      <c r="H10016">
        <f>0.0198019801980198*2.13875811883625</f>
        <v>4.2351645917549495E-2</v>
      </c>
      <c r="I10016">
        <v>4.2351645917549613E-2</v>
      </c>
    </row>
    <row r="10017" spans="1:9" x14ac:dyDescent="0.25">
      <c r="A10017">
        <v>406</v>
      </c>
      <c r="B10017" t="s">
        <v>3096</v>
      </c>
      <c r="C10017" t="s">
        <v>10</v>
      </c>
      <c r="D10017" t="s">
        <v>19</v>
      </c>
      <c r="E10017">
        <f>2/101</f>
        <v>1.9801980198019802E-2</v>
      </c>
      <c r="F10017">
        <v>220</v>
      </c>
      <c r="G10017">
        <f>LOG(382/(220+1))</f>
        <v>0.23767108922659805</v>
      </c>
      <c r="H10017">
        <f>0.0198019801980198*0.547257907088822</f>
        <v>1.0836790239382613E-2</v>
      </c>
      <c r="I10017">
        <v>1.083679023938262E-2</v>
      </c>
    </row>
    <row r="10018" spans="1:9" x14ac:dyDescent="0.25">
      <c r="A10018">
        <v>406</v>
      </c>
      <c r="B10018" t="s">
        <v>3096</v>
      </c>
      <c r="C10018" t="s">
        <v>10</v>
      </c>
      <c r="D10018" t="s">
        <v>2506</v>
      </c>
      <c r="E10018">
        <f t="shared" ref="E10018:E10023" si="470">1/101</f>
        <v>9.9009900990099011E-3</v>
      </c>
      <c r="F10018">
        <v>4</v>
      </c>
      <c r="G10018">
        <f>LOG(382/(4+1))</f>
        <v>1.8830933585756899</v>
      </c>
      <c r="H10018">
        <f>0.0099009900990099*4.33598269617247</f>
        <v>4.2930521744281878E-2</v>
      </c>
      <c r="I10018">
        <v>4.2930521744281927E-2</v>
      </c>
    </row>
    <row r="10019" spans="1:9" x14ac:dyDescent="0.25">
      <c r="A10019">
        <v>406</v>
      </c>
      <c r="B10019" t="s">
        <v>3096</v>
      </c>
      <c r="C10019" t="s">
        <v>10</v>
      </c>
      <c r="D10019" t="s">
        <v>22</v>
      </c>
      <c r="E10019">
        <f t="shared" si="470"/>
        <v>9.9009900990099011E-3</v>
      </c>
      <c r="F10019">
        <v>259</v>
      </c>
      <c r="G10019">
        <f>LOG(382/(259+1))</f>
        <v>0.16709001494089079</v>
      </c>
      <c r="H10019">
        <f>0.0099009900990099*0.384738977591047</f>
        <v>3.8092968078321482E-3</v>
      </c>
      <c r="I10019">
        <v>3.8092968078321538E-3</v>
      </c>
    </row>
    <row r="10020" spans="1:9" x14ac:dyDescent="0.25">
      <c r="A10020">
        <v>406</v>
      </c>
      <c r="B10020" t="s">
        <v>3096</v>
      </c>
      <c r="C10020" t="s">
        <v>10</v>
      </c>
      <c r="D10020" t="s">
        <v>23</v>
      </c>
      <c r="E10020">
        <f t="shared" si="470"/>
        <v>9.9009900990099011E-3</v>
      </c>
      <c r="F10020">
        <v>275</v>
      </c>
      <c r="G10020">
        <f>LOG(382/(275+1))</f>
        <v>0.14115428084649101</v>
      </c>
      <c r="H10020">
        <f>0.0099009900990099*0.325019742889425</f>
        <v>3.2180172563309396E-3</v>
      </c>
      <c r="I10020">
        <v>3.2180172563309418E-3</v>
      </c>
    </row>
    <row r="10021" spans="1:9" x14ac:dyDescent="0.25">
      <c r="A10021">
        <v>406</v>
      </c>
      <c r="B10021" t="s">
        <v>3096</v>
      </c>
      <c r="C10021" t="s">
        <v>10</v>
      </c>
      <c r="D10021" t="s">
        <v>204</v>
      </c>
      <c r="E10021">
        <f t="shared" si="470"/>
        <v>9.9009900990099011E-3</v>
      </c>
      <c r="F10021">
        <v>166</v>
      </c>
      <c r="G10021">
        <f>LOG(382/(166+1))</f>
        <v>0.35934689176412549</v>
      </c>
      <c r="H10021">
        <f>0.0099009900990099*0.82742679618982</f>
        <v>8.1923445167308897E-3</v>
      </c>
      <c r="I10021">
        <v>8.1923445167308914E-3</v>
      </c>
    </row>
    <row r="10022" spans="1:9" x14ac:dyDescent="0.25">
      <c r="A10022">
        <v>406</v>
      </c>
      <c r="B10022" t="s">
        <v>3096</v>
      </c>
      <c r="C10022" t="s">
        <v>10</v>
      </c>
      <c r="D10022" t="s">
        <v>3097</v>
      </c>
      <c r="E10022">
        <f t="shared" si="470"/>
        <v>9.9009900990099011E-3</v>
      </c>
      <c r="F10022">
        <v>1</v>
      </c>
      <c r="G10022">
        <f>LOG(382/(1+1))</f>
        <v>2.2810333672477277</v>
      </c>
      <c r="H10022">
        <f>0.0099009900990099*5.25227342804663</f>
        <v>5.2002707208382466E-2</v>
      </c>
      <c r="I10022">
        <v>5.2002707208382473E-2</v>
      </c>
    </row>
    <row r="10023" spans="1:9" x14ac:dyDescent="0.25">
      <c r="A10023">
        <v>406</v>
      </c>
      <c r="B10023" t="s">
        <v>3096</v>
      </c>
      <c r="C10023" t="s">
        <v>10</v>
      </c>
      <c r="D10023" t="s">
        <v>1709</v>
      </c>
      <c r="E10023">
        <f t="shared" si="470"/>
        <v>9.9009900990099011E-3</v>
      </c>
      <c r="F10023">
        <v>21</v>
      </c>
      <c r="G10023">
        <f>LOG(382/(21+1))</f>
        <v>1.2396406820895025</v>
      </c>
      <c r="H10023">
        <f>0.0099009900990099*2.85437815524825</f>
        <v>2.8261169853943065E-2</v>
      </c>
      <c r="I10023">
        <v>2.8261169853943158E-2</v>
      </c>
    </row>
    <row r="10024" spans="1:9" x14ac:dyDescent="0.25">
      <c r="A10024">
        <v>406</v>
      </c>
      <c r="B10024" t="s">
        <v>3096</v>
      </c>
      <c r="C10024" t="s">
        <v>10</v>
      </c>
      <c r="D10024" t="s">
        <v>76</v>
      </c>
      <c r="E10024">
        <f>3/101</f>
        <v>2.9702970297029702E-2</v>
      </c>
      <c r="F10024">
        <v>140</v>
      </c>
      <c r="G10024">
        <f>LOG(382/(140+1))</f>
        <v>0.43284425025632883</v>
      </c>
      <c r="H10024">
        <f>0.0297029702970297*0.996660718228407</f>
        <v>2.9603783709754659E-2</v>
      </c>
      <c r="I10024">
        <v>2.9603783709754659E-2</v>
      </c>
    </row>
    <row r="10025" spans="1:9" x14ac:dyDescent="0.25">
      <c r="A10025">
        <v>406</v>
      </c>
      <c r="B10025" t="s">
        <v>3096</v>
      </c>
      <c r="C10025" t="s">
        <v>10</v>
      </c>
      <c r="D10025" t="s">
        <v>483</v>
      </c>
      <c r="E10025">
        <f>1/101</f>
        <v>9.9009900990099011E-3</v>
      </c>
      <c r="F10025">
        <v>61</v>
      </c>
      <c r="G10025">
        <f>LOG(382/(61+1))</f>
        <v>0.7896716734134549</v>
      </c>
      <c r="H10025">
        <f>0.0099009900990099*1.81828622356148</f>
        <v>1.8002833896648314E-2</v>
      </c>
      <c r="I10025">
        <v>1.8002833896648349E-2</v>
      </c>
    </row>
    <row r="10026" spans="1:9" x14ac:dyDescent="0.25">
      <c r="A10026">
        <v>406</v>
      </c>
      <c r="B10026" t="s">
        <v>3096</v>
      </c>
      <c r="C10026" t="s">
        <v>10</v>
      </c>
      <c r="D10026" t="s">
        <v>322</v>
      </c>
      <c r="E10026">
        <f>2/101</f>
        <v>1.9801980198019802E-2</v>
      </c>
      <c r="F10026">
        <v>128</v>
      </c>
      <c r="G10026">
        <f>LOG(382/(128+1))</f>
        <v>0.47147365261245977</v>
      </c>
      <c r="H10026">
        <f>0.0198019801980198*1.0856082042449</f>
        <v>2.1497192163265344E-2</v>
      </c>
      <c r="I10026">
        <v>2.149719216326541E-2</v>
      </c>
    </row>
    <row r="10027" spans="1:9" x14ac:dyDescent="0.25">
      <c r="A10027">
        <v>406</v>
      </c>
      <c r="B10027" t="s">
        <v>3096</v>
      </c>
      <c r="C10027" t="s">
        <v>10</v>
      </c>
      <c r="D10027" t="s">
        <v>123</v>
      </c>
      <c r="E10027">
        <f>2/101</f>
        <v>1.9801980198019802E-2</v>
      </c>
      <c r="F10027">
        <v>74</v>
      </c>
      <c r="G10027">
        <f>LOG(382/(74+1))</f>
        <v>0.7070020995200087</v>
      </c>
      <c r="H10027">
        <f>0.0198019801980198*1.62793249507026</f>
        <v>3.2236287031094255E-2</v>
      </c>
      <c r="I10027">
        <v>3.2236287031094352E-2</v>
      </c>
    </row>
    <row r="10028" spans="1:9" x14ac:dyDescent="0.25">
      <c r="A10028">
        <v>406</v>
      </c>
      <c r="B10028" t="s">
        <v>3096</v>
      </c>
      <c r="C10028" t="s">
        <v>10</v>
      </c>
      <c r="D10028" t="s">
        <v>591</v>
      </c>
      <c r="E10028">
        <f>2/101</f>
        <v>1.9801980198019802E-2</v>
      </c>
      <c r="F10028">
        <v>21</v>
      </c>
      <c r="G10028">
        <f>LOG(382/(21+1))</f>
        <v>1.2396406820895025</v>
      </c>
      <c r="H10028">
        <f>0.0198019801980198*2.85437815524825</f>
        <v>5.6522339707886129E-2</v>
      </c>
      <c r="I10028">
        <v>5.6522339707886317E-2</v>
      </c>
    </row>
    <row r="10029" spans="1:9" x14ac:dyDescent="0.25">
      <c r="A10029">
        <v>406</v>
      </c>
      <c r="B10029" t="s">
        <v>3096</v>
      </c>
      <c r="C10029" t="s">
        <v>10</v>
      </c>
      <c r="D10029" t="s">
        <v>3098</v>
      </c>
      <c r="E10029">
        <f>1/101</f>
        <v>9.9009900990099011E-3</v>
      </c>
      <c r="F10029">
        <v>1</v>
      </c>
      <c r="G10029">
        <f>LOG(382/(1+1))</f>
        <v>2.2810333672477277</v>
      </c>
      <c r="H10029">
        <f>0.0099009900990099*5.25227342804663</f>
        <v>5.2002707208382466E-2</v>
      </c>
      <c r="I10029">
        <v>5.2002707208382473E-2</v>
      </c>
    </row>
    <row r="10030" spans="1:9" x14ac:dyDescent="0.25">
      <c r="A10030">
        <v>406</v>
      </c>
      <c r="B10030" t="s">
        <v>3096</v>
      </c>
      <c r="C10030" t="s">
        <v>10</v>
      </c>
      <c r="D10030" t="s">
        <v>81</v>
      </c>
      <c r="E10030">
        <f>1/101</f>
        <v>9.9009900990099011E-3</v>
      </c>
      <c r="F10030">
        <v>114</v>
      </c>
      <c r="G10030">
        <f>LOG(382/(114+1))</f>
        <v>0.52136552255809698</v>
      </c>
      <c r="H10030">
        <f>0.0099009900990099*1.20048848024332</f>
        <v>1.1886024556864553E-2</v>
      </c>
      <c r="I10030">
        <v>1.188602455686461E-2</v>
      </c>
    </row>
    <row r="10031" spans="1:9" x14ac:dyDescent="0.25">
      <c r="A10031">
        <v>406</v>
      </c>
      <c r="B10031" t="s">
        <v>3096</v>
      </c>
      <c r="C10031" t="s">
        <v>10</v>
      </c>
      <c r="D10031" t="s">
        <v>3099</v>
      </c>
      <c r="E10031">
        <f>1/101</f>
        <v>9.9009900990099011E-3</v>
      </c>
      <c r="F10031">
        <v>1</v>
      </c>
      <c r="G10031">
        <f>LOG(382/(1+1))</f>
        <v>2.2810333672477277</v>
      </c>
      <c r="H10031">
        <f>0.0099009900990099*5.25227342804663</f>
        <v>5.2002707208382466E-2</v>
      </c>
      <c r="I10031">
        <v>5.2002707208382473E-2</v>
      </c>
    </row>
    <row r="10032" spans="1:9" x14ac:dyDescent="0.25">
      <c r="A10032">
        <v>406</v>
      </c>
      <c r="B10032" t="s">
        <v>3096</v>
      </c>
      <c r="C10032" t="s">
        <v>10</v>
      </c>
      <c r="D10032" t="s">
        <v>237</v>
      </c>
      <c r="E10032">
        <f>3/101</f>
        <v>2.9702970297029702E-2</v>
      </c>
      <c r="F10032">
        <v>138</v>
      </c>
      <c r="G10032">
        <f>LOG(382/(138+1))</f>
        <v>0.43904856265761361</v>
      </c>
      <c r="H10032">
        <f>0.0297029702970297*1.01094667547588</f>
        <v>3.0028119073540988E-2</v>
      </c>
      <c r="I10032">
        <v>3.0028119073541089E-2</v>
      </c>
    </row>
    <row r="10033" spans="1:9" x14ac:dyDescent="0.25">
      <c r="A10033">
        <v>406</v>
      </c>
      <c r="B10033" t="s">
        <v>3096</v>
      </c>
      <c r="C10033" t="s">
        <v>10</v>
      </c>
      <c r="D10033" t="s">
        <v>720</v>
      </c>
      <c r="E10033">
        <f t="shared" ref="E10033:E10049" si="471">1/101</f>
        <v>9.9009900990099011E-3</v>
      </c>
      <c r="F10033">
        <v>9</v>
      </c>
      <c r="G10033">
        <f>LOG(382/(9+1))</f>
        <v>1.5820633629117087</v>
      </c>
      <c r="H10033">
        <f>0.0099009900990099*3.64283551561252</f>
        <v>3.6067678372401185E-2</v>
      </c>
      <c r="I10033">
        <v>3.6067678372401282E-2</v>
      </c>
    </row>
    <row r="10034" spans="1:9" x14ac:dyDescent="0.25">
      <c r="A10034">
        <v>406</v>
      </c>
      <c r="B10034" t="s">
        <v>3096</v>
      </c>
      <c r="C10034" t="s">
        <v>10</v>
      </c>
      <c r="D10034" t="s">
        <v>3100</v>
      </c>
      <c r="E10034">
        <f t="shared" si="471"/>
        <v>9.9009900990099011E-3</v>
      </c>
      <c r="F10034">
        <v>1</v>
      </c>
      <c r="G10034">
        <f>LOG(382/(1+1))</f>
        <v>2.2810333672477277</v>
      </c>
      <c r="H10034">
        <f>0.0099009900990099*5.25227342804663</f>
        <v>5.2002707208382466E-2</v>
      </c>
      <c r="I10034">
        <v>5.2002707208382473E-2</v>
      </c>
    </row>
    <row r="10035" spans="1:9" x14ac:dyDescent="0.25">
      <c r="A10035">
        <v>406</v>
      </c>
      <c r="B10035" t="s">
        <v>3096</v>
      </c>
      <c r="C10035" t="s">
        <v>10</v>
      </c>
      <c r="D10035" t="s">
        <v>3101</v>
      </c>
      <c r="E10035">
        <f t="shared" si="471"/>
        <v>9.9009900990099011E-3</v>
      </c>
      <c r="F10035">
        <v>1</v>
      </c>
      <c r="G10035">
        <f>LOG(382/(1+1))</f>
        <v>2.2810333672477277</v>
      </c>
      <c r="H10035">
        <f>0.0099009900990099*5.25227342804663</f>
        <v>5.2002707208382466E-2</v>
      </c>
      <c r="I10035">
        <v>5.2002707208382473E-2</v>
      </c>
    </row>
    <row r="10036" spans="1:9" x14ac:dyDescent="0.25">
      <c r="A10036">
        <v>406</v>
      </c>
      <c r="B10036" t="s">
        <v>3096</v>
      </c>
      <c r="C10036" t="s">
        <v>10</v>
      </c>
      <c r="D10036" t="s">
        <v>324</v>
      </c>
      <c r="E10036">
        <f t="shared" si="471"/>
        <v>9.9009900990099011E-3</v>
      </c>
      <c r="F10036">
        <v>82</v>
      </c>
      <c r="G10036">
        <f>LOG(382/(82+1))</f>
        <v>0.66298527053563483</v>
      </c>
      <c r="H10036">
        <f>0.0099009900990099*1.52658000080997</f>
        <v>1.5114653473366036E-2</v>
      </c>
      <c r="I10036">
        <v>1.5114653473366111E-2</v>
      </c>
    </row>
    <row r="10037" spans="1:9" x14ac:dyDescent="0.25">
      <c r="A10037">
        <v>406</v>
      </c>
      <c r="B10037" t="s">
        <v>3096</v>
      </c>
      <c r="C10037" t="s">
        <v>10</v>
      </c>
      <c r="D10037" t="s">
        <v>2451</v>
      </c>
      <c r="E10037">
        <f t="shared" si="471"/>
        <v>9.9009900990099011E-3</v>
      </c>
      <c r="F10037">
        <v>5</v>
      </c>
      <c r="G10037">
        <f>LOG(382/(5+1))</f>
        <v>1.803912112528065</v>
      </c>
      <c r="H10037">
        <f>0.0099009900990099*4.15366113937852</f>
        <v>4.1125357815628906E-2</v>
      </c>
      <c r="I10037">
        <v>4.1125357815628913E-2</v>
      </c>
    </row>
    <row r="10038" spans="1:9" x14ac:dyDescent="0.25">
      <c r="A10038">
        <v>406</v>
      </c>
      <c r="B10038" t="s">
        <v>3096</v>
      </c>
      <c r="C10038" t="s">
        <v>10</v>
      </c>
      <c r="D10038" t="s">
        <v>764</v>
      </c>
      <c r="E10038">
        <f t="shared" si="471"/>
        <v>9.9009900990099011E-3</v>
      </c>
      <c r="F10038">
        <v>57</v>
      </c>
      <c r="G10038">
        <f>LOG(382/(57+1))</f>
        <v>0.81863536934877146</v>
      </c>
      <c r="H10038">
        <f>0.0099009900990099*1.88497759806015</f>
        <v>1.8663144535249008E-2</v>
      </c>
      <c r="I10038">
        <v>1.866314453524907E-2</v>
      </c>
    </row>
    <row r="10039" spans="1:9" x14ac:dyDescent="0.25">
      <c r="A10039">
        <v>406</v>
      </c>
      <c r="B10039" t="s">
        <v>3096</v>
      </c>
      <c r="C10039" t="s">
        <v>10</v>
      </c>
      <c r="D10039" t="s">
        <v>1083</v>
      </c>
      <c r="E10039">
        <f t="shared" si="471"/>
        <v>9.9009900990099011E-3</v>
      </c>
      <c r="F10039">
        <v>51</v>
      </c>
      <c r="G10039">
        <f>LOG(382/(51+1))</f>
        <v>0.86606001927690957</v>
      </c>
      <c r="H10039">
        <f>0.0099009900990099*1.99417689002514</f>
        <v>1.9744325643813263E-2</v>
      </c>
      <c r="I10039">
        <v>1.974432564381334E-2</v>
      </c>
    </row>
    <row r="10040" spans="1:9" x14ac:dyDescent="0.25">
      <c r="A10040">
        <v>406</v>
      </c>
      <c r="B10040" t="s">
        <v>3096</v>
      </c>
      <c r="C10040" t="s">
        <v>10</v>
      </c>
      <c r="D10040" t="s">
        <v>765</v>
      </c>
      <c r="E10040">
        <f t="shared" si="471"/>
        <v>9.9009900990099011E-3</v>
      </c>
      <c r="F10040">
        <v>44</v>
      </c>
      <c r="G10040">
        <f>LOG(382/(44+1))</f>
        <v>0.92885084913636506</v>
      </c>
      <c r="H10040">
        <f>0.0099009900990099*2.13875811883625</f>
        <v>2.1175822958774747E-2</v>
      </c>
      <c r="I10040">
        <v>2.11758229587748E-2</v>
      </c>
    </row>
    <row r="10041" spans="1:9" x14ac:dyDescent="0.25">
      <c r="A10041">
        <v>406</v>
      </c>
      <c r="B10041" t="s">
        <v>3096</v>
      </c>
      <c r="C10041" t="s">
        <v>10</v>
      </c>
      <c r="D10041" t="s">
        <v>3102</v>
      </c>
      <c r="E10041">
        <f t="shared" si="471"/>
        <v>9.9009900990099011E-3</v>
      </c>
      <c r="F10041">
        <v>1</v>
      </c>
      <c r="G10041">
        <f>LOG(382/(1+1))</f>
        <v>2.2810333672477277</v>
      </c>
      <c r="H10041">
        <f>0.0099009900990099*5.25227342804663</f>
        <v>5.2002707208382466E-2</v>
      </c>
      <c r="I10041">
        <v>5.2002707208382473E-2</v>
      </c>
    </row>
    <row r="10042" spans="1:9" x14ac:dyDescent="0.25">
      <c r="A10042">
        <v>406</v>
      </c>
      <c r="B10042" t="s">
        <v>3096</v>
      </c>
      <c r="C10042" t="s">
        <v>10</v>
      </c>
      <c r="D10042" t="s">
        <v>1931</v>
      </c>
      <c r="E10042">
        <f t="shared" si="471"/>
        <v>9.9009900990099011E-3</v>
      </c>
      <c r="F10042">
        <v>5</v>
      </c>
      <c r="G10042">
        <f>LOG(382/(5+1))</f>
        <v>1.803912112528065</v>
      </c>
      <c r="H10042">
        <f>0.0099009900990099*4.15366113937852</f>
        <v>4.1125357815628906E-2</v>
      </c>
      <c r="I10042">
        <v>4.1125357815628913E-2</v>
      </c>
    </row>
    <row r="10043" spans="1:9" x14ac:dyDescent="0.25">
      <c r="A10043">
        <v>406</v>
      </c>
      <c r="B10043" t="s">
        <v>3096</v>
      </c>
      <c r="C10043" t="s">
        <v>10</v>
      </c>
      <c r="D10043" t="s">
        <v>133</v>
      </c>
      <c r="E10043">
        <f t="shared" si="471"/>
        <v>9.9009900990099011E-3</v>
      </c>
      <c r="F10043">
        <v>142</v>
      </c>
      <c r="G10043">
        <f>LOG(382/(142+1))</f>
        <v>0.42672732544664693</v>
      </c>
      <c r="H10043">
        <f>0.0099009900990099*0.982575978346667</f>
        <v>9.728475033135316E-3</v>
      </c>
      <c r="I10043">
        <v>9.7284750331353264E-3</v>
      </c>
    </row>
    <row r="10044" spans="1:9" x14ac:dyDescent="0.25">
      <c r="A10044">
        <v>406</v>
      </c>
      <c r="B10044" t="s">
        <v>3096</v>
      </c>
      <c r="C10044" t="s">
        <v>10</v>
      </c>
      <c r="D10044" t="s">
        <v>3103</v>
      </c>
      <c r="E10044">
        <f t="shared" si="471"/>
        <v>9.9009900990099011E-3</v>
      </c>
      <c r="F10044">
        <v>1</v>
      </c>
      <c r="G10044">
        <f>LOG(382/(1+1))</f>
        <v>2.2810333672477277</v>
      </c>
      <c r="H10044">
        <f>0.0099009900990099*5.25227342804663</f>
        <v>5.2002707208382466E-2</v>
      </c>
      <c r="I10044">
        <v>5.2002707208382473E-2</v>
      </c>
    </row>
    <row r="10045" spans="1:9" x14ac:dyDescent="0.25">
      <c r="A10045">
        <v>406</v>
      </c>
      <c r="B10045" t="s">
        <v>3096</v>
      </c>
      <c r="C10045" t="s">
        <v>10</v>
      </c>
      <c r="D10045" t="s">
        <v>2586</v>
      </c>
      <c r="E10045">
        <f t="shared" si="471"/>
        <v>9.9009900990099011E-3</v>
      </c>
      <c r="F10045">
        <v>4</v>
      </c>
      <c r="G10045">
        <f>LOG(382/(4+1))</f>
        <v>1.8830933585756899</v>
      </c>
      <c r="H10045">
        <f>0.0099009900990099*4.33598269617247</f>
        <v>4.2930521744281878E-2</v>
      </c>
      <c r="I10045">
        <v>4.2930521744281927E-2</v>
      </c>
    </row>
    <row r="10046" spans="1:9" x14ac:dyDescent="0.25">
      <c r="A10046">
        <v>406</v>
      </c>
      <c r="B10046" t="s">
        <v>3096</v>
      </c>
      <c r="C10046" t="s">
        <v>10</v>
      </c>
      <c r="D10046" t="s">
        <v>3104</v>
      </c>
      <c r="E10046">
        <f t="shared" si="471"/>
        <v>9.9009900990099011E-3</v>
      </c>
      <c r="F10046">
        <v>1</v>
      </c>
      <c r="G10046">
        <f>LOG(382/(1+1))</f>
        <v>2.2810333672477277</v>
      </c>
      <c r="H10046">
        <f>0.0099009900990099*5.25227342804663</f>
        <v>5.2002707208382466E-2</v>
      </c>
      <c r="I10046">
        <v>5.2002707208382473E-2</v>
      </c>
    </row>
    <row r="10047" spans="1:9" x14ac:dyDescent="0.25">
      <c r="A10047">
        <v>406</v>
      </c>
      <c r="B10047" t="s">
        <v>3096</v>
      </c>
      <c r="C10047" t="s">
        <v>10</v>
      </c>
      <c r="D10047" t="s">
        <v>418</v>
      </c>
      <c r="E10047">
        <f t="shared" si="471"/>
        <v>9.9009900990099011E-3</v>
      </c>
      <c r="F10047">
        <v>11</v>
      </c>
      <c r="G10047">
        <f>LOG(382/(11+1))</f>
        <v>1.5028821168640838</v>
      </c>
      <c r="H10047">
        <f>0.0099009900990099*3.46051395881857</f>
        <v>3.4262514443748213E-2</v>
      </c>
      <c r="I10047">
        <v>3.4262514443748268E-2</v>
      </c>
    </row>
    <row r="10048" spans="1:9" x14ac:dyDescent="0.25">
      <c r="A10048">
        <v>406</v>
      </c>
      <c r="B10048" t="s">
        <v>3096</v>
      </c>
      <c r="C10048" t="s">
        <v>10</v>
      </c>
      <c r="D10048" t="s">
        <v>936</v>
      </c>
      <c r="E10048">
        <f t="shared" si="471"/>
        <v>9.9009900990099011E-3</v>
      </c>
      <c r="F10048">
        <v>21</v>
      </c>
      <c r="G10048">
        <f>LOG(382/(21+1))</f>
        <v>1.2396406820895025</v>
      </c>
      <c r="H10048">
        <f>0.0099009900990099*2.85437815524825</f>
        <v>2.8261169853943065E-2</v>
      </c>
      <c r="I10048">
        <v>2.8261169853943158E-2</v>
      </c>
    </row>
    <row r="10049" spans="1:9" x14ac:dyDescent="0.25">
      <c r="A10049">
        <v>406</v>
      </c>
      <c r="B10049" t="s">
        <v>3096</v>
      </c>
      <c r="C10049" t="s">
        <v>10</v>
      </c>
      <c r="D10049" t="s">
        <v>937</v>
      </c>
      <c r="E10049">
        <f t="shared" si="471"/>
        <v>9.9009900990099011E-3</v>
      </c>
      <c r="F10049">
        <v>41</v>
      </c>
      <c r="G10049">
        <f>LOG(382/(41+1))</f>
        <v>0.95881407251380824</v>
      </c>
      <c r="H10049">
        <f>0.0099009900990099*2.2077509903232</f>
        <v>2.1858920696269307E-2</v>
      </c>
      <c r="I10049">
        <v>2.1858920696269379E-2</v>
      </c>
    </row>
    <row r="10050" spans="1:9" x14ac:dyDescent="0.25">
      <c r="A10050">
        <v>406</v>
      </c>
      <c r="B10050" t="s">
        <v>3096</v>
      </c>
      <c r="C10050" t="s">
        <v>10</v>
      </c>
      <c r="D10050" t="s">
        <v>361</v>
      </c>
      <c r="E10050">
        <f>2/101</f>
        <v>1.9801980198019802E-2</v>
      </c>
      <c r="F10050">
        <v>118</v>
      </c>
      <c r="G10050">
        <f>LOG(382/(118+1))</f>
        <v>0.50651640151917798</v>
      </c>
      <c r="H10050">
        <f>0.0198019801980198*1.16629711549504</f>
        <v>2.3094992386040389E-2</v>
      </c>
      <c r="I10050">
        <v>2.309499238604051E-2</v>
      </c>
    </row>
    <row r="10051" spans="1:9" x14ac:dyDescent="0.25">
      <c r="A10051">
        <v>406</v>
      </c>
      <c r="B10051" t="s">
        <v>3096</v>
      </c>
      <c r="C10051" t="s">
        <v>10</v>
      </c>
      <c r="D10051" t="s">
        <v>434</v>
      </c>
      <c r="E10051">
        <f>1/101</f>
        <v>9.9009900990099011E-3</v>
      </c>
      <c r="F10051">
        <v>97</v>
      </c>
      <c r="G10051">
        <f>LOG(382/(97+1))</f>
        <v>0.59083728721921391</v>
      </c>
      <c r="H10051">
        <f>0.0099009900990099*1.360453129936</f>
        <v>1.3469832969663365E-2</v>
      </c>
      <c r="I10051">
        <v>1.3469832969663399E-2</v>
      </c>
    </row>
    <row r="10052" spans="1:9" x14ac:dyDescent="0.25">
      <c r="A10052">
        <v>406</v>
      </c>
      <c r="B10052" t="s">
        <v>3096</v>
      </c>
      <c r="C10052" t="s">
        <v>10</v>
      </c>
      <c r="D10052" t="s">
        <v>310</v>
      </c>
      <c r="E10052">
        <f>2/101</f>
        <v>1.9801980198019802E-2</v>
      </c>
      <c r="F10052">
        <v>50</v>
      </c>
      <c r="G10052">
        <f>LOG(382/(50+1))</f>
        <v>0.87449318681377242</v>
      </c>
      <c r="H10052">
        <f>0.0198019801980198*2.01359497588224</f>
        <v>3.9873167839252266E-2</v>
      </c>
      <c r="I10052">
        <v>3.9873167839252467E-2</v>
      </c>
    </row>
    <row r="10053" spans="1:9" x14ac:dyDescent="0.25">
      <c r="A10053">
        <v>406</v>
      </c>
      <c r="B10053" t="s">
        <v>3096</v>
      </c>
      <c r="C10053" t="s">
        <v>10</v>
      </c>
      <c r="D10053" t="s">
        <v>2035</v>
      </c>
      <c r="E10053">
        <f t="shared" ref="E10053:E10059" si="472">1/101</f>
        <v>9.9009900990099011E-3</v>
      </c>
      <c r="F10053">
        <v>13</v>
      </c>
      <c r="G10053">
        <f>LOG(382/(13+1))</f>
        <v>1.4359353272334707</v>
      </c>
      <c r="H10053">
        <f>0.0099009900990099*3.30636327899131</f>
        <v>3.273627008902287E-2</v>
      </c>
      <c r="I10053">
        <v>3.2736270089022933E-2</v>
      </c>
    </row>
    <row r="10054" spans="1:9" x14ac:dyDescent="0.25">
      <c r="A10054">
        <v>406</v>
      </c>
      <c r="B10054" t="s">
        <v>3096</v>
      </c>
      <c r="C10054" t="s">
        <v>10</v>
      </c>
      <c r="D10054" t="s">
        <v>3105</v>
      </c>
      <c r="E10054">
        <f t="shared" si="472"/>
        <v>9.9009900990099011E-3</v>
      </c>
      <c r="F10054">
        <v>1</v>
      </c>
      <c r="G10054">
        <f>LOG(382/(1+1))</f>
        <v>2.2810333672477277</v>
      </c>
      <c r="H10054">
        <f>0.0099009900990099*5.25227342804663</f>
        <v>5.2002707208382466E-2</v>
      </c>
      <c r="I10054">
        <v>5.2002707208382473E-2</v>
      </c>
    </row>
    <row r="10055" spans="1:9" x14ac:dyDescent="0.25">
      <c r="A10055">
        <v>406</v>
      </c>
      <c r="B10055" t="s">
        <v>3096</v>
      </c>
      <c r="C10055" t="s">
        <v>10</v>
      </c>
      <c r="D10055" t="s">
        <v>1905</v>
      </c>
      <c r="E10055">
        <f t="shared" si="472"/>
        <v>9.9009900990099011E-3</v>
      </c>
      <c r="F10055">
        <v>24</v>
      </c>
      <c r="G10055">
        <f>LOG(382/(24+1))</f>
        <v>1.1841233542396712</v>
      </c>
      <c r="H10055">
        <f>0.0099009900990099*2.72654478373837</f>
        <v>2.6995492908300688E-2</v>
      </c>
      <c r="I10055">
        <v>2.699549290830074E-2</v>
      </c>
    </row>
    <row r="10056" spans="1:9" x14ac:dyDescent="0.25">
      <c r="A10056">
        <v>406</v>
      </c>
      <c r="B10056" t="s">
        <v>3096</v>
      </c>
      <c r="C10056" t="s">
        <v>10</v>
      </c>
      <c r="D10056" t="s">
        <v>3106</v>
      </c>
      <c r="E10056">
        <f t="shared" si="472"/>
        <v>9.9009900990099011E-3</v>
      </c>
      <c r="F10056">
        <v>1</v>
      </c>
      <c r="G10056">
        <f>LOG(382/(1+1))</f>
        <v>2.2810333672477277</v>
      </c>
      <c r="H10056">
        <f>0.0099009900990099*5.25227342804663</f>
        <v>5.2002707208382466E-2</v>
      </c>
      <c r="I10056">
        <v>5.2002707208382473E-2</v>
      </c>
    </row>
    <row r="10057" spans="1:9" x14ac:dyDescent="0.25">
      <c r="A10057">
        <v>406</v>
      </c>
      <c r="B10057" t="s">
        <v>3096</v>
      </c>
      <c r="C10057" t="s">
        <v>10</v>
      </c>
      <c r="D10057" t="s">
        <v>44</v>
      </c>
      <c r="E10057">
        <f t="shared" si="472"/>
        <v>9.9009900990099011E-3</v>
      </c>
      <c r="F10057">
        <v>151</v>
      </c>
      <c r="G10057">
        <f>LOG(382/(151+1))</f>
        <v>0.40021977496693617</v>
      </c>
      <c r="H10057">
        <f>0.0099009900990099*0.921540087760298</f>
        <v>9.1241592847554256E-3</v>
      </c>
      <c r="I10057">
        <v>9.1241592847554325E-3</v>
      </c>
    </row>
    <row r="10058" spans="1:9" x14ac:dyDescent="0.25">
      <c r="A10058">
        <v>406</v>
      </c>
      <c r="B10058" t="s">
        <v>3096</v>
      </c>
      <c r="C10058" t="s">
        <v>10</v>
      </c>
      <c r="D10058" t="s">
        <v>3107</v>
      </c>
      <c r="E10058">
        <f t="shared" si="472"/>
        <v>9.9009900990099011E-3</v>
      </c>
      <c r="F10058">
        <v>1</v>
      </c>
      <c r="G10058">
        <f>LOG(382/(1+1))</f>
        <v>2.2810333672477277</v>
      </c>
      <c r="H10058">
        <f>0.0099009900990099*5.25227342804663</f>
        <v>5.2002707208382466E-2</v>
      </c>
      <c r="I10058">
        <v>5.2002707208382473E-2</v>
      </c>
    </row>
    <row r="10059" spans="1:9" x14ac:dyDescent="0.25">
      <c r="A10059">
        <v>406</v>
      </c>
      <c r="B10059" t="s">
        <v>3096</v>
      </c>
      <c r="C10059" t="s">
        <v>10</v>
      </c>
      <c r="D10059" t="s">
        <v>24</v>
      </c>
      <c r="E10059">
        <f t="shared" si="472"/>
        <v>9.9009900990099011E-3</v>
      </c>
      <c r="F10059">
        <v>59</v>
      </c>
      <c r="G10059">
        <f>LOG(382/(59+1))</f>
        <v>0.80391211252806505</v>
      </c>
      <c r="H10059">
        <f>0.0099009900990099*1.85107604638447</f>
        <v>1.8327485607767025E-2</v>
      </c>
      <c r="I10059">
        <v>1.832748560776707E-2</v>
      </c>
    </row>
    <row r="10060" spans="1:9" x14ac:dyDescent="0.25">
      <c r="A10060">
        <v>406</v>
      </c>
      <c r="B10060" t="s">
        <v>3096</v>
      </c>
      <c r="C10060" t="s">
        <v>10</v>
      </c>
      <c r="D10060" t="s">
        <v>506</v>
      </c>
      <c r="E10060">
        <f>2/101</f>
        <v>1.9801980198019802E-2</v>
      </c>
      <c r="F10060">
        <v>6</v>
      </c>
      <c r="G10060">
        <f>LOG(382/(6+1))</f>
        <v>1.736965322897452</v>
      </c>
      <c r="H10060">
        <f>0.0198019801980198*3.99951045955126</f>
        <v>7.9198226921807113E-2</v>
      </c>
      <c r="I10060">
        <v>7.9198226921807169E-2</v>
      </c>
    </row>
    <row r="10061" spans="1:9" x14ac:dyDescent="0.25">
      <c r="A10061">
        <v>406</v>
      </c>
      <c r="B10061" t="s">
        <v>3096</v>
      </c>
      <c r="C10061" t="s">
        <v>10</v>
      </c>
      <c r="D10061" t="s">
        <v>453</v>
      </c>
      <c r="E10061">
        <f>2/101</f>
        <v>1.9801980198019802E-2</v>
      </c>
      <c r="F10061">
        <v>68</v>
      </c>
      <c r="G10061">
        <f>LOG(382/(68+1))</f>
        <v>0.74321427217445335</v>
      </c>
      <c r="H10061">
        <f>0.0198019801980198*1.71131410400931</f>
        <v>3.3887408000184353E-2</v>
      </c>
      <c r="I10061">
        <v>3.3887408000184471E-2</v>
      </c>
    </row>
    <row r="10062" spans="1:9" x14ac:dyDescent="0.25">
      <c r="A10062">
        <v>406</v>
      </c>
      <c r="B10062" t="s">
        <v>3096</v>
      </c>
      <c r="C10062" t="s">
        <v>10</v>
      </c>
      <c r="D10062" t="s">
        <v>1779</v>
      </c>
      <c r="E10062">
        <f t="shared" ref="E10062:E10074" si="473">1/101</f>
        <v>9.9009900990099011E-3</v>
      </c>
      <c r="F10062">
        <v>41</v>
      </c>
      <c r="G10062">
        <f>LOG(382/(41+1))</f>
        <v>0.95881407251380824</v>
      </c>
      <c r="H10062">
        <f>0.0099009900990099*2.2077509903232</f>
        <v>2.1858920696269307E-2</v>
      </c>
      <c r="I10062">
        <v>2.1858920696269379E-2</v>
      </c>
    </row>
    <row r="10063" spans="1:9" x14ac:dyDescent="0.25">
      <c r="A10063">
        <v>406</v>
      </c>
      <c r="B10063" t="s">
        <v>3096</v>
      </c>
      <c r="C10063" t="s">
        <v>10</v>
      </c>
      <c r="D10063" t="s">
        <v>3108</v>
      </c>
      <c r="E10063">
        <f t="shared" si="473"/>
        <v>9.9009900990099011E-3</v>
      </c>
      <c r="F10063">
        <v>1</v>
      </c>
      <c r="G10063">
        <f>LOG(382/(1+1))</f>
        <v>2.2810333672477277</v>
      </c>
      <c r="H10063">
        <f>0.0099009900990099*5.25227342804663</f>
        <v>5.2002707208382466E-2</v>
      </c>
      <c r="I10063">
        <v>5.2002707208382473E-2</v>
      </c>
    </row>
    <row r="10064" spans="1:9" x14ac:dyDescent="0.25">
      <c r="A10064">
        <v>406</v>
      </c>
      <c r="B10064" t="s">
        <v>3096</v>
      </c>
      <c r="C10064" t="s">
        <v>10</v>
      </c>
      <c r="D10064" t="s">
        <v>1626</v>
      </c>
      <c r="E10064">
        <f t="shared" si="473"/>
        <v>9.9009900990099011E-3</v>
      </c>
      <c r="F10064">
        <v>32</v>
      </c>
      <c r="G10064">
        <f>LOG(382/(32+1))</f>
        <v>1.0635494230338212</v>
      </c>
      <c r="H10064">
        <f>0.0099009900990099*2.44891304714009</f>
        <v>2.4246663833070194E-2</v>
      </c>
      <c r="I10064">
        <v>2.424666383307025E-2</v>
      </c>
    </row>
    <row r="10065" spans="1:9" x14ac:dyDescent="0.25">
      <c r="A10065">
        <v>406</v>
      </c>
      <c r="B10065" t="s">
        <v>3096</v>
      </c>
      <c r="C10065" t="s">
        <v>10</v>
      </c>
      <c r="D10065" t="s">
        <v>236</v>
      </c>
      <c r="E10065">
        <f t="shared" si="473"/>
        <v>9.9009900990099011E-3</v>
      </c>
      <c r="F10065">
        <v>87</v>
      </c>
      <c r="G10065">
        <f>LOG(382/(87+1))</f>
        <v>0.63758069076154011</v>
      </c>
      <c r="H10065">
        <f>0.0099009900990099*1.46808379412836</f>
        <v>1.453548311018178E-2</v>
      </c>
      <c r="I10065">
        <v>1.4535483110181871E-2</v>
      </c>
    </row>
    <row r="10066" spans="1:9" x14ac:dyDescent="0.25">
      <c r="A10066">
        <v>406</v>
      </c>
      <c r="B10066" t="s">
        <v>3096</v>
      </c>
      <c r="C10066" t="s">
        <v>10</v>
      </c>
      <c r="D10066" t="s">
        <v>438</v>
      </c>
      <c r="E10066">
        <f t="shared" si="473"/>
        <v>9.9009900990099011E-3</v>
      </c>
      <c r="F10066">
        <v>37</v>
      </c>
      <c r="G10066">
        <f>LOG(382/(37+1))</f>
        <v>1.0022797662948986</v>
      </c>
      <c r="H10066">
        <f>0.0099009900990099*2.30783444888018</f>
        <v>2.284984602851663E-2</v>
      </c>
      <c r="I10066">
        <v>2.284984602851672E-2</v>
      </c>
    </row>
    <row r="10067" spans="1:9" x14ac:dyDescent="0.25">
      <c r="A10067">
        <v>406</v>
      </c>
      <c r="B10067" t="s">
        <v>3096</v>
      </c>
      <c r="C10067" t="s">
        <v>10</v>
      </c>
      <c r="D10067" t="s">
        <v>1176</v>
      </c>
      <c r="E10067">
        <f t="shared" si="473"/>
        <v>9.9009900990099011E-3</v>
      </c>
      <c r="F10067">
        <v>15</v>
      </c>
      <c r="G10067">
        <f>LOG(382/(15+1))</f>
        <v>1.3779433802557839</v>
      </c>
      <c r="H10067">
        <f>0.0099009900990099*3.17283188636679</f>
        <v>3.141417709274049E-2</v>
      </c>
      <c r="I10067">
        <v>3.1414177092740539E-2</v>
      </c>
    </row>
    <row r="10068" spans="1:9" x14ac:dyDescent="0.25">
      <c r="A10068">
        <v>406</v>
      </c>
      <c r="B10068" t="s">
        <v>3096</v>
      </c>
      <c r="C10068" t="s">
        <v>10</v>
      </c>
      <c r="D10068" t="s">
        <v>283</v>
      </c>
      <c r="E10068">
        <f t="shared" si="473"/>
        <v>9.9009900990099011E-3</v>
      </c>
      <c r="F10068">
        <v>16</v>
      </c>
      <c r="G10068">
        <f>LOG(382/(16+1))</f>
        <v>1.3516144415334348</v>
      </c>
      <c r="H10068">
        <f>0.0099009900990099*3.11220726455035</f>
        <v>3.0813933312379697E-2</v>
      </c>
      <c r="I10068">
        <v>3.081393331237979E-2</v>
      </c>
    </row>
    <row r="10069" spans="1:9" x14ac:dyDescent="0.25">
      <c r="A10069">
        <v>406</v>
      </c>
      <c r="B10069" t="s">
        <v>3096</v>
      </c>
      <c r="C10069" t="s">
        <v>10</v>
      </c>
      <c r="D10069" t="s">
        <v>2301</v>
      </c>
      <c r="E10069">
        <f t="shared" si="473"/>
        <v>9.9009900990099011E-3</v>
      </c>
      <c r="F10069">
        <v>6</v>
      </c>
      <c r="G10069">
        <f>LOG(382/(6+1))</f>
        <v>1.736965322897452</v>
      </c>
      <c r="H10069">
        <f>0.0099009900990099*3.99951045955126</f>
        <v>3.9599113460903557E-2</v>
      </c>
      <c r="I10069">
        <v>3.9599113460903577E-2</v>
      </c>
    </row>
    <row r="10070" spans="1:9" x14ac:dyDescent="0.25">
      <c r="A10070">
        <v>406</v>
      </c>
      <c r="B10070" t="s">
        <v>3096</v>
      </c>
      <c r="C10070" t="s">
        <v>10</v>
      </c>
      <c r="D10070" t="s">
        <v>2431</v>
      </c>
      <c r="E10070">
        <f t="shared" si="473"/>
        <v>9.9009900990099011E-3</v>
      </c>
      <c r="F10070">
        <v>12</v>
      </c>
      <c r="G10070">
        <f>LOG(382/(12+1))</f>
        <v>1.468120010604872</v>
      </c>
      <c r="H10070">
        <f>0.0099009900990099*3.38047125114503</f>
        <v>3.3470012387574549E-2</v>
      </c>
      <c r="I10070">
        <v>3.3470012387574639E-2</v>
      </c>
    </row>
    <row r="10071" spans="1:9" x14ac:dyDescent="0.25">
      <c r="A10071">
        <v>406</v>
      </c>
      <c r="B10071" t="s">
        <v>3096</v>
      </c>
      <c r="C10071" t="s">
        <v>10</v>
      </c>
      <c r="D10071" t="s">
        <v>754</v>
      </c>
      <c r="E10071">
        <f t="shared" si="473"/>
        <v>9.9009900990099011E-3</v>
      </c>
      <c r="F10071">
        <v>111</v>
      </c>
      <c r="G10071">
        <f>LOG(382/(111+1))</f>
        <v>0.53284534024152708</v>
      </c>
      <c r="H10071">
        <f>0.0099009900990099*1.22692173731148</f>
        <v>1.2147739973380988E-2</v>
      </c>
      <c r="I10071">
        <v>1.2147739973381E-2</v>
      </c>
    </row>
    <row r="10072" spans="1:9" x14ac:dyDescent="0.25">
      <c r="A10072">
        <v>406</v>
      </c>
      <c r="B10072" t="s">
        <v>3096</v>
      </c>
      <c r="C10072" t="s">
        <v>10</v>
      </c>
      <c r="D10072" t="s">
        <v>388</v>
      </c>
      <c r="E10072">
        <f t="shared" si="473"/>
        <v>9.9009900990099011E-3</v>
      </c>
      <c r="F10072">
        <v>44</v>
      </c>
      <c r="G10072">
        <f>LOG(382/(44+1))</f>
        <v>0.92885084913636506</v>
      </c>
      <c r="H10072">
        <f>0.0099009900990099*2.13875811883625</f>
        <v>2.1175822958774747E-2</v>
      </c>
      <c r="I10072">
        <v>2.11758229587748E-2</v>
      </c>
    </row>
    <row r="10073" spans="1:9" x14ac:dyDescent="0.25">
      <c r="A10073">
        <v>406</v>
      </c>
      <c r="B10073" t="s">
        <v>3096</v>
      </c>
      <c r="C10073" t="s">
        <v>10</v>
      </c>
      <c r="D10073" t="s">
        <v>2433</v>
      </c>
      <c r="E10073">
        <f t="shared" si="473"/>
        <v>9.9009900990099011E-3</v>
      </c>
      <c r="F10073">
        <v>2</v>
      </c>
      <c r="G10073">
        <f>LOG(382/(2+1))</f>
        <v>2.1049421081920463</v>
      </c>
      <c r="H10073">
        <f>0.0099009900990099*4.84680831993846</f>
        <v>4.7988201187509495E-2</v>
      </c>
      <c r="I10073">
        <v>4.7988201187509558E-2</v>
      </c>
    </row>
    <row r="10074" spans="1:9" x14ac:dyDescent="0.25">
      <c r="A10074">
        <v>406</v>
      </c>
      <c r="B10074" t="s">
        <v>3096</v>
      </c>
      <c r="C10074" t="s">
        <v>10</v>
      </c>
      <c r="D10074" t="s">
        <v>1921</v>
      </c>
      <c r="E10074">
        <f t="shared" si="473"/>
        <v>9.9009900990099011E-3</v>
      </c>
      <c r="F10074">
        <v>37</v>
      </c>
      <c r="G10074">
        <f>LOG(382/(37+1))</f>
        <v>1.0022797662948986</v>
      </c>
      <c r="H10074">
        <f>0.0099009900990099*2.30783444888018</f>
        <v>2.284984602851663E-2</v>
      </c>
      <c r="I10074">
        <v>2.284984602851672E-2</v>
      </c>
    </row>
    <row r="10075" spans="1:9" x14ac:dyDescent="0.25">
      <c r="A10075">
        <v>406</v>
      </c>
      <c r="B10075" t="s">
        <v>3096</v>
      </c>
      <c r="C10075" t="s">
        <v>10</v>
      </c>
      <c r="D10075" t="s">
        <v>144</v>
      </c>
      <c r="E10075">
        <f>2/101</f>
        <v>1.9801980198019802E-2</v>
      </c>
      <c r="F10075">
        <v>105</v>
      </c>
      <c r="G10075">
        <f>LOG(382/(105+1))</f>
        <v>0.55675749764693849</v>
      </c>
      <c r="H10075">
        <f>0.0198019801980198*1.2819815144945</f>
        <v>2.5385772564247518E-2</v>
      </c>
      <c r="I10075">
        <v>2.5385772564247681E-2</v>
      </c>
    </row>
    <row r="10076" spans="1:9" x14ac:dyDescent="0.25">
      <c r="A10076">
        <v>406</v>
      </c>
      <c r="B10076" t="s">
        <v>3096</v>
      </c>
      <c r="C10076" t="s">
        <v>10</v>
      </c>
      <c r="D10076" t="s">
        <v>1859</v>
      </c>
      <c r="E10076">
        <f t="shared" ref="E10076:E10085" si="474">1/101</f>
        <v>9.9009900990099011E-3</v>
      </c>
      <c r="F10076">
        <v>7</v>
      </c>
      <c r="G10076">
        <f>LOG(382/(7+1))</f>
        <v>1.6789733759197651</v>
      </c>
      <c r="H10076">
        <f>0.0099009900990099*3.86597906692673</f>
        <v>3.8277020464621087E-2</v>
      </c>
      <c r="I10076">
        <v>3.8277020464621177E-2</v>
      </c>
    </row>
    <row r="10077" spans="1:9" x14ac:dyDescent="0.25">
      <c r="A10077">
        <v>406</v>
      </c>
      <c r="B10077" t="s">
        <v>3096</v>
      </c>
      <c r="C10077" t="s">
        <v>10</v>
      </c>
      <c r="D10077" t="s">
        <v>1831</v>
      </c>
      <c r="E10077">
        <f t="shared" si="474"/>
        <v>9.9009900990099011E-3</v>
      </c>
      <c r="F10077">
        <v>28</v>
      </c>
      <c r="G10077">
        <f>LOG(382/(28+1))</f>
        <v>1.1196653650127526</v>
      </c>
      <c r="H10077">
        <f>0.0099009900990099*2.5781247786201</f>
        <v>2.5525987907129698E-2</v>
      </c>
      <c r="I10077">
        <v>2.5525987907129719E-2</v>
      </c>
    </row>
    <row r="10078" spans="1:9" x14ac:dyDescent="0.25">
      <c r="A10078">
        <v>406</v>
      </c>
      <c r="B10078" t="s">
        <v>3096</v>
      </c>
      <c r="C10078" t="s">
        <v>10</v>
      </c>
      <c r="D10078" t="s">
        <v>763</v>
      </c>
      <c r="E10078">
        <f t="shared" si="474"/>
        <v>9.9009900990099011E-3</v>
      </c>
      <c r="F10078">
        <v>47</v>
      </c>
      <c r="G10078">
        <f>LOG(382/(47+1))</f>
        <v>0.90082212553612151</v>
      </c>
      <c r="H10078">
        <f>0.0099009900990099*2.07421959769868</f>
        <v>2.053682769998693E-2</v>
      </c>
      <c r="I10078">
        <v>2.0536827699986972E-2</v>
      </c>
    </row>
    <row r="10079" spans="1:9" x14ac:dyDescent="0.25">
      <c r="A10079">
        <v>406</v>
      </c>
      <c r="B10079" t="s">
        <v>3096</v>
      </c>
      <c r="C10079" t="s">
        <v>10</v>
      </c>
      <c r="D10079" t="s">
        <v>1919</v>
      </c>
      <c r="E10079">
        <f t="shared" si="474"/>
        <v>9.9009900990099011E-3</v>
      </c>
      <c r="F10079">
        <v>18</v>
      </c>
      <c r="G10079">
        <f>LOG(382/(18+1))</f>
        <v>1.3033097619588798</v>
      </c>
      <c r="H10079">
        <f>0.0099009900990099*3.00098162944013</f>
        <v>2.9712689400397323E-2</v>
      </c>
      <c r="I10079">
        <v>2.9712689400397368E-2</v>
      </c>
    </row>
    <row r="10080" spans="1:9" x14ac:dyDescent="0.25">
      <c r="A10080">
        <v>406</v>
      </c>
      <c r="B10080" t="s">
        <v>3096</v>
      </c>
      <c r="C10080" t="s">
        <v>10</v>
      </c>
      <c r="D10080" t="s">
        <v>1918</v>
      </c>
      <c r="E10080">
        <f t="shared" si="474"/>
        <v>9.9009900990099011E-3</v>
      </c>
      <c r="F10080">
        <v>25</v>
      </c>
      <c r="G10080">
        <f>LOG(382/(25+1))</f>
        <v>1.1670900149408907</v>
      </c>
      <c r="H10080">
        <f>0.0099009900990099*2.68732407058509</f>
        <v>2.6607169015693957E-2</v>
      </c>
      <c r="I10080">
        <v>2.6607169015693991E-2</v>
      </c>
    </row>
    <row r="10081" spans="1:9" x14ac:dyDescent="0.25">
      <c r="A10081">
        <v>406</v>
      </c>
      <c r="B10081" t="s">
        <v>3096</v>
      </c>
      <c r="C10081" t="s">
        <v>10</v>
      </c>
      <c r="D10081" t="s">
        <v>1920</v>
      </c>
      <c r="E10081">
        <f t="shared" si="474"/>
        <v>9.9009900990099011E-3</v>
      </c>
      <c r="F10081">
        <v>18</v>
      </c>
      <c r="G10081">
        <f>LOG(382/(18+1))</f>
        <v>1.3033097619588798</v>
      </c>
      <c r="H10081">
        <f>0.0099009900990099*3.00098162944013</f>
        <v>2.9712689400397323E-2</v>
      </c>
      <c r="I10081">
        <v>2.9712689400397368E-2</v>
      </c>
    </row>
    <row r="10082" spans="1:9" x14ac:dyDescent="0.25">
      <c r="A10082">
        <v>406</v>
      </c>
      <c r="B10082" t="s">
        <v>3096</v>
      </c>
      <c r="C10082" t="s">
        <v>10</v>
      </c>
      <c r="D10082" t="s">
        <v>243</v>
      </c>
      <c r="E10082">
        <f t="shared" si="474"/>
        <v>9.9009900990099011E-3</v>
      </c>
      <c r="F10082">
        <v>131</v>
      </c>
      <c r="G10082">
        <f>LOG(382/(131+1))</f>
        <v>0.46148943170585888</v>
      </c>
      <c r="H10082">
        <f>0.0099009900990099*1.0626186860202</f>
        <v>1.052097708930891E-2</v>
      </c>
      <c r="I10082">
        <v>1.052097708930895E-2</v>
      </c>
    </row>
    <row r="10083" spans="1:9" x14ac:dyDescent="0.25">
      <c r="A10083">
        <v>406</v>
      </c>
      <c r="B10083" t="s">
        <v>3096</v>
      </c>
      <c r="C10083" t="s">
        <v>10</v>
      </c>
      <c r="D10083" t="s">
        <v>307</v>
      </c>
      <c r="E10083">
        <f t="shared" si="474"/>
        <v>9.9009900990099011E-3</v>
      </c>
      <c r="F10083">
        <v>67</v>
      </c>
      <c r="G10083">
        <f>LOG(382/(67+1))</f>
        <v>0.7495544502054724</v>
      </c>
      <c r="H10083">
        <f>0.0099009900990099*1.72591290343046</f>
        <v>1.7088246568618414E-2</v>
      </c>
      <c r="I10083">
        <v>1.7088246568618501E-2</v>
      </c>
    </row>
    <row r="10084" spans="1:9" x14ac:dyDescent="0.25">
      <c r="A10084">
        <v>406</v>
      </c>
      <c r="B10084" t="s">
        <v>3096</v>
      </c>
      <c r="C10084" t="s">
        <v>10</v>
      </c>
      <c r="D10084" t="s">
        <v>455</v>
      </c>
      <c r="E10084">
        <f t="shared" si="474"/>
        <v>9.9009900990099011E-3</v>
      </c>
      <c r="F10084">
        <v>78</v>
      </c>
      <c r="G10084">
        <f>LOG(382/(78+1))</f>
        <v>0.6844362716212673</v>
      </c>
      <c r="H10084">
        <f>0.0099009900990099*1.57597275613955</f>
        <v>1.5603690654847027E-2</v>
      </c>
      <c r="I10084">
        <v>1.5603690654847071E-2</v>
      </c>
    </row>
    <row r="10085" spans="1:9" x14ac:dyDescent="0.25">
      <c r="A10085">
        <v>406</v>
      </c>
      <c r="B10085" t="s">
        <v>3096</v>
      </c>
      <c r="C10085" t="s">
        <v>10</v>
      </c>
      <c r="D10085" t="s">
        <v>218</v>
      </c>
      <c r="E10085">
        <f t="shared" si="474"/>
        <v>9.9009900990099011E-3</v>
      </c>
      <c r="F10085">
        <v>35</v>
      </c>
      <c r="G10085">
        <f>LOG(382/(35+1))</f>
        <v>1.0257608621444214</v>
      </c>
      <c r="H10085">
        <f>0.0099009900990099*2.36190167015046</f>
        <v>2.3385165050994649E-2</v>
      </c>
      <c r="I10085">
        <v>2.3385165050994701E-2</v>
      </c>
    </row>
    <row r="10086" spans="1:9" x14ac:dyDescent="0.25">
      <c r="A10086">
        <v>407</v>
      </c>
      <c r="B10086" t="s">
        <v>3109</v>
      </c>
      <c r="C10086" t="s">
        <v>10</v>
      </c>
      <c r="D10086" t="s">
        <v>315</v>
      </c>
      <c r="E10086">
        <f>8/106</f>
        <v>7.5471698113207544E-2</v>
      </c>
      <c r="F10086">
        <v>55</v>
      </c>
      <c r="G10086">
        <f>LOG(382/(55+1))</f>
        <v>0.83387533590550833</v>
      </c>
      <c r="H10086">
        <f>0.0754716981132075*1.92006891787142</f>
        <v>0.14491086172614484</v>
      </c>
      <c r="I10086">
        <v>0.14491086172614531</v>
      </c>
    </row>
    <row r="10087" spans="1:9" x14ac:dyDescent="0.25">
      <c r="A10087">
        <v>407</v>
      </c>
      <c r="B10087" t="s">
        <v>3109</v>
      </c>
      <c r="C10087" t="s">
        <v>10</v>
      </c>
      <c r="D10087" t="s">
        <v>2229</v>
      </c>
      <c r="E10087">
        <f>6/106</f>
        <v>5.6603773584905662E-2</v>
      </c>
      <c r="F10087">
        <v>2</v>
      </c>
      <c r="G10087">
        <f>LOG(382/(2+1))</f>
        <v>2.1049421081920463</v>
      </c>
      <c r="H10087">
        <f>0.0566037735849056*4.84680831993846</f>
        <v>0.2743476407512333</v>
      </c>
      <c r="I10087">
        <v>0.27434764075123391</v>
      </c>
    </row>
    <row r="10088" spans="1:9" x14ac:dyDescent="0.25">
      <c r="A10088">
        <v>407</v>
      </c>
      <c r="B10088" t="s">
        <v>3109</v>
      </c>
      <c r="C10088" t="s">
        <v>10</v>
      </c>
      <c r="D10088" t="s">
        <v>25</v>
      </c>
      <c r="E10088">
        <f>1/106</f>
        <v>9.433962264150943E-3</v>
      </c>
      <c r="F10088">
        <v>106</v>
      </c>
      <c r="G10088">
        <f>LOG(382/(106+1))</f>
        <v>0.55267958522649907</v>
      </c>
      <c r="H10088">
        <f>0.00943396226415094*1.27259177414466</f>
        <v>1.2005582774949617E-2</v>
      </c>
      <c r="I10088">
        <v>1.2005582774949709E-2</v>
      </c>
    </row>
    <row r="10089" spans="1:9" x14ac:dyDescent="0.25">
      <c r="A10089">
        <v>407</v>
      </c>
      <c r="B10089" t="s">
        <v>3109</v>
      </c>
      <c r="C10089" t="s">
        <v>10</v>
      </c>
      <c r="D10089" t="s">
        <v>593</v>
      </c>
      <c r="E10089">
        <f>4/106</f>
        <v>3.7735849056603772E-2</v>
      </c>
      <c r="F10089">
        <v>30</v>
      </c>
      <c r="G10089">
        <f>LOG(382/(30+1))</f>
        <v>1.090701669077436</v>
      </c>
      <c r="H10089">
        <f>0.0377358490566037*2.51143340412142</f>
        <v>9.4771071853638311E-2</v>
      </c>
      <c r="I10089">
        <v>9.4771071853638825E-2</v>
      </c>
    </row>
    <row r="10090" spans="1:9" x14ac:dyDescent="0.25">
      <c r="A10090">
        <v>407</v>
      </c>
      <c r="B10090" t="s">
        <v>3109</v>
      </c>
      <c r="C10090" t="s">
        <v>10</v>
      </c>
      <c r="D10090" t="s">
        <v>39</v>
      </c>
      <c r="E10090">
        <f>2/106</f>
        <v>1.8867924528301886E-2</v>
      </c>
      <c r="F10090">
        <v>145</v>
      </c>
      <c r="G10090">
        <f>LOG(382/(145+1))</f>
        <v>0.41771050712727159</v>
      </c>
      <c r="H10090">
        <f>0.0188679245283018*0.961813986898238</f>
        <v>1.8147433715061011E-2</v>
      </c>
      <c r="I10090">
        <v>1.8147433715061109E-2</v>
      </c>
    </row>
    <row r="10091" spans="1:9" x14ac:dyDescent="0.25">
      <c r="A10091">
        <v>407</v>
      </c>
      <c r="B10091" t="s">
        <v>3109</v>
      </c>
      <c r="C10091" t="s">
        <v>10</v>
      </c>
      <c r="D10091" t="s">
        <v>1997</v>
      </c>
      <c r="E10091">
        <f>1/106</f>
        <v>9.433962264150943E-3</v>
      </c>
      <c r="F10091">
        <v>4</v>
      </c>
      <c r="G10091">
        <f>LOG(382/(4+1))</f>
        <v>1.8830933585756899</v>
      </c>
      <c r="H10091">
        <f>0.00943396226415094*4.33598269617247</f>
        <v>4.0905497133702534E-2</v>
      </c>
      <c r="I10091">
        <v>4.090549713370259E-2</v>
      </c>
    </row>
    <row r="10092" spans="1:9" x14ac:dyDescent="0.25">
      <c r="A10092">
        <v>407</v>
      </c>
      <c r="B10092" t="s">
        <v>3109</v>
      </c>
      <c r="C10092" t="s">
        <v>10</v>
      </c>
      <c r="D10092" t="s">
        <v>1854</v>
      </c>
      <c r="E10092">
        <f>1/106</f>
        <v>9.433962264150943E-3</v>
      </c>
      <c r="F10092">
        <v>9</v>
      </c>
      <c r="G10092">
        <f>LOG(382/(9+1))</f>
        <v>1.5820633629117087</v>
      </c>
      <c r="H10092">
        <f>0.00943396226415094*3.64283551561252</f>
        <v>3.4366372788797346E-2</v>
      </c>
      <c r="I10092">
        <v>3.4366372788797443E-2</v>
      </c>
    </row>
    <row r="10093" spans="1:9" x14ac:dyDescent="0.25">
      <c r="A10093">
        <v>407</v>
      </c>
      <c r="B10093" t="s">
        <v>3109</v>
      </c>
      <c r="C10093" t="s">
        <v>10</v>
      </c>
      <c r="D10093" t="s">
        <v>1714</v>
      </c>
      <c r="E10093">
        <f>2/106</f>
        <v>1.8867924528301886E-2</v>
      </c>
      <c r="F10093">
        <v>9</v>
      </c>
      <c r="G10093">
        <f>LOG(382/(9+1))</f>
        <v>1.5820633629117087</v>
      </c>
      <c r="H10093">
        <f>0.0188679245283018*3.64283551561252</f>
        <v>6.8732745577594401E-2</v>
      </c>
      <c r="I10093">
        <v>6.8732745577594886E-2</v>
      </c>
    </row>
    <row r="10094" spans="1:9" x14ac:dyDescent="0.25">
      <c r="A10094">
        <v>407</v>
      </c>
      <c r="B10094" t="s">
        <v>3109</v>
      </c>
      <c r="C10094" t="s">
        <v>10</v>
      </c>
      <c r="D10094" t="s">
        <v>3110</v>
      </c>
      <c r="E10094">
        <f t="shared" ref="E10094:E10099" si="475">1/106</f>
        <v>9.433962264150943E-3</v>
      </c>
      <c r="F10094">
        <v>3</v>
      </c>
      <c r="G10094">
        <f>LOG(382/(3+1))</f>
        <v>1.9800033715837464</v>
      </c>
      <c r="H10094">
        <f>0.00943396226415094*4.55912624748668</f>
        <v>4.3010624976289415E-2</v>
      </c>
      <c r="I10094">
        <v>4.3010624976289477E-2</v>
      </c>
    </row>
    <row r="10095" spans="1:9" x14ac:dyDescent="0.25">
      <c r="A10095">
        <v>407</v>
      </c>
      <c r="B10095" t="s">
        <v>3109</v>
      </c>
      <c r="C10095" t="s">
        <v>10</v>
      </c>
      <c r="D10095" t="s">
        <v>3111</v>
      </c>
      <c r="E10095">
        <f t="shared" si="475"/>
        <v>9.433962264150943E-3</v>
      </c>
      <c r="F10095">
        <v>1</v>
      </c>
      <c r="G10095">
        <f>LOG(382/(1+1))</f>
        <v>2.2810333672477277</v>
      </c>
      <c r="H10095">
        <f>0.00943396226415094*5.25227342804663</f>
        <v>4.9549749321194603E-2</v>
      </c>
      <c r="I10095">
        <v>4.9549749321194617E-2</v>
      </c>
    </row>
    <row r="10096" spans="1:9" x14ac:dyDescent="0.25">
      <c r="A10096">
        <v>407</v>
      </c>
      <c r="B10096" t="s">
        <v>3109</v>
      </c>
      <c r="C10096" t="s">
        <v>10</v>
      </c>
      <c r="D10096" t="s">
        <v>2719</v>
      </c>
      <c r="E10096">
        <f t="shared" si="475"/>
        <v>9.433962264150943E-3</v>
      </c>
      <c r="F10096">
        <v>3</v>
      </c>
      <c r="G10096">
        <f>LOG(382/(3+1))</f>
        <v>1.9800033715837464</v>
      </c>
      <c r="H10096">
        <f>0.00943396226415094*4.55912624748668</f>
        <v>4.3010624976289415E-2</v>
      </c>
      <c r="I10096">
        <v>4.3010624976289477E-2</v>
      </c>
    </row>
    <row r="10097" spans="1:9" x14ac:dyDescent="0.25">
      <c r="A10097">
        <v>407</v>
      </c>
      <c r="B10097" t="s">
        <v>3109</v>
      </c>
      <c r="C10097" t="s">
        <v>10</v>
      </c>
      <c r="D10097" t="s">
        <v>50</v>
      </c>
      <c r="E10097">
        <f t="shared" si="475"/>
        <v>9.433962264150943E-3</v>
      </c>
      <c r="F10097">
        <v>109</v>
      </c>
      <c r="G10097">
        <f>LOG(382/(109+1))</f>
        <v>0.54067067775348365</v>
      </c>
      <c r="H10097">
        <f>0.00943396226415094*1.24494024281415</f>
        <v>1.17447192718316E-2</v>
      </c>
      <c r="I10097">
        <v>1.174471927183169E-2</v>
      </c>
    </row>
    <row r="10098" spans="1:9" x14ac:dyDescent="0.25">
      <c r="A10098">
        <v>407</v>
      </c>
      <c r="B10098" t="s">
        <v>3109</v>
      </c>
      <c r="C10098" t="s">
        <v>10</v>
      </c>
      <c r="D10098" t="s">
        <v>117</v>
      </c>
      <c r="E10098">
        <f t="shared" si="475"/>
        <v>9.433962264150943E-3</v>
      </c>
      <c r="F10098">
        <v>8</v>
      </c>
      <c r="G10098">
        <f>LOG(382/(8+1))</f>
        <v>1.6278208534723839</v>
      </c>
      <c r="H10098">
        <f>0.00943396226415094*3.74819603127035</f>
        <v>3.5360339917644798E-2</v>
      </c>
      <c r="I10098">
        <v>3.5360339917644867E-2</v>
      </c>
    </row>
    <row r="10099" spans="1:9" x14ac:dyDescent="0.25">
      <c r="A10099">
        <v>407</v>
      </c>
      <c r="B10099" t="s">
        <v>3109</v>
      </c>
      <c r="C10099" t="s">
        <v>10</v>
      </c>
      <c r="D10099" t="s">
        <v>3112</v>
      </c>
      <c r="E10099">
        <f t="shared" si="475"/>
        <v>9.433962264150943E-3</v>
      </c>
      <c r="F10099">
        <v>1</v>
      </c>
      <c r="G10099">
        <f>LOG(382/(1+1))</f>
        <v>2.2810333672477277</v>
      </c>
      <c r="H10099">
        <f>0.00943396226415094*5.25227342804663</f>
        <v>4.9549749321194603E-2</v>
      </c>
      <c r="I10099">
        <v>4.9549749321194617E-2</v>
      </c>
    </row>
    <row r="10100" spans="1:9" x14ac:dyDescent="0.25">
      <c r="A10100">
        <v>407</v>
      </c>
      <c r="B10100" t="s">
        <v>3109</v>
      </c>
      <c r="C10100" t="s">
        <v>10</v>
      </c>
      <c r="D10100" t="s">
        <v>594</v>
      </c>
      <c r="E10100">
        <f>2/106</f>
        <v>1.8867924528301886E-2</v>
      </c>
      <c r="F10100">
        <v>36</v>
      </c>
      <c r="G10100">
        <f>LOG(382/(36+1))</f>
        <v>1.0138616388447137</v>
      </c>
      <c r="H10100">
        <f>0.0188679245283018*2.33450269596235</f>
        <v>4.4047220678534706E-2</v>
      </c>
      <c r="I10100">
        <v>4.4047220678534921E-2</v>
      </c>
    </row>
    <row r="10101" spans="1:9" x14ac:dyDescent="0.25">
      <c r="A10101">
        <v>407</v>
      </c>
      <c r="B10101" t="s">
        <v>3109</v>
      </c>
      <c r="C10101" t="s">
        <v>10</v>
      </c>
      <c r="D10101" t="s">
        <v>3113</v>
      </c>
      <c r="E10101">
        <f t="shared" ref="E10101:E10113" si="476">1/106</f>
        <v>9.433962264150943E-3</v>
      </c>
      <c r="F10101">
        <v>1</v>
      </c>
      <c r="G10101">
        <f>LOG(382/(1+1))</f>
        <v>2.2810333672477277</v>
      </c>
      <c r="H10101">
        <f>0.00943396226415094*5.25227342804663</f>
        <v>4.9549749321194603E-2</v>
      </c>
      <c r="I10101">
        <v>4.9549749321194617E-2</v>
      </c>
    </row>
    <row r="10102" spans="1:9" x14ac:dyDescent="0.25">
      <c r="A10102">
        <v>407</v>
      </c>
      <c r="B10102" t="s">
        <v>3109</v>
      </c>
      <c r="C10102" t="s">
        <v>10</v>
      </c>
      <c r="D10102" t="s">
        <v>3114</v>
      </c>
      <c r="E10102">
        <f t="shared" si="476"/>
        <v>9.433962264150943E-3</v>
      </c>
      <c r="F10102">
        <v>1</v>
      </c>
      <c r="G10102">
        <f>LOG(382/(1+1))</f>
        <v>2.2810333672477277</v>
      </c>
      <c r="H10102">
        <f>0.00943396226415094*5.25227342804663</f>
        <v>4.9549749321194603E-2</v>
      </c>
      <c r="I10102">
        <v>4.9549749321194617E-2</v>
      </c>
    </row>
    <row r="10103" spans="1:9" x14ac:dyDescent="0.25">
      <c r="A10103">
        <v>407</v>
      </c>
      <c r="B10103" t="s">
        <v>3109</v>
      </c>
      <c r="C10103" t="s">
        <v>10</v>
      </c>
      <c r="D10103" t="s">
        <v>3115</v>
      </c>
      <c r="E10103">
        <f t="shared" si="476"/>
        <v>9.433962264150943E-3</v>
      </c>
      <c r="F10103">
        <v>1</v>
      </c>
      <c r="G10103">
        <f>LOG(382/(1+1))</f>
        <v>2.2810333672477277</v>
      </c>
      <c r="H10103">
        <f>0.00943396226415094*5.25227342804663</f>
        <v>4.9549749321194603E-2</v>
      </c>
      <c r="I10103">
        <v>4.9549749321194617E-2</v>
      </c>
    </row>
    <row r="10104" spans="1:9" x14ac:dyDescent="0.25">
      <c r="A10104">
        <v>407</v>
      </c>
      <c r="B10104" t="s">
        <v>3109</v>
      </c>
      <c r="C10104" t="s">
        <v>10</v>
      </c>
      <c r="D10104" t="s">
        <v>929</v>
      </c>
      <c r="E10104">
        <f t="shared" si="476"/>
        <v>9.433962264150943E-3</v>
      </c>
      <c r="F10104">
        <v>32</v>
      </c>
      <c r="G10104">
        <f>LOG(382/(32+1))</f>
        <v>1.0635494230338212</v>
      </c>
      <c r="H10104">
        <f>0.00943396226415094*2.44891304714009</f>
        <v>2.3102953274906503E-2</v>
      </c>
      <c r="I10104">
        <v>2.3102953274906551E-2</v>
      </c>
    </row>
    <row r="10105" spans="1:9" x14ac:dyDescent="0.25">
      <c r="A10105">
        <v>407</v>
      </c>
      <c r="B10105" t="s">
        <v>3109</v>
      </c>
      <c r="C10105" t="s">
        <v>10</v>
      </c>
      <c r="D10105" t="s">
        <v>105</v>
      </c>
      <c r="E10105">
        <f t="shared" si="476"/>
        <v>9.433962264150943E-3</v>
      </c>
      <c r="F10105">
        <v>122</v>
      </c>
      <c r="G10105">
        <f>LOG(382/(122+1))</f>
        <v>0.49215825147231079</v>
      </c>
      <c r="H10105">
        <f>0.00943396226415094*1.13323625323415</f>
        <v>1.0690908049378769E-2</v>
      </c>
      <c r="I10105">
        <v>1.069090804937884E-2</v>
      </c>
    </row>
    <row r="10106" spans="1:9" x14ac:dyDescent="0.25">
      <c r="A10106">
        <v>407</v>
      </c>
      <c r="B10106" t="s">
        <v>3109</v>
      </c>
      <c r="C10106" t="s">
        <v>10</v>
      </c>
      <c r="D10106" t="s">
        <v>38</v>
      </c>
      <c r="E10106">
        <f t="shared" si="476"/>
        <v>9.433962264150943E-3</v>
      </c>
      <c r="F10106">
        <v>86</v>
      </c>
      <c r="G10106">
        <f>LOG(382/(86+1))</f>
        <v>0.64254411029309022</v>
      </c>
      <c r="H10106">
        <f>0.00943396226415094*1.47951248995199</f>
        <v>1.395766499954707E-2</v>
      </c>
      <c r="I10106">
        <v>1.3957664999547091E-2</v>
      </c>
    </row>
    <row r="10107" spans="1:9" x14ac:dyDescent="0.25">
      <c r="A10107">
        <v>407</v>
      </c>
      <c r="B10107" t="s">
        <v>3109</v>
      </c>
      <c r="C10107" t="s">
        <v>10</v>
      </c>
      <c r="D10107" t="s">
        <v>133</v>
      </c>
      <c r="E10107">
        <f t="shared" si="476"/>
        <v>9.433962264150943E-3</v>
      </c>
      <c r="F10107">
        <v>142</v>
      </c>
      <c r="G10107">
        <f>LOG(382/(142+1))</f>
        <v>0.42672732544664693</v>
      </c>
      <c r="H10107">
        <f>0.00943396226415094*0.982575978346667</f>
        <v>9.2695847013836465E-3</v>
      </c>
      <c r="I10107">
        <v>9.2695847013836586E-3</v>
      </c>
    </row>
    <row r="10108" spans="1:9" x14ac:dyDescent="0.25">
      <c r="A10108">
        <v>407</v>
      </c>
      <c r="B10108" t="s">
        <v>3109</v>
      </c>
      <c r="C10108" t="s">
        <v>10</v>
      </c>
      <c r="D10108" t="s">
        <v>1012</v>
      </c>
      <c r="E10108">
        <f t="shared" si="476"/>
        <v>9.433962264150943E-3</v>
      </c>
      <c r="F10108">
        <v>17</v>
      </c>
      <c r="G10108">
        <f>LOG(382/(17+1))</f>
        <v>1.3267908578084027</v>
      </c>
      <c r="H10108">
        <f>0.00943396226415094*3.05504885071041</f>
        <v>2.8821215572739704E-2</v>
      </c>
      <c r="I10108">
        <v>2.8821215572739721E-2</v>
      </c>
    </row>
    <row r="10109" spans="1:9" x14ac:dyDescent="0.25">
      <c r="A10109">
        <v>407</v>
      </c>
      <c r="B10109" t="s">
        <v>3109</v>
      </c>
      <c r="C10109" t="s">
        <v>10</v>
      </c>
      <c r="D10109" t="s">
        <v>134</v>
      </c>
      <c r="E10109">
        <f t="shared" si="476"/>
        <v>9.433962264150943E-3</v>
      </c>
      <c r="F10109">
        <v>21</v>
      </c>
      <c r="G10109">
        <f>LOG(382/(21+1))</f>
        <v>1.2396406820895025</v>
      </c>
      <c r="H10109">
        <f>0.00943396226415094*2.85437815524825</f>
        <v>2.6928095804228763E-2</v>
      </c>
      <c r="I10109">
        <v>2.692809580422886E-2</v>
      </c>
    </row>
    <row r="10110" spans="1:9" x14ac:dyDescent="0.25">
      <c r="A10110">
        <v>407</v>
      </c>
      <c r="B10110" t="s">
        <v>3109</v>
      </c>
      <c r="C10110" t="s">
        <v>10</v>
      </c>
      <c r="D10110" t="s">
        <v>136</v>
      </c>
      <c r="E10110">
        <f t="shared" si="476"/>
        <v>9.433962264150943E-3</v>
      </c>
      <c r="F10110">
        <v>17</v>
      </c>
      <c r="G10110">
        <f>LOG(382/(17+1))</f>
        <v>1.3267908578084027</v>
      </c>
      <c r="H10110">
        <f>0.00943396226415094*3.05504885071041</f>
        <v>2.8821215572739704E-2</v>
      </c>
      <c r="I10110">
        <v>2.8821215572739721E-2</v>
      </c>
    </row>
    <row r="10111" spans="1:9" x14ac:dyDescent="0.25">
      <c r="A10111">
        <v>407</v>
      </c>
      <c r="B10111" t="s">
        <v>3109</v>
      </c>
      <c r="C10111" t="s">
        <v>10</v>
      </c>
      <c r="D10111" t="s">
        <v>77</v>
      </c>
      <c r="E10111">
        <f t="shared" si="476"/>
        <v>9.433962264150943E-3</v>
      </c>
      <c r="F10111">
        <v>148</v>
      </c>
      <c r="G10111">
        <f>LOG(382/(148+1))</f>
        <v>0.40887709449943471</v>
      </c>
      <c r="H10111">
        <f>0.00943396226415094*0.941474302661116</f>
        <v>8.8818330439727894E-3</v>
      </c>
      <c r="I10111">
        <v>8.8818330439727929E-3</v>
      </c>
    </row>
    <row r="10112" spans="1:9" x14ac:dyDescent="0.25">
      <c r="A10112">
        <v>407</v>
      </c>
      <c r="B10112" t="s">
        <v>3109</v>
      </c>
      <c r="C10112" t="s">
        <v>10</v>
      </c>
      <c r="D10112" t="s">
        <v>938</v>
      </c>
      <c r="E10112">
        <f t="shared" si="476"/>
        <v>9.433962264150943E-3</v>
      </c>
      <c r="F10112">
        <v>6</v>
      </c>
      <c r="G10112">
        <f>LOG(382/(6+1))</f>
        <v>1.736965322897452</v>
      </c>
      <c r="H10112">
        <f>0.00943396226415094*3.99951045955126</f>
        <v>3.7731230750483569E-2</v>
      </c>
      <c r="I10112">
        <v>3.7731230750483603E-2</v>
      </c>
    </row>
    <row r="10113" spans="1:9" x14ac:dyDescent="0.25">
      <c r="A10113">
        <v>407</v>
      </c>
      <c r="B10113" t="s">
        <v>3109</v>
      </c>
      <c r="C10113" t="s">
        <v>10</v>
      </c>
      <c r="D10113" t="s">
        <v>474</v>
      </c>
      <c r="E10113">
        <f t="shared" si="476"/>
        <v>9.433962264150943E-3</v>
      </c>
      <c r="F10113">
        <v>25</v>
      </c>
      <c r="G10113">
        <f>LOG(382/(25+1))</f>
        <v>1.1670900149408907</v>
      </c>
      <c r="H10113">
        <f>0.00943396226415094*2.68732407058509</f>
        <v>2.5352113873444236E-2</v>
      </c>
      <c r="I10113">
        <v>2.5352113873444271E-2</v>
      </c>
    </row>
    <row r="10114" spans="1:9" x14ac:dyDescent="0.25">
      <c r="A10114">
        <v>407</v>
      </c>
      <c r="B10114" t="s">
        <v>3109</v>
      </c>
      <c r="C10114" t="s">
        <v>10</v>
      </c>
      <c r="D10114" t="s">
        <v>119</v>
      </c>
      <c r="E10114">
        <f>2/106</f>
        <v>1.8867924528301886E-2</v>
      </c>
      <c r="F10114">
        <v>79</v>
      </c>
      <c r="G10114">
        <f>LOG(382/(79+1))</f>
        <v>0.67897337591976514</v>
      </c>
      <c r="H10114">
        <f>0.0188679245283018*1.56339397393269</f>
        <v>2.9497999508163827E-2</v>
      </c>
      <c r="I10114">
        <v>2.9497999508164029E-2</v>
      </c>
    </row>
    <row r="10115" spans="1:9" x14ac:dyDescent="0.25">
      <c r="A10115">
        <v>407</v>
      </c>
      <c r="B10115" t="s">
        <v>3109</v>
      </c>
      <c r="C10115" t="s">
        <v>10</v>
      </c>
      <c r="D10115" t="s">
        <v>236</v>
      </c>
      <c r="E10115">
        <f>2/106</f>
        <v>1.8867924528301886E-2</v>
      </c>
      <c r="F10115">
        <v>87</v>
      </c>
      <c r="G10115">
        <f>LOG(382/(87+1))</f>
        <v>0.63758069076154011</v>
      </c>
      <c r="H10115">
        <f>0.0188679245283018*1.46808379412836</f>
        <v>2.7699694228836853E-2</v>
      </c>
      <c r="I10115">
        <v>2.7699694228837141E-2</v>
      </c>
    </row>
    <row r="10116" spans="1:9" x14ac:dyDescent="0.25">
      <c r="A10116">
        <v>407</v>
      </c>
      <c r="B10116" t="s">
        <v>3109</v>
      </c>
      <c r="C10116" t="s">
        <v>10</v>
      </c>
      <c r="D10116" t="s">
        <v>144</v>
      </c>
      <c r="E10116">
        <f>2/106</f>
        <v>1.8867924528301886E-2</v>
      </c>
      <c r="F10116">
        <v>105</v>
      </c>
      <c r="G10116">
        <f>LOG(382/(105+1))</f>
        <v>0.55675749764693849</v>
      </c>
      <c r="H10116">
        <f>0.0188679245283018*1.2819815144945</f>
        <v>2.4188330462160262E-2</v>
      </c>
      <c r="I10116">
        <v>2.418833046216053E-2</v>
      </c>
    </row>
    <row r="10117" spans="1:9" x14ac:dyDescent="0.25">
      <c r="A10117">
        <v>407</v>
      </c>
      <c r="B10117" t="s">
        <v>3109</v>
      </c>
      <c r="C10117" t="s">
        <v>10</v>
      </c>
      <c r="D10117" t="s">
        <v>1472</v>
      </c>
      <c r="E10117">
        <f>1/106</f>
        <v>9.433962264150943E-3</v>
      </c>
      <c r="F10117">
        <v>7</v>
      </c>
      <c r="G10117">
        <f>LOG(382/(7+1))</f>
        <v>1.6789733759197651</v>
      </c>
      <c r="H10117">
        <f>0.00943396226415094*3.86597906692673</f>
        <v>3.6471500631384234E-2</v>
      </c>
      <c r="I10117">
        <v>3.6471500631384331E-2</v>
      </c>
    </row>
    <row r="10118" spans="1:9" x14ac:dyDescent="0.25">
      <c r="A10118">
        <v>407</v>
      </c>
      <c r="B10118" t="s">
        <v>3109</v>
      </c>
      <c r="C10118" t="s">
        <v>10</v>
      </c>
      <c r="D10118" t="s">
        <v>1405</v>
      </c>
      <c r="E10118">
        <f>2/106</f>
        <v>1.8867924528301886E-2</v>
      </c>
      <c r="F10118">
        <v>14</v>
      </c>
      <c r="G10118">
        <f>LOG(382/(14+1))</f>
        <v>1.4059721038560276</v>
      </c>
      <c r="H10118">
        <f>0.0188679245283018*3.23737040750436</f>
        <v>6.1082460518949902E-2</v>
      </c>
      <c r="I10118">
        <v>6.1082460518950277E-2</v>
      </c>
    </row>
    <row r="10119" spans="1:9" x14ac:dyDescent="0.25">
      <c r="A10119">
        <v>407</v>
      </c>
      <c r="B10119" t="s">
        <v>3109</v>
      </c>
      <c r="C10119" t="s">
        <v>10</v>
      </c>
      <c r="D10119" t="s">
        <v>2230</v>
      </c>
      <c r="E10119">
        <f>2/106</f>
        <v>1.8867924528301886E-2</v>
      </c>
      <c r="F10119">
        <v>7</v>
      </c>
      <c r="G10119">
        <f>LOG(382/(7+1))</f>
        <v>1.6789733759197651</v>
      </c>
      <c r="H10119">
        <f>0.0188679245283018*3.86597906692673</f>
        <v>7.2943001262768162E-2</v>
      </c>
      <c r="I10119">
        <v>7.2943001262768661E-2</v>
      </c>
    </row>
    <row r="10120" spans="1:9" x14ac:dyDescent="0.25">
      <c r="A10120">
        <v>407</v>
      </c>
      <c r="B10120" t="s">
        <v>3109</v>
      </c>
      <c r="C10120" t="s">
        <v>10</v>
      </c>
      <c r="D10120" t="s">
        <v>1480</v>
      </c>
      <c r="E10120">
        <f>2/106</f>
        <v>1.8867924528301886E-2</v>
      </c>
      <c r="F10120">
        <v>11</v>
      </c>
      <c r="G10120">
        <f>LOG(382/(11+1))</f>
        <v>1.5028821168640838</v>
      </c>
      <c r="H10120">
        <f>0.0188679245283018*3.46051395881857</f>
        <v>6.5292716204123663E-2</v>
      </c>
      <c r="I10120">
        <v>6.5292716204124052E-2</v>
      </c>
    </row>
    <row r="10121" spans="1:9" x14ac:dyDescent="0.25">
      <c r="A10121">
        <v>407</v>
      </c>
      <c r="B10121" t="s">
        <v>3109</v>
      </c>
      <c r="C10121" t="s">
        <v>10</v>
      </c>
      <c r="D10121" t="s">
        <v>1407</v>
      </c>
      <c r="E10121">
        <f>3/106</f>
        <v>2.8301886792452831E-2</v>
      </c>
      <c r="F10121">
        <v>16</v>
      </c>
      <c r="G10121">
        <f>LOG(382/(16+1))</f>
        <v>1.3516144415334348</v>
      </c>
      <c r="H10121">
        <f>0.0283018867924528*3.11220726455035</f>
        <v>8.8081337675953206E-2</v>
      </c>
      <c r="I10121">
        <v>8.8081337675953567E-2</v>
      </c>
    </row>
    <row r="10122" spans="1:9" x14ac:dyDescent="0.25">
      <c r="A10122">
        <v>407</v>
      </c>
      <c r="B10122" t="s">
        <v>3109</v>
      </c>
      <c r="C10122" t="s">
        <v>10</v>
      </c>
      <c r="D10122" t="s">
        <v>596</v>
      </c>
      <c r="E10122">
        <f>1/106</f>
        <v>9.433962264150943E-3</v>
      </c>
      <c r="F10122">
        <v>60</v>
      </c>
      <c r="G10122">
        <f>LOG(382/(60+1))</f>
        <v>0.79673352790094176</v>
      </c>
      <c r="H10122">
        <f>0.00943396226415094*1.83454674443326</f>
        <v>1.7307044758804332E-2</v>
      </c>
      <c r="I10122">
        <v>1.7307044758804381E-2</v>
      </c>
    </row>
    <row r="10123" spans="1:9" x14ac:dyDescent="0.25">
      <c r="A10123">
        <v>407</v>
      </c>
      <c r="B10123" t="s">
        <v>3109</v>
      </c>
      <c r="C10123" t="s">
        <v>10</v>
      </c>
      <c r="D10123" t="s">
        <v>920</v>
      </c>
      <c r="E10123">
        <f>1/106</f>
        <v>9.433962264150943E-3</v>
      </c>
      <c r="F10123">
        <v>30</v>
      </c>
      <c r="G10123">
        <f>LOG(382/(30+1))</f>
        <v>1.090701669077436</v>
      </c>
      <c r="H10123">
        <f>0.00943396226415094*2.51143340412142</f>
        <v>2.3692767963409616E-2</v>
      </c>
      <c r="I10123">
        <v>2.369276796340971E-2</v>
      </c>
    </row>
    <row r="10124" spans="1:9" x14ac:dyDescent="0.25">
      <c r="A10124">
        <v>407</v>
      </c>
      <c r="B10124" t="s">
        <v>3109</v>
      </c>
      <c r="C10124" t="s">
        <v>10</v>
      </c>
      <c r="D10124" t="s">
        <v>432</v>
      </c>
      <c r="E10124">
        <f>2/106</f>
        <v>1.8867924528301886E-2</v>
      </c>
      <c r="F10124">
        <v>67</v>
      </c>
      <c r="G10124">
        <f>LOG(382/(67+1))</f>
        <v>0.7495544502054724</v>
      </c>
      <c r="H10124">
        <f>0.0188679245283018*1.72591290343046</f>
        <v>3.2564394404348156E-2</v>
      </c>
      <c r="I10124">
        <v>3.2564394404348461E-2</v>
      </c>
    </row>
    <row r="10125" spans="1:9" x14ac:dyDescent="0.25">
      <c r="A10125">
        <v>407</v>
      </c>
      <c r="B10125" t="s">
        <v>3109</v>
      </c>
      <c r="C10125" t="s">
        <v>10</v>
      </c>
      <c r="D10125" t="s">
        <v>19</v>
      </c>
      <c r="E10125">
        <f>1/106</f>
        <v>9.433962264150943E-3</v>
      </c>
      <c r="F10125">
        <v>220</v>
      </c>
      <c r="G10125">
        <f>LOG(382/(220+1))</f>
        <v>0.23767108922659805</v>
      </c>
      <c r="H10125">
        <f>0.00943396226415094*0.547257907088822</f>
        <v>5.162810444234168E-3</v>
      </c>
      <c r="I10125">
        <v>5.1628104442341732E-3</v>
      </c>
    </row>
    <row r="10126" spans="1:9" x14ac:dyDescent="0.25">
      <c r="A10126">
        <v>407</v>
      </c>
      <c r="B10126" t="s">
        <v>3109</v>
      </c>
      <c r="C10126" t="s">
        <v>10</v>
      </c>
      <c r="D10126" t="s">
        <v>44</v>
      </c>
      <c r="E10126">
        <f>2/106</f>
        <v>1.8867924528301886E-2</v>
      </c>
      <c r="F10126">
        <v>151</v>
      </c>
      <c r="G10126">
        <f>LOG(382/(151+1))</f>
        <v>0.40021977496693617</v>
      </c>
      <c r="H10126">
        <f>0.0188679245283018*0.921540087760298</f>
        <v>1.738754882566592E-2</v>
      </c>
      <c r="I10126">
        <v>1.738754882566601E-2</v>
      </c>
    </row>
    <row r="10127" spans="1:9" x14ac:dyDescent="0.25">
      <c r="A10127">
        <v>407</v>
      </c>
      <c r="B10127" t="s">
        <v>3109</v>
      </c>
      <c r="C10127" t="s">
        <v>10</v>
      </c>
      <c r="D10127" t="s">
        <v>445</v>
      </c>
      <c r="E10127">
        <f>3/106</f>
        <v>2.8301886792452831E-2</v>
      </c>
      <c r="F10127">
        <v>35</v>
      </c>
      <c r="G10127">
        <f>LOG(382/(35+1))</f>
        <v>1.0257608621444214</v>
      </c>
      <c r="H10127">
        <f>0.0283018867924528*2.36190167015046</f>
        <v>6.6846273683503515E-2</v>
      </c>
      <c r="I10127">
        <v>6.6846273683503724E-2</v>
      </c>
    </row>
    <row r="10128" spans="1:9" x14ac:dyDescent="0.25">
      <c r="A10128">
        <v>407</v>
      </c>
      <c r="B10128" t="s">
        <v>3109</v>
      </c>
      <c r="C10128" t="s">
        <v>10</v>
      </c>
      <c r="D10128" t="s">
        <v>64</v>
      </c>
      <c r="E10128">
        <f>1/106</f>
        <v>9.433962264150943E-3</v>
      </c>
      <c r="F10128">
        <v>16</v>
      </c>
      <c r="G10128">
        <f>LOG(382/(16+1))</f>
        <v>1.3516144415334348</v>
      </c>
      <c r="H10128">
        <f>0.00943396226415094*3.11220726455035</f>
        <v>2.9360445891984419E-2</v>
      </c>
      <c r="I10128">
        <v>2.936044589198452E-2</v>
      </c>
    </row>
    <row r="10129" spans="1:9" x14ac:dyDescent="0.25">
      <c r="A10129">
        <v>407</v>
      </c>
      <c r="B10129" t="s">
        <v>3109</v>
      </c>
      <c r="C10129" t="s">
        <v>10</v>
      </c>
      <c r="D10129" t="s">
        <v>333</v>
      </c>
      <c r="E10129">
        <f>1/106</f>
        <v>9.433962264150943E-3</v>
      </c>
      <c r="F10129">
        <v>9</v>
      </c>
      <c r="G10129">
        <f>LOG(382/(9+1))</f>
        <v>1.5820633629117087</v>
      </c>
      <c r="H10129">
        <f>0.00943396226415094*3.64283551561252</f>
        <v>3.4366372788797346E-2</v>
      </c>
      <c r="I10129">
        <v>3.4366372788797443E-2</v>
      </c>
    </row>
    <row r="10130" spans="1:9" x14ac:dyDescent="0.25">
      <c r="A10130">
        <v>407</v>
      </c>
      <c r="B10130" t="s">
        <v>3109</v>
      </c>
      <c r="C10130" t="s">
        <v>10</v>
      </c>
      <c r="D10130" t="s">
        <v>758</v>
      </c>
      <c r="E10130">
        <f>1/106</f>
        <v>9.433962264150943E-3</v>
      </c>
      <c r="F10130">
        <v>26</v>
      </c>
      <c r="G10130">
        <f>LOG(382/(26+1))</f>
        <v>1.1506995987527215</v>
      </c>
      <c r="H10130">
        <f>0.00943396226415094*2.64958374260224</f>
        <v>2.4996073043417347E-2</v>
      </c>
      <c r="I10130">
        <v>2.499607304341742E-2</v>
      </c>
    </row>
    <row r="10131" spans="1:9" x14ac:dyDescent="0.25">
      <c r="A10131">
        <v>407</v>
      </c>
      <c r="B10131" t="s">
        <v>3109</v>
      </c>
      <c r="C10131" t="s">
        <v>10</v>
      </c>
      <c r="D10131" t="s">
        <v>865</v>
      </c>
      <c r="E10131">
        <f>1/106</f>
        <v>9.433962264150943E-3</v>
      </c>
      <c r="F10131">
        <v>13</v>
      </c>
      <c r="G10131">
        <f>LOG(382/(13+1))</f>
        <v>1.4359353272334707</v>
      </c>
      <c r="H10131">
        <f>0.00943396226415094*3.30636327899131</f>
        <v>3.1192106405578384E-2</v>
      </c>
      <c r="I10131">
        <v>3.119210640557846E-2</v>
      </c>
    </row>
    <row r="10132" spans="1:9" x14ac:dyDescent="0.25">
      <c r="A10132">
        <v>407</v>
      </c>
      <c r="B10132" t="s">
        <v>3109</v>
      </c>
      <c r="C10132" t="s">
        <v>10</v>
      </c>
      <c r="D10132" t="s">
        <v>475</v>
      </c>
      <c r="E10132">
        <f>2/106</f>
        <v>1.8867924528301886E-2</v>
      </c>
      <c r="F10132">
        <v>16</v>
      </c>
      <c r="G10132">
        <f>LOG(382/(16+1))</f>
        <v>1.3516144415334348</v>
      </c>
      <c r="H10132">
        <f>0.0188679245283018*3.11220726455035</f>
        <v>5.8720891783968589E-2</v>
      </c>
      <c r="I10132">
        <v>5.872089178396904E-2</v>
      </c>
    </row>
    <row r="10133" spans="1:9" x14ac:dyDescent="0.25">
      <c r="A10133">
        <v>407</v>
      </c>
      <c r="B10133" t="s">
        <v>3109</v>
      </c>
      <c r="C10133" t="s">
        <v>10</v>
      </c>
      <c r="D10133" t="s">
        <v>157</v>
      </c>
      <c r="E10133">
        <f t="shared" ref="E10133:E10152" si="477">1/106</f>
        <v>9.433962264150943E-3</v>
      </c>
      <c r="F10133">
        <v>16</v>
      </c>
      <c r="G10133">
        <f>LOG(382/(16+1))</f>
        <v>1.3516144415334348</v>
      </c>
      <c r="H10133">
        <f>0.00943396226415094*3.11220726455035</f>
        <v>2.9360445891984419E-2</v>
      </c>
      <c r="I10133">
        <v>2.936044589198452E-2</v>
      </c>
    </row>
    <row r="10134" spans="1:9" x14ac:dyDescent="0.25">
      <c r="A10134">
        <v>407</v>
      </c>
      <c r="B10134" t="s">
        <v>3109</v>
      </c>
      <c r="C10134" t="s">
        <v>10</v>
      </c>
      <c r="D10134" t="s">
        <v>70</v>
      </c>
      <c r="E10134">
        <f t="shared" si="477"/>
        <v>9.433962264150943E-3</v>
      </c>
      <c r="F10134">
        <v>44</v>
      </c>
      <c r="G10134">
        <f>LOG(382/(44+1))</f>
        <v>0.92885084913636506</v>
      </c>
      <c r="H10134">
        <f>0.00943396226415094*2.13875811883625</f>
        <v>2.0176963385247632E-2</v>
      </c>
      <c r="I10134">
        <v>2.0176963385247691E-2</v>
      </c>
    </row>
    <row r="10135" spans="1:9" x14ac:dyDescent="0.25">
      <c r="A10135">
        <v>407</v>
      </c>
      <c r="B10135" t="s">
        <v>3109</v>
      </c>
      <c r="C10135" t="s">
        <v>10</v>
      </c>
      <c r="D10135" t="s">
        <v>237</v>
      </c>
      <c r="E10135">
        <f t="shared" si="477"/>
        <v>9.433962264150943E-3</v>
      </c>
      <c r="F10135">
        <v>138</v>
      </c>
      <c r="G10135">
        <f>LOG(382/(138+1))</f>
        <v>0.43904856265761361</v>
      </c>
      <c r="H10135">
        <f>0.00943396226415094*1.01094667547588</f>
        <v>9.5372327875082978E-3</v>
      </c>
      <c r="I10135">
        <v>9.5372327875083325E-3</v>
      </c>
    </row>
    <row r="10136" spans="1:9" x14ac:dyDescent="0.25">
      <c r="A10136">
        <v>407</v>
      </c>
      <c r="B10136" t="s">
        <v>3109</v>
      </c>
      <c r="C10136" t="s">
        <v>10</v>
      </c>
      <c r="D10136" t="s">
        <v>190</v>
      </c>
      <c r="E10136">
        <f t="shared" si="477"/>
        <v>9.433962264150943E-3</v>
      </c>
      <c r="F10136">
        <v>23</v>
      </c>
      <c r="G10136">
        <f>LOG(382/(23+1))</f>
        <v>1.2018521212001028</v>
      </c>
      <c r="H10136">
        <f>0.00943396226415094*2.76736677825862</f>
        <v>2.6107233757156782E-2</v>
      </c>
      <c r="I10136">
        <v>2.6107233757156879E-2</v>
      </c>
    </row>
    <row r="10137" spans="1:9" x14ac:dyDescent="0.25">
      <c r="A10137">
        <v>407</v>
      </c>
      <c r="B10137" t="s">
        <v>3109</v>
      </c>
      <c r="C10137" t="s">
        <v>10</v>
      </c>
      <c r="D10137" t="s">
        <v>196</v>
      </c>
      <c r="E10137">
        <f t="shared" si="477"/>
        <v>9.433962264150943E-3</v>
      </c>
      <c r="F10137">
        <v>33</v>
      </c>
      <c r="G10137">
        <f>LOG(382/(33+1))</f>
        <v>1.0505844458694535</v>
      </c>
      <c r="H10137">
        <f>0.00943396226415094*2.41906008399041</f>
        <v>2.2821321547079332E-2</v>
      </c>
      <c r="I10137">
        <v>2.282132154707937E-2</v>
      </c>
    </row>
    <row r="10138" spans="1:9" x14ac:dyDescent="0.25">
      <c r="A10138">
        <v>407</v>
      </c>
      <c r="B10138" t="s">
        <v>3109</v>
      </c>
      <c r="C10138" t="s">
        <v>10</v>
      </c>
      <c r="D10138" t="s">
        <v>1473</v>
      </c>
      <c r="E10138">
        <f t="shared" si="477"/>
        <v>9.433962264150943E-3</v>
      </c>
      <c r="F10138">
        <v>39</v>
      </c>
      <c r="G10138">
        <f>LOG(382/(39+1))</f>
        <v>0.9800033715837464</v>
      </c>
      <c r="H10138">
        <f>0.00943396226415094*2.25654115449263</f>
        <v>2.1288124098987067E-2</v>
      </c>
      <c r="I10138">
        <v>2.1288124098987161E-2</v>
      </c>
    </row>
    <row r="10139" spans="1:9" x14ac:dyDescent="0.25">
      <c r="A10139">
        <v>407</v>
      </c>
      <c r="B10139" t="s">
        <v>3109</v>
      </c>
      <c r="C10139" t="s">
        <v>10</v>
      </c>
      <c r="D10139" t="s">
        <v>361</v>
      </c>
      <c r="E10139">
        <f t="shared" si="477"/>
        <v>9.433962264150943E-3</v>
      </c>
      <c r="F10139">
        <v>118</v>
      </c>
      <c r="G10139">
        <f>LOG(382/(118+1))</f>
        <v>0.50651640151917798</v>
      </c>
      <c r="H10139">
        <f>0.00943396226415094*1.16629711549504</f>
        <v>1.1002802976368296E-2</v>
      </c>
      <c r="I10139">
        <v>1.100280297636836E-2</v>
      </c>
    </row>
    <row r="10140" spans="1:9" x14ac:dyDescent="0.25">
      <c r="A10140">
        <v>407</v>
      </c>
      <c r="B10140" t="s">
        <v>3109</v>
      </c>
      <c r="C10140" t="s">
        <v>10</v>
      </c>
      <c r="D10140" t="s">
        <v>306</v>
      </c>
      <c r="E10140">
        <f t="shared" si="477"/>
        <v>9.433962264150943E-3</v>
      </c>
      <c r="F10140">
        <v>5</v>
      </c>
      <c r="G10140">
        <f>LOG(382/(5+1))</f>
        <v>1.803912112528065</v>
      </c>
      <c r="H10140">
        <f>0.00943396226415094*4.15366113937852</f>
        <v>3.9185482446967151E-2</v>
      </c>
      <c r="I10140">
        <v>3.9185482446967172E-2</v>
      </c>
    </row>
    <row r="10141" spans="1:9" x14ac:dyDescent="0.25">
      <c r="A10141">
        <v>407</v>
      </c>
      <c r="B10141" t="s">
        <v>3109</v>
      </c>
      <c r="C10141" t="s">
        <v>10</v>
      </c>
      <c r="D10141" t="s">
        <v>600</v>
      </c>
      <c r="E10141">
        <f t="shared" si="477"/>
        <v>9.433962264150943E-3</v>
      </c>
      <c r="F10141">
        <v>102</v>
      </c>
      <c r="G10141">
        <f>LOG(382/(102+1))</f>
        <v>0.56922613820653656</v>
      </c>
      <c r="H10141">
        <f>0.00943396226415094*1.31069162037693</f>
        <v>1.2365015286574807E-2</v>
      </c>
      <c r="I10141">
        <v>1.2365015286574899E-2</v>
      </c>
    </row>
    <row r="10142" spans="1:9" x14ac:dyDescent="0.25">
      <c r="A10142">
        <v>407</v>
      </c>
      <c r="B10142" t="s">
        <v>3109</v>
      </c>
      <c r="C10142" t="s">
        <v>10</v>
      </c>
      <c r="D10142" t="s">
        <v>1433</v>
      </c>
      <c r="E10142">
        <f t="shared" si="477"/>
        <v>9.433962264150943E-3</v>
      </c>
      <c r="F10142">
        <v>21</v>
      </c>
      <c r="G10142">
        <f>LOG(382/(21+1))</f>
        <v>1.2396406820895025</v>
      </c>
      <c r="H10142">
        <f>0.00943396226415094*2.85437815524825</f>
        <v>2.6928095804228763E-2</v>
      </c>
      <c r="I10142">
        <v>2.692809580422886E-2</v>
      </c>
    </row>
    <row r="10143" spans="1:9" x14ac:dyDescent="0.25">
      <c r="A10143">
        <v>407</v>
      </c>
      <c r="B10143" t="s">
        <v>3109</v>
      </c>
      <c r="C10143" t="s">
        <v>10</v>
      </c>
      <c r="D10143" t="s">
        <v>1478</v>
      </c>
      <c r="E10143">
        <f t="shared" si="477"/>
        <v>9.433962264150943E-3</v>
      </c>
      <c r="F10143">
        <v>17</v>
      </c>
      <c r="G10143">
        <f>LOG(382/(17+1))</f>
        <v>1.3267908578084027</v>
      </c>
      <c r="H10143">
        <f>0.00943396226415094*3.05504885071041</f>
        <v>2.8821215572739704E-2</v>
      </c>
      <c r="I10143">
        <v>2.8821215572739721E-2</v>
      </c>
    </row>
    <row r="10144" spans="1:9" x14ac:dyDescent="0.25">
      <c r="A10144">
        <v>407</v>
      </c>
      <c r="B10144" t="s">
        <v>3109</v>
      </c>
      <c r="C10144" t="s">
        <v>10</v>
      </c>
      <c r="D10144" t="s">
        <v>3116</v>
      </c>
      <c r="E10144">
        <f t="shared" si="477"/>
        <v>9.433962264150943E-3</v>
      </c>
      <c r="F10144">
        <v>1</v>
      </c>
      <c r="G10144">
        <f>LOG(382/(1+1))</f>
        <v>2.2810333672477277</v>
      </c>
      <c r="H10144">
        <f>0.00943396226415094*5.25227342804663</f>
        <v>4.9549749321194603E-2</v>
      </c>
      <c r="I10144">
        <v>4.9549749321194617E-2</v>
      </c>
    </row>
    <row r="10145" spans="1:9" x14ac:dyDescent="0.25">
      <c r="A10145">
        <v>407</v>
      </c>
      <c r="B10145" t="s">
        <v>3109</v>
      </c>
      <c r="C10145" t="s">
        <v>10</v>
      </c>
      <c r="D10145" t="s">
        <v>1123</v>
      </c>
      <c r="E10145">
        <f t="shared" si="477"/>
        <v>9.433962264150943E-3</v>
      </c>
      <c r="F10145">
        <v>4</v>
      </c>
      <c r="G10145">
        <f>LOG(382/(4+1))</f>
        <v>1.8830933585756899</v>
      </c>
      <c r="H10145">
        <f>0.00943396226415094*4.33598269617247</f>
        <v>4.0905497133702534E-2</v>
      </c>
      <c r="I10145">
        <v>4.090549713370259E-2</v>
      </c>
    </row>
    <row r="10146" spans="1:9" x14ac:dyDescent="0.25">
      <c r="A10146">
        <v>407</v>
      </c>
      <c r="B10146" t="s">
        <v>3109</v>
      </c>
      <c r="C10146" t="s">
        <v>10</v>
      </c>
      <c r="D10146" t="s">
        <v>714</v>
      </c>
      <c r="E10146">
        <f t="shared" si="477"/>
        <v>9.433962264150943E-3</v>
      </c>
      <c r="F10146">
        <v>12</v>
      </c>
      <c r="G10146">
        <f>LOG(382/(12+1))</f>
        <v>1.468120010604872</v>
      </c>
      <c r="H10146">
        <f>0.00943396226415094*3.38047125114503</f>
        <v>3.1891238218349327E-2</v>
      </c>
      <c r="I10146">
        <v>3.1891238218349417E-2</v>
      </c>
    </row>
    <row r="10147" spans="1:9" x14ac:dyDescent="0.25">
      <c r="A10147">
        <v>407</v>
      </c>
      <c r="B10147" t="s">
        <v>3109</v>
      </c>
      <c r="C10147" t="s">
        <v>10</v>
      </c>
      <c r="D10147" t="s">
        <v>103</v>
      </c>
      <c r="E10147">
        <f t="shared" si="477"/>
        <v>9.433962264150943E-3</v>
      </c>
      <c r="F10147">
        <v>38</v>
      </c>
      <c r="G10147">
        <f>LOG(382/(38+1))</f>
        <v>0.99099875588520958</v>
      </c>
      <c r="H10147">
        <f>0.00943396226415094*2.28185896247692</f>
        <v>2.1526971344121879E-2</v>
      </c>
      <c r="I10147">
        <v>2.1526971344121969E-2</v>
      </c>
    </row>
    <row r="10148" spans="1:9" x14ac:dyDescent="0.25">
      <c r="A10148">
        <v>407</v>
      </c>
      <c r="B10148" t="s">
        <v>3109</v>
      </c>
      <c r="C10148" t="s">
        <v>10</v>
      </c>
      <c r="D10148" t="s">
        <v>1865</v>
      </c>
      <c r="E10148">
        <f t="shared" si="477"/>
        <v>9.433962264150943E-3</v>
      </c>
      <c r="F10148">
        <v>3</v>
      </c>
      <c r="G10148">
        <f>LOG(382/(3+1))</f>
        <v>1.9800033715837464</v>
      </c>
      <c r="H10148">
        <f>0.00943396226415094*4.55912624748668</f>
        <v>4.3010624976289415E-2</v>
      </c>
      <c r="I10148">
        <v>4.3010624976289477E-2</v>
      </c>
    </row>
    <row r="10149" spans="1:9" x14ac:dyDescent="0.25">
      <c r="A10149">
        <v>407</v>
      </c>
      <c r="B10149" t="s">
        <v>3109</v>
      </c>
      <c r="C10149" t="s">
        <v>10</v>
      </c>
      <c r="D10149" t="s">
        <v>1081</v>
      </c>
      <c r="E10149">
        <f t="shared" si="477"/>
        <v>9.433962264150943E-3</v>
      </c>
      <c r="F10149">
        <v>27</v>
      </c>
      <c r="G10149">
        <f>LOG(382/(27+1))</f>
        <v>1.1349053315694895</v>
      </c>
      <c r="H10149">
        <f>0.00943396226415094*2.61321609843137</f>
        <v>2.4652982060673293E-2</v>
      </c>
      <c r="I10149">
        <v>2.465298206067331E-2</v>
      </c>
    </row>
    <row r="10150" spans="1:9" x14ac:dyDescent="0.25">
      <c r="A10150">
        <v>407</v>
      </c>
      <c r="B10150" t="s">
        <v>3109</v>
      </c>
      <c r="C10150" t="s">
        <v>10</v>
      </c>
      <c r="D10150" t="s">
        <v>152</v>
      </c>
      <c r="E10150">
        <f t="shared" si="477"/>
        <v>9.433962264150943E-3</v>
      </c>
      <c r="F10150">
        <v>31</v>
      </c>
      <c r="G10150">
        <f>LOG(382/(31+1))</f>
        <v>1.0769133845918029</v>
      </c>
      <c r="H10150">
        <f>0.00943396226415094*2.47968470580684</f>
        <v>2.3393251941573951E-2</v>
      </c>
      <c r="I10150">
        <v>2.3393251941574041E-2</v>
      </c>
    </row>
    <row r="10151" spans="1:9" x14ac:dyDescent="0.25">
      <c r="A10151">
        <v>407</v>
      </c>
      <c r="B10151" t="s">
        <v>3109</v>
      </c>
      <c r="C10151" t="s">
        <v>10</v>
      </c>
      <c r="D10151" t="s">
        <v>1082</v>
      </c>
      <c r="E10151">
        <f t="shared" si="477"/>
        <v>9.433962264150943E-3</v>
      </c>
      <c r="F10151">
        <v>8</v>
      </c>
      <c r="G10151">
        <f>LOG(382/(8+1))</f>
        <v>1.6278208534723839</v>
      </c>
      <c r="H10151">
        <f>0.00943396226415094*3.74819603127035</f>
        <v>3.5360339917644798E-2</v>
      </c>
      <c r="I10151">
        <v>3.5360339917644867E-2</v>
      </c>
    </row>
    <row r="10152" spans="1:9" x14ac:dyDescent="0.25">
      <c r="A10152">
        <v>407</v>
      </c>
      <c r="B10152" t="s">
        <v>3109</v>
      </c>
      <c r="C10152" t="s">
        <v>10</v>
      </c>
      <c r="D10152" t="s">
        <v>239</v>
      </c>
      <c r="E10152">
        <f t="shared" si="477"/>
        <v>9.433962264150943E-3</v>
      </c>
      <c r="F10152">
        <v>40</v>
      </c>
      <c r="G10152">
        <f>LOG(382/(40+1))</f>
        <v>0.96927950619197323</v>
      </c>
      <c r="H10152">
        <f>0.00943396226415094*2.23184854190226</f>
        <v>2.1055174923606215E-2</v>
      </c>
      <c r="I10152">
        <v>2.1055174923606298E-2</v>
      </c>
    </row>
    <row r="10153" spans="1:9" x14ac:dyDescent="0.25">
      <c r="A10153">
        <v>407</v>
      </c>
      <c r="B10153" t="s">
        <v>3109</v>
      </c>
      <c r="C10153" t="s">
        <v>10</v>
      </c>
      <c r="D10153" t="s">
        <v>444</v>
      </c>
      <c r="E10153">
        <f>3/106</f>
        <v>2.8301886792452831E-2</v>
      </c>
      <c r="F10153">
        <v>28</v>
      </c>
      <c r="G10153">
        <f>LOG(382/(28+1))</f>
        <v>1.1196653650127526</v>
      </c>
      <c r="H10153">
        <f>0.0283018867924528*2.5781247786201</f>
        <v>7.2965795621323506E-2</v>
      </c>
      <c r="I10153">
        <v>7.2965795621323618E-2</v>
      </c>
    </row>
    <row r="10154" spans="1:9" x14ac:dyDescent="0.25">
      <c r="A10154">
        <v>407</v>
      </c>
      <c r="B10154" t="s">
        <v>3109</v>
      </c>
      <c r="C10154" t="s">
        <v>10</v>
      </c>
      <c r="D10154" t="s">
        <v>339</v>
      </c>
      <c r="E10154">
        <f>1/106</f>
        <v>9.433962264150943E-3</v>
      </c>
      <c r="F10154">
        <v>66</v>
      </c>
      <c r="G10154">
        <f>LOG(382/(66+1))</f>
        <v>0.75598856021088234</v>
      </c>
      <c r="H10154">
        <f>0.00943396226415094*1.7407279892156</f>
        <v>1.6421962162411315E-2</v>
      </c>
      <c r="I10154">
        <v>1.6421962162411409E-2</v>
      </c>
    </row>
    <row r="10155" spans="1:9" x14ac:dyDescent="0.25">
      <c r="A10155">
        <v>407</v>
      </c>
      <c r="B10155" t="s">
        <v>3109</v>
      </c>
      <c r="C10155" t="s">
        <v>10</v>
      </c>
      <c r="D10155" t="s">
        <v>447</v>
      </c>
      <c r="E10155">
        <f>1/106</f>
        <v>9.433962264150943E-3</v>
      </c>
      <c r="F10155">
        <v>37</v>
      </c>
      <c r="G10155">
        <f>LOG(382/(37+1))</f>
        <v>1.0022797662948986</v>
      </c>
      <c r="H10155">
        <f>0.00943396226415094*2.30783444888018</f>
        <v>2.1772023102643197E-2</v>
      </c>
      <c r="I10155">
        <v>2.1772023102643291E-2</v>
      </c>
    </row>
    <row r="10156" spans="1:9" x14ac:dyDescent="0.25">
      <c r="A10156">
        <v>407</v>
      </c>
      <c r="B10156" t="s">
        <v>3109</v>
      </c>
      <c r="C10156" t="s">
        <v>10</v>
      </c>
      <c r="D10156" t="s">
        <v>1222</v>
      </c>
      <c r="E10156">
        <f>1/106</f>
        <v>9.433962264150943E-3</v>
      </c>
      <c r="F10156">
        <v>56</v>
      </c>
      <c r="G10156">
        <f>LOG(382/(56+1))</f>
        <v>0.82618850723921733</v>
      </c>
      <c r="H10156">
        <f>0.00943396226415094*1.90236934077202</f>
        <v>1.7946880573320934E-2</v>
      </c>
      <c r="I10156">
        <v>1.794688057332099E-2</v>
      </c>
    </row>
    <row r="10157" spans="1:9" x14ac:dyDescent="0.25">
      <c r="A10157">
        <v>407</v>
      </c>
      <c r="B10157" t="s">
        <v>3109</v>
      </c>
      <c r="C10157" t="s">
        <v>10</v>
      </c>
      <c r="D10157" t="s">
        <v>3117</v>
      </c>
      <c r="E10157">
        <f>1/106</f>
        <v>9.433962264150943E-3</v>
      </c>
      <c r="F10157">
        <v>1</v>
      </c>
      <c r="G10157">
        <f>LOG(382/(1+1))</f>
        <v>2.2810333672477277</v>
      </c>
      <c r="H10157">
        <f>0.00943396226415094*5.25227342804663</f>
        <v>4.9549749321194603E-2</v>
      </c>
      <c r="I10157">
        <v>4.9549749321194617E-2</v>
      </c>
    </row>
    <row r="10158" spans="1:9" x14ac:dyDescent="0.25">
      <c r="A10158">
        <v>407</v>
      </c>
      <c r="B10158" t="s">
        <v>3109</v>
      </c>
      <c r="C10158" t="s">
        <v>10</v>
      </c>
      <c r="D10158" t="s">
        <v>1073</v>
      </c>
      <c r="E10158">
        <f>1/106</f>
        <v>9.433962264150943E-3</v>
      </c>
      <c r="F10158">
        <v>25</v>
      </c>
      <c r="G10158">
        <f>LOG(382/(25+1))</f>
        <v>1.1670900149408907</v>
      </c>
      <c r="H10158">
        <f>0.00943396226415094*2.68732407058509</f>
        <v>2.5352113873444236E-2</v>
      </c>
      <c r="I10158">
        <v>2.5352113873444271E-2</v>
      </c>
    </row>
    <row r="10159" spans="1:9" x14ac:dyDescent="0.25">
      <c r="A10159">
        <v>408</v>
      </c>
      <c r="B10159" t="s">
        <v>3118</v>
      </c>
      <c r="C10159" t="s">
        <v>10</v>
      </c>
      <c r="D10159" t="s">
        <v>1077</v>
      </c>
      <c r="E10159">
        <f>7/135</f>
        <v>5.185185185185185E-2</v>
      </c>
      <c r="F10159">
        <v>5</v>
      </c>
      <c r="G10159">
        <f>LOG(382/(5+1))</f>
        <v>1.803912112528065</v>
      </c>
      <c r="H10159">
        <f>0.0518518518518518*4.15366113937852</f>
        <v>0.21537502204184897</v>
      </c>
      <c r="I10159">
        <v>0.21537502204184919</v>
      </c>
    </row>
    <row r="10160" spans="1:9" x14ac:dyDescent="0.25">
      <c r="A10160">
        <v>408</v>
      </c>
      <c r="B10160" t="s">
        <v>3118</v>
      </c>
      <c r="C10160" t="s">
        <v>10</v>
      </c>
      <c r="D10160" t="s">
        <v>3119</v>
      </c>
      <c r="E10160">
        <f>3/135</f>
        <v>2.2222222222222223E-2</v>
      </c>
      <c r="F10160">
        <v>1</v>
      </c>
      <c r="G10160">
        <f>LOG(382/(1+1))</f>
        <v>2.2810333672477277</v>
      </c>
      <c r="H10160">
        <f>0.0222222222222222*5.25227342804663</f>
        <v>0.11671718728992499</v>
      </c>
      <c r="I10160">
        <v>0.1167171872899251</v>
      </c>
    </row>
    <row r="10161" spans="1:9" x14ac:dyDescent="0.25">
      <c r="A10161">
        <v>408</v>
      </c>
      <c r="B10161" t="s">
        <v>3118</v>
      </c>
      <c r="C10161" t="s">
        <v>10</v>
      </c>
      <c r="D10161" t="s">
        <v>247</v>
      </c>
      <c r="E10161">
        <f>1/135</f>
        <v>7.4074074074074077E-3</v>
      </c>
      <c r="F10161">
        <v>121</v>
      </c>
      <c r="G10161">
        <f>LOG(382/(121+1))</f>
        <v>0.49570353223696051</v>
      </c>
      <c r="H10161">
        <f>0.0074074074074074*1.14139956387331</f>
        <v>8.4548115842467322E-3</v>
      </c>
      <c r="I10161">
        <v>8.4548115842468068E-3</v>
      </c>
    </row>
    <row r="10162" spans="1:9" x14ac:dyDescent="0.25">
      <c r="A10162">
        <v>408</v>
      </c>
      <c r="B10162" t="s">
        <v>3118</v>
      </c>
      <c r="C10162" t="s">
        <v>10</v>
      </c>
      <c r="D10162" t="s">
        <v>39</v>
      </c>
      <c r="E10162">
        <f>1/135</f>
        <v>7.4074074074074077E-3</v>
      </c>
      <c r="F10162">
        <v>145</v>
      </c>
      <c r="G10162">
        <f>LOG(382/(145+1))</f>
        <v>0.41771050712727159</v>
      </c>
      <c r="H10162">
        <f>0.0074074074074074*0.961813986898238</f>
        <v>7.1245480510980525E-3</v>
      </c>
      <c r="I10162">
        <v>7.1245480510980647E-3</v>
      </c>
    </row>
    <row r="10163" spans="1:9" x14ac:dyDescent="0.25">
      <c r="A10163">
        <v>408</v>
      </c>
      <c r="B10163" t="s">
        <v>3118</v>
      </c>
      <c r="C10163" t="s">
        <v>10</v>
      </c>
      <c r="D10163" t="s">
        <v>42</v>
      </c>
      <c r="E10163">
        <f>2/135</f>
        <v>1.4814814814814815E-2</v>
      </c>
      <c r="F10163">
        <v>251</v>
      </c>
      <c r="G10163">
        <f>LOG(382/(251+1))</f>
        <v>0.18066282213016463</v>
      </c>
      <c r="H10163">
        <f>0.0148148148148148*0.415991521095151</f>
        <v>6.1628373495577864E-3</v>
      </c>
      <c r="I10163">
        <v>6.1628373495578046E-3</v>
      </c>
    </row>
    <row r="10164" spans="1:9" x14ac:dyDescent="0.25">
      <c r="A10164">
        <v>408</v>
      </c>
      <c r="B10164" t="s">
        <v>3118</v>
      </c>
      <c r="C10164" t="s">
        <v>10</v>
      </c>
      <c r="D10164" t="s">
        <v>3120</v>
      </c>
      <c r="E10164">
        <f>1/135</f>
        <v>7.4074074074074077E-3</v>
      </c>
      <c r="F10164">
        <v>1</v>
      </c>
      <c r="G10164">
        <f>LOG(382/(1+1))</f>
        <v>2.2810333672477277</v>
      </c>
      <c r="H10164">
        <f>0.0074074074074074*5.25227342804663</f>
        <v>3.890572909664166E-2</v>
      </c>
      <c r="I10164">
        <v>3.8905729096641702E-2</v>
      </c>
    </row>
    <row r="10165" spans="1:9" x14ac:dyDescent="0.25">
      <c r="A10165">
        <v>408</v>
      </c>
      <c r="B10165" t="s">
        <v>3118</v>
      </c>
      <c r="C10165" t="s">
        <v>10</v>
      </c>
      <c r="D10165" t="s">
        <v>19</v>
      </c>
      <c r="E10165">
        <f>2/135</f>
        <v>1.4814814814814815E-2</v>
      </c>
      <c r="F10165">
        <v>220</v>
      </c>
      <c r="G10165">
        <f>LOG(382/(220+1))</f>
        <v>0.23767108922659805</v>
      </c>
      <c r="H10165">
        <f>0.0148148148148148*0.547257907088822</f>
        <v>8.1075245494640225E-3</v>
      </c>
      <c r="I10165">
        <v>8.1075245494640364E-3</v>
      </c>
    </row>
    <row r="10166" spans="1:9" x14ac:dyDescent="0.25">
      <c r="A10166">
        <v>408</v>
      </c>
      <c r="B10166" t="s">
        <v>3118</v>
      </c>
      <c r="C10166" t="s">
        <v>10</v>
      </c>
      <c r="D10166" t="s">
        <v>3121</v>
      </c>
      <c r="E10166">
        <f>1/135</f>
        <v>7.4074074074074077E-3</v>
      </c>
      <c r="F10166">
        <v>1</v>
      </c>
      <c r="G10166">
        <f>LOG(382/(1+1))</f>
        <v>2.2810333672477277</v>
      </c>
      <c r="H10166">
        <f>0.0074074074074074*5.25227342804663</f>
        <v>3.890572909664166E-2</v>
      </c>
      <c r="I10166">
        <v>3.8905729096641702E-2</v>
      </c>
    </row>
    <row r="10167" spans="1:9" x14ac:dyDescent="0.25">
      <c r="A10167">
        <v>408</v>
      </c>
      <c r="B10167" t="s">
        <v>3118</v>
      </c>
      <c r="C10167" t="s">
        <v>10</v>
      </c>
      <c r="D10167" t="s">
        <v>23</v>
      </c>
      <c r="E10167">
        <f>1/135</f>
        <v>7.4074074074074077E-3</v>
      </c>
      <c r="F10167">
        <v>275</v>
      </c>
      <c r="G10167">
        <f>LOG(382/(275+1))</f>
        <v>0.14115428084649101</v>
      </c>
      <c r="H10167">
        <f>0.0074074074074074*0.325019742889425</f>
        <v>2.4075536510327752E-3</v>
      </c>
      <c r="I10167">
        <v>2.4075536510327791E-3</v>
      </c>
    </row>
    <row r="10168" spans="1:9" x14ac:dyDescent="0.25">
      <c r="A10168">
        <v>408</v>
      </c>
      <c r="B10168" t="s">
        <v>3118</v>
      </c>
      <c r="C10168" t="s">
        <v>10</v>
      </c>
      <c r="D10168" t="s">
        <v>204</v>
      </c>
      <c r="E10168">
        <f>3/135</f>
        <v>2.2222222222222223E-2</v>
      </c>
      <c r="F10168">
        <v>166</v>
      </c>
      <c r="G10168">
        <f>LOG(382/(166+1))</f>
        <v>0.35934689176412549</v>
      </c>
      <c r="H10168">
        <f>0.0222222222222222*0.82742679618982</f>
        <v>1.8387262137551534E-2</v>
      </c>
      <c r="I10168">
        <v>1.8387262137551558E-2</v>
      </c>
    </row>
    <row r="10169" spans="1:9" x14ac:dyDescent="0.25">
      <c r="A10169">
        <v>408</v>
      </c>
      <c r="B10169" t="s">
        <v>3118</v>
      </c>
      <c r="C10169" t="s">
        <v>10</v>
      </c>
      <c r="D10169" t="s">
        <v>76</v>
      </c>
      <c r="E10169">
        <f>3/135</f>
        <v>2.2222222222222223E-2</v>
      </c>
      <c r="F10169">
        <v>140</v>
      </c>
      <c r="G10169">
        <f>LOG(382/(140+1))</f>
        <v>0.43284425025632883</v>
      </c>
      <c r="H10169">
        <f>0.0222222222222222*0.996660718228407</f>
        <v>2.2148015960631241E-2</v>
      </c>
      <c r="I10169">
        <v>2.2148015960631269E-2</v>
      </c>
    </row>
    <row r="10170" spans="1:9" x14ac:dyDescent="0.25">
      <c r="A10170">
        <v>408</v>
      </c>
      <c r="B10170" t="s">
        <v>3118</v>
      </c>
      <c r="C10170" t="s">
        <v>10</v>
      </c>
      <c r="D10170" t="s">
        <v>77</v>
      </c>
      <c r="E10170">
        <f>2/135</f>
        <v>1.4814814814814815E-2</v>
      </c>
      <c r="F10170">
        <v>148</v>
      </c>
      <c r="G10170">
        <f>LOG(382/(148+1))</f>
        <v>0.40887709449943471</v>
      </c>
      <c r="H10170">
        <f>0.0148148148148148*0.941474302661116</f>
        <v>1.3947767446831334E-2</v>
      </c>
      <c r="I10170">
        <v>1.394776744683135E-2</v>
      </c>
    </row>
    <row r="10171" spans="1:9" x14ac:dyDescent="0.25">
      <c r="A10171">
        <v>408</v>
      </c>
      <c r="B10171" t="s">
        <v>3118</v>
      </c>
      <c r="C10171" t="s">
        <v>10</v>
      </c>
      <c r="D10171" t="s">
        <v>322</v>
      </c>
      <c r="E10171">
        <f>3/135</f>
        <v>2.2222222222222223E-2</v>
      </c>
      <c r="F10171">
        <v>128</v>
      </c>
      <c r="G10171">
        <f>LOG(382/(128+1))</f>
        <v>0.47147365261245977</v>
      </c>
      <c r="H10171">
        <f>0.0222222222222222*1.0856082042449</f>
        <v>2.4124626760997754E-2</v>
      </c>
      <c r="I10171">
        <v>2.4124626760997851E-2</v>
      </c>
    </row>
    <row r="10172" spans="1:9" x14ac:dyDescent="0.25">
      <c r="A10172">
        <v>408</v>
      </c>
      <c r="B10172" t="s">
        <v>3118</v>
      </c>
      <c r="C10172" t="s">
        <v>10</v>
      </c>
      <c r="D10172" t="s">
        <v>216</v>
      </c>
      <c r="E10172">
        <f>2/135</f>
        <v>1.4814814814814815E-2</v>
      </c>
      <c r="F10172">
        <v>63</v>
      </c>
      <c r="G10172">
        <f>LOG(382/(63+1))</f>
        <v>0.7758833889278216</v>
      </c>
      <c r="H10172">
        <f>0.0148148148148148*1.7865375252469</f>
        <v>2.6467222596250343E-2</v>
      </c>
      <c r="I10172">
        <v>2.6467222596250419E-2</v>
      </c>
    </row>
    <row r="10173" spans="1:9" x14ac:dyDescent="0.25">
      <c r="A10173">
        <v>408</v>
      </c>
      <c r="B10173" t="s">
        <v>3118</v>
      </c>
      <c r="C10173" t="s">
        <v>10</v>
      </c>
      <c r="D10173" t="s">
        <v>237</v>
      </c>
      <c r="E10173">
        <f>5/135</f>
        <v>3.7037037037037035E-2</v>
      </c>
      <c r="F10173">
        <v>138</v>
      </c>
      <c r="G10173">
        <f>LOG(382/(138+1))</f>
        <v>0.43904856265761361</v>
      </c>
      <c r="H10173">
        <f>0.037037037037037*1.01094667547588</f>
        <v>3.744246946206959E-2</v>
      </c>
      <c r="I10173">
        <v>3.744246946206975E-2</v>
      </c>
    </row>
    <row r="10174" spans="1:9" x14ac:dyDescent="0.25">
      <c r="A10174">
        <v>408</v>
      </c>
      <c r="B10174" t="s">
        <v>3118</v>
      </c>
      <c r="C10174" t="s">
        <v>10</v>
      </c>
      <c r="D10174" t="s">
        <v>3122</v>
      </c>
      <c r="E10174">
        <f>1/135</f>
        <v>7.4074074074074077E-3</v>
      </c>
      <c r="F10174">
        <v>1</v>
      </c>
      <c r="G10174">
        <f>LOG(382/(1+1))</f>
        <v>2.2810333672477277</v>
      </c>
      <c r="H10174">
        <f>0.0074074074074074*5.25227342804663</f>
        <v>3.890572909664166E-2</v>
      </c>
      <c r="I10174">
        <v>3.8905729096641702E-2</v>
      </c>
    </row>
    <row r="10175" spans="1:9" x14ac:dyDescent="0.25">
      <c r="A10175">
        <v>408</v>
      </c>
      <c r="B10175" t="s">
        <v>3118</v>
      </c>
      <c r="C10175" t="s">
        <v>10</v>
      </c>
      <c r="D10175" t="s">
        <v>1398</v>
      </c>
      <c r="E10175">
        <f>1/135</f>
        <v>7.4074074074074077E-3</v>
      </c>
      <c r="F10175">
        <v>29</v>
      </c>
      <c r="G10175">
        <f>LOG(382/(29+1))</f>
        <v>1.1049421081920463</v>
      </c>
      <c r="H10175">
        <f>0.0074074074074074*2.54422322694442</f>
        <v>1.8846097977366055E-2</v>
      </c>
      <c r="I10175">
        <v>1.8846097977366069E-2</v>
      </c>
    </row>
    <row r="10176" spans="1:9" x14ac:dyDescent="0.25">
      <c r="A10176">
        <v>408</v>
      </c>
      <c r="B10176" t="s">
        <v>3118</v>
      </c>
      <c r="C10176" t="s">
        <v>10</v>
      </c>
      <c r="D10176" t="s">
        <v>339</v>
      </c>
      <c r="E10176">
        <f>1/135</f>
        <v>7.4074074074074077E-3</v>
      </c>
      <c r="F10176">
        <v>66</v>
      </c>
      <c r="G10176">
        <f>LOG(382/(66+1))</f>
        <v>0.75598856021088234</v>
      </c>
      <c r="H10176">
        <f>0.0074074074074074*1.7407279892156</f>
        <v>1.2894281401597023E-2</v>
      </c>
      <c r="I10176">
        <v>1.289428140159711E-2</v>
      </c>
    </row>
    <row r="10177" spans="1:9" x14ac:dyDescent="0.25">
      <c r="A10177">
        <v>408</v>
      </c>
      <c r="B10177" t="s">
        <v>3118</v>
      </c>
      <c r="C10177" t="s">
        <v>10</v>
      </c>
      <c r="D10177" t="s">
        <v>600</v>
      </c>
      <c r="E10177">
        <f>2/135</f>
        <v>1.4814814814814815E-2</v>
      </c>
      <c r="F10177">
        <v>102</v>
      </c>
      <c r="G10177">
        <f>LOG(382/(102+1))</f>
        <v>0.56922613820653656</v>
      </c>
      <c r="H10177">
        <f>0.0148148148148148*1.31069162037693</f>
        <v>1.941765363521376E-2</v>
      </c>
      <c r="I10177">
        <v>1.941765363521392E-2</v>
      </c>
    </row>
    <row r="10178" spans="1:9" x14ac:dyDescent="0.25">
      <c r="A10178">
        <v>408</v>
      </c>
      <c r="B10178" t="s">
        <v>3118</v>
      </c>
      <c r="C10178" t="s">
        <v>10</v>
      </c>
      <c r="D10178" t="s">
        <v>1283</v>
      </c>
      <c r="E10178">
        <f>1/135</f>
        <v>7.4074074074074077E-3</v>
      </c>
      <c r="F10178">
        <v>8</v>
      </c>
      <c r="G10178">
        <f>LOG(382/(8+1))</f>
        <v>1.6278208534723839</v>
      </c>
      <c r="H10178">
        <f>0.0074074074074074*3.74819603127035</f>
        <v>2.776441504644701E-2</v>
      </c>
      <c r="I10178">
        <v>2.7764415046447079E-2</v>
      </c>
    </row>
    <row r="10179" spans="1:9" x14ac:dyDescent="0.25">
      <c r="A10179">
        <v>408</v>
      </c>
      <c r="B10179" t="s">
        <v>3118</v>
      </c>
      <c r="C10179" t="s">
        <v>10</v>
      </c>
      <c r="D10179" t="s">
        <v>307</v>
      </c>
      <c r="E10179">
        <f>1/135</f>
        <v>7.4074074074074077E-3</v>
      </c>
      <c r="F10179">
        <v>67</v>
      </c>
      <c r="G10179">
        <f>LOG(382/(67+1))</f>
        <v>0.7495544502054724</v>
      </c>
      <c r="H10179">
        <f>0.0074074074074074*1.72591290343046</f>
        <v>1.2784540025410802E-2</v>
      </c>
      <c r="I10179">
        <v>1.278454002541088E-2</v>
      </c>
    </row>
    <row r="10180" spans="1:9" x14ac:dyDescent="0.25">
      <c r="A10180">
        <v>408</v>
      </c>
      <c r="B10180" t="s">
        <v>3118</v>
      </c>
      <c r="C10180" t="s">
        <v>10</v>
      </c>
      <c r="D10180" t="s">
        <v>432</v>
      </c>
      <c r="E10180">
        <f>1/135</f>
        <v>7.4074074074074077E-3</v>
      </c>
      <c r="F10180">
        <v>67</v>
      </c>
      <c r="G10180">
        <f>LOG(382/(67+1))</f>
        <v>0.7495544502054724</v>
      </c>
      <c r="H10180">
        <f>0.0074074074074074*1.72591290343046</f>
        <v>1.2784540025410802E-2</v>
      </c>
      <c r="I10180">
        <v>1.278454002541088E-2</v>
      </c>
    </row>
    <row r="10181" spans="1:9" x14ac:dyDescent="0.25">
      <c r="A10181">
        <v>408</v>
      </c>
      <c r="B10181" t="s">
        <v>3118</v>
      </c>
      <c r="C10181" t="s">
        <v>10</v>
      </c>
      <c r="D10181" t="s">
        <v>1473</v>
      </c>
      <c r="E10181">
        <f>2/135</f>
        <v>1.4814814814814815E-2</v>
      </c>
      <c r="F10181">
        <v>39</v>
      </c>
      <c r="G10181">
        <f>LOG(382/(39+1))</f>
        <v>0.9800033715837464</v>
      </c>
      <c r="H10181">
        <f>0.0148148148148148*2.25654115449263</f>
        <v>3.3430239325816707E-2</v>
      </c>
      <c r="I10181">
        <v>3.3430239325816867E-2</v>
      </c>
    </row>
    <row r="10182" spans="1:9" x14ac:dyDescent="0.25">
      <c r="A10182">
        <v>408</v>
      </c>
      <c r="B10182" t="s">
        <v>3118</v>
      </c>
      <c r="C10182" t="s">
        <v>10</v>
      </c>
      <c r="D10182" t="s">
        <v>1848</v>
      </c>
      <c r="E10182">
        <f t="shared" ref="E10182:E10190" si="478">1/135</f>
        <v>7.4074074074074077E-3</v>
      </c>
      <c r="F10182">
        <v>4</v>
      </c>
      <c r="G10182">
        <f>LOG(382/(4+1))</f>
        <v>1.8830933585756899</v>
      </c>
      <c r="H10182">
        <f>0.0074074074074074*4.33598269617247</f>
        <v>3.2118390342018265E-2</v>
      </c>
      <c r="I10182">
        <v>3.2118390342018327E-2</v>
      </c>
    </row>
    <row r="10183" spans="1:9" x14ac:dyDescent="0.25">
      <c r="A10183">
        <v>408</v>
      </c>
      <c r="B10183" t="s">
        <v>3118</v>
      </c>
      <c r="C10183" t="s">
        <v>10</v>
      </c>
      <c r="D10183" t="s">
        <v>195</v>
      </c>
      <c r="E10183">
        <f t="shared" si="478"/>
        <v>7.4074074074074077E-3</v>
      </c>
      <c r="F10183">
        <v>55</v>
      </c>
      <c r="G10183">
        <f>LOG(382/(55+1))</f>
        <v>0.83387533590550833</v>
      </c>
      <c r="H10183">
        <f>0.0074074074074074*1.92006891787142</f>
        <v>1.4222732724973468E-2</v>
      </c>
      <c r="I10183">
        <v>1.4222732724973529E-2</v>
      </c>
    </row>
    <row r="10184" spans="1:9" x14ac:dyDescent="0.25">
      <c r="A10184">
        <v>408</v>
      </c>
      <c r="B10184" t="s">
        <v>3118</v>
      </c>
      <c r="C10184" t="s">
        <v>10</v>
      </c>
      <c r="D10184" t="s">
        <v>3123</v>
      </c>
      <c r="E10184">
        <f t="shared" si="478"/>
        <v>7.4074074074074077E-3</v>
      </c>
      <c r="F10184">
        <v>1</v>
      </c>
      <c r="G10184">
        <f>LOG(382/(1+1))</f>
        <v>2.2810333672477277</v>
      </c>
      <c r="H10184">
        <f>0.0074074074074074*5.25227342804663</f>
        <v>3.890572909664166E-2</v>
      </c>
      <c r="I10184">
        <v>3.8905729096641702E-2</v>
      </c>
    </row>
    <row r="10185" spans="1:9" x14ac:dyDescent="0.25">
      <c r="A10185">
        <v>408</v>
      </c>
      <c r="B10185" t="s">
        <v>3118</v>
      </c>
      <c r="C10185" t="s">
        <v>10</v>
      </c>
      <c r="D10185" t="s">
        <v>82</v>
      </c>
      <c r="E10185">
        <f t="shared" si="478"/>
        <v>7.4074074074074077E-3</v>
      </c>
      <c r="F10185">
        <v>92</v>
      </c>
      <c r="G10185">
        <f>LOG(382/(92+1))</f>
        <v>0.61358041435777355</v>
      </c>
      <c r="H10185">
        <f>0.0074074074074074*1.41282111545331</f>
        <v>1.0465341595950433E-2</v>
      </c>
      <c r="I10185">
        <v>1.0465341595950511E-2</v>
      </c>
    </row>
    <row r="10186" spans="1:9" x14ac:dyDescent="0.25">
      <c r="A10186">
        <v>408</v>
      </c>
      <c r="B10186" t="s">
        <v>3118</v>
      </c>
      <c r="C10186" t="s">
        <v>10</v>
      </c>
      <c r="D10186" t="s">
        <v>865</v>
      </c>
      <c r="E10186">
        <f t="shared" si="478"/>
        <v>7.4074074074074077E-3</v>
      </c>
      <c r="F10186">
        <v>13</v>
      </c>
      <c r="G10186">
        <f>LOG(382/(13+1))</f>
        <v>1.4359353272334707</v>
      </c>
      <c r="H10186">
        <f>0.0074074074074074*3.30636327899131</f>
        <v>2.4491579844380051E-2</v>
      </c>
      <c r="I10186">
        <v>2.4491579844380121E-2</v>
      </c>
    </row>
    <row r="10187" spans="1:9" x14ac:dyDescent="0.25">
      <c r="A10187">
        <v>408</v>
      </c>
      <c r="B10187" t="s">
        <v>3118</v>
      </c>
      <c r="C10187" t="s">
        <v>10</v>
      </c>
      <c r="D10187" t="s">
        <v>863</v>
      </c>
      <c r="E10187">
        <f t="shared" si="478"/>
        <v>7.4074074074074077E-3</v>
      </c>
      <c r="F10187">
        <v>14</v>
      </c>
      <c r="G10187">
        <f>LOG(382/(14+1))</f>
        <v>1.4059721038560276</v>
      </c>
      <c r="H10187">
        <f>0.0074074074074074*3.23737040750436</f>
        <v>2.3980521537069307E-2</v>
      </c>
      <c r="I10187">
        <v>2.3980521537069369E-2</v>
      </c>
    </row>
    <row r="10188" spans="1:9" x14ac:dyDescent="0.25">
      <c r="A10188">
        <v>408</v>
      </c>
      <c r="B10188" t="s">
        <v>3118</v>
      </c>
      <c r="C10188" t="s">
        <v>10</v>
      </c>
      <c r="D10188" t="s">
        <v>361</v>
      </c>
      <c r="E10188">
        <f t="shared" si="478"/>
        <v>7.4074074074074077E-3</v>
      </c>
      <c r="F10188">
        <v>118</v>
      </c>
      <c r="G10188">
        <f>LOG(382/(118+1))</f>
        <v>0.50651640151917798</v>
      </c>
      <c r="H10188">
        <f>0.0074074074074074*1.16629711549504</f>
        <v>8.6392378925558427E-3</v>
      </c>
      <c r="I10188">
        <v>8.6392378925558965E-3</v>
      </c>
    </row>
    <row r="10189" spans="1:9" x14ac:dyDescent="0.25">
      <c r="A10189">
        <v>408</v>
      </c>
      <c r="B10189" t="s">
        <v>3118</v>
      </c>
      <c r="C10189" t="s">
        <v>10</v>
      </c>
      <c r="D10189" t="s">
        <v>596</v>
      </c>
      <c r="E10189">
        <f t="shared" si="478"/>
        <v>7.4074074074074077E-3</v>
      </c>
      <c r="F10189">
        <v>60</v>
      </c>
      <c r="G10189">
        <f>LOG(382/(60+1))</f>
        <v>0.79673352790094176</v>
      </c>
      <c r="H10189">
        <f>0.0074074074074074*1.83454674443326</f>
        <v>1.358923514395006E-2</v>
      </c>
      <c r="I10189">
        <v>1.35892351439501E-2</v>
      </c>
    </row>
    <row r="10190" spans="1:9" x14ac:dyDescent="0.25">
      <c r="A10190">
        <v>408</v>
      </c>
      <c r="B10190" t="s">
        <v>3118</v>
      </c>
      <c r="C10190" t="s">
        <v>10</v>
      </c>
      <c r="D10190" t="s">
        <v>597</v>
      </c>
      <c r="E10190">
        <f t="shared" si="478"/>
        <v>7.4074074074074077E-3</v>
      </c>
      <c r="F10190">
        <v>51</v>
      </c>
      <c r="G10190">
        <f>LOG(382/(51+1))</f>
        <v>0.86606001927690957</v>
      </c>
      <c r="H10190">
        <f>0.0074074074074074*1.99417689002514</f>
        <v>1.4771680666852874E-2</v>
      </c>
      <c r="I10190">
        <v>1.477168066685295E-2</v>
      </c>
    </row>
    <row r="10191" spans="1:9" x14ac:dyDescent="0.25">
      <c r="A10191">
        <v>408</v>
      </c>
      <c r="B10191" t="s">
        <v>3118</v>
      </c>
      <c r="C10191" t="s">
        <v>10</v>
      </c>
      <c r="D10191" t="s">
        <v>123</v>
      </c>
      <c r="E10191">
        <f>2/135</f>
        <v>1.4814814814814815E-2</v>
      </c>
      <c r="F10191">
        <v>74</v>
      </c>
      <c r="G10191">
        <f>LOG(382/(74+1))</f>
        <v>0.7070020995200087</v>
      </c>
      <c r="H10191">
        <f>0.0148148148148148*1.62793249507026</f>
        <v>2.4117518445485309E-2</v>
      </c>
      <c r="I10191">
        <v>2.41175184454854E-2</v>
      </c>
    </row>
    <row r="10192" spans="1:9" x14ac:dyDescent="0.25">
      <c r="A10192">
        <v>408</v>
      </c>
      <c r="B10192" t="s">
        <v>3118</v>
      </c>
      <c r="C10192" t="s">
        <v>10</v>
      </c>
      <c r="D10192" t="s">
        <v>133</v>
      </c>
      <c r="E10192">
        <f>6/135</f>
        <v>4.4444444444444446E-2</v>
      </c>
      <c r="F10192">
        <v>142</v>
      </c>
      <c r="G10192">
        <f>LOG(382/(142+1))</f>
        <v>0.42672732544664693</v>
      </c>
      <c r="H10192">
        <f>0.0444444444444444*0.982575978346667</f>
        <v>4.3670043482074039E-2</v>
      </c>
      <c r="I10192">
        <v>4.3670043482074129E-2</v>
      </c>
    </row>
    <row r="10193" spans="1:9" x14ac:dyDescent="0.25">
      <c r="A10193">
        <v>408</v>
      </c>
      <c r="B10193" t="s">
        <v>3118</v>
      </c>
      <c r="C10193" t="s">
        <v>10</v>
      </c>
      <c r="D10193" t="s">
        <v>3044</v>
      </c>
      <c r="E10193">
        <f>2/135</f>
        <v>1.4814814814814815E-2</v>
      </c>
      <c r="F10193">
        <v>2</v>
      </c>
      <c r="G10193">
        <f>LOG(382/(2+1))</f>
        <v>2.1049421081920463</v>
      </c>
      <c r="H10193">
        <f>0.0148148148148148*4.84680831993846</f>
        <v>7.1804567702791922E-2</v>
      </c>
      <c r="I10193">
        <v>7.1804567702792074E-2</v>
      </c>
    </row>
    <row r="10194" spans="1:9" x14ac:dyDescent="0.25">
      <c r="A10194">
        <v>408</v>
      </c>
      <c r="B10194" t="s">
        <v>3118</v>
      </c>
      <c r="C10194" t="s">
        <v>10</v>
      </c>
      <c r="D10194" t="s">
        <v>3124</v>
      </c>
      <c r="E10194">
        <f>2/135</f>
        <v>1.4814814814814815E-2</v>
      </c>
      <c r="F10194">
        <v>1</v>
      </c>
      <c r="G10194">
        <f>LOG(382/(1+1))</f>
        <v>2.2810333672477277</v>
      </c>
      <c r="H10194">
        <f>0.0148148148148148*5.25227342804663</f>
        <v>7.781145819328332E-2</v>
      </c>
      <c r="I10194">
        <v>7.7811458193283403E-2</v>
      </c>
    </row>
    <row r="10195" spans="1:9" x14ac:dyDescent="0.25">
      <c r="A10195">
        <v>408</v>
      </c>
      <c r="B10195" t="s">
        <v>3118</v>
      </c>
      <c r="C10195" t="s">
        <v>10</v>
      </c>
      <c r="D10195" t="s">
        <v>38</v>
      </c>
      <c r="E10195">
        <f>1/135</f>
        <v>7.4074074074074077E-3</v>
      </c>
      <c r="F10195">
        <v>86</v>
      </c>
      <c r="G10195">
        <f>LOG(382/(86+1))</f>
        <v>0.64254411029309022</v>
      </c>
      <c r="H10195">
        <f>0.0074074074074074*1.47951248995199</f>
        <v>1.0959351777422138E-2</v>
      </c>
      <c r="I10195">
        <v>1.095935177742216E-2</v>
      </c>
    </row>
    <row r="10196" spans="1:9" x14ac:dyDescent="0.25">
      <c r="A10196">
        <v>408</v>
      </c>
      <c r="B10196" t="s">
        <v>3118</v>
      </c>
      <c r="C10196" t="s">
        <v>10</v>
      </c>
      <c r="D10196" t="s">
        <v>3125</v>
      </c>
      <c r="E10196">
        <f>1/135</f>
        <v>7.4074074074074077E-3</v>
      </c>
      <c r="F10196">
        <v>1</v>
      </c>
      <c r="G10196">
        <f>LOG(382/(1+1))</f>
        <v>2.2810333672477277</v>
      </c>
      <c r="H10196">
        <f>0.0074074074074074*5.25227342804663</f>
        <v>3.890572909664166E-2</v>
      </c>
      <c r="I10196">
        <v>3.8905729096641702E-2</v>
      </c>
    </row>
    <row r="10197" spans="1:9" x14ac:dyDescent="0.25">
      <c r="A10197">
        <v>408</v>
      </c>
      <c r="B10197" t="s">
        <v>3118</v>
      </c>
      <c r="C10197" t="s">
        <v>10</v>
      </c>
      <c r="D10197" t="s">
        <v>823</v>
      </c>
      <c r="E10197">
        <f>1/135</f>
        <v>7.4074074074074077E-3</v>
      </c>
      <c r="F10197">
        <v>45</v>
      </c>
      <c r="G10197">
        <f>LOG(382/(45+1))</f>
        <v>0.9193055312301347</v>
      </c>
      <c r="H10197">
        <f>0.0074074074074074*2.11677921211748</f>
        <v>1.5679846015685023E-2</v>
      </c>
      <c r="I10197">
        <v>1.5679846015685041E-2</v>
      </c>
    </row>
    <row r="10198" spans="1:9" x14ac:dyDescent="0.25">
      <c r="A10198">
        <v>408</v>
      </c>
      <c r="B10198" t="s">
        <v>3118</v>
      </c>
      <c r="C10198" t="s">
        <v>10</v>
      </c>
      <c r="D10198" t="s">
        <v>3126</v>
      </c>
      <c r="E10198">
        <f>1/135</f>
        <v>7.4074074074074077E-3</v>
      </c>
      <c r="F10198">
        <v>1</v>
      </c>
      <c r="G10198">
        <f>LOG(382/(1+1))</f>
        <v>2.2810333672477277</v>
      </c>
      <c r="H10198">
        <f>0.0074074074074074*5.25227342804663</f>
        <v>3.890572909664166E-2</v>
      </c>
      <c r="I10198">
        <v>3.8905729096641702E-2</v>
      </c>
    </row>
    <row r="10199" spans="1:9" x14ac:dyDescent="0.25">
      <c r="A10199">
        <v>408</v>
      </c>
      <c r="B10199" t="s">
        <v>3118</v>
      </c>
      <c r="C10199" t="s">
        <v>10</v>
      </c>
      <c r="D10199" t="s">
        <v>1067</v>
      </c>
      <c r="E10199">
        <f>1/135</f>
        <v>7.4074074074074077E-3</v>
      </c>
      <c r="F10199">
        <v>9</v>
      </c>
      <c r="G10199">
        <f>LOG(382/(9+1))</f>
        <v>1.5820633629117087</v>
      </c>
      <c r="H10199">
        <f>0.0074074074074074*3.64283551561252</f>
        <v>2.6983966782314937E-2</v>
      </c>
      <c r="I10199">
        <v>2.698396678231503E-2</v>
      </c>
    </row>
    <row r="10200" spans="1:9" x14ac:dyDescent="0.25">
      <c r="A10200">
        <v>408</v>
      </c>
      <c r="B10200" t="s">
        <v>3118</v>
      </c>
      <c r="C10200" t="s">
        <v>10</v>
      </c>
      <c r="D10200" t="s">
        <v>593</v>
      </c>
      <c r="E10200">
        <f>3/135</f>
        <v>2.2222222222222223E-2</v>
      </c>
      <c r="F10200">
        <v>30</v>
      </c>
      <c r="G10200">
        <f>LOG(382/(30+1))</f>
        <v>1.090701669077436</v>
      </c>
      <c r="H10200">
        <f>0.0222222222222222*2.51143340412142</f>
        <v>5.5809631202698169E-2</v>
      </c>
      <c r="I10200">
        <v>5.5809631202698433E-2</v>
      </c>
    </row>
    <row r="10201" spans="1:9" x14ac:dyDescent="0.25">
      <c r="A10201">
        <v>408</v>
      </c>
      <c r="B10201" t="s">
        <v>3118</v>
      </c>
      <c r="C10201" t="s">
        <v>10</v>
      </c>
      <c r="D10201" t="s">
        <v>594</v>
      </c>
      <c r="E10201">
        <f>3/135</f>
        <v>2.2222222222222223E-2</v>
      </c>
      <c r="F10201">
        <v>36</v>
      </c>
      <c r="G10201">
        <f>LOG(382/(36+1))</f>
        <v>1.0138616388447137</v>
      </c>
      <c r="H10201">
        <f>0.0222222222222222*2.33450269596235</f>
        <v>5.1877837688052167E-2</v>
      </c>
      <c r="I10201">
        <v>5.1877837688052243E-2</v>
      </c>
    </row>
    <row r="10202" spans="1:9" x14ac:dyDescent="0.25">
      <c r="A10202">
        <v>408</v>
      </c>
      <c r="B10202" t="s">
        <v>3118</v>
      </c>
      <c r="C10202" t="s">
        <v>10</v>
      </c>
      <c r="D10202" t="s">
        <v>474</v>
      </c>
      <c r="E10202">
        <f>1/135</f>
        <v>7.4074074074074077E-3</v>
      </c>
      <c r="F10202">
        <v>25</v>
      </c>
      <c r="G10202">
        <f>LOG(382/(25+1))</f>
        <v>1.1670900149408907</v>
      </c>
      <c r="H10202">
        <f>0.0074074074074074*2.68732407058509</f>
        <v>1.9906104226556202E-2</v>
      </c>
      <c r="I10202">
        <v>1.990610422655625E-2</v>
      </c>
    </row>
    <row r="10203" spans="1:9" x14ac:dyDescent="0.25">
      <c r="A10203">
        <v>408</v>
      </c>
      <c r="B10203" t="s">
        <v>3118</v>
      </c>
      <c r="C10203" t="s">
        <v>10</v>
      </c>
      <c r="D10203" t="s">
        <v>119</v>
      </c>
      <c r="E10203">
        <f>1/135</f>
        <v>7.4074074074074077E-3</v>
      </c>
      <c r="F10203">
        <v>79</v>
      </c>
      <c r="G10203">
        <f>LOG(382/(79+1))</f>
        <v>0.67897337591976514</v>
      </c>
      <c r="H10203">
        <f>0.0074074074074074*1.56339397393269</f>
        <v>1.15806961032051E-2</v>
      </c>
      <c r="I10203">
        <v>1.158069610320514E-2</v>
      </c>
    </row>
    <row r="10204" spans="1:9" x14ac:dyDescent="0.25">
      <c r="A10204">
        <v>408</v>
      </c>
      <c r="B10204" t="s">
        <v>3118</v>
      </c>
      <c r="C10204" t="s">
        <v>10</v>
      </c>
      <c r="D10204" t="s">
        <v>1080</v>
      </c>
      <c r="E10204">
        <f>3/135</f>
        <v>2.2222222222222223E-2</v>
      </c>
      <c r="F10204">
        <v>26</v>
      </c>
      <c r="G10204">
        <f>LOG(382/(26+1))</f>
        <v>1.1506995987527215</v>
      </c>
      <c r="H10204">
        <f>0.0222222222222222*2.64958374260224</f>
        <v>5.8879638724494157E-2</v>
      </c>
      <c r="I10204">
        <v>5.8879638724494358E-2</v>
      </c>
    </row>
    <row r="10205" spans="1:9" x14ac:dyDescent="0.25">
      <c r="A10205">
        <v>408</v>
      </c>
      <c r="B10205" t="s">
        <v>3118</v>
      </c>
      <c r="C10205" t="s">
        <v>10</v>
      </c>
      <c r="D10205" t="s">
        <v>3127</v>
      </c>
      <c r="E10205">
        <f>1/135</f>
        <v>7.4074074074074077E-3</v>
      </c>
      <c r="F10205">
        <v>1</v>
      </c>
      <c r="G10205">
        <f>LOG(382/(1+1))</f>
        <v>2.2810333672477277</v>
      </c>
      <c r="H10205">
        <f>0.0074074074074074*5.25227342804663</f>
        <v>3.890572909664166E-2</v>
      </c>
      <c r="I10205">
        <v>3.8905729096641702E-2</v>
      </c>
    </row>
    <row r="10206" spans="1:9" x14ac:dyDescent="0.25">
      <c r="A10206">
        <v>408</v>
      </c>
      <c r="B10206" t="s">
        <v>3118</v>
      </c>
      <c r="C10206" t="s">
        <v>10</v>
      </c>
      <c r="D10206" t="s">
        <v>105</v>
      </c>
      <c r="E10206">
        <f>1/135</f>
        <v>7.4074074074074077E-3</v>
      </c>
      <c r="F10206">
        <v>122</v>
      </c>
      <c r="G10206">
        <f>LOG(382/(122+1))</f>
        <v>0.49215825147231079</v>
      </c>
      <c r="H10206">
        <f>0.0074074074074074*1.13323625323415</f>
        <v>8.39434261654925E-3</v>
      </c>
      <c r="I10206">
        <v>8.3943426165493159E-3</v>
      </c>
    </row>
    <row r="10207" spans="1:9" x14ac:dyDescent="0.25">
      <c r="A10207">
        <v>408</v>
      </c>
      <c r="B10207" t="s">
        <v>3118</v>
      </c>
      <c r="C10207" t="s">
        <v>10</v>
      </c>
      <c r="D10207" t="s">
        <v>126</v>
      </c>
      <c r="E10207">
        <f>1/135</f>
        <v>7.4074074074074077E-3</v>
      </c>
      <c r="F10207">
        <v>79</v>
      </c>
      <c r="G10207">
        <f>LOG(382/(79+1))</f>
        <v>0.67897337591976514</v>
      </c>
      <c r="H10207">
        <f>0.0074074074074074*1.56339397393269</f>
        <v>1.15806961032051E-2</v>
      </c>
      <c r="I10207">
        <v>1.158069610320514E-2</v>
      </c>
    </row>
    <row r="10208" spans="1:9" x14ac:dyDescent="0.25">
      <c r="A10208">
        <v>408</v>
      </c>
      <c r="B10208" t="s">
        <v>3118</v>
      </c>
      <c r="C10208" t="s">
        <v>10</v>
      </c>
      <c r="D10208" t="s">
        <v>331</v>
      </c>
      <c r="E10208">
        <f>3/135</f>
        <v>2.2222222222222223E-2</v>
      </c>
      <c r="F10208">
        <v>130</v>
      </c>
      <c r="G10208">
        <f>LOG(382/(130+1))</f>
        <v>0.46479206725594452</v>
      </c>
      <c r="H10208">
        <f>0.0222222222222222*1.07022328540542</f>
        <v>2.3782739675675978E-2</v>
      </c>
      <c r="I10208">
        <v>2.3782739675676082E-2</v>
      </c>
    </row>
    <row r="10209" spans="1:9" x14ac:dyDescent="0.25">
      <c r="A10209">
        <v>408</v>
      </c>
      <c r="B10209" t="s">
        <v>3118</v>
      </c>
      <c r="C10209" t="s">
        <v>10</v>
      </c>
      <c r="D10209" t="s">
        <v>1854</v>
      </c>
      <c r="E10209">
        <f t="shared" ref="E10209:E10224" si="479">1/135</f>
        <v>7.4074074074074077E-3</v>
      </c>
      <c r="F10209">
        <v>9</v>
      </c>
      <c r="G10209">
        <f>LOG(382/(9+1))</f>
        <v>1.5820633629117087</v>
      </c>
      <c r="H10209">
        <f>0.0074074074074074*3.64283551561252</f>
        <v>2.6983966782314937E-2</v>
      </c>
      <c r="I10209">
        <v>2.698396678231503E-2</v>
      </c>
    </row>
    <row r="10210" spans="1:9" x14ac:dyDescent="0.25">
      <c r="A10210">
        <v>408</v>
      </c>
      <c r="B10210" t="s">
        <v>3118</v>
      </c>
      <c r="C10210" t="s">
        <v>10</v>
      </c>
      <c r="D10210" t="s">
        <v>3128</v>
      </c>
      <c r="E10210">
        <f t="shared" si="479"/>
        <v>7.4074074074074077E-3</v>
      </c>
      <c r="F10210">
        <v>1</v>
      </c>
      <c r="G10210">
        <f>LOG(382/(1+1))</f>
        <v>2.2810333672477277</v>
      </c>
      <c r="H10210">
        <f>0.0074074074074074*5.25227342804663</f>
        <v>3.890572909664166E-2</v>
      </c>
      <c r="I10210">
        <v>3.8905729096641702E-2</v>
      </c>
    </row>
    <row r="10211" spans="1:9" x14ac:dyDescent="0.25">
      <c r="A10211">
        <v>408</v>
      </c>
      <c r="B10211" t="s">
        <v>3118</v>
      </c>
      <c r="C10211" t="s">
        <v>10</v>
      </c>
      <c r="D10211" t="s">
        <v>1714</v>
      </c>
      <c r="E10211">
        <f t="shared" si="479"/>
        <v>7.4074074074074077E-3</v>
      </c>
      <c r="F10211">
        <v>9</v>
      </c>
      <c r="G10211">
        <f>LOG(382/(9+1))</f>
        <v>1.5820633629117087</v>
      </c>
      <c r="H10211">
        <f>0.0074074074074074*3.64283551561252</f>
        <v>2.6983966782314937E-2</v>
      </c>
      <c r="I10211">
        <v>2.698396678231503E-2</v>
      </c>
    </row>
    <row r="10212" spans="1:9" x14ac:dyDescent="0.25">
      <c r="A10212">
        <v>408</v>
      </c>
      <c r="B10212" t="s">
        <v>3118</v>
      </c>
      <c r="C10212" t="s">
        <v>10</v>
      </c>
      <c r="D10212" t="s">
        <v>363</v>
      </c>
      <c r="E10212">
        <f t="shared" si="479"/>
        <v>7.4074074074074077E-3</v>
      </c>
      <c r="F10212">
        <v>36</v>
      </c>
      <c r="G10212">
        <f>LOG(382/(36+1))</f>
        <v>1.0138616388447137</v>
      </c>
      <c r="H10212">
        <f>0.0074074074074074*2.33450269596235</f>
        <v>1.7292612562684058E-2</v>
      </c>
      <c r="I10212">
        <v>1.7292612562684079E-2</v>
      </c>
    </row>
    <row r="10213" spans="1:9" x14ac:dyDescent="0.25">
      <c r="A10213">
        <v>408</v>
      </c>
      <c r="B10213" t="s">
        <v>3118</v>
      </c>
      <c r="C10213" t="s">
        <v>10</v>
      </c>
      <c r="D10213" t="s">
        <v>3129</v>
      </c>
      <c r="E10213">
        <f t="shared" si="479"/>
        <v>7.4074074074074077E-3</v>
      </c>
      <c r="F10213">
        <v>1</v>
      </c>
      <c r="G10213">
        <f>LOG(382/(1+1))</f>
        <v>2.2810333672477277</v>
      </c>
      <c r="H10213">
        <f>0.0074074074074074*5.25227342804663</f>
        <v>3.890572909664166E-2</v>
      </c>
      <c r="I10213">
        <v>3.8905729096641702E-2</v>
      </c>
    </row>
    <row r="10214" spans="1:9" x14ac:dyDescent="0.25">
      <c r="A10214">
        <v>408</v>
      </c>
      <c r="B10214" t="s">
        <v>3118</v>
      </c>
      <c r="C10214" t="s">
        <v>10</v>
      </c>
      <c r="D10214" t="s">
        <v>1639</v>
      </c>
      <c r="E10214">
        <f t="shared" si="479"/>
        <v>7.4074074074074077E-3</v>
      </c>
      <c r="F10214">
        <v>10</v>
      </c>
      <c r="G10214">
        <f>LOG(382/(10+1))</f>
        <v>1.5406706777534838</v>
      </c>
      <c r="H10214">
        <f>0.0074074074074074*3.5475253358082</f>
        <v>2.6277965450431085E-2</v>
      </c>
      <c r="I10214">
        <v>2.6277965450431151E-2</v>
      </c>
    </row>
    <row r="10215" spans="1:9" x14ac:dyDescent="0.25">
      <c r="A10215">
        <v>408</v>
      </c>
      <c r="B10215" t="s">
        <v>3118</v>
      </c>
      <c r="C10215" t="s">
        <v>10</v>
      </c>
      <c r="D10215" t="s">
        <v>2903</v>
      </c>
      <c r="E10215">
        <f t="shared" si="479"/>
        <v>7.4074074074074077E-3</v>
      </c>
      <c r="F10215">
        <v>3</v>
      </c>
      <c r="G10215">
        <f>LOG(382/(3+1))</f>
        <v>1.9800033715837464</v>
      </c>
      <c r="H10215">
        <f>0.0074074074074074*4.55912624748668</f>
        <v>3.3771305536938336E-2</v>
      </c>
      <c r="I10215">
        <v>3.3771305536938398E-2</v>
      </c>
    </row>
    <row r="10216" spans="1:9" x14ac:dyDescent="0.25">
      <c r="A10216">
        <v>408</v>
      </c>
      <c r="B10216" t="s">
        <v>3118</v>
      </c>
      <c r="C10216" t="s">
        <v>10</v>
      </c>
      <c r="D10216" t="s">
        <v>3110</v>
      </c>
      <c r="E10216">
        <f t="shared" si="479"/>
        <v>7.4074074074074077E-3</v>
      </c>
      <c r="F10216">
        <v>3</v>
      </c>
      <c r="G10216">
        <f>LOG(382/(3+1))</f>
        <v>1.9800033715837464</v>
      </c>
      <c r="H10216">
        <f>0.0074074074074074*4.55912624748668</f>
        <v>3.3771305536938336E-2</v>
      </c>
      <c r="I10216">
        <v>3.3771305536938398E-2</v>
      </c>
    </row>
    <row r="10217" spans="1:9" x14ac:dyDescent="0.25">
      <c r="A10217">
        <v>408</v>
      </c>
      <c r="B10217" t="s">
        <v>3118</v>
      </c>
      <c r="C10217" t="s">
        <v>10</v>
      </c>
      <c r="D10217" t="s">
        <v>1806</v>
      </c>
      <c r="E10217">
        <f t="shared" si="479"/>
        <v>7.4074074074074077E-3</v>
      </c>
      <c r="F10217">
        <v>3</v>
      </c>
      <c r="G10217">
        <f>LOG(382/(3+1))</f>
        <v>1.9800033715837464</v>
      </c>
      <c r="H10217">
        <f>0.0074074074074074*4.55912624748668</f>
        <v>3.3771305536938336E-2</v>
      </c>
      <c r="I10217">
        <v>3.3771305536938398E-2</v>
      </c>
    </row>
    <row r="10218" spans="1:9" x14ac:dyDescent="0.25">
      <c r="A10218">
        <v>408</v>
      </c>
      <c r="B10218" t="s">
        <v>3118</v>
      </c>
      <c r="C10218" t="s">
        <v>10</v>
      </c>
      <c r="D10218" t="s">
        <v>98</v>
      </c>
      <c r="E10218">
        <f t="shared" si="479"/>
        <v>7.4074074074074077E-3</v>
      </c>
      <c r="F10218">
        <v>56</v>
      </c>
      <c r="G10218">
        <f>LOG(382/(56+1))</f>
        <v>0.82618850723921733</v>
      </c>
      <c r="H10218">
        <f>0.0074074074074074*1.90236934077202</f>
        <v>1.4091624746459393E-2</v>
      </c>
      <c r="I10218">
        <v>1.409162474645945E-2</v>
      </c>
    </row>
    <row r="10219" spans="1:9" x14ac:dyDescent="0.25">
      <c r="A10219">
        <v>408</v>
      </c>
      <c r="B10219" t="s">
        <v>3118</v>
      </c>
      <c r="C10219" t="s">
        <v>10</v>
      </c>
      <c r="D10219" t="s">
        <v>50</v>
      </c>
      <c r="E10219">
        <f t="shared" si="479"/>
        <v>7.4074074074074077E-3</v>
      </c>
      <c r="F10219">
        <v>109</v>
      </c>
      <c r="G10219">
        <f>LOG(382/(109+1))</f>
        <v>0.54067067775348365</v>
      </c>
      <c r="H10219">
        <f>0.0074074074074074*1.24494024281415</f>
        <v>9.2217795764011016E-3</v>
      </c>
      <c r="I10219">
        <v>9.2217795764011779E-3</v>
      </c>
    </row>
    <row r="10220" spans="1:9" x14ac:dyDescent="0.25">
      <c r="A10220">
        <v>408</v>
      </c>
      <c r="B10220" t="s">
        <v>3118</v>
      </c>
      <c r="C10220" t="s">
        <v>10</v>
      </c>
      <c r="D10220" t="s">
        <v>3130</v>
      </c>
      <c r="E10220">
        <f t="shared" si="479"/>
        <v>7.4074074074074077E-3</v>
      </c>
      <c r="F10220">
        <v>1</v>
      </c>
      <c r="G10220">
        <f>LOG(382/(1+1))</f>
        <v>2.2810333672477277</v>
      </c>
      <c r="H10220">
        <f>0.0074074074074074*5.25227342804663</f>
        <v>3.890572909664166E-2</v>
      </c>
      <c r="I10220">
        <v>3.8905729096641702E-2</v>
      </c>
    </row>
    <row r="10221" spans="1:9" x14ac:dyDescent="0.25">
      <c r="A10221">
        <v>408</v>
      </c>
      <c r="B10221" t="s">
        <v>3118</v>
      </c>
      <c r="C10221" t="s">
        <v>10</v>
      </c>
      <c r="D10221" t="s">
        <v>3131</v>
      </c>
      <c r="E10221">
        <f t="shared" si="479"/>
        <v>7.4074074074074077E-3</v>
      </c>
      <c r="F10221">
        <v>3</v>
      </c>
      <c r="G10221">
        <f>LOG(382/(3+1))</f>
        <v>1.9800033715837464</v>
      </c>
      <c r="H10221">
        <f>0.0074074074074074*4.55912624748668</f>
        <v>3.3771305536938336E-2</v>
      </c>
      <c r="I10221">
        <v>3.3771305536938398E-2</v>
      </c>
    </row>
    <row r="10222" spans="1:9" x14ac:dyDescent="0.25">
      <c r="A10222">
        <v>408</v>
      </c>
      <c r="B10222" t="s">
        <v>3118</v>
      </c>
      <c r="C10222" t="s">
        <v>10</v>
      </c>
      <c r="D10222" t="s">
        <v>3132</v>
      </c>
      <c r="E10222">
        <f t="shared" si="479"/>
        <v>7.4074074074074077E-3</v>
      </c>
      <c r="F10222">
        <v>1</v>
      </c>
      <c r="G10222">
        <f>LOG(382/(1+1))</f>
        <v>2.2810333672477277</v>
      </c>
      <c r="H10222">
        <f>0.0074074074074074*5.25227342804663</f>
        <v>3.890572909664166E-2</v>
      </c>
      <c r="I10222">
        <v>3.8905729096641702E-2</v>
      </c>
    </row>
    <row r="10223" spans="1:9" x14ac:dyDescent="0.25">
      <c r="A10223">
        <v>408</v>
      </c>
      <c r="B10223" t="s">
        <v>3118</v>
      </c>
      <c r="C10223" t="s">
        <v>10</v>
      </c>
      <c r="D10223" t="s">
        <v>222</v>
      </c>
      <c r="E10223">
        <f t="shared" si="479"/>
        <v>7.4074074074074077E-3</v>
      </c>
      <c r="F10223">
        <v>22</v>
      </c>
      <c r="G10223">
        <f>LOG(382/(22+1))</f>
        <v>1.2203355268941158</v>
      </c>
      <c r="H10223">
        <f>0.0074074074074074*2.80992639267742</f>
        <v>2.0814269575388275E-2</v>
      </c>
      <c r="I10223">
        <v>2.0814269575388341E-2</v>
      </c>
    </row>
    <row r="10224" spans="1:9" x14ac:dyDescent="0.25">
      <c r="A10224">
        <v>408</v>
      </c>
      <c r="B10224" t="s">
        <v>3118</v>
      </c>
      <c r="C10224" t="s">
        <v>10</v>
      </c>
      <c r="D10224" t="s">
        <v>1079</v>
      </c>
      <c r="E10224">
        <f t="shared" si="479"/>
        <v>7.4074074074074077E-3</v>
      </c>
      <c r="F10224">
        <v>34</v>
      </c>
      <c r="G10224">
        <f>LOG(382/(34+1))</f>
        <v>1.037995318561433</v>
      </c>
      <c r="H10224">
        <f>0.0074074074074074*2.39007254711716</f>
        <v>1.7704241089756722E-2</v>
      </c>
      <c r="I10224">
        <v>1.770424108975675E-2</v>
      </c>
    </row>
    <row r="10225" spans="1:9" x14ac:dyDescent="0.25">
      <c r="A10225">
        <v>408</v>
      </c>
      <c r="B10225" t="s">
        <v>3118</v>
      </c>
      <c r="C10225" t="s">
        <v>10</v>
      </c>
      <c r="D10225" t="s">
        <v>134</v>
      </c>
      <c r="E10225">
        <f>2/135</f>
        <v>1.4814814814814815E-2</v>
      </c>
      <c r="F10225">
        <v>21</v>
      </c>
      <c r="G10225">
        <f>LOG(382/(21+1))</f>
        <v>1.2396406820895025</v>
      </c>
      <c r="H10225">
        <f>0.0148148148148148*2.85437815524825</f>
        <v>4.2287083781455508E-2</v>
      </c>
      <c r="I10225">
        <v>4.2287083781455688E-2</v>
      </c>
    </row>
    <row r="10226" spans="1:9" x14ac:dyDescent="0.25">
      <c r="A10226">
        <v>408</v>
      </c>
      <c r="B10226" t="s">
        <v>3118</v>
      </c>
      <c r="C10226" t="s">
        <v>10</v>
      </c>
      <c r="D10226" t="s">
        <v>136</v>
      </c>
      <c r="E10226">
        <f>2/135</f>
        <v>1.4814814814814815E-2</v>
      </c>
      <c r="F10226">
        <v>17</v>
      </c>
      <c r="G10226">
        <f>LOG(382/(17+1))</f>
        <v>1.3267908578084027</v>
      </c>
      <c r="H10226">
        <f>0.0148148148148148*3.05504885071041</f>
        <v>4.525998297348751E-2</v>
      </c>
      <c r="I10226">
        <v>4.5259982973487572E-2</v>
      </c>
    </row>
    <row r="10227" spans="1:9" x14ac:dyDescent="0.25">
      <c r="A10227">
        <v>408</v>
      </c>
      <c r="B10227" t="s">
        <v>3118</v>
      </c>
      <c r="C10227" t="s">
        <v>10</v>
      </c>
      <c r="D10227" t="s">
        <v>315</v>
      </c>
      <c r="E10227">
        <f t="shared" ref="E10227:E10233" si="480">1/135</f>
        <v>7.4074074074074077E-3</v>
      </c>
      <c r="F10227">
        <v>55</v>
      </c>
      <c r="G10227">
        <f>LOG(382/(55+1))</f>
        <v>0.83387533590550833</v>
      </c>
      <c r="H10227">
        <f>0.0074074074074074*1.92006891787142</f>
        <v>1.4222732724973468E-2</v>
      </c>
      <c r="I10227">
        <v>1.4222732724973529E-2</v>
      </c>
    </row>
    <row r="10228" spans="1:9" x14ac:dyDescent="0.25">
      <c r="A10228">
        <v>408</v>
      </c>
      <c r="B10228" t="s">
        <v>3118</v>
      </c>
      <c r="C10228" t="s">
        <v>10</v>
      </c>
      <c r="D10228" t="s">
        <v>3133</v>
      </c>
      <c r="E10228">
        <f t="shared" si="480"/>
        <v>7.4074074074074077E-3</v>
      </c>
      <c r="F10228">
        <v>1</v>
      </c>
      <c r="G10228">
        <f>LOG(382/(1+1))</f>
        <v>2.2810333672477277</v>
      </c>
      <c r="H10228">
        <f>0.0074074074074074*5.25227342804663</f>
        <v>3.890572909664166E-2</v>
      </c>
      <c r="I10228">
        <v>3.8905729096641702E-2</v>
      </c>
    </row>
    <row r="10229" spans="1:9" x14ac:dyDescent="0.25">
      <c r="A10229">
        <v>408</v>
      </c>
      <c r="B10229" t="s">
        <v>3118</v>
      </c>
      <c r="C10229" t="s">
        <v>10</v>
      </c>
      <c r="D10229" t="s">
        <v>3134</v>
      </c>
      <c r="E10229">
        <f t="shared" si="480"/>
        <v>7.4074074074074077E-3</v>
      </c>
      <c r="F10229">
        <v>1</v>
      </c>
      <c r="G10229">
        <f>LOG(382/(1+1))</f>
        <v>2.2810333672477277</v>
      </c>
      <c r="H10229">
        <f>0.0074074074074074*5.25227342804663</f>
        <v>3.890572909664166E-2</v>
      </c>
      <c r="I10229">
        <v>3.8905729096641702E-2</v>
      </c>
    </row>
    <row r="10230" spans="1:9" x14ac:dyDescent="0.25">
      <c r="A10230">
        <v>408</v>
      </c>
      <c r="B10230" t="s">
        <v>3118</v>
      </c>
      <c r="C10230" t="s">
        <v>10</v>
      </c>
      <c r="D10230" t="s">
        <v>144</v>
      </c>
      <c r="E10230">
        <f t="shared" si="480"/>
        <v>7.4074074074074077E-3</v>
      </c>
      <c r="F10230">
        <v>105</v>
      </c>
      <c r="G10230">
        <f>LOG(382/(105+1))</f>
        <v>0.55675749764693849</v>
      </c>
      <c r="H10230">
        <f>0.0074074074074074*1.2819815144945</f>
        <v>9.4961593666259159E-3</v>
      </c>
      <c r="I10230">
        <v>9.4961593666259853E-3</v>
      </c>
    </row>
    <row r="10231" spans="1:9" x14ac:dyDescent="0.25">
      <c r="A10231">
        <v>408</v>
      </c>
      <c r="B10231" t="s">
        <v>3118</v>
      </c>
      <c r="C10231" t="s">
        <v>10</v>
      </c>
      <c r="D10231" t="s">
        <v>327</v>
      </c>
      <c r="E10231">
        <f t="shared" si="480"/>
        <v>7.4074074074074077E-3</v>
      </c>
      <c r="F10231">
        <v>46</v>
      </c>
      <c r="G10231">
        <f>LOG(382/(46+1))</f>
        <v>0.90996550497599127</v>
      </c>
      <c r="H10231">
        <f>0.0074074074074074*2.09527300689651</f>
        <v>1.5520540791825986E-2</v>
      </c>
      <c r="I10231">
        <v>1.552054079182605E-2</v>
      </c>
    </row>
    <row r="10232" spans="1:9" x14ac:dyDescent="0.25">
      <c r="A10232">
        <v>408</v>
      </c>
      <c r="B10232" t="s">
        <v>3118</v>
      </c>
      <c r="C10232" t="s">
        <v>10</v>
      </c>
      <c r="D10232" t="s">
        <v>120</v>
      </c>
      <c r="E10232">
        <f t="shared" si="480"/>
        <v>7.4074074074074077E-3</v>
      </c>
      <c r="F10232">
        <v>8</v>
      </c>
      <c r="G10232">
        <f>LOG(382/(8+1))</f>
        <v>1.6278208534723839</v>
      </c>
      <c r="H10232">
        <f>0.0074074074074074*3.74819603127035</f>
        <v>2.776441504644701E-2</v>
      </c>
      <c r="I10232">
        <v>2.7764415046447079E-2</v>
      </c>
    </row>
    <row r="10233" spans="1:9" x14ac:dyDescent="0.25">
      <c r="A10233">
        <v>408</v>
      </c>
      <c r="B10233" t="s">
        <v>3118</v>
      </c>
      <c r="C10233" t="s">
        <v>10</v>
      </c>
      <c r="D10233" t="s">
        <v>939</v>
      </c>
      <c r="E10233">
        <f t="shared" si="480"/>
        <v>7.4074074074074077E-3</v>
      </c>
      <c r="F10233">
        <v>35</v>
      </c>
      <c r="G10233">
        <f>LOG(382/(35+1))</f>
        <v>1.0257608621444214</v>
      </c>
      <c r="H10233">
        <f>0.0074074074074074*2.36190167015046</f>
        <v>1.7495567927040427E-2</v>
      </c>
      <c r="I10233">
        <v>1.7495567927040479E-2</v>
      </c>
    </row>
    <row r="10234" spans="1:9" x14ac:dyDescent="0.25">
      <c r="A10234">
        <v>408</v>
      </c>
      <c r="B10234" t="s">
        <v>3118</v>
      </c>
      <c r="C10234" t="s">
        <v>10</v>
      </c>
      <c r="D10234" t="s">
        <v>1857</v>
      </c>
      <c r="E10234">
        <f>2/135</f>
        <v>1.4814814814814815E-2</v>
      </c>
      <c r="F10234">
        <v>17</v>
      </c>
      <c r="G10234">
        <f>LOG(382/(17+1))</f>
        <v>1.3267908578084027</v>
      </c>
      <c r="H10234">
        <f>0.0148148148148148*3.05504885071041</f>
        <v>4.525998297348751E-2</v>
      </c>
      <c r="I10234">
        <v>4.5259982973487572E-2</v>
      </c>
    </row>
    <row r="10235" spans="1:9" x14ac:dyDescent="0.25">
      <c r="A10235">
        <v>408</v>
      </c>
      <c r="B10235" t="s">
        <v>3118</v>
      </c>
      <c r="C10235" t="s">
        <v>10</v>
      </c>
      <c r="D10235" t="s">
        <v>324</v>
      </c>
      <c r="E10235">
        <f t="shared" ref="E10235:E10250" si="481">1/135</f>
        <v>7.4074074074074077E-3</v>
      </c>
      <c r="F10235">
        <v>82</v>
      </c>
      <c r="G10235">
        <f>LOG(382/(82+1))</f>
        <v>0.66298527053563483</v>
      </c>
      <c r="H10235">
        <f>0.0074074074074074*1.52658000080997</f>
        <v>1.1308000005999765E-2</v>
      </c>
      <c r="I10235">
        <v>1.1308000005999829E-2</v>
      </c>
    </row>
    <row r="10236" spans="1:9" x14ac:dyDescent="0.25">
      <c r="A10236">
        <v>408</v>
      </c>
      <c r="B10236" t="s">
        <v>3118</v>
      </c>
      <c r="C10236" t="s">
        <v>10</v>
      </c>
      <c r="D10236" t="s">
        <v>3135</v>
      </c>
      <c r="E10236">
        <f t="shared" si="481"/>
        <v>7.4074074074074077E-3</v>
      </c>
      <c r="F10236">
        <v>1</v>
      </c>
      <c r="G10236">
        <f>LOG(382/(1+1))</f>
        <v>2.2810333672477277</v>
      </c>
      <c r="H10236">
        <f>0.0074074074074074*5.25227342804663</f>
        <v>3.890572909664166E-2</v>
      </c>
      <c r="I10236">
        <v>3.8905729096641702E-2</v>
      </c>
    </row>
    <row r="10237" spans="1:9" x14ac:dyDescent="0.25">
      <c r="A10237">
        <v>408</v>
      </c>
      <c r="B10237" t="s">
        <v>3118</v>
      </c>
      <c r="C10237" t="s">
        <v>10</v>
      </c>
      <c r="D10237" t="s">
        <v>217</v>
      </c>
      <c r="E10237">
        <f t="shared" si="481"/>
        <v>7.4074074074074077E-3</v>
      </c>
      <c r="F10237">
        <v>12</v>
      </c>
      <c r="G10237">
        <f>LOG(382/(12+1))</f>
        <v>1.468120010604872</v>
      </c>
      <c r="H10237">
        <f>0.0074074074074074*3.38047125114503</f>
        <v>2.5040527786259457E-2</v>
      </c>
      <c r="I10237">
        <v>2.504052778625955E-2</v>
      </c>
    </row>
    <row r="10238" spans="1:9" x14ac:dyDescent="0.25">
      <c r="A10238">
        <v>408</v>
      </c>
      <c r="B10238" t="s">
        <v>3118</v>
      </c>
      <c r="C10238" t="s">
        <v>10</v>
      </c>
      <c r="D10238" t="s">
        <v>1626</v>
      </c>
      <c r="E10238">
        <f t="shared" si="481"/>
        <v>7.4074074074074077E-3</v>
      </c>
      <c r="F10238">
        <v>32</v>
      </c>
      <c r="G10238">
        <f>LOG(382/(32+1))</f>
        <v>1.0635494230338212</v>
      </c>
      <c r="H10238">
        <f>0.0074074074074074*2.44891304714009</f>
        <v>1.8140096645482131E-2</v>
      </c>
      <c r="I10238">
        <v>1.814009664548219E-2</v>
      </c>
    </row>
    <row r="10239" spans="1:9" x14ac:dyDescent="0.25">
      <c r="A10239">
        <v>408</v>
      </c>
      <c r="B10239" t="s">
        <v>3118</v>
      </c>
      <c r="C10239" t="s">
        <v>10</v>
      </c>
      <c r="D10239" t="s">
        <v>3136</v>
      </c>
      <c r="E10239">
        <f t="shared" si="481"/>
        <v>7.4074074074074077E-3</v>
      </c>
      <c r="F10239">
        <v>1</v>
      </c>
      <c r="G10239">
        <f>LOG(382/(1+1))</f>
        <v>2.2810333672477277</v>
      </c>
      <c r="H10239">
        <f>0.0074074074074074*5.25227342804663</f>
        <v>3.890572909664166E-2</v>
      </c>
      <c r="I10239">
        <v>3.8905729096641702E-2</v>
      </c>
    </row>
    <row r="10240" spans="1:9" x14ac:dyDescent="0.25">
      <c r="A10240">
        <v>408</v>
      </c>
      <c r="B10240" t="s">
        <v>3118</v>
      </c>
      <c r="C10240" t="s">
        <v>10</v>
      </c>
      <c r="D10240" t="s">
        <v>3137</v>
      </c>
      <c r="E10240">
        <f t="shared" si="481"/>
        <v>7.4074074074074077E-3</v>
      </c>
      <c r="F10240">
        <v>1</v>
      </c>
      <c r="G10240">
        <f>LOG(382/(1+1))</f>
        <v>2.2810333672477277</v>
      </c>
      <c r="H10240">
        <f>0.0074074074074074*5.25227342804663</f>
        <v>3.890572909664166E-2</v>
      </c>
      <c r="I10240">
        <v>3.8905729096641702E-2</v>
      </c>
    </row>
    <row r="10241" spans="1:9" x14ac:dyDescent="0.25">
      <c r="A10241">
        <v>408</v>
      </c>
      <c r="B10241" t="s">
        <v>3118</v>
      </c>
      <c r="C10241" t="s">
        <v>10</v>
      </c>
      <c r="D10241" t="s">
        <v>693</v>
      </c>
      <c r="E10241">
        <f t="shared" si="481"/>
        <v>7.4074074074074077E-3</v>
      </c>
      <c r="F10241">
        <v>25</v>
      </c>
      <c r="G10241">
        <f>LOG(382/(25+1))</f>
        <v>1.1670900149408907</v>
      </c>
      <c r="H10241">
        <f>0.0074074074074074*2.68732407058509</f>
        <v>1.9906104226556202E-2</v>
      </c>
      <c r="I10241">
        <v>1.990610422655625E-2</v>
      </c>
    </row>
    <row r="10242" spans="1:9" x14ac:dyDescent="0.25">
      <c r="A10242">
        <v>408</v>
      </c>
      <c r="B10242" t="s">
        <v>3118</v>
      </c>
      <c r="C10242" t="s">
        <v>10</v>
      </c>
      <c r="D10242" t="s">
        <v>438</v>
      </c>
      <c r="E10242">
        <f t="shared" si="481"/>
        <v>7.4074074074074077E-3</v>
      </c>
      <c r="F10242">
        <v>37</v>
      </c>
      <c r="G10242">
        <f>LOG(382/(37+1))</f>
        <v>1.0022797662948986</v>
      </c>
      <c r="H10242">
        <f>0.0074074074074074*2.30783444888018</f>
        <v>1.7095069991705018E-2</v>
      </c>
      <c r="I10242">
        <v>1.7095069991705101E-2</v>
      </c>
    </row>
    <row r="10243" spans="1:9" x14ac:dyDescent="0.25">
      <c r="A10243">
        <v>408</v>
      </c>
      <c r="B10243" t="s">
        <v>3118</v>
      </c>
      <c r="C10243" t="s">
        <v>10</v>
      </c>
      <c r="D10243" t="s">
        <v>436</v>
      </c>
      <c r="E10243">
        <f t="shared" si="481"/>
        <v>7.4074074074074077E-3</v>
      </c>
      <c r="F10243">
        <v>20</v>
      </c>
      <c r="G10243">
        <f>LOG(382/(20+1))</f>
        <v>1.2598440681777894</v>
      </c>
      <c r="H10243">
        <f>0.0074074074074074*2.90089817088315</f>
        <v>2.1488134599134422E-2</v>
      </c>
      <c r="I10243">
        <v>2.148813459913446E-2</v>
      </c>
    </row>
    <row r="10244" spans="1:9" x14ac:dyDescent="0.25">
      <c r="A10244">
        <v>408</v>
      </c>
      <c r="B10244" t="s">
        <v>3118</v>
      </c>
      <c r="C10244" t="s">
        <v>10</v>
      </c>
      <c r="D10244" t="s">
        <v>437</v>
      </c>
      <c r="E10244">
        <f t="shared" si="481"/>
        <v>7.4074074074074077E-3</v>
      </c>
      <c r="F10244">
        <v>18</v>
      </c>
      <c r="G10244">
        <f>LOG(382/(18+1))</f>
        <v>1.3033097619588798</v>
      </c>
      <c r="H10244">
        <f>0.0074074074074074*3.00098162944013</f>
        <v>2.2229493551408349E-2</v>
      </c>
      <c r="I10244">
        <v>2.2229493551408401E-2</v>
      </c>
    </row>
    <row r="10245" spans="1:9" x14ac:dyDescent="0.25">
      <c r="A10245">
        <v>408</v>
      </c>
      <c r="B10245" t="s">
        <v>3118</v>
      </c>
      <c r="C10245" t="s">
        <v>10</v>
      </c>
      <c r="D10245" t="s">
        <v>1521</v>
      </c>
      <c r="E10245">
        <f t="shared" si="481"/>
        <v>7.4074074074074077E-3</v>
      </c>
      <c r="F10245">
        <v>6</v>
      </c>
      <c r="G10245">
        <f>LOG(382/(6+1))</f>
        <v>1.736965322897452</v>
      </c>
      <c r="H10245">
        <f>0.0074074074074074*3.99951045955126</f>
        <v>2.9626003404083379E-2</v>
      </c>
      <c r="I10245">
        <v>2.9626003404083421E-2</v>
      </c>
    </row>
    <row r="10246" spans="1:9" x14ac:dyDescent="0.25">
      <c r="A10246">
        <v>408</v>
      </c>
      <c r="B10246" t="s">
        <v>3118</v>
      </c>
      <c r="C10246" t="s">
        <v>10</v>
      </c>
      <c r="D10246" t="s">
        <v>775</v>
      </c>
      <c r="E10246">
        <f t="shared" si="481"/>
        <v>7.4074074074074077E-3</v>
      </c>
      <c r="F10246">
        <v>20</v>
      </c>
      <c r="G10246">
        <f>LOG(382/(20+1))</f>
        <v>1.2598440681777894</v>
      </c>
      <c r="H10246">
        <f>0.0074074074074074*2.90089817088315</f>
        <v>2.1488134599134422E-2</v>
      </c>
      <c r="I10246">
        <v>2.148813459913446E-2</v>
      </c>
    </row>
    <row r="10247" spans="1:9" x14ac:dyDescent="0.25">
      <c r="A10247">
        <v>408</v>
      </c>
      <c r="B10247" t="s">
        <v>3118</v>
      </c>
      <c r="C10247" t="s">
        <v>10</v>
      </c>
      <c r="D10247" t="s">
        <v>3138</v>
      </c>
      <c r="E10247">
        <f t="shared" si="481"/>
        <v>7.4074074074074077E-3</v>
      </c>
      <c r="F10247">
        <v>1</v>
      </c>
      <c r="G10247">
        <f>LOG(382/(1+1))</f>
        <v>2.2810333672477277</v>
      </c>
      <c r="H10247">
        <f>0.0074074074074074*5.25227342804663</f>
        <v>3.890572909664166E-2</v>
      </c>
      <c r="I10247">
        <v>3.8905729096641702E-2</v>
      </c>
    </row>
    <row r="10248" spans="1:9" x14ac:dyDescent="0.25">
      <c r="A10248">
        <v>408</v>
      </c>
      <c r="B10248" t="s">
        <v>3118</v>
      </c>
      <c r="C10248" t="s">
        <v>10</v>
      </c>
      <c r="D10248" t="s">
        <v>450</v>
      </c>
      <c r="E10248">
        <f t="shared" si="481"/>
        <v>7.4074074074074077E-3</v>
      </c>
      <c r="F10248">
        <v>17</v>
      </c>
      <c r="G10248">
        <f>LOG(382/(17+1))</f>
        <v>1.3267908578084027</v>
      </c>
      <c r="H10248">
        <f>0.0074074074074074*3.05504885071041</f>
        <v>2.2629991486743755E-2</v>
      </c>
      <c r="I10248">
        <v>2.2629991486743779E-2</v>
      </c>
    </row>
    <row r="10249" spans="1:9" x14ac:dyDescent="0.25">
      <c r="A10249">
        <v>408</v>
      </c>
      <c r="B10249" t="s">
        <v>3118</v>
      </c>
      <c r="C10249" t="s">
        <v>10</v>
      </c>
      <c r="D10249" t="s">
        <v>2105</v>
      </c>
      <c r="E10249">
        <f t="shared" si="481"/>
        <v>7.4074074074074077E-3</v>
      </c>
      <c r="F10249">
        <v>10</v>
      </c>
      <c r="G10249">
        <f>LOG(382/(10+1))</f>
        <v>1.5406706777534838</v>
      </c>
      <c r="H10249">
        <f>0.0074074074074074*3.5475253358082</f>
        <v>2.6277965450431085E-2</v>
      </c>
      <c r="I10249">
        <v>2.6277965450431151E-2</v>
      </c>
    </row>
    <row r="10250" spans="1:9" x14ac:dyDescent="0.25">
      <c r="A10250">
        <v>408</v>
      </c>
      <c r="B10250" t="s">
        <v>3118</v>
      </c>
      <c r="C10250" t="s">
        <v>10</v>
      </c>
      <c r="D10250" t="s">
        <v>2424</v>
      </c>
      <c r="E10250">
        <f t="shared" si="481"/>
        <v>7.4074074074074077E-3</v>
      </c>
      <c r="F10250">
        <v>9</v>
      </c>
      <c r="G10250">
        <f>LOG(382/(9+1))</f>
        <v>1.5820633629117087</v>
      </c>
      <c r="H10250">
        <f>0.0074074074074074*3.64283551561252</f>
        <v>2.6983966782314937E-2</v>
      </c>
      <c r="I10250">
        <v>2.698396678231503E-2</v>
      </c>
    </row>
    <row r="10251" spans="1:9" x14ac:dyDescent="0.25">
      <c r="A10251">
        <v>409</v>
      </c>
      <c r="B10251" t="s">
        <v>3139</v>
      </c>
      <c r="C10251" t="s">
        <v>10</v>
      </c>
      <c r="D10251" t="s">
        <v>315</v>
      </c>
      <c r="E10251">
        <f>11/155</f>
        <v>7.0967741935483872E-2</v>
      </c>
      <c r="F10251">
        <v>55</v>
      </c>
      <c r="G10251">
        <f>LOG(382/(55+1))</f>
        <v>0.83387533590550833</v>
      </c>
      <c r="H10251">
        <f>0.0709677419354838*1.92006891787142</f>
        <v>0.13626295546184258</v>
      </c>
      <c r="I10251">
        <v>0.13626295546184311</v>
      </c>
    </row>
    <row r="10252" spans="1:9" x14ac:dyDescent="0.25">
      <c r="A10252">
        <v>409</v>
      </c>
      <c r="B10252" t="s">
        <v>3139</v>
      </c>
      <c r="C10252" t="s">
        <v>10</v>
      </c>
      <c r="D10252" t="s">
        <v>2272</v>
      </c>
      <c r="E10252">
        <f>6/155</f>
        <v>3.870967741935484E-2</v>
      </c>
      <c r="F10252">
        <v>2</v>
      </c>
      <c r="G10252">
        <f>LOG(382/(2+1))</f>
        <v>2.1049421081920463</v>
      </c>
      <c r="H10252">
        <f>0.0387096774193548*4.84680831993846</f>
        <v>0.18761838657826277</v>
      </c>
      <c r="I10252">
        <v>0.18761838657826321</v>
      </c>
    </row>
    <row r="10253" spans="1:9" x14ac:dyDescent="0.25">
      <c r="A10253">
        <v>409</v>
      </c>
      <c r="B10253" t="s">
        <v>3139</v>
      </c>
      <c r="C10253" t="s">
        <v>10</v>
      </c>
      <c r="D10253" t="s">
        <v>68</v>
      </c>
      <c r="E10253">
        <f>3/155</f>
        <v>1.935483870967742E-2</v>
      </c>
      <c r="F10253">
        <v>43</v>
      </c>
      <c r="G10253">
        <f>LOG(382/(43+1))</f>
        <v>0.93861068642552126</v>
      </c>
      <c r="H10253">
        <f>0.0193548387096774*2.16123097468831</f>
        <v>4.1830276929451113E-2</v>
      </c>
      <c r="I10253">
        <v>4.1830276929451238E-2</v>
      </c>
    </row>
    <row r="10254" spans="1:9" x14ac:dyDescent="0.25">
      <c r="A10254">
        <v>409</v>
      </c>
      <c r="B10254" t="s">
        <v>3139</v>
      </c>
      <c r="C10254" t="s">
        <v>10</v>
      </c>
      <c r="D10254" t="s">
        <v>44</v>
      </c>
      <c r="E10254">
        <f>10/155</f>
        <v>6.4516129032258063E-2</v>
      </c>
      <c r="F10254">
        <v>151</v>
      </c>
      <c r="G10254">
        <f>LOG(382/(151+1))</f>
        <v>0.40021977496693617</v>
      </c>
      <c r="H10254">
        <f>0.064516129032258*0.921540087760298</f>
        <v>5.9454199210341743E-2</v>
      </c>
      <c r="I10254">
        <v>5.9454199210341847E-2</v>
      </c>
    </row>
    <row r="10255" spans="1:9" x14ac:dyDescent="0.25">
      <c r="A10255">
        <v>409</v>
      </c>
      <c r="B10255" t="s">
        <v>3139</v>
      </c>
      <c r="C10255" t="s">
        <v>10</v>
      </c>
      <c r="D10255" t="s">
        <v>247</v>
      </c>
      <c r="E10255">
        <f>2/155</f>
        <v>1.2903225806451613E-2</v>
      </c>
      <c r="F10255">
        <v>121</v>
      </c>
      <c r="G10255">
        <f>LOG(382/(121+1))</f>
        <v>0.49570353223696051</v>
      </c>
      <c r="H10255">
        <f>0.0129032258064516*1.14139956387331</f>
        <v>1.4727736308042697E-2</v>
      </c>
      <c r="I10255">
        <v>1.472773630804282E-2</v>
      </c>
    </row>
    <row r="10256" spans="1:9" x14ac:dyDescent="0.25">
      <c r="A10256">
        <v>409</v>
      </c>
      <c r="B10256" t="s">
        <v>3139</v>
      </c>
      <c r="C10256" t="s">
        <v>10</v>
      </c>
      <c r="D10256" t="s">
        <v>39</v>
      </c>
      <c r="E10256">
        <f>2/155</f>
        <v>1.2903225806451613E-2</v>
      </c>
      <c r="F10256">
        <v>145</v>
      </c>
      <c r="G10256">
        <f>LOG(382/(145+1))</f>
        <v>0.41771050712727159</v>
      </c>
      <c r="H10256">
        <f>0.0129032258064516*0.961813986898238</f>
        <v>1.2410503056751447E-2</v>
      </c>
      <c r="I10256">
        <v>1.241050305675147E-2</v>
      </c>
    </row>
    <row r="10257" spans="1:9" x14ac:dyDescent="0.25">
      <c r="A10257">
        <v>409</v>
      </c>
      <c r="B10257" t="s">
        <v>3139</v>
      </c>
      <c r="C10257" t="s">
        <v>10</v>
      </c>
      <c r="D10257" t="s">
        <v>42</v>
      </c>
      <c r="E10257">
        <f>1/155</f>
        <v>6.4516129032258064E-3</v>
      </c>
      <c r="F10257">
        <v>251</v>
      </c>
      <c r="G10257">
        <f>LOG(382/(251+1))</f>
        <v>0.18066282213016463</v>
      </c>
      <c r="H10257">
        <f>0.0064516129032258*0.415991521095151</f>
        <v>2.6838162651300038E-3</v>
      </c>
      <c r="I10257">
        <v>2.683816265130012E-3</v>
      </c>
    </row>
    <row r="10258" spans="1:9" x14ac:dyDescent="0.25">
      <c r="A10258">
        <v>409</v>
      </c>
      <c r="B10258" t="s">
        <v>3139</v>
      </c>
      <c r="C10258" t="s">
        <v>10</v>
      </c>
      <c r="D10258" t="s">
        <v>70</v>
      </c>
      <c r="E10258">
        <f>1/155</f>
        <v>6.4516129032258064E-3</v>
      </c>
      <c r="F10258">
        <v>44</v>
      </c>
      <c r="G10258">
        <f>LOG(382/(44+1))</f>
        <v>0.92885084913636506</v>
      </c>
      <c r="H10258">
        <f>0.0064516129032258*2.13875811883625</f>
        <v>1.3798439476362889E-2</v>
      </c>
      <c r="I10258">
        <v>1.379843947636294E-2</v>
      </c>
    </row>
    <row r="10259" spans="1:9" x14ac:dyDescent="0.25">
      <c r="A10259">
        <v>409</v>
      </c>
      <c r="B10259" t="s">
        <v>3139</v>
      </c>
      <c r="C10259" t="s">
        <v>10</v>
      </c>
      <c r="D10259" t="s">
        <v>19</v>
      </c>
      <c r="E10259">
        <f>4/155</f>
        <v>2.5806451612903226E-2</v>
      </c>
      <c r="F10259">
        <v>220</v>
      </c>
      <c r="G10259">
        <f>LOG(382/(220+1))</f>
        <v>0.23767108922659805</v>
      </c>
      <c r="H10259">
        <f>0.0258064516129032*0.547257907088822</f>
        <v>1.4122784699066361E-2</v>
      </c>
      <c r="I10259">
        <v>1.4122784699066381E-2</v>
      </c>
    </row>
    <row r="10260" spans="1:9" x14ac:dyDescent="0.25">
      <c r="A10260">
        <v>409</v>
      </c>
      <c r="B10260" t="s">
        <v>3139</v>
      </c>
      <c r="C10260" t="s">
        <v>10</v>
      </c>
      <c r="D10260" t="s">
        <v>22</v>
      </c>
      <c r="E10260">
        <f>1/155</f>
        <v>6.4516129032258064E-3</v>
      </c>
      <c r="F10260">
        <v>259</v>
      </c>
      <c r="G10260">
        <f>LOG(382/(259+1))</f>
        <v>0.16709001494089079</v>
      </c>
      <c r="H10260">
        <f>0.0064516129032258*0.384738977591047</f>
        <v>2.4821869522003012E-3</v>
      </c>
      <c r="I10260">
        <v>2.4821869522003068E-3</v>
      </c>
    </row>
    <row r="10261" spans="1:9" x14ac:dyDescent="0.25">
      <c r="A10261">
        <v>409</v>
      </c>
      <c r="B10261" t="s">
        <v>3139</v>
      </c>
      <c r="C10261" t="s">
        <v>10</v>
      </c>
      <c r="D10261" t="s">
        <v>23</v>
      </c>
      <c r="E10261">
        <f>1/155</f>
        <v>6.4516129032258064E-3</v>
      </c>
      <c r="F10261">
        <v>275</v>
      </c>
      <c r="G10261">
        <f>LOG(382/(275+1))</f>
        <v>0.14115428084649101</v>
      </c>
      <c r="H10261">
        <f>0.0064516129032258*0.325019742889425</f>
        <v>2.0969015670285465E-3</v>
      </c>
      <c r="I10261">
        <v>2.09690156702855E-3</v>
      </c>
    </row>
    <row r="10262" spans="1:9" x14ac:dyDescent="0.25">
      <c r="A10262">
        <v>409</v>
      </c>
      <c r="B10262" t="s">
        <v>3139</v>
      </c>
      <c r="C10262" t="s">
        <v>10</v>
      </c>
      <c r="D10262" t="s">
        <v>204</v>
      </c>
      <c r="E10262">
        <f>2/155</f>
        <v>1.2903225806451613E-2</v>
      </c>
      <c r="F10262">
        <v>166</v>
      </c>
      <c r="G10262">
        <f>LOG(382/(166+1))</f>
        <v>0.35934689176412549</v>
      </c>
      <c r="H10262">
        <f>0.0129032258064516*0.82742679618982</f>
        <v>1.0676474789546054E-2</v>
      </c>
      <c r="I10262">
        <v>1.0676474789546069E-2</v>
      </c>
    </row>
    <row r="10263" spans="1:9" x14ac:dyDescent="0.25">
      <c r="A10263">
        <v>409</v>
      </c>
      <c r="B10263" t="s">
        <v>3139</v>
      </c>
      <c r="C10263" t="s">
        <v>10</v>
      </c>
      <c r="D10263" t="s">
        <v>2537</v>
      </c>
      <c r="E10263">
        <f>1/155</f>
        <v>6.4516129032258064E-3</v>
      </c>
      <c r="F10263">
        <v>2</v>
      </c>
      <c r="G10263">
        <f>LOG(382/(2+1))</f>
        <v>2.1049421081920463</v>
      </c>
      <c r="H10263">
        <f>0.0064516129032258*4.84680831993846</f>
        <v>3.126973109637713E-2</v>
      </c>
      <c r="I10263">
        <v>3.1269731096377193E-2</v>
      </c>
    </row>
    <row r="10264" spans="1:9" x14ac:dyDescent="0.25">
      <c r="A10264">
        <v>409</v>
      </c>
      <c r="B10264" t="s">
        <v>3139</v>
      </c>
      <c r="C10264" t="s">
        <v>10</v>
      </c>
      <c r="D10264" t="s">
        <v>77</v>
      </c>
      <c r="E10264">
        <f>2/155</f>
        <v>1.2903225806451613E-2</v>
      </c>
      <c r="F10264">
        <v>148</v>
      </c>
      <c r="G10264">
        <f>LOG(382/(148+1))</f>
        <v>0.40887709449943471</v>
      </c>
      <c r="H10264">
        <f>0.0129032258064516*0.941474302661116</f>
        <v>1.2148055518207936E-2</v>
      </c>
      <c r="I10264">
        <v>1.214805551820795E-2</v>
      </c>
    </row>
    <row r="10265" spans="1:9" x14ac:dyDescent="0.25">
      <c r="A10265">
        <v>409</v>
      </c>
      <c r="B10265" t="s">
        <v>3139</v>
      </c>
      <c r="C10265" t="s">
        <v>10</v>
      </c>
      <c r="D10265" t="s">
        <v>78</v>
      </c>
      <c r="E10265">
        <f>1/155</f>
        <v>6.4516129032258064E-3</v>
      </c>
      <c r="F10265">
        <v>122</v>
      </c>
      <c r="G10265">
        <f>LOG(382/(122+1))</f>
        <v>0.49215825147231079</v>
      </c>
      <c r="H10265">
        <f>0.0064516129032258*1.13323625323415</f>
        <v>7.3112016337687031E-3</v>
      </c>
      <c r="I10265">
        <v>7.3112016337687586E-3</v>
      </c>
    </row>
    <row r="10266" spans="1:9" x14ac:dyDescent="0.25">
      <c r="A10266">
        <v>409</v>
      </c>
      <c r="B10266" t="s">
        <v>3139</v>
      </c>
      <c r="C10266" t="s">
        <v>10</v>
      </c>
      <c r="D10266" t="s">
        <v>3140</v>
      </c>
      <c r="E10266">
        <f>1/155</f>
        <v>6.4516129032258064E-3</v>
      </c>
      <c r="F10266">
        <v>1</v>
      </c>
      <c r="G10266">
        <f>LOG(382/(1+1))</f>
        <v>2.2810333672477277</v>
      </c>
      <c r="H10266">
        <f>0.0064516129032258*5.25227342804663</f>
        <v>3.3885635019655642E-2</v>
      </c>
      <c r="I10266">
        <v>3.3885635019655677E-2</v>
      </c>
    </row>
    <row r="10267" spans="1:9" x14ac:dyDescent="0.25">
      <c r="A10267">
        <v>409</v>
      </c>
      <c r="B10267" t="s">
        <v>3139</v>
      </c>
      <c r="C10267" t="s">
        <v>10</v>
      </c>
      <c r="D10267" t="s">
        <v>994</v>
      </c>
      <c r="E10267">
        <f>1/155</f>
        <v>6.4516129032258064E-3</v>
      </c>
      <c r="F10267">
        <v>37</v>
      </c>
      <c r="G10267">
        <f>LOG(382/(37+1))</f>
        <v>1.0022797662948986</v>
      </c>
      <c r="H10267">
        <f>0.0064516129032258*2.30783444888018</f>
        <v>1.4889254508904373E-2</v>
      </c>
      <c r="I10267">
        <v>1.4889254508904449E-2</v>
      </c>
    </row>
    <row r="10268" spans="1:9" x14ac:dyDescent="0.25">
      <c r="A10268">
        <v>409</v>
      </c>
      <c r="B10268" t="s">
        <v>3139</v>
      </c>
      <c r="C10268" t="s">
        <v>10</v>
      </c>
      <c r="D10268" t="s">
        <v>327</v>
      </c>
      <c r="E10268">
        <f>2/155</f>
        <v>1.2903225806451613E-2</v>
      </c>
      <c r="F10268">
        <v>46</v>
      </c>
      <c r="G10268">
        <f>LOG(382/(46+1))</f>
        <v>0.90996550497599127</v>
      </c>
      <c r="H10268">
        <f>0.0129032258064516*2.09527300689651</f>
        <v>2.7035780734148494E-2</v>
      </c>
      <c r="I10268">
        <v>2.7035780734148598E-2</v>
      </c>
    </row>
    <row r="10269" spans="1:9" x14ac:dyDescent="0.25">
      <c r="A10269">
        <v>409</v>
      </c>
      <c r="B10269" t="s">
        <v>3139</v>
      </c>
      <c r="C10269" t="s">
        <v>10</v>
      </c>
      <c r="D10269" t="s">
        <v>1083</v>
      </c>
      <c r="E10269">
        <f>1/155</f>
        <v>6.4516129032258064E-3</v>
      </c>
      <c r="F10269">
        <v>51</v>
      </c>
      <c r="G10269">
        <f>LOG(382/(51+1))</f>
        <v>0.86606001927690957</v>
      </c>
      <c r="H10269">
        <f>0.0064516129032258*1.99417689002514</f>
        <v>1.2865657355000891E-2</v>
      </c>
      <c r="I10269">
        <v>1.286565735500095E-2</v>
      </c>
    </row>
    <row r="10270" spans="1:9" x14ac:dyDescent="0.25">
      <c r="A10270">
        <v>409</v>
      </c>
      <c r="B10270" t="s">
        <v>3139</v>
      </c>
      <c r="C10270" t="s">
        <v>10</v>
      </c>
      <c r="D10270" t="s">
        <v>133</v>
      </c>
      <c r="E10270">
        <f>3/155</f>
        <v>1.935483870967742E-2</v>
      </c>
      <c r="F10270">
        <v>142</v>
      </c>
      <c r="G10270">
        <f>LOG(382/(142+1))</f>
        <v>0.42672732544664693</v>
      </c>
      <c r="H10270">
        <f>0.0193548387096774*0.982575978346667</f>
        <v>1.9017599580903214E-2</v>
      </c>
      <c r="I10270">
        <v>1.9017599580903249E-2</v>
      </c>
    </row>
    <row r="10271" spans="1:9" x14ac:dyDescent="0.25">
      <c r="A10271">
        <v>409</v>
      </c>
      <c r="B10271" t="s">
        <v>3139</v>
      </c>
      <c r="C10271" t="s">
        <v>10</v>
      </c>
      <c r="D10271" t="s">
        <v>331</v>
      </c>
      <c r="E10271">
        <f>1/155</f>
        <v>6.4516129032258064E-3</v>
      </c>
      <c r="F10271">
        <v>130</v>
      </c>
      <c r="G10271">
        <f>LOG(382/(130+1))</f>
        <v>0.46479206725594452</v>
      </c>
      <c r="H10271">
        <f>0.0064516129032258*1.07022328540542</f>
        <v>6.9046663574543164E-3</v>
      </c>
      <c r="I10271">
        <v>6.9046663574543459E-3</v>
      </c>
    </row>
    <row r="10272" spans="1:9" x14ac:dyDescent="0.25">
      <c r="A10272">
        <v>409</v>
      </c>
      <c r="B10272" t="s">
        <v>3139</v>
      </c>
      <c r="C10272" t="s">
        <v>10</v>
      </c>
      <c r="D10272" t="s">
        <v>322</v>
      </c>
      <c r="E10272">
        <f>4/155</f>
        <v>2.5806451612903226E-2</v>
      </c>
      <c r="F10272">
        <v>128</v>
      </c>
      <c r="G10272">
        <f>LOG(382/(128+1))</f>
        <v>0.47147365261245977</v>
      </c>
      <c r="H10272">
        <f>0.0258064516129032*1.0856082042449</f>
        <v>2.8015695593416746E-2</v>
      </c>
      <c r="I10272">
        <v>2.8015695593416851E-2</v>
      </c>
    </row>
    <row r="10273" spans="1:9" x14ac:dyDescent="0.25">
      <c r="A10273">
        <v>409</v>
      </c>
      <c r="B10273" t="s">
        <v>3139</v>
      </c>
      <c r="C10273" t="s">
        <v>10</v>
      </c>
      <c r="D10273" t="s">
        <v>123</v>
      </c>
      <c r="E10273">
        <f>3/155</f>
        <v>1.935483870967742E-2</v>
      </c>
      <c r="F10273">
        <v>74</v>
      </c>
      <c r="G10273">
        <f>LOG(382/(74+1))</f>
        <v>0.7070020995200087</v>
      </c>
      <c r="H10273">
        <f>0.0193548387096774*1.62793249507026</f>
        <v>3.1508370872327579E-2</v>
      </c>
      <c r="I10273">
        <v>3.1508370872327697E-2</v>
      </c>
    </row>
    <row r="10274" spans="1:9" x14ac:dyDescent="0.25">
      <c r="A10274">
        <v>409</v>
      </c>
      <c r="B10274" t="s">
        <v>3139</v>
      </c>
      <c r="C10274" t="s">
        <v>10</v>
      </c>
      <c r="D10274" t="s">
        <v>3141</v>
      </c>
      <c r="E10274">
        <f>1/155</f>
        <v>6.4516129032258064E-3</v>
      </c>
      <c r="F10274">
        <v>1</v>
      </c>
      <c r="G10274">
        <f>LOG(382/(1+1))</f>
        <v>2.2810333672477277</v>
      </c>
      <c r="H10274">
        <f>0.0064516129032258*5.25227342804663</f>
        <v>3.3885635019655642E-2</v>
      </c>
      <c r="I10274">
        <v>3.3885635019655677E-2</v>
      </c>
    </row>
    <row r="10275" spans="1:9" x14ac:dyDescent="0.25">
      <c r="A10275">
        <v>409</v>
      </c>
      <c r="B10275" t="s">
        <v>3139</v>
      </c>
      <c r="C10275" t="s">
        <v>10</v>
      </c>
      <c r="D10275" t="s">
        <v>532</v>
      </c>
      <c r="E10275">
        <f>1/155</f>
        <v>6.4516129032258064E-3</v>
      </c>
      <c r="F10275">
        <v>8</v>
      </c>
      <c r="G10275">
        <f>LOG(382/(8+1))</f>
        <v>1.6278208534723839</v>
      </c>
      <c r="H10275">
        <f>0.0064516129032258*3.74819603127035</f>
        <v>2.4181909879163525E-2</v>
      </c>
      <c r="I10275">
        <v>2.418190987916358E-2</v>
      </c>
    </row>
    <row r="10276" spans="1:9" x14ac:dyDescent="0.25">
      <c r="A10276">
        <v>409</v>
      </c>
      <c r="B10276" t="s">
        <v>3139</v>
      </c>
      <c r="C10276" t="s">
        <v>10</v>
      </c>
      <c r="D10276" t="s">
        <v>754</v>
      </c>
      <c r="E10276">
        <f>1/155</f>
        <v>6.4516129032258064E-3</v>
      </c>
      <c r="F10276">
        <v>111</v>
      </c>
      <c r="G10276">
        <f>LOG(382/(111+1))</f>
        <v>0.53284534024152708</v>
      </c>
      <c r="H10276">
        <f>0.0064516129032258*1.22692173731148</f>
        <v>7.9156241116869596E-3</v>
      </c>
      <c r="I10276">
        <v>7.9156241116869717E-3</v>
      </c>
    </row>
    <row r="10277" spans="1:9" x14ac:dyDescent="0.25">
      <c r="A10277">
        <v>409</v>
      </c>
      <c r="B10277" t="s">
        <v>3139</v>
      </c>
      <c r="C10277" t="s">
        <v>10</v>
      </c>
      <c r="D10277" t="s">
        <v>237</v>
      </c>
      <c r="E10277">
        <f>4/155</f>
        <v>2.5806451612903226E-2</v>
      </c>
      <c r="F10277">
        <v>138</v>
      </c>
      <c r="G10277">
        <f>LOG(382/(138+1))</f>
        <v>0.43904856265761361</v>
      </c>
      <c r="H10277">
        <f>0.0258064516129032*1.01094667547588</f>
        <v>2.6088946463893654E-2</v>
      </c>
      <c r="I10277">
        <v>2.6088946463893769E-2</v>
      </c>
    </row>
    <row r="10278" spans="1:9" x14ac:dyDescent="0.25">
      <c r="A10278">
        <v>409</v>
      </c>
      <c r="B10278" t="s">
        <v>3139</v>
      </c>
      <c r="C10278" t="s">
        <v>10</v>
      </c>
      <c r="D10278" t="s">
        <v>324</v>
      </c>
      <c r="E10278">
        <f>1/155</f>
        <v>6.4516129032258064E-3</v>
      </c>
      <c r="F10278">
        <v>82</v>
      </c>
      <c r="G10278">
        <f>LOG(382/(82+1))</f>
        <v>0.66298527053563483</v>
      </c>
      <c r="H10278">
        <f>0.0064516129032258*1.52658000080997</f>
        <v>9.8489032310320555E-3</v>
      </c>
      <c r="I10278">
        <v>9.848903231032111E-3</v>
      </c>
    </row>
    <row r="10279" spans="1:9" x14ac:dyDescent="0.25">
      <c r="A10279">
        <v>409</v>
      </c>
      <c r="B10279" t="s">
        <v>3139</v>
      </c>
      <c r="C10279" t="s">
        <v>10</v>
      </c>
      <c r="D10279" t="s">
        <v>1222</v>
      </c>
      <c r="E10279">
        <f>1/155</f>
        <v>6.4516129032258064E-3</v>
      </c>
      <c r="F10279">
        <v>56</v>
      </c>
      <c r="G10279">
        <f>LOG(382/(56+1))</f>
        <v>0.82618850723921733</v>
      </c>
      <c r="H10279">
        <f>0.0064516129032258*1.90236934077202</f>
        <v>1.2273350585625923E-2</v>
      </c>
      <c r="I10279">
        <v>1.227335058562597E-2</v>
      </c>
    </row>
    <row r="10280" spans="1:9" x14ac:dyDescent="0.25">
      <c r="A10280">
        <v>409</v>
      </c>
      <c r="B10280" t="s">
        <v>3139</v>
      </c>
      <c r="C10280" t="s">
        <v>10</v>
      </c>
      <c r="D10280" t="s">
        <v>485</v>
      </c>
      <c r="E10280">
        <f>1/155</f>
        <v>6.4516129032258064E-3</v>
      </c>
      <c r="F10280">
        <v>74</v>
      </c>
      <c r="G10280">
        <f>LOG(382/(74+1))</f>
        <v>0.7070020995200087</v>
      </c>
      <c r="H10280">
        <f>0.0064516129032258*1.62793249507026</f>
        <v>1.0502790290775861E-2</v>
      </c>
      <c r="I10280">
        <v>1.05027902907759E-2</v>
      </c>
    </row>
    <row r="10281" spans="1:9" x14ac:dyDescent="0.25">
      <c r="A10281">
        <v>409</v>
      </c>
      <c r="B10281" t="s">
        <v>3139</v>
      </c>
      <c r="C10281" t="s">
        <v>10</v>
      </c>
      <c r="D10281" t="s">
        <v>339</v>
      </c>
      <c r="E10281">
        <f>2/155</f>
        <v>1.2903225806451613E-2</v>
      </c>
      <c r="F10281">
        <v>66</v>
      </c>
      <c r="G10281">
        <f>LOG(382/(66+1))</f>
        <v>0.75598856021088234</v>
      </c>
      <c r="H10281">
        <f>0.0129032258064516*1.7407279892156</f>
        <v>2.2461006312459335E-2</v>
      </c>
      <c r="I10281">
        <v>2.246100631245947E-2</v>
      </c>
    </row>
    <row r="10282" spans="1:9" x14ac:dyDescent="0.25">
      <c r="A10282">
        <v>409</v>
      </c>
      <c r="B10282" t="s">
        <v>3139</v>
      </c>
      <c r="C10282" t="s">
        <v>10</v>
      </c>
      <c r="D10282" t="s">
        <v>340</v>
      </c>
      <c r="E10282">
        <f>2/155</f>
        <v>1.2903225806451613E-2</v>
      </c>
      <c r="F10282">
        <v>28</v>
      </c>
      <c r="G10282">
        <f>LOG(382/(28+1))</f>
        <v>1.1196653650127526</v>
      </c>
      <c r="H10282">
        <f>0.0129032258064516*2.5781247786201</f>
        <v>3.3266126175743191E-2</v>
      </c>
      <c r="I10282">
        <v>3.3266126175743239E-2</v>
      </c>
    </row>
    <row r="10283" spans="1:9" x14ac:dyDescent="0.25">
      <c r="A10283">
        <v>409</v>
      </c>
      <c r="B10283" t="s">
        <v>3139</v>
      </c>
      <c r="C10283" t="s">
        <v>10</v>
      </c>
      <c r="D10283" t="s">
        <v>3142</v>
      </c>
      <c r="E10283">
        <f>1/155</f>
        <v>6.4516129032258064E-3</v>
      </c>
      <c r="F10283">
        <v>1</v>
      </c>
      <c r="G10283">
        <f>LOG(382/(1+1))</f>
        <v>2.2810333672477277</v>
      </c>
      <c r="H10283">
        <f>0.0064516129032258*5.25227342804663</f>
        <v>3.3885635019655642E-2</v>
      </c>
      <c r="I10283">
        <v>3.3885635019655677E-2</v>
      </c>
    </row>
    <row r="10284" spans="1:9" x14ac:dyDescent="0.25">
      <c r="A10284">
        <v>409</v>
      </c>
      <c r="B10284" t="s">
        <v>3139</v>
      </c>
      <c r="C10284" t="s">
        <v>10</v>
      </c>
      <c r="D10284" t="s">
        <v>891</v>
      </c>
      <c r="E10284">
        <f>1/155</f>
        <v>6.4516129032258064E-3</v>
      </c>
      <c r="F10284">
        <v>3</v>
      </c>
      <c r="G10284">
        <f>LOG(382/(3+1))</f>
        <v>1.9800033715837464</v>
      </c>
      <c r="H10284">
        <f>0.0064516129032258*4.55912624748668</f>
        <v>2.941371772572049E-2</v>
      </c>
      <c r="I10284">
        <v>2.9413717725720549E-2</v>
      </c>
    </row>
    <row r="10285" spans="1:9" x14ac:dyDescent="0.25">
      <c r="A10285">
        <v>409</v>
      </c>
      <c r="B10285" t="s">
        <v>3139</v>
      </c>
      <c r="C10285" t="s">
        <v>10</v>
      </c>
      <c r="D10285" t="s">
        <v>1533</v>
      </c>
      <c r="E10285">
        <f>2/155</f>
        <v>1.2903225806451613E-2</v>
      </c>
      <c r="F10285">
        <v>33</v>
      </c>
      <c r="G10285">
        <f>LOG(382/(33+1))</f>
        <v>1.0505844458694535</v>
      </c>
      <c r="H10285">
        <f>0.0129032258064516*2.41906008399041</f>
        <v>3.1213678503102037E-2</v>
      </c>
      <c r="I10285">
        <v>3.121367850310211E-2</v>
      </c>
    </row>
    <row r="10286" spans="1:9" x14ac:dyDescent="0.25">
      <c r="A10286">
        <v>409</v>
      </c>
      <c r="B10286" t="s">
        <v>3139</v>
      </c>
      <c r="C10286" t="s">
        <v>10</v>
      </c>
      <c r="D10286" t="s">
        <v>1880</v>
      </c>
      <c r="E10286">
        <f>1/155</f>
        <v>6.4516129032258064E-3</v>
      </c>
      <c r="F10286">
        <v>4</v>
      </c>
      <c r="G10286">
        <f>LOG(382/(4+1))</f>
        <v>1.8830933585756899</v>
      </c>
      <c r="H10286">
        <f>0.0064516129032258*4.33598269617247</f>
        <v>2.7974081910790104E-2</v>
      </c>
      <c r="I10286">
        <v>2.797408191079016E-2</v>
      </c>
    </row>
    <row r="10287" spans="1:9" x14ac:dyDescent="0.25">
      <c r="A10287">
        <v>409</v>
      </c>
      <c r="B10287" t="s">
        <v>3139</v>
      </c>
      <c r="C10287" t="s">
        <v>10</v>
      </c>
      <c r="D10287" t="s">
        <v>600</v>
      </c>
      <c r="E10287">
        <f>3/155</f>
        <v>1.935483870967742E-2</v>
      </c>
      <c r="F10287">
        <v>102</v>
      </c>
      <c r="G10287">
        <f>LOG(382/(102+1))</f>
        <v>0.56922613820653656</v>
      </c>
      <c r="H10287">
        <f>0.0193548387096774*1.31069162037693</f>
        <v>2.5368224910521202E-2</v>
      </c>
      <c r="I10287">
        <v>2.536822491052141E-2</v>
      </c>
    </row>
    <row r="10288" spans="1:9" x14ac:dyDescent="0.25">
      <c r="A10288">
        <v>409</v>
      </c>
      <c r="B10288" t="s">
        <v>3139</v>
      </c>
      <c r="C10288" t="s">
        <v>10</v>
      </c>
      <c r="D10288" t="s">
        <v>747</v>
      </c>
      <c r="E10288">
        <f>1/155</f>
        <v>6.4516129032258064E-3</v>
      </c>
      <c r="F10288">
        <v>14</v>
      </c>
      <c r="G10288">
        <f>LOG(382/(14+1))</f>
        <v>1.4059721038560276</v>
      </c>
      <c r="H10288">
        <f>0.0064516129032258*3.23737040750436</f>
        <v>2.0886260693576495E-2</v>
      </c>
      <c r="I10288">
        <v>2.0886260693576551E-2</v>
      </c>
    </row>
    <row r="10289" spans="1:9" x14ac:dyDescent="0.25">
      <c r="A10289">
        <v>409</v>
      </c>
      <c r="B10289" t="s">
        <v>3139</v>
      </c>
      <c r="C10289" t="s">
        <v>10</v>
      </c>
      <c r="D10289" t="s">
        <v>714</v>
      </c>
      <c r="E10289">
        <f>1/155</f>
        <v>6.4516129032258064E-3</v>
      </c>
      <c r="F10289">
        <v>12</v>
      </c>
      <c r="G10289">
        <f>LOG(382/(12+1))</f>
        <v>1.468120010604872</v>
      </c>
      <c r="H10289">
        <f>0.0064516129032258*3.38047125114503</f>
        <v>2.1809491942871143E-2</v>
      </c>
      <c r="I10289">
        <v>2.1809491942871219E-2</v>
      </c>
    </row>
    <row r="10290" spans="1:9" x14ac:dyDescent="0.25">
      <c r="A10290">
        <v>409</v>
      </c>
      <c r="B10290" t="s">
        <v>3139</v>
      </c>
      <c r="C10290" t="s">
        <v>10</v>
      </c>
      <c r="D10290" t="s">
        <v>3143</v>
      </c>
      <c r="E10290">
        <f>1/155</f>
        <v>6.4516129032258064E-3</v>
      </c>
      <c r="F10290">
        <v>2</v>
      </c>
      <c r="G10290">
        <f>LOG(382/(2+1))</f>
        <v>2.1049421081920463</v>
      </c>
      <c r="H10290">
        <f>0.0064516129032258*4.84680831993846</f>
        <v>3.126973109637713E-2</v>
      </c>
      <c r="I10290">
        <v>3.1269731096377193E-2</v>
      </c>
    </row>
    <row r="10291" spans="1:9" x14ac:dyDescent="0.25">
      <c r="A10291">
        <v>409</v>
      </c>
      <c r="B10291" t="s">
        <v>3139</v>
      </c>
      <c r="C10291" t="s">
        <v>10</v>
      </c>
      <c r="D10291" t="s">
        <v>755</v>
      </c>
      <c r="E10291">
        <f>1/155</f>
        <v>6.4516129032258064E-3</v>
      </c>
      <c r="F10291">
        <v>19</v>
      </c>
      <c r="G10291">
        <f>LOG(382/(19+1))</f>
        <v>1.2810333672477277</v>
      </c>
      <c r="H10291">
        <f>0.0064516129032258*2.94968833505258</f>
        <v>1.9030247322919854E-2</v>
      </c>
      <c r="I10291">
        <v>1.9030247322919899E-2</v>
      </c>
    </row>
    <row r="10292" spans="1:9" x14ac:dyDescent="0.25">
      <c r="A10292">
        <v>409</v>
      </c>
      <c r="B10292" t="s">
        <v>3139</v>
      </c>
      <c r="C10292" t="s">
        <v>10</v>
      </c>
      <c r="D10292" t="s">
        <v>1448</v>
      </c>
      <c r="E10292">
        <f>1/155</f>
        <v>6.4516129032258064E-3</v>
      </c>
      <c r="F10292">
        <v>11</v>
      </c>
      <c r="G10292">
        <f>LOG(382/(11+1))</f>
        <v>1.5028821168640838</v>
      </c>
      <c r="H10292">
        <f>0.0064516129032258*3.46051395881857</f>
        <v>2.2325896508506884E-2</v>
      </c>
      <c r="I10292">
        <v>2.2325896508506939E-2</v>
      </c>
    </row>
    <row r="10293" spans="1:9" x14ac:dyDescent="0.25">
      <c r="A10293">
        <v>409</v>
      </c>
      <c r="B10293" t="s">
        <v>3139</v>
      </c>
      <c r="C10293" t="s">
        <v>10</v>
      </c>
      <c r="D10293" t="s">
        <v>744</v>
      </c>
      <c r="E10293">
        <f>7/155</f>
        <v>4.5161290322580643E-2</v>
      </c>
      <c r="F10293">
        <v>28</v>
      </c>
      <c r="G10293">
        <f>LOG(382/(28+1))</f>
        <v>1.1196653650127526</v>
      </c>
      <c r="H10293">
        <f>0.0451612903225806*2.5781247786201</f>
        <v>0.11643144161510116</v>
      </c>
      <c r="I10293">
        <v>0.1164314416151013</v>
      </c>
    </row>
    <row r="10294" spans="1:9" x14ac:dyDescent="0.25">
      <c r="A10294">
        <v>409</v>
      </c>
      <c r="B10294" t="s">
        <v>3139</v>
      </c>
      <c r="C10294" t="s">
        <v>10</v>
      </c>
      <c r="D10294" t="s">
        <v>748</v>
      </c>
      <c r="E10294">
        <f>1/155</f>
        <v>6.4516129032258064E-3</v>
      </c>
      <c r="F10294">
        <v>5</v>
      </c>
      <c r="G10294">
        <f>LOG(382/(5+1))</f>
        <v>1.803912112528065</v>
      </c>
      <c r="H10294">
        <f>0.0064516129032258*4.15366113937852</f>
        <v>2.679781380244204E-2</v>
      </c>
      <c r="I10294">
        <v>2.6797813802442061E-2</v>
      </c>
    </row>
    <row r="10295" spans="1:9" x14ac:dyDescent="0.25">
      <c r="A10295">
        <v>409</v>
      </c>
      <c r="B10295" t="s">
        <v>3139</v>
      </c>
      <c r="C10295" t="s">
        <v>10</v>
      </c>
      <c r="D10295" t="s">
        <v>3144</v>
      </c>
      <c r="E10295">
        <f>1/155</f>
        <v>6.4516129032258064E-3</v>
      </c>
      <c r="F10295">
        <v>3</v>
      </c>
      <c r="G10295">
        <f>LOG(382/(3+1))</f>
        <v>1.9800033715837464</v>
      </c>
      <c r="H10295">
        <f>0.0064516129032258*4.55912624748668</f>
        <v>2.941371772572049E-2</v>
      </c>
      <c r="I10295">
        <v>2.9413717725720549E-2</v>
      </c>
    </row>
    <row r="10296" spans="1:9" x14ac:dyDescent="0.25">
      <c r="A10296">
        <v>409</v>
      </c>
      <c r="B10296" t="s">
        <v>3139</v>
      </c>
      <c r="C10296" t="s">
        <v>10</v>
      </c>
      <c r="D10296" t="s">
        <v>24</v>
      </c>
      <c r="E10296">
        <f>3/155</f>
        <v>1.935483870967742E-2</v>
      </c>
      <c r="F10296">
        <v>59</v>
      </c>
      <c r="G10296">
        <f>LOG(382/(59+1))</f>
        <v>0.80391211252806505</v>
      </c>
      <c r="H10296">
        <f>0.0193548387096774*1.85107604638447</f>
        <v>3.5827278317118738E-2</v>
      </c>
      <c r="I10296">
        <v>3.5827278317118863E-2</v>
      </c>
    </row>
    <row r="10297" spans="1:9" x14ac:dyDescent="0.25">
      <c r="A10297">
        <v>409</v>
      </c>
      <c r="B10297" t="s">
        <v>3139</v>
      </c>
      <c r="C10297" t="s">
        <v>10</v>
      </c>
      <c r="D10297" t="s">
        <v>2189</v>
      </c>
      <c r="E10297">
        <f>1/155</f>
        <v>6.4516129032258064E-3</v>
      </c>
      <c r="F10297">
        <v>12</v>
      </c>
      <c r="G10297">
        <f>LOG(382/(12+1))</f>
        <v>1.468120010604872</v>
      </c>
      <c r="H10297">
        <f>0.0064516129032258*3.38047125114503</f>
        <v>2.1809491942871143E-2</v>
      </c>
      <c r="I10297">
        <v>2.1809491942871219E-2</v>
      </c>
    </row>
    <row r="10298" spans="1:9" x14ac:dyDescent="0.25">
      <c r="A10298">
        <v>409</v>
      </c>
      <c r="B10298" t="s">
        <v>3139</v>
      </c>
      <c r="C10298" t="s">
        <v>10</v>
      </c>
      <c r="D10298" t="s">
        <v>863</v>
      </c>
      <c r="E10298">
        <f>1/155</f>
        <v>6.4516129032258064E-3</v>
      </c>
      <c r="F10298">
        <v>14</v>
      </c>
      <c r="G10298">
        <f>LOG(382/(14+1))</f>
        <v>1.4059721038560276</v>
      </c>
      <c r="H10298">
        <f>0.0064516129032258*3.23737040750436</f>
        <v>2.0886260693576495E-2</v>
      </c>
      <c r="I10298">
        <v>2.0886260693576551E-2</v>
      </c>
    </row>
    <row r="10299" spans="1:9" x14ac:dyDescent="0.25">
      <c r="A10299">
        <v>409</v>
      </c>
      <c r="B10299" t="s">
        <v>3139</v>
      </c>
      <c r="C10299" t="s">
        <v>10</v>
      </c>
      <c r="D10299" t="s">
        <v>338</v>
      </c>
      <c r="E10299">
        <f>2/155</f>
        <v>1.2903225806451613E-2</v>
      </c>
      <c r="F10299">
        <v>54</v>
      </c>
      <c r="G10299">
        <f>LOG(382/(54+1))</f>
        <v>0.84170067341746491</v>
      </c>
      <c r="H10299">
        <f>0.0129032258064516*1.9380874233741</f>
        <v>2.5007579656439974E-2</v>
      </c>
      <c r="I10299">
        <v>2.5007579656440061E-2</v>
      </c>
    </row>
    <row r="10300" spans="1:9" x14ac:dyDescent="0.25">
      <c r="A10300">
        <v>409</v>
      </c>
      <c r="B10300" t="s">
        <v>3139</v>
      </c>
      <c r="C10300" t="s">
        <v>10</v>
      </c>
      <c r="D10300" t="s">
        <v>767</v>
      </c>
      <c r="E10300">
        <f t="shared" ref="E10300:E10306" si="482">1/155</f>
        <v>6.4516129032258064E-3</v>
      </c>
      <c r="F10300">
        <v>47</v>
      </c>
      <c r="G10300">
        <f>LOG(382/(47+1))</f>
        <v>0.90082212553612151</v>
      </c>
      <c r="H10300">
        <f>0.0064516129032258*2.07421959769868</f>
        <v>1.3382061920636634E-2</v>
      </c>
      <c r="I10300">
        <v>1.338206192063667E-2</v>
      </c>
    </row>
    <row r="10301" spans="1:9" x14ac:dyDescent="0.25">
      <c r="A10301">
        <v>409</v>
      </c>
      <c r="B10301" t="s">
        <v>3139</v>
      </c>
      <c r="C10301" t="s">
        <v>10</v>
      </c>
      <c r="D10301" t="s">
        <v>2748</v>
      </c>
      <c r="E10301">
        <f t="shared" si="482"/>
        <v>6.4516129032258064E-3</v>
      </c>
      <c r="F10301">
        <v>2</v>
      </c>
      <c r="G10301">
        <f>LOG(382/(2+1))</f>
        <v>2.1049421081920463</v>
      </c>
      <c r="H10301">
        <f>0.0064516129032258*4.84680831993846</f>
        <v>3.126973109637713E-2</v>
      </c>
      <c r="I10301">
        <v>3.1269731096377193E-2</v>
      </c>
    </row>
    <row r="10302" spans="1:9" x14ac:dyDescent="0.25">
      <c r="A10302">
        <v>409</v>
      </c>
      <c r="B10302" t="s">
        <v>3139</v>
      </c>
      <c r="C10302" t="s">
        <v>10</v>
      </c>
      <c r="D10302" t="s">
        <v>764</v>
      </c>
      <c r="E10302">
        <f t="shared" si="482"/>
        <v>6.4516129032258064E-3</v>
      </c>
      <c r="F10302">
        <v>57</v>
      </c>
      <c r="G10302">
        <f>LOG(382/(57+1))</f>
        <v>0.81863536934877146</v>
      </c>
      <c r="H10302">
        <f>0.0064516129032258*1.88497759806015</f>
        <v>1.2161145793936441E-2</v>
      </c>
      <c r="I10302">
        <v>1.2161145793936489E-2</v>
      </c>
    </row>
    <row r="10303" spans="1:9" x14ac:dyDescent="0.25">
      <c r="A10303">
        <v>409</v>
      </c>
      <c r="B10303" t="s">
        <v>3139</v>
      </c>
      <c r="C10303" t="s">
        <v>10</v>
      </c>
      <c r="D10303" t="s">
        <v>765</v>
      </c>
      <c r="E10303">
        <f t="shared" si="482"/>
        <v>6.4516129032258064E-3</v>
      </c>
      <c r="F10303">
        <v>44</v>
      </c>
      <c r="G10303">
        <f>LOG(382/(44+1))</f>
        <v>0.92885084913636506</v>
      </c>
      <c r="H10303">
        <f>0.0064516129032258*2.13875811883625</f>
        <v>1.3798439476362889E-2</v>
      </c>
      <c r="I10303">
        <v>1.379843947636294E-2</v>
      </c>
    </row>
    <row r="10304" spans="1:9" x14ac:dyDescent="0.25">
      <c r="A10304">
        <v>409</v>
      </c>
      <c r="B10304" t="s">
        <v>3139</v>
      </c>
      <c r="C10304" t="s">
        <v>10</v>
      </c>
      <c r="D10304" t="s">
        <v>3145</v>
      </c>
      <c r="E10304">
        <f t="shared" si="482"/>
        <v>6.4516129032258064E-3</v>
      </c>
      <c r="F10304">
        <v>3</v>
      </c>
      <c r="G10304">
        <f>LOG(382/(3+1))</f>
        <v>1.9800033715837464</v>
      </c>
      <c r="H10304">
        <f>0.0064516129032258*4.55912624748668</f>
        <v>2.941371772572049E-2</v>
      </c>
      <c r="I10304">
        <v>2.9413717725720549E-2</v>
      </c>
    </row>
    <row r="10305" spans="1:9" x14ac:dyDescent="0.25">
      <c r="A10305">
        <v>409</v>
      </c>
      <c r="B10305" t="s">
        <v>3139</v>
      </c>
      <c r="C10305" t="s">
        <v>10</v>
      </c>
      <c r="D10305" t="s">
        <v>3146</v>
      </c>
      <c r="E10305">
        <f t="shared" si="482"/>
        <v>6.4516129032258064E-3</v>
      </c>
      <c r="F10305">
        <v>1</v>
      </c>
      <c r="G10305">
        <f>LOG(382/(1+1))</f>
        <v>2.2810333672477277</v>
      </c>
      <c r="H10305">
        <f>0.0064516129032258*5.25227342804663</f>
        <v>3.3885635019655642E-2</v>
      </c>
      <c r="I10305">
        <v>3.3885635019655677E-2</v>
      </c>
    </row>
    <row r="10306" spans="1:9" x14ac:dyDescent="0.25">
      <c r="A10306">
        <v>409</v>
      </c>
      <c r="B10306" t="s">
        <v>3139</v>
      </c>
      <c r="C10306" t="s">
        <v>10</v>
      </c>
      <c r="D10306" t="s">
        <v>2230</v>
      </c>
      <c r="E10306">
        <f t="shared" si="482"/>
        <v>6.4516129032258064E-3</v>
      </c>
      <c r="F10306">
        <v>7</v>
      </c>
      <c r="G10306">
        <f>LOG(382/(7+1))</f>
        <v>1.6789733759197651</v>
      </c>
      <c r="H10306">
        <f>0.0064516129032258*3.86597906692673</f>
        <v>2.4941800431785333E-2</v>
      </c>
      <c r="I10306">
        <v>2.494180043178541E-2</v>
      </c>
    </row>
    <row r="10307" spans="1:9" x14ac:dyDescent="0.25">
      <c r="A10307">
        <v>409</v>
      </c>
      <c r="B10307" t="s">
        <v>3139</v>
      </c>
      <c r="C10307" t="s">
        <v>10</v>
      </c>
      <c r="D10307" t="s">
        <v>76</v>
      </c>
      <c r="E10307">
        <f>2/155</f>
        <v>1.2903225806451613E-2</v>
      </c>
      <c r="F10307">
        <v>140</v>
      </c>
      <c r="G10307">
        <f>LOG(382/(140+1))</f>
        <v>0.43284425025632883</v>
      </c>
      <c r="H10307">
        <f>0.0129032258064516*0.996660718228407</f>
        <v>1.2860138299721368E-2</v>
      </c>
      <c r="I10307">
        <v>1.286013829972138E-2</v>
      </c>
    </row>
    <row r="10308" spans="1:9" x14ac:dyDescent="0.25">
      <c r="A10308">
        <v>409</v>
      </c>
      <c r="B10308" t="s">
        <v>3139</v>
      </c>
      <c r="C10308" t="s">
        <v>10</v>
      </c>
      <c r="D10308" t="s">
        <v>218</v>
      </c>
      <c r="E10308">
        <f t="shared" ref="E10308:E10322" si="483">1/155</f>
        <v>6.4516129032258064E-3</v>
      </c>
      <c r="F10308">
        <v>35</v>
      </c>
      <c r="G10308">
        <f>LOG(382/(35+1))</f>
        <v>1.0257608621444214</v>
      </c>
      <c r="H10308">
        <f>0.0064516129032258*2.36190167015046</f>
        <v>1.5238075291293276E-2</v>
      </c>
      <c r="I10308">
        <v>1.523807529129332E-2</v>
      </c>
    </row>
    <row r="10309" spans="1:9" x14ac:dyDescent="0.25">
      <c r="A10309">
        <v>409</v>
      </c>
      <c r="B10309" t="s">
        <v>3139</v>
      </c>
      <c r="C10309" t="s">
        <v>10</v>
      </c>
      <c r="D10309" t="s">
        <v>1085</v>
      </c>
      <c r="E10309">
        <f t="shared" si="483"/>
        <v>6.4516129032258064E-3</v>
      </c>
      <c r="F10309">
        <v>16</v>
      </c>
      <c r="G10309">
        <f>LOG(382/(16+1))</f>
        <v>1.3516144415334348</v>
      </c>
      <c r="H10309">
        <f>0.0064516129032258*3.11220726455035</f>
        <v>2.0078756545486107E-2</v>
      </c>
      <c r="I10309">
        <v>2.0078756545486191E-2</v>
      </c>
    </row>
    <row r="10310" spans="1:9" x14ac:dyDescent="0.25">
      <c r="A10310">
        <v>409</v>
      </c>
      <c r="B10310" t="s">
        <v>3139</v>
      </c>
      <c r="C10310" t="s">
        <v>10</v>
      </c>
      <c r="D10310" t="s">
        <v>3147</v>
      </c>
      <c r="E10310">
        <f t="shared" si="483"/>
        <v>6.4516129032258064E-3</v>
      </c>
      <c r="F10310">
        <v>1</v>
      </c>
      <c r="G10310">
        <f>LOG(382/(1+1))</f>
        <v>2.2810333672477277</v>
      </c>
      <c r="H10310">
        <f>0.0064516129032258*5.25227342804663</f>
        <v>3.3885635019655642E-2</v>
      </c>
      <c r="I10310">
        <v>3.3885635019655677E-2</v>
      </c>
    </row>
    <row r="10311" spans="1:9" x14ac:dyDescent="0.25">
      <c r="A10311">
        <v>409</v>
      </c>
      <c r="B10311" t="s">
        <v>3139</v>
      </c>
      <c r="C10311" t="s">
        <v>10</v>
      </c>
      <c r="D10311" t="s">
        <v>929</v>
      </c>
      <c r="E10311">
        <f t="shared" si="483"/>
        <v>6.4516129032258064E-3</v>
      </c>
      <c r="F10311">
        <v>32</v>
      </c>
      <c r="G10311">
        <f>LOG(382/(32+1))</f>
        <v>1.0635494230338212</v>
      </c>
      <c r="H10311">
        <f>0.0064516129032258*2.44891304714009</f>
        <v>1.579943901380702E-2</v>
      </c>
      <c r="I10311">
        <v>1.5799439013807069E-2</v>
      </c>
    </row>
    <row r="10312" spans="1:9" x14ac:dyDescent="0.25">
      <c r="A10312">
        <v>409</v>
      </c>
      <c r="B10312" t="s">
        <v>3139</v>
      </c>
      <c r="C10312" t="s">
        <v>10</v>
      </c>
      <c r="D10312" t="s">
        <v>3148</v>
      </c>
      <c r="E10312">
        <f t="shared" si="483"/>
        <v>6.4516129032258064E-3</v>
      </c>
      <c r="F10312">
        <v>1</v>
      </c>
      <c r="G10312">
        <f>LOG(382/(1+1))</f>
        <v>2.2810333672477277</v>
      </c>
      <c r="H10312">
        <f>0.0064516129032258*5.25227342804663</f>
        <v>3.3885635019655642E-2</v>
      </c>
      <c r="I10312">
        <v>3.3885635019655677E-2</v>
      </c>
    </row>
    <row r="10313" spans="1:9" x14ac:dyDescent="0.25">
      <c r="A10313">
        <v>409</v>
      </c>
      <c r="B10313" t="s">
        <v>3139</v>
      </c>
      <c r="C10313" t="s">
        <v>10</v>
      </c>
      <c r="D10313" t="s">
        <v>3015</v>
      </c>
      <c r="E10313">
        <f t="shared" si="483"/>
        <v>6.4516129032258064E-3</v>
      </c>
      <c r="F10313">
        <v>9</v>
      </c>
      <c r="G10313">
        <f>LOG(382/(9+1))</f>
        <v>1.5820633629117087</v>
      </c>
      <c r="H10313">
        <f>0.0064516129032258*3.64283551561252</f>
        <v>2.3502164616854945E-2</v>
      </c>
      <c r="I10313">
        <v>2.3502164616855031E-2</v>
      </c>
    </row>
    <row r="10314" spans="1:9" x14ac:dyDescent="0.25">
      <c r="A10314">
        <v>409</v>
      </c>
      <c r="B10314" t="s">
        <v>3139</v>
      </c>
      <c r="C10314" t="s">
        <v>10</v>
      </c>
      <c r="D10314" t="s">
        <v>3149</v>
      </c>
      <c r="E10314">
        <f t="shared" si="483"/>
        <v>6.4516129032258064E-3</v>
      </c>
      <c r="F10314">
        <v>1</v>
      </c>
      <c r="G10314">
        <f>LOG(382/(1+1))</f>
        <v>2.2810333672477277</v>
      </c>
      <c r="H10314">
        <f>0.0064516129032258*5.25227342804663</f>
        <v>3.3885635019655642E-2</v>
      </c>
      <c r="I10314">
        <v>3.3885635019655677E-2</v>
      </c>
    </row>
    <row r="10315" spans="1:9" x14ac:dyDescent="0.25">
      <c r="A10315">
        <v>409</v>
      </c>
      <c r="B10315" t="s">
        <v>3139</v>
      </c>
      <c r="C10315" t="s">
        <v>10</v>
      </c>
      <c r="D10315" t="s">
        <v>1398</v>
      </c>
      <c r="E10315">
        <f t="shared" si="483"/>
        <v>6.4516129032258064E-3</v>
      </c>
      <c r="F10315">
        <v>29</v>
      </c>
      <c r="G10315">
        <f>LOG(382/(29+1))</f>
        <v>1.1049421081920463</v>
      </c>
      <c r="H10315">
        <f>0.0064516129032258*2.54422322694442</f>
        <v>1.6414343399641401E-2</v>
      </c>
      <c r="I10315">
        <v>1.6414343399641419E-2</v>
      </c>
    </row>
    <row r="10316" spans="1:9" x14ac:dyDescent="0.25">
      <c r="A10316">
        <v>409</v>
      </c>
      <c r="B10316" t="s">
        <v>3139</v>
      </c>
      <c r="C10316" t="s">
        <v>10</v>
      </c>
      <c r="D10316" t="s">
        <v>2065</v>
      </c>
      <c r="E10316">
        <f t="shared" si="483"/>
        <v>6.4516129032258064E-3</v>
      </c>
      <c r="F10316">
        <v>2</v>
      </c>
      <c r="G10316">
        <f>LOG(382/(2+1))</f>
        <v>2.1049421081920463</v>
      </c>
      <c r="H10316">
        <f>0.0064516129032258*4.84680831993846</f>
        <v>3.126973109637713E-2</v>
      </c>
      <c r="I10316">
        <v>3.1269731096377193E-2</v>
      </c>
    </row>
    <row r="10317" spans="1:9" x14ac:dyDescent="0.25">
      <c r="A10317">
        <v>409</v>
      </c>
      <c r="B10317" t="s">
        <v>3139</v>
      </c>
      <c r="C10317" t="s">
        <v>10</v>
      </c>
      <c r="D10317" t="s">
        <v>805</v>
      </c>
      <c r="E10317">
        <f t="shared" si="483"/>
        <v>6.4516129032258064E-3</v>
      </c>
      <c r="F10317">
        <v>19</v>
      </c>
      <c r="G10317">
        <f>LOG(382/(19+1))</f>
        <v>1.2810333672477277</v>
      </c>
      <c r="H10317">
        <f>0.0064516129032258*2.94968833505258</f>
        <v>1.9030247322919854E-2</v>
      </c>
      <c r="I10317">
        <v>1.9030247322919899E-2</v>
      </c>
    </row>
    <row r="10318" spans="1:9" x14ac:dyDescent="0.25">
      <c r="A10318">
        <v>409</v>
      </c>
      <c r="B10318" t="s">
        <v>3139</v>
      </c>
      <c r="C10318" t="s">
        <v>10</v>
      </c>
      <c r="D10318" t="s">
        <v>745</v>
      </c>
      <c r="E10318">
        <f t="shared" si="483"/>
        <v>6.4516129032258064E-3</v>
      </c>
      <c r="F10318">
        <v>3</v>
      </c>
      <c r="G10318">
        <f>LOG(382/(3+1))</f>
        <v>1.9800033715837464</v>
      </c>
      <c r="H10318">
        <f>0.0064516129032258*4.55912624748668</f>
        <v>2.941371772572049E-2</v>
      </c>
      <c r="I10318">
        <v>2.9413717725720549E-2</v>
      </c>
    </row>
    <row r="10319" spans="1:9" x14ac:dyDescent="0.25">
      <c r="A10319">
        <v>409</v>
      </c>
      <c r="B10319" t="s">
        <v>3139</v>
      </c>
      <c r="C10319" t="s">
        <v>10</v>
      </c>
      <c r="D10319" t="s">
        <v>432</v>
      </c>
      <c r="E10319">
        <f t="shared" si="483"/>
        <v>6.4516129032258064E-3</v>
      </c>
      <c r="F10319">
        <v>67</v>
      </c>
      <c r="G10319">
        <f>LOG(382/(67+1))</f>
        <v>0.7495544502054724</v>
      </c>
      <c r="H10319">
        <f>0.0064516129032258*1.72591290343046</f>
        <v>1.1134921957615861E-2</v>
      </c>
      <c r="I10319">
        <v>1.113492195761592E-2</v>
      </c>
    </row>
    <row r="10320" spans="1:9" x14ac:dyDescent="0.25">
      <c r="A10320">
        <v>409</v>
      </c>
      <c r="B10320" t="s">
        <v>3139</v>
      </c>
      <c r="C10320" t="s">
        <v>10</v>
      </c>
      <c r="D10320" t="s">
        <v>1473</v>
      </c>
      <c r="E10320">
        <f t="shared" si="483"/>
        <v>6.4516129032258064E-3</v>
      </c>
      <c r="F10320">
        <v>39</v>
      </c>
      <c r="G10320">
        <f>LOG(382/(39+1))</f>
        <v>0.9800033715837464</v>
      </c>
      <c r="H10320">
        <f>0.0064516129032258*2.25654115449263</f>
        <v>1.4558330028984696E-2</v>
      </c>
      <c r="I10320">
        <v>1.4558330028984771E-2</v>
      </c>
    </row>
    <row r="10321" spans="1:9" x14ac:dyDescent="0.25">
      <c r="A10321">
        <v>409</v>
      </c>
      <c r="B10321" t="s">
        <v>3139</v>
      </c>
      <c r="C10321" t="s">
        <v>10</v>
      </c>
      <c r="D10321" t="s">
        <v>157</v>
      </c>
      <c r="E10321">
        <f t="shared" si="483"/>
        <v>6.4516129032258064E-3</v>
      </c>
      <c r="F10321">
        <v>16</v>
      </c>
      <c r="G10321">
        <f>LOG(382/(16+1))</f>
        <v>1.3516144415334348</v>
      </c>
      <c r="H10321">
        <f>0.0064516129032258*3.11220726455035</f>
        <v>2.0078756545486107E-2</v>
      </c>
      <c r="I10321">
        <v>2.0078756545486191E-2</v>
      </c>
    </row>
    <row r="10322" spans="1:9" x14ac:dyDescent="0.25">
      <c r="A10322">
        <v>409</v>
      </c>
      <c r="B10322" t="s">
        <v>3139</v>
      </c>
      <c r="C10322" t="s">
        <v>10</v>
      </c>
      <c r="D10322" t="s">
        <v>153</v>
      </c>
      <c r="E10322">
        <f t="shared" si="483"/>
        <v>6.4516129032258064E-3</v>
      </c>
      <c r="F10322">
        <v>10</v>
      </c>
      <c r="G10322">
        <f>LOG(382/(10+1))</f>
        <v>1.5406706777534838</v>
      </c>
      <c r="H10322">
        <f>0.0064516129032258*3.5475253358082</f>
        <v>2.2887260231020626E-2</v>
      </c>
      <c r="I10322">
        <v>2.2887260231020671E-2</v>
      </c>
    </row>
    <row r="10323" spans="1:9" x14ac:dyDescent="0.25">
      <c r="A10323">
        <v>409</v>
      </c>
      <c r="B10323" t="s">
        <v>3139</v>
      </c>
      <c r="C10323" t="s">
        <v>10</v>
      </c>
      <c r="D10323" t="s">
        <v>599</v>
      </c>
      <c r="E10323">
        <f>2/155</f>
        <v>1.2903225806451613E-2</v>
      </c>
      <c r="F10323">
        <v>28</v>
      </c>
      <c r="G10323">
        <f>LOG(382/(28+1))</f>
        <v>1.1196653650127526</v>
      </c>
      <c r="H10323">
        <f>0.0129032258064516*2.5781247786201</f>
        <v>3.3266126175743191E-2</v>
      </c>
      <c r="I10323">
        <v>3.3266126175743239E-2</v>
      </c>
    </row>
    <row r="10324" spans="1:9" x14ac:dyDescent="0.25">
      <c r="A10324">
        <v>409</v>
      </c>
      <c r="B10324" t="s">
        <v>3139</v>
      </c>
      <c r="C10324" t="s">
        <v>10</v>
      </c>
      <c r="D10324" t="s">
        <v>3150</v>
      </c>
      <c r="E10324">
        <f t="shared" ref="E10324:E10329" si="484">1/155</f>
        <v>6.4516129032258064E-3</v>
      </c>
      <c r="F10324">
        <v>1</v>
      </c>
      <c r="G10324">
        <f>LOG(382/(1+1))</f>
        <v>2.2810333672477277</v>
      </c>
      <c r="H10324">
        <f>0.0064516129032258*5.25227342804663</f>
        <v>3.3885635019655642E-2</v>
      </c>
      <c r="I10324">
        <v>3.3885635019655677E-2</v>
      </c>
    </row>
    <row r="10325" spans="1:9" x14ac:dyDescent="0.25">
      <c r="A10325">
        <v>409</v>
      </c>
      <c r="B10325" t="s">
        <v>3139</v>
      </c>
      <c r="C10325" t="s">
        <v>10</v>
      </c>
      <c r="D10325" t="s">
        <v>335</v>
      </c>
      <c r="E10325">
        <f t="shared" si="484"/>
        <v>6.4516129032258064E-3</v>
      </c>
      <c r="F10325">
        <v>7</v>
      </c>
      <c r="G10325">
        <f>LOG(382/(7+1))</f>
        <v>1.6789733759197651</v>
      </c>
      <c r="H10325">
        <f>0.0064516129032258*3.86597906692673</f>
        <v>2.4941800431785333E-2</v>
      </c>
      <c r="I10325">
        <v>2.494180043178541E-2</v>
      </c>
    </row>
    <row r="10326" spans="1:9" x14ac:dyDescent="0.25">
      <c r="A10326">
        <v>409</v>
      </c>
      <c r="B10326" t="s">
        <v>3139</v>
      </c>
      <c r="C10326" t="s">
        <v>10</v>
      </c>
      <c r="D10326" t="s">
        <v>2250</v>
      </c>
      <c r="E10326">
        <f t="shared" si="484"/>
        <v>6.4516129032258064E-3</v>
      </c>
      <c r="F10326">
        <v>3</v>
      </c>
      <c r="G10326">
        <f>LOG(382/(3+1))</f>
        <v>1.9800033715837464</v>
      </c>
      <c r="H10326">
        <f>0.0064516129032258*4.55912624748668</f>
        <v>2.941371772572049E-2</v>
      </c>
      <c r="I10326">
        <v>2.9413717725720549E-2</v>
      </c>
    </row>
    <row r="10327" spans="1:9" x14ac:dyDescent="0.25">
      <c r="A10327">
        <v>409</v>
      </c>
      <c r="B10327" t="s">
        <v>3139</v>
      </c>
      <c r="C10327" t="s">
        <v>10</v>
      </c>
      <c r="D10327" t="s">
        <v>3151</v>
      </c>
      <c r="E10327">
        <f t="shared" si="484"/>
        <v>6.4516129032258064E-3</v>
      </c>
      <c r="F10327">
        <v>1</v>
      </c>
      <c r="G10327">
        <f>LOG(382/(1+1))</f>
        <v>2.2810333672477277</v>
      </c>
      <c r="H10327">
        <f>0.0064516129032258*5.25227342804663</f>
        <v>3.3885635019655642E-2</v>
      </c>
      <c r="I10327">
        <v>3.3885635019655677E-2</v>
      </c>
    </row>
    <row r="10328" spans="1:9" x14ac:dyDescent="0.25">
      <c r="A10328">
        <v>409</v>
      </c>
      <c r="B10328" t="s">
        <v>3139</v>
      </c>
      <c r="C10328" t="s">
        <v>10</v>
      </c>
      <c r="D10328" t="s">
        <v>596</v>
      </c>
      <c r="E10328">
        <f t="shared" si="484"/>
        <v>6.4516129032258064E-3</v>
      </c>
      <c r="F10328">
        <v>60</v>
      </c>
      <c r="G10328">
        <f>LOG(382/(60+1))</f>
        <v>0.79673352790094176</v>
      </c>
      <c r="H10328">
        <f>0.0064516129032258*1.83454674443326</f>
        <v>1.1835785447956505E-2</v>
      </c>
      <c r="I10328">
        <v>1.183578544795654E-2</v>
      </c>
    </row>
    <row r="10329" spans="1:9" x14ac:dyDescent="0.25">
      <c r="A10329">
        <v>409</v>
      </c>
      <c r="B10329" t="s">
        <v>3139</v>
      </c>
      <c r="C10329" t="s">
        <v>10</v>
      </c>
      <c r="D10329" t="s">
        <v>1060</v>
      </c>
      <c r="E10329">
        <f t="shared" si="484"/>
        <v>6.4516129032258064E-3</v>
      </c>
      <c r="F10329">
        <v>15</v>
      </c>
      <c r="G10329">
        <f>LOG(382/(15+1))</f>
        <v>1.3779433802557839</v>
      </c>
      <c r="H10329">
        <f>0.0064516129032258*3.17283188636679</f>
        <v>2.0469883137850239E-2</v>
      </c>
      <c r="I10329">
        <v>2.0469883137850281E-2</v>
      </c>
    </row>
    <row r="10330" spans="1:9" x14ac:dyDescent="0.25">
      <c r="A10330">
        <v>409</v>
      </c>
      <c r="B10330" t="s">
        <v>3139</v>
      </c>
      <c r="C10330" t="s">
        <v>10</v>
      </c>
      <c r="D10330" t="s">
        <v>693</v>
      </c>
      <c r="E10330">
        <f>2/155</f>
        <v>1.2903225806451613E-2</v>
      </c>
      <c r="F10330">
        <v>25</v>
      </c>
      <c r="G10330">
        <f>LOG(382/(25+1))</f>
        <v>1.1670900149408907</v>
      </c>
      <c r="H10330">
        <f>0.0129032258064516*2.68732407058509</f>
        <v>3.4675149297872097E-2</v>
      </c>
      <c r="I10330">
        <v>3.4675149297872167E-2</v>
      </c>
    </row>
    <row r="10331" spans="1:9" x14ac:dyDescent="0.25">
      <c r="A10331">
        <v>409</v>
      </c>
      <c r="B10331" t="s">
        <v>3139</v>
      </c>
      <c r="C10331" t="s">
        <v>10</v>
      </c>
      <c r="D10331" t="s">
        <v>438</v>
      </c>
      <c r="E10331">
        <f t="shared" ref="E10331:E10344" si="485">1/155</f>
        <v>6.4516129032258064E-3</v>
      </c>
      <c r="F10331">
        <v>37</v>
      </c>
      <c r="G10331">
        <f>LOG(382/(37+1))</f>
        <v>1.0022797662948986</v>
      </c>
      <c r="H10331">
        <f>0.0064516129032258*2.30783444888018</f>
        <v>1.4889254508904373E-2</v>
      </c>
      <c r="I10331">
        <v>1.4889254508904449E-2</v>
      </c>
    </row>
    <row r="10332" spans="1:9" x14ac:dyDescent="0.25">
      <c r="A10332">
        <v>409</v>
      </c>
      <c r="B10332" t="s">
        <v>3139</v>
      </c>
      <c r="C10332" t="s">
        <v>10</v>
      </c>
      <c r="D10332" t="s">
        <v>436</v>
      </c>
      <c r="E10332">
        <f t="shared" si="485"/>
        <v>6.4516129032258064E-3</v>
      </c>
      <c r="F10332">
        <v>20</v>
      </c>
      <c r="G10332">
        <f>LOG(382/(20+1))</f>
        <v>1.2598440681777894</v>
      </c>
      <c r="H10332">
        <f>0.0064516129032258*2.90089817088315</f>
        <v>1.8715472070213852E-2</v>
      </c>
      <c r="I10332">
        <v>1.8715472070213891E-2</v>
      </c>
    </row>
    <row r="10333" spans="1:9" x14ac:dyDescent="0.25">
      <c r="A10333">
        <v>409</v>
      </c>
      <c r="B10333" t="s">
        <v>3139</v>
      </c>
      <c r="C10333" t="s">
        <v>10</v>
      </c>
      <c r="D10333" t="s">
        <v>3152</v>
      </c>
      <c r="E10333">
        <f t="shared" si="485"/>
        <v>6.4516129032258064E-3</v>
      </c>
      <c r="F10333">
        <v>1</v>
      </c>
      <c r="G10333">
        <f>LOG(382/(1+1))</f>
        <v>2.2810333672477277</v>
      </c>
      <c r="H10333">
        <f>0.0064516129032258*5.25227342804663</f>
        <v>3.3885635019655642E-2</v>
      </c>
      <c r="I10333">
        <v>3.3885635019655677E-2</v>
      </c>
    </row>
    <row r="10334" spans="1:9" x14ac:dyDescent="0.25">
      <c r="A10334">
        <v>409</v>
      </c>
      <c r="B10334" t="s">
        <v>3139</v>
      </c>
      <c r="C10334" t="s">
        <v>10</v>
      </c>
      <c r="D10334" t="s">
        <v>1521</v>
      </c>
      <c r="E10334">
        <f t="shared" si="485"/>
        <v>6.4516129032258064E-3</v>
      </c>
      <c r="F10334">
        <v>6</v>
      </c>
      <c r="G10334">
        <f>LOG(382/(6+1))</f>
        <v>1.736965322897452</v>
      </c>
      <c r="H10334">
        <f>0.0064516129032258*3.99951045955126</f>
        <v>2.5803293287427458E-2</v>
      </c>
      <c r="I10334">
        <v>2.58032932874275E-2</v>
      </c>
    </row>
    <row r="10335" spans="1:9" x14ac:dyDescent="0.25">
      <c r="A10335">
        <v>409</v>
      </c>
      <c r="B10335" t="s">
        <v>3139</v>
      </c>
      <c r="C10335" t="s">
        <v>10</v>
      </c>
      <c r="D10335" t="s">
        <v>775</v>
      </c>
      <c r="E10335">
        <f t="shared" si="485"/>
        <v>6.4516129032258064E-3</v>
      </c>
      <c r="F10335">
        <v>20</v>
      </c>
      <c r="G10335">
        <f>LOG(382/(20+1))</f>
        <v>1.2598440681777894</v>
      </c>
      <c r="H10335">
        <f>0.0064516129032258*2.90089817088315</f>
        <v>1.8715472070213852E-2</v>
      </c>
      <c r="I10335">
        <v>1.8715472070213891E-2</v>
      </c>
    </row>
    <row r="10336" spans="1:9" x14ac:dyDescent="0.25">
      <c r="A10336">
        <v>409</v>
      </c>
      <c r="B10336" t="s">
        <v>3139</v>
      </c>
      <c r="C10336" t="s">
        <v>10</v>
      </c>
      <c r="D10336" t="s">
        <v>388</v>
      </c>
      <c r="E10336">
        <f t="shared" si="485"/>
        <v>6.4516129032258064E-3</v>
      </c>
      <c r="F10336">
        <v>44</v>
      </c>
      <c r="G10336">
        <f>LOG(382/(44+1))</f>
        <v>0.92885084913636506</v>
      </c>
      <c r="H10336">
        <f>0.0064516129032258*2.13875811883625</f>
        <v>1.3798439476362889E-2</v>
      </c>
      <c r="I10336">
        <v>1.379843947636294E-2</v>
      </c>
    </row>
    <row r="10337" spans="1:9" x14ac:dyDescent="0.25">
      <c r="A10337">
        <v>409</v>
      </c>
      <c r="B10337" t="s">
        <v>3139</v>
      </c>
      <c r="C10337" t="s">
        <v>10</v>
      </c>
      <c r="D10337" t="s">
        <v>450</v>
      </c>
      <c r="E10337">
        <f t="shared" si="485"/>
        <v>6.4516129032258064E-3</v>
      </c>
      <c r="F10337">
        <v>17</v>
      </c>
      <c r="G10337">
        <f>LOG(382/(17+1))</f>
        <v>1.3267908578084027</v>
      </c>
      <c r="H10337">
        <f>0.0064516129032258*3.05504885071041</f>
        <v>1.9709992585228431E-2</v>
      </c>
      <c r="I10337">
        <v>1.9709992585228459E-2</v>
      </c>
    </row>
    <row r="10338" spans="1:9" x14ac:dyDescent="0.25">
      <c r="A10338">
        <v>409</v>
      </c>
      <c r="B10338" t="s">
        <v>3139</v>
      </c>
      <c r="C10338" t="s">
        <v>10</v>
      </c>
      <c r="D10338" t="s">
        <v>2105</v>
      </c>
      <c r="E10338">
        <f t="shared" si="485"/>
        <v>6.4516129032258064E-3</v>
      </c>
      <c r="F10338">
        <v>10</v>
      </c>
      <c r="G10338">
        <f>LOG(382/(10+1))</f>
        <v>1.5406706777534838</v>
      </c>
      <c r="H10338">
        <f>0.0064516129032258*3.5475253358082</f>
        <v>2.2887260231020626E-2</v>
      </c>
      <c r="I10338">
        <v>2.2887260231020671E-2</v>
      </c>
    </row>
    <row r="10339" spans="1:9" x14ac:dyDescent="0.25">
      <c r="A10339">
        <v>409</v>
      </c>
      <c r="B10339" t="s">
        <v>3139</v>
      </c>
      <c r="C10339" t="s">
        <v>10</v>
      </c>
      <c r="D10339" t="s">
        <v>243</v>
      </c>
      <c r="E10339">
        <f t="shared" si="485"/>
        <v>6.4516129032258064E-3</v>
      </c>
      <c r="F10339">
        <v>131</v>
      </c>
      <c r="G10339">
        <f>LOG(382/(131+1))</f>
        <v>0.46148943170585888</v>
      </c>
      <c r="H10339">
        <f>0.0064516129032258*1.0626186860202</f>
        <v>6.855604425936768E-3</v>
      </c>
      <c r="I10339">
        <v>6.8556044259368018E-3</v>
      </c>
    </row>
    <row r="10340" spans="1:9" x14ac:dyDescent="0.25">
      <c r="A10340">
        <v>409</v>
      </c>
      <c r="B10340" t="s">
        <v>3139</v>
      </c>
      <c r="C10340" t="s">
        <v>10</v>
      </c>
      <c r="D10340" t="s">
        <v>458</v>
      </c>
      <c r="E10340">
        <f t="shared" si="485"/>
        <v>6.4516129032258064E-3</v>
      </c>
      <c r="F10340">
        <v>34</v>
      </c>
      <c r="G10340">
        <f>LOG(382/(34+1))</f>
        <v>1.037995318561433</v>
      </c>
      <c r="H10340">
        <f>0.0064516129032258*2.39007254711716</f>
        <v>1.5419822884626825E-2</v>
      </c>
      <c r="I10340">
        <v>1.5419822884626851E-2</v>
      </c>
    </row>
    <row r="10341" spans="1:9" x14ac:dyDescent="0.25">
      <c r="A10341">
        <v>409</v>
      </c>
      <c r="B10341" t="s">
        <v>3139</v>
      </c>
      <c r="C10341" t="s">
        <v>10</v>
      </c>
      <c r="D10341" t="s">
        <v>459</v>
      </c>
      <c r="E10341">
        <f t="shared" si="485"/>
        <v>6.4516129032258064E-3</v>
      </c>
      <c r="F10341">
        <v>14</v>
      </c>
      <c r="G10341">
        <f>LOG(382/(14+1))</f>
        <v>1.4059721038560276</v>
      </c>
      <c r="H10341">
        <f>0.0064516129032258*3.23737040750436</f>
        <v>2.0886260693576495E-2</v>
      </c>
      <c r="I10341">
        <v>2.0886260693576551E-2</v>
      </c>
    </row>
    <row r="10342" spans="1:9" x14ac:dyDescent="0.25">
      <c r="A10342">
        <v>409</v>
      </c>
      <c r="B10342" t="s">
        <v>3139</v>
      </c>
      <c r="C10342" t="s">
        <v>10</v>
      </c>
      <c r="D10342" t="s">
        <v>263</v>
      </c>
      <c r="E10342">
        <f t="shared" si="485"/>
        <v>6.4516129032258064E-3</v>
      </c>
      <c r="F10342">
        <v>41</v>
      </c>
      <c r="G10342">
        <f>LOG(382/(41+1))</f>
        <v>0.95881407251380824</v>
      </c>
      <c r="H10342">
        <f>0.0064516129032258*2.2077509903232</f>
        <v>1.4243554776278698E-2</v>
      </c>
      <c r="I10342">
        <v>1.424355477627875E-2</v>
      </c>
    </row>
    <row r="10343" spans="1:9" x14ac:dyDescent="0.25">
      <c r="A10343">
        <v>409</v>
      </c>
      <c r="B10343" t="s">
        <v>3139</v>
      </c>
      <c r="C10343" t="s">
        <v>10</v>
      </c>
      <c r="D10343" t="s">
        <v>1456</v>
      </c>
      <c r="E10343">
        <f t="shared" si="485"/>
        <v>6.4516129032258064E-3</v>
      </c>
      <c r="F10343">
        <v>5</v>
      </c>
      <c r="G10343">
        <f>LOG(382/(5+1))</f>
        <v>1.803912112528065</v>
      </c>
      <c r="H10343">
        <f>0.0064516129032258*4.15366113937852</f>
        <v>2.679781380244204E-2</v>
      </c>
      <c r="I10343">
        <v>2.6797813802442061E-2</v>
      </c>
    </row>
    <row r="10344" spans="1:9" x14ac:dyDescent="0.25">
      <c r="A10344">
        <v>409</v>
      </c>
      <c r="B10344" t="s">
        <v>3139</v>
      </c>
      <c r="C10344" t="s">
        <v>10</v>
      </c>
      <c r="D10344" t="s">
        <v>1019</v>
      </c>
      <c r="E10344">
        <f t="shared" si="485"/>
        <v>6.4516129032258064E-3</v>
      </c>
      <c r="F10344">
        <v>7</v>
      </c>
      <c r="G10344">
        <f>LOG(382/(7+1))</f>
        <v>1.6789733759197651</v>
      </c>
      <c r="H10344">
        <f>0.0064516129032258*3.86597906692673</f>
        <v>2.4941800431785333E-2</v>
      </c>
      <c r="I10344">
        <v>2.494180043178541E-2</v>
      </c>
    </row>
    <row r="10345" spans="1:9" x14ac:dyDescent="0.25">
      <c r="A10345">
        <v>410</v>
      </c>
      <c r="B10345" t="s">
        <v>3153</v>
      </c>
      <c r="C10345" t="s">
        <v>10</v>
      </c>
      <c r="D10345" t="s">
        <v>39</v>
      </c>
      <c r="E10345">
        <f>6/174</f>
        <v>3.4482758620689655E-2</v>
      </c>
      <c r="F10345">
        <v>145</v>
      </c>
      <c r="G10345">
        <f>LOG(382/(145+1))</f>
        <v>0.41771050712727159</v>
      </c>
      <c r="H10345">
        <f>0.0344827586206896*0.961813986898238</f>
        <v>3.3165999548215051E-2</v>
      </c>
      <c r="I10345">
        <v>3.3165999548215128E-2</v>
      </c>
    </row>
    <row r="10346" spans="1:9" x14ac:dyDescent="0.25">
      <c r="A10346">
        <v>410</v>
      </c>
      <c r="B10346" t="s">
        <v>3153</v>
      </c>
      <c r="C10346" t="s">
        <v>10</v>
      </c>
      <c r="D10346" t="s">
        <v>760</v>
      </c>
      <c r="E10346">
        <f>3/174</f>
        <v>1.7241379310344827E-2</v>
      </c>
      <c r="F10346">
        <v>4</v>
      </c>
      <c r="G10346">
        <f>LOG(382/(4+1))</f>
        <v>1.8830933585756899</v>
      </c>
      <c r="H10346">
        <f>0.0172413793103448*4.33598269617247</f>
        <v>7.4758322347801096E-2</v>
      </c>
      <c r="I10346">
        <v>7.475832234780129E-2</v>
      </c>
    </row>
    <row r="10347" spans="1:9" x14ac:dyDescent="0.25">
      <c r="A10347">
        <v>410</v>
      </c>
      <c r="B10347" t="s">
        <v>3153</v>
      </c>
      <c r="C10347" t="s">
        <v>10</v>
      </c>
      <c r="D10347" t="s">
        <v>77</v>
      </c>
      <c r="E10347">
        <f>3/174</f>
        <v>1.7241379310344827E-2</v>
      </c>
      <c r="F10347">
        <v>148</v>
      </c>
      <c r="G10347">
        <f>LOG(382/(148+1))</f>
        <v>0.40887709449943471</v>
      </c>
      <c r="H10347">
        <f>0.0172413793103448*0.941474302661116</f>
        <v>1.6232315563122664E-2</v>
      </c>
      <c r="I10347">
        <v>1.6232315563122691E-2</v>
      </c>
    </row>
    <row r="10348" spans="1:9" x14ac:dyDescent="0.25">
      <c r="A10348">
        <v>410</v>
      </c>
      <c r="B10348" t="s">
        <v>3153</v>
      </c>
      <c r="C10348" t="s">
        <v>10</v>
      </c>
      <c r="D10348" t="s">
        <v>2589</v>
      </c>
      <c r="E10348">
        <f>5/174</f>
        <v>2.8735632183908046E-2</v>
      </c>
      <c r="F10348">
        <v>3</v>
      </c>
      <c r="G10348">
        <f>LOG(382/(3+1))</f>
        <v>1.9800033715837464</v>
      </c>
      <c r="H10348">
        <f>0.028735632183908*4.55912624748668</f>
        <v>0.13100937492777795</v>
      </c>
      <c r="I10348">
        <v>0.13100937492777831</v>
      </c>
    </row>
    <row r="10349" spans="1:9" x14ac:dyDescent="0.25">
      <c r="A10349">
        <v>410</v>
      </c>
      <c r="B10349" t="s">
        <v>3153</v>
      </c>
      <c r="C10349" t="s">
        <v>10</v>
      </c>
      <c r="D10349" t="s">
        <v>2595</v>
      </c>
      <c r="E10349">
        <f>8/174</f>
        <v>4.5977011494252873E-2</v>
      </c>
      <c r="F10349">
        <v>2</v>
      </c>
      <c r="G10349">
        <f>LOG(382/(2+1))</f>
        <v>2.1049421081920463</v>
      </c>
      <c r="H10349">
        <f>0.0459770114942528*4.84680831993846</f>
        <v>0.22284176183625065</v>
      </c>
      <c r="I10349">
        <v>0.22284176183625129</v>
      </c>
    </row>
    <row r="10350" spans="1:9" x14ac:dyDescent="0.25">
      <c r="A10350">
        <v>410</v>
      </c>
      <c r="B10350" t="s">
        <v>3153</v>
      </c>
      <c r="C10350" t="s">
        <v>10</v>
      </c>
      <c r="D10350" t="s">
        <v>404</v>
      </c>
      <c r="E10350">
        <f>3/174</f>
        <v>1.7241379310344827E-2</v>
      </c>
      <c r="F10350">
        <v>22</v>
      </c>
      <c r="G10350">
        <f>LOG(382/(22+1))</f>
        <v>1.2203355268941158</v>
      </c>
      <c r="H10350">
        <f>0.0172413793103448*2.80992639267742</f>
        <v>4.8447006770300262E-2</v>
      </c>
      <c r="I10350">
        <v>4.8447006770300442E-2</v>
      </c>
    </row>
    <row r="10351" spans="1:9" x14ac:dyDescent="0.25">
      <c r="A10351">
        <v>410</v>
      </c>
      <c r="B10351" t="s">
        <v>3153</v>
      </c>
      <c r="C10351" t="s">
        <v>10</v>
      </c>
      <c r="D10351" t="s">
        <v>331</v>
      </c>
      <c r="E10351">
        <f>2/174</f>
        <v>1.1494252873563218E-2</v>
      </c>
      <c r="F10351">
        <v>130</v>
      </c>
      <c r="G10351">
        <f>LOG(382/(130+1))</f>
        <v>0.46479206725594452</v>
      </c>
      <c r="H10351">
        <f>0.0114942528735632*1.07022328540542</f>
        <v>1.2301417073625498E-2</v>
      </c>
      <c r="I10351">
        <v>1.2301417073625561E-2</v>
      </c>
    </row>
    <row r="10352" spans="1:9" x14ac:dyDescent="0.25">
      <c r="A10352">
        <v>410</v>
      </c>
      <c r="B10352" t="s">
        <v>3153</v>
      </c>
      <c r="C10352" t="s">
        <v>10</v>
      </c>
      <c r="D10352" t="s">
        <v>42</v>
      </c>
      <c r="E10352">
        <f>3/174</f>
        <v>1.7241379310344827E-2</v>
      </c>
      <c r="F10352">
        <v>251</v>
      </c>
      <c r="G10352">
        <f>LOG(382/(251+1))</f>
        <v>0.18066282213016463</v>
      </c>
      <c r="H10352">
        <f>0.0172413793103448*0.415991521095151</f>
        <v>7.172267605088798E-3</v>
      </c>
      <c r="I10352">
        <v>7.1722676050888249E-3</v>
      </c>
    </row>
    <row r="10353" spans="1:9" x14ac:dyDescent="0.25">
      <c r="A10353">
        <v>410</v>
      </c>
      <c r="B10353" t="s">
        <v>3153</v>
      </c>
      <c r="C10353" t="s">
        <v>10</v>
      </c>
      <c r="D10353" t="s">
        <v>15</v>
      </c>
      <c r="E10353">
        <f>3/174</f>
        <v>1.7241379310344827E-2</v>
      </c>
      <c r="F10353">
        <v>112</v>
      </c>
      <c r="G10353">
        <f>LOG(382/(112+1))</f>
        <v>0.52898491942828896</v>
      </c>
      <c r="H10353">
        <f>0.0172413793103448*1.21803278989423</f>
        <v>2.1000565343003933E-2</v>
      </c>
      <c r="I10353">
        <v>2.1000565343004051E-2</v>
      </c>
    </row>
    <row r="10354" spans="1:9" x14ac:dyDescent="0.25">
      <c r="A10354">
        <v>410</v>
      </c>
      <c r="B10354" t="s">
        <v>3153</v>
      </c>
      <c r="C10354" t="s">
        <v>10</v>
      </c>
      <c r="D10354" t="s">
        <v>2590</v>
      </c>
      <c r="E10354">
        <f>3/174</f>
        <v>1.7241379310344827E-2</v>
      </c>
      <c r="F10354">
        <v>2</v>
      </c>
      <c r="G10354">
        <f>LOG(382/(2+1))</f>
        <v>2.1049421081920463</v>
      </c>
      <c r="H10354">
        <f>0.0172413793103448*4.84680831993846</f>
        <v>8.3565660688594001E-2</v>
      </c>
      <c r="I10354">
        <v>8.3565660688594223E-2</v>
      </c>
    </row>
    <row r="10355" spans="1:9" x14ac:dyDescent="0.25">
      <c r="A10355">
        <v>410</v>
      </c>
      <c r="B10355" t="s">
        <v>3153</v>
      </c>
      <c r="C10355" t="s">
        <v>10</v>
      </c>
      <c r="D10355" t="s">
        <v>17</v>
      </c>
      <c r="E10355">
        <f>2/174</f>
        <v>1.1494252873563218E-2</v>
      </c>
      <c r="F10355">
        <v>169</v>
      </c>
      <c r="G10355">
        <f>LOG(382/(169+1))</f>
        <v>0.3516144415334348</v>
      </c>
      <c r="H10355">
        <f>0.0114942528735632*0.809622171556313</f>
        <v>9.3060019719116288E-3</v>
      </c>
      <c r="I10355">
        <v>9.3060019719116479E-3</v>
      </c>
    </row>
    <row r="10356" spans="1:9" x14ac:dyDescent="0.25">
      <c r="A10356">
        <v>410</v>
      </c>
      <c r="B10356" t="s">
        <v>3153</v>
      </c>
      <c r="C10356" t="s">
        <v>10</v>
      </c>
      <c r="D10356" t="s">
        <v>2591</v>
      </c>
      <c r="E10356">
        <f>2/174</f>
        <v>1.1494252873563218E-2</v>
      </c>
      <c r="F10356">
        <v>3</v>
      </c>
      <c r="G10356">
        <f>LOG(382/(3+1))</f>
        <v>1.9800033715837464</v>
      </c>
      <c r="H10356">
        <f>0.0114942528735632*4.55912624748668</f>
        <v>5.2403749971111177E-2</v>
      </c>
      <c r="I10356">
        <v>5.2403749971111323E-2</v>
      </c>
    </row>
    <row r="10357" spans="1:9" x14ac:dyDescent="0.25">
      <c r="A10357">
        <v>410</v>
      </c>
      <c r="B10357" t="s">
        <v>3153</v>
      </c>
      <c r="C10357" t="s">
        <v>10</v>
      </c>
      <c r="D10357" t="s">
        <v>2592</v>
      </c>
      <c r="E10357">
        <f>3/174</f>
        <v>1.7241379310344827E-2</v>
      </c>
      <c r="F10357">
        <v>2</v>
      </c>
      <c r="G10357">
        <f>LOG(382/(2+1))</f>
        <v>2.1049421081920463</v>
      </c>
      <c r="H10357">
        <f>0.0172413793103448*4.84680831993846</f>
        <v>8.3565660688594001E-2</v>
      </c>
      <c r="I10357">
        <v>8.3565660688594223E-2</v>
      </c>
    </row>
    <row r="10358" spans="1:9" x14ac:dyDescent="0.25">
      <c r="A10358">
        <v>410</v>
      </c>
      <c r="B10358" t="s">
        <v>3153</v>
      </c>
      <c r="C10358" t="s">
        <v>10</v>
      </c>
      <c r="D10358" t="s">
        <v>19</v>
      </c>
      <c r="E10358">
        <f>2/174</f>
        <v>1.1494252873563218E-2</v>
      </c>
      <c r="F10358">
        <v>220</v>
      </c>
      <c r="G10358">
        <f>LOG(382/(220+1))</f>
        <v>0.23767108922659805</v>
      </c>
      <c r="H10358">
        <f>0.0114942528735632*0.547257907088822</f>
        <v>6.2903207711358751E-3</v>
      </c>
      <c r="I10358">
        <v>6.2903207711358889E-3</v>
      </c>
    </row>
    <row r="10359" spans="1:9" x14ac:dyDescent="0.25">
      <c r="A10359">
        <v>410</v>
      </c>
      <c r="B10359" t="s">
        <v>3153</v>
      </c>
      <c r="C10359" t="s">
        <v>10</v>
      </c>
      <c r="D10359" t="s">
        <v>195</v>
      </c>
      <c r="E10359">
        <f>4/174</f>
        <v>2.2988505747126436E-2</v>
      </c>
      <c r="F10359">
        <v>55</v>
      </c>
      <c r="G10359">
        <f>LOG(382/(55+1))</f>
        <v>0.83387533590550833</v>
      </c>
      <c r="H10359">
        <f>0.0229885057471264*1.92006891787142</f>
        <v>4.4139515353365903E-2</v>
      </c>
      <c r="I10359">
        <v>4.4139515353366111E-2</v>
      </c>
    </row>
    <row r="10360" spans="1:9" x14ac:dyDescent="0.25">
      <c r="A10360">
        <v>410</v>
      </c>
      <c r="B10360" t="s">
        <v>3153</v>
      </c>
      <c r="C10360" t="s">
        <v>10</v>
      </c>
      <c r="D10360" t="s">
        <v>22</v>
      </c>
      <c r="E10360">
        <f>2/174</f>
        <v>1.1494252873563218E-2</v>
      </c>
      <c r="F10360">
        <v>259</v>
      </c>
      <c r="G10360">
        <f>LOG(382/(259+1))</f>
        <v>0.16709001494089079</v>
      </c>
      <c r="H10360">
        <f>0.0114942528735632*0.384738977591047</f>
        <v>4.4222870987476598E-3</v>
      </c>
      <c r="I10360">
        <v>4.4222870987476728E-3</v>
      </c>
    </row>
    <row r="10361" spans="1:9" x14ac:dyDescent="0.25">
      <c r="A10361">
        <v>410</v>
      </c>
      <c r="B10361" t="s">
        <v>3153</v>
      </c>
      <c r="C10361" t="s">
        <v>10</v>
      </c>
      <c r="D10361" t="s">
        <v>23</v>
      </c>
      <c r="E10361">
        <f>2/174</f>
        <v>1.1494252873563218E-2</v>
      </c>
      <c r="F10361">
        <v>275</v>
      </c>
      <c r="G10361">
        <f>LOG(382/(275+1))</f>
        <v>0.14115428084649101</v>
      </c>
      <c r="H10361">
        <f>0.0114942528735632*0.325019742889425</f>
        <v>3.7358591136715451E-3</v>
      </c>
      <c r="I10361">
        <v>3.7358591136715529E-3</v>
      </c>
    </row>
    <row r="10362" spans="1:9" x14ac:dyDescent="0.25">
      <c r="A10362">
        <v>410</v>
      </c>
      <c r="B10362" t="s">
        <v>3153</v>
      </c>
      <c r="C10362" t="s">
        <v>10</v>
      </c>
      <c r="D10362" t="s">
        <v>26</v>
      </c>
      <c r="E10362">
        <f>2/174</f>
        <v>1.1494252873563218E-2</v>
      </c>
      <c r="F10362">
        <v>40</v>
      </c>
      <c r="G10362">
        <f>LOG(382/(40+1))</f>
        <v>0.96927950619197323</v>
      </c>
      <c r="H10362">
        <f>0.0114942528735632*2.23184854190226</f>
        <v>2.5653431516117885E-2</v>
      </c>
      <c r="I10362">
        <v>2.565343151611801E-2</v>
      </c>
    </row>
    <row r="10363" spans="1:9" x14ac:dyDescent="0.25">
      <c r="A10363">
        <v>410</v>
      </c>
      <c r="B10363" t="s">
        <v>3153</v>
      </c>
      <c r="C10363" t="s">
        <v>10</v>
      </c>
      <c r="D10363" t="s">
        <v>2593</v>
      </c>
      <c r="E10363">
        <f>2/174</f>
        <v>1.1494252873563218E-2</v>
      </c>
      <c r="F10363">
        <v>2</v>
      </c>
      <c r="G10363">
        <f>LOG(382/(2+1))</f>
        <v>2.1049421081920463</v>
      </c>
      <c r="H10363">
        <f>0.0114942528735632*4.84680831993846</f>
        <v>5.5710440459062663E-2</v>
      </c>
      <c r="I10363">
        <v>5.5710440459062822E-2</v>
      </c>
    </row>
    <row r="10364" spans="1:9" x14ac:dyDescent="0.25">
      <c r="A10364">
        <v>410</v>
      </c>
      <c r="B10364" t="s">
        <v>3153</v>
      </c>
      <c r="C10364" t="s">
        <v>10</v>
      </c>
      <c r="D10364" t="s">
        <v>1235</v>
      </c>
      <c r="E10364">
        <f>1/174</f>
        <v>5.7471264367816091E-3</v>
      </c>
      <c r="F10364">
        <v>6</v>
      </c>
      <c r="G10364">
        <f>LOG(382/(6+1))</f>
        <v>1.736965322897452</v>
      </c>
      <c r="H10364">
        <f>0.0057471264367816*3.99951045955126</f>
        <v>2.2985692296271572E-2</v>
      </c>
      <c r="I10364">
        <v>2.298569229627162E-2</v>
      </c>
    </row>
    <row r="10365" spans="1:9" x14ac:dyDescent="0.25">
      <c r="A10365">
        <v>410</v>
      </c>
      <c r="B10365" t="s">
        <v>3153</v>
      </c>
      <c r="C10365" t="s">
        <v>10</v>
      </c>
      <c r="D10365" t="s">
        <v>25</v>
      </c>
      <c r="E10365">
        <f>1/174</f>
        <v>5.7471264367816091E-3</v>
      </c>
      <c r="F10365">
        <v>106</v>
      </c>
      <c r="G10365">
        <f>LOG(382/(106+1))</f>
        <v>0.55267958522649907</v>
      </c>
      <c r="H10365">
        <f>0.0057471264367816*1.27259177414466</f>
        <v>7.3137458284175741E-3</v>
      </c>
      <c r="I10365">
        <v>7.3137458284176383E-3</v>
      </c>
    </row>
    <row r="10366" spans="1:9" x14ac:dyDescent="0.25">
      <c r="A10366">
        <v>410</v>
      </c>
      <c r="B10366" t="s">
        <v>3153</v>
      </c>
      <c r="C10366" t="s">
        <v>10</v>
      </c>
      <c r="D10366" t="s">
        <v>485</v>
      </c>
      <c r="E10366">
        <f>3/174</f>
        <v>1.7241379310344827E-2</v>
      </c>
      <c r="F10366">
        <v>74</v>
      </c>
      <c r="G10366">
        <f>LOG(382/(74+1))</f>
        <v>0.7070020995200087</v>
      </c>
      <c r="H10366">
        <f>0.0172413793103448*1.62793249507026</f>
        <v>2.8067801639142371E-2</v>
      </c>
      <c r="I10366">
        <v>2.8067801639142499E-2</v>
      </c>
    </row>
    <row r="10367" spans="1:9" x14ac:dyDescent="0.25">
      <c r="A10367">
        <v>410</v>
      </c>
      <c r="B10367" t="s">
        <v>3153</v>
      </c>
      <c r="C10367" t="s">
        <v>10</v>
      </c>
      <c r="D10367" t="s">
        <v>1984</v>
      </c>
      <c r="E10367">
        <f>2/174</f>
        <v>1.1494252873563218E-2</v>
      </c>
      <c r="F10367">
        <v>7</v>
      </c>
      <c r="G10367">
        <f>LOG(382/(7+1))</f>
        <v>1.6789733759197651</v>
      </c>
      <c r="H10367">
        <f>0.0114942528735632*3.86597906692673</f>
        <v>4.4436540999157746E-2</v>
      </c>
      <c r="I10367">
        <v>4.443654099915792E-2</v>
      </c>
    </row>
    <row r="10368" spans="1:9" x14ac:dyDescent="0.25">
      <c r="A10368">
        <v>410</v>
      </c>
      <c r="B10368" t="s">
        <v>3153</v>
      </c>
      <c r="C10368" t="s">
        <v>10</v>
      </c>
      <c r="D10368" t="s">
        <v>930</v>
      </c>
      <c r="E10368">
        <f>2/174</f>
        <v>1.1494252873563218E-2</v>
      </c>
      <c r="F10368">
        <v>6</v>
      </c>
      <c r="G10368">
        <f>LOG(382/(6+1))</f>
        <v>1.736965322897452</v>
      </c>
      <c r="H10368">
        <f>0.0114942528735632*3.99951045955126</f>
        <v>4.5971384592543144E-2</v>
      </c>
      <c r="I10368">
        <v>4.5971384592543241E-2</v>
      </c>
    </row>
    <row r="10369" spans="1:9" x14ac:dyDescent="0.25">
      <c r="A10369">
        <v>410</v>
      </c>
      <c r="B10369" t="s">
        <v>3153</v>
      </c>
      <c r="C10369" t="s">
        <v>10</v>
      </c>
      <c r="D10369" t="s">
        <v>3154</v>
      </c>
      <c r="E10369">
        <f>1/174</f>
        <v>5.7471264367816091E-3</v>
      </c>
      <c r="F10369">
        <v>1</v>
      </c>
      <c r="G10369">
        <f>LOG(382/(1+1))</f>
        <v>2.2810333672477277</v>
      </c>
      <c r="H10369">
        <f>0.0057471264367816*5.25227342804663</f>
        <v>3.0185479471532304E-2</v>
      </c>
      <c r="I10369">
        <v>3.0185479471532359E-2</v>
      </c>
    </row>
    <row r="10370" spans="1:9" x14ac:dyDescent="0.25">
      <c r="A10370">
        <v>410</v>
      </c>
      <c r="B10370" t="s">
        <v>3153</v>
      </c>
      <c r="C10370" t="s">
        <v>10</v>
      </c>
      <c r="D10370" t="s">
        <v>28</v>
      </c>
      <c r="E10370">
        <f>1/174</f>
        <v>5.7471264367816091E-3</v>
      </c>
      <c r="F10370">
        <v>35</v>
      </c>
      <c r="G10370">
        <f>LOG(382/(35+1))</f>
        <v>1.0257608621444214</v>
      </c>
      <c r="H10370">
        <f>0.0057471264367816*2.36190167015046</f>
        <v>1.3574147529600322E-2</v>
      </c>
      <c r="I10370">
        <v>1.357414752960037E-2</v>
      </c>
    </row>
    <row r="10371" spans="1:9" x14ac:dyDescent="0.25">
      <c r="A10371">
        <v>410</v>
      </c>
      <c r="B10371" t="s">
        <v>3153</v>
      </c>
      <c r="C10371" t="s">
        <v>10</v>
      </c>
      <c r="D10371" t="s">
        <v>476</v>
      </c>
      <c r="E10371">
        <f>1/174</f>
        <v>5.7471264367816091E-3</v>
      </c>
      <c r="F10371">
        <v>18</v>
      </c>
      <c r="G10371">
        <f>LOG(382/(18+1))</f>
        <v>1.3033097619588798</v>
      </c>
      <c r="H10371">
        <f>0.0057471264367816*3.00098162944013</f>
        <v>1.7247020858851294E-2</v>
      </c>
      <c r="I10371">
        <v>1.7247020858851349E-2</v>
      </c>
    </row>
    <row r="10372" spans="1:9" x14ac:dyDescent="0.25">
      <c r="A10372">
        <v>410</v>
      </c>
      <c r="B10372" t="s">
        <v>3153</v>
      </c>
      <c r="C10372" t="s">
        <v>10</v>
      </c>
      <c r="D10372" t="s">
        <v>929</v>
      </c>
      <c r="E10372">
        <f>1/174</f>
        <v>5.7471264367816091E-3</v>
      </c>
      <c r="F10372">
        <v>32</v>
      </c>
      <c r="G10372">
        <f>LOG(382/(32+1))</f>
        <v>1.0635494230338212</v>
      </c>
      <c r="H10372">
        <f>0.0057471264367816*2.44891304714009</f>
        <v>1.4074212914598197E-2</v>
      </c>
      <c r="I10372">
        <v>1.407421291459825E-2</v>
      </c>
    </row>
    <row r="10373" spans="1:9" x14ac:dyDescent="0.25">
      <c r="A10373">
        <v>410</v>
      </c>
      <c r="B10373" t="s">
        <v>3153</v>
      </c>
      <c r="C10373" t="s">
        <v>10</v>
      </c>
      <c r="D10373" t="s">
        <v>716</v>
      </c>
      <c r="E10373">
        <f>1/174</f>
        <v>5.7471264367816091E-3</v>
      </c>
      <c r="F10373">
        <v>13</v>
      </c>
      <c r="G10373">
        <f>LOG(382/(13+1))</f>
        <v>1.4359353272334707</v>
      </c>
      <c r="H10373">
        <f>0.0057471264367816*3.30636327899131</f>
        <v>1.9002087810294853E-2</v>
      </c>
      <c r="I10373">
        <v>1.9002087810294919E-2</v>
      </c>
    </row>
    <row r="10374" spans="1:9" x14ac:dyDescent="0.25">
      <c r="A10374">
        <v>410</v>
      </c>
      <c r="B10374" t="s">
        <v>3153</v>
      </c>
      <c r="C10374" t="s">
        <v>10</v>
      </c>
      <c r="D10374" t="s">
        <v>324</v>
      </c>
      <c r="E10374">
        <f>4/174</f>
        <v>2.2988505747126436E-2</v>
      </c>
      <c r="F10374">
        <v>82</v>
      </c>
      <c r="G10374">
        <f>LOG(382/(82+1))</f>
        <v>0.66298527053563483</v>
      </c>
      <c r="H10374">
        <f>0.0229885057471264*1.52658000080997</f>
        <v>3.5093793122068215E-2</v>
      </c>
      <c r="I10374">
        <v>3.5093793122068437E-2</v>
      </c>
    </row>
    <row r="10375" spans="1:9" x14ac:dyDescent="0.25">
      <c r="A10375">
        <v>410</v>
      </c>
      <c r="B10375" t="s">
        <v>3153</v>
      </c>
      <c r="C10375" t="s">
        <v>10</v>
      </c>
      <c r="D10375" t="s">
        <v>3155</v>
      </c>
      <c r="E10375">
        <f>1/174</f>
        <v>5.7471264367816091E-3</v>
      </c>
      <c r="F10375">
        <v>1</v>
      </c>
      <c r="G10375">
        <f>LOG(382/(1+1))</f>
        <v>2.2810333672477277</v>
      </c>
      <c r="H10375">
        <f>0.0057471264367816*5.25227342804663</f>
        <v>3.0185479471532304E-2</v>
      </c>
      <c r="I10375">
        <v>3.0185479471532359E-2</v>
      </c>
    </row>
    <row r="10376" spans="1:9" x14ac:dyDescent="0.25">
      <c r="A10376">
        <v>410</v>
      </c>
      <c r="B10376" t="s">
        <v>3153</v>
      </c>
      <c r="C10376" t="s">
        <v>10</v>
      </c>
      <c r="D10376" t="s">
        <v>1766</v>
      </c>
      <c r="E10376">
        <f>1/174</f>
        <v>5.7471264367816091E-3</v>
      </c>
      <c r="F10376">
        <v>4</v>
      </c>
      <c r="G10376">
        <f>LOG(382/(4+1))</f>
        <v>1.8830933585756899</v>
      </c>
      <c r="H10376">
        <f>0.0057471264367816*4.33598269617247</f>
        <v>2.4919440782600364E-2</v>
      </c>
      <c r="I10376">
        <v>2.491944078260043E-2</v>
      </c>
    </row>
    <row r="10377" spans="1:9" x14ac:dyDescent="0.25">
      <c r="A10377">
        <v>410</v>
      </c>
      <c r="B10377" t="s">
        <v>3153</v>
      </c>
      <c r="C10377" t="s">
        <v>10</v>
      </c>
      <c r="D10377" t="s">
        <v>76</v>
      </c>
      <c r="E10377">
        <f>2/174</f>
        <v>1.1494252873563218E-2</v>
      </c>
      <c r="F10377">
        <v>140</v>
      </c>
      <c r="G10377">
        <f>LOG(382/(140+1))</f>
        <v>0.43284425025632883</v>
      </c>
      <c r="H10377">
        <f>0.0114942528735632*0.996660718228407</f>
        <v>1.1455870324464429E-2</v>
      </c>
      <c r="I10377">
        <v>1.145587032446445E-2</v>
      </c>
    </row>
    <row r="10378" spans="1:9" x14ac:dyDescent="0.25">
      <c r="A10378">
        <v>410</v>
      </c>
      <c r="B10378" t="s">
        <v>3153</v>
      </c>
      <c r="C10378" t="s">
        <v>10</v>
      </c>
      <c r="D10378" t="s">
        <v>3156</v>
      </c>
      <c r="E10378">
        <f>1/174</f>
        <v>5.7471264367816091E-3</v>
      </c>
      <c r="F10378">
        <v>1</v>
      </c>
      <c r="G10378">
        <f>LOG(382/(1+1))</f>
        <v>2.2810333672477277</v>
      </c>
      <c r="H10378">
        <f>0.0057471264367816*5.25227342804663</f>
        <v>3.0185479471532304E-2</v>
      </c>
      <c r="I10378">
        <v>3.0185479471532359E-2</v>
      </c>
    </row>
    <row r="10379" spans="1:9" x14ac:dyDescent="0.25">
      <c r="A10379">
        <v>410</v>
      </c>
      <c r="B10379" t="s">
        <v>3153</v>
      </c>
      <c r="C10379" t="s">
        <v>10</v>
      </c>
      <c r="D10379" t="s">
        <v>2007</v>
      </c>
      <c r="E10379">
        <f>1/174</f>
        <v>5.7471264367816091E-3</v>
      </c>
      <c r="F10379">
        <v>5</v>
      </c>
      <c r="G10379">
        <f>LOG(382/(5+1))</f>
        <v>1.803912112528065</v>
      </c>
      <c r="H10379">
        <f>0.0057471264367816*4.15366113937852</f>
        <v>2.3871615743554672E-2</v>
      </c>
      <c r="I10379">
        <v>2.387161574355471E-2</v>
      </c>
    </row>
    <row r="10380" spans="1:9" x14ac:dyDescent="0.25">
      <c r="A10380">
        <v>410</v>
      </c>
      <c r="B10380" t="s">
        <v>3153</v>
      </c>
      <c r="C10380" t="s">
        <v>10</v>
      </c>
      <c r="D10380" t="s">
        <v>477</v>
      </c>
      <c r="E10380">
        <f>1/174</f>
        <v>5.7471264367816091E-3</v>
      </c>
      <c r="F10380">
        <v>17</v>
      </c>
      <c r="G10380">
        <f>LOG(382/(17+1))</f>
        <v>1.3267908578084027</v>
      </c>
      <c r="H10380">
        <f>0.0057471264367816*3.05504885071041</f>
        <v>1.7557752015577039E-2</v>
      </c>
      <c r="I10380">
        <v>1.755775201557707E-2</v>
      </c>
    </row>
    <row r="10381" spans="1:9" x14ac:dyDescent="0.25">
      <c r="A10381">
        <v>410</v>
      </c>
      <c r="B10381" t="s">
        <v>3153</v>
      </c>
      <c r="C10381" t="s">
        <v>10</v>
      </c>
      <c r="D10381" t="s">
        <v>40</v>
      </c>
      <c r="E10381">
        <f>1/174</f>
        <v>5.7471264367816091E-3</v>
      </c>
      <c r="F10381">
        <v>159</v>
      </c>
      <c r="G10381">
        <f>LOG(382/(159+1))</f>
        <v>0.377943380255784</v>
      </c>
      <c r="H10381">
        <f>0.0057471264367816*0.870246793372748</f>
        <v>5.0014183527169343E-3</v>
      </c>
      <c r="I10381">
        <v>5.0014183527169447E-3</v>
      </c>
    </row>
    <row r="10382" spans="1:9" x14ac:dyDescent="0.25">
      <c r="A10382">
        <v>410</v>
      </c>
      <c r="B10382" t="s">
        <v>3153</v>
      </c>
      <c r="C10382" t="s">
        <v>10</v>
      </c>
      <c r="D10382" t="s">
        <v>41</v>
      </c>
      <c r="E10382">
        <f>1/174</f>
        <v>5.7471264367816091E-3</v>
      </c>
      <c r="F10382">
        <v>195</v>
      </c>
      <c r="G10382">
        <f>LOG(382/(195+1))</f>
        <v>0.28980729155523272</v>
      </c>
      <c r="H10382">
        <f>0.0057471264367816*0.667305949376058</f>
        <v>3.835091663080787E-3</v>
      </c>
      <c r="I10382">
        <v>3.8350916630807931E-3</v>
      </c>
    </row>
    <row r="10383" spans="1:9" x14ac:dyDescent="0.25">
      <c r="A10383">
        <v>410</v>
      </c>
      <c r="B10383" t="s">
        <v>3153</v>
      </c>
      <c r="C10383" t="s">
        <v>10</v>
      </c>
      <c r="D10383" t="s">
        <v>36</v>
      </c>
      <c r="E10383">
        <f>2/174</f>
        <v>1.1494252873563218E-2</v>
      </c>
      <c r="F10383">
        <v>58</v>
      </c>
      <c r="G10383">
        <f>LOG(382/(58+1))</f>
        <v>0.81121135126956456</v>
      </c>
      <c r="H10383">
        <f>0.0114942528735632*1.86788316470085</f>
        <v>2.1469921433343069E-2</v>
      </c>
      <c r="I10383">
        <v>2.146992143334317E-2</v>
      </c>
    </row>
    <row r="10384" spans="1:9" x14ac:dyDescent="0.25">
      <c r="A10384">
        <v>410</v>
      </c>
      <c r="B10384" t="s">
        <v>3153</v>
      </c>
      <c r="C10384" t="s">
        <v>10</v>
      </c>
      <c r="D10384" t="s">
        <v>161</v>
      </c>
      <c r="E10384">
        <f>1/174</f>
        <v>5.7471264367816091E-3</v>
      </c>
      <c r="F10384">
        <v>33</v>
      </c>
      <c r="G10384">
        <f>LOG(382/(33+1))</f>
        <v>1.0505844458694535</v>
      </c>
      <c r="H10384">
        <f>0.0057471264367816*2.41906008399041</f>
        <v>1.3902644160864404E-2</v>
      </c>
      <c r="I10384">
        <v>1.3902644160864451E-2</v>
      </c>
    </row>
    <row r="10385" spans="1:9" x14ac:dyDescent="0.25">
      <c r="A10385">
        <v>410</v>
      </c>
      <c r="B10385" t="s">
        <v>3153</v>
      </c>
      <c r="C10385" t="s">
        <v>10</v>
      </c>
      <c r="D10385" t="s">
        <v>3157</v>
      </c>
      <c r="E10385">
        <f>1/174</f>
        <v>5.7471264367816091E-3</v>
      </c>
      <c r="F10385">
        <v>1</v>
      </c>
      <c r="G10385">
        <f>LOG(382/(1+1))</f>
        <v>2.2810333672477277</v>
      </c>
      <c r="H10385">
        <f>0.0057471264367816*5.25227342804663</f>
        <v>3.0185479471532304E-2</v>
      </c>
      <c r="I10385">
        <v>3.0185479471532359E-2</v>
      </c>
    </row>
    <row r="10386" spans="1:9" x14ac:dyDescent="0.25">
      <c r="A10386">
        <v>410</v>
      </c>
      <c r="B10386" t="s">
        <v>3153</v>
      </c>
      <c r="C10386" t="s">
        <v>10</v>
      </c>
      <c r="D10386" t="s">
        <v>413</v>
      </c>
      <c r="E10386">
        <f>1/174</f>
        <v>5.7471264367816091E-3</v>
      </c>
      <c r="F10386">
        <v>2</v>
      </c>
      <c r="G10386">
        <f>LOG(382/(2+1))</f>
        <v>2.1049421081920463</v>
      </c>
      <c r="H10386">
        <f>0.0057471264367816*4.84680831993846</f>
        <v>2.7855220229531331E-2</v>
      </c>
      <c r="I10386">
        <v>2.7855220229531411E-2</v>
      </c>
    </row>
    <row r="10387" spans="1:9" x14ac:dyDescent="0.25">
      <c r="A10387">
        <v>410</v>
      </c>
      <c r="B10387" t="s">
        <v>3153</v>
      </c>
      <c r="C10387" t="s">
        <v>10</v>
      </c>
      <c r="D10387" t="s">
        <v>123</v>
      </c>
      <c r="E10387">
        <f>1/174</f>
        <v>5.7471264367816091E-3</v>
      </c>
      <c r="F10387">
        <v>74</v>
      </c>
      <c r="G10387">
        <f>LOG(382/(74+1))</f>
        <v>0.7070020995200087</v>
      </c>
      <c r="H10387">
        <f>0.0057471264367816*1.62793249507026</f>
        <v>9.355933879714123E-3</v>
      </c>
      <c r="I10387">
        <v>9.3559338797141647E-3</v>
      </c>
    </row>
    <row r="10388" spans="1:9" x14ac:dyDescent="0.25">
      <c r="A10388">
        <v>410</v>
      </c>
      <c r="B10388" t="s">
        <v>3153</v>
      </c>
      <c r="C10388" t="s">
        <v>10</v>
      </c>
      <c r="D10388" t="s">
        <v>237</v>
      </c>
      <c r="E10388">
        <f>3/174</f>
        <v>1.7241379310344827E-2</v>
      </c>
      <c r="F10388">
        <v>138</v>
      </c>
      <c r="G10388">
        <f>LOG(382/(138+1))</f>
        <v>0.43904856265761361</v>
      </c>
      <c r="H10388">
        <f>0.0172413793103448*1.01094667547588</f>
        <v>1.7430115094411697E-2</v>
      </c>
      <c r="I10388">
        <v>1.743011509441178E-2</v>
      </c>
    </row>
    <row r="10389" spans="1:9" x14ac:dyDescent="0.25">
      <c r="A10389">
        <v>410</v>
      </c>
      <c r="B10389" t="s">
        <v>3153</v>
      </c>
      <c r="C10389" t="s">
        <v>10</v>
      </c>
      <c r="D10389" t="s">
        <v>133</v>
      </c>
      <c r="E10389">
        <f t="shared" ref="E10389:E10404" si="486">1/174</f>
        <v>5.7471264367816091E-3</v>
      </c>
      <c r="F10389">
        <v>142</v>
      </c>
      <c r="G10389">
        <f>LOG(382/(142+1))</f>
        <v>0.42672732544664693</v>
      </c>
      <c r="H10389">
        <f>0.0057471264367816*0.982575978346667</f>
        <v>5.6469883813026747E-3</v>
      </c>
      <c r="I10389">
        <v>5.6469883813026894E-3</v>
      </c>
    </row>
    <row r="10390" spans="1:9" x14ac:dyDescent="0.25">
      <c r="A10390">
        <v>410</v>
      </c>
      <c r="B10390" t="s">
        <v>3153</v>
      </c>
      <c r="C10390" t="s">
        <v>10</v>
      </c>
      <c r="D10390" t="s">
        <v>3158</v>
      </c>
      <c r="E10390">
        <f t="shared" si="486"/>
        <v>5.7471264367816091E-3</v>
      </c>
      <c r="F10390">
        <v>1</v>
      </c>
      <c r="G10390">
        <f>LOG(382/(1+1))</f>
        <v>2.2810333672477277</v>
      </c>
      <c r="H10390">
        <f>0.0057471264367816*5.25227342804663</f>
        <v>3.0185479471532304E-2</v>
      </c>
      <c r="I10390">
        <v>3.0185479471532359E-2</v>
      </c>
    </row>
    <row r="10391" spans="1:9" x14ac:dyDescent="0.25">
      <c r="A10391">
        <v>410</v>
      </c>
      <c r="B10391" t="s">
        <v>3153</v>
      </c>
      <c r="C10391" t="s">
        <v>10</v>
      </c>
      <c r="D10391" t="s">
        <v>2604</v>
      </c>
      <c r="E10391">
        <f t="shared" si="486"/>
        <v>5.7471264367816091E-3</v>
      </c>
      <c r="F10391">
        <v>2</v>
      </c>
      <c r="G10391">
        <f>LOG(382/(2+1))</f>
        <v>2.1049421081920463</v>
      </c>
      <c r="H10391">
        <f>0.0057471264367816*4.84680831993846</f>
        <v>2.7855220229531331E-2</v>
      </c>
      <c r="I10391">
        <v>2.7855220229531411E-2</v>
      </c>
    </row>
    <row r="10392" spans="1:9" x14ac:dyDescent="0.25">
      <c r="A10392">
        <v>410</v>
      </c>
      <c r="B10392" t="s">
        <v>3153</v>
      </c>
      <c r="C10392" t="s">
        <v>10</v>
      </c>
      <c r="D10392" t="s">
        <v>1855</v>
      </c>
      <c r="E10392">
        <f t="shared" si="486"/>
        <v>5.7471264367816091E-3</v>
      </c>
      <c r="F10392">
        <v>17</v>
      </c>
      <c r="G10392">
        <f>LOG(382/(17+1))</f>
        <v>1.3267908578084027</v>
      </c>
      <c r="H10392">
        <f>0.0057471264367816*3.05504885071041</f>
        <v>1.7557752015577039E-2</v>
      </c>
      <c r="I10392">
        <v>1.755775201557707E-2</v>
      </c>
    </row>
    <row r="10393" spans="1:9" x14ac:dyDescent="0.25">
      <c r="A10393">
        <v>410</v>
      </c>
      <c r="B10393" t="s">
        <v>3153</v>
      </c>
      <c r="C10393" t="s">
        <v>10</v>
      </c>
      <c r="D10393" t="s">
        <v>1476</v>
      </c>
      <c r="E10393">
        <f t="shared" si="486"/>
        <v>5.7471264367816091E-3</v>
      </c>
      <c r="F10393">
        <v>5</v>
      </c>
      <c r="G10393">
        <f>LOG(382/(5+1))</f>
        <v>1.803912112528065</v>
      </c>
      <c r="H10393">
        <f>0.0057471264367816*4.15366113937852</f>
        <v>2.3871615743554672E-2</v>
      </c>
      <c r="I10393">
        <v>2.387161574355471E-2</v>
      </c>
    </row>
    <row r="10394" spans="1:9" x14ac:dyDescent="0.25">
      <c r="A10394">
        <v>410</v>
      </c>
      <c r="B10394" t="s">
        <v>3153</v>
      </c>
      <c r="C10394" t="s">
        <v>10</v>
      </c>
      <c r="D10394" t="s">
        <v>594</v>
      </c>
      <c r="E10394">
        <f t="shared" si="486"/>
        <v>5.7471264367816091E-3</v>
      </c>
      <c r="F10394">
        <v>36</v>
      </c>
      <c r="G10394">
        <f>LOG(382/(36+1))</f>
        <v>1.0138616388447137</v>
      </c>
      <c r="H10394">
        <f>0.0057471264367816*2.33450269596235</f>
        <v>1.3416682160703139E-2</v>
      </c>
      <c r="I10394">
        <v>1.341668216070317E-2</v>
      </c>
    </row>
    <row r="10395" spans="1:9" x14ac:dyDescent="0.25">
      <c r="A10395">
        <v>410</v>
      </c>
      <c r="B10395" t="s">
        <v>3153</v>
      </c>
      <c r="C10395" t="s">
        <v>10</v>
      </c>
      <c r="D10395" t="s">
        <v>1222</v>
      </c>
      <c r="E10395">
        <f t="shared" si="486"/>
        <v>5.7471264367816091E-3</v>
      </c>
      <c r="F10395">
        <v>56</v>
      </c>
      <c r="G10395">
        <f>LOG(382/(56+1))</f>
        <v>0.82618850723921733</v>
      </c>
      <c r="H10395">
        <f>0.0057471264367816*1.90236934077202</f>
        <v>1.093315713087366E-2</v>
      </c>
      <c r="I10395">
        <v>1.093315713087371E-2</v>
      </c>
    </row>
    <row r="10396" spans="1:9" x14ac:dyDescent="0.25">
      <c r="A10396">
        <v>410</v>
      </c>
      <c r="B10396" t="s">
        <v>3153</v>
      </c>
      <c r="C10396" t="s">
        <v>10</v>
      </c>
      <c r="D10396" t="s">
        <v>3159</v>
      </c>
      <c r="E10396">
        <f t="shared" si="486"/>
        <v>5.7471264367816091E-3</v>
      </c>
      <c r="F10396">
        <v>1</v>
      </c>
      <c r="G10396">
        <f>LOG(382/(1+1))</f>
        <v>2.2810333672477277</v>
      </c>
      <c r="H10396">
        <f>0.0057471264367816*5.25227342804663</f>
        <v>3.0185479471532304E-2</v>
      </c>
      <c r="I10396">
        <v>3.0185479471532359E-2</v>
      </c>
    </row>
    <row r="10397" spans="1:9" x14ac:dyDescent="0.25">
      <c r="A10397">
        <v>410</v>
      </c>
      <c r="B10397" t="s">
        <v>3153</v>
      </c>
      <c r="C10397" t="s">
        <v>10</v>
      </c>
      <c r="D10397" t="s">
        <v>1544</v>
      </c>
      <c r="E10397">
        <f t="shared" si="486"/>
        <v>5.7471264367816091E-3</v>
      </c>
      <c r="F10397">
        <v>19</v>
      </c>
      <c r="G10397">
        <f>LOG(382/(19+1))</f>
        <v>1.2810333672477277</v>
      </c>
      <c r="H10397">
        <f>0.0057471264367816*2.94968833505258</f>
        <v>1.6952231810646982E-2</v>
      </c>
      <c r="I10397">
        <v>1.6952231810647041E-2</v>
      </c>
    </row>
    <row r="10398" spans="1:9" x14ac:dyDescent="0.25">
      <c r="A10398">
        <v>410</v>
      </c>
      <c r="B10398" t="s">
        <v>3153</v>
      </c>
      <c r="C10398" t="s">
        <v>10</v>
      </c>
      <c r="D10398" t="s">
        <v>82</v>
      </c>
      <c r="E10398">
        <f t="shared" si="486"/>
        <v>5.7471264367816091E-3</v>
      </c>
      <c r="F10398">
        <v>92</v>
      </c>
      <c r="G10398">
        <f>LOG(382/(92+1))</f>
        <v>0.61358041435777355</v>
      </c>
      <c r="H10398">
        <f>0.0057471264367816*1.41282111545331</f>
        <v>8.1196615830649854E-3</v>
      </c>
      <c r="I10398">
        <v>8.1196615830650531E-3</v>
      </c>
    </row>
    <row r="10399" spans="1:9" x14ac:dyDescent="0.25">
      <c r="A10399">
        <v>410</v>
      </c>
      <c r="B10399" t="s">
        <v>3153</v>
      </c>
      <c r="C10399" t="s">
        <v>10</v>
      </c>
      <c r="D10399" t="s">
        <v>1784</v>
      </c>
      <c r="E10399">
        <f t="shared" si="486"/>
        <v>5.7471264367816091E-3</v>
      </c>
      <c r="F10399">
        <v>6</v>
      </c>
      <c r="G10399">
        <f>LOG(382/(6+1))</f>
        <v>1.736965322897452</v>
      </c>
      <c r="H10399">
        <f>0.0057471264367816*3.99951045955126</f>
        <v>2.2985692296271572E-2</v>
      </c>
      <c r="I10399">
        <v>2.298569229627162E-2</v>
      </c>
    </row>
    <row r="10400" spans="1:9" x14ac:dyDescent="0.25">
      <c r="A10400">
        <v>410</v>
      </c>
      <c r="B10400" t="s">
        <v>3153</v>
      </c>
      <c r="C10400" t="s">
        <v>10</v>
      </c>
      <c r="D10400" t="s">
        <v>878</v>
      </c>
      <c r="E10400">
        <f t="shared" si="486"/>
        <v>5.7471264367816091E-3</v>
      </c>
      <c r="F10400">
        <v>9</v>
      </c>
      <c r="G10400">
        <f>LOG(382/(9+1))</f>
        <v>1.5820633629117087</v>
      </c>
      <c r="H10400">
        <f>0.0057471264367816*3.64283551561252</f>
        <v>2.0935836296623645E-2</v>
      </c>
      <c r="I10400">
        <v>2.0935836296623728E-2</v>
      </c>
    </row>
    <row r="10401" spans="1:9" x14ac:dyDescent="0.25">
      <c r="A10401">
        <v>410</v>
      </c>
      <c r="B10401" t="s">
        <v>3153</v>
      </c>
      <c r="C10401" t="s">
        <v>10</v>
      </c>
      <c r="D10401" t="s">
        <v>3160</v>
      </c>
      <c r="E10401">
        <f t="shared" si="486"/>
        <v>5.7471264367816091E-3</v>
      </c>
      <c r="F10401">
        <v>3</v>
      </c>
      <c r="G10401">
        <f>LOG(382/(3+1))</f>
        <v>1.9800033715837464</v>
      </c>
      <c r="H10401">
        <f>0.0057471264367816*4.55912624748668</f>
        <v>2.6201874985555589E-2</v>
      </c>
      <c r="I10401">
        <v>2.6201874985555661E-2</v>
      </c>
    </row>
    <row r="10402" spans="1:9" x14ac:dyDescent="0.25">
      <c r="A10402">
        <v>410</v>
      </c>
      <c r="B10402" t="s">
        <v>3153</v>
      </c>
      <c r="C10402" t="s">
        <v>10</v>
      </c>
      <c r="D10402" t="s">
        <v>97</v>
      </c>
      <c r="E10402">
        <f t="shared" si="486"/>
        <v>5.7471264367816091E-3</v>
      </c>
      <c r="F10402">
        <v>19</v>
      </c>
      <c r="G10402">
        <f>LOG(382/(19+1))</f>
        <v>1.2810333672477277</v>
      </c>
      <c r="H10402">
        <f>0.0057471264367816*2.94968833505258</f>
        <v>1.6952231810646982E-2</v>
      </c>
      <c r="I10402">
        <v>1.6952231810647041E-2</v>
      </c>
    </row>
    <row r="10403" spans="1:9" x14ac:dyDescent="0.25">
      <c r="A10403">
        <v>410</v>
      </c>
      <c r="B10403" t="s">
        <v>3153</v>
      </c>
      <c r="C10403" t="s">
        <v>10</v>
      </c>
      <c r="D10403" t="s">
        <v>3161</v>
      </c>
      <c r="E10403">
        <f t="shared" si="486"/>
        <v>5.7471264367816091E-3</v>
      </c>
      <c r="F10403">
        <v>1</v>
      </c>
      <c r="G10403">
        <f>LOG(382/(1+1))</f>
        <v>2.2810333672477277</v>
      </c>
      <c r="H10403">
        <f>0.0057471264367816*5.25227342804663</f>
        <v>3.0185479471532304E-2</v>
      </c>
      <c r="I10403">
        <v>3.0185479471532359E-2</v>
      </c>
    </row>
    <row r="10404" spans="1:9" x14ac:dyDescent="0.25">
      <c r="A10404">
        <v>410</v>
      </c>
      <c r="B10404" t="s">
        <v>3153</v>
      </c>
      <c r="C10404" t="s">
        <v>10</v>
      </c>
      <c r="D10404" t="s">
        <v>2451</v>
      </c>
      <c r="E10404">
        <f t="shared" si="486"/>
        <v>5.7471264367816091E-3</v>
      </c>
      <c r="F10404">
        <v>5</v>
      </c>
      <c r="G10404">
        <f>LOG(382/(5+1))</f>
        <v>1.803912112528065</v>
      </c>
      <c r="H10404">
        <f>0.0057471264367816*4.15366113937852</f>
        <v>2.3871615743554672E-2</v>
      </c>
      <c r="I10404">
        <v>2.387161574355471E-2</v>
      </c>
    </row>
    <row r="10405" spans="1:9" x14ac:dyDescent="0.25">
      <c r="A10405">
        <v>410</v>
      </c>
      <c r="B10405" t="s">
        <v>3153</v>
      </c>
      <c r="C10405" t="s">
        <v>10</v>
      </c>
      <c r="D10405" t="s">
        <v>1775</v>
      </c>
      <c r="E10405">
        <f>2/174</f>
        <v>1.1494252873563218E-2</v>
      </c>
      <c r="F10405">
        <v>10</v>
      </c>
      <c r="G10405">
        <f>LOG(382/(10+1))</f>
        <v>1.5406706777534838</v>
      </c>
      <c r="H10405">
        <f>0.0114942528735632*3.5475253358082</f>
        <v>4.0776153285151655E-2</v>
      </c>
      <c r="I10405">
        <v>4.077615328515178E-2</v>
      </c>
    </row>
    <row r="10406" spans="1:9" x14ac:dyDescent="0.25">
      <c r="A10406">
        <v>410</v>
      </c>
      <c r="B10406" t="s">
        <v>3153</v>
      </c>
      <c r="C10406" t="s">
        <v>10</v>
      </c>
      <c r="D10406" t="s">
        <v>3162</v>
      </c>
      <c r="E10406">
        <f>1/174</f>
        <v>5.7471264367816091E-3</v>
      </c>
      <c r="F10406">
        <v>1</v>
      </c>
      <c r="G10406">
        <f>LOG(382/(1+1))</f>
        <v>2.2810333672477277</v>
      </c>
      <c r="H10406">
        <f>0.0057471264367816*5.25227342804663</f>
        <v>3.0185479471532304E-2</v>
      </c>
      <c r="I10406">
        <v>3.0185479471532359E-2</v>
      </c>
    </row>
    <row r="10407" spans="1:9" x14ac:dyDescent="0.25">
      <c r="A10407">
        <v>410</v>
      </c>
      <c r="B10407" t="s">
        <v>3153</v>
      </c>
      <c r="C10407" t="s">
        <v>10</v>
      </c>
      <c r="D10407" t="s">
        <v>432</v>
      </c>
      <c r="E10407">
        <f>1/174</f>
        <v>5.7471264367816091E-3</v>
      </c>
      <c r="F10407">
        <v>67</v>
      </c>
      <c r="G10407">
        <f>LOG(382/(67+1))</f>
        <v>0.7495544502054724</v>
      </c>
      <c r="H10407">
        <f>0.0057471264367816*1.72591290343046</f>
        <v>9.919039674887685E-3</v>
      </c>
      <c r="I10407">
        <v>9.9190396748877491E-3</v>
      </c>
    </row>
    <row r="10408" spans="1:9" x14ac:dyDescent="0.25">
      <c r="A10408">
        <v>410</v>
      </c>
      <c r="B10408" t="s">
        <v>3153</v>
      </c>
      <c r="C10408" t="s">
        <v>10</v>
      </c>
      <c r="D10408" t="s">
        <v>1473</v>
      </c>
      <c r="E10408">
        <f>2/174</f>
        <v>1.1494252873563218E-2</v>
      </c>
      <c r="F10408">
        <v>39</v>
      </c>
      <c r="G10408">
        <f>LOG(382/(39+1))</f>
        <v>0.9800033715837464</v>
      </c>
      <c r="H10408">
        <f>0.0114942528735632*2.25654115449263</f>
        <v>2.5937254649340533E-2</v>
      </c>
      <c r="I10408">
        <v>2.5937254649340678E-2</v>
      </c>
    </row>
    <row r="10409" spans="1:9" x14ac:dyDescent="0.25">
      <c r="A10409">
        <v>410</v>
      </c>
      <c r="B10409" t="s">
        <v>3153</v>
      </c>
      <c r="C10409" t="s">
        <v>10</v>
      </c>
      <c r="D10409" t="s">
        <v>1362</v>
      </c>
      <c r="E10409">
        <f t="shared" ref="E10409:E10414" si="487">1/174</f>
        <v>5.7471264367816091E-3</v>
      </c>
      <c r="F10409">
        <v>12</v>
      </c>
      <c r="G10409">
        <f>LOG(382/(12+1))</f>
        <v>1.468120010604872</v>
      </c>
      <c r="H10409">
        <f>0.0057471264367816*3.38047125114503</f>
        <v>1.9427995696235774E-2</v>
      </c>
      <c r="I10409">
        <v>1.942799569623585E-2</v>
      </c>
    </row>
    <row r="10410" spans="1:9" x14ac:dyDescent="0.25">
      <c r="A10410">
        <v>410</v>
      </c>
      <c r="B10410" t="s">
        <v>3153</v>
      </c>
      <c r="C10410" t="s">
        <v>10</v>
      </c>
      <c r="D10410" t="s">
        <v>1472</v>
      </c>
      <c r="E10410">
        <f t="shared" si="487"/>
        <v>5.7471264367816091E-3</v>
      </c>
      <c r="F10410">
        <v>7</v>
      </c>
      <c r="G10410">
        <f>LOG(382/(7+1))</f>
        <v>1.6789733759197651</v>
      </c>
      <c r="H10410">
        <f>0.0057471264367816*3.86597906692673</f>
        <v>2.2218270499578873E-2</v>
      </c>
      <c r="I10410">
        <v>2.221827049957896E-2</v>
      </c>
    </row>
    <row r="10411" spans="1:9" x14ac:dyDescent="0.25">
      <c r="A10411">
        <v>410</v>
      </c>
      <c r="B10411" t="s">
        <v>3153</v>
      </c>
      <c r="C10411" t="s">
        <v>10</v>
      </c>
      <c r="D10411" t="s">
        <v>814</v>
      </c>
      <c r="E10411">
        <f t="shared" si="487"/>
        <v>5.7471264367816091E-3</v>
      </c>
      <c r="F10411">
        <v>18</v>
      </c>
      <c r="G10411">
        <f>LOG(382/(18+1))</f>
        <v>1.3033097619588798</v>
      </c>
      <c r="H10411">
        <f>0.0057471264367816*3.00098162944013</f>
        <v>1.7247020858851294E-2</v>
      </c>
      <c r="I10411">
        <v>1.7247020858851349E-2</v>
      </c>
    </row>
    <row r="10412" spans="1:9" x14ac:dyDescent="0.25">
      <c r="A10412">
        <v>410</v>
      </c>
      <c r="B10412" t="s">
        <v>3153</v>
      </c>
      <c r="C10412" t="s">
        <v>10</v>
      </c>
      <c r="D10412" t="s">
        <v>1401</v>
      </c>
      <c r="E10412">
        <f t="shared" si="487"/>
        <v>5.7471264367816091E-3</v>
      </c>
      <c r="F10412">
        <v>16</v>
      </c>
      <c r="G10412">
        <f>LOG(382/(16+1))</f>
        <v>1.3516144415334348</v>
      </c>
      <c r="H10412">
        <f>0.0057471264367816*3.11220726455035</f>
        <v>1.788624864684106E-2</v>
      </c>
      <c r="I10412">
        <v>1.788624864684114E-2</v>
      </c>
    </row>
    <row r="10413" spans="1:9" x14ac:dyDescent="0.25">
      <c r="A10413">
        <v>410</v>
      </c>
      <c r="B10413" t="s">
        <v>3153</v>
      </c>
      <c r="C10413" t="s">
        <v>10</v>
      </c>
      <c r="D10413" t="s">
        <v>3163</v>
      </c>
      <c r="E10413">
        <f t="shared" si="487"/>
        <v>5.7471264367816091E-3</v>
      </c>
      <c r="F10413">
        <v>1</v>
      </c>
      <c r="G10413">
        <f>LOG(382/(1+1))</f>
        <v>2.2810333672477277</v>
      </c>
      <c r="H10413">
        <f>0.0057471264367816*5.25227342804663</f>
        <v>3.0185479471532304E-2</v>
      </c>
      <c r="I10413">
        <v>3.0185479471532359E-2</v>
      </c>
    </row>
    <row r="10414" spans="1:9" x14ac:dyDescent="0.25">
      <c r="A10414">
        <v>410</v>
      </c>
      <c r="B10414" t="s">
        <v>3153</v>
      </c>
      <c r="C10414" t="s">
        <v>10</v>
      </c>
      <c r="D10414" t="s">
        <v>913</v>
      </c>
      <c r="E10414">
        <f t="shared" si="487"/>
        <v>5.7471264367816091E-3</v>
      </c>
      <c r="F10414">
        <v>14</v>
      </c>
      <c r="G10414">
        <f>LOG(382/(14+1))</f>
        <v>1.4059721038560276</v>
      </c>
      <c r="H10414">
        <f>0.0057471264367816*3.23737040750436</f>
        <v>1.8605577054622728E-2</v>
      </c>
      <c r="I10414">
        <v>1.8605577054622791E-2</v>
      </c>
    </row>
    <row r="10415" spans="1:9" x14ac:dyDescent="0.25">
      <c r="A10415">
        <v>410</v>
      </c>
      <c r="B10415" t="s">
        <v>3153</v>
      </c>
      <c r="C10415" t="s">
        <v>10</v>
      </c>
      <c r="D10415" t="s">
        <v>147</v>
      </c>
      <c r="E10415">
        <f>4/174</f>
        <v>2.2988505747126436E-2</v>
      </c>
      <c r="F10415">
        <v>48</v>
      </c>
      <c r="G10415">
        <f>LOG(382/(48+1))</f>
        <v>0.89186728288319506</v>
      </c>
      <c r="H10415">
        <f>0.0229885057471264*2.05360031049594</f>
        <v>4.7209202540136469E-2</v>
      </c>
      <c r="I10415">
        <v>4.7209202540136747E-2</v>
      </c>
    </row>
    <row r="10416" spans="1:9" x14ac:dyDescent="0.25">
      <c r="A10416">
        <v>410</v>
      </c>
      <c r="B10416" t="s">
        <v>3153</v>
      </c>
      <c r="C10416" t="s">
        <v>10</v>
      </c>
      <c r="D10416" t="s">
        <v>1501</v>
      </c>
      <c r="E10416">
        <f>2/174</f>
        <v>1.1494252873563218E-2</v>
      </c>
      <c r="F10416">
        <v>3</v>
      </c>
      <c r="G10416">
        <f>LOG(382/(3+1))</f>
        <v>1.9800033715837464</v>
      </c>
      <c r="H10416">
        <f>0.0114942528735632*4.55912624748668</f>
        <v>5.2403749971111177E-2</v>
      </c>
      <c r="I10416">
        <v>5.2403749971111323E-2</v>
      </c>
    </row>
    <row r="10417" spans="1:9" x14ac:dyDescent="0.25">
      <c r="A10417">
        <v>410</v>
      </c>
      <c r="B10417" t="s">
        <v>3153</v>
      </c>
      <c r="C10417" t="s">
        <v>10</v>
      </c>
      <c r="D10417" t="s">
        <v>1505</v>
      </c>
      <c r="E10417">
        <f t="shared" ref="E10417:E10423" si="488">1/174</f>
        <v>5.7471264367816091E-3</v>
      </c>
      <c r="F10417">
        <v>6</v>
      </c>
      <c r="G10417">
        <f>LOG(382/(6+1))</f>
        <v>1.736965322897452</v>
      </c>
      <c r="H10417">
        <f>0.0057471264367816*3.99951045955126</f>
        <v>2.2985692296271572E-2</v>
      </c>
      <c r="I10417">
        <v>2.298569229627162E-2</v>
      </c>
    </row>
    <row r="10418" spans="1:9" x14ac:dyDescent="0.25">
      <c r="A10418">
        <v>410</v>
      </c>
      <c r="B10418" t="s">
        <v>3153</v>
      </c>
      <c r="C10418" t="s">
        <v>10</v>
      </c>
      <c r="D10418" t="s">
        <v>3164</v>
      </c>
      <c r="E10418">
        <f t="shared" si="488"/>
        <v>5.7471264367816091E-3</v>
      </c>
      <c r="F10418">
        <v>1</v>
      </c>
      <c r="G10418">
        <f>LOG(382/(1+1))</f>
        <v>2.2810333672477277</v>
      </c>
      <c r="H10418">
        <f>0.0057471264367816*5.25227342804663</f>
        <v>3.0185479471532304E-2</v>
      </c>
      <c r="I10418">
        <v>3.0185479471532359E-2</v>
      </c>
    </row>
    <row r="10419" spans="1:9" x14ac:dyDescent="0.25">
      <c r="A10419">
        <v>410</v>
      </c>
      <c r="B10419" t="s">
        <v>3153</v>
      </c>
      <c r="C10419" t="s">
        <v>10</v>
      </c>
      <c r="D10419" t="s">
        <v>914</v>
      </c>
      <c r="E10419">
        <f t="shared" si="488"/>
        <v>5.7471264367816091E-3</v>
      </c>
      <c r="F10419">
        <v>4</v>
      </c>
      <c r="G10419">
        <f>LOG(382/(4+1))</f>
        <v>1.8830933585756899</v>
      </c>
      <c r="H10419">
        <f>0.0057471264367816*4.33598269617247</f>
        <v>2.4919440782600364E-2</v>
      </c>
      <c r="I10419">
        <v>2.491944078260043E-2</v>
      </c>
    </row>
    <row r="10420" spans="1:9" x14ac:dyDescent="0.25">
      <c r="A10420">
        <v>410</v>
      </c>
      <c r="B10420" t="s">
        <v>3153</v>
      </c>
      <c r="C10420" t="s">
        <v>10</v>
      </c>
      <c r="D10420" t="s">
        <v>724</v>
      </c>
      <c r="E10420">
        <f t="shared" si="488"/>
        <v>5.7471264367816091E-3</v>
      </c>
      <c r="F10420">
        <v>9</v>
      </c>
      <c r="G10420">
        <f>LOG(382/(9+1))</f>
        <v>1.5820633629117087</v>
      </c>
      <c r="H10420">
        <f>0.0057471264367816*3.64283551561252</f>
        <v>2.0935836296623645E-2</v>
      </c>
      <c r="I10420">
        <v>2.0935836296623728E-2</v>
      </c>
    </row>
    <row r="10421" spans="1:9" x14ac:dyDescent="0.25">
      <c r="A10421">
        <v>410</v>
      </c>
      <c r="B10421" t="s">
        <v>3153</v>
      </c>
      <c r="C10421" t="s">
        <v>10</v>
      </c>
      <c r="D10421" t="s">
        <v>3165</v>
      </c>
      <c r="E10421">
        <f t="shared" si="488"/>
        <v>5.7471264367816091E-3</v>
      </c>
      <c r="F10421">
        <v>1</v>
      </c>
      <c r="G10421">
        <f>LOG(382/(1+1))</f>
        <v>2.2810333672477277</v>
      </c>
      <c r="H10421">
        <f>0.0057471264367816*5.25227342804663</f>
        <v>3.0185479471532304E-2</v>
      </c>
      <c r="I10421">
        <v>3.0185479471532359E-2</v>
      </c>
    </row>
    <row r="10422" spans="1:9" x14ac:dyDescent="0.25">
      <c r="A10422">
        <v>410</v>
      </c>
      <c r="B10422" t="s">
        <v>3153</v>
      </c>
      <c r="C10422" t="s">
        <v>10</v>
      </c>
      <c r="D10422" t="s">
        <v>596</v>
      </c>
      <c r="E10422">
        <f t="shared" si="488"/>
        <v>5.7471264367816091E-3</v>
      </c>
      <c r="F10422">
        <v>60</v>
      </c>
      <c r="G10422">
        <f>LOG(382/(60+1))</f>
        <v>0.79673352790094176</v>
      </c>
      <c r="H10422">
        <f>0.0057471264367816*1.83454674443326</f>
        <v>1.0543372094444005E-2</v>
      </c>
      <c r="I10422">
        <v>1.054337209444405E-2</v>
      </c>
    </row>
    <row r="10423" spans="1:9" x14ac:dyDescent="0.25">
      <c r="A10423">
        <v>410</v>
      </c>
      <c r="B10423" t="s">
        <v>3153</v>
      </c>
      <c r="C10423" t="s">
        <v>10</v>
      </c>
      <c r="D10423" t="s">
        <v>3166</v>
      </c>
      <c r="E10423">
        <f t="shared" si="488"/>
        <v>5.7471264367816091E-3</v>
      </c>
      <c r="F10423">
        <v>1</v>
      </c>
      <c r="G10423">
        <f>LOG(382/(1+1))</f>
        <v>2.2810333672477277</v>
      </c>
      <c r="H10423">
        <f>0.0057471264367816*5.25227342804663</f>
        <v>3.0185479471532304E-2</v>
      </c>
      <c r="I10423">
        <v>3.0185479471532359E-2</v>
      </c>
    </row>
    <row r="10424" spans="1:9" x14ac:dyDescent="0.25">
      <c r="A10424">
        <v>410</v>
      </c>
      <c r="B10424" t="s">
        <v>3153</v>
      </c>
      <c r="C10424" t="s">
        <v>10</v>
      </c>
      <c r="D10424" t="s">
        <v>2655</v>
      </c>
      <c r="E10424">
        <f>2/174</f>
        <v>1.1494252873563218E-2</v>
      </c>
      <c r="F10424">
        <v>3</v>
      </c>
      <c r="G10424">
        <f>LOG(382/(3+1))</f>
        <v>1.9800033715837464</v>
      </c>
      <c r="H10424">
        <f>0.0114942528735632*4.55912624748668</f>
        <v>5.2403749971111177E-2</v>
      </c>
      <c r="I10424">
        <v>5.2403749971111323E-2</v>
      </c>
    </row>
    <row r="10425" spans="1:9" x14ac:dyDescent="0.25">
      <c r="A10425">
        <v>410</v>
      </c>
      <c r="B10425" t="s">
        <v>3153</v>
      </c>
      <c r="C10425" t="s">
        <v>10</v>
      </c>
      <c r="D10425" t="s">
        <v>1474</v>
      </c>
      <c r="E10425">
        <f>3/174</f>
        <v>1.7241379310344827E-2</v>
      </c>
      <c r="F10425">
        <v>6</v>
      </c>
      <c r="G10425">
        <f>LOG(382/(6+1))</f>
        <v>1.736965322897452</v>
      </c>
      <c r="H10425">
        <f>0.0172413793103448*3.99951045955126</f>
        <v>6.8957076888814722E-2</v>
      </c>
      <c r="I10425">
        <v>6.8957076888814861E-2</v>
      </c>
    </row>
    <row r="10426" spans="1:9" x14ac:dyDescent="0.25">
      <c r="A10426">
        <v>410</v>
      </c>
      <c r="B10426" t="s">
        <v>3153</v>
      </c>
      <c r="C10426" t="s">
        <v>10</v>
      </c>
      <c r="D10426" t="s">
        <v>3167</v>
      </c>
      <c r="E10426">
        <f t="shared" ref="E10426:E10437" si="489">1/174</f>
        <v>5.7471264367816091E-3</v>
      </c>
      <c r="F10426">
        <v>1</v>
      </c>
      <c r="G10426">
        <f>LOG(382/(1+1))</f>
        <v>2.2810333672477277</v>
      </c>
      <c r="H10426">
        <f>0.0057471264367816*5.25227342804663</f>
        <v>3.0185479471532304E-2</v>
      </c>
      <c r="I10426">
        <v>3.0185479471532359E-2</v>
      </c>
    </row>
    <row r="10427" spans="1:9" x14ac:dyDescent="0.25">
      <c r="A10427">
        <v>410</v>
      </c>
      <c r="B10427" t="s">
        <v>3153</v>
      </c>
      <c r="C10427" t="s">
        <v>10</v>
      </c>
      <c r="D10427" t="s">
        <v>3168</v>
      </c>
      <c r="E10427">
        <f t="shared" si="489"/>
        <v>5.7471264367816091E-3</v>
      </c>
      <c r="F10427">
        <v>1</v>
      </c>
      <c r="G10427">
        <f>LOG(382/(1+1))</f>
        <v>2.2810333672477277</v>
      </c>
      <c r="H10427">
        <f>0.0057471264367816*5.25227342804663</f>
        <v>3.0185479471532304E-2</v>
      </c>
      <c r="I10427">
        <v>3.0185479471532359E-2</v>
      </c>
    </row>
    <row r="10428" spans="1:9" x14ac:dyDescent="0.25">
      <c r="A10428">
        <v>410</v>
      </c>
      <c r="B10428" t="s">
        <v>3153</v>
      </c>
      <c r="C10428" t="s">
        <v>10</v>
      </c>
      <c r="D10428" t="s">
        <v>599</v>
      </c>
      <c r="E10428">
        <f t="shared" si="489"/>
        <v>5.7471264367816091E-3</v>
      </c>
      <c r="F10428">
        <v>28</v>
      </c>
      <c r="G10428">
        <f>LOG(382/(28+1))</f>
        <v>1.1196653650127526</v>
      </c>
      <c r="H10428">
        <f>0.0057471264367816*2.5781247786201</f>
        <v>1.4816809072529285E-2</v>
      </c>
      <c r="I10428">
        <v>1.481680907252932E-2</v>
      </c>
    </row>
    <row r="10429" spans="1:9" x14ac:dyDescent="0.25">
      <c r="A10429">
        <v>410</v>
      </c>
      <c r="B10429" t="s">
        <v>3153</v>
      </c>
      <c r="C10429" t="s">
        <v>10</v>
      </c>
      <c r="D10429" t="s">
        <v>1482</v>
      </c>
      <c r="E10429">
        <f t="shared" si="489"/>
        <v>5.7471264367816091E-3</v>
      </c>
      <c r="F10429">
        <v>7</v>
      </c>
      <c r="G10429">
        <f>LOG(382/(7+1))</f>
        <v>1.6789733759197651</v>
      </c>
      <c r="H10429">
        <f>0.0057471264367816*3.86597906692673</f>
        <v>2.2218270499578873E-2</v>
      </c>
      <c r="I10429">
        <v>2.221827049957896E-2</v>
      </c>
    </row>
    <row r="10430" spans="1:9" x14ac:dyDescent="0.25">
      <c r="A10430">
        <v>410</v>
      </c>
      <c r="B10430" t="s">
        <v>3153</v>
      </c>
      <c r="C10430" t="s">
        <v>10</v>
      </c>
      <c r="D10430" t="s">
        <v>3169</v>
      </c>
      <c r="E10430">
        <f t="shared" si="489"/>
        <v>5.7471264367816091E-3</v>
      </c>
      <c r="F10430">
        <v>1</v>
      </c>
      <c r="G10430">
        <f>LOG(382/(1+1))</f>
        <v>2.2810333672477277</v>
      </c>
      <c r="H10430">
        <f>0.0057471264367816*5.25227342804663</f>
        <v>3.0185479471532304E-2</v>
      </c>
      <c r="I10430">
        <v>3.0185479471532359E-2</v>
      </c>
    </row>
    <row r="10431" spans="1:9" x14ac:dyDescent="0.25">
      <c r="A10431">
        <v>410</v>
      </c>
      <c r="B10431" t="s">
        <v>3153</v>
      </c>
      <c r="C10431" t="s">
        <v>10</v>
      </c>
      <c r="D10431" t="s">
        <v>3170</v>
      </c>
      <c r="E10431">
        <f t="shared" si="489"/>
        <v>5.7471264367816091E-3</v>
      </c>
      <c r="F10431">
        <v>1</v>
      </c>
      <c r="G10431">
        <f>LOG(382/(1+1))</f>
        <v>2.2810333672477277</v>
      </c>
      <c r="H10431">
        <f>0.0057471264367816*5.25227342804663</f>
        <v>3.0185479471532304E-2</v>
      </c>
      <c r="I10431">
        <v>3.0185479471532359E-2</v>
      </c>
    </row>
    <row r="10432" spans="1:9" x14ac:dyDescent="0.25">
      <c r="A10432">
        <v>410</v>
      </c>
      <c r="B10432" t="s">
        <v>3153</v>
      </c>
      <c r="C10432" t="s">
        <v>10</v>
      </c>
      <c r="D10432" t="s">
        <v>1626</v>
      </c>
      <c r="E10432">
        <f t="shared" si="489"/>
        <v>5.7471264367816091E-3</v>
      </c>
      <c r="F10432">
        <v>32</v>
      </c>
      <c r="G10432">
        <f>LOG(382/(32+1))</f>
        <v>1.0635494230338212</v>
      </c>
      <c r="H10432">
        <f>0.0057471264367816*2.44891304714009</f>
        <v>1.4074212914598197E-2</v>
      </c>
      <c r="I10432">
        <v>1.407421291459825E-2</v>
      </c>
    </row>
    <row r="10433" spans="1:9" x14ac:dyDescent="0.25">
      <c r="A10433">
        <v>410</v>
      </c>
      <c r="B10433" t="s">
        <v>3153</v>
      </c>
      <c r="C10433" t="s">
        <v>10</v>
      </c>
      <c r="D10433" t="s">
        <v>3171</v>
      </c>
      <c r="E10433">
        <f t="shared" si="489"/>
        <v>5.7471264367816091E-3</v>
      </c>
      <c r="F10433">
        <v>2</v>
      </c>
      <c r="G10433">
        <f>LOG(382/(2+1))</f>
        <v>2.1049421081920463</v>
      </c>
      <c r="H10433">
        <f>0.0057471264367816*4.84680831993846</f>
        <v>2.7855220229531331E-2</v>
      </c>
      <c r="I10433">
        <v>2.7855220229531411E-2</v>
      </c>
    </row>
    <row r="10434" spans="1:9" x14ac:dyDescent="0.25">
      <c r="A10434">
        <v>410</v>
      </c>
      <c r="B10434" t="s">
        <v>3153</v>
      </c>
      <c r="C10434" t="s">
        <v>10</v>
      </c>
      <c r="D10434" t="s">
        <v>1469</v>
      </c>
      <c r="E10434">
        <f t="shared" si="489"/>
        <v>5.7471264367816091E-3</v>
      </c>
      <c r="F10434">
        <v>24</v>
      </c>
      <c r="G10434">
        <f>LOG(382/(24+1))</f>
        <v>1.1841233542396712</v>
      </c>
      <c r="H10434">
        <f>0.0057471264367816*2.72654478373837</f>
        <v>1.5669797607691754E-2</v>
      </c>
      <c r="I10434">
        <v>1.5669797607691809E-2</v>
      </c>
    </row>
    <row r="10435" spans="1:9" x14ac:dyDescent="0.25">
      <c r="A10435">
        <v>410</v>
      </c>
      <c r="B10435" t="s">
        <v>3153</v>
      </c>
      <c r="C10435" t="s">
        <v>10</v>
      </c>
      <c r="D10435" t="s">
        <v>1470</v>
      </c>
      <c r="E10435">
        <f t="shared" si="489"/>
        <v>5.7471264367816091E-3</v>
      </c>
      <c r="F10435">
        <v>2</v>
      </c>
      <c r="G10435">
        <f>LOG(382/(2+1))</f>
        <v>2.1049421081920463</v>
      </c>
      <c r="H10435">
        <f>0.0057471264367816*4.84680831993846</f>
        <v>2.7855220229531331E-2</v>
      </c>
      <c r="I10435">
        <v>2.7855220229531411E-2</v>
      </c>
    </row>
    <row r="10436" spans="1:9" x14ac:dyDescent="0.25">
      <c r="A10436">
        <v>410</v>
      </c>
      <c r="B10436" t="s">
        <v>3153</v>
      </c>
      <c r="C10436" t="s">
        <v>10</v>
      </c>
      <c r="D10436" t="s">
        <v>1428</v>
      </c>
      <c r="E10436">
        <f t="shared" si="489"/>
        <v>5.7471264367816091E-3</v>
      </c>
      <c r="F10436">
        <v>3</v>
      </c>
      <c r="G10436">
        <f>LOG(382/(3+1))</f>
        <v>1.9800033715837464</v>
      </c>
      <c r="H10436">
        <f>0.0057471264367816*4.55912624748668</f>
        <v>2.6201874985555589E-2</v>
      </c>
      <c r="I10436">
        <v>2.6201874985555661E-2</v>
      </c>
    </row>
    <row r="10437" spans="1:9" x14ac:dyDescent="0.25">
      <c r="A10437">
        <v>410</v>
      </c>
      <c r="B10437" t="s">
        <v>3153</v>
      </c>
      <c r="C10437" t="s">
        <v>10</v>
      </c>
      <c r="D10437" t="s">
        <v>3172</v>
      </c>
      <c r="E10437">
        <f t="shared" si="489"/>
        <v>5.7471264367816091E-3</v>
      </c>
      <c r="F10437">
        <v>1</v>
      </c>
      <c r="G10437">
        <f>LOG(382/(1+1))</f>
        <v>2.2810333672477277</v>
      </c>
      <c r="H10437">
        <f>0.0057471264367816*5.25227342804663</f>
        <v>3.0185479471532304E-2</v>
      </c>
      <c r="I10437">
        <v>3.0185479471532359E-2</v>
      </c>
    </row>
    <row r="10438" spans="1:9" x14ac:dyDescent="0.25">
      <c r="A10438">
        <v>410</v>
      </c>
      <c r="B10438" t="s">
        <v>3153</v>
      </c>
      <c r="C10438" t="s">
        <v>10</v>
      </c>
      <c r="D10438" t="s">
        <v>388</v>
      </c>
      <c r="E10438">
        <f>2/174</f>
        <v>1.1494252873563218E-2</v>
      </c>
      <c r="F10438">
        <v>44</v>
      </c>
      <c r="G10438">
        <f>LOG(382/(44+1))</f>
        <v>0.92885084913636506</v>
      </c>
      <c r="H10438">
        <f>0.0114942528735632*2.13875811883625</f>
        <v>2.4583426653290188E-2</v>
      </c>
      <c r="I10438">
        <v>2.4583426653290288E-2</v>
      </c>
    </row>
    <row r="10439" spans="1:9" x14ac:dyDescent="0.25">
      <c r="A10439">
        <v>410</v>
      </c>
      <c r="B10439" t="s">
        <v>3153</v>
      </c>
      <c r="C10439" t="s">
        <v>10</v>
      </c>
      <c r="D10439" t="s">
        <v>2857</v>
      </c>
      <c r="E10439">
        <f t="shared" ref="E10439:E10456" si="490">1/174</f>
        <v>5.7471264367816091E-3</v>
      </c>
      <c r="F10439">
        <v>3</v>
      </c>
      <c r="G10439">
        <f>LOG(382/(3+1))</f>
        <v>1.9800033715837464</v>
      </c>
      <c r="H10439">
        <f>0.0057471264367816*4.55912624748668</f>
        <v>2.6201874985555589E-2</v>
      </c>
      <c r="I10439">
        <v>2.6201874985555661E-2</v>
      </c>
    </row>
    <row r="10440" spans="1:9" x14ac:dyDescent="0.25">
      <c r="A10440">
        <v>410</v>
      </c>
      <c r="B10440" t="s">
        <v>3153</v>
      </c>
      <c r="C10440" t="s">
        <v>10</v>
      </c>
      <c r="D10440" t="s">
        <v>1303</v>
      </c>
      <c r="E10440">
        <f t="shared" si="490"/>
        <v>5.7471264367816091E-3</v>
      </c>
      <c r="F10440">
        <v>17</v>
      </c>
      <c r="G10440">
        <f>LOG(382/(17+1))</f>
        <v>1.3267908578084027</v>
      </c>
      <c r="H10440">
        <f>0.0057471264367816*3.05504885071041</f>
        <v>1.7557752015577039E-2</v>
      </c>
      <c r="I10440">
        <v>1.755775201557707E-2</v>
      </c>
    </row>
    <row r="10441" spans="1:9" x14ac:dyDescent="0.25">
      <c r="A10441">
        <v>410</v>
      </c>
      <c r="B10441" t="s">
        <v>3153</v>
      </c>
      <c r="C10441" t="s">
        <v>10</v>
      </c>
      <c r="D10441" t="s">
        <v>1012</v>
      </c>
      <c r="E10441">
        <f t="shared" si="490"/>
        <v>5.7471264367816091E-3</v>
      </c>
      <c r="F10441">
        <v>17</v>
      </c>
      <c r="G10441">
        <f>LOG(382/(17+1))</f>
        <v>1.3267908578084027</v>
      </c>
      <c r="H10441">
        <f>0.0057471264367816*3.05504885071041</f>
        <v>1.7557752015577039E-2</v>
      </c>
      <c r="I10441">
        <v>1.755775201557707E-2</v>
      </c>
    </row>
    <row r="10442" spans="1:9" x14ac:dyDescent="0.25">
      <c r="A10442">
        <v>410</v>
      </c>
      <c r="B10442" t="s">
        <v>3153</v>
      </c>
      <c r="C10442" t="s">
        <v>10</v>
      </c>
      <c r="D10442" t="s">
        <v>429</v>
      </c>
      <c r="E10442">
        <f t="shared" si="490"/>
        <v>5.7471264367816091E-3</v>
      </c>
      <c r="F10442">
        <v>11</v>
      </c>
      <c r="G10442">
        <f>LOG(382/(11+1))</f>
        <v>1.5028821168640838</v>
      </c>
      <c r="H10442">
        <f>0.0057471264367816*3.46051395881857</f>
        <v>1.9888011257577956E-2</v>
      </c>
      <c r="I10442">
        <v>1.9888011257578019E-2</v>
      </c>
    </row>
    <row r="10443" spans="1:9" x14ac:dyDescent="0.25">
      <c r="A10443">
        <v>410</v>
      </c>
      <c r="B10443" t="s">
        <v>3153</v>
      </c>
      <c r="C10443" t="s">
        <v>10</v>
      </c>
      <c r="D10443" t="s">
        <v>2105</v>
      </c>
      <c r="E10443">
        <f t="shared" si="490"/>
        <v>5.7471264367816091E-3</v>
      </c>
      <c r="F10443">
        <v>10</v>
      </c>
      <c r="G10443">
        <f>LOG(382/(10+1))</f>
        <v>1.5406706777534838</v>
      </c>
      <c r="H10443">
        <f>0.0057471264367816*3.5475253358082</f>
        <v>2.0388076642575827E-2</v>
      </c>
      <c r="I10443">
        <v>2.038807664257589E-2</v>
      </c>
    </row>
    <row r="10444" spans="1:9" x14ac:dyDescent="0.25">
      <c r="A10444">
        <v>410</v>
      </c>
      <c r="B10444" t="s">
        <v>3153</v>
      </c>
      <c r="C10444" t="s">
        <v>10</v>
      </c>
      <c r="D10444" t="s">
        <v>1857</v>
      </c>
      <c r="E10444">
        <f t="shared" si="490"/>
        <v>5.7471264367816091E-3</v>
      </c>
      <c r="F10444">
        <v>17</v>
      </c>
      <c r="G10444">
        <f>LOG(382/(17+1))</f>
        <v>1.3267908578084027</v>
      </c>
      <c r="H10444">
        <f>0.0057471264367816*3.05504885071041</f>
        <v>1.7557752015577039E-2</v>
      </c>
      <c r="I10444">
        <v>1.755775201557707E-2</v>
      </c>
    </row>
    <row r="10445" spans="1:9" x14ac:dyDescent="0.25">
      <c r="A10445">
        <v>410</v>
      </c>
      <c r="B10445" t="s">
        <v>3153</v>
      </c>
      <c r="C10445" t="s">
        <v>10</v>
      </c>
      <c r="D10445" t="s">
        <v>775</v>
      </c>
      <c r="E10445">
        <f t="shared" si="490"/>
        <v>5.7471264367816091E-3</v>
      </c>
      <c r="F10445">
        <v>20</v>
      </c>
      <c r="G10445">
        <f>LOG(382/(20+1))</f>
        <v>1.2598440681777894</v>
      </c>
      <c r="H10445">
        <f>0.0057471264367816*2.90089817088315</f>
        <v>1.6671828568293939E-2</v>
      </c>
      <c r="I10445">
        <v>1.6671828568293981E-2</v>
      </c>
    </row>
    <row r="10446" spans="1:9" x14ac:dyDescent="0.25">
      <c r="A10446">
        <v>410</v>
      </c>
      <c r="B10446" t="s">
        <v>3153</v>
      </c>
      <c r="C10446" t="s">
        <v>10</v>
      </c>
      <c r="D10446" t="s">
        <v>338</v>
      </c>
      <c r="E10446">
        <f t="shared" si="490"/>
        <v>5.7471264367816091E-3</v>
      </c>
      <c r="F10446">
        <v>54</v>
      </c>
      <c r="G10446">
        <f>LOG(382/(54+1))</f>
        <v>0.84170067341746491</v>
      </c>
      <c r="H10446">
        <f>0.0057471264367816*1.9380874233741</f>
        <v>1.1138433467667222E-2</v>
      </c>
      <c r="I10446">
        <v>1.1138433467667269E-2</v>
      </c>
    </row>
    <row r="10447" spans="1:9" x14ac:dyDescent="0.25">
      <c r="A10447">
        <v>410</v>
      </c>
      <c r="B10447" t="s">
        <v>3153</v>
      </c>
      <c r="C10447" t="s">
        <v>10</v>
      </c>
      <c r="D10447" t="s">
        <v>899</v>
      </c>
      <c r="E10447">
        <f t="shared" si="490"/>
        <v>5.7471264367816091E-3</v>
      </c>
      <c r="F10447">
        <v>5</v>
      </c>
      <c r="G10447">
        <f>LOG(382/(5+1))</f>
        <v>1.803912112528065</v>
      </c>
      <c r="H10447">
        <f>0.0057471264367816*4.15366113937852</f>
        <v>2.3871615743554672E-2</v>
      </c>
      <c r="I10447">
        <v>2.387161574355471E-2</v>
      </c>
    </row>
    <row r="10448" spans="1:9" x14ac:dyDescent="0.25">
      <c r="A10448">
        <v>410</v>
      </c>
      <c r="B10448" t="s">
        <v>3153</v>
      </c>
      <c r="C10448" t="s">
        <v>10</v>
      </c>
      <c r="D10448" t="s">
        <v>1985</v>
      </c>
      <c r="E10448">
        <f t="shared" si="490"/>
        <v>5.7471264367816091E-3</v>
      </c>
      <c r="F10448">
        <v>8</v>
      </c>
      <c r="G10448">
        <f>LOG(382/(8+1))</f>
        <v>1.6278208534723839</v>
      </c>
      <c r="H10448">
        <f>0.0057471264367816*3.74819603127035</f>
        <v>2.1541356501553699E-2</v>
      </c>
      <c r="I10448">
        <v>2.1541356501553768E-2</v>
      </c>
    </row>
    <row r="10449" spans="1:9" x14ac:dyDescent="0.25">
      <c r="A10449">
        <v>410</v>
      </c>
      <c r="B10449" t="s">
        <v>3153</v>
      </c>
      <c r="C10449" t="s">
        <v>10</v>
      </c>
      <c r="D10449" t="s">
        <v>580</v>
      </c>
      <c r="E10449">
        <f t="shared" si="490"/>
        <v>5.7471264367816091E-3</v>
      </c>
      <c r="F10449">
        <v>17</v>
      </c>
      <c r="G10449">
        <f>LOG(382/(17+1))</f>
        <v>1.3267908578084027</v>
      </c>
      <c r="H10449">
        <f>0.0057471264367816*3.05504885071041</f>
        <v>1.7557752015577039E-2</v>
      </c>
      <c r="I10449">
        <v>1.755775201557707E-2</v>
      </c>
    </row>
    <row r="10450" spans="1:9" x14ac:dyDescent="0.25">
      <c r="A10450">
        <v>410</v>
      </c>
      <c r="B10450" t="s">
        <v>3153</v>
      </c>
      <c r="C10450" t="s">
        <v>10</v>
      </c>
      <c r="D10450" t="s">
        <v>591</v>
      </c>
      <c r="E10450">
        <f t="shared" si="490"/>
        <v>5.7471264367816091E-3</v>
      </c>
      <c r="F10450">
        <v>21</v>
      </c>
      <c r="G10450">
        <f>LOG(382/(21+1))</f>
        <v>1.2396406820895025</v>
      </c>
      <c r="H10450">
        <f>0.0057471264367816*2.85437815524825</f>
        <v>1.6404472156599108E-2</v>
      </c>
      <c r="I10450">
        <v>1.6404472156599188E-2</v>
      </c>
    </row>
    <row r="10451" spans="1:9" x14ac:dyDescent="0.25">
      <c r="A10451">
        <v>410</v>
      </c>
      <c r="B10451" t="s">
        <v>3153</v>
      </c>
      <c r="C10451" t="s">
        <v>10</v>
      </c>
      <c r="D10451" t="s">
        <v>3173</v>
      </c>
      <c r="E10451">
        <f t="shared" si="490"/>
        <v>5.7471264367816091E-3</v>
      </c>
      <c r="F10451">
        <v>1</v>
      </c>
      <c r="G10451">
        <f>LOG(382/(1+1))</f>
        <v>2.2810333672477277</v>
      </c>
      <c r="H10451">
        <f>0.0057471264367816*5.25227342804663</f>
        <v>3.0185479471532304E-2</v>
      </c>
      <c r="I10451">
        <v>3.0185479471532359E-2</v>
      </c>
    </row>
    <row r="10452" spans="1:9" x14ac:dyDescent="0.25">
      <c r="A10452">
        <v>410</v>
      </c>
      <c r="B10452" t="s">
        <v>3153</v>
      </c>
      <c r="C10452" t="s">
        <v>10</v>
      </c>
      <c r="D10452" t="s">
        <v>243</v>
      </c>
      <c r="E10452">
        <f t="shared" si="490"/>
        <v>5.7471264367816091E-3</v>
      </c>
      <c r="F10452">
        <v>131</v>
      </c>
      <c r="G10452">
        <f>LOG(382/(131+1))</f>
        <v>0.46148943170585888</v>
      </c>
      <c r="H10452">
        <f>0.0057471264367816*1.0626186860202</f>
        <v>6.1070039426448178E-3</v>
      </c>
      <c r="I10452">
        <v>6.1070039426448517E-3</v>
      </c>
    </row>
    <row r="10453" spans="1:9" x14ac:dyDescent="0.25">
      <c r="A10453">
        <v>410</v>
      </c>
      <c r="B10453" t="s">
        <v>3153</v>
      </c>
      <c r="C10453" t="s">
        <v>10</v>
      </c>
      <c r="D10453" t="s">
        <v>881</v>
      </c>
      <c r="E10453">
        <f t="shared" si="490"/>
        <v>5.7471264367816091E-3</v>
      </c>
      <c r="F10453">
        <v>15</v>
      </c>
      <c r="G10453">
        <f>LOG(382/(15+1))</f>
        <v>1.3779433802557839</v>
      </c>
      <c r="H10453">
        <f>0.0057471264367816*3.17283188636679</f>
        <v>1.8234666013602213E-2</v>
      </c>
      <c r="I10453">
        <v>1.8234666013602269E-2</v>
      </c>
    </row>
    <row r="10454" spans="1:9" x14ac:dyDescent="0.25">
      <c r="A10454">
        <v>410</v>
      </c>
      <c r="B10454" t="s">
        <v>3153</v>
      </c>
      <c r="C10454" t="s">
        <v>10</v>
      </c>
      <c r="D10454" t="s">
        <v>1025</v>
      </c>
      <c r="E10454">
        <f t="shared" si="490"/>
        <v>5.7471264367816091E-3</v>
      </c>
      <c r="F10454">
        <v>7</v>
      </c>
      <c r="G10454">
        <f>LOG(382/(7+1))</f>
        <v>1.6789733759197651</v>
      </c>
      <c r="H10454">
        <f>0.0057471264367816*3.86597906692673</f>
        <v>2.2218270499578873E-2</v>
      </c>
      <c r="I10454">
        <v>2.221827049957896E-2</v>
      </c>
    </row>
    <row r="10455" spans="1:9" x14ac:dyDescent="0.25">
      <c r="A10455">
        <v>410</v>
      </c>
      <c r="B10455" t="s">
        <v>3153</v>
      </c>
      <c r="C10455" t="s">
        <v>10</v>
      </c>
      <c r="D10455" t="s">
        <v>263</v>
      </c>
      <c r="E10455">
        <f t="shared" si="490"/>
        <v>5.7471264367816091E-3</v>
      </c>
      <c r="F10455">
        <v>41</v>
      </c>
      <c r="G10455">
        <f>LOG(382/(41+1))</f>
        <v>0.95881407251380824</v>
      </c>
      <c r="H10455">
        <f>0.0057471264367816*2.2077509903232</f>
        <v>1.2688224082317222E-2</v>
      </c>
      <c r="I10455">
        <v>1.2688224082317279E-2</v>
      </c>
    </row>
    <row r="10456" spans="1:9" x14ac:dyDescent="0.25">
      <c r="A10456">
        <v>410</v>
      </c>
      <c r="B10456" t="s">
        <v>3153</v>
      </c>
      <c r="C10456" t="s">
        <v>10</v>
      </c>
      <c r="D10456" t="s">
        <v>183</v>
      </c>
      <c r="E10456">
        <f t="shared" si="490"/>
        <v>5.7471264367816091E-3</v>
      </c>
      <c r="F10456">
        <v>46</v>
      </c>
      <c r="G10456">
        <f>LOG(382/(46+1))</f>
        <v>0.90996550497599127</v>
      </c>
      <c r="H10456">
        <f>0.0057471264367816*2.09527300689651</f>
        <v>1.2041798890209808E-2</v>
      </c>
      <c r="I10456">
        <v>1.204179889020986E-2</v>
      </c>
    </row>
    <row r="10457" spans="1:9" x14ac:dyDescent="0.25">
      <c r="A10457">
        <v>411</v>
      </c>
      <c r="B10457" t="s">
        <v>3174</v>
      </c>
      <c r="C10457" t="s">
        <v>10</v>
      </c>
      <c r="D10457" t="s">
        <v>1106</v>
      </c>
      <c r="E10457">
        <f>7/101</f>
        <v>6.9306930693069313E-2</v>
      </c>
      <c r="F10457">
        <v>7</v>
      </c>
      <c r="G10457">
        <f>LOG(382/(7+1))</f>
        <v>1.6789733759197651</v>
      </c>
      <c r="H10457">
        <f>0.0693069306930693*3.86597906692673</f>
        <v>0.26793914325234763</v>
      </c>
      <c r="I10457">
        <v>0.2679391432523483</v>
      </c>
    </row>
    <row r="10458" spans="1:9" x14ac:dyDescent="0.25">
      <c r="A10458">
        <v>411</v>
      </c>
      <c r="B10458" t="s">
        <v>3174</v>
      </c>
      <c r="C10458" t="s">
        <v>10</v>
      </c>
      <c r="D10458" t="s">
        <v>245</v>
      </c>
      <c r="E10458">
        <f>11/101</f>
        <v>0.10891089108910891</v>
      </c>
      <c r="F10458">
        <v>11</v>
      </c>
      <c r="G10458">
        <f>LOG(382/(11+1))</f>
        <v>1.5028821168640838</v>
      </c>
      <c r="H10458">
        <f>0.108910891089108*3.46051395881857</f>
        <v>0.37688765888122722</v>
      </c>
      <c r="I10458">
        <v>0.37688765888123088</v>
      </c>
    </row>
    <row r="10459" spans="1:9" x14ac:dyDescent="0.25">
      <c r="A10459">
        <v>411</v>
      </c>
      <c r="B10459" t="s">
        <v>3174</v>
      </c>
      <c r="C10459" t="s">
        <v>10</v>
      </c>
      <c r="D10459" t="s">
        <v>2787</v>
      </c>
      <c r="E10459">
        <f>6/101</f>
        <v>5.9405940594059403E-2</v>
      </c>
      <c r="F10459">
        <v>2</v>
      </c>
      <c r="G10459">
        <f>LOG(382/(2+1))</f>
        <v>2.1049421081920463</v>
      </c>
      <c r="H10459">
        <f>0.0594059405940594*4.84680831993846</f>
        <v>0.28792920712505704</v>
      </c>
      <c r="I10459">
        <v>0.28792920712505732</v>
      </c>
    </row>
    <row r="10460" spans="1:9" x14ac:dyDescent="0.25">
      <c r="A10460">
        <v>411</v>
      </c>
      <c r="B10460" t="s">
        <v>3174</v>
      </c>
      <c r="C10460" t="s">
        <v>10</v>
      </c>
      <c r="D10460" t="s">
        <v>2788</v>
      </c>
      <c r="E10460">
        <f>1/101</f>
        <v>9.9009900990099011E-3</v>
      </c>
      <c r="F10460">
        <v>2</v>
      </c>
      <c r="G10460">
        <f>LOG(382/(2+1))</f>
        <v>2.1049421081920463</v>
      </c>
      <c r="H10460">
        <f>0.0099009900990099*4.84680831993846</f>
        <v>4.7988201187509495E-2</v>
      </c>
      <c r="I10460">
        <v>4.7988201187509558E-2</v>
      </c>
    </row>
    <row r="10461" spans="1:9" x14ac:dyDescent="0.25">
      <c r="A10461">
        <v>411</v>
      </c>
      <c r="B10461" t="s">
        <v>3174</v>
      </c>
      <c r="C10461" t="s">
        <v>10</v>
      </c>
      <c r="D10461" t="s">
        <v>247</v>
      </c>
      <c r="E10461">
        <f>1/101</f>
        <v>9.9009900990099011E-3</v>
      </c>
      <c r="F10461">
        <v>121</v>
      </c>
      <c r="G10461">
        <f>LOG(382/(121+1))</f>
        <v>0.49570353223696051</v>
      </c>
      <c r="H10461">
        <f>0.0099009900990099*1.14139956387331</f>
        <v>1.130098578092386E-2</v>
      </c>
      <c r="I10461">
        <v>1.130098578092395E-2</v>
      </c>
    </row>
    <row r="10462" spans="1:9" x14ac:dyDescent="0.25">
      <c r="A10462">
        <v>411</v>
      </c>
      <c r="B10462" t="s">
        <v>3174</v>
      </c>
      <c r="C10462" t="s">
        <v>10</v>
      </c>
      <c r="D10462" t="s">
        <v>39</v>
      </c>
      <c r="E10462">
        <f>2/101</f>
        <v>1.9801980198019802E-2</v>
      </c>
      <c r="F10462">
        <v>145</v>
      </c>
      <c r="G10462">
        <f>LOG(382/(145+1))</f>
        <v>0.41771050712727159</v>
      </c>
      <c r="H10462">
        <f>0.0198019801980198*0.961813986898238</f>
        <v>1.9045821522737386E-2</v>
      </c>
      <c r="I10462">
        <v>1.9045821522737399E-2</v>
      </c>
    </row>
    <row r="10463" spans="1:9" x14ac:dyDescent="0.25">
      <c r="A10463">
        <v>411</v>
      </c>
      <c r="B10463" t="s">
        <v>3174</v>
      </c>
      <c r="C10463" t="s">
        <v>10</v>
      </c>
      <c r="D10463" t="s">
        <v>465</v>
      </c>
      <c r="E10463">
        <f>2/101</f>
        <v>1.9801980198019802E-2</v>
      </c>
      <c r="F10463">
        <v>36</v>
      </c>
      <c r="G10463">
        <f>LOG(382/(36+1))</f>
        <v>1.0138616388447137</v>
      </c>
      <c r="H10463">
        <f>0.0198019801980198*2.33450269596235</f>
        <v>4.6227776157670292E-2</v>
      </c>
      <c r="I10463">
        <v>4.6227776157670319E-2</v>
      </c>
    </row>
    <row r="10464" spans="1:9" x14ac:dyDescent="0.25">
      <c r="A10464">
        <v>411</v>
      </c>
      <c r="B10464" t="s">
        <v>3174</v>
      </c>
      <c r="C10464" t="s">
        <v>10</v>
      </c>
      <c r="D10464" t="s">
        <v>40</v>
      </c>
      <c r="E10464">
        <f>4/101</f>
        <v>3.9603960396039604E-2</v>
      </c>
      <c r="F10464">
        <v>159</v>
      </c>
      <c r="G10464">
        <f>LOG(382/(159+1))</f>
        <v>0.377943380255784</v>
      </c>
      <c r="H10464">
        <f>0.0396039603960396*0.870246793372748</f>
        <v>3.4465219539514765E-2</v>
      </c>
      <c r="I10464">
        <v>3.4465219539514792E-2</v>
      </c>
    </row>
    <row r="10465" spans="1:9" x14ac:dyDescent="0.25">
      <c r="A10465">
        <v>411</v>
      </c>
      <c r="B10465" t="s">
        <v>3174</v>
      </c>
      <c r="C10465" t="s">
        <v>10</v>
      </c>
      <c r="D10465" t="s">
        <v>41</v>
      </c>
      <c r="E10465">
        <f>5/101</f>
        <v>4.9504950495049507E-2</v>
      </c>
      <c r="F10465">
        <v>195</v>
      </c>
      <c r="G10465">
        <f>LOG(382/(195+1))</f>
        <v>0.28980729155523272</v>
      </c>
      <c r="H10465">
        <f>0.0495049504950495*0.667305949376058</f>
        <v>3.3034947988913758E-2</v>
      </c>
      <c r="I10465">
        <v>3.3034947988913772E-2</v>
      </c>
    </row>
    <row r="10466" spans="1:9" x14ac:dyDescent="0.25">
      <c r="A10466">
        <v>411</v>
      </c>
      <c r="B10466" t="s">
        <v>3174</v>
      </c>
      <c r="C10466" t="s">
        <v>10</v>
      </c>
      <c r="D10466" t="s">
        <v>22</v>
      </c>
      <c r="E10466">
        <f>2/101</f>
        <v>1.9801980198019802E-2</v>
      </c>
      <c r="F10466">
        <v>259</v>
      </c>
      <c r="G10466">
        <f>LOG(382/(259+1))</f>
        <v>0.16709001494089079</v>
      </c>
      <c r="H10466">
        <f>0.0198019801980198*0.384738977591047</f>
        <v>7.6185936156642963E-3</v>
      </c>
      <c r="I10466">
        <v>7.6185936156643076E-3</v>
      </c>
    </row>
    <row r="10467" spans="1:9" x14ac:dyDescent="0.25">
      <c r="A10467">
        <v>411</v>
      </c>
      <c r="B10467" t="s">
        <v>3174</v>
      </c>
      <c r="C10467" t="s">
        <v>10</v>
      </c>
      <c r="D10467" t="s">
        <v>23</v>
      </c>
      <c r="E10467">
        <f>2/101</f>
        <v>1.9801980198019802E-2</v>
      </c>
      <c r="F10467">
        <v>275</v>
      </c>
      <c r="G10467">
        <f>LOG(382/(275+1))</f>
        <v>0.14115428084649101</v>
      </c>
      <c r="H10467">
        <f>0.0198019801980198*0.325019742889425</f>
        <v>6.4360345126618793E-3</v>
      </c>
      <c r="I10467">
        <v>6.4360345126618836E-3</v>
      </c>
    </row>
    <row r="10468" spans="1:9" x14ac:dyDescent="0.25">
      <c r="A10468">
        <v>411</v>
      </c>
      <c r="B10468" t="s">
        <v>3174</v>
      </c>
      <c r="C10468" t="s">
        <v>10</v>
      </c>
      <c r="D10468" t="s">
        <v>750</v>
      </c>
      <c r="E10468">
        <f t="shared" ref="E10468:E10477" si="491">1/101</f>
        <v>9.9009900990099011E-3</v>
      </c>
      <c r="F10468">
        <v>9</v>
      </c>
      <c r="G10468">
        <f>LOG(382/(9+1))</f>
        <v>1.5820633629117087</v>
      </c>
      <c r="H10468">
        <f>0.0099009900990099*3.64283551561252</f>
        <v>3.6067678372401185E-2</v>
      </c>
      <c r="I10468">
        <v>3.6067678372401282E-2</v>
      </c>
    </row>
    <row r="10469" spans="1:9" x14ac:dyDescent="0.25">
      <c r="A10469">
        <v>411</v>
      </c>
      <c r="B10469" t="s">
        <v>3174</v>
      </c>
      <c r="C10469" t="s">
        <v>10</v>
      </c>
      <c r="D10469" t="s">
        <v>1812</v>
      </c>
      <c r="E10469">
        <f t="shared" si="491"/>
        <v>9.9009900990099011E-3</v>
      </c>
      <c r="F10469">
        <v>10</v>
      </c>
      <c r="G10469">
        <f>LOG(382/(10+1))</f>
        <v>1.5406706777534838</v>
      </c>
      <c r="H10469">
        <f>0.0099009900990099*3.5475253358082</f>
        <v>3.5124013225823758E-2</v>
      </c>
      <c r="I10469">
        <v>3.5124013225823807E-2</v>
      </c>
    </row>
    <row r="10470" spans="1:9" x14ac:dyDescent="0.25">
      <c r="A10470">
        <v>411</v>
      </c>
      <c r="B10470" t="s">
        <v>3174</v>
      </c>
      <c r="C10470" t="s">
        <v>10</v>
      </c>
      <c r="D10470" t="s">
        <v>916</v>
      </c>
      <c r="E10470">
        <f t="shared" si="491"/>
        <v>9.9009900990099011E-3</v>
      </c>
      <c r="F10470">
        <v>4</v>
      </c>
      <c r="G10470">
        <f>LOG(382/(4+1))</f>
        <v>1.8830933585756899</v>
      </c>
      <c r="H10470">
        <f>0.0099009900990099*4.33598269617247</f>
        <v>4.2930521744281878E-2</v>
      </c>
      <c r="I10470">
        <v>4.2930521744281927E-2</v>
      </c>
    </row>
    <row r="10471" spans="1:9" x14ac:dyDescent="0.25">
      <c r="A10471">
        <v>411</v>
      </c>
      <c r="B10471" t="s">
        <v>3174</v>
      </c>
      <c r="C10471" t="s">
        <v>10</v>
      </c>
      <c r="D10471" t="s">
        <v>1307</v>
      </c>
      <c r="E10471">
        <f t="shared" si="491"/>
        <v>9.9009900990099011E-3</v>
      </c>
      <c r="F10471">
        <v>4</v>
      </c>
      <c r="G10471">
        <f>LOG(382/(4+1))</f>
        <v>1.8830933585756899</v>
      </c>
      <c r="H10471">
        <f>0.0099009900990099*4.33598269617247</f>
        <v>4.2930521744281878E-2</v>
      </c>
      <c r="I10471">
        <v>4.2930521744281927E-2</v>
      </c>
    </row>
    <row r="10472" spans="1:9" x14ac:dyDescent="0.25">
      <c r="A10472">
        <v>411</v>
      </c>
      <c r="B10472" t="s">
        <v>3174</v>
      </c>
      <c r="C10472" t="s">
        <v>10</v>
      </c>
      <c r="D10472" t="s">
        <v>3175</v>
      </c>
      <c r="E10472">
        <f t="shared" si="491"/>
        <v>9.9009900990099011E-3</v>
      </c>
      <c r="F10472">
        <v>1</v>
      </c>
      <c r="G10472">
        <f>LOG(382/(1+1))</f>
        <v>2.2810333672477277</v>
      </c>
      <c r="H10472">
        <f>0.0099009900990099*5.25227342804663</f>
        <v>5.2002707208382466E-2</v>
      </c>
      <c r="I10472">
        <v>5.2002707208382473E-2</v>
      </c>
    </row>
    <row r="10473" spans="1:9" x14ac:dyDescent="0.25">
      <c r="A10473">
        <v>411</v>
      </c>
      <c r="B10473" t="s">
        <v>3174</v>
      </c>
      <c r="C10473" t="s">
        <v>10</v>
      </c>
      <c r="D10473" t="s">
        <v>3176</v>
      </c>
      <c r="E10473">
        <f t="shared" si="491"/>
        <v>9.9009900990099011E-3</v>
      </c>
      <c r="F10473">
        <v>1</v>
      </c>
      <c r="G10473">
        <f>LOG(382/(1+1))</f>
        <v>2.2810333672477277</v>
      </c>
      <c r="H10473">
        <f>0.0099009900990099*5.25227342804663</f>
        <v>5.2002707208382466E-2</v>
      </c>
      <c r="I10473">
        <v>5.2002707208382473E-2</v>
      </c>
    </row>
    <row r="10474" spans="1:9" x14ac:dyDescent="0.25">
      <c r="A10474">
        <v>411</v>
      </c>
      <c r="B10474" t="s">
        <v>3174</v>
      </c>
      <c r="C10474" t="s">
        <v>10</v>
      </c>
      <c r="D10474" t="s">
        <v>924</v>
      </c>
      <c r="E10474">
        <f t="shared" si="491"/>
        <v>9.9009900990099011E-3</v>
      </c>
      <c r="F10474">
        <v>13</v>
      </c>
      <c r="G10474">
        <f>LOG(382/(13+1))</f>
        <v>1.4359353272334707</v>
      </c>
      <c r="H10474">
        <f>0.0099009900990099*3.30636327899131</f>
        <v>3.273627008902287E-2</v>
      </c>
      <c r="I10474">
        <v>3.2736270089022933E-2</v>
      </c>
    </row>
    <row r="10475" spans="1:9" x14ac:dyDescent="0.25">
      <c r="A10475">
        <v>411</v>
      </c>
      <c r="B10475" t="s">
        <v>3174</v>
      </c>
      <c r="C10475" t="s">
        <v>10</v>
      </c>
      <c r="D10475" t="s">
        <v>3177</v>
      </c>
      <c r="E10475">
        <f t="shared" si="491"/>
        <v>9.9009900990099011E-3</v>
      </c>
      <c r="F10475">
        <v>1</v>
      </c>
      <c r="G10475">
        <f>LOG(382/(1+1))</f>
        <v>2.2810333672477277</v>
      </c>
      <c r="H10475">
        <f>0.0099009900990099*5.25227342804663</f>
        <v>5.2002707208382466E-2</v>
      </c>
      <c r="I10475">
        <v>5.2002707208382473E-2</v>
      </c>
    </row>
    <row r="10476" spans="1:9" x14ac:dyDescent="0.25">
      <c r="A10476">
        <v>411</v>
      </c>
      <c r="B10476" t="s">
        <v>3174</v>
      </c>
      <c r="C10476" t="s">
        <v>10</v>
      </c>
      <c r="D10476" t="s">
        <v>1714</v>
      </c>
      <c r="E10476">
        <f t="shared" si="491"/>
        <v>9.9009900990099011E-3</v>
      </c>
      <c r="F10476">
        <v>9</v>
      </c>
      <c r="G10476">
        <f>LOG(382/(9+1))</f>
        <v>1.5820633629117087</v>
      </c>
      <c r="H10476">
        <f>0.0099009900990099*3.64283551561252</f>
        <v>3.6067678372401185E-2</v>
      </c>
      <c r="I10476">
        <v>3.6067678372401282E-2</v>
      </c>
    </row>
    <row r="10477" spans="1:9" x14ac:dyDescent="0.25">
      <c r="A10477">
        <v>411</v>
      </c>
      <c r="B10477" t="s">
        <v>3174</v>
      </c>
      <c r="C10477" t="s">
        <v>10</v>
      </c>
      <c r="D10477" t="s">
        <v>3178</v>
      </c>
      <c r="E10477">
        <f t="shared" si="491"/>
        <v>9.9009900990099011E-3</v>
      </c>
      <c r="F10477">
        <v>1</v>
      </c>
      <c r="G10477">
        <f>LOG(382/(1+1))</f>
        <v>2.2810333672477277</v>
      </c>
      <c r="H10477">
        <f>0.0099009900990099*5.25227342804663</f>
        <v>5.2002707208382466E-2</v>
      </c>
      <c r="I10477">
        <v>5.2002707208382473E-2</v>
      </c>
    </row>
    <row r="10478" spans="1:9" x14ac:dyDescent="0.25">
      <c r="A10478">
        <v>411</v>
      </c>
      <c r="B10478" t="s">
        <v>3174</v>
      </c>
      <c r="C10478" t="s">
        <v>10</v>
      </c>
      <c r="D10478" t="s">
        <v>25</v>
      </c>
      <c r="E10478">
        <f>2/101</f>
        <v>1.9801980198019802E-2</v>
      </c>
      <c r="F10478">
        <v>106</v>
      </c>
      <c r="G10478">
        <f>LOG(382/(106+1))</f>
        <v>0.55267958522649907</v>
      </c>
      <c r="H10478">
        <f>0.0198019801980198*1.27259177414466</f>
        <v>2.5199837111775442E-2</v>
      </c>
      <c r="I10478">
        <v>2.519983711177563E-2</v>
      </c>
    </row>
    <row r="10479" spans="1:9" x14ac:dyDescent="0.25">
      <c r="A10479">
        <v>411</v>
      </c>
      <c r="B10479" t="s">
        <v>3174</v>
      </c>
      <c r="C10479" t="s">
        <v>10</v>
      </c>
      <c r="D10479" t="s">
        <v>322</v>
      </c>
      <c r="E10479">
        <f>1/101</f>
        <v>9.9009900990099011E-3</v>
      </c>
      <c r="F10479">
        <v>128</v>
      </c>
      <c r="G10479">
        <f>LOG(382/(128+1))</f>
        <v>0.47147365261245977</v>
      </c>
      <c r="H10479">
        <f>0.0099009900990099*1.0856082042449</f>
        <v>1.0748596081632672E-2</v>
      </c>
      <c r="I10479">
        <v>1.07485960816327E-2</v>
      </c>
    </row>
    <row r="10480" spans="1:9" x14ac:dyDescent="0.25">
      <c r="A10480">
        <v>411</v>
      </c>
      <c r="B10480" t="s">
        <v>3174</v>
      </c>
      <c r="C10480" t="s">
        <v>10</v>
      </c>
      <c r="D10480" t="s">
        <v>2211</v>
      </c>
      <c r="E10480">
        <f>1/101</f>
        <v>9.9009900990099011E-3</v>
      </c>
      <c r="F10480">
        <v>9</v>
      </c>
      <c r="G10480">
        <f>LOG(382/(9+1))</f>
        <v>1.5820633629117087</v>
      </c>
      <c r="H10480">
        <f>0.0099009900990099*3.64283551561252</f>
        <v>3.6067678372401185E-2</v>
      </c>
      <c r="I10480">
        <v>3.6067678372401282E-2</v>
      </c>
    </row>
    <row r="10481" spans="1:9" x14ac:dyDescent="0.25">
      <c r="A10481">
        <v>411</v>
      </c>
      <c r="B10481" t="s">
        <v>3174</v>
      </c>
      <c r="C10481" t="s">
        <v>10</v>
      </c>
      <c r="D10481" t="s">
        <v>3179</v>
      </c>
      <c r="E10481">
        <f>1/101</f>
        <v>9.9009900990099011E-3</v>
      </c>
      <c r="F10481">
        <v>1</v>
      </c>
      <c r="G10481">
        <f>LOG(382/(1+1))</f>
        <v>2.2810333672477277</v>
      </c>
      <c r="H10481">
        <f>0.0099009900990099*5.25227342804663</f>
        <v>5.2002707208382466E-2</v>
      </c>
      <c r="I10481">
        <v>5.2002707208382473E-2</v>
      </c>
    </row>
    <row r="10482" spans="1:9" x14ac:dyDescent="0.25">
      <c r="A10482">
        <v>411</v>
      </c>
      <c r="B10482" t="s">
        <v>3174</v>
      </c>
      <c r="C10482" t="s">
        <v>10</v>
      </c>
      <c r="D10482" t="s">
        <v>3180</v>
      </c>
      <c r="E10482">
        <f>1/101</f>
        <v>9.9009900990099011E-3</v>
      </c>
      <c r="F10482">
        <v>2</v>
      </c>
      <c r="G10482">
        <f>LOG(382/(2+1))</f>
        <v>2.1049421081920463</v>
      </c>
      <c r="H10482">
        <f>0.0099009900990099*4.84680831993846</f>
        <v>4.7988201187509495E-2</v>
      </c>
      <c r="I10482">
        <v>4.7988201187509558E-2</v>
      </c>
    </row>
    <row r="10483" spans="1:9" x14ac:dyDescent="0.25">
      <c r="A10483">
        <v>411</v>
      </c>
      <c r="B10483" t="s">
        <v>3174</v>
      </c>
      <c r="C10483" t="s">
        <v>10</v>
      </c>
      <c r="D10483" t="s">
        <v>3181</v>
      </c>
      <c r="E10483">
        <f>2/101</f>
        <v>1.9801980198019802E-2</v>
      </c>
      <c r="F10483">
        <v>1</v>
      </c>
      <c r="G10483">
        <f>LOG(382/(1+1))</f>
        <v>2.2810333672477277</v>
      </c>
      <c r="H10483">
        <f>0.0198019801980198*5.25227342804663</f>
        <v>0.10400541441676493</v>
      </c>
      <c r="I10483">
        <v>0.1040054144167649</v>
      </c>
    </row>
    <row r="10484" spans="1:9" x14ac:dyDescent="0.25">
      <c r="A10484">
        <v>411</v>
      </c>
      <c r="B10484" t="s">
        <v>3174</v>
      </c>
      <c r="C10484" t="s">
        <v>10</v>
      </c>
      <c r="D10484" t="s">
        <v>3182</v>
      </c>
      <c r="E10484">
        <f>3/101</f>
        <v>2.9702970297029702E-2</v>
      </c>
      <c r="F10484">
        <v>1</v>
      </c>
      <c r="G10484">
        <f>LOG(382/(1+1))</f>
        <v>2.2810333672477277</v>
      </c>
      <c r="H10484">
        <f>0.0297029702970297*5.25227342804663</f>
        <v>0.15600812162514741</v>
      </c>
      <c r="I10484">
        <v>0.15600812162514741</v>
      </c>
    </row>
    <row r="10485" spans="1:9" x14ac:dyDescent="0.25">
      <c r="A10485">
        <v>411</v>
      </c>
      <c r="B10485" t="s">
        <v>3174</v>
      </c>
      <c r="C10485" t="s">
        <v>10</v>
      </c>
      <c r="D10485" t="s">
        <v>323</v>
      </c>
      <c r="E10485">
        <f t="shared" ref="E10485:E10506" si="492">1/101</f>
        <v>9.9009900990099011E-3</v>
      </c>
      <c r="F10485">
        <v>2</v>
      </c>
      <c r="G10485">
        <f>LOG(382/(2+1))</f>
        <v>2.1049421081920463</v>
      </c>
      <c r="H10485">
        <f>0.0099009900990099*4.84680831993846</f>
        <v>4.7988201187509495E-2</v>
      </c>
      <c r="I10485">
        <v>4.7988201187509558E-2</v>
      </c>
    </row>
    <row r="10486" spans="1:9" x14ac:dyDescent="0.25">
      <c r="A10486">
        <v>411</v>
      </c>
      <c r="B10486" t="s">
        <v>3174</v>
      </c>
      <c r="C10486" t="s">
        <v>10</v>
      </c>
      <c r="D10486" t="s">
        <v>3183</v>
      </c>
      <c r="E10486">
        <f t="shared" si="492"/>
        <v>9.9009900990099011E-3</v>
      </c>
      <c r="F10486">
        <v>1</v>
      </c>
      <c r="G10486">
        <f>LOG(382/(1+1))</f>
        <v>2.2810333672477277</v>
      </c>
      <c r="H10486">
        <f>0.0099009900990099*5.25227342804663</f>
        <v>5.2002707208382466E-2</v>
      </c>
      <c r="I10486">
        <v>5.2002707208382473E-2</v>
      </c>
    </row>
    <row r="10487" spans="1:9" x14ac:dyDescent="0.25">
      <c r="A10487">
        <v>411</v>
      </c>
      <c r="B10487" t="s">
        <v>3174</v>
      </c>
      <c r="C10487" t="s">
        <v>10</v>
      </c>
      <c r="D10487" t="s">
        <v>1158</v>
      </c>
      <c r="E10487">
        <f t="shared" si="492"/>
        <v>9.9009900990099011E-3</v>
      </c>
      <c r="F10487">
        <v>2</v>
      </c>
      <c r="G10487">
        <f>LOG(382/(2+1))</f>
        <v>2.1049421081920463</v>
      </c>
      <c r="H10487">
        <f>0.0099009900990099*4.84680831993846</f>
        <v>4.7988201187509495E-2</v>
      </c>
      <c r="I10487">
        <v>4.7988201187509558E-2</v>
      </c>
    </row>
    <row r="10488" spans="1:9" x14ac:dyDescent="0.25">
      <c r="A10488">
        <v>411</v>
      </c>
      <c r="B10488" t="s">
        <v>3174</v>
      </c>
      <c r="C10488" t="s">
        <v>10</v>
      </c>
      <c r="D10488" t="s">
        <v>2756</v>
      </c>
      <c r="E10488">
        <f t="shared" si="492"/>
        <v>9.9009900990099011E-3</v>
      </c>
      <c r="F10488">
        <v>3</v>
      </c>
      <c r="G10488">
        <f>LOG(382/(3+1))</f>
        <v>1.9800033715837464</v>
      </c>
      <c r="H10488">
        <f>0.0099009900990099*4.55912624748668</f>
        <v>4.5139863836501773E-2</v>
      </c>
      <c r="I10488">
        <v>4.5139863836501828E-2</v>
      </c>
    </row>
    <row r="10489" spans="1:9" x14ac:dyDescent="0.25">
      <c r="A10489">
        <v>411</v>
      </c>
      <c r="B10489" t="s">
        <v>3174</v>
      </c>
      <c r="C10489" t="s">
        <v>10</v>
      </c>
      <c r="D10489" t="s">
        <v>324</v>
      </c>
      <c r="E10489">
        <f t="shared" si="492"/>
        <v>9.9009900990099011E-3</v>
      </c>
      <c r="F10489">
        <v>82</v>
      </c>
      <c r="G10489">
        <f>LOG(382/(82+1))</f>
        <v>0.66298527053563483</v>
      </c>
      <c r="H10489">
        <f>0.0099009900990099*1.52658000080997</f>
        <v>1.5114653473366036E-2</v>
      </c>
      <c r="I10489">
        <v>1.5114653473366111E-2</v>
      </c>
    </row>
    <row r="10490" spans="1:9" x14ac:dyDescent="0.25">
      <c r="A10490">
        <v>411</v>
      </c>
      <c r="B10490" t="s">
        <v>3174</v>
      </c>
      <c r="C10490" t="s">
        <v>10</v>
      </c>
      <c r="D10490" t="s">
        <v>1855</v>
      </c>
      <c r="E10490">
        <f t="shared" si="492"/>
        <v>9.9009900990099011E-3</v>
      </c>
      <c r="F10490">
        <v>17</v>
      </c>
      <c r="G10490">
        <f>LOG(382/(17+1))</f>
        <v>1.3267908578084027</v>
      </c>
      <c r="H10490">
        <f>0.0099009900990099*3.05504885071041</f>
        <v>3.0248008422875339E-2</v>
      </c>
      <c r="I10490">
        <v>3.0248008422875349E-2</v>
      </c>
    </row>
    <row r="10491" spans="1:9" x14ac:dyDescent="0.25">
      <c r="A10491">
        <v>411</v>
      </c>
      <c r="B10491" t="s">
        <v>3174</v>
      </c>
      <c r="C10491" t="s">
        <v>10</v>
      </c>
      <c r="D10491" t="s">
        <v>2863</v>
      </c>
      <c r="E10491">
        <f t="shared" si="492"/>
        <v>9.9009900990099011E-3</v>
      </c>
      <c r="F10491">
        <v>6</v>
      </c>
      <c r="G10491">
        <f>LOG(382/(6+1))</f>
        <v>1.736965322897452</v>
      </c>
      <c r="H10491">
        <f>0.0099009900990099*3.99951045955126</f>
        <v>3.9599113460903557E-2</v>
      </c>
      <c r="I10491">
        <v>3.9599113460903577E-2</v>
      </c>
    </row>
    <row r="10492" spans="1:9" x14ac:dyDescent="0.25">
      <c r="A10492">
        <v>411</v>
      </c>
      <c r="B10492" t="s">
        <v>3174</v>
      </c>
      <c r="C10492" t="s">
        <v>10</v>
      </c>
      <c r="D10492" t="s">
        <v>3184</v>
      </c>
      <c r="E10492">
        <f t="shared" si="492"/>
        <v>9.9009900990099011E-3</v>
      </c>
      <c r="F10492">
        <v>1</v>
      </c>
      <c r="G10492">
        <f>LOG(382/(1+1))</f>
        <v>2.2810333672477277</v>
      </c>
      <c r="H10492">
        <f>0.0099009900990099*5.25227342804663</f>
        <v>5.2002707208382466E-2</v>
      </c>
      <c r="I10492">
        <v>5.2002707208382473E-2</v>
      </c>
    </row>
    <row r="10493" spans="1:9" x14ac:dyDescent="0.25">
      <c r="A10493">
        <v>411</v>
      </c>
      <c r="B10493" t="s">
        <v>3174</v>
      </c>
      <c r="C10493" t="s">
        <v>10</v>
      </c>
      <c r="D10493" t="s">
        <v>3185</v>
      </c>
      <c r="E10493">
        <f t="shared" si="492"/>
        <v>9.9009900990099011E-3</v>
      </c>
      <c r="F10493">
        <v>1</v>
      </c>
      <c r="G10493">
        <f>LOG(382/(1+1))</f>
        <v>2.2810333672477277</v>
      </c>
      <c r="H10493">
        <f>0.0099009900990099*5.25227342804663</f>
        <v>5.2002707208382466E-2</v>
      </c>
      <c r="I10493">
        <v>5.2002707208382473E-2</v>
      </c>
    </row>
    <row r="10494" spans="1:9" x14ac:dyDescent="0.25">
      <c r="A10494">
        <v>411</v>
      </c>
      <c r="B10494" t="s">
        <v>3174</v>
      </c>
      <c r="C10494" t="s">
        <v>10</v>
      </c>
      <c r="D10494" t="s">
        <v>3186</v>
      </c>
      <c r="E10494">
        <f t="shared" si="492"/>
        <v>9.9009900990099011E-3</v>
      </c>
      <c r="F10494">
        <v>3</v>
      </c>
      <c r="G10494">
        <f>LOG(382/(3+1))</f>
        <v>1.9800033715837464</v>
      </c>
      <c r="H10494">
        <f>0.0099009900990099*4.55912624748668</f>
        <v>4.5139863836501773E-2</v>
      </c>
      <c r="I10494">
        <v>4.5139863836501828E-2</v>
      </c>
    </row>
    <row r="10495" spans="1:9" x14ac:dyDescent="0.25">
      <c r="A10495">
        <v>411</v>
      </c>
      <c r="B10495" t="s">
        <v>3174</v>
      </c>
      <c r="C10495" t="s">
        <v>10</v>
      </c>
      <c r="D10495" t="s">
        <v>3187</v>
      </c>
      <c r="E10495">
        <f t="shared" si="492"/>
        <v>9.9009900990099011E-3</v>
      </c>
      <c r="F10495">
        <v>1</v>
      </c>
      <c r="G10495">
        <f>LOG(382/(1+1))</f>
        <v>2.2810333672477277</v>
      </c>
      <c r="H10495">
        <f>0.0099009900990099*5.25227342804663</f>
        <v>5.2002707208382466E-2</v>
      </c>
      <c r="I10495">
        <v>5.2002707208382473E-2</v>
      </c>
    </row>
    <row r="10496" spans="1:9" x14ac:dyDescent="0.25">
      <c r="A10496">
        <v>411</v>
      </c>
      <c r="B10496" t="s">
        <v>3174</v>
      </c>
      <c r="C10496" t="s">
        <v>10</v>
      </c>
      <c r="D10496" t="s">
        <v>3188</v>
      </c>
      <c r="E10496">
        <f t="shared" si="492"/>
        <v>9.9009900990099011E-3</v>
      </c>
      <c r="F10496">
        <v>1</v>
      </c>
      <c r="G10496">
        <f>LOG(382/(1+1))</f>
        <v>2.2810333672477277</v>
      </c>
      <c r="H10496">
        <f>0.0099009900990099*5.25227342804663</f>
        <v>5.2002707208382466E-2</v>
      </c>
      <c r="I10496">
        <v>5.2002707208382473E-2</v>
      </c>
    </row>
    <row r="10497" spans="1:9" x14ac:dyDescent="0.25">
      <c r="A10497">
        <v>411</v>
      </c>
      <c r="B10497" t="s">
        <v>3174</v>
      </c>
      <c r="C10497" t="s">
        <v>10</v>
      </c>
      <c r="D10497" t="s">
        <v>339</v>
      </c>
      <c r="E10497">
        <f t="shared" si="492"/>
        <v>9.9009900990099011E-3</v>
      </c>
      <c r="F10497">
        <v>66</v>
      </c>
      <c r="G10497">
        <f>LOG(382/(66+1))</f>
        <v>0.75598856021088234</v>
      </c>
      <c r="H10497">
        <f>0.0099009900990099*1.7407279892156</f>
        <v>1.7234930586293065E-2</v>
      </c>
      <c r="I10497">
        <v>1.7234930586293159E-2</v>
      </c>
    </row>
    <row r="10498" spans="1:9" x14ac:dyDescent="0.25">
      <c r="A10498">
        <v>411</v>
      </c>
      <c r="B10498" t="s">
        <v>3174</v>
      </c>
      <c r="C10498" t="s">
        <v>10</v>
      </c>
      <c r="D10498" t="s">
        <v>442</v>
      </c>
      <c r="E10498">
        <f t="shared" si="492"/>
        <v>9.9009900990099011E-3</v>
      </c>
      <c r="F10498">
        <v>9</v>
      </c>
      <c r="G10498">
        <f>LOG(382/(9+1))</f>
        <v>1.5820633629117087</v>
      </c>
      <c r="H10498">
        <f>0.0099009900990099*3.64283551561252</f>
        <v>3.6067678372401185E-2</v>
      </c>
      <c r="I10498">
        <v>3.6067678372401282E-2</v>
      </c>
    </row>
    <row r="10499" spans="1:9" x14ac:dyDescent="0.25">
      <c r="A10499">
        <v>411</v>
      </c>
      <c r="B10499" t="s">
        <v>3174</v>
      </c>
      <c r="C10499" t="s">
        <v>10</v>
      </c>
      <c r="D10499" t="s">
        <v>649</v>
      </c>
      <c r="E10499">
        <f t="shared" si="492"/>
        <v>9.9009900990099011E-3</v>
      </c>
      <c r="F10499">
        <v>25</v>
      </c>
      <c r="G10499">
        <f>LOG(382/(25+1))</f>
        <v>1.1670900149408907</v>
      </c>
      <c r="H10499">
        <f>0.0099009900990099*2.68732407058509</f>
        <v>2.6607169015693957E-2</v>
      </c>
      <c r="I10499">
        <v>2.6607169015693991E-2</v>
      </c>
    </row>
    <row r="10500" spans="1:9" x14ac:dyDescent="0.25">
      <c r="A10500">
        <v>411</v>
      </c>
      <c r="B10500" t="s">
        <v>3174</v>
      </c>
      <c r="C10500" t="s">
        <v>10</v>
      </c>
      <c r="D10500" t="s">
        <v>3189</v>
      </c>
      <c r="E10500">
        <f t="shared" si="492"/>
        <v>9.9009900990099011E-3</v>
      </c>
      <c r="F10500">
        <v>1</v>
      </c>
      <c r="G10500">
        <f>LOG(382/(1+1))</f>
        <v>2.2810333672477277</v>
      </c>
      <c r="H10500">
        <f>0.0099009900990099*5.25227342804663</f>
        <v>5.2002707208382466E-2</v>
      </c>
      <c r="I10500">
        <v>5.2002707208382473E-2</v>
      </c>
    </row>
    <row r="10501" spans="1:9" x14ac:dyDescent="0.25">
      <c r="A10501">
        <v>411</v>
      </c>
      <c r="B10501" t="s">
        <v>3174</v>
      </c>
      <c r="C10501" t="s">
        <v>10</v>
      </c>
      <c r="D10501" t="s">
        <v>2154</v>
      </c>
      <c r="E10501">
        <f t="shared" si="492"/>
        <v>9.9009900990099011E-3</v>
      </c>
      <c r="F10501">
        <v>9</v>
      </c>
      <c r="G10501">
        <f>LOG(382/(9+1))</f>
        <v>1.5820633629117087</v>
      </c>
      <c r="H10501">
        <f>0.0099009900990099*3.64283551561252</f>
        <v>3.6067678372401185E-2</v>
      </c>
      <c r="I10501">
        <v>3.6067678372401282E-2</v>
      </c>
    </row>
    <row r="10502" spans="1:9" x14ac:dyDescent="0.25">
      <c r="A10502">
        <v>411</v>
      </c>
      <c r="B10502" t="s">
        <v>3174</v>
      </c>
      <c r="C10502" t="s">
        <v>10</v>
      </c>
      <c r="D10502" t="s">
        <v>76</v>
      </c>
      <c r="E10502">
        <f t="shared" si="492"/>
        <v>9.9009900990099011E-3</v>
      </c>
      <c r="F10502">
        <v>140</v>
      </c>
      <c r="G10502">
        <f>LOG(382/(140+1))</f>
        <v>0.43284425025632883</v>
      </c>
      <c r="H10502">
        <f>0.0099009900990099*0.996660718228407</f>
        <v>9.867927903251552E-3</v>
      </c>
      <c r="I10502">
        <v>9.8679279032515537E-3</v>
      </c>
    </row>
    <row r="10503" spans="1:9" x14ac:dyDescent="0.25">
      <c r="A10503">
        <v>411</v>
      </c>
      <c r="B10503" t="s">
        <v>3174</v>
      </c>
      <c r="C10503" t="s">
        <v>10</v>
      </c>
      <c r="D10503" t="s">
        <v>77</v>
      </c>
      <c r="E10503">
        <f t="shared" si="492"/>
        <v>9.9009900990099011E-3</v>
      </c>
      <c r="F10503">
        <v>148</v>
      </c>
      <c r="G10503">
        <f>LOG(382/(148+1))</f>
        <v>0.40887709449943471</v>
      </c>
      <c r="H10503">
        <f>0.0099009900990099*0.941474302661116</f>
        <v>9.3215277491199584E-3</v>
      </c>
      <c r="I10503">
        <v>9.3215277491199618E-3</v>
      </c>
    </row>
    <row r="10504" spans="1:9" x14ac:dyDescent="0.25">
      <c r="A10504">
        <v>411</v>
      </c>
      <c r="B10504" t="s">
        <v>3174</v>
      </c>
      <c r="C10504" t="s">
        <v>10</v>
      </c>
      <c r="D10504" t="s">
        <v>15</v>
      </c>
      <c r="E10504">
        <f t="shared" si="492"/>
        <v>9.9009900990099011E-3</v>
      </c>
      <c r="F10504">
        <v>112</v>
      </c>
      <c r="G10504">
        <f>LOG(382/(112+1))</f>
        <v>0.52898491942828896</v>
      </c>
      <c r="H10504">
        <f>0.0099009900990099*1.21803278989423</f>
        <v>1.2059730593012177E-2</v>
      </c>
      <c r="I10504">
        <v>1.2059730593012231E-2</v>
      </c>
    </row>
    <row r="10505" spans="1:9" x14ac:dyDescent="0.25">
      <c r="A10505">
        <v>411</v>
      </c>
      <c r="B10505" t="s">
        <v>3174</v>
      </c>
      <c r="C10505" t="s">
        <v>10</v>
      </c>
      <c r="D10505" t="s">
        <v>2130</v>
      </c>
      <c r="E10505">
        <f t="shared" si="492"/>
        <v>9.9009900990099011E-3</v>
      </c>
      <c r="F10505">
        <v>2</v>
      </c>
      <c r="G10505">
        <f>LOG(382/(2+1))</f>
        <v>2.1049421081920463</v>
      </c>
      <c r="H10505">
        <f>0.0099009900990099*4.84680831993846</f>
        <v>4.7988201187509495E-2</v>
      </c>
      <c r="I10505">
        <v>4.7988201187509558E-2</v>
      </c>
    </row>
    <row r="10506" spans="1:9" x14ac:dyDescent="0.25">
      <c r="A10506">
        <v>411</v>
      </c>
      <c r="B10506" t="s">
        <v>3174</v>
      </c>
      <c r="C10506" t="s">
        <v>10</v>
      </c>
      <c r="D10506" t="s">
        <v>68</v>
      </c>
      <c r="E10506">
        <f t="shared" si="492"/>
        <v>9.9009900990099011E-3</v>
      </c>
      <c r="F10506">
        <v>43</v>
      </c>
      <c r="G10506">
        <f>LOG(382/(43+1))</f>
        <v>0.93861068642552126</v>
      </c>
      <c r="H10506">
        <f>0.0099009900990099*2.16123097468831</f>
        <v>2.1398326482062469E-2</v>
      </c>
      <c r="I10506">
        <v>2.139832648206251E-2</v>
      </c>
    </row>
    <row r="10507" spans="1:9" x14ac:dyDescent="0.25">
      <c r="A10507">
        <v>411</v>
      </c>
      <c r="B10507" t="s">
        <v>3174</v>
      </c>
      <c r="C10507" t="s">
        <v>10</v>
      </c>
      <c r="D10507" t="s">
        <v>44</v>
      </c>
      <c r="E10507">
        <f>2/101</f>
        <v>1.9801980198019802E-2</v>
      </c>
      <c r="F10507">
        <v>151</v>
      </c>
      <c r="G10507">
        <f>LOG(382/(151+1))</f>
        <v>0.40021977496693617</v>
      </c>
      <c r="H10507">
        <f>0.0198019801980198*0.921540087760298</f>
        <v>1.8248318569510851E-2</v>
      </c>
      <c r="I10507">
        <v>1.8248318569510869E-2</v>
      </c>
    </row>
    <row r="10508" spans="1:9" x14ac:dyDescent="0.25">
      <c r="A10508">
        <v>411</v>
      </c>
      <c r="B10508" t="s">
        <v>3174</v>
      </c>
      <c r="C10508" t="s">
        <v>10</v>
      </c>
      <c r="D10508" t="s">
        <v>144</v>
      </c>
      <c r="E10508">
        <f>1/101</f>
        <v>9.9009900990099011E-3</v>
      </c>
      <c r="F10508">
        <v>105</v>
      </c>
      <c r="G10508">
        <f>LOG(382/(105+1))</f>
        <v>0.55675749764693849</v>
      </c>
      <c r="H10508">
        <f>0.0099009900990099*1.2819815144945</f>
        <v>1.2692886282123759E-2</v>
      </c>
      <c r="I10508">
        <v>1.269288628212384E-2</v>
      </c>
    </row>
    <row r="10509" spans="1:9" x14ac:dyDescent="0.25">
      <c r="A10509">
        <v>411</v>
      </c>
      <c r="B10509" t="s">
        <v>3174</v>
      </c>
      <c r="C10509" t="s">
        <v>10</v>
      </c>
      <c r="D10509" t="s">
        <v>1280</v>
      </c>
      <c r="E10509">
        <f>1/101</f>
        <v>9.9009900990099011E-3</v>
      </c>
      <c r="F10509">
        <v>4</v>
      </c>
      <c r="G10509">
        <f>LOG(382/(4+1))</f>
        <v>1.8830933585756899</v>
      </c>
      <c r="H10509">
        <f>0.0099009900990099*4.33598269617247</f>
        <v>4.2930521744281878E-2</v>
      </c>
      <c r="I10509">
        <v>4.2930521744281927E-2</v>
      </c>
    </row>
    <row r="10510" spans="1:9" x14ac:dyDescent="0.25">
      <c r="A10510">
        <v>411</v>
      </c>
      <c r="B10510" t="s">
        <v>3174</v>
      </c>
      <c r="C10510" t="s">
        <v>10</v>
      </c>
      <c r="D10510" t="s">
        <v>17</v>
      </c>
      <c r="E10510">
        <f>1/101</f>
        <v>9.9009900990099011E-3</v>
      </c>
      <c r="F10510">
        <v>169</v>
      </c>
      <c r="G10510">
        <f>LOG(382/(169+1))</f>
        <v>0.3516144415334348</v>
      </c>
      <c r="H10510">
        <f>0.0099009900990099*0.809622171556313</f>
        <v>8.0160611045179495E-3</v>
      </c>
      <c r="I10510">
        <v>8.0160611045179547E-3</v>
      </c>
    </row>
    <row r="10511" spans="1:9" x14ac:dyDescent="0.25">
      <c r="A10511">
        <v>411</v>
      </c>
      <c r="B10511" t="s">
        <v>3174</v>
      </c>
      <c r="C10511" t="s">
        <v>10</v>
      </c>
      <c r="D10511" t="s">
        <v>153</v>
      </c>
      <c r="E10511">
        <f>1/101</f>
        <v>9.9009900990099011E-3</v>
      </c>
      <c r="F10511">
        <v>10</v>
      </c>
      <c r="G10511">
        <f>LOG(382/(10+1))</f>
        <v>1.5406706777534838</v>
      </c>
      <c r="H10511">
        <f>0.0099009900990099*3.5475253358082</f>
        <v>3.5124013225823758E-2</v>
      </c>
      <c r="I10511">
        <v>3.5124013225823807E-2</v>
      </c>
    </row>
    <row r="10512" spans="1:9" x14ac:dyDescent="0.25">
      <c r="A10512">
        <v>411</v>
      </c>
      <c r="B10512" t="s">
        <v>3174</v>
      </c>
      <c r="C10512" t="s">
        <v>10</v>
      </c>
      <c r="D10512" t="s">
        <v>19</v>
      </c>
      <c r="E10512">
        <f>2/101</f>
        <v>1.9801980198019802E-2</v>
      </c>
      <c r="F10512">
        <v>220</v>
      </c>
      <c r="G10512">
        <f>LOG(382/(220+1))</f>
        <v>0.23767108922659805</v>
      </c>
      <c r="H10512">
        <f>0.0198019801980198*0.547257907088822</f>
        <v>1.0836790239382613E-2</v>
      </c>
      <c r="I10512">
        <v>1.083679023938262E-2</v>
      </c>
    </row>
    <row r="10513" spans="1:9" x14ac:dyDescent="0.25">
      <c r="A10513">
        <v>411</v>
      </c>
      <c r="B10513" t="s">
        <v>3174</v>
      </c>
      <c r="C10513" t="s">
        <v>10</v>
      </c>
      <c r="D10513" t="s">
        <v>1478</v>
      </c>
      <c r="E10513">
        <f t="shared" ref="E10513:E10519" si="493">1/101</f>
        <v>9.9009900990099011E-3</v>
      </c>
      <c r="F10513">
        <v>17</v>
      </c>
      <c r="G10513">
        <f>LOG(382/(17+1))</f>
        <v>1.3267908578084027</v>
      </c>
      <c r="H10513">
        <f>0.0099009900990099*3.05504885071041</f>
        <v>3.0248008422875339E-2</v>
      </c>
      <c r="I10513">
        <v>3.0248008422875349E-2</v>
      </c>
    </row>
    <row r="10514" spans="1:9" x14ac:dyDescent="0.25">
      <c r="A10514">
        <v>411</v>
      </c>
      <c r="B10514" t="s">
        <v>3174</v>
      </c>
      <c r="C10514" t="s">
        <v>10</v>
      </c>
      <c r="D10514" t="s">
        <v>1480</v>
      </c>
      <c r="E10514">
        <f t="shared" si="493"/>
        <v>9.9009900990099011E-3</v>
      </c>
      <c r="F10514">
        <v>11</v>
      </c>
      <c r="G10514">
        <f>LOG(382/(11+1))</f>
        <v>1.5028821168640838</v>
      </c>
      <c r="H10514">
        <f>0.0099009900990099*3.46051395881857</f>
        <v>3.4262514443748213E-2</v>
      </c>
      <c r="I10514">
        <v>3.4262514443748268E-2</v>
      </c>
    </row>
    <row r="10515" spans="1:9" x14ac:dyDescent="0.25">
      <c r="A10515">
        <v>411</v>
      </c>
      <c r="B10515" t="s">
        <v>3174</v>
      </c>
      <c r="C10515" t="s">
        <v>10</v>
      </c>
      <c r="D10515" t="s">
        <v>1407</v>
      </c>
      <c r="E10515">
        <f t="shared" si="493"/>
        <v>9.9009900990099011E-3</v>
      </c>
      <c r="F10515">
        <v>16</v>
      </c>
      <c r="G10515">
        <f>LOG(382/(16+1))</f>
        <v>1.3516144415334348</v>
      </c>
      <c r="H10515">
        <f>0.0099009900990099*3.11220726455035</f>
        <v>3.0813933312379697E-2</v>
      </c>
      <c r="I10515">
        <v>3.081393331237979E-2</v>
      </c>
    </row>
    <row r="10516" spans="1:9" x14ac:dyDescent="0.25">
      <c r="A10516">
        <v>411</v>
      </c>
      <c r="B10516" t="s">
        <v>3174</v>
      </c>
      <c r="C10516" t="s">
        <v>10</v>
      </c>
      <c r="D10516" t="s">
        <v>596</v>
      </c>
      <c r="E10516">
        <f t="shared" si="493"/>
        <v>9.9009900990099011E-3</v>
      </c>
      <c r="F10516">
        <v>60</v>
      </c>
      <c r="G10516">
        <f>LOG(382/(60+1))</f>
        <v>0.79673352790094176</v>
      </c>
      <c r="H10516">
        <f>0.0099009900990099*1.83454674443326</f>
        <v>1.816382915280455E-2</v>
      </c>
      <c r="I10516">
        <v>1.8163829152804591E-2</v>
      </c>
    </row>
    <row r="10517" spans="1:9" x14ac:dyDescent="0.25">
      <c r="A10517">
        <v>411</v>
      </c>
      <c r="B10517" t="s">
        <v>3174</v>
      </c>
      <c r="C10517" t="s">
        <v>10</v>
      </c>
      <c r="D10517" t="s">
        <v>432</v>
      </c>
      <c r="E10517">
        <f t="shared" si="493"/>
        <v>9.9009900990099011E-3</v>
      </c>
      <c r="F10517">
        <v>67</v>
      </c>
      <c r="G10517">
        <f>LOG(382/(67+1))</f>
        <v>0.7495544502054724</v>
      </c>
      <c r="H10517">
        <f>0.0099009900990099*1.72591290343046</f>
        <v>1.7088246568618414E-2</v>
      </c>
      <c r="I10517">
        <v>1.7088246568618501E-2</v>
      </c>
    </row>
    <row r="10518" spans="1:9" x14ac:dyDescent="0.25">
      <c r="A10518">
        <v>411</v>
      </c>
      <c r="B10518" t="s">
        <v>3174</v>
      </c>
      <c r="C10518" t="s">
        <v>10</v>
      </c>
      <c r="D10518" t="s">
        <v>147</v>
      </c>
      <c r="E10518">
        <f t="shared" si="493"/>
        <v>9.9009900990099011E-3</v>
      </c>
      <c r="F10518">
        <v>48</v>
      </c>
      <c r="G10518">
        <f>LOG(382/(48+1))</f>
        <v>0.89186728288319506</v>
      </c>
      <c r="H10518">
        <f>0.0099009900990099*2.05360031049594</f>
        <v>2.0332676341543957E-2</v>
      </c>
      <c r="I10518">
        <v>2.0332676341544051E-2</v>
      </c>
    </row>
    <row r="10519" spans="1:9" x14ac:dyDescent="0.25">
      <c r="A10519">
        <v>411</v>
      </c>
      <c r="B10519" t="s">
        <v>3174</v>
      </c>
      <c r="C10519" t="s">
        <v>10</v>
      </c>
      <c r="D10519" t="s">
        <v>195</v>
      </c>
      <c r="E10519">
        <f t="shared" si="493"/>
        <v>9.9009900990099011E-3</v>
      </c>
      <c r="F10519">
        <v>55</v>
      </c>
      <c r="G10519">
        <f>LOG(382/(55+1))</f>
        <v>0.83387533590550833</v>
      </c>
      <c r="H10519">
        <f>0.0099009900990099*1.92006891787142</f>
        <v>1.9010583345261581E-2</v>
      </c>
      <c r="I10519">
        <v>1.901058334526164E-2</v>
      </c>
    </row>
    <row r="10520" spans="1:9" x14ac:dyDescent="0.25">
      <c r="A10520">
        <v>413</v>
      </c>
      <c r="B10520" t="s">
        <v>3190</v>
      </c>
      <c r="C10520" t="s">
        <v>10</v>
      </c>
      <c r="D10520" t="s">
        <v>1060</v>
      </c>
      <c r="E10520">
        <f>1/122</f>
        <v>8.1967213114754103E-3</v>
      </c>
      <c r="F10520">
        <v>15</v>
      </c>
      <c r="G10520">
        <f>LOG(382/(15+1))</f>
        <v>1.3779433802557839</v>
      </c>
      <c r="H10520">
        <f>0.00819672131147541*3.17283188636679</f>
        <v>2.6006818740711396E-2</v>
      </c>
      <c r="I10520">
        <v>2.6006818740711431E-2</v>
      </c>
    </row>
    <row r="10521" spans="1:9" x14ac:dyDescent="0.25">
      <c r="A10521">
        <v>413</v>
      </c>
      <c r="B10521" t="s">
        <v>3190</v>
      </c>
      <c r="C10521" t="s">
        <v>10</v>
      </c>
      <c r="D10521" t="s">
        <v>1640</v>
      </c>
      <c r="E10521">
        <f>1/122</f>
        <v>8.1967213114754103E-3</v>
      </c>
      <c r="F10521">
        <v>2</v>
      </c>
      <c r="G10521">
        <f>LOG(382/(2+1))</f>
        <v>2.1049421081920463</v>
      </c>
      <c r="H10521">
        <f>0.00819672131147541*4.84680831993846</f>
        <v>3.9727937048675901E-2</v>
      </c>
      <c r="I10521">
        <v>3.972793704867595E-2</v>
      </c>
    </row>
    <row r="10522" spans="1:9" x14ac:dyDescent="0.25">
      <c r="A10522">
        <v>413</v>
      </c>
      <c r="B10522" t="s">
        <v>3190</v>
      </c>
      <c r="C10522" t="s">
        <v>10</v>
      </c>
      <c r="D10522" t="s">
        <v>44</v>
      </c>
      <c r="E10522">
        <f>10/122</f>
        <v>8.1967213114754092E-2</v>
      </c>
      <c r="F10522">
        <v>151</v>
      </c>
      <c r="G10522">
        <f>LOG(382/(151+1))</f>
        <v>0.40021977496693617</v>
      </c>
      <c r="H10522">
        <f>0.081967213114754*0.921540087760298</f>
        <v>7.553607276723745E-2</v>
      </c>
      <c r="I10522">
        <v>7.5536072767237589E-2</v>
      </c>
    </row>
    <row r="10523" spans="1:9" x14ac:dyDescent="0.25">
      <c r="A10523">
        <v>413</v>
      </c>
      <c r="B10523" t="s">
        <v>3190</v>
      </c>
      <c r="C10523" t="s">
        <v>10</v>
      </c>
      <c r="D10523" t="s">
        <v>40</v>
      </c>
      <c r="E10523">
        <f>12/122</f>
        <v>9.8360655737704916E-2</v>
      </c>
      <c r="F10523">
        <v>159</v>
      </c>
      <c r="G10523">
        <f>LOG(382/(159+1))</f>
        <v>0.377943380255784</v>
      </c>
      <c r="H10523">
        <f>0.0983606557377049*0.870246793372748</f>
        <v>8.5598045249778473E-2</v>
      </c>
      <c r="I10523">
        <v>8.5598045249778529E-2</v>
      </c>
    </row>
    <row r="10524" spans="1:9" x14ac:dyDescent="0.25">
      <c r="A10524">
        <v>413</v>
      </c>
      <c r="B10524" t="s">
        <v>3190</v>
      </c>
      <c r="C10524" t="s">
        <v>10</v>
      </c>
      <c r="D10524" t="s">
        <v>41</v>
      </c>
      <c r="E10524">
        <f>10/122</f>
        <v>8.1967213114754092E-2</v>
      </c>
      <c r="F10524">
        <v>195</v>
      </c>
      <c r="G10524">
        <f>LOG(382/(195+1))</f>
        <v>0.28980729155523272</v>
      </c>
      <c r="H10524">
        <f>0.081967213114754*0.667305949376058</f>
        <v>5.4697208965250592E-2</v>
      </c>
      <c r="I10524">
        <v>5.4697208965250647E-2</v>
      </c>
    </row>
    <row r="10525" spans="1:9" x14ac:dyDescent="0.25">
      <c r="A10525">
        <v>413</v>
      </c>
      <c r="B10525" t="s">
        <v>3190</v>
      </c>
      <c r="C10525" t="s">
        <v>10</v>
      </c>
      <c r="D10525" t="s">
        <v>183</v>
      </c>
      <c r="E10525">
        <f>10/122</f>
        <v>8.1967213114754092E-2</v>
      </c>
      <c r="F10525">
        <v>46</v>
      </c>
      <c r="G10525">
        <f>LOG(382/(46+1))</f>
        <v>0.90996550497599127</v>
      </c>
      <c r="H10525">
        <f>0.081967213114754*2.09527300689651</f>
        <v>0.17174368908987767</v>
      </c>
      <c r="I10525">
        <v>0.17174368908987839</v>
      </c>
    </row>
    <row r="10526" spans="1:9" x14ac:dyDescent="0.25">
      <c r="A10526">
        <v>413</v>
      </c>
      <c r="B10526" t="s">
        <v>3190</v>
      </c>
      <c r="C10526" t="s">
        <v>10</v>
      </c>
      <c r="D10526" t="s">
        <v>247</v>
      </c>
      <c r="E10526">
        <f>2/122</f>
        <v>1.6393442622950821E-2</v>
      </c>
      <c r="F10526">
        <v>121</v>
      </c>
      <c r="G10526">
        <f>LOG(382/(121+1))</f>
        <v>0.49570353223696051</v>
      </c>
      <c r="H10526">
        <f>0.0163934426229508*1.14139956387331</f>
        <v>1.8711468260218175E-2</v>
      </c>
      <c r="I10526">
        <v>1.8711468260218338E-2</v>
      </c>
    </row>
    <row r="10527" spans="1:9" x14ac:dyDescent="0.25">
      <c r="A10527">
        <v>413</v>
      </c>
      <c r="B10527" t="s">
        <v>3190</v>
      </c>
      <c r="C10527" t="s">
        <v>10</v>
      </c>
      <c r="D10527" t="s">
        <v>39</v>
      </c>
      <c r="E10527">
        <f>2/122</f>
        <v>1.6393442622950821E-2</v>
      </c>
      <c r="F10527">
        <v>145</v>
      </c>
      <c r="G10527">
        <f>LOG(382/(145+1))</f>
        <v>0.41771050712727159</v>
      </c>
      <c r="H10527">
        <f>0.0163934426229508*0.961813986898238</f>
        <v>1.5767442408167819E-2</v>
      </c>
      <c r="I10527">
        <v>1.576744240816785E-2</v>
      </c>
    </row>
    <row r="10528" spans="1:9" x14ac:dyDescent="0.25">
      <c r="A10528">
        <v>413</v>
      </c>
      <c r="B10528" t="s">
        <v>3190</v>
      </c>
      <c r="C10528" t="s">
        <v>10</v>
      </c>
      <c r="D10528" t="s">
        <v>22</v>
      </c>
      <c r="E10528">
        <f>1/122</f>
        <v>8.1967213114754103E-3</v>
      </c>
      <c r="F10528">
        <v>259</v>
      </c>
      <c r="G10528">
        <f>LOG(382/(259+1))</f>
        <v>0.16709001494089079</v>
      </c>
      <c r="H10528">
        <f>0.00819672131147541*0.384738977591047</f>
        <v>3.1535981769757956E-3</v>
      </c>
      <c r="I10528">
        <v>3.1535981769758E-3</v>
      </c>
    </row>
    <row r="10529" spans="1:9" x14ac:dyDescent="0.25">
      <c r="A10529">
        <v>413</v>
      </c>
      <c r="B10529" t="s">
        <v>3190</v>
      </c>
      <c r="C10529" t="s">
        <v>10</v>
      </c>
      <c r="D10529" t="s">
        <v>23</v>
      </c>
      <c r="E10529">
        <f>1/122</f>
        <v>8.1967213114754103E-3</v>
      </c>
      <c r="F10529">
        <v>275</v>
      </c>
      <c r="G10529">
        <f>LOG(382/(275+1))</f>
        <v>0.14115428084649101</v>
      </c>
      <c r="H10529">
        <f>0.00819672131147541*0.325019742889425</f>
        <v>2.6640962531920081E-3</v>
      </c>
      <c r="I10529">
        <v>2.6640962531920089E-3</v>
      </c>
    </row>
    <row r="10530" spans="1:9" x14ac:dyDescent="0.25">
      <c r="A10530">
        <v>413</v>
      </c>
      <c r="B10530" t="s">
        <v>3190</v>
      </c>
      <c r="C10530" t="s">
        <v>10</v>
      </c>
      <c r="D10530" t="s">
        <v>68</v>
      </c>
      <c r="E10530">
        <f>11/122</f>
        <v>9.0163934426229511E-2</v>
      </c>
      <c r="F10530">
        <v>43</v>
      </c>
      <c r="G10530">
        <f>LOG(382/(43+1))</f>
        <v>0.93861068642552126</v>
      </c>
      <c r="H10530">
        <f>0.0901639344262295*2.16123097468831</f>
        <v>0.19486508788173282</v>
      </c>
      <c r="I10530">
        <v>0.19486508788173321</v>
      </c>
    </row>
    <row r="10531" spans="1:9" x14ac:dyDescent="0.25">
      <c r="A10531">
        <v>413</v>
      </c>
      <c r="B10531" t="s">
        <v>3190</v>
      </c>
      <c r="C10531" t="s">
        <v>10</v>
      </c>
      <c r="D10531" t="s">
        <v>706</v>
      </c>
      <c r="E10531">
        <f>1/122</f>
        <v>8.1967213114754103E-3</v>
      </c>
      <c r="F10531">
        <v>6</v>
      </c>
      <c r="G10531">
        <f>LOG(382/(6+1))</f>
        <v>1.736965322897452</v>
      </c>
      <c r="H10531">
        <f>0.00819672131147541*3.99951045955126</f>
        <v>3.2782872619272624E-2</v>
      </c>
      <c r="I10531">
        <v>3.2782872619272638E-2</v>
      </c>
    </row>
    <row r="10532" spans="1:9" x14ac:dyDescent="0.25">
      <c r="A10532">
        <v>413</v>
      </c>
      <c r="B10532" t="s">
        <v>3190</v>
      </c>
      <c r="C10532" t="s">
        <v>10</v>
      </c>
      <c r="D10532" t="s">
        <v>1185</v>
      </c>
      <c r="E10532">
        <f>4/122</f>
        <v>3.2786885245901641E-2</v>
      </c>
      <c r="F10532">
        <v>9</v>
      </c>
      <c r="G10532">
        <f>LOG(382/(9+1))</f>
        <v>1.5820633629117087</v>
      </c>
      <c r="H10532">
        <f>0.0327868852459016*3.64283551561252</f>
        <v>0.11943723002008248</v>
      </c>
      <c r="I10532">
        <v>0.1194372300200829</v>
      </c>
    </row>
    <row r="10533" spans="1:9" x14ac:dyDescent="0.25">
      <c r="A10533">
        <v>413</v>
      </c>
      <c r="B10533" t="s">
        <v>3190</v>
      </c>
      <c r="C10533" t="s">
        <v>10</v>
      </c>
      <c r="D10533" t="s">
        <v>582</v>
      </c>
      <c r="E10533">
        <f>3/122</f>
        <v>2.4590163934426229E-2</v>
      </c>
      <c r="F10533">
        <v>14</v>
      </c>
      <c r="G10533">
        <f>LOG(382/(14+1))</f>
        <v>1.4059721038560276</v>
      </c>
      <c r="H10533">
        <f>0.0245901639344262*3.23737040750436</f>
        <v>7.9607469036992368E-2</v>
      </c>
      <c r="I10533">
        <v>7.960746903699259E-2</v>
      </c>
    </row>
    <row r="10534" spans="1:9" x14ac:dyDescent="0.25">
      <c r="A10534">
        <v>413</v>
      </c>
      <c r="B10534" t="s">
        <v>3190</v>
      </c>
      <c r="C10534" t="s">
        <v>10</v>
      </c>
      <c r="D10534" t="s">
        <v>24</v>
      </c>
      <c r="E10534">
        <f>1/122</f>
        <v>8.1967213114754103E-3</v>
      </c>
      <c r="F10534">
        <v>59</v>
      </c>
      <c r="G10534">
        <f>LOG(382/(59+1))</f>
        <v>0.80391211252806505</v>
      </c>
      <c r="H10534">
        <f>0.00819672131147541*1.85107604638447</f>
        <v>1.5172754478561231E-2</v>
      </c>
      <c r="I10534">
        <v>1.5172754478561271E-2</v>
      </c>
    </row>
    <row r="10535" spans="1:9" x14ac:dyDescent="0.25">
      <c r="A10535">
        <v>413</v>
      </c>
      <c r="B10535" t="s">
        <v>3190</v>
      </c>
      <c r="C10535" t="s">
        <v>10</v>
      </c>
      <c r="D10535" t="s">
        <v>1827</v>
      </c>
      <c r="E10535">
        <f>1/122</f>
        <v>8.1967213114754103E-3</v>
      </c>
      <c r="F10535">
        <v>9</v>
      </c>
      <c r="G10535">
        <f>LOG(382/(9+1))</f>
        <v>1.5820633629117087</v>
      </c>
      <c r="H10535">
        <f>0.00819672131147541*3.64283551561252</f>
        <v>2.9859307505020659E-2</v>
      </c>
      <c r="I10535">
        <v>2.9859307505020739E-2</v>
      </c>
    </row>
    <row r="10536" spans="1:9" x14ac:dyDescent="0.25">
      <c r="A10536">
        <v>413</v>
      </c>
      <c r="B10536" t="s">
        <v>3190</v>
      </c>
      <c r="C10536" t="s">
        <v>10</v>
      </c>
      <c r="D10536" t="s">
        <v>1596</v>
      </c>
      <c r="E10536">
        <f>1/122</f>
        <v>8.1967213114754103E-3</v>
      </c>
      <c r="F10536">
        <v>3</v>
      </c>
      <c r="G10536">
        <f>LOG(382/(3+1))</f>
        <v>1.9800033715837464</v>
      </c>
      <c r="H10536">
        <f>0.00819672131147541*4.55912624748668</f>
        <v>3.7369887274480984E-2</v>
      </c>
      <c r="I10536">
        <v>3.7369887274481033E-2</v>
      </c>
    </row>
    <row r="10537" spans="1:9" x14ac:dyDescent="0.25">
      <c r="A10537">
        <v>413</v>
      </c>
      <c r="B10537" t="s">
        <v>3190</v>
      </c>
      <c r="C10537" t="s">
        <v>10</v>
      </c>
      <c r="D10537" t="s">
        <v>31</v>
      </c>
      <c r="E10537">
        <f>2/122</f>
        <v>1.6393442622950821E-2</v>
      </c>
      <c r="F10537">
        <v>31</v>
      </c>
      <c r="G10537">
        <f>LOG(382/(31+1))</f>
        <v>1.0769133845918029</v>
      </c>
      <c r="H10537">
        <f>0.0163934426229508*2.47968470580684</f>
        <v>4.0650568947653065E-2</v>
      </c>
      <c r="I10537">
        <v>4.0650568947653259E-2</v>
      </c>
    </row>
    <row r="10538" spans="1:9" x14ac:dyDescent="0.25">
      <c r="A10538">
        <v>413</v>
      </c>
      <c r="B10538" t="s">
        <v>3190</v>
      </c>
      <c r="C10538" t="s">
        <v>10</v>
      </c>
      <c r="D10538" t="s">
        <v>1578</v>
      </c>
      <c r="E10538">
        <f>1/122</f>
        <v>8.1967213114754103E-3</v>
      </c>
      <c r="F10538">
        <v>8</v>
      </c>
      <c r="G10538">
        <f>LOG(382/(8+1))</f>
        <v>1.6278208534723839</v>
      </c>
      <c r="H10538">
        <f>0.00819672131147541*3.74819603127035</f>
        <v>3.0722918289101231E-2</v>
      </c>
      <c r="I10538">
        <v>3.0722918289101279E-2</v>
      </c>
    </row>
    <row r="10539" spans="1:9" x14ac:dyDescent="0.25">
      <c r="A10539">
        <v>413</v>
      </c>
      <c r="B10539" t="s">
        <v>3190</v>
      </c>
      <c r="C10539" t="s">
        <v>10</v>
      </c>
      <c r="D10539" t="s">
        <v>726</v>
      </c>
      <c r="E10539">
        <f>2/122</f>
        <v>1.6393442622950821E-2</v>
      </c>
      <c r="F10539">
        <v>37</v>
      </c>
      <c r="G10539">
        <f>LOG(382/(37+1))</f>
        <v>1.0022797662948986</v>
      </c>
      <c r="H10539">
        <f>0.0163934426229508*2.30783444888018</f>
        <v>3.7833351620986506E-2</v>
      </c>
      <c r="I10539">
        <v>3.7833351620986708E-2</v>
      </c>
    </row>
    <row r="10540" spans="1:9" x14ac:dyDescent="0.25">
      <c r="A10540">
        <v>413</v>
      </c>
      <c r="B10540" t="s">
        <v>3190</v>
      </c>
      <c r="C10540" t="s">
        <v>10</v>
      </c>
      <c r="D10540" t="s">
        <v>1136</v>
      </c>
      <c r="E10540">
        <f>1/122</f>
        <v>8.1967213114754103E-3</v>
      </c>
      <c r="F10540">
        <v>4</v>
      </c>
      <c r="G10540">
        <f>LOG(382/(4+1))</f>
        <v>1.8830933585756899</v>
      </c>
      <c r="H10540">
        <f>0.00819672131147541*4.33598269617247</f>
        <v>3.5540841771905494E-2</v>
      </c>
      <c r="I10540">
        <v>3.5540841771905543E-2</v>
      </c>
    </row>
    <row r="10541" spans="1:9" x14ac:dyDescent="0.25">
      <c r="A10541">
        <v>413</v>
      </c>
      <c r="B10541" t="s">
        <v>3190</v>
      </c>
      <c r="C10541" t="s">
        <v>10</v>
      </c>
      <c r="D10541" t="s">
        <v>932</v>
      </c>
      <c r="E10541">
        <f>1/122</f>
        <v>8.1967213114754103E-3</v>
      </c>
      <c r="F10541">
        <v>35</v>
      </c>
      <c r="G10541">
        <f>LOG(382/(35+1))</f>
        <v>1.0257608621444214</v>
      </c>
      <c r="H10541">
        <f>0.00819672131147541*2.36190167015046</f>
        <v>1.9359849755331639E-2</v>
      </c>
      <c r="I10541">
        <v>1.9359849755331681E-2</v>
      </c>
    </row>
    <row r="10542" spans="1:9" x14ac:dyDescent="0.25">
      <c r="A10542">
        <v>413</v>
      </c>
      <c r="B10542" t="s">
        <v>3190</v>
      </c>
      <c r="C10542" t="s">
        <v>10</v>
      </c>
      <c r="D10542" t="s">
        <v>36</v>
      </c>
      <c r="E10542">
        <f>1/122</f>
        <v>8.1967213114754103E-3</v>
      </c>
      <c r="F10542">
        <v>58</v>
      </c>
      <c r="G10542">
        <f>LOG(382/(58+1))</f>
        <v>0.81121135126956456</v>
      </c>
      <c r="H10542">
        <f>0.00819672131147541*1.86788316470085</f>
        <v>1.5310517743449591E-2</v>
      </c>
      <c r="I10542">
        <v>1.531051774344964E-2</v>
      </c>
    </row>
    <row r="10543" spans="1:9" x14ac:dyDescent="0.25">
      <c r="A10543">
        <v>413</v>
      </c>
      <c r="B10543" t="s">
        <v>3190</v>
      </c>
      <c r="C10543" t="s">
        <v>10</v>
      </c>
      <c r="D10543" t="s">
        <v>161</v>
      </c>
      <c r="E10543">
        <f>1/122</f>
        <v>8.1967213114754103E-3</v>
      </c>
      <c r="F10543">
        <v>33</v>
      </c>
      <c r="G10543">
        <f>LOG(382/(33+1))</f>
        <v>1.0505844458694535</v>
      </c>
      <c r="H10543">
        <f>0.00819672131147541*2.41906008399041</f>
        <v>1.9828361344183691E-2</v>
      </c>
      <c r="I10543">
        <v>1.9828361344183719E-2</v>
      </c>
    </row>
    <row r="10544" spans="1:9" x14ac:dyDescent="0.25">
      <c r="A10544">
        <v>413</v>
      </c>
      <c r="B10544" t="s">
        <v>3190</v>
      </c>
      <c r="C10544" t="s">
        <v>10</v>
      </c>
      <c r="D10544" t="s">
        <v>578</v>
      </c>
      <c r="E10544">
        <f>1/122</f>
        <v>8.1967213114754103E-3</v>
      </c>
      <c r="F10544">
        <v>4</v>
      </c>
      <c r="G10544">
        <f>LOG(382/(4+1))</f>
        <v>1.8830933585756899</v>
      </c>
      <c r="H10544">
        <f>0.00819672131147541*4.33598269617247</f>
        <v>3.5540841771905494E-2</v>
      </c>
      <c r="I10544">
        <v>3.5540841771905543E-2</v>
      </c>
    </row>
    <row r="10545" spans="1:9" x14ac:dyDescent="0.25">
      <c r="A10545">
        <v>413</v>
      </c>
      <c r="B10545" t="s">
        <v>3190</v>
      </c>
      <c r="C10545" t="s">
        <v>10</v>
      </c>
      <c r="D10545" t="s">
        <v>25</v>
      </c>
      <c r="E10545">
        <f>5/122</f>
        <v>4.0983606557377046E-2</v>
      </c>
      <c r="F10545">
        <v>106</v>
      </c>
      <c r="G10545">
        <f>LOG(382/(106+1))</f>
        <v>0.55267958522649907</v>
      </c>
      <c r="H10545">
        <f>0.040983606557377*1.27259177414466</f>
        <v>5.2155400579699113E-2</v>
      </c>
      <c r="I10545">
        <v>5.215540057969955E-2</v>
      </c>
    </row>
    <row r="10546" spans="1:9" x14ac:dyDescent="0.25">
      <c r="A10546">
        <v>413</v>
      </c>
      <c r="B10546" t="s">
        <v>3190</v>
      </c>
      <c r="C10546" t="s">
        <v>10</v>
      </c>
      <c r="D10546" t="s">
        <v>11</v>
      </c>
      <c r="E10546">
        <f>2/122</f>
        <v>1.6393442622950821E-2</v>
      </c>
      <c r="F10546">
        <v>83</v>
      </c>
      <c r="G10546">
        <f>LOG(382/(83+1))</f>
        <v>0.65778407684982709</v>
      </c>
      <c r="H10546">
        <f>0.0163934426229508*1.51460380976326</f>
        <v>2.4829570651856689E-2</v>
      </c>
      <c r="I10546">
        <v>2.4829570651856751E-2</v>
      </c>
    </row>
    <row r="10547" spans="1:9" x14ac:dyDescent="0.25">
      <c r="A10547">
        <v>413</v>
      </c>
      <c r="B10547" t="s">
        <v>3190</v>
      </c>
      <c r="C10547" t="s">
        <v>10</v>
      </c>
      <c r="D10547" t="s">
        <v>1534</v>
      </c>
      <c r="E10547">
        <f t="shared" ref="E10547:E10559" si="494">1/122</f>
        <v>8.1967213114754103E-3</v>
      </c>
      <c r="F10547">
        <v>25</v>
      </c>
      <c r="G10547">
        <f>LOG(382/(25+1))</f>
        <v>1.1670900149408907</v>
      </c>
      <c r="H10547">
        <f>0.00819672131147541*2.68732407058509</f>
        <v>2.2027246480205657E-2</v>
      </c>
      <c r="I10547">
        <v>2.2027246480205681E-2</v>
      </c>
    </row>
    <row r="10548" spans="1:9" x14ac:dyDescent="0.25">
      <c r="A10548">
        <v>413</v>
      </c>
      <c r="B10548" t="s">
        <v>3190</v>
      </c>
      <c r="C10548" t="s">
        <v>10</v>
      </c>
      <c r="D10548" t="s">
        <v>2224</v>
      </c>
      <c r="E10548">
        <f t="shared" si="494"/>
        <v>8.1967213114754103E-3</v>
      </c>
      <c r="F10548">
        <v>6</v>
      </c>
      <c r="G10548">
        <f>LOG(382/(6+1))</f>
        <v>1.736965322897452</v>
      </c>
      <c r="H10548">
        <f>0.00819672131147541*3.99951045955126</f>
        <v>3.2782872619272624E-2</v>
      </c>
      <c r="I10548">
        <v>3.2782872619272638E-2</v>
      </c>
    </row>
    <row r="10549" spans="1:9" x14ac:dyDescent="0.25">
      <c r="A10549">
        <v>413</v>
      </c>
      <c r="B10549" t="s">
        <v>3190</v>
      </c>
      <c r="C10549" t="s">
        <v>10</v>
      </c>
      <c r="D10549" t="s">
        <v>485</v>
      </c>
      <c r="E10549">
        <f t="shared" si="494"/>
        <v>8.1967213114754103E-3</v>
      </c>
      <c r="F10549">
        <v>74</v>
      </c>
      <c r="G10549">
        <f>LOG(382/(74+1))</f>
        <v>0.7070020995200087</v>
      </c>
      <c r="H10549">
        <f>0.00819672131147541*1.62793249507026</f>
        <v>1.3343708975985739E-2</v>
      </c>
      <c r="I10549">
        <v>1.3343708975985779E-2</v>
      </c>
    </row>
    <row r="10550" spans="1:9" x14ac:dyDescent="0.25">
      <c r="A10550">
        <v>413</v>
      </c>
      <c r="B10550" t="s">
        <v>3190</v>
      </c>
      <c r="C10550" t="s">
        <v>10</v>
      </c>
      <c r="D10550" t="s">
        <v>3191</v>
      </c>
      <c r="E10550">
        <f t="shared" si="494"/>
        <v>8.1967213114754103E-3</v>
      </c>
      <c r="F10550">
        <v>1</v>
      </c>
      <c r="G10550">
        <f>LOG(382/(1+1))</f>
        <v>2.2810333672477277</v>
      </c>
      <c r="H10550">
        <f>0.00819672131147541*5.25227342804663</f>
        <v>4.305142154136582E-2</v>
      </c>
      <c r="I10550">
        <v>4.305142154136582E-2</v>
      </c>
    </row>
    <row r="10551" spans="1:9" x14ac:dyDescent="0.25">
      <c r="A10551">
        <v>413</v>
      </c>
      <c r="B10551" t="s">
        <v>3190</v>
      </c>
      <c r="C10551" t="s">
        <v>10</v>
      </c>
      <c r="D10551" t="s">
        <v>475</v>
      </c>
      <c r="E10551">
        <f t="shared" si="494"/>
        <v>8.1967213114754103E-3</v>
      </c>
      <c r="F10551">
        <v>16</v>
      </c>
      <c r="G10551">
        <f>LOG(382/(16+1))</f>
        <v>1.3516144415334348</v>
      </c>
      <c r="H10551">
        <f>0.00819672131147541*3.11220726455035</f>
        <v>2.5509895611068444E-2</v>
      </c>
      <c r="I10551">
        <v>2.550989561106852E-2</v>
      </c>
    </row>
    <row r="10552" spans="1:9" x14ac:dyDescent="0.25">
      <c r="A10552">
        <v>413</v>
      </c>
      <c r="B10552" t="s">
        <v>3190</v>
      </c>
      <c r="C10552" t="s">
        <v>10</v>
      </c>
      <c r="D10552" t="s">
        <v>321</v>
      </c>
      <c r="E10552">
        <f t="shared" si="494"/>
        <v>8.1967213114754103E-3</v>
      </c>
      <c r="F10552">
        <v>5</v>
      </c>
      <c r="G10552">
        <f>LOG(382/(5+1))</f>
        <v>1.803912112528065</v>
      </c>
      <c r="H10552">
        <f>0.00819672131147541*4.15366113937852</f>
        <v>3.4046402781791149E-2</v>
      </c>
      <c r="I10552">
        <v>3.4046402781791149E-2</v>
      </c>
    </row>
    <row r="10553" spans="1:9" x14ac:dyDescent="0.25">
      <c r="A10553">
        <v>413</v>
      </c>
      <c r="B10553" t="s">
        <v>3190</v>
      </c>
      <c r="C10553" t="s">
        <v>10</v>
      </c>
      <c r="D10553" t="s">
        <v>352</v>
      </c>
      <c r="E10553">
        <f t="shared" si="494"/>
        <v>8.1967213114754103E-3</v>
      </c>
      <c r="F10553">
        <v>5</v>
      </c>
      <c r="G10553">
        <f>LOG(382/(5+1))</f>
        <v>1.803912112528065</v>
      </c>
      <c r="H10553">
        <f>0.00819672131147541*4.15366113937852</f>
        <v>3.4046402781791149E-2</v>
      </c>
      <c r="I10553">
        <v>3.4046402781791149E-2</v>
      </c>
    </row>
    <row r="10554" spans="1:9" x14ac:dyDescent="0.25">
      <c r="A10554">
        <v>413</v>
      </c>
      <c r="B10554" t="s">
        <v>3190</v>
      </c>
      <c r="C10554" t="s">
        <v>10</v>
      </c>
      <c r="D10554" t="s">
        <v>3192</v>
      </c>
      <c r="E10554">
        <f t="shared" si="494"/>
        <v>8.1967213114754103E-3</v>
      </c>
      <c r="F10554">
        <v>1</v>
      </c>
      <c r="G10554">
        <f>LOG(382/(1+1))</f>
        <v>2.2810333672477277</v>
      </c>
      <c r="H10554">
        <f>0.00819672131147541*5.25227342804663</f>
        <v>4.305142154136582E-2</v>
      </c>
      <c r="I10554">
        <v>4.305142154136582E-2</v>
      </c>
    </row>
    <row r="10555" spans="1:9" x14ac:dyDescent="0.25">
      <c r="A10555">
        <v>413</v>
      </c>
      <c r="B10555" t="s">
        <v>3190</v>
      </c>
      <c r="C10555" t="s">
        <v>10</v>
      </c>
      <c r="D10555" t="s">
        <v>1003</v>
      </c>
      <c r="E10555">
        <f t="shared" si="494"/>
        <v>8.1967213114754103E-3</v>
      </c>
      <c r="F10555">
        <v>3</v>
      </c>
      <c r="G10555">
        <f>LOG(382/(3+1))</f>
        <v>1.9800033715837464</v>
      </c>
      <c r="H10555">
        <f>0.00819672131147541*4.55912624748668</f>
        <v>3.7369887274480984E-2</v>
      </c>
      <c r="I10555">
        <v>3.7369887274481033E-2</v>
      </c>
    </row>
    <row r="10556" spans="1:9" x14ac:dyDescent="0.25">
      <c r="A10556">
        <v>413</v>
      </c>
      <c r="B10556" t="s">
        <v>3190</v>
      </c>
      <c r="C10556" t="s">
        <v>10</v>
      </c>
      <c r="D10556" t="s">
        <v>1334</v>
      </c>
      <c r="E10556">
        <f t="shared" si="494"/>
        <v>8.1967213114754103E-3</v>
      </c>
      <c r="F10556">
        <v>2</v>
      </c>
      <c r="G10556">
        <f>LOG(382/(2+1))</f>
        <v>2.1049421081920463</v>
      </c>
      <c r="H10556">
        <f>0.00819672131147541*4.84680831993846</f>
        <v>3.9727937048675901E-2</v>
      </c>
      <c r="I10556">
        <v>3.972793704867595E-2</v>
      </c>
    </row>
    <row r="10557" spans="1:9" x14ac:dyDescent="0.25">
      <c r="A10557">
        <v>413</v>
      </c>
      <c r="B10557" t="s">
        <v>3190</v>
      </c>
      <c r="C10557" t="s">
        <v>10</v>
      </c>
      <c r="D10557" t="s">
        <v>953</v>
      </c>
      <c r="E10557">
        <f t="shared" si="494"/>
        <v>8.1967213114754103E-3</v>
      </c>
      <c r="F10557">
        <v>16</v>
      </c>
      <c r="G10557">
        <f>LOG(382/(16+1))</f>
        <v>1.3516144415334348</v>
      </c>
      <c r="H10557">
        <f>0.00819672131147541*3.11220726455035</f>
        <v>2.5509895611068444E-2</v>
      </c>
      <c r="I10557">
        <v>2.550989561106852E-2</v>
      </c>
    </row>
    <row r="10558" spans="1:9" x14ac:dyDescent="0.25">
      <c r="A10558">
        <v>413</v>
      </c>
      <c r="B10558" t="s">
        <v>3190</v>
      </c>
      <c r="C10558" t="s">
        <v>10</v>
      </c>
      <c r="D10558" t="s">
        <v>188</v>
      </c>
      <c r="E10558">
        <f t="shared" si="494"/>
        <v>8.1967213114754103E-3</v>
      </c>
      <c r="F10558">
        <v>19</v>
      </c>
      <c r="G10558">
        <f>LOG(382/(19+1))</f>
        <v>1.2810333672477277</v>
      </c>
      <c r="H10558">
        <f>0.00819672131147541*2.94968833505258</f>
        <v>2.4177773238135903E-2</v>
      </c>
      <c r="I10558">
        <v>2.4177773238135941E-2</v>
      </c>
    </row>
    <row r="10559" spans="1:9" x14ac:dyDescent="0.25">
      <c r="A10559">
        <v>413</v>
      </c>
      <c r="B10559" t="s">
        <v>3190</v>
      </c>
      <c r="C10559" t="s">
        <v>10</v>
      </c>
      <c r="D10559" t="s">
        <v>94</v>
      </c>
      <c r="E10559">
        <f t="shared" si="494"/>
        <v>8.1967213114754103E-3</v>
      </c>
      <c r="F10559">
        <v>12</v>
      </c>
      <c r="G10559">
        <f>LOG(382/(12+1))</f>
        <v>1.468120010604872</v>
      </c>
      <c r="H10559">
        <f>0.00819672131147541*3.38047125114503</f>
        <v>2.7708780747090413E-2</v>
      </c>
      <c r="I10559">
        <v>2.7708780747090479E-2</v>
      </c>
    </row>
    <row r="10560" spans="1:9" x14ac:dyDescent="0.25">
      <c r="A10560">
        <v>413</v>
      </c>
      <c r="B10560" t="s">
        <v>3190</v>
      </c>
      <c r="C10560" t="s">
        <v>10</v>
      </c>
      <c r="D10560" t="s">
        <v>50</v>
      </c>
      <c r="E10560">
        <f>3/122</f>
        <v>2.4590163934426229E-2</v>
      </c>
      <c r="F10560">
        <v>109</v>
      </c>
      <c r="G10560">
        <f>LOG(382/(109+1))</f>
        <v>0.54067067775348365</v>
      </c>
      <c r="H10560">
        <f>0.0245901639344262*1.24494024281415</f>
        <v>3.0613284659364311E-2</v>
      </c>
      <c r="I10560">
        <v>3.0613284659364561E-2</v>
      </c>
    </row>
    <row r="10561" spans="1:9" x14ac:dyDescent="0.25">
      <c r="A10561">
        <v>413</v>
      </c>
      <c r="B10561" t="s">
        <v>3190</v>
      </c>
      <c r="C10561" t="s">
        <v>10</v>
      </c>
      <c r="D10561" t="s">
        <v>3193</v>
      </c>
      <c r="E10561">
        <f t="shared" ref="E10561:E10577" si="495">1/122</f>
        <v>8.1967213114754103E-3</v>
      </c>
      <c r="F10561">
        <v>1</v>
      </c>
      <c r="G10561">
        <f>LOG(382/(1+1))</f>
        <v>2.2810333672477277</v>
      </c>
      <c r="H10561">
        <f>0.00819672131147541*5.25227342804663</f>
        <v>4.305142154136582E-2</v>
      </c>
      <c r="I10561">
        <v>4.305142154136582E-2</v>
      </c>
    </row>
    <row r="10562" spans="1:9" x14ac:dyDescent="0.25">
      <c r="A10562">
        <v>413</v>
      </c>
      <c r="B10562" t="s">
        <v>3190</v>
      </c>
      <c r="C10562" t="s">
        <v>10</v>
      </c>
      <c r="D10562" t="s">
        <v>403</v>
      </c>
      <c r="E10562">
        <f t="shared" si="495"/>
        <v>8.1967213114754103E-3</v>
      </c>
      <c r="F10562">
        <v>11</v>
      </c>
      <c r="G10562">
        <f>LOG(382/(11+1))</f>
        <v>1.5028821168640838</v>
      </c>
      <c r="H10562">
        <f>0.00819672131147541*3.46051395881857</f>
        <v>2.8364868514906313E-2</v>
      </c>
      <c r="I10562">
        <v>2.8364868514906359E-2</v>
      </c>
    </row>
    <row r="10563" spans="1:9" x14ac:dyDescent="0.25">
      <c r="A10563">
        <v>413</v>
      </c>
      <c r="B10563" t="s">
        <v>3190</v>
      </c>
      <c r="C10563" t="s">
        <v>10</v>
      </c>
      <c r="D10563" t="s">
        <v>53</v>
      </c>
      <c r="E10563">
        <f t="shared" si="495"/>
        <v>8.1967213114754103E-3</v>
      </c>
      <c r="F10563">
        <v>57</v>
      </c>
      <c r="G10563">
        <f>LOG(382/(57+1))</f>
        <v>0.81863536934877146</v>
      </c>
      <c r="H10563">
        <f>0.00819672131147541*1.88497759806015</f>
        <v>1.5450636049673361E-2</v>
      </c>
      <c r="I10563">
        <v>1.545063604967341E-2</v>
      </c>
    </row>
    <row r="10564" spans="1:9" x14ac:dyDescent="0.25">
      <c r="A10564">
        <v>413</v>
      </c>
      <c r="B10564" t="s">
        <v>3190</v>
      </c>
      <c r="C10564" t="s">
        <v>10</v>
      </c>
      <c r="D10564" t="s">
        <v>112</v>
      </c>
      <c r="E10564">
        <f t="shared" si="495"/>
        <v>8.1967213114754103E-3</v>
      </c>
      <c r="F10564">
        <v>52</v>
      </c>
      <c r="G10564">
        <f>LOG(382/(52+1))</f>
        <v>0.85778749331091964</v>
      </c>
      <c r="H10564">
        <f>0.00819672131147541*1.97512869505445</f>
        <v>1.6189579467659428E-2</v>
      </c>
      <c r="I10564">
        <v>1.6189579467659459E-2</v>
      </c>
    </row>
    <row r="10565" spans="1:9" x14ac:dyDescent="0.25">
      <c r="A10565">
        <v>413</v>
      </c>
      <c r="B10565" t="s">
        <v>3190</v>
      </c>
      <c r="C10565" t="s">
        <v>10</v>
      </c>
      <c r="D10565" t="s">
        <v>54</v>
      </c>
      <c r="E10565">
        <f t="shared" si="495"/>
        <v>8.1967213114754103E-3</v>
      </c>
      <c r="F10565">
        <v>25</v>
      </c>
      <c r="G10565">
        <f>LOG(382/(25+1))</f>
        <v>1.1670900149408907</v>
      </c>
      <c r="H10565">
        <f>0.00819672131147541*2.68732407058509</f>
        <v>2.2027246480205657E-2</v>
      </c>
      <c r="I10565">
        <v>2.2027246480205681E-2</v>
      </c>
    </row>
    <row r="10566" spans="1:9" x14ac:dyDescent="0.25">
      <c r="A10566">
        <v>413</v>
      </c>
      <c r="B10566" t="s">
        <v>3190</v>
      </c>
      <c r="C10566" t="s">
        <v>10</v>
      </c>
      <c r="D10566" t="s">
        <v>108</v>
      </c>
      <c r="E10566">
        <f t="shared" si="495"/>
        <v>8.1967213114754103E-3</v>
      </c>
      <c r="F10566">
        <v>9</v>
      </c>
      <c r="G10566">
        <f>LOG(382/(9+1))</f>
        <v>1.5820633629117087</v>
      </c>
      <c r="H10566">
        <f>0.00819672131147541*3.64283551561252</f>
        <v>2.9859307505020659E-2</v>
      </c>
      <c r="I10566">
        <v>2.9859307505020739E-2</v>
      </c>
    </row>
    <row r="10567" spans="1:9" x14ac:dyDescent="0.25">
      <c r="A10567">
        <v>413</v>
      </c>
      <c r="B10567" t="s">
        <v>3190</v>
      </c>
      <c r="C10567" t="s">
        <v>10</v>
      </c>
      <c r="D10567" t="s">
        <v>1704</v>
      </c>
      <c r="E10567">
        <f t="shared" si="495"/>
        <v>8.1967213114754103E-3</v>
      </c>
      <c r="F10567">
        <v>4</v>
      </c>
      <c r="G10567">
        <f>LOG(382/(4+1))</f>
        <v>1.8830933585756899</v>
      </c>
      <c r="H10567">
        <f>0.00819672131147541*4.33598269617247</f>
        <v>3.5540841771905494E-2</v>
      </c>
      <c r="I10567">
        <v>3.5540841771905543E-2</v>
      </c>
    </row>
    <row r="10568" spans="1:9" x14ac:dyDescent="0.25">
      <c r="A10568">
        <v>413</v>
      </c>
      <c r="B10568" t="s">
        <v>3190</v>
      </c>
      <c r="C10568" t="s">
        <v>10</v>
      </c>
      <c r="D10568" t="s">
        <v>106</v>
      </c>
      <c r="E10568">
        <f t="shared" si="495"/>
        <v>8.1967213114754103E-3</v>
      </c>
      <c r="F10568">
        <v>17</v>
      </c>
      <c r="G10568">
        <f>LOG(382/(17+1))</f>
        <v>1.3267908578084027</v>
      </c>
      <c r="H10568">
        <f>0.00819672131147541*3.05504885071041</f>
        <v>2.5041384022216475E-2</v>
      </c>
      <c r="I10568">
        <v>2.5041384022216479E-2</v>
      </c>
    </row>
    <row r="10569" spans="1:9" x14ac:dyDescent="0.25">
      <c r="A10569">
        <v>413</v>
      </c>
      <c r="B10569" t="s">
        <v>3190</v>
      </c>
      <c r="C10569" t="s">
        <v>10</v>
      </c>
      <c r="D10569" t="s">
        <v>103</v>
      </c>
      <c r="E10569">
        <f t="shared" si="495"/>
        <v>8.1967213114754103E-3</v>
      </c>
      <c r="F10569">
        <v>38</v>
      </c>
      <c r="G10569">
        <f>LOG(382/(38+1))</f>
        <v>0.99099875588520958</v>
      </c>
      <c r="H10569">
        <f>0.00819672131147541*2.28185896247692</f>
        <v>1.8703761987515739E-2</v>
      </c>
      <c r="I10569">
        <v>1.8703761987515811E-2</v>
      </c>
    </row>
    <row r="10570" spans="1:9" x14ac:dyDescent="0.25">
      <c r="A10570">
        <v>413</v>
      </c>
      <c r="B10570" t="s">
        <v>3190</v>
      </c>
      <c r="C10570" t="s">
        <v>10</v>
      </c>
      <c r="D10570" t="s">
        <v>12</v>
      </c>
      <c r="E10570">
        <f t="shared" si="495"/>
        <v>8.1967213114754103E-3</v>
      </c>
      <c r="F10570">
        <v>28</v>
      </c>
      <c r="G10570">
        <f>LOG(382/(28+1))</f>
        <v>1.1196653650127526</v>
      </c>
      <c r="H10570">
        <f>0.00819672131147541*2.5781247786201</f>
        <v>2.1132170316558195E-2</v>
      </c>
      <c r="I10570">
        <v>2.1132170316558209E-2</v>
      </c>
    </row>
    <row r="10571" spans="1:9" x14ac:dyDescent="0.25">
      <c r="A10571">
        <v>413</v>
      </c>
      <c r="B10571" t="s">
        <v>3190</v>
      </c>
      <c r="C10571" t="s">
        <v>10</v>
      </c>
      <c r="D10571" t="s">
        <v>14</v>
      </c>
      <c r="E10571">
        <f t="shared" si="495"/>
        <v>8.1967213114754103E-3</v>
      </c>
      <c r="F10571">
        <v>2</v>
      </c>
      <c r="G10571">
        <f>LOG(382/(2+1))</f>
        <v>2.1049421081920463</v>
      </c>
      <c r="H10571">
        <f>0.00819672131147541*4.84680831993846</f>
        <v>3.9727937048675901E-2</v>
      </c>
      <c r="I10571">
        <v>3.972793704867595E-2</v>
      </c>
    </row>
    <row r="10572" spans="1:9" x14ac:dyDescent="0.25">
      <c r="A10572">
        <v>413</v>
      </c>
      <c r="B10572" t="s">
        <v>3190</v>
      </c>
      <c r="C10572" t="s">
        <v>10</v>
      </c>
      <c r="D10572" t="s">
        <v>315</v>
      </c>
      <c r="E10572">
        <f t="shared" si="495"/>
        <v>8.1967213114754103E-3</v>
      </c>
      <c r="F10572">
        <v>55</v>
      </c>
      <c r="G10572">
        <f>LOG(382/(55+1))</f>
        <v>0.83387533590550833</v>
      </c>
      <c r="H10572">
        <f>0.00819672131147541*1.92006891787142</f>
        <v>1.5738269818618197E-2</v>
      </c>
      <c r="I10572">
        <v>1.5738269818618249E-2</v>
      </c>
    </row>
    <row r="10573" spans="1:9" x14ac:dyDescent="0.25">
      <c r="A10573">
        <v>413</v>
      </c>
      <c r="B10573" t="s">
        <v>3190</v>
      </c>
      <c r="C10573" t="s">
        <v>10</v>
      </c>
      <c r="D10573" t="s">
        <v>1081</v>
      </c>
      <c r="E10573">
        <f t="shared" si="495"/>
        <v>8.1967213114754103E-3</v>
      </c>
      <c r="F10573">
        <v>27</v>
      </c>
      <c r="G10573">
        <f>LOG(382/(27+1))</f>
        <v>1.1349053315694895</v>
      </c>
      <c r="H10573">
        <f>0.00819672131147541*2.61321609843137</f>
        <v>2.1419804085503036E-2</v>
      </c>
      <c r="I10573">
        <v>2.1419804085503039E-2</v>
      </c>
    </row>
    <row r="10574" spans="1:9" x14ac:dyDescent="0.25">
      <c r="A10574">
        <v>413</v>
      </c>
      <c r="B10574" t="s">
        <v>3190</v>
      </c>
      <c r="C10574" t="s">
        <v>10</v>
      </c>
      <c r="D10574" t="s">
        <v>152</v>
      </c>
      <c r="E10574">
        <f t="shared" si="495"/>
        <v>8.1967213114754103E-3</v>
      </c>
      <c r="F10574">
        <v>31</v>
      </c>
      <c r="G10574">
        <f>LOG(382/(31+1))</f>
        <v>1.0769133845918029</v>
      </c>
      <c r="H10574">
        <f>0.00819672131147541*2.47968470580684</f>
        <v>2.0325284473826557E-2</v>
      </c>
      <c r="I10574">
        <v>2.032528447382663E-2</v>
      </c>
    </row>
    <row r="10575" spans="1:9" x14ac:dyDescent="0.25">
      <c r="A10575">
        <v>413</v>
      </c>
      <c r="B10575" t="s">
        <v>3190</v>
      </c>
      <c r="C10575" t="s">
        <v>10</v>
      </c>
      <c r="D10575" t="s">
        <v>1082</v>
      </c>
      <c r="E10575">
        <f t="shared" si="495"/>
        <v>8.1967213114754103E-3</v>
      </c>
      <c r="F10575">
        <v>8</v>
      </c>
      <c r="G10575">
        <f>LOG(382/(8+1))</f>
        <v>1.6278208534723839</v>
      </c>
      <c r="H10575">
        <f>0.00819672131147541*3.74819603127035</f>
        <v>3.0722918289101231E-2</v>
      </c>
      <c r="I10575">
        <v>3.0722918289101279E-2</v>
      </c>
    </row>
    <row r="10576" spans="1:9" x14ac:dyDescent="0.25">
      <c r="A10576">
        <v>413</v>
      </c>
      <c r="B10576" t="s">
        <v>3190</v>
      </c>
      <c r="C10576" t="s">
        <v>10</v>
      </c>
      <c r="D10576" t="s">
        <v>15</v>
      </c>
      <c r="E10576">
        <f t="shared" si="495"/>
        <v>8.1967213114754103E-3</v>
      </c>
      <c r="F10576">
        <v>112</v>
      </c>
      <c r="G10576">
        <f>LOG(382/(112+1))</f>
        <v>0.52898491942828896</v>
      </c>
      <c r="H10576">
        <f>0.00819672131147541*1.21803278989423</f>
        <v>9.9838753270018853E-3</v>
      </c>
      <c r="I10576">
        <v>9.9838753270019235E-3</v>
      </c>
    </row>
    <row r="10577" spans="1:9" x14ac:dyDescent="0.25">
      <c r="A10577">
        <v>413</v>
      </c>
      <c r="B10577" t="s">
        <v>3190</v>
      </c>
      <c r="C10577" t="s">
        <v>10</v>
      </c>
      <c r="D10577" t="s">
        <v>64</v>
      </c>
      <c r="E10577">
        <f t="shared" si="495"/>
        <v>8.1967213114754103E-3</v>
      </c>
      <c r="F10577">
        <v>16</v>
      </c>
      <c r="G10577">
        <f>LOG(382/(16+1))</f>
        <v>1.3516144415334348</v>
      </c>
      <c r="H10577">
        <f>0.00819672131147541*3.11220726455035</f>
        <v>2.5509895611068444E-2</v>
      </c>
      <c r="I10577">
        <v>2.550989561106852E-2</v>
      </c>
    </row>
    <row r="10578" spans="1:9" x14ac:dyDescent="0.25">
      <c r="A10578">
        <v>415</v>
      </c>
      <c r="B10578" t="s">
        <v>3194</v>
      </c>
      <c r="C10578" t="s">
        <v>10</v>
      </c>
      <c r="D10578" t="s">
        <v>11</v>
      </c>
      <c r="E10578">
        <f>12/131</f>
        <v>9.1603053435114504E-2</v>
      </c>
      <c r="F10578">
        <v>83</v>
      </c>
      <c r="G10578">
        <f>LOG(382/(83+1))</f>
        <v>0.65778407684982709</v>
      </c>
      <c r="H10578">
        <f>0.0916030534351145*1.51460380976326</f>
        <v>0.1387423337187719</v>
      </c>
      <c r="I10578">
        <v>0.13874233371877201</v>
      </c>
    </row>
    <row r="10579" spans="1:9" x14ac:dyDescent="0.25">
      <c r="A10579">
        <v>415</v>
      </c>
      <c r="B10579" t="s">
        <v>3194</v>
      </c>
      <c r="C10579" t="s">
        <v>10</v>
      </c>
      <c r="D10579" t="s">
        <v>12</v>
      </c>
      <c r="E10579">
        <f>10/131</f>
        <v>7.6335877862595422E-2</v>
      </c>
      <c r="F10579">
        <v>28</v>
      </c>
      <c r="G10579">
        <f>LOG(382/(28+1))</f>
        <v>1.1196653650127526</v>
      </c>
      <c r="H10579">
        <f>0.0763358778625954*2.5781247786201</f>
        <v>0.19680341821527472</v>
      </c>
      <c r="I10579">
        <v>0.19680341821527489</v>
      </c>
    </row>
    <row r="10580" spans="1:9" x14ac:dyDescent="0.25">
      <c r="A10580">
        <v>415</v>
      </c>
      <c r="B10580" t="s">
        <v>3194</v>
      </c>
      <c r="C10580" t="s">
        <v>10</v>
      </c>
      <c r="D10580" t="s">
        <v>1699</v>
      </c>
      <c r="E10580">
        <f>5/131</f>
        <v>3.8167938931297711E-2</v>
      </c>
      <c r="F10580">
        <v>2</v>
      </c>
      <c r="G10580">
        <f>LOG(382/(2+1))</f>
        <v>2.1049421081920463</v>
      </c>
      <c r="H10580">
        <f>0.0381679389312977*4.84680831993846</f>
        <v>0.18499268396711674</v>
      </c>
      <c r="I10580">
        <v>0.18499268396711699</v>
      </c>
    </row>
    <row r="10581" spans="1:9" x14ac:dyDescent="0.25">
      <c r="A10581">
        <v>415</v>
      </c>
      <c r="B10581" t="s">
        <v>3194</v>
      </c>
      <c r="C10581" t="s">
        <v>10</v>
      </c>
      <c r="D10581" t="s">
        <v>1057</v>
      </c>
      <c r="E10581">
        <f>5/131</f>
        <v>3.8167938931297711E-2</v>
      </c>
      <c r="F10581">
        <v>2</v>
      </c>
      <c r="G10581">
        <f>LOG(382/(2+1))</f>
        <v>2.1049421081920463</v>
      </c>
      <c r="H10581">
        <f>0.0381679389312977*4.84680831993846</f>
        <v>0.18499268396711674</v>
      </c>
      <c r="I10581">
        <v>0.18499268396711699</v>
      </c>
    </row>
    <row r="10582" spans="1:9" x14ac:dyDescent="0.25">
      <c r="A10582">
        <v>415</v>
      </c>
      <c r="B10582" t="s">
        <v>3194</v>
      </c>
      <c r="C10582" t="s">
        <v>10</v>
      </c>
      <c r="D10582" t="s">
        <v>105</v>
      </c>
      <c r="E10582">
        <f>1/131</f>
        <v>7.6335877862595417E-3</v>
      </c>
      <c r="F10582">
        <v>122</v>
      </c>
      <c r="G10582">
        <f>LOG(382/(122+1))</f>
        <v>0.49215825147231079</v>
      </c>
      <c r="H10582">
        <f>0.00763358778625954*1.13323625323415</f>
        <v>8.6506584216347309E-3</v>
      </c>
      <c r="I10582">
        <v>8.6506584216347899E-3</v>
      </c>
    </row>
    <row r="10583" spans="1:9" x14ac:dyDescent="0.25">
      <c r="A10583">
        <v>415</v>
      </c>
      <c r="B10583" t="s">
        <v>3194</v>
      </c>
      <c r="C10583" t="s">
        <v>10</v>
      </c>
      <c r="D10583" t="s">
        <v>38</v>
      </c>
      <c r="E10583">
        <f>1/131</f>
        <v>7.6335877862595417E-3</v>
      </c>
      <c r="F10583">
        <v>86</v>
      </c>
      <c r="G10583">
        <f>LOG(382/(86+1))</f>
        <v>0.64254411029309022</v>
      </c>
      <c r="H10583">
        <f>0.00763358778625954*1.47951248995199</f>
        <v>1.1293988472915951E-2</v>
      </c>
      <c r="I10583">
        <v>1.1293988472915959E-2</v>
      </c>
    </row>
    <row r="10584" spans="1:9" x14ac:dyDescent="0.25">
      <c r="A10584">
        <v>415</v>
      </c>
      <c r="B10584" t="s">
        <v>3194</v>
      </c>
      <c r="C10584" t="s">
        <v>10</v>
      </c>
      <c r="D10584" t="s">
        <v>44</v>
      </c>
      <c r="E10584">
        <f>2/131</f>
        <v>1.5267175572519083E-2</v>
      </c>
      <c r="F10584">
        <v>151</v>
      </c>
      <c r="G10584">
        <f>LOG(382/(151+1))</f>
        <v>0.40021977496693617</v>
      </c>
      <c r="H10584">
        <f>0.015267175572519*0.921540087760298</f>
        <v>1.4069314316951038E-2</v>
      </c>
      <c r="I10584">
        <v>1.4069314316951119E-2</v>
      </c>
    </row>
    <row r="10585" spans="1:9" x14ac:dyDescent="0.25">
      <c r="A10585">
        <v>415</v>
      </c>
      <c r="B10585" t="s">
        <v>3194</v>
      </c>
      <c r="C10585" t="s">
        <v>10</v>
      </c>
      <c r="D10585" t="s">
        <v>994</v>
      </c>
      <c r="E10585">
        <f>3/131</f>
        <v>2.2900763358778626E-2</v>
      </c>
      <c r="F10585">
        <v>37</v>
      </c>
      <c r="G10585">
        <f>LOG(382/(37+1))</f>
        <v>1.0022797662948986</v>
      </c>
      <c r="H10585">
        <f>0.0229007633587786*2.30783444888018</f>
        <v>5.2851170585042233E-2</v>
      </c>
      <c r="I10585">
        <v>5.2851170585042503E-2</v>
      </c>
    </row>
    <row r="10586" spans="1:9" x14ac:dyDescent="0.25">
      <c r="A10586">
        <v>415</v>
      </c>
      <c r="B10586" t="s">
        <v>3194</v>
      </c>
      <c r="C10586" t="s">
        <v>10</v>
      </c>
      <c r="D10586" t="s">
        <v>404</v>
      </c>
      <c r="E10586">
        <f>1/131</f>
        <v>7.6335877862595417E-3</v>
      </c>
      <c r="F10586">
        <v>22</v>
      </c>
      <c r="G10586">
        <f>LOG(382/(22+1))</f>
        <v>1.2203355268941158</v>
      </c>
      <c r="H10586">
        <f>0.00763358778625954*2.80992639267742</f>
        <v>2.144981979143068E-2</v>
      </c>
      <c r="I10586">
        <v>2.1449819791430728E-2</v>
      </c>
    </row>
    <row r="10587" spans="1:9" x14ac:dyDescent="0.25">
      <c r="A10587">
        <v>415</v>
      </c>
      <c r="B10587" t="s">
        <v>3194</v>
      </c>
      <c r="C10587" t="s">
        <v>10</v>
      </c>
      <c r="D10587" t="s">
        <v>39</v>
      </c>
      <c r="E10587">
        <f>6/131</f>
        <v>4.5801526717557252E-2</v>
      </c>
      <c r="F10587">
        <v>145</v>
      </c>
      <c r="G10587">
        <f>LOG(382/(145+1))</f>
        <v>0.41771050712727159</v>
      </c>
      <c r="H10587">
        <f>0.0458015267175572*0.961813986898238</f>
        <v>4.4052549018239864E-2</v>
      </c>
      <c r="I10587">
        <v>4.4052549018239941E-2</v>
      </c>
    </row>
    <row r="10588" spans="1:9" x14ac:dyDescent="0.25">
      <c r="A10588">
        <v>415</v>
      </c>
      <c r="B10588" t="s">
        <v>3194</v>
      </c>
      <c r="C10588" t="s">
        <v>10</v>
      </c>
      <c r="D10588" t="s">
        <v>3195</v>
      </c>
      <c r="E10588">
        <f t="shared" ref="E10588:E10593" si="496">1/131</f>
        <v>7.6335877862595417E-3</v>
      </c>
      <c r="F10588">
        <v>3</v>
      </c>
      <c r="G10588">
        <f>LOG(382/(3+1))</f>
        <v>1.9800033715837464</v>
      </c>
      <c r="H10588">
        <f>0.00763358778625954*4.55912624748668</f>
        <v>3.480249043882961E-2</v>
      </c>
      <c r="I10588">
        <v>3.4802490438829652E-2</v>
      </c>
    </row>
    <row r="10589" spans="1:9" x14ac:dyDescent="0.25">
      <c r="A10589">
        <v>415</v>
      </c>
      <c r="B10589" t="s">
        <v>3194</v>
      </c>
      <c r="C10589" t="s">
        <v>10</v>
      </c>
      <c r="D10589" t="s">
        <v>471</v>
      </c>
      <c r="E10589">
        <f t="shared" si="496"/>
        <v>7.6335877862595417E-3</v>
      </c>
      <c r="F10589">
        <v>7</v>
      </c>
      <c r="G10589">
        <f>LOG(382/(7+1))</f>
        <v>1.6789733759197651</v>
      </c>
      <c r="H10589">
        <f>0.00763358778625954*3.86597906692673</f>
        <v>2.951129058722694E-2</v>
      </c>
      <c r="I10589">
        <v>2.951129058722702E-2</v>
      </c>
    </row>
    <row r="10590" spans="1:9" x14ac:dyDescent="0.25">
      <c r="A10590">
        <v>415</v>
      </c>
      <c r="B10590" t="s">
        <v>3194</v>
      </c>
      <c r="C10590" t="s">
        <v>10</v>
      </c>
      <c r="D10590" t="s">
        <v>313</v>
      </c>
      <c r="E10590">
        <f t="shared" si="496"/>
        <v>7.6335877862595417E-3</v>
      </c>
      <c r="F10590">
        <v>13</v>
      </c>
      <c r="G10590">
        <f>LOG(382/(13+1))</f>
        <v>1.4359353272334707</v>
      </c>
      <c r="H10590">
        <f>0.00763358778625954*3.30636327899131</f>
        <v>2.5239414343445111E-2</v>
      </c>
      <c r="I10590">
        <v>2.5239414343445159E-2</v>
      </c>
    </row>
    <row r="10591" spans="1:9" x14ac:dyDescent="0.25">
      <c r="A10591">
        <v>415</v>
      </c>
      <c r="B10591" t="s">
        <v>3194</v>
      </c>
      <c r="C10591" t="s">
        <v>10</v>
      </c>
      <c r="D10591" t="s">
        <v>42</v>
      </c>
      <c r="E10591">
        <f t="shared" si="496"/>
        <v>7.6335877862595417E-3</v>
      </c>
      <c r="F10591">
        <v>251</v>
      </c>
      <c r="G10591">
        <f>LOG(382/(251+1))</f>
        <v>0.18066282213016463</v>
      </c>
      <c r="H10591">
        <f>0.00763358778625954*0.415991521095151</f>
        <v>3.1755077946194724E-3</v>
      </c>
      <c r="I10591">
        <v>3.1755077946194802E-3</v>
      </c>
    </row>
    <row r="10592" spans="1:9" x14ac:dyDescent="0.25">
      <c r="A10592">
        <v>415</v>
      </c>
      <c r="B10592" t="s">
        <v>3194</v>
      </c>
      <c r="C10592" t="s">
        <v>10</v>
      </c>
      <c r="D10592" t="s">
        <v>3196</v>
      </c>
      <c r="E10592">
        <f t="shared" si="496"/>
        <v>7.6335877862595417E-3</v>
      </c>
      <c r="F10592">
        <v>1</v>
      </c>
      <c r="G10592">
        <f>LOG(382/(1+1))</f>
        <v>2.2810333672477277</v>
      </c>
      <c r="H10592">
        <f>0.00763358778625954*5.25227342804663</f>
        <v>4.0093690290432277E-2</v>
      </c>
      <c r="I10592">
        <v>4.0093690290432291E-2</v>
      </c>
    </row>
    <row r="10593" spans="1:9" x14ac:dyDescent="0.25">
      <c r="A10593">
        <v>415</v>
      </c>
      <c r="B10593" t="s">
        <v>3194</v>
      </c>
      <c r="C10593" t="s">
        <v>10</v>
      </c>
      <c r="D10593" t="s">
        <v>1217</v>
      </c>
      <c r="E10593">
        <f t="shared" si="496"/>
        <v>7.6335877862595417E-3</v>
      </c>
      <c r="F10593">
        <v>5</v>
      </c>
      <c r="G10593">
        <f>LOG(382/(5+1))</f>
        <v>1.803912112528065</v>
      </c>
      <c r="H10593">
        <f>0.00763358778625954*4.15366113937852</f>
        <v>3.1707336941820756E-2</v>
      </c>
      <c r="I10593">
        <v>3.1707336941820763E-2</v>
      </c>
    </row>
    <row r="10594" spans="1:9" x14ac:dyDescent="0.25">
      <c r="A10594">
        <v>415</v>
      </c>
      <c r="B10594" t="s">
        <v>3194</v>
      </c>
      <c r="C10594" t="s">
        <v>10</v>
      </c>
      <c r="D10594" t="s">
        <v>103</v>
      </c>
      <c r="E10594">
        <f>3/131</f>
        <v>2.2900763358778626E-2</v>
      </c>
      <c r="F10594">
        <v>38</v>
      </c>
      <c r="G10594">
        <f>LOG(382/(38+1))</f>
        <v>0.99099875588520958</v>
      </c>
      <c r="H10594">
        <f>0.0229007633587786*2.28185896247692</f>
        <v>5.2256312117792011E-2</v>
      </c>
      <c r="I10594">
        <v>5.2256312117792268E-2</v>
      </c>
    </row>
    <row r="10595" spans="1:9" x14ac:dyDescent="0.25">
      <c r="A10595">
        <v>415</v>
      </c>
      <c r="B10595" t="s">
        <v>3194</v>
      </c>
      <c r="C10595" t="s">
        <v>10</v>
      </c>
      <c r="D10595" t="s">
        <v>3197</v>
      </c>
      <c r="E10595">
        <f t="shared" ref="E10595:E10605" si="497">1/131</f>
        <v>7.6335877862595417E-3</v>
      </c>
      <c r="F10595">
        <v>1</v>
      </c>
      <c r="G10595">
        <f>LOG(382/(1+1))</f>
        <v>2.2810333672477277</v>
      </c>
      <c r="H10595">
        <f>0.00763358778625954*5.25227342804663</f>
        <v>4.0093690290432277E-2</v>
      </c>
      <c r="I10595">
        <v>4.0093690290432291E-2</v>
      </c>
    </row>
    <row r="10596" spans="1:9" x14ac:dyDescent="0.25">
      <c r="A10596">
        <v>415</v>
      </c>
      <c r="B10596" t="s">
        <v>3194</v>
      </c>
      <c r="C10596" t="s">
        <v>10</v>
      </c>
      <c r="D10596" t="s">
        <v>17</v>
      </c>
      <c r="E10596">
        <f t="shared" si="497"/>
        <v>7.6335877862595417E-3</v>
      </c>
      <c r="F10596">
        <v>169</v>
      </c>
      <c r="G10596">
        <f>LOG(382/(169+1))</f>
        <v>0.3516144415334348</v>
      </c>
      <c r="H10596">
        <f>0.00763358778625954*0.809622171556313</f>
        <v>6.1803219202771972E-3</v>
      </c>
      <c r="I10596">
        <v>6.1803219202772016E-3</v>
      </c>
    </row>
    <row r="10597" spans="1:9" x14ac:dyDescent="0.25">
      <c r="A10597">
        <v>415</v>
      </c>
      <c r="B10597" t="s">
        <v>3194</v>
      </c>
      <c r="C10597" t="s">
        <v>10</v>
      </c>
      <c r="D10597" t="s">
        <v>1052</v>
      </c>
      <c r="E10597">
        <f t="shared" si="497"/>
        <v>7.6335877862595417E-3</v>
      </c>
      <c r="F10597">
        <v>4</v>
      </c>
      <c r="G10597">
        <f>LOG(382/(4+1))</f>
        <v>1.8830933585756899</v>
      </c>
      <c r="H10597">
        <f>0.00763358778625954*4.33598269617247</f>
        <v>3.3099104550934878E-2</v>
      </c>
      <c r="I10597">
        <v>3.309910455093492E-2</v>
      </c>
    </row>
    <row r="10598" spans="1:9" x14ac:dyDescent="0.25">
      <c r="A10598">
        <v>415</v>
      </c>
      <c r="B10598" t="s">
        <v>3194</v>
      </c>
      <c r="C10598" t="s">
        <v>10</v>
      </c>
      <c r="D10598" t="s">
        <v>22</v>
      </c>
      <c r="E10598">
        <f t="shared" si="497"/>
        <v>7.6335877862595417E-3</v>
      </c>
      <c r="F10598">
        <v>259</v>
      </c>
      <c r="G10598">
        <f>LOG(382/(259+1))</f>
        <v>0.16709001494089079</v>
      </c>
      <c r="H10598">
        <f>0.00763358778625954*0.384738977591047</f>
        <v>2.9369387602369993E-3</v>
      </c>
      <c r="I10598">
        <v>2.936938760237004E-3</v>
      </c>
    </row>
    <row r="10599" spans="1:9" x14ac:dyDescent="0.25">
      <c r="A10599">
        <v>415</v>
      </c>
      <c r="B10599" t="s">
        <v>3194</v>
      </c>
      <c r="C10599" t="s">
        <v>10</v>
      </c>
      <c r="D10599" t="s">
        <v>23</v>
      </c>
      <c r="E10599">
        <f t="shared" si="497"/>
        <v>7.6335877862595417E-3</v>
      </c>
      <c r="F10599">
        <v>275</v>
      </c>
      <c r="G10599">
        <f>LOG(382/(275+1))</f>
        <v>0.14115428084649101</v>
      </c>
      <c r="H10599">
        <f>0.00763358778625954*0.325019742889425</f>
        <v>2.4810667396139305E-3</v>
      </c>
      <c r="I10599">
        <v>2.4810667396139318E-3</v>
      </c>
    </row>
    <row r="10600" spans="1:9" x14ac:dyDescent="0.25">
      <c r="A10600">
        <v>415</v>
      </c>
      <c r="B10600" t="s">
        <v>3194</v>
      </c>
      <c r="C10600" t="s">
        <v>10</v>
      </c>
      <c r="D10600" t="s">
        <v>1478</v>
      </c>
      <c r="E10600">
        <f t="shared" si="497"/>
        <v>7.6335877862595417E-3</v>
      </c>
      <c r="F10600">
        <v>17</v>
      </c>
      <c r="G10600">
        <f>LOG(382/(17+1))</f>
        <v>1.3267908578084027</v>
      </c>
      <c r="H10600">
        <f>0.00763358778625954*3.05504885071041</f>
        <v>2.3320983593209228E-2</v>
      </c>
      <c r="I10600">
        <v>2.3320983593209239E-2</v>
      </c>
    </row>
    <row r="10601" spans="1:9" x14ac:dyDescent="0.25">
      <c r="A10601">
        <v>415</v>
      </c>
      <c r="B10601" t="s">
        <v>3194</v>
      </c>
      <c r="C10601" t="s">
        <v>10</v>
      </c>
      <c r="D10601" t="s">
        <v>432</v>
      </c>
      <c r="E10601">
        <f t="shared" si="497"/>
        <v>7.6335877862595417E-3</v>
      </c>
      <c r="F10601">
        <v>67</v>
      </c>
      <c r="G10601">
        <f>LOG(382/(67+1))</f>
        <v>0.7495544502054724</v>
      </c>
      <c r="H10601">
        <f>0.00763358778625954*1.72591290343046</f>
        <v>1.3174907659774502E-2</v>
      </c>
      <c r="I10601">
        <v>1.317490765977457E-2</v>
      </c>
    </row>
    <row r="10602" spans="1:9" x14ac:dyDescent="0.25">
      <c r="A10602">
        <v>415</v>
      </c>
      <c r="B10602" t="s">
        <v>3194</v>
      </c>
      <c r="C10602" t="s">
        <v>10</v>
      </c>
      <c r="D10602" t="s">
        <v>920</v>
      </c>
      <c r="E10602">
        <f t="shared" si="497"/>
        <v>7.6335877862595417E-3</v>
      </c>
      <c r="F10602">
        <v>30</v>
      </c>
      <c r="G10602">
        <f>LOG(382/(30+1))</f>
        <v>1.090701669077436</v>
      </c>
      <c r="H10602">
        <f>0.00763358778625954*2.51143340412142</f>
        <v>1.9171247359705493E-2</v>
      </c>
      <c r="I10602">
        <v>1.9171247359705559E-2</v>
      </c>
    </row>
    <row r="10603" spans="1:9" x14ac:dyDescent="0.25">
      <c r="A10603">
        <v>415</v>
      </c>
      <c r="B10603" t="s">
        <v>3194</v>
      </c>
      <c r="C10603" t="s">
        <v>10</v>
      </c>
      <c r="D10603" t="s">
        <v>981</v>
      </c>
      <c r="E10603">
        <f t="shared" si="497"/>
        <v>7.6335877862595417E-3</v>
      </c>
      <c r="F10603">
        <v>4</v>
      </c>
      <c r="G10603">
        <f>LOG(382/(4+1))</f>
        <v>1.8830933585756899</v>
      </c>
      <c r="H10603">
        <f>0.00763358778625954*4.33598269617247</f>
        <v>3.3099104550934878E-2</v>
      </c>
      <c r="I10603">
        <v>3.309910455093492E-2</v>
      </c>
    </row>
    <row r="10604" spans="1:9" x14ac:dyDescent="0.25">
      <c r="A10604">
        <v>415</v>
      </c>
      <c r="B10604" t="s">
        <v>3194</v>
      </c>
      <c r="C10604" t="s">
        <v>10</v>
      </c>
      <c r="D10604" t="s">
        <v>475</v>
      </c>
      <c r="E10604">
        <f t="shared" si="497"/>
        <v>7.6335877862595417E-3</v>
      </c>
      <c r="F10604">
        <v>16</v>
      </c>
      <c r="G10604">
        <f>LOG(382/(16+1))</f>
        <v>1.3516144415334348</v>
      </c>
      <c r="H10604">
        <f>0.00763358778625954*3.11220726455035</f>
        <v>2.3757307362979763E-2</v>
      </c>
      <c r="I10604">
        <v>2.3757307362979839E-2</v>
      </c>
    </row>
    <row r="10605" spans="1:9" x14ac:dyDescent="0.25">
      <c r="A10605">
        <v>415</v>
      </c>
      <c r="B10605" t="s">
        <v>3194</v>
      </c>
      <c r="C10605" t="s">
        <v>10</v>
      </c>
      <c r="D10605" t="s">
        <v>779</v>
      </c>
      <c r="E10605">
        <f t="shared" si="497"/>
        <v>7.6335877862595417E-3</v>
      </c>
      <c r="F10605">
        <v>25</v>
      </c>
      <c r="G10605">
        <f>LOG(382/(25+1))</f>
        <v>1.1670900149408907</v>
      </c>
      <c r="H10605">
        <f>0.00763358778625954*2.68732407058509</f>
        <v>2.0513924202939612E-2</v>
      </c>
      <c r="I10605">
        <v>2.051392420293964E-2</v>
      </c>
    </row>
    <row r="10606" spans="1:9" x14ac:dyDescent="0.25">
      <c r="A10606">
        <v>415</v>
      </c>
      <c r="B10606" t="s">
        <v>3194</v>
      </c>
      <c r="C10606" t="s">
        <v>10</v>
      </c>
      <c r="D10606" t="s">
        <v>183</v>
      </c>
      <c r="E10606">
        <f>4/131</f>
        <v>3.0534351145038167E-2</v>
      </c>
      <c r="F10606">
        <v>46</v>
      </c>
      <c r="G10606">
        <f>LOG(382/(46+1))</f>
        <v>0.90996550497599127</v>
      </c>
      <c r="H10606">
        <f>0.0305343511450381*2.09527300689651</f>
        <v>6.3977801737297876E-2</v>
      </c>
      <c r="I10606">
        <v>6.3977801737298209E-2</v>
      </c>
    </row>
    <row r="10607" spans="1:9" x14ac:dyDescent="0.25">
      <c r="A10607">
        <v>415</v>
      </c>
      <c r="B10607" t="s">
        <v>3194</v>
      </c>
      <c r="C10607" t="s">
        <v>10</v>
      </c>
      <c r="D10607" t="s">
        <v>216</v>
      </c>
      <c r="E10607">
        <f>5/131</f>
        <v>3.8167938931297711E-2</v>
      </c>
      <c r="F10607">
        <v>63</v>
      </c>
      <c r="G10607">
        <f>LOG(382/(63+1))</f>
        <v>0.7758833889278216</v>
      </c>
      <c r="H10607">
        <f>0.0381679389312977*1.7865375252469</f>
        <v>6.8188455162095402E-2</v>
      </c>
      <c r="I10607">
        <v>6.8188455162095554E-2</v>
      </c>
    </row>
    <row r="10608" spans="1:9" x14ac:dyDescent="0.25">
      <c r="A10608">
        <v>415</v>
      </c>
      <c r="B10608" t="s">
        <v>3194</v>
      </c>
      <c r="C10608" t="s">
        <v>10</v>
      </c>
      <c r="D10608" t="s">
        <v>25</v>
      </c>
      <c r="E10608">
        <f>2/131</f>
        <v>1.5267175572519083E-2</v>
      </c>
      <c r="F10608">
        <v>106</v>
      </c>
      <c r="G10608">
        <f>LOG(382/(106+1))</f>
        <v>0.55267958522649907</v>
      </c>
      <c r="H10608">
        <f>0.015267175572519*1.27259177414466</f>
        <v>1.9428882048009969E-2</v>
      </c>
      <c r="I10608">
        <v>1.9428882048010219E-2</v>
      </c>
    </row>
    <row r="10609" spans="1:9" x14ac:dyDescent="0.25">
      <c r="A10609">
        <v>415</v>
      </c>
      <c r="B10609" t="s">
        <v>3194</v>
      </c>
      <c r="C10609" t="s">
        <v>10</v>
      </c>
      <c r="D10609" t="s">
        <v>233</v>
      </c>
      <c r="E10609">
        <f>1/131</f>
        <v>7.6335877862595417E-3</v>
      </c>
      <c r="F10609">
        <v>14</v>
      </c>
      <c r="G10609">
        <f>LOG(382/(14+1))</f>
        <v>1.4059721038560276</v>
      </c>
      <c r="H10609">
        <f>0.00763358778625954*3.23737040750436</f>
        <v>2.4712751202323351E-2</v>
      </c>
      <c r="I10609">
        <v>2.4712751202323399E-2</v>
      </c>
    </row>
    <row r="10610" spans="1:9" x14ac:dyDescent="0.25">
      <c r="A10610">
        <v>415</v>
      </c>
      <c r="B10610" t="s">
        <v>3194</v>
      </c>
      <c r="C10610" t="s">
        <v>10</v>
      </c>
      <c r="D10610" t="s">
        <v>241</v>
      </c>
      <c r="E10610">
        <f>1/131</f>
        <v>7.6335877862595417E-3</v>
      </c>
      <c r="F10610">
        <v>19</v>
      </c>
      <c r="G10610">
        <f>LOG(382/(19+1))</f>
        <v>1.2810333672477277</v>
      </c>
      <c r="H10610">
        <f>0.00763358778625954*2.94968833505258</f>
        <v>2.2516704847729611E-2</v>
      </c>
      <c r="I10610">
        <v>2.2516704847729649E-2</v>
      </c>
    </row>
    <row r="10611" spans="1:9" x14ac:dyDescent="0.25">
      <c r="A10611">
        <v>415</v>
      </c>
      <c r="B10611" t="s">
        <v>3194</v>
      </c>
      <c r="C10611" t="s">
        <v>10</v>
      </c>
      <c r="D10611" t="s">
        <v>485</v>
      </c>
      <c r="E10611">
        <f>1/131</f>
        <v>7.6335877862595417E-3</v>
      </c>
      <c r="F10611">
        <v>74</v>
      </c>
      <c r="G10611">
        <f>LOG(382/(74+1))</f>
        <v>0.7070020995200087</v>
      </c>
      <c r="H10611">
        <f>0.00763358778625954*1.62793249507026</f>
        <v>1.2426965611223357E-2</v>
      </c>
      <c r="I10611">
        <v>1.2426965611223389E-2</v>
      </c>
    </row>
    <row r="10612" spans="1:9" x14ac:dyDescent="0.25">
      <c r="A10612">
        <v>415</v>
      </c>
      <c r="B10612" t="s">
        <v>3194</v>
      </c>
      <c r="C10612" t="s">
        <v>10</v>
      </c>
      <c r="D10612" t="s">
        <v>3198</v>
      </c>
      <c r="E10612">
        <f>1/131</f>
        <v>7.6335877862595417E-3</v>
      </c>
      <c r="F10612">
        <v>1</v>
      </c>
      <c r="G10612">
        <f>LOG(382/(1+1))</f>
        <v>2.2810333672477277</v>
      </c>
      <c r="H10612">
        <f>0.00763358778625954*5.25227342804663</f>
        <v>4.0093690290432277E-2</v>
      </c>
      <c r="I10612">
        <v>4.0093690290432291E-2</v>
      </c>
    </row>
    <row r="10613" spans="1:9" x14ac:dyDescent="0.25">
      <c r="A10613">
        <v>415</v>
      </c>
      <c r="B10613" t="s">
        <v>3194</v>
      </c>
      <c r="C10613" t="s">
        <v>10</v>
      </c>
      <c r="D10613" t="s">
        <v>3199</v>
      </c>
      <c r="E10613">
        <f>1/131</f>
        <v>7.6335877862595417E-3</v>
      </c>
      <c r="F10613">
        <v>2</v>
      </c>
      <c r="G10613">
        <f>LOG(382/(2+1))</f>
        <v>2.1049421081920463</v>
      </c>
      <c r="H10613">
        <f>0.00763358778625954*4.84680831993846</f>
        <v>3.6998536793423346E-2</v>
      </c>
      <c r="I10613">
        <v>3.6998536793423388E-2</v>
      </c>
    </row>
    <row r="10614" spans="1:9" x14ac:dyDescent="0.25">
      <c r="A10614">
        <v>415</v>
      </c>
      <c r="B10614" t="s">
        <v>3194</v>
      </c>
      <c r="C10614" t="s">
        <v>10</v>
      </c>
      <c r="D10614" t="s">
        <v>28</v>
      </c>
      <c r="E10614">
        <f>2/131</f>
        <v>1.5267175572519083E-2</v>
      </c>
      <c r="F10614">
        <v>35</v>
      </c>
      <c r="G10614">
        <f>LOG(382/(35+1))</f>
        <v>1.0257608621444214</v>
      </c>
      <c r="H10614">
        <f>0.015267175572519*2.36190167015046</f>
        <v>3.6059567483212936E-2</v>
      </c>
      <c r="I10614">
        <v>3.6059567483213213E-2</v>
      </c>
    </row>
    <row r="10615" spans="1:9" x14ac:dyDescent="0.25">
      <c r="A10615">
        <v>415</v>
      </c>
      <c r="B10615" t="s">
        <v>3194</v>
      </c>
      <c r="C10615" t="s">
        <v>10</v>
      </c>
      <c r="D10615" t="s">
        <v>321</v>
      </c>
      <c r="E10615">
        <f t="shared" ref="E10615:E10622" si="498">1/131</f>
        <v>7.6335877862595417E-3</v>
      </c>
      <c r="F10615">
        <v>5</v>
      </c>
      <c r="G10615">
        <f>LOG(382/(5+1))</f>
        <v>1.803912112528065</v>
      </c>
      <c r="H10615">
        <f>0.00763358778625954*4.15366113937852</f>
        <v>3.1707336941820756E-2</v>
      </c>
      <c r="I10615">
        <v>3.1707336941820763E-2</v>
      </c>
    </row>
    <row r="10616" spans="1:9" x14ac:dyDescent="0.25">
      <c r="A10616">
        <v>415</v>
      </c>
      <c r="B10616" t="s">
        <v>3194</v>
      </c>
      <c r="C10616" t="s">
        <v>10</v>
      </c>
      <c r="D10616" t="s">
        <v>26</v>
      </c>
      <c r="E10616">
        <f t="shared" si="498"/>
        <v>7.6335877862595417E-3</v>
      </c>
      <c r="F10616">
        <v>40</v>
      </c>
      <c r="G10616">
        <f>LOG(382/(40+1))</f>
        <v>0.96927950619197323</v>
      </c>
      <c r="H10616">
        <f>0.00763358778625954*2.23184854190226</f>
        <v>1.7037011770246253E-2</v>
      </c>
      <c r="I10616">
        <v>1.7037011770246319E-2</v>
      </c>
    </row>
    <row r="10617" spans="1:9" x14ac:dyDescent="0.25">
      <c r="A10617">
        <v>415</v>
      </c>
      <c r="B10617" t="s">
        <v>3194</v>
      </c>
      <c r="C10617" t="s">
        <v>10</v>
      </c>
      <c r="D10617" t="s">
        <v>3200</v>
      </c>
      <c r="E10617">
        <f t="shared" si="498"/>
        <v>7.6335877862595417E-3</v>
      </c>
      <c r="F10617">
        <v>2</v>
      </c>
      <c r="G10617">
        <f>LOG(382/(2+1))</f>
        <v>2.1049421081920463</v>
      </c>
      <c r="H10617">
        <f>0.00763358778625954*4.84680831993846</f>
        <v>3.6998536793423346E-2</v>
      </c>
      <c r="I10617">
        <v>3.6998536793423388E-2</v>
      </c>
    </row>
    <row r="10618" spans="1:9" x14ac:dyDescent="0.25">
      <c r="A10618">
        <v>415</v>
      </c>
      <c r="B10618" t="s">
        <v>3194</v>
      </c>
      <c r="C10618" t="s">
        <v>10</v>
      </c>
      <c r="D10618" t="s">
        <v>1338</v>
      </c>
      <c r="E10618">
        <f t="shared" si="498"/>
        <v>7.6335877862595417E-3</v>
      </c>
      <c r="F10618">
        <v>3</v>
      </c>
      <c r="G10618">
        <f>LOG(382/(3+1))</f>
        <v>1.9800033715837464</v>
      </c>
      <c r="H10618">
        <f>0.00763358778625954*4.55912624748668</f>
        <v>3.480249043882961E-2</v>
      </c>
      <c r="I10618">
        <v>3.4802490438829652E-2</v>
      </c>
    </row>
    <row r="10619" spans="1:9" x14ac:dyDescent="0.25">
      <c r="A10619">
        <v>415</v>
      </c>
      <c r="B10619" t="s">
        <v>3194</v>
      </c>
      <c r="C10619" t="s">
        <v>10</v>
      </c>
      <c r="D10619" t="s">
        <v>1199</v>
      </c>
      <c r="E10619">
        <f t="shared" si="498"/>
        <v>7.6335877862595417E-3</v>
      </c>
      <c r="F10619">
        <v>8</v>
      </c>
      <c r="G10619">
        <f>LOG(382/(8+1))</f>
        <v>1.6278208534723839</v>
      </c>
      <c r="H10619">
        <f>0.00763358778625954*3.74819603127035</f>
        <v>2.8612183444811826E-2</v>
      </c>
      <c r="I10619">
        <v>2.8612183444811871E-2</v>
      </c>
    </row>
    <row r="10620" spans="1:9" x14ac:dyDescent="0.25">
      <c r="A10620">
        <v>415</v>
      </c>
      <c r="B10620" t="s">
        <v>3194</v>
      </c>
      <c r="C10620" t="s">
        <v>10</v>
      </c>
      <c r="D10620" t="s">
        <v>3201</v>
      </c>
      <c r="E10620">
        <f t="shared" si="498"/>
        <v>7.6335877862595417E-3</v>
      </c>
      <c r="F10620">
        <v>1</v>
      </c>
      <c r="G10620">
        <f>LOG(382/(1+1))</f>
        <v>2.2810333672477277</v>
      </c>
      <c r="H10620">
        <f>0.00763358778625954*5.25227342804663</f>
        <v>4.0093690290432277E-2</v>
      </c>
      <c r="I10620">
        <v>4.0093690290432291E-2</v>
      </c>
    </row>
    <row r="10621" spans="1:9" x14ac:dyDescent="0.25">
      <c r="A10621">
        <v>415</v>
      </c>
      <c r="B10621" t="s">
        <v>3194</v>
      </c>
      <c r="C10621" t="s">
        <v>10</v>
      </c>
      <c r="D10621" t="s">
        <v>104</v>
      </c>
      <c r="E10621">
        <f t="shared" si="498"/>
        <v>7.6335877862595417E-3</v>
      </c>
      <c r="F10621">
        <v>49</v>
      </c>
      <c r="G10621">
        <f>LOG(382/(49+1))</f>
        <v>0.88309335857568994</v>
      </c>
      <c r="H10621">
        <f>0.00763358778625954*2.03339760317842</f>
        <v>1.5522119108232209E-2</v>
      </c>
      <c r="I10621">
        <v>1.552211910823228E-2</v>
      </c>
    </row>
    <row r="10622" spans="1:9" x14ac:dyDescent="0.25">
      <c r="A10622">
        <v>415</v>
      </c>
      <c r="B10622" t="s">
        <v>3194</v>
      </c>
      <c r="C10622" t="s">
        <v>10</v>
      </c>
      <c r="D10622" t="s">
        <v>3202</v>
      </c>
      <c r="E10622">
        <f t="shared" si="498"/>
        <v>7.6335877862595417E-3</v>
      </c>
      <c r="F10622">
        <v>1</v>
      </c>
      <c r="G10622">
        <f>LOG(382/(1+1))</f>
        <v>2.2810333672477277</v>
      </c>
      <c r="H10622">
        <f>0.00763358778625954*5.25227342804663</f>
        <v>4.0093690290432277E-2</v>
      </c>
      <c r="I10622">
        <v>4.0093690290432291E-2</v>
      </c>
    </row>
    <row r="10623" spans="1:9" x14ac:dyDescent="0.25">
      <c r="A10623">
        <v>415</v>
      </c>
      <c r="B10623" t="s">
        <v>3194</v>
      </c>
      <c r="C10623" t="s">
        <v>10</v>
      </c>
      <c r="D10623" t="s">
        <v>602</v>
      </c>
      <c r="E10623">
        <f>2/131</f>
        <v>1.5267175572519083E-2</v>
      </c>
      <c r="F10623">
        <v>13</v>
      </c>
      <c r="G10623">
        <f>LOG(382/(13+1))</f>
        <v>1.4359353272334707</v>
      </c>
      <c r="H10623">
        <f>0.015267175572519*3.30636327899131</f>
        <v>5.0478828686889958E-2</v>
      </c>
      <c r="I10623">
        <v>5.0478828686890333E-2</v>
      </c>
    </row>
    <row r="10624" spans="1:9" x14ac:dyDescent="0.25">
      <c r="A10624">
        <v>415</v>
      </c>
      <c r="B10624" t="s">
        <v>3194</v>
      </c>
      <c r="C10624" t="s">
        <v>10</v>
      </c>
      <c r="D10624" t="s">
        <v>331</v>
      </c>
      <c r="E10624">
        <f>2/131</f>
        <v>1.5267175572519083E-2</v>
      </c>
      <c r="F10624">
        <v>130</v>
      </c>
      <c r="G10624">
        <f>LOG(382/(130+1))</f>
        <v>0.46479206725594452</v>
      </c>
      <c r="H10624">
        <f>0.015267175572519*1.07022328540542</f>
        <v>1.6339286800082661E-2</v>
      </c>
      <c r="I10624">
        <v>1.63392868000828E-2</v>
      </c>
    </row>
    <row r="10625" spans="1:9" x14ac:dyDescent="0.25">
      <c r="A10625">
        <v>415</v>
      </c>
      <c r="B10625" t="s">
        <v>3194</v>
      </c>
      <c r="C10625" t="s">
        <v>10</v>
      </c>
      <c r="D10625" t="s">
        <v>77</v>
      </c>
      <c r="E10625">
        <f>2/131</f>
        <v>1.5267175572519083E-2</v>
      </c>
      <c r="F10625">
        <v>148</v>
      </c>
      <c r="G10625">
        <f>LOG(382/(148+1))</f>
        <v>0.40887709449943471</v>
      </c>
      <c r="H10625">
        <f>0.015267175572519*0.941474302661116</f>
        <v>1.4373653475742149E-2</v>
      </c>
      <c r="I10625">
        <v>1.437365347574223E-2</v>
      </c>
    </row>
    <row r="10626" spans="1:9" x14ac:dyDescent="0.25">
      <c r="A10626">
        <v>415</v>
      </c>
      <c r="B10626" t="s">
        <v>3194</v>
      </c>
      <c r="C10626" t="s">
        <v>10</v>
      </c>
      <c r="D10626" t="s">
        <v>119</v>
      </c>
      <c r="E10626">
        <f>1/131</f>
        <v>7.6335877862595417E-3</v>
      </c>
      <c r="F10626">
        <v>79</v>
      </c>
      <c r="G10626">
        <f>LOG(382/(79+1))</f>
        <v>0.67897337591976514</v>
      </c>
      <c r="H10626">
        <f>0.00763358778625954*1.56339397393269</f>
        <v>1.1934305144524348E-2</v>
      </c>
      <c r="I10626">
        <v>1.193430514452438E-2</v>
      </c>
    </row>
    <row r="10627" spans="1:9" x14ac:dyDescent="0.25">
      <c r="A10627">
        <v>415</v>
      </c>
      <c r="B10627" t="s">
        <v>3194</v>
      </c>
      <c r="C10627" t="s">
        <v>10</v>
      </c>
      <c r="D10627" t="s">
        <v>204</v>
      </c>
      <c r="E10627">
        <f>1/131</f>
        <v>7.6335877862595417E-3</v>
      </c>
      <c r="F10627">
        <v>166</v>
      </c>
      <c r="G10627">
        <f>LOG(382/(166+1))</f>
        <v>0.35934689176412549</v>
      </c>
      <c r="H10627">
        <f>0.00763358778625954*0.82742679618982</f>
        <v>6.3162350854184717E-3</v>
      </c>
      <c r="I10627">
        <v>6.3162350854184734E-3</v>
      </c>
    </row>
    <row r="10628" spans="1:9" x14ac:dyDescent="0.25">
      <c r="A10628">
        <v>415</v>
      </c>
      <c r="B10628" t="s">
        <v>3194</v>
      </c>
      <c r="C10628" t="s">
        <v>10</v>
      </c>
      <c r="D10628" t="s">
        <v>2364</v>
      </c>
      <c r="E10628">
        <f>1/131</f>
        <v>7.6335877862595417E-3</v>
      </c>
      <c r="F10628">
        <v>2</v>
      </c>
      <c r="G10628">
        <f>LOG(382/(2+1))</f>
        <v>2.1049421081920463</v>
      </c>
      <c r="H10628">
        <f>0.00763358778625954*4.84680831993846</f>
        <v>3.6998536793423346E-2</v>
      </c>
      <c r="I10628">
        <v>3.6998536793423388E-2</v>
      </c>
    </row>
    <row r="10629" spans="1:9" x14ac:dyDescent="0.25">
      <c r="A10629">
        <v>415</v>
      </c>
      <c r="B10629" t="s">
        <v>3194</v>
      </c>
      <c r="C10629" t="s">
        <v>10</v>
      </c>
      <c r="D10629" t="s">
        <v>626</v>
      </c>
      <c r="E10629">
        <f>2/131</f>
        <v>1.5267175572519083E-2</v>
      </c>
      <c r="F10629">
        <v>12</v>
      </c>
      <c r="G10629">
        <f>LOG(382/(12+1))</f>
        <v>1.468120010604872</v>
      </c>
      <c r="H10629">
        <f>0.015267175572519*3.38047125114503</f>
        <v>5.1610248109084149E-2</v>
      </c>
      <c r="I10629">
        <v>5.1610248109084558E-2</v>
      </c>
    </row>
    <row r="10630" spans="1:9" x14ac:dyDescent="0.25">
      <c r="A10630">
        <v>415</v>
      </c>
      <c r="B10630" t="s">
        <v>3194</v>
      </c>
      <c r="C10630" t="s">
        <v>10</v>
      </c>
      <c r="D10630" t="s">
        <v>2383</v>
      </c>
      <c r="E10630">
        <f>1/131</f>
        <v>7.6335877862595417E-3</v>
      </c>
      <c r="F10630">
        <v>3</v>
      </c>
      <c r="G10630">
        <f>LOG(382/(3+1))</f>
        <v>1.9800033715837464</v>
      </c>
      <c r="H10630">
        <f>0.00763358778625954*4.55912624748668</f>
        <v>3.480249043882961E-2</v>
      </c>
      <c r="I10630">
        <v>3.4802490438829652E-2</v>
      </c>
    </row>
    <row r="10631" spans="1:9" x14ac:dyDescent="0.25">
      <c r="A10631">
        <v>415</v>
      </c>
      <c r="B10631" t="s">
        <v>3194</v>
      </c>
      <c r="C10631" t="s">
        <v>10</v>
      </c>
      <c r="D10631" t="s">
        <v>1866</v>
      </c>
      <c r="E10631">
        <f>1/131</f>
        <v>7.6335877862595417E-3</v>
      </c>
      <c r="F10631">
        <v>18</v>
      </c>
      <c r="G10631">
        <f>LOG(382/(18+1))</f>
        <v>1.3033097619588798</v>
      </c>
      <c r="H10631">
        <f>0.00763358778625954*3.00098162944013</f>
        <v>2.2908256713283431E-2</v>
      </c>
      <c r="I10631">
        <v>2.2908256713283469E-2</v>
      </c>
    </row>
    <row r="10632" spans="1:9" x14ac:dyDescent="0.25">
      <c r="A10632">
        <v>415</v>
      </c>
      <c r="B10632" t="s">
        <v>3194</v>
      </c>
      <c r="C10632" t="s">
        <v>10</v>
      </c>
      <c r="D10632" t="s">
        <v>1985</v>
      </c>
      <c r="E10632">
        <f>2/131</f>
        <v>1.5267175572519083E-2</v>
      </c>
      <c r="F10632">
        <v>8</v>
      </c>
      <c r="G10632">
        <f>LOG(382/(8+1))</f>
        <v>1.6278208534723839</v>
      </c>
      <c r="H10632">
        <f>0.015267175572519*3.74819603127035</f>
        <v>5.7224366889623346E-2</v>
      </c>
      <c r="I10632">
        <v>5.7224366889623748E-2</v>
      </c>
    </row>
    <row r="10633" spans="1:9" x14ac:dyDescent="0.25">
      <c r="A10633">
        <v>415</v>
      </c>
      <c r="B10633" t="s">
        <v>3194</v>
      </c>
      <c r="C10633" t="s">
        <v>10</v>
      </c>
      <c r="D10633" t="s">
        <v>600</v>
      </c>
      <c r="E10633">
        <f>2/131</f>
        <v>1.5267175572519083E-2</v>
      </c>
      <c r="F10633">
        <v>102</v>
      </c>
      <c r="G10633">
        <f>LOG(382/(102+1))</f>
        <v>0.56922613820653656</v>
      </c>
      <c r="H10633">
        <f>0.015267175572519*1.31069162037693</f>
        <v>2.0010559089724014E-2</v>
      </c>
      <c r="I10633">
        <v>2.001055908972427E-2</v>
      </c>
    </row>
    <row r="10634" spans="1:9" x14ac:dyDescent="0.25">
      <c r="A10634">
        <v>415</v>
      </c>
      <c r="B10634" t="s">
        <v>3194</v>
      </c>
      <c r="C10634" t="s">
        <v>10</v>
      </c>
      <c r="D10634" t="s">
        <v>149</v>
      </c>
      <c r="E10634">
        <f t="shared" ref="E10634:E10640" si="499">1/131</f>
        <v>7.6335877862595417E-3</v>
      </c>
      <c r="F10634">
        <v>35</v>
      </c>
      <c r="G10634">
        <f>LOG(382/(35+1))</f>
        <v>1.0257608621444214</v>
      </c>
      <c r="H10634">
        <f>0.00763358778625954*2.36190167015046</f>
        <v>1.8029783741606561E-2</v>
      </c>
      <c r="I10634">
        <v>1.80297837416066E-2</v>
      </c>
    </row>
    <row r="10635" spans="1:9" x14ac:dyDescent="0.25">
      <c r="A10635">
        <v>415</v>
      </c>
      <c r="B10635" t="s">
        <v>3194</v>
      </c>
      <c r="C10635" t="s">
        <v>10</v>
      </c>
      <c r="D10635" t="s">
        <v>468</v>
      </c>
      <c r="E10635">
        <f t="shared" si="499"/>
        <v>7.6335877862595417E-3</v>
      </c>
      <c r="F10635">
        <v>4</v>
      </c>
      <c r="G10635">
        <f>LOG(382/(4+1))</f>
        <v>1.8830933585756899</v>
      </c>
      <c r="H10635">
        <f>0.00763358778625954*4.33598269617247</f>
        <v>3.3099104550934878E-2</v>
      </c>
      <c r="I10635">
        <v>3.309910455093492E-2</v>
      </c>
    </row>
    <row r="10636" spans="1:9" x14ac:dyDescent="0.25">
      <c r="A10636">
        <v>415</v>
      </c>
      <c r="B10636" t="s">
        <v>3194</v>
      </c>
      <c r="C10636" t="s">
        <v>10</v>
      </c>
      <c r="D10636" t="s">
        <v>2402</v>
      </c>
      <c r="E10636">
        <f t="shared" si="499"/>
        <v>7.6335877862595417E-3</v>
      </c>
      <c r="F10636">
        <v>2</v>
      </c>
      <c r="G10636">
        <f>LOG(382/(2+1))</f>
        <v>2.1049421081920463</v>
      </c>
      <c r="H10636">
        <f>0.00763358778625954*4.84680831993846</f>
        <v>3.6998536793423346E-2</v>
      </c>
      <c r="I10636">
        <v>3.6998536793423388E-2</v>
      </c>
    </row>
    <row r="10637" spans="1:9" x14ac:dyDescent="0.25">
      <c r="A10637">
        <v>415</v>
      </c>
      <c r="B10637" t="s">
        <v>3194</v>
      </c>
      <c r="C10637" t="s">
        <v>10</v>
      </c>
      <c r="D10637" t="s">
        <v>2347</v>
      </c>
      <c r="E10637">
        <f t="shared" si="499"/>
        <v>7.6335877862595417E-3</v>
      </c>
      <c r="F10637">
        <v>2</v>
      </c>
      <c r="G10637">
        <f>LOG(382/(2+1))</f>
        <v>2.1049421081920463</v>
      </c>
      <c r="H10637">
        <f>0.00763358778625954*4.84680831993846</f>
        <v>3.6998536793423346E-2</v>
      </c>
      <c r="I10637">
        <v>3.6998536793423388E-2</v>
      </c>
    </row>
    <row r="10638" spans="1:9" x14ac:dyDescent="0.25">
      <c r="A10638">
        <v>415</v>
      </c>
      <c r="B10638" t="s">
        <v>3194</v>
      </c>
      <c r="C10638" t="s">
        <v>10</v>
      </c>
      <c r="D10638" t="s">
        <v>3203</v>
      </c>
      <c r="E10638">
        <f t="shared" si="499"/>
        <v>7.6335877862595417E-3</v>
      </c>
      <c r="F10638">
        <v>1</v>
      </c>
      <c r="G10638">
        <f>LOG(382/(1+1))</f>
        <v>2.2810333672477277</v>
      </c>
      <c r="H10638">
        <f>0.00763358778625954*5.25227342804663</f>
        <v>4.0093690290432277E-2</v>
      </c>
      <c r="I10638">
        <v>4.0093690290432291E-2</v>
      </c>
    </row>
    <row r="10639" spans="1:9" x14ac:dyDescent="0.25">
      <c r="A10639">
        <v>415</v>
      </c>
      <c r="B10639" t="s">
        <v>3194</v>
      </c>
      <c r="C10639" t="s">
        <v>10</v>
      </c>
      <c r="D10639" t="s">
        <v>746</v>
      </c>
      <c r="E10639">
        <f t="shared" si="499"/>
        <v>7.6335877862595417E-3</v>
      </c>
      <c r="F10639">
        <v>58</v>
      </c>
      <c r="G10639">
        <f>LOG(382/(58+1))</f>
        <v>0.81121135126956456</v>
      </c>
      <c r="H10639">
        <f>0.00763358778625954*1.86788316470085</f>
        <v>1.4258650112220226E-2</v>
      </c>
      <c r="I10639">
        <v>1.4258650112220271E-2</v>
      </c>
    </row>
    <row r="10640" spans="1:9" x14ac:dyDescent="0.25">
      <c r="A10640">
        <v>415</v>
      </c>
      <c r="B10640" t="s">
        <v>3194</v>
      </c>
      <c r="C10640" t="s">
        <v>10</v>
      </c>
      <c r="D10640" t="s">
        <v>362</v>
      </c>
      <c r="E10640">
        <f t="shared" si="499"/>
        <v>7.6335877862595417E-3</v>
      </c>
      <c r="F10640">
        <v>81</v>
      </c>
      <c r="G10640">
        <f>LOG(382/(81+1))</f>
        <v>0.66824951052799197</v>
      </c>
      <c r="H10640">
        <f>0.00763358778625954*1.53870136134232</f>
        <v>1.1745811918643661E-2</v>
      </c>
      <c r="I10640">
        <v>1.174581191864368E-2</v>
      </c>
    </row>
    <row r="10641" spans="1:9" x14ac:dyDescent="0.25">
      <c r="A10641">
        <v>415</v>
      </c>
      <c r="B10641" t="s">
        <v>3194</v>
      </c>
      <c r="C10641" t="s">
        <v>10</v>
      </c>
      <c r="D10641" t="s">
        <v>775</v>
      </c>
      <c r="E10641">
        <f>3/131</f>
        <v>2.2900763358778626E-2</v>
      </c>
      <c r="F10641">
        <v>20</v>
      </c>
      <c r="G10641">
        <f>LOG(382/(20+1))</f>
        <v>1.2598440681777894</v>
      </c>
      <c r="H10641">
        <f>0.0229007633587786*2.90089817088315</f>
        <v>6.6432782539308705E-2</v>
      </c>
      <c r="I10641">
        <v>6.6432782539308829E-2</v>
      </c>
    </row>
    <row r="10642" spans="1:9" x14ac:dyDescent="0.25">
      <c r="A10642">
        <v>415</v>
      </c>
      <c r="B10642" t="s">
        <v>3194</v>
      </c>
      <c r="C10642" t="s">
        <v>10</v>
      </c>
      <c r="D10642" t="s">
        <v>1344</v>
      </c>
      <c r="E10642">
        <f t="shared" ref="E10642:E10653" si="500">1/131</f>
        <v>7.6335877862595417E-3</v>
      </c>
      <c r="F10642">
        <v>3</v>
      </c>
      <c r="G10642">
        <f>LOG(382/(3+1))</f>
        <v>1.9800033715837464</v>
      </c>
      <c r="H10642">
        <f>0.00763358778625954*4.55912624748668</f>
        <v>3.480249043882961E-2</v>
      </c>
      <c r="I10642">
        <v>3.4802490438829652E-2</v>
      </c>
    </row>
    <row r="10643" spans="1:9" x14ac:dyDescent="0.25">
      <c r="A10643">
        <v>415</v>
      </c>
      <c r="B10643" t="s">
        <v>3194</v>
      </c>
      <c r="C10643" t="s">
        <v>10</v>
      </c>
      <c r="D10643" t="s">
        <v>236</v>
      </c>
      <c r="E10643">
        <f t="shared" si="500"/>
        <v>7.6335877862595417E-3</v>
      </c>
      <c r="F10643">
        <v>87</v>
      </c>
      <c r="G10643">
        <f>LOG(382/(87+1))</f>
        <v>0.63758069076154011</v>
      </c>
      <c r="H10643">
        <f>0.00763358778625954*1.46808379412836</f>
        <v>1.1206746520063813E-2</v>
      </c>
      <c r="I10643">
        <v>1.1206746520063879E-2</v>
      </c>
    </row>
    <row r="10644" spans="1:9" x14ac:dyDescent="0.25">
      <c r="A10644">
        <v>415</v>
      </c>
      <c r="B10644" t="s">
        <v>3194</v>
      </c>
      <c r="C10644" t="s">
        <v>10</v>
      </c>
      <c r="D10644" t="s">
        <v>144</v>
      </c>
      <c r="E10644">
        <f t="shared" si="500"/>
        <v>7.6335877862595417E-3</v>
      </c>
      <c r="F10644">
        <v>105</v>
      </c>
      <c r="G10644">
        <f>LOG(382/(105+1))</f>
        <v>0.55675749764693849</v>
      </c>
      <c r="H10644">
        <f>0.00763358778625954*1.2819815144945</f>
        <v>9.786118431255722E-3</v>
      </c>
      <c r="I10644">
        <v>9.7861184312557845E-3</v>
      </c>
    </row>
    <row r="10645" spans="1:9" x14ac:dyDescent="0.25">
      <c r="A10645">
        <v>415</v>
      </c>
      <c r="B10645" t="s">
        <v>3194</v>
      </c>
      <c r="C10645" t="s">
        <v>10</v>
      </c>
      <c r="D10645" t="s">
        <v>776</v>
      </c>
      <c r="E10645">
        <f t="shared" si="500"/>
        <v>7.6335877862595417E-3</v>
      </c>
      <c r="F10645">
        <v>15</v>
      </c>
      <c r="G10645">
        <f>LOG(382/(15+1))</f>
        <v>1.3779433802557839</v>
      </c>
      <c r="H10645">
        <f>0.00763358778625954*3.17283188636679</f>
        <v>2.4220090735624346E-2</v>
      </c>
      <c r="I10645">
        <v>2.4220090735624381E-2</v>
      </c>
    </row>
    <row r="10646" spans="1:9" x14ac:dyDescent="0.25">
      <c r="A10646">
        <v>415</v>
      </c>
      <c r="B10646" t="s">
        <v>3194</v>
      </c>
      <c r="C10646" t="s">
        <v>10</v>
      </c>
      <c r="D10646" t="s">
        <v>338</v>
      </c>
      <c r="E10646">
        <f t="shared" si="500"/>
        <v>7.6335877862595417E-3</v>
      </c>
      <c r="F10646">
        <v>54</v>
      </c>
      <c r="G10646">
        <f>LOG(382/(54+1))</f>
        <v>0.84170067341746491</v>
      </c>
      <c r="H10646">
        <f>0.00763358778625954*1.9380874233741</f>
        <v>1.4794560483771752E-2</v>
      </c>
      <c r="I10646">
        <v>1.479456048377179E-2</v>
      </c>
    </row>
    <row r="10647" spans="1:9" x14ac:dyDescent="0.25">
      <c r="A10647">
        <v>415</v>
      </c>
      <c r="B10647" t="s">
        <v>3194</v>
      </c>
      <c r="C10647" t="s">
        <v>10</v>
      </c>
      <c r="D10647" t="s">
        <v>123</v>
      </c>
      <c r="E10647">
        <f t="shared" si="500"/>
        <v>7.6335877862595417E-3</v>
      </c>
      <c r="F10647">
        <v>74</v>
      </c>
      <c r="G10647">
        <f>LOG(382/(74+1))</f>
        <v>0.7070020995200087</v>
      </c>
      <c r="H10647">
        <f>0.00763358778625954*1.62793249507026</f>
        <v>1.2426965611223357E-2</v>
      </c>
      <c r="I10647">
        <v>1.2426965611223389E-2</v>
      </c>
    </row>
    <row r="10648" spans="1:9" x14ac:dyDescent="0.25">
      <c r="A10648">
        <v>415</v>
      </c>
      <c r="B10648" t="s">
        <v>3194</v>
      </c>
      <c r="C10648" t="s">
        <v>10</v>
      </c>
      <c r="D10648" t="s">
        <v>1539</v>
      </c>
      <c r="E10648">
        <f t="shared" si="500"/>
        <v>7.6335877862595417E-3</v>
      </c>
      <c r="F10648">
        <v>6</v>
      </c>
      <c r="G10648">
        <f>LOG(382/(6+1))</f>
        <v>1.736965322897452</v>
      </c>
      <c r="H10648">
        <f>0.00763358778625954*3.99951045955126</f>
        <v>3.0530614195047778E-2</v>
      </c>
      <c r="I10648">
        <v>3.0530614195047798E-2</v>
      </c>
    </row>
    <row r="10649" spans="1:9" x14ac:dyDescent="0.25">
      <c r="A10649">
        <v>415</v>
      </c>
      <c r="B10649" t="s">
        <v>3194</v>
      </c>
      <c r="C10649" t="s">
        <v>10</v>
      </c>
      <c r="D10649" t="s">
        <v>898</v>
      </c>
      <c r="E10649">
        <f t="shared" si="500"/>
        <v>7.6335877862595417E-3</v>
      </c>
      <c r="F10649">
        <v>22</v>
      </c>
      <c r="G10649">
        <f>LOG(382/(22+1))</f>
        <v>1.2203355268941158</v>
      </c>
      <c r="H10649">
        <f>0.00763358778625954*2.80992639267742</f>
        <v>2.144981979143068E-2</v>
      </c>
      <c r="I10649">
        <v>2.1449819791430728E-2</v>
      </c>
    </row>
    <row r="10650" spans="1:9" x14ac:dyDescent="0.25">
      <c r="A10650">
        <v>415</v>
      </c>
      <c r="B10650" t="s">
        <v>3194</v>
      </c>
      <c r="C10650" t="s">
        <v>10</v>
      </c>
      <c r="D10650" t="s">
        <v>398</v>
      </c>
      <c r="E10650">
        <f t="shared" si="500"/>
        <v>7.6335877862595417E-3</v>
      </c>
      <c r="F10650">
        <v>14</v>
      </c>
      <c r="G10650">
        <f>LOG(382/(14+1))</f>
        <v>1.4059721038560276</v>
      </c>
      <c r="H10650">
        <f>0.00763358778625954*3.23737040750436</f>
        <v>2.4712751202323351E-2</v>
      </c>
      <c r="I10650">
        <v>2.4712751202323399E-2</v>
      </c>
    </row>
    <row r="10651" spans="1:9" x14ac:dyDescent="0.25">
      <c r="A10651">
        <v>415</v>
      </c>
      <c r="B10651" t="s">
        <v>3194</v>
      </c>
      <c r="C10651" t="s">
        <v>10</v>
      </c>
      <c r="D10651" t="s">
        <v>3204</v>
      </c>
      <c r="E10651">
        <f t="shared" si="500"/>
        <v>7.6335877862595417E-3</v>
      </c>
      <c r="F10651">
        <v>1</v>
      </c>
      <c r="G10651">
        <f>LOG(382/(1+1))</f>
        <v>2.2810333672477277</v>
      </c>
      <c r="H10651">
        <f>0.00763358778625954*5.25227342804663</f>
        <v>4.0093690290432277E-2</v>
      </c>
      <c r="I10651">
        <v>4.0093690290432291E-2</v>
      </c>
    </row>
    <row r="10652" spans="1:9" x14ac:dyDescent="0.25">
      <c r="A10652">
        <v>415</v>
      </c>
      <c r="B10652" t="s">
        <v>3194</v>
      </c>
      <c r="C10652" t="s">
        <v>10</v>
      </c>
      <c r="D10652" t="s">
        <v>836</v>
      </c>
      <c r="E10652">
        <f t="shared" si="500"/>
        <v>7.6335877862595417E-3</v>
      </c>
      <c r="F10652">
        <v>21</v>
      </c>
      <c r="G10652">
        <f>LOG(382/(21+1))</f>
        <v>1.2396406820895025</v>
      </c>
      <c r="H10652">
        <f>0.00763358778625954*2.85437815524825</f>
        <v>2.1789146223269076E-2</v>
      </c>
      <c r="I10652">
        <v>2.1789146223269149E-2</v>
      </c>
    </row>
    <row r="10653" spans="1:9" x14ac:dyDescent="0.25">
      <c r="A10653">
        <v>415</v>
      </c>
      <c r="B10653" t="s">
        <v>3194</v>
      </c>
      <c r="C10653" t="s">
        <v>10</v>
      </c>
      <c r="D10653" t="s">
        <v>3205</v>
      </c>
      <c r="E10653">
        <f t="shared" si="500"/>
        <v>7.6335877862595417E-3</v>
      </c>
      <c r="F10653">
        <v>1</v>
      </c>
      <c r="G10653">
        <f>LOG(382/(1+1))</f>
        <v>2.2810333672477277</v>
      </c>
      <c r="H10653">
        <f>0.00763358778625954*5.25227342804663</f>
        <v>4.0093690290432277E-2</v>
      </c>
      <c r="I10653">
        <v>4.0093690290432291E-2</v>
      </c>
    </row>
    <row r="10654" spans="1:9" x14ac:dyDescent="0.25">
      <c r="A10654">
        <v>416</v>
      </c>
      <c r="B10654" t="s">
        <v>3206</v>
      </c>
      <c r="C10654" t="s">
        <v>10</v>
      </c>
      <c r="D10654" t="s">
        <v>315</v>
      </c>
      <c r="E10654">
        <f>5/47</f>
        <v>0.10638297872340426</v>
      </c>
      <c r="F10654">
        <v>55</v>
      </c>
      <c r="G10654">
        <f>LOG(382/(55+1))</f>
        <v>0.83387533590550833</v>
      </c>
      <c r="H10654">
        <f>0.106382978723404*1.92006891787142</f>
        <v>0.20426265083738465</v>
      </c>
      <c r="I10654">
        <v>0.20426265083738571</v>
      </c>
    </row>
    <row r="10655" spans="1:9" x14ac:dyDescent="0.25">
      <c r="A10655">
        <v>416</v>
      </c>
      <c r="B10655" t="s">
        <v>3206</v>
      </c>
      <c r="C10655" t="s">
        <v>10</v>
      </c>
      <c r="D10655" t="s">
        <v>103</v>
      </c>
      <c r="E10655">
        <f>2/47</f>
        <v>4.2553191489361701E-2</v>
      </c>
      <c r="F10655">
        <v>38</v>
      </c>
      <c r="G10655">
        <f>LOG(382/(38+1))</f>
        <v>0.99099875588520958</v>
      </c>
      <c r="H10655">
        <f>0.0425531914893617*2.28185896247692</f>
        <v>9.7100381381996601E-2</v>
      </c>
      <c r="I10655">
        <v>9.7100381381996975E-2</v>
      </c>
    </row>
    <row r="10656" spans="1:9" x14ac:dyDescent="0.25">
      <c r="A10656">
        <v>416</v>
      </c>
      <c r="B10656" t="s">
        <v>3206</v>
      </c>
      <c r="C10656" t="s">
        <v>10</v>
      </c>
      <c r="D10656" t="s">
        <v>1088</v>
      </c>
      <c r="E10656">
        <f>2/47</f>
        <v>4.2553191489361701E-2</v>
      </c>
      <c r="F10656">
        <v>4</v>
      </c>
      <c r="G10656">
        <f>LOG(382/(4+1))</f>
        <v>1.8830933585756899</v>
      </c>
      <c r="H10656">
        <f>0.0425531914893617*4.33598269617247</f>
        <v>0.18450990196478598</v>
      </c>
      <c r="I10656">
        <v>0.18450990196478609</v>
      </c>
    </row>
    <row r="10657" spans="1:9" x14ac:dyDescent="0.25">
      <c r="A10657">
        <v>416</v>
      </c>
      <c r="B10657" t="s">
        <v>3206</v>
      </c>
      <c r="C10657" t="s">
        <v>10</v>
      </c>
      <c r="D10657" t="s">
        <v>42</v>
      </c>
      <c r="E10657">
        <f t="shared" ref="E10657:E10694" si="501">1/47</f>
        <v>2.1276595744680851E-2</v>
      </c>
      <c r="F10657">
        <v>251</v>
      </c>
      <c r="G10657">
        <f>LOG(382/(251+1))</f>
        <v>0.18066282213016463</v>
      </c>
      <c r="H10657">
        <f>0.0212765957446808*0.415991521095151</f>
        <v>8.8508834275563813E-3</v>
      </c>
      <c r="I10657">
        <v>8.8508834275564229E-3</v>
      </c>
    </row>
    <row r="10658" spans="1:9" x14ac:dyDescent="0.25">
      <c r="A10658">
        <v>416</v>
      </c>
      <c r="B10658" t="s">
        <v>3206</v>
      </c>
      <c r="C10658" t="s">
        <v>10</v>
      </c>
      <c r="D10658" t="s">
        <v>1015</v>
      </c>
      <c r="E10658">
        <f t="shared" si="501"/>
        <v>2.1276595744680851E-2</v>
      </c>
      <c r="F10658">
        <v>8</v>
      </c>
      <c r="G10658">
        <f>LOG(382/(8+1))</f>
        <v>1.6278208534723839</v>
      </c>
      <c r="H10658">
        <f>0.0212765957446808*3.74819603127035</f>
        <v>7.9748851729156189E-2</v>
      </c>
      <c r="I10658">
        <v>7.9748851729156509E-2</v>
      </c>
    </row>
    <row r="10659" spans="1:9" x14ac:dyDescent="0.25">
      <c r="A10659">
        <v>416</v>
      </c>
      <c r="B10659" t="s">
        <v>3206</v>
      </c>
      <c r="C10659" t="s">
        <v>10</v>
      </c>
      <c r="D10659" t="s">
        <v>3207</v>
      </c>
      <c r="E10659">
        <f t="shared" si="501"/>
        <v>2.1276595744680851E-2</v>
      </c>
      <c r="F10659">
        <v>1</v>
      </c>
      <c r="G10659">
        <f>LOG(382/(1+1))</f>
        <v>2.2810333672477277</v>
      </c>
      <c r="H10659">
        <f>0.0212765957446808*5.25227342804663</f>
        <v>0.11175049846907696</v>
      </c>
      <c r="I10659">
        <v>0.1117504984690772</v>
      </c>
    </row>
    <row r="10660" spans="1:9" x14ac:dyDescent="0.25">
      <c r="A10660">
        <v>416</v>
      </c>
      <c r="B10660" t="s">
        <v>3206</v>
      </c>
      <c r="C10660" t="s">
        <v>10</v>
      </c>
      <c r="D10660" t="s">
        <v>3208</v>
      </c>
      <c r="E10660">
        <f t="shared" si="501"/>
        <v>2.1276595744680851E-2</v>
      </c>
      <c r="F10660">
        <v>1</v>
      </c>
      <c r="G10660">
        <f>LOG(382/(1+1))</f>
        <v>2.2810333672477277</v>
      </c>
      <c r="H10660">
        <f>0.0212765957446808*5.25227342804663</f>
        <v>0.11175049846907696</v>
      </c>
      <c r="I10660">
        <v>0.1117504984690772</v>
      </c>
    </row>
    <row r="10661" spans="1:9" x14ac:dyDescent="0.25">
      <c r="A10661">
        <v>416</v>
      </c>
      <c r="B10661" t="s">
        <v>3206</v>
      </c>
      <c r="C10661" t="s">
        <v>10</v>
      </c>
      <c r="D10661" t="s">
        <v>3209</v>
      </c>
      <c r="E10661">
        <f t="shared" si="501"/>
        <v>2.1276595744680851E-2</v>
      </c>
      <c r="F10661">
        <v>1</v>
      </c>
      <c r="G10661">
        <f>LOG(382/(1+1))</f>
        <v>2.2810333672477277</v>
      </c>
      <c r="H10661">
        <f>0.0212765957446808*5.25227342804663</f>
        <v>0.11175049846907696</v>
      </c>
      <c r="I10661">
        <v>0.1117504984690772</v>
      </c>
    </row>
    <row r="10662" spans="1:9" x14ac:dyDescent="0.25">
      <c r="A10662">
        <v>416</v>
      </c>
      <c r="B10662" t="s">
        <v>3206</v>
      </c>
      <c r="C10662" t="s">
        <v>10</v>
      </c>
      <c r="D10662" t="s">
        <v>725</v>
      </c>
      <c r="E10662">
        <f t="shared" si="501"/>
        <v>2.1276595744680851E-2</v>
      </c>
      <c r="F10662">
        <v>12</v>
      </c>
      <c r="G10662">
        <f>LOG(382/(12+1))</f>
        <v>1.468120010604872</v>
      </c>
      <c r="H10662">
        <f>0.0212765957446808*3.38047125114503</f>
        <v>7.1924920237128126E-2</v>
      </c>
      <c r="I10662">
        <v>7.1924920237128473E-2</v>
      </c>
    </row>
    <row r="10663" spans="1:9" x14ac:dyDescent="0.25">
      <c r="A10663">
        <v>416</v>
      </c>
      <c r="B10663" t="s">
        <v>3206</v>
      </c>
      <c r="C10663" t="s">
        <v>10</v>
      </c>
      <c r="D10663" t="s">
        <v>105</v>
      </c>
      <c r="E10663">
        <f t="shared" si="501"/>
        <v>2.1276595744680851E-2</v>
      </c>
      <c r="F10663">
        <v>122</v>
      </c>
      <c r="G10663">
        <f>LOG(382/(122+1))</f>
        <v>0.49215825147231079</v>
      </c>
      <c r="H10663">
        <f>0.0212765957446808*1.13323625323415</f>
        <v>2.4111409643279728E-2</v>
      </c>
      <c r="I10663">
        <v>2.411140964327995E-2</v>
      </c>
    </row>
    <row r="10664" spans="1:9" x14ac:dyDescent="0.25">
      <c r="A10664">
        <v>416</v>
      </c>
      <c r="B10664" t="s">
        <v>3206</v>
      </c>
      <c r="C10664" t="s">
        <v>10</v>
      </c>
      <c r="D10664" t="s">
        <v>3210</v>
      </c>
      <c r="E10664">
        <f t="shared" si="501"/>
        <v>2.1276595744680851E-2</v>
      </c>
      <c r="F10664">
        <v>3</v>
      </c>
      <c r="G10664">
        <f>LOG(382/(3+1))</f>
        <v>1.9800033715837464</v>
      </c>
      <c r="H10664">
        <f>0.0212765957446808*4.55912624748668</f>
        <v>9.7002686116737638E-2</v>
      </c>
      <c r="I10664">
        <v>9.7002686116737971E-2</v>
      </c>
    </row>
    <row r="10665" spans="1:9" x14ac:dyDescent="0.25">
      <c r="A10665">
        <v>416</v>
      </c>
      <c r="B10665" t="s">
        <v>3206</v>
      </c>
      <c r="C10665" t="s">
        <v>10</v>
      </c>
      <c r="D10665" t="s">
        <v>3211</v>
      </c>
      <c r="E10665">
        <f t="shared" si="501"/>
        <v>2.1276595744680851E-2</v>
      </c>
      <c r="F10665">
        <v>5</v>
      </c>
      <c r="G10665">
        <f>LOG(382/(5+1))</f>
        <v>1.803912112528065</v>
      </c>
      <c r="H10665">
        <f>0.0212765957446808*4.15366113937852</f>
        <v>8.8375768922947018E-2</v>
      </c>
      <c r="I10665">
        <v>8.8375768922947226E-2</v>
      </c>
    </row>
    <row r="10666" spans="1:9" x14ac:dyDescent="0.25">
      <c r="A10666">
        <v>416</v>
      </c>
      <c r="B10666" t="s">
        <v>3206</v>
      </c>
      <c r="C10666" t="s">
        <v>10</v>
      </c>
      <c r="D10666" t="s">
        <v>131</v>
      </c>
      <c r="E10666">
        <f t="shared" si="501"/>
        <v>2.1276595744680851E-2</v>
      </c>
      <c r="F10666">
        <v>38</v>
      </c>
      <c r="G10666">
        <f>LOG(382/(38+1))</f>
        <v>0.99099875588520958</v>
      </c>
      <c r="H10666">
        <f>0.0212765957446808*2.28185896247692</f>
        <v>4.8550190690998182E-2</v>
      </c>
      <c r="I10666">
        <v>4.8550190690998488E-2</v>
      </c>
    </row>
    <row r="10667" spans="1:9" x14ac:dyDescent="0.25">
      <c r="A10667">
        <v>416</v>
      </c>
      <c r="B10667" t="s">
        <v>3206</v>
      </c>
      <c r="C10667" t="s">
        <v>10</v>
      </c>
      <c r="D10667" t="s">
        <v>666</v>
      </c>
      <c r="E10667">
        <f t="shared" si="501"/>
        <v>2.1276595744680851E-2</v>
      </c>
      <c r="F10667">
        <v>9</v>
      </c>
      <c r="G10667">
        <f>LOG(382/(9+1))</f>
        <v>1.5820633629117087</v>
      </c>
      <c r="H10667">
        <f>0.0212765957446808*3.64283551561252</f>
        <v>7.7507138630053429E-2</v>
      </c>
      <c r="I10667">
        <v>7.7507138630053818E-2</v>
      </c>
    </row>
    <row r="10668" spans="1:9" x14ac:dyDescent="0.25">
      <c r="A10668">
        <v>416</v>
      </c>
      <c r="B10668" t="s">
        <v>3206</v>
      </c>
      <c r="C10668" t="s">
        <v>10</v>
      </c>
      <c r="D10668" t="s">
        <v>236</v>
      </c>
      <c r="E10668">
        <f t="shared" si="501"/>
        <v>2.1276595744680851E-2</v>
      </c>
      <c r="F10668">
        <v>87</v>
      </c>
      <c r="G10668">
        <f>LOG(382/(87+1))</f>
        <v>0.63758069076154011</v>
      </c>
      <c r="H10668">
        <f>0.0212765957446808*1.46808379412836</f>
        <v>3.1235825406986304E-2</v>
      </c>
      <c r="I10668">
        <v>3.1235825406986571E-2</v>
      </c>
    </row>
    <row r="10669" spans="1:9" x14ac:dyDescent="0.25">
      <c r="A10669">
        <v>416</v>
      </c>
      <c r="B10669" t="s">
        <v>3206</v>
      </c>
      <c r="C10669" t="s">
        <v>10</v>
      </c>
      <c r="D10669" t="s">
        <v>3212</v>
      </c>
      <c r="E10669">
        <f t="shared" si="501"/>
        <v>2.1276595744680851E-2</v>
      </c>
      <c r="F10669">
        <v>1</v>
      </c>
      <c r="G10669">
        <f>LOG(382/(1+1))</f>
        <v>2.2810333672477277</v>
      </c>
      <c r="H10669">
        <f>0.0212765957446808*5.25227342804663</f>
        <v>0.11175049846907696</v>
      </c>
      <c r="I10669">
        <v>0.1117504984690772</v>
      </c>
    </row>
    <row r="10670" spans="1:9" x14ac:dyDescent="0.25">
      <c r="A10670">
        <v>416</v>
      </c>
      <c r="B10670" t="s">
        <v>3206</v>
      </c>
      <c r="C10670" t="s">
        <v>10</v>
      </c>
      <c r="D10670" t="s">
        <v>1083</v>
      </c>
      <c r="E10670">
        <f t="shared" si="501"/>
        <v>2.1276595744680851E-2</v>
      </c>
      <c r="F10670">
        <v>51</v>
      </c>
      <c r="G10670">
        <f>LOG(382/(51+1))</f>
        <v>0.86606001927690957</v>
      </c>
      <c r="H10670">
        <f>0.0212765957446808*1.99417689002514</f>
        <v>4.242929553244968E-2</v>
      </c>
      <c r="I10670">
        <v>4.2429295532449951E-2</v>
      </c>
    </row>
    <row r="10671" spans="1:9" x14ac:dyDescent="0.25">
      <c r="A10671">
        <v>416</v>
      </c>
      <c r="B10671" t="s">
        <v>3206</v>
      </c>
      <c r="C10671" t="s">
        <v>10</v>
      </c>
      <c r="D10671" t="s">
        <v>1633</v>
      </c>
      <c r="E10671">
        <f t="shared" si="501"/>
        <v>2.1276595744680851E-2</v>
      </c>
      <c r="F10671">
        <v>18</v>
      </c>
      <c r="G10671">
        <f>LOG(382/(18+1))</f>
        <v>1.3033097619588798</v>
      </c>
      <c r="H10671">
        <f>0.0212765957446808*3.00098162944013</f>
        <v>6.3850672966811128E-2</v>
      </c>
      <c r="I10671">
        <v>6.3850672966811378E-2</v>
      </c>
    </row>
    <row r="10672" spans="1:9" x14ac:dyDescent="0.25">
      <c r="A10672">
        <v>416</v>
      </c>
      <c r="B10672" t="s">
        <v>3206</v>
      </c>
      <c r="C10672" t="s">
        <v>10</v>
      </c>
      <c r="D10672" t="s">
        <v>2220</v>
      </c>
      <c r="E10672">
        <f t="shared" si="501"/>
        <v>2.1276595744680851E-2</v>
      </c>
      <c r="F10672">
        <v>21</v>
      </c>
      <c r="G10672">
        <f>LOG(382/(21+1))</f>
        <v>1.2396406820895025</v>
      </c>
      <c r="H10672">
        <f>0.0212765957446808*2.85437815524825</f>
        <v>6.0731450111664739E-2</v>
      </c>
      <c r="I10672">
        <v>6.0731450111665093E-2</v>
      </c>
    </row>
    <row r="10673" spans="1:9" x14ac:dyDescent="0.25">
      <c r="A10673">
        <v>416</v>
      </c>
      <c r="B10673" t="s">
        <v>3206</v>
      </c>
      <c r="C10673" t="s">
        <v>10</v>
      </c>
      <c r="D10673" t="s">
        <v>765</v>
      </c>
      <c r="E10673">
        <f t="shared" si="501"/>
        <v>2.1276595744680851E-2</v>
      </c>
      <c r="F10673">
        <v>44</v>
      </c>
      <c r="G10673">
        <f>LOG(382/(44+1))</f>
        <v>0.92885084913636506</v>
      </c>
      <c r="H10673">
        <f>0.0212765957446808*2.13875811883625</f>
        <v>4.5505491890132865E-2</v>
      </c>
      <c r="I10673">
        <v>4.5505491890133087E-2</v>
      </c>
    </row>
    <row r="10674" spans="1:9" x14ac:dyDescent="0.25">
      <c r="A10674">
        <v>416</v>
      </c>
      <c r="B10674" t="s">
        <v>3206</v>
      </c>
      <c r="C10674" t="s">
        <v>10</v>
      </c>
      <c r="D10674" t="s">
        <v>3213</v>
      </c>
      <c r="E10674">
        <f t="shared" si="501"/>
        <v>2.1276595744680851E-2</v>
      </c>
      <c r="F10674">
        <v>1</v>
      </c>
      <c r="G10674">
        <f>LOG(382/(1+1))</f>
        <v>2.2810333672477277</v>
      </c>
      <c r="H10674">
        <f>0.0212765957446808*5.25227342804663</f>
        <v>0.11175049846907696</v>
      </c>
      <c r="I10674">
        <v>0.1117504984690772</v>
      </c>
    </row>
    <row r="10675" spans="1:9" x14ac:dyDescent="0.25">
      <c r="A10675">
        <v>416</v>
      </c>
      <c r="B10675" t="s">
        <v>3206</v>
      </c>
      <c r="C10675" t="s">
        <v>10</v>
      </c>
      <c r="D10675" t="s">
        <v>76</v>
      </c>
      <c r="E10675">
        <f t="shared" si="501"/>
        <v>2.1276595744680851E-2</v>
      </c>
      <c r="F10675">
        <v>140</v>
      </c>
      <c r="G10675">
        <f>LOG(382/(140+1))</f>
        <v>0.43284425025632883</v>
      </c>
      <c r="H10675">
        <f>0.0212765957446808*0.996660718228407</f>
        <v>2.1205547196349032E-2</v>
      </c>
      <c r="I10675">
        <v>2.1205547196349081E-2</v>
      </c>
    </row>
    <row r="10676" spans="1:9" x14ac:dyDescent="0.25">
      <c r="A10676">
        <v>416</v>
      </c>
      <c r="B10676" t="s">
        <v>3206</v>
      </c>
      <c r="C10676" t="s">
        <v>10</v>
      </c>
      <c r="D10676" t="s">
        <v>134</v>
      </c>
      <c r="E10676">
        <f t="shared" si="501"/>
        <v>2.1276595744680851E-2</v>
      </c>
      <c r="F10676">
        <v>21</v>
      </c>
      <c r="G10676">
        <f>LOG(382/(21+1))</f>
        <v>1.2396406820895025</v>
      </c>
      <c r="H10676">
        <f>0.0212765957446808*2.85437815524825</f>
        <v>6.0731450111664739E-2</v>
      </c>
      <c r="I10676">
        <v>6.0731450111665093E-2</v>
      </c>
    </row>
    <row r="10677" spans="1:9" x14ac:dyDescent="0.25">
      <c r="A10677">
        <v>416</v>
      </c>
      <c r="B10677" t="s">
        <v>3206</v>
      </c>
      <c r="C10677" t="s">
        <v>10</v>
      </c>
      <c r="D10677" t="s">
        <v>620</v>
      </c>
      <c r="E10677">
        <f t="shared" si="501"/>
        <v>2.1276595744680851E-2</v>
      </c>
      <c r="F10677">
        <v>5</v>
      </c>
      <c r="G10677">
        <f>LOG(382/(5+1))</f>
        <v>1.803912112528065</v>
      </c>
      <c r="H10677">
        <f>0.0212765957446808*4.15366113937852</f>
        <v>8.8375768922947018E-2</v>
      </c>
      <c r="I10677">
        <v>8.8375768922947226E-2</v>
      </c>
    </row>
    <row r="10678" spans="1:9" x14ac:dyDescent="0.25">
      <c r="A10678">
        <v>416</v>
      </c>
      <c r="B10678" t="s">
        <v>3206</v>
      </c>
      <c r="C10678" t="s">
        <v>10</v>
      </c>
      <c r="D10678" t="s">
        <v>1997</v>
      </c>
      <c r="E10678">
        <f t="shared" si="501"/>
        <v>2.1276595744680851E-2</v>
      </c>
      <c r="F10678">
        <v>4</v>
      </c>
      <c r="G10678">
        <f>LOG(382/(4+1))</f>
        <v>1.8830933585756899</v>
      </c>
      <c r="H10678">
        <f>0.0212765957446808*4.33598269617247</f>
        <v>9.2254950982392753E-2</v>
      </c>
      <c r="I10678">
        <v>9.2254950982393072E-2</v>
      </c>
    </row>
    <row r="10679" spans="1:9" x14ac:dyDescent="0.25">
      <c r="A10679">
        <v>416</v>
      </c>
      <c r="B10679" t="s">
        <v>3206</v>
      </c>
      <c r="C10679" t="s">
        <v>10</v>
      </c>
      <c r="D10679" t="s">
        <v>322</v>
      </c>
      <c r="E10679">
        <f t="shared" si="501"/>
        <v>2.1276595744680851E-2</v>
      </c>
      <c r="F10679">
        <v>128</v>
      </c>
      <c r="G10679">
        <f>LOG(382/(128+1))</f>
        <v>0.47147365261245977</v>
      </c>
      <c r="H10679">
        <f>0.0212765957446808*1.0856082042449</f>
        <v>2.3098046898827603E-2</v>
      </c>
      <c r="I10679">
        <v>2.3098046898827721E-2</v>
      </c>
    </row>
    <row r="10680" spans="1:9" x14ac:dyDescent="0.25">
      <c r="A10680">
        <v>416</v>
      </c>
      <c r="B10680" t="s">
        <v>3206</v>
      </c>
      <c r="C10680" t="s">
        <v>10</v>
      </c>
      <c r="D10680" t="s">
        <v>1808</v>
      </c>
      <c r="E10680">
        <f t="shared" si="501"/>
        <v>2.1276595744680851E-2</v>
      </c>
      <c r="F10680">
        <v>10</v>
      </c>
      <c r="G10680">
        <f>LOG(382/(10+1))</f>
        <v>1.5406706777534838</v>
      </c>
      <c r="H10680">
        <f>0.0212765957446808*3.5475253358082</f>
        <v>7.5479262464004077E-2</v>
      </c>
      <c r="I10680">
        <v>7.5479262464004354E-2</v>
      </c>
    </row>
    <row r="10681" spans="1:9" x14ac:dyDescent="0.25">
      <c r="A10681">
        <v>416</v>
      </c>
      <c r="B10681" t="s">
        <v>3206</v>
      </c>
      <c r="C10681" t="s">
        <v>10</v>
      </c>
      <c r="D10681" t="s">
        <v>3214</v>
      </c>
      <c r="E10681">
        <f t="shared" si="501"/>
        <v>2.1276595744680851E-2</v>
      </c>
      <c r="F10681">
        <v>3</v>
      </c>
      <c r="G10681">
        <f>LOG(382/(3+1))</f>
        <v>1.9800033715837464</v>
      </c>
      <c r="H10681">
        <f>0.0212765957446808*4.55912624748668</f>
        <v>9.7002686116737638E-2</v>
      </c>
      <c r="I10681">
        <v>9.7002686116737971E-2</v>
      </c>
    </row>
    <row r="10682" spans="1:9" x14ac:dyDescent="0.25">
      <c r="A10682">
        <v>416</v>
      </c>
      <c r="B10682" t="s">
        <v>3206</v>
      </c>
      <c r="C10682" t="s">
        <v>10</v>
      </c>
      <c r="D10682" t="s">
        <v>1222</v>
      </c>
      <c r="E10682">
        <f t="shared" si="501"/>
        <v>2.1276595744680851E-2</v>
      </c>
      <c r="F10682">
        <v>56</v>
      </c>
      <c r="G10682">
        <f>LOG(382/(56+1))</f>
        <v>0.82618850723921733</v>
      </c>
      <c r="H10682">
        <f>0.0212765957446808*1.90236934077202</f>
        <v>4.0475943420681178E-2</v>
      </c>
      <c r="I10682">
        <v>4.0475943420681379E-2</v>
      </c>
    </row>
    <row r="10683" spans="1:9" x14ac:dyDescent="0.25">
      <c r="A10683">
        <v>416</v>
      </c>
      <c r="B10683" t="s">
        <v>3206</v>
      </c>
      <c r="C10683" t="s">
        <v>10</v>
      </c>
      <c r="D10683" t="s">
        <v>753</v>
      </c>
      <c r="E10683">
        <f t="shared" si="501"/>
        <v>2.1276595744680851E-2</v>
      </c>
      <c r="F10683">
        <v>19</v>
      </c>
      <c r="G10683">
        <f>LOG(382/(19+1))</f>
        <v>1.2810333672477277</v>
      </c>
      <c r="H10683">
        <f>0.0212765957446808*2.94968833505258</f>
        <v>6.2759326277714314E-2</v>
      </c>
      <c r="I10683">
        <v>6.2759326277714564E-2</v>
      </c>
    </row>
    <row r="10684" spans="1:9" x14ac:dyDescent="0.25">
      <c r="A10684">
        <v>416</v>
      </c>
      <c r="B10684" t="s">
        <v>3206</v>
      </c>
      <c r="C10684" t="s">
        <v>10</v>
      </c>
      <c r="D10684" t="s">
        <v>1540</v>
      </c>
      <c r="E10684">
        <f t="shared" si="501"/>
        <v>2.1276595744680851E-2</v>
      </c>
      <c r="F10684">
        <v>12</v>
      </c>
      <c r="G10684">
        <f>LOG(382/(12+1))</f>
        <v>1.468120010604872</v>
      </c>
      <c r="H10684">
        <f>0.0212765957446808*3.38047125114503</f>
        <v>7.1924920237128126E-2</v>
      </c>
      <c r="I10684">
        <v>7.1924920237128473E-2</v>
      </c>
    </row>
    <row r="10685" spans="1:9" x14ac:dyDescent="0.25">
      <c r="A10685">
        <v>416</v>
      </c>
      <c r="B10685" t="s">
        <v>3206</v>
      </c>
      <c r="C10685" t="s">
        <v>10</v>
      </c>
      <c r="D10685" t="s">
        <v>693</v>
      </c>
      <c r="E10685">
        <f t="shared" si="501"/>
        <v>2.1276595744680851E-2</v>
      </c>
      <c r="F10685">
        <v>25</v>
      </c>
      <c r="G10685">
        <f>LOG(382/(25+1))</f>
        <v>1.1670900149408907</v>
      </c>
      <c r="H10685">
        <f>0.0212765957446808*2.68732407058509</f>
        <v>5.7177107884789011E-2</v>
      </c>
      <c r="I10685">
        <v>5.7177107884789212E-2</v>
      </c>
    </row>
    <row r="10686" spans="1:9" x14ac:dyDescent="0.25">
      <c r="A10686">
        <v>416</v>
      </c>
      <c r="B10686" t="s">
        <v>3206</v>
      </c>
      <c r="C10686" t="s">
        <v>10</v>
      </c>
      <c r="D10686" t="s">
        <v>237</v>
      </c>
      <c r="E10686">
        <f t="shared" si="501"/>
        <v>2.1276595744680851E-2</v>
      </c>
      <c r="F10686">
        <v>138</v>
      </c>
      <c r="G10686">
        <f>LOG(382/(138+1))</f>
        <v>0.43904856265761361</v>
      </c>
      <c r="H10686">
        <f>0.0212765957446808*1.01094667547588</f>
        <v>2.1509503733529309E-2</v>
      </c>
      <c r="I10686">
        <v>2.1509503733529431E-2</v>
      </c>
    </row>
    <row r="10687" spans="1:9" x14ac:dyDescent="0.25">
      <c r="A10687">
        <v>416</v>
      </c>
      <c r="B10687" t="s">
        <v>3206</v>
      </c>
      <c r="C10687" t="s">
        <v>10</v>
      </c>
      <c r="D10687" t="s">
        <v>436</v>
      </c>
      <c r="E10687">
        <f t="shared" si="501"/>
        <v>2.1276595744680851E-2</v>
      </c>
      <c r="F10687">
        <v>20</v>
      </c>
      <c r="G10687">
        <f>LOG(382/(20+1))</f>
        <v>1.2598440681777894</v>
      </c>
      <c r="H10687">
        <f>0.0212765957446808*2.90089817088315</f>
        <v>6.1721237678364745E-2</v>
      </c>
      <c r="I10687">
        <v>6.1721237678364939E-2</v>
      </c>
    </row>
    <row r="10688" spans="1:9" x14ac:dyDescent="0.25">
      <c r="A10688">
        <v>416</v>
      </c>
      <c r="B10688" t="s">
        <v>3206</v>
      </c>
      <c r="C10688" t="s">
        <v>10</v>
      </c>
      <c r="D10688" t="s">
        <v>437</v>
      </c>
      <c r="E10688">
        <f t="shared" si="501"/>
        <v>2.1276595744680851E-2</v>
      </c>
      <c r="F10688">
        <v>18</v>
      </c>
      <c r="G10688">
        <f>LOG(382/(18+1))</f>
        <v>1.3033097619588798</v>
      </c>
      <c r="H10688">
        <f>0.0212765957446808*3.00098162944013</f>
        <v>6.3850672966811128E-2</v>
      </c>
      <c r="I10688">
        <v>6.3850672966811378E-2</v>
      </c>
    </row>
    <row r="10689" spans="1:9" x14ac:dyDescent="0.25">
      <c r="A10689">
        <v>416</v>
      </c>
      <c r="B10689" t="s">
        <v>3206</v>
      </c>
      <c r="C10689" t="s">
        <v>10</v>
      </c>
      <c r="D10689" t="s">
        <v>239</v>
      </c>
      <c r="E10689">
        <f t="shared" si="501"/>
        <v>2.1276595744680851E-2</v>
      </c>
      <c r="F10689">
        <v>40</v>
      </c>
      <c r="G10689">
        <f>LOG(382/(40+1))</f>
        <v>0.96927950619197323</v>
      </c>
      <c r="H10689">
        <f>0.0212765957446808*2.23184854190226</f>
        <v>4.7486139189409665E-2</v>
      </c>
      <c r="I10689">
        <v>4.7486139189409943E-2</v>
      </c>
    </row>
    <row r="10690" spans="1:9" x14ac:dyDescent="0.25">
      <c r="A10690">
        <v>416</v>
      </c>
      <c r="B10690" t="s">
        <v>3206</v>
      </c>
      <c r="C10690" t="s">
        <v>10</v>
      </c>
      <c r="D10690" t="s">
        <v>444</v>
      </c>
      <c r="E10690">
        <f t="shared" si="501"/>
        <v>2.1276595744680851E-2</v>
      </c>
      <c r="F10690">
        <v>28</v>
      </c>
      <c r="G10690">
        <f>LOG(382/(28+1))</f>
        <v>1.1196653650127526</v>
      </c>
      <c r="H10690">
        <f>0.0212765957446808*2.5781247786201</f>
        <v>5.485371869404454E-2</v>
      </c>
      <c r="I10690">
        <v>5.4853718694044713E-2</v>
      </c>
    </row>
    <row r="10691" spans="1:9" x14ac:dyDescent="0.25">
      <c r="A10691">
        <v>416</v>
      </c>
      <c r="B10691" t="s">
        <v>3206</v>
      </c>
      <c r="C10691" t="s">
        <v>10</v>
      </c>
      <c r="D10691" t="s">
        <v>445</v>
      </c>
      <c r="E10691">
        <f t="shared" si="501"/>
        <v>2.1276595744680851E-2</v>
      </c>
      <c r="F10691">
        <v>35</v>
      </c>
      <c r="G10691">
        <f>LOG(382/(35+1))</f>
        <v>1.0257608621444214</v>
      </c>
      <c r="H10691">
        <f>0.0212765957446808*2.36190167015046</f>
        <v>5.0253227024477751E-2</v>
      </c>
      <c r="I10691">
        <v>5.0253227024477973E-2</v>
      </c>
    </row>
    <row r="10692" spans="1:9" x14ac:dyDescent="0.25">
      <c r="A10692">
        <v>416</v>
      </c>
      <c r="B10692" t="s">
        <v>3206</v>
      </c>
      <c r="C10692" t="s">
        <v>10</v>
      </c>
      <c r="D10692" t="s">
        <v>848</v>
      </c>
      <c r="E10692">
        <f t="shared" si="501"/>
        <v>2.1276595744680851E-2</v>
      </c>
      <c r="F10692">
        <v>6</v>
      </c>
      <c r="G10692">
        <f>LOG(382/(6+1))</f>
        <v>1.736965322897452</v>
      </c>
      <c r="H10692">
        <f>0.0212765957446808*3.99951045955126</f>
        <v>8.5095967224494681E-2</v>
      </c>
      <c r="I10692">
        <v>8.5095967224494931E-2</v>
      </c>
    </row>
    <row r="10693" spans="1:9" x14ac:dyDescent="0.25">
      <c r="A10693">
        <v>416</v>
      </c>
      <c r="B10693" t="s">
        <v>3206</v>
      </c>
      <c r="C10693" t="s">
        <v>10</v>
      </c>
      <c r="D10693" t="s">
        <v>1812</v>
      </c>
      <c r="E10693">
        <f t="shared" si="501"/>
        <v>2.1276595744680851E-2</v>
      </c>
      <c r="F10693">
        <v>10</v>
      </c>
      <c r="G10693">
        <f>LOG(382/(10+1))</f>
        <v>1.5406706777534838</v>
      </c>
      <c r="H10693">
        <f>0.0212765957446808*3.5475253358082</f>
        <v>7.5479262464004077E-2</v>
      </c>
      <c r="I10693">
        <v>7.5479262464004354E-2</v>
      </c>
    </row>
    <row r="10694" spans="1:9" x14ac:dyDescent="0.25">
      <c r="A10694">
        <v>416</v>
      </c>
      <c r="B10694" t="s">
        <v>3206</v>
      </c>
      <c r="C10694" t="s">
        <v>10</v>
      </c>
      <c r="D10694" t="s">
        <v>39</v>
      </c>
      <c r="E10694">
        <f t="shared" si="501"/>
        <v>2.1276595744680851E-2</v>
      </c>
      <c r="F10694">
        <v>145</v>
      </c>
      <c r="G10694">
        <f>LOG(382/(145+1))</f>
        <v>0.41771050712727159</v>
      </c>
      <c r="H10694">
        <f>0.0212765957446808*0.961813986898238</f>
        <v>2.0464127380813525E-2</v>
      </c>
      <c r="I10694">
        <v>2.0464127380813591E-2</v>
      </c>
    </row>
    <row r="10695" spans="1:9" x14ac:dyDescent="0.25">
      <c r="A10695">
        <v>417</v>
      </c>
      <c r="B10695" t="s">
        <v>3215</v>
      </c>
      <c r="C10695" t="s">
        <v>10</v>
      </c>
      <c r="D10695" t="s">
        <v>39</v>
      </c>
      <c r="E10695">
        <f>6/133</f>
        <v>4.5112781954887216E-2</v>
      </c>
      <c r="F10695">
        <v>145</v>
      </c>
      <c r="G10695">
        <f>LOG(382/(145+1))</f>
        <v>0.41771050712727159</v>
      </c>
      <c r="H10695">
        <f>0.0451127819548872*0.961813986898238</f>
        <v>4.339010467210095E-2</v>
      </c>
      <c r="I10695">
        <v>4.3390104672100992E-2</v>
      </c>
    </row>
    <row r="10696" spans="1:9" x14ac:dyDescent="0.25">
      <c r="A10696">
        <v>417</v>
      </c>
      <c r="B10696" t="s">
        <v>3215</v>
      </c>
      <c r="C10696" t="s">
        <v>10</v>
      </c>
      <c r="D10696" t="s">
        <v>1730</v>
      </c>
      <c r="E10696">
        <f>5/133</f>
        <v>3.7593984962406013E-2</v>
      </c>
      <c r="F10696">
        <v>35</v>
      </c>
      <c r="G10696">
        <f>LOG(382/(35+1))</f>
        <v>1.0257608621444214</v>
      </c>
      <c r="H10696">
        <f>0.037593984962406*2.36190167015046</f>
        <v>8.8793295870318006E-2</v>
      </c>
      <c r="I10696">
        <v>8.8793295870318228E-2</v>
      </c>
    </row>
    <row r="10697" spans="1:9" x14ac:dyDescent="0.25">
      <c r="A10697">
        <v>417</v>
      </c>
      <c r="B10697" t="s">
        <v>3215</v>
      </c>
      <c r="C10697" t="s">
        <v>10</v>
      </c>
      <c r="D10697" t="s">
        <v>1665</v>
      </c>
      <c r="E10697">
        <f>4/133</f>
        <v>3.007518796992481E-2</v>
      </c>
      <c r="F10697">
        <v>17</v>
      </c>
      <c r="G10697">
        <f>LOG(382/(17+1))</f>
        <v>1.3267908578084027</v>
      </c>
      <c r="H10697">
        <f>0.0300751879699248*3.05504885071041</f>
        <v>9.1881168442418309E-2</v>
      </c>
      <c r="I10697">
        <v>9.1881168442418351E-2</v>
      </c>
    </row>
    <row r="10698" spans="1:9" x14ac:dyDescent="0.25">
      <c r="A10698">
        <v>417</v>
      </c>
      <c r="B10698" t="s">
        <v>3215</v>
      </c>
      <c r="C10698" t="s">
        <v>10</v>
      </c>
      <c r="D10698" t="s">
        <v>1180</v>
      </c>
      <c r="E10698">
        <f>2/133</f>
        <v>1.5037593984962405E-2</v>
      </c>
      <c r="F10698">
        <v>3</v>
      </c>
      <c r="G10698">
        <f>LOG(382/(3+1))</f>
        <v>1.9800033715837464</v>
      </c>
      <c r="H10698">
        <f>0.0150375939849624*4.55912624748668</f>
        <v>6.8558289435889902E-2</v>
      </c>
      <c r="I10698">
        <v>6.8558289435889985E-2</v>
      </c>
    </row>
    <row r="10699" spans="1:9" x14ac:dyDescent="0.25">
      <c r="A10699">
        <v>417</v>
      </c>
      <c r="B10699" t="s">
        <v>3215</v>
      </c>
      <c r="C10699" t="s">
        <v>10</v>
      </c>
      <c r="D10699" t="s">
        <v>3216</v>
      </c>
      <c r="E10699">
        <f>1/133</f>
        <v>7.5187969924812026E-3</v>
      </c>
      <c r="F10699">
        <v>1</v>
      </c>
      <c r="G10699">
        <f>LOG(382/(1+1))</f>
        <v>2.2810333672477277</v>
      </c>
      <c r="H10699">
        <f>0.0075187969924812*5.25227342804663</f>
        <v>3.9490777654485922E-2</v>
      </c>
      <c r="I10699">
        <v>3.9490777654485942E-2</v>
      </c>
    </row>
    <row r="10700" spans="1:9" x14ac:dyDescent="0.25">
      <c r="A10700">
        <v>417</v>
      </c>
      <c r="B10700" t="s">
        <v>3215</v>
      </c>
      <c r="C10700" t="s">
        <v>10</v>
      </c>
      <c r="D10700" t="s">
        <v>42</v>
      </c>
      <c r="E10700">
        <f>1/133</f>
        <v>7.5187969924812026E-3</v>
      </c>
      <c r="F10700">
        <v>251</v>
      </c>
      <c r="G10700">
        <f>LOG(382/(251+1))</f>
        <v>0.18066282213016463</v>
      </c>
      <c r="H10700">
        <f>0.0075187969924812*0.415991521095151</f>
        <v>3.1277557977079009E-3</v>
      </c>
      <c r="I10700">
        <v>3.1277557977079091E-3</v>
      </c>
    </row>
    <row r="10701" spans="1:9" x14ac:dyDescent="0.25">
      <c r="A10701">
        <v>417</v>
      </c>
      <c r="B10701" t="s">
        <v>3215</v>
      </c>
      <c r="C10701" t="s">
        <v>10</v>
      </c>
      <c r="D10701" t="s">
        <v>1367</v>
      </c>
      <c r="E10701">
        <f>1/133</f>
        <v>7.5187969924812026E-3</v>
      </c>
      <c r="F10701">
        <v>6</v>
      </c>
      <c r="G10701">
        <f>LOG(382/(6+1))</f>
        <v>1.736965322897452</v>
      </c>
      <c r="H10701">
        <f>0.0075187969924812*3.99951045955126</f>
        <v>3.0071507214671115E-2</v>
      </c>
      <c r="I10701">
        <v>3.0071507214671139E-2</v>
      </c>
    </row>
    <row r="10702" spans="1:9" x14ac:dyDescent="0.25">
      <c r="A10702">
        <v>417</v>
      </c>
      <c r="B10702" t="s">
        <v>3215</v>
      </c>
      <c r="C10702" t="s">
        <v>10</v>
      </c>
      <c r="D10702" t="s">
        <v>2924</v>
      </c>
      <c r="E10702">
        <f>1/133</f>
        <v>7.5187969924812026E-3</v>
      </c>
      <c r="F10702">
        <v>2</v>
      </c>
      <c r="G10702">
        <f>LOG(382/(2+1))</f>
        <v>2.1049421081920463</v>
      </c>
      <c r="H10702">
        <f>0.0075187969924812*4.84680831993846</f>
        <v>3.6442167819086151E-2</v>
      </c>
      <c r="I10702">
        <v>3.6442167819086213E-2</v>
      </c>
    </row>
    <row r="10703" spans="1:9" x14ac:dyDescent="0.25">
      <c r="A10703">
        <v>417</v>
      </c>
      <c r="B10703" t="s">
        <v>3215</v>
      </c>
      <c r="C10703" t="s">
        <v>10</v>
      </c>
      <c r="D10703" t="s">
        <v>17</v>
      </c>
      <c r="E10703">
        <f>2/133</f>
        <v>1.5037593984962405E-2</v>
      </c>
      <c r="F10703">
        <v>169</v>
      </c>
      <c r="G10703">
        <f>LOG(382/(169+1))</f>
        <v>0.3516144415334348</v>
      </c>
      <c r="H10703">
        <f>0.0150375939849624*0.809622171556313</f>
        <v>1.2174769497087408E-2</v>
      </c>
      <c r="I10703">
        <v>1.217476949708742E-2</v>
      </c>
    </row>
    <row r="10704" spans="1:9" x14ac:dyDescent="0.25">
      <c r="A10704">
        <v>417</v>
      </c>
      <c r="B10704" t="s">
        <v>3215</v>
      </c>
      <c r="C10704" t="s">
        <v>10</v>
      </c>
      <c r="D10704" t="s">
        <v>2591</v>
      </c>
      <c r="E10704">
        <f>2/133</f>
        <v>1.5037593984962405E-2</v>
      </c>
      <c r="F10704">
        <v>3</v>
      </c>
      <c r="G10704">
        <f>LOG(382/(3+1))</f>
        <v>1.9800033715837464</v>
      </c>
      <c r="H10704">
        <f>0.0150375939849624*4.55912624748668</f>
        <v>6.8558289435889902E-2</v>
      </c>
      <c r="I10704">
        <v>6.8558289435889985E-2</v>
      </c>
    </row>
    <row r="10705" spans="1:9" x14ac:dyDescent="0.25">
      <c r="A10705">
        <v>417</v>
      </c>
      <c r="B10705" t="s">
        <v>3215</v>
      </c>
      <c r="C10705" t="s">
        <v>10</v>
      </c>
      <c r="D10705" t="s">
        <v>514</v>
      </c>
      <c r="E10705">
        <f>2/133</f>
        <v>1.5037593984962405E-2</v>
      </c>
      <c r="F10705">
        <v>6</v>
      </c>
      <c r="G10705">
        <f>LOG(382/(6+1))</f>
        <v>1.736965322897452</v>
      </c>
      <c r="H10705">
        <f>0.0150375939849624*3.99951045955126</f>
        <v>6.014301442934223E-2</v>
      </c>
      <c r="I10705">
        <v>6.0143014429342279E-2</v>
      </c>
    </row>
    <row r="10706" spans="1:9" x14ac:dyDescent="0.25">
      <c r="A10706">
        <v>417</v>
      </c>
      <c r="B10706" t="s">
        <v>3215</v>
      </c>
      <c r="C10706" t="s">
        <v>10</v>
      </c>
      <c r="D10706" t="s">
        <v>3217</v>
      </c>
      <c r="E10706">
        <f>1/133</f>
        <v>7.5187969924812026E-3</v>
      </c>
      <c r="F10706">
        <v>1</v>
      </c>
      <c r="G10706">
        <f>LOG(382/(1+1))</f>
        <v>2.2810333672477277</v>
      </c>
      <c r="H10706">
        <f>0.0075187969924812*5.25227342804663</f>
        <v>3.9490777654485922E-2</v>
      </c>
      <c r="I10706">
        <v>3.9490777654485942E-2</v>
      </c>
    </row>
    <row r="10707" spans="1:9" x14ac:dyDescent="0.25">
      <c r="A10707">
        <v>417</v>
      </c>
      <c r="B10707" t="s">
        <v>3215</v>
      </c>
      <c r="C10707" t="s">
        <v>10</v>
      </c>
      <c r="D10707" t="s">
        <v>22</v>
      </c>
      <c r="E10707">
        <f>1/133</f>
        <v>7.5187969924812026E-3</v>
      </c>
      <c r="F10707">
        <v>259</v>
      </c>
      <c r="G10707">
        <f>LOG(382/(259+1))</f>
        <v>0.16709001494089079</v>
      </c>
      <c r="H10707">
        <f>0.0075187969924812*0.384738977591047</f>
        <v>2.8927742676018563E-3</v>
      </c>
      <c r="I10707">
        <v>2.8927742676018611E-3</v>
      </c>
    </row>
    <row r="10708" spans="1:9" x14ac:dyDescent="0.25">
      <c r="A10708">
        <v>417</v>
      </c>
      <c r="B10708" t="s">
        <v>3215</v>
      </c>
      <c r="C10708" t="s">
        <v>10</v>
      </c>
      <c r="D10708" t="s">
        <v>23</v>
      </c>
      <c r="E10708">
        <f>1/133</f>
        <v>7.5187969924812026E-3</v>
      </c>
      <c r="F10708">
        <v>275</v>
      </c>
      <c r="G10708">
        <f>LOG(382/(275+1))</f>
        <v>0.14115428084649101</v>
      </c>
      <c r="H10708">
        <f>0.0075187969924812*0.325019742889425</f>
        <v>2.4437574653340213E-3</v>
      </c>
      <c r="I10708">
        <v>2.443757465334023E-3</v>
      </c>
    </row>
    <row r="10709" spans="1:9" x14ac:dyDescent="0.25">
      <c r="A10709">
        <v>417</v>
      </c>
      <c r="B10709" t="s">
        <v>3215</v>
      </c>
      <c r="C10709" t="s">
        <v>10</v>
      </c>
      <c r="D10709" t="s">
        <v>404</v>
      </c>
      <c r="E10709">
        <f>3/133</f>
        <v>2.2556390977443608E-2</v>
      </c>
      <c r="F10709">
        <v>22</v>
      </c>
      <c r="G10709">
        <f>LOG(382/(22+1))</f>
        <v>1.2203355268941158</v>
      </c>
      <c r="H10709">
        <f>0.0225563909774436*2.80992639267742</f>
        <v>6.3381798331069591E-2</v>
      </c>
      <c r="I10709">
        <v>6.3381798331069744E-2</v>
      </c>
    </row>
    <row r="10710" spans="1:9" x14ac:dyDescent="0.25">
      <c r="A10710">
        <v>417</v>
      </c>
      <c r="B10710" t="s">
        <v>3215</v>
      </c>
      <c r="C10710" t="s">
        <v>10</v>
      </c>
      <c r="D10710" t="s">
        <v>105</v>
      </c>
      <c r="E10710">
        <f>1/133</f>
        <v>7.5187969924812026E-3</v>
      </c>
      <c r="F10710">
        <v>122</v>
      </c>
      <c r="G10710">
        <f>LOG(382/(122+1))</f>
        <v>0.49215825147231079</v>
      </c>
      <c r="H10710">
        <f>0.0075187969924812*1.13323625323415</f>
        <v>8.5205733325875912E-3</v>
      </c>
      <c r="I10710">
        <v>8.5205733325876502E-3</v>
      </c>
    </row>
    <row r="10711" spans="1:9" x14ac:dyDescent="0.25">
      <c r="A10711">
        <v>417</v>
      </c>
      <c r="B10711" t="s">
        <v>3215</v>
      </c>
      <c r="C10711" t="s">
        <v>10</v>
      </c>
      <c r="D10711" t="s">
        <v>3218</v>
      </c>
      <c r="E10711">
        <f>1/133</f>
        <v>7.5187969924812026E-3</v>
      </c>
      <c r="F10711">
        <v>2</v>
      </c>
      <c r="G10711">
        <f>LOG(382/(2+1))</f>
        <v>2.1049421081920463</v>
      </c>
      <c r="H10711">
        <f>0.0075187969924812*4.84680831993846</f>
        <v>3.6442167819086151E-2</v>
      </c>
      <c r="I10711">
        <v>3.6442167819086213E-2</v>
      </c>
    </row>
    <row r="10712" spans="1:9" x14ac:dyDescent="0.25">
      <c r="A10712">
        <v>417</v>
      </c>
      <c r="B10712" t="s">
        <v>3215</v>
      </c>
      <c r="C10712" t="s">
        <v>10</v>
      </c>
      <c r="D10712" t="s">
        <v>3219</v>
      </c>
      <c r="E10712">
        <f>3/133</f>
        <v>2.2556390977443608E-2</v>
      </c>
      <c r="F10712">
        <v>3</v>
      </c>
      <c r="G10712">
        <f>LOG(382/(3+1))</f>
        <v>1.9800033715837464</v>
      </c>
      <c r="H10712">
        <f>0.0225563909774436*4.55912624748668</f>
        <v>0.10283743415383485</v>
      </c>
      <c r="I10712">
        <v>0.10283743415383501</v>
      </c>
    </row>
    <row r="10713" spans="1:9" x14ac:dyDescent="0.25">
      <c r="A10713">
        <v>417</v>
      </c>
      <c r="B10713" t="s">
        <v>3215</v>
      </c>
      <c r="C10713" t="s">
        <v>10</v>
      </c>
      <c r="D10713" t="s">
        <v>2161</v>
      </c>
      <c r="E10713">
        <f t="shared" ref="E10713:E10721" si="502">1/133</f>
        <v>7.5187969924812026E-3</v>
      </c>
      <c r="F10713">
        <v>2</v>
      </c>
      <c r="G10713">
        <f>LOG(382/(2+1))</f>
        <v>2.1049421081920463</v>
      </c>
      <c r="H10713">
        <f>0.0075187969924812*4.84680831993846</f>
        <v>3.6442167819086151E-2</v>
      </c>
      <c r="I10713">
        <v>3.6442167819086213E-2</v>
      </c>
    </row>
    <row r="10714" spans="1:9" x14ac:dyDescent="0.25">
      <c r="A10714">
        <v>417</v>
      </c>
      <c r="B10714" t="s">
        <v>3215</v>
      </c>
      <c r="C10714" t="s">
        <v>10</v>
      </c>
      <c r="D10714" t="s">
        <v>344</v>
      </c>
      <c r="E10714">
        <f t="shared" si="502"/>
        <v>7.5187969924812026E-3</v>
      </c>
      <c r="F10714">
        <v>6</v>
      </c>
      <c r="G10714">
        <f>LOG(382/(6+1))</f>
        <v>1.736965322897452</v>
      </c>
      <c r="H10714">
        <f>0.0075187969924812*3.99951045955126</f>
        <v>3.0071507214671115E-2</v>
      </c>
      <c r="I10714">
        <v>3.0071507214671139E-2</v>
      </c>
    </row>
    <row r="10715" spans="1:9" x14ac:dyDescent="0.25">
      <c r="A10715">
        <v>417</v>
      </c>
      <c r="B10715" t="s">
        <v>3215</v>
      </c>
      <c r="C10715" t="s">
        <v>10</v>
      </c>
      <c r="D10715" t="s">
        <v>40</v>
      </c>
      <c r="E10715">
        <f t="shared" si="502"/>
        <v>7.5187969924812026E-3</v>
      </c>
      <c r="F10715">
        <v>159</v>
      </c>
      <c r="G10715">
        <f>LOG(382/(159+1))</f>
        <v>0.377943380255784</v>
      </c>
      <c r="H10715">
        <f>0.0075187969924812*0.870246793372748</f>
        <v>6.5432089727274264E-3</v>
      </c>
      <c r="I10715">
        <v>6.5432089727274307E-3</v>
      </c>
    </row>
    <row r="10716" spans="1:9" x14ac:dyDescent="0.25">
      <c r="A10716">
        <v>417</v>
      </c>
      <c r="B10716" t="s">
        <v>3215</v>
      </c>
      <c r="C10716" t="s">
        <v>10</v>
      </c>
      <c r="D10716" t="s">
        <v>41</v>
      </c>
      <c r="E10716">
        <f t="shared" si="502"/>
        <v>7.5187969924812026E-3</v>
      </c>
      <c r="F10716">
        <v>195</v>
      </c>
      <c r="G10716">
        <f>LOG(382/(195+1))</f>
        <v>0.28980729155523272</v>
      </c>
      <c r="H10716">
        <f>0.0075187969924812*0.667305949376058</f>
        <v>5.0173379652335166E-3</v>
      </c>
      <c r="I10716">
        <v>5.0173379652335183E-3</v>
      </c>
    </row>
    <row r="10717" spans="1:9" x14ac:dyDescent="0.25">
      <c r="A10717">
        <v>417</v>
      </c>
      <c r="B10717" t="s">
        <v>3215</v>
      </c>
      <c r="C10717" t="s">
        <v>10</v>
      </c>
      <c r="D10717" t="s">
        <v>322</v>
      </c>
      <c r="E10717">
        <f t="shared" si="502"/>
        <v>7.5187969924812026E-3</v>
      </c>
      <c r="F10717">
        <v>128</v>
      </c>
      <c r="G10717">
        <f>LOG(382/(128+1))</f>
        <v>0.47147365261245977</v>
      </c>
      <c r="H10717">
        <f>0.0075187969924812*1.0856082042449</f>
        <v>8.1624677010894708E-3</v>
      </c>
      <c r="I10717">
        <v>8.1624677010894969E-3</v>
      </c>
    </row>
    <row r="10718" spans="1:9" x14ac:dyDescent="0.25">
      <c r="A10718">
        <v>417</v>
      </c>
      <c r="B10718" t="s">
        <v>3215</v>
      </c>
      <c r="C10718" t="s">
        <v>10</v>
      </c>
      <c r="D10718" t="s">
        <v>3220</v>
      </c>
      <c r="E10718">
        <f t="shared" si="502"/>
        <v>7.5187969924812026E-3</v>
      </c>
      <c r="F10718">
        <v>1</v>
      </c>
      <c r="G10718">
        <f>LOG(382/(1+1))</f>
        <v>2.2810333672477277</v>
      </c>
      <c r="H10718">
        <f>0.0075187969924812*5.25227342804663</f>
        <v>3.9490777654485922E-2</v>
      </c>
      <c r="I10718">
        <v>3.9490777654485942E-2</v>
      </c>
    </row>
    <row r="10719" spans="1:9" x14ac:dyDescent="0.25">
      <c r="A10719">
        <v>417</v>
      </c>
      <c r="B10719" t="s">
        <v>3215</v>
      </c>
      <c r="C10719" t="s">
        <v>10</v>
      </c>
      <c r="D10719" t="s">
        <v>872</v>
      </c>
      <c r="E10719">
        <f t="shared" si="502"/>
        <v>7.5187969924812026E-3</v>
      </c>
      <c r="F10719">
        <v>9</v>
      </c>
      <c r="G10719">
        <f>LOG(382/(9+1))</f>
        <v>1.5820633629117087</v>
      </c>
      <c r="H10719">
        <f>0.0075187969924812*3.64283551561252</f>
        <v>2.7389740718891116E-2</v>
      </c>
      <c r="I10719">
        <v>2.7389740718891199E-2</v>
      </c>
    </row>
    <row r="10720" spans="1:9" x14ac:dyDescent="0.25">
      <c r="A10720">
        <v>417</v>
      </c>
      <c r="B10720" t="s">
        <v>3215</v>
      </c>
      <c r="C10720" t="s">
        <v>10</v>
      </c>
      <c r="D10720" t="s">
        <v>60</v>
      </c>
      <c r="E10720">
        <f t="shared" si="502"/>
        <v>7.5187969924812026E-3</v>
      </c>
      <c r="F10720">
        <v>24</v>
      </c>
      <c r="G10720">
        <f>LOG(382/(24+1))</f>
        <v>1.1841233542396712</v>
      </c>
      <c r="H10720">
        <f>0.0075187969924812*2.72654478373837</f>
        <v>2.0500336719837357E-2</v>
      </c>
      <c r="I10720">
        <v>2.0500336719837399E-2</v>
      </c>
    </row>
    <row r="10721" spans="1:9" x14ac:dyDescent="0.25">
      <c r="A10721">
        <v>417</v>
      </c>
      <c r="B10721" t="s">
        <v>3215</v>
      </c>
      <c r="C10721" t="s">
        <v>10</v>
      </c>
      <c r="D10721" t="s">
        <v>31</v>
      </c>
      <c r="E10721">
        <f t="shared" si="502"/>
        <v>7.5187969924812026E-3</v>
      </c>
      <c r="F10721">
        <v>31</v>
      </c>
      <c r="G10721">
        <f>LOG(382/(31+1))</f>
        <v>1.0769133845918029</v>
      </c>
      <c r="H10721">
        <f>0.0075187969924812*2.47968470580684</f>
        <v>1.8644245908322098E-2</v>
      </c>
      <c r="I10721">
        <v>1.8644245908322171E-2</v>
      </c>
    </row>
    <row r="10722" spans="1:9" x14ac:dyDescent="0.25">
      <c r="A10722">
        <v>417</v>
      </c>
      <c r="B10722" t="s">
        <v>3215</v>
      </c>
      <c r="C10722" t="s">
        <v>10</v>
      </c>
      <c r="D10722" t="s">
        <v>215</v>
      </c>
      <c r="E10722">
        <f>2/133</f>
        <v>1.5037593984962405E-2</v>
      </c>
      <c r="F10722">
        <v>25</v>
      </c>
      <c r="G10722">
        <f>LOG(382/(25+1))</f>
        <v>1.1670900149408907</v>
      </c>
      <c r="H10722">
        <f>0.0150375939849624*2.68732407058509</f>
        <v>4.0410888279475025E-2</v>
      </c>
      <c r="I10722">
        <v>4.0410888279475081E-2</v>
      </c>
    </row>
    <row r="10723" spans="1:9" x14ac:dyDescent="0.25">
      <c r="A10723">
        <v>417</v>
      </c>
      <c r="B10723" t="s">
        <v>3215</v>
      </c>
      <c r="C10723" t="s">
        <v>10</v>
      </c>
      <c r="D10723" t="s">
        <v>216</v>
      </c>
      <c r="E10723">
        <f>2/133</f>
        <v>1.5037593984962405E-2</v>
      </c>
      <c r="F10723">
        <v>63</v>
      </c>
      <c r="G10723">
        <f>LOG(382/(63+1))</f>
        <v>0.7758833889278216</v>
      </c>
      <c r="H10723">
        <f>0.0150375939849624*1.7865375252469</f>
        <v>2.6865225943562394E-2</v>
      </c>
      <c r="I10723">
        <v>2.686522594356245E-2</v>
      </c>
    </row>
    <row r="10724" spans="1:9" x14ac:dyDescent="0.25">
      <c r="A10724">
        <v>417</v>
      </c>
      <c r="B10724" t="s">
        <v>3215</v>
      </c>
      <c r="C10724" t="s">
        <v>10</v>
      </c>
      <c r="D10724" t="s">
        <v>823</v>
      </c>
      <c r="E10724">
        <f t="shared" ref="E10724:E10730" si="503">1/133</f>
        <v>7.5187969924812026E-3</v>
      </c>
      <c r="F10724">
        <v>45</v>
      </c>
      <c r="G10724">
        <f>LOG(382/(45+1))</f>
        <v>0.9193055312301347</v>
      </c>
      <c r="H10724">
        <f>0.0075187969924812*2.11677921211748</f>
        <v>1.5915633173815634E-2</v>
      </c>
      <c r="I10724">
        <v>1.5915633173815641E-2</v>
      </c>
    </row>
    <row r="10725" spans="1:9" x14ac:dyDescent="0.25">
      <c r="A10725">
        <v>417</v>
      </c>
      <c r="B10725" t="s">
        <v>3215</v>
      </c>
      <c r="C10725" t="s">
        <v>10</v>
      </c>
      <c r="D10725" t="s">
        <v>3143</v>
      </c>
      <c r="E10725">
        <f t="shared" si="503"/>
        <v>7.5187969924812026E-3</v>
      </c>
      <c r="F10725">
        <v>2</v>
      </c>
      <c r="G10725">
        <f>LOG(382/(2+1))</f>
        <v>2.1049421081920463</v>
      </c>
      <c r="H10725">
        <f>0.0075187969924812*4.84680831993846</f>
        <v>3.6442167819086151E-2</v>
      </c>
      <c r="I10725">
        <v>3.6442167819086213E-2</v>
      </c>
    </row>
    <row r="10726" spans="1:9" x14ac:dyDescent="0.25">
      <c r="A10726">
        <v>417</v>
      </c>
      <c r="B10726" t="s">
        <v>3215</v>
      </c>
      <c r="C10726" t="s">
        <v>10</v>
      </c>
      <c r="D10726" t="s">
        <v>3221</v>
      </c>
      <c r="E10726">
        <f t="shared" si="503"/>
        <v>7.5187969924812026E-3</v>
      </c>
      <c r="F10726">
        <v>1</v>
      </c>
      <c r="G10726">
        <f>LOG(382/(1+1))</f>
        <v>2.2810333672477277</v>
      </c>
      <c r="H10726">
        <f>0.0075187969924812*5.25227342804663</f>
        <v>3.9490777654485922E-2</v>
      </c>
      <c r="I10726">
        <v>3.9490777654485942E-2</v>
      </c>
    </row>
    <row r="10727" spans="1:9" x14ac:dyDescent="0.25">
      <c r="A10727">
        <v>417</v>
      </c>
      <c r="B10727" t="s">
        <v>3215</v>
      </c>
      <c r="C10727" t="s">
        <v>10</v>
      </c>
      <c r="D10727" t="s">
        <v>204</v>
      </c>
      <c r="E10727">
        <f t="shared" si="503"/>
        <v>7.5187969924812026E-3</v>
      </c>
      <c r="F10727">
        <v>166</v>
      </c>
      <c r="G10727">
        <f>LOG(382/(166+1))</f>
        <v>0.35934689176412549</v>
      </c>
      <c r="H10727">
        <f>0.0075187969924812*0.82742679618982</f>
        <v>6.2212541066903734E-3</v>
      </c>
      <c r="I10727">
        <v>6.221254106690376E-3</v>
      </c>
    </row>
    <row r="10728" spans="1:9" x14ac:dyDescent="0.25">
      <c r="A10728">
        <v>417</v>
      </c>
      <c r="B10728" t="s">
        <v>3215</v>
      </c>
      <c r="C10728" t="s">
        <v>10</v>
      </c>
      <c r="D10728" t="s">
        <v>82</v>
      </c>
      <c r="E10728">
        <f t="shared" si="503"/>
        <v>7.5187969924812026E-3</v>
      </c>
      <c r="F10728">
        <v>92</v>
      </c>
      <c r="G10728">
        <f>LOG(382/(92+1))</f>
        <v>0.61358041435777355</v>
      </c>
      <c r="H10728">
        <f>0.0075187969924812*1.41282111545331</f>
        <v>1.062271515378428E-2</v>
      </c>
      <c r="I10728">
        <v>1.0622715153784349E-2</v>
      </c>
    </row>
    <row r="10729" spans="1:9" x14ac:dyDescent="0.25">
      <c r="A10729">
        <v>417</v>
      </c>
      <c r="B10729" t="s">
        <v>3215</v>
      </c>
      <c r="C10729" t="s">
        <v>10</v>
      </c>
      <c r="D10729" t="s">
        <v>1921</v>
      </c>
      <c r="E10729">
        <f t="shared" si="503"/>
        <v>7.5187969924812026E-3</v>
      </c>
      <c r="F10729">
        <v>37</v>
      </c>
      <c r="G10729">
        <f>LOG(382/(37+1))</f>
        <v>1.0022797662948986</v>
      </c>
      <c r="H10729">
        <f>0.0075187969924812*2.30783444888018</f>
        <v>1.7352138713384806E-2</v>
      </c>
      <c r="I10729">
        <v>1.7352138713384879E-2</v>
      </c>
    </row>
    <row r="10730" spans="1:9" x14ac:dyDescent="0.25">
      <c r="A10730">
        <v>417</v>
      </c>
      <c r="B10730" t="s">
        <v>3215</v>
      </c>
      <c r="C10730" t="s">
        <v>10</v>
      </c>
      <c r="D10730" t="s">
        <v>126</v>
      </c>
      <c r="E10730">
        <f t="shared" si="503"/>
        <v>7.5187969924812026E-3</v>
      </c>
      <c r="F10730">
        <v>79</v>
      </c>
      <c r="G10730">
        <f>LOG(382/(79+1))</f>
        <v>0.67897337591976514</v>
      </c>
      <c r="H10730">
        <f>0.0075187969924812*1.56339397393269</f>
        <v>1.1754841909268341E-2</v>
      </c>
      <c r="I10730">
        <v>1.1754841909268369E-2</v>
      </c>
    </row>
    <row r="10731" spans="1:9" x14ac:dyDescent="0.25">
      <c r="A10731">
        <v>417</v>
      </c>
      <c r="B10731" t="s">
        <v>3215</v>
      </c>
      <c r="C10731" t="s">
        <v>10</v>
      </c>
      <c r="D10731" t="s">
        <v>201</v>
      </c>
      <c r="E10731">
        <f>3/133</f>
        <v>2.2556390977443608E-2</v>
      </c>
      <c r="F10731">
        <v>72</v>
      </c>
      <c r="G10731">
        <f>LOG(382/(72+1))</f>
        <v>0.71874050279125279</v>
      </c>
      <c r="H10731">
        <f>0.0225563909774436*1.65496116745818</f>
        <v>3.7329951145673217E-2</v>
      </c>
      <c r="I10731">
        <v>3.7329951145673321E-2</v>
      </c>
    </row>
    <row r="10732" spans="1:9" x14ac:dyDescent="0.25">
      <c r="A10732">
        <v>417</v>
      </c>
      <c r="B10732" t="s">
        <v>3215</v>
      </c>
      <c r="C10732" t="s">
        <v>10</v>
      </c>
      <c r="D10732" t="s">
        <v>1080</v>
      </c>
      <c r="E10732">
        <f t="shared" ref="E10732:E10761" si="504">1/133</f>
        <v>7.5187969924812026E-3</v>
      </c>
      <c r="F10732">
        <v>26</v>
      </c>
      <c r="G10732">
        <f>LOG(382/(26+1))</f>
        <v>1.1506995987527215</v>
      </c>
      <c r="H10732">
        <f>0.0075187969924812*2.64958374260224</f>
        <v>1.9921682275204803E-2</v>
      </c>
      <c r="I10732">
        <v>1.9921682275204858E-2</v>
      </c>
    </row>
    <row r="10733" spans="1:9" x14ac:dyDescent="0.25">
      <c r="A10733">
        <v>417</v>
      </c>
      <c r="B10733" t="s">
        <v>3215</v>
      </c>
      <c r="C10733" t="s">
        <v>10</v>
      </c>
      <c r="D10733" t="s">
        <v>3094</v>
      </c>
      <c r="E10733">
        <f t="shared" si="504"/>
        <v>7.5187969924812026E-3</v>
      </c>
      <c r="F10733">
        <v>3</v>
      </c>
      <c r="G10733">
        <f>LOG(382/(3+1))</f>
        <v>1.9800033715837464</v>
      </c>
      <c r="H10733">
        <f>0.0075187969924812*4.55912624748668</f>
        <v>3.4279144717944951E-2</v>
      </c>
      <c r="I10733">
        <v>3.4279144717944993E-2</v>
      </c>
    </row>
    <row r="10734" spans="1:9" x14ac:dyDescent="0.25">
      <c r="A10734">
        <v>417</v>
      </c>
      <c r="B10734" t="s">
        <v>3215</v>
      </c>
      <c r="C10734" t="s">
        <v>10</v>
      </c>
      <c r="D10734" t="s">
        <v>3222</v>
      </c>
      <c r="E10734">
        <f t="shared" si="504"/>
        <v>7.5187969924812026E-3</v>
      </c>
      <c r="F10734">
        <v>1</v>
      </c>
      <c r="G10734">
        <f>LOG(382/(1+1))</f>
        <v>2.2810333672477277</v>
      </c>
      <c r="H10734">
        <f>0.0075187969924812*5.25227342804663</f>
        <v>3.9490777654485922E-2</v>
      </c>
      <c r="I10734">
        <v>3.9490777654485942E-2</v>
      </c>
    </row>
    <row r="10735" spans="1:9" x14ac:dyDescent="0.25">
      <c r="A10735">
        <v>417</v>
      </c>
      <c r="B10735" t="s">
        <v>3215</v>
      </c>
      <c r="C10735" t="s">
        <v>10</v>
      </c>
      <c r="D10735" t="s">
        <v>523</v>
      </c>
      <c r="E10735">
        <f t="shared" si="504"/>
        <v>7.5187969924812026E-3</v>
      </c>
      <c r="F10735">
        <v>2</v>
      </c>
      <c r="G10735">
        <f>LOG(382/(2+1))</f>
        <v>2.1049421081920463</v>
      </c>
      <c r="H10735">
        <f>0.0075187969924812*4.84680831993846</f>
        <v>3.6442167819086151E-2</v>
      </c>
      <c r="I10735">
        <v>3.6442167819086213E-2</v>
      </c>
    </row>
    <row r="10736" spans="1:9" x14ac:dyDescent="0.25">
      <c r="A10736">
        <v>417</v>
      </c>
      <c r="B10736" t="s">
        <v>3215</v>
      </c>
      <c r="C10736" t="s">
        <v>10</v>
      </c>
      <c r="D10736" t="s">
        <v>3223</v>
      </c>
      <c r="E10736">
        <f t="shared" si="504"/>
        <v>7.5187969924812026E-3</v>
      </c>
      <c r="F10736">
        <v>1</v>
      </c>
      <c r="G10736">
        <f>LOG(382/(1+1))</f>
        <v>2.2810333672477277</v>
      </c>
      <c r="H10736">
        <f>0.0075187969924812*5.25227342804663</f>
        <v>3.9490777654485922E-2</v>
      </c>
      <c r="I10736">
        <v>3.9490777654485942E-2</v>
      </c>
    </row>
    <row r="10737" spans="1:9" x14ac:dyDescent="0.25">
      <c r="A10737">
        <v>417</v>
      </c>
      <c r="B10737" t="s">
        <v>3215</v>
      </c>
      <c r="C10737" t="s">
        <v>10</v>
      </c>
      <c r="D10737" t="s">
        <v>81</v>
      </c>
      <c r="E10737">
        <f t="shared" si="504"/>
        <v>7.5187969924812026E-3</v>
      </c>
      <c r="F10737">
        <v>114</v>
      </c>
      <c r="G10737">
        <f>LOG(382/(114+1))</f>
        <v>0.52136552255809698</v>
      </c>
      <c r="H10737">
        <f>0.0075187969924812*1.20048848024332</f>
        <v>9.0262291747618007E-3</v>
      </c>
      <c r="I10737">
        <v>9.0262291747618423E-3</v>
      </c>
    </row>
    <row r="10738" spans="1:9" x14ac:dyDescent="0.25">
      <c r="A10738">
        <v>417</v>
      </c>
      <c r="B10738" t="s">
        <v>3215</v>
      </c>
      <c r="C10738" t="s">
        <v>10</v>
      </c>
      <c r="D10738" t="s">
        <v>3224</v>
      </c>
      <c r="E10738">
        <f t="shared" si="504"/>
        <v>7.5187969924812026E-3</v>
      </c>
      <c r="F10738">
        <v>1</v>
      </c>
      <c r="G10738">
        <f>LOG(382/(1+1))</f>
        <v>2.2810333672477277</v>
      </c>
      <c r="H10738">
        <f>0.0075187969924812*5.25227342804663</f>
        <v>3.9490777654485922E-2</v>
      </c>
      <c r="I10738">
        <v>3.9490777654485942E-2</v>
      </c>
    </row>
    <row r="10739" spans="1:9" x14ac:dyDescent="0.25">
      <c r="A10739">
        <v>417</v>
      </c>
      <c r="B10739" t="s">
        <v>3215</v>
      </c>
      <c r="C10739" t="s">
        <v>10</v>
      </c>
      <c r="D10739" t="s">
        <v>1152</v>
      </c>
      <c r="E10739">
        <f t="shared" si="504"/>
        <v>7.5187969924812026E-3</v>
      </c>
      <c r="F10739">
        <v>6</v>
      </c>
      <c r="G10739">
        <f>LOG(382/(6+1))</f>
        <v>1.736965322897452</v>
      </c>
      <c r="H10739">
        <f>0.0075187969924812*3.99951045955126</f>
        <v>3.0071507214671115E-2</v>
      </c>
      <c r="I10739">
        <v>3.0071507214671139E-2</v>
      </c>
    </row>
    <row r="10740" spans="1:9" x14ac:dyDescent="0.25">
      <c r="A10740">
        <v>417</v>
      </c>
      <c r="B10740" t="s">
        <v>3215</v>
      </c>
      <c r="C10740" t="s">
        <v>10</v>
      </c>
      <c r="D10740" t="s">
        <v>528</v>
      </c>
      <c r="E10740">
        <f t="shared" si="504"/>
        <v>7.5187969924812026E-3</v>
      </c>
      <c r="F10740">
        <v>9</v>
      </c>
      <c r="G10740">
        <f>LOG(382/(9+1))</f>
        <v>1.5820633629117087</v>
      </c>
      <c r="H10740">
        <f>0.0075187969924812*3.64283551561252</f>
        <v>2.7389740718891116E-2</v>
      </c>
      <c r="I10740">
        <v>2.7389740718891199E-2</v>
      </c>
    </row>
    <row r="10741" spans="1:9" x14ac:dyDescent="0.25">
      <c r="A10741">
        <v>417</v>
      </c>
      <c r="B10741" t="s">
        <v>3215</v>
      </c>
      <c r="C10741" t="s">
        <v>10</v>
      </c>
      <c r="D10741" t="s">
        <v>529</v>
      </c>
      <c r="E10741">
        <f t="shared" si="504"/>
        <v>7.5187969924812026E-3</v>
      </c>
      <c r="F10741">
        <v>2</v>
      </c>
      <c r="G10741">
        <f>LOG(382/(2+1))</f>
        <v>2.1049421081920463</v>
      </c>
      <c r="H10741">
        <f>0.0075187969924812*4.84680831993846</f>
        <v>3.6442167819086151E-2</v>
      </c>
      <c r="I10741">
        <v>3.6442167819086213E-2</v>
      </c>
    </row>
    <row r="10742" spans="1:9" x14ac:dyDescent="0.25">
      <c r="A10742">
        <v>417</v>
      </c>
      <c r="B10742" t="s">
        <v>3215</v>
      </c>
      <c r="C10742" t="s">
        <v>10</v>
      </c>
      <c r="D10742" t="s">
        <v>530</v>
      </c>
      <c r="E10742">
        <f t="shared" si="504"/>
        <v>7.5187969924812026E-3</v>
      </c>
      <c r="F10742">
        <v>3</v>
      </c>
      <c r="G10742">
        <f>LOG(382/(3+1))</f>
        <v>1.9800033715837464</v>
      </c>
      <c r="H10742">
        <f>0.0075187969924812*4.55912624748668</f>
        <v>3.4279144717944951E-2</v>
      </c>
      <c r="I10742">
        <v>3.4279144717944993E-2</v>
      </c>
    </row>
    <row r="10743" spans="1:9" x14ac:dyDescent="0.25">
      <c r="A10743">
        <v>417</v>
      </c>
      <c r="B10743" t="s">
        <v>3215</v>
      </c>
      <c r="C10743" t="s">
        <v>10</v>
      </c>
      <c r="D10743" t="s">
        <v>3225</v>
      </c>
      <c r="E10743">
        <f t="shared" si="504"/>
        <v>7.5187969924812026E-3</v>
      </c>
      <c r="F10743">
        <v>1</v>
      </c>
      <c r="G10743">
        <f>LOG(382/(1+1))</f>
        <v>2.2810333672477277</v>
      </c>
      <c r="H10743">
        <f>0.0075187969924812*5.25227342804663</f>
        <v>3.9490777654485922E-2</v>
      </c>
      <c r="I10743">
        <v>3.9490777654485942E-2</v>
      </c>
    </row>
    <row r="10744" spans="1:9" x14ac:dyDescent="0.25">
      <c r="A10744">
        <v>417</v>
      </c>
      <c r="B10744" t="s">
        <v>3215</v>
      </c>
      <c r="C10744" t="s">
        <v>10</v>
      </c>
      <c r="D10744" t="s">
        <v>3226</v>
      </c>
      <c r="E10744">
        <f t="shared" si="504"/>
        <v>7.5187969924812026E-3</v>
      </c>
      <c r="F10744">
        <v>1</v>
      </c>
      <c r="G10744">
        <f>LOG(382/(1+1))</f>
        <v>2.2810333672477277</v>
      </c>
      <c r="H10744">
        <f>0.0075187969924812*5.25227342804663</f>
        <v>3.9490777654485922E-2</v>
      </c>
      <c r="I10744">
        <v>3.9490777654485942E-2</v>
      </c>
    </row>
    <row r="10745" spans="1:9" x14ac:dyDescent="0.25">
      <c r="A10745">
        <v>417</v>
      </c>
      <c r="B10745" t="s">
        <v>3215</v>
      </c>
      <c r="C10745" t="s">
        <v>10</v>
      </c>
      <c r="D10745" t="s">
        <v>1403</v>
      </c>
      <c r="E10745">
        <f t="shared" si="504"/>
        <v>7.5187969924812026E-3</v>
      </c>
      <c r="F10745">
        <v>10</v>
      </c>
      <c r="G10745">
        <f>LOG(382/(10+1))</f>
        <v>1.5406706777534838</v>
      </c>
      <c r="H10745">
        <f>0.0075187969924812*3.5475253358082</f>
        <v>2.6673122825625555E-2</v>
      </c>
      <c r="I10745">
        <v>2.66731228256256E-2</v>
      </c>
    </row>
    <row r="10746" spans="1:9" x14ac:dyDescent="0.25">
      <c r="A10746">
        <v>417</v>
      </c>
      <c r="B10746" t="s">
        <v>3215</v>
      </c>
      <c r="C10746" t="s">
        <v>10</v>
      </c>
      <c r="D10746" t="s">
        <v>3227</v>
      </c>
      <c r="E10746">
        <f t="shared" si="504"/>
        <v>7.5187969924812026E-3</v>
      </c>
      <c r="F10746">
        <v>1</v>
      </c>
      <c r="G10746">
        <f>LOG(382/(1+1))</f>
        <v>2.2810333672477277</v>
      </c>
      <c r="H10746">
        <f>0.0075187969924812*5.25227342804663</f>
        <v>3.9490777654485922E-2</v>
      </c>
      <c r="I10746">
        <v>3.9490777654485942E-2</v>
      </c>
    </row>
    <row r="10747" spans="1:9" x14ac:dyDescent="0.25">
      <c r="A10747">
        <v>417</v>
      </c>
      <c r="B10747" t="s">
        <v>3215</v>
      </c>
      <c r="C10747" t="s">
        <v>10</v>
      </c>
      <c r="D10747" t="s">
        <v>317</v>
      </c>
      <c r="E10747">
        <f t="shared" si="504"/>
        <v>7.5187969924812026E-3</v>
      </c>
      <c r="F10747">
        <v>3</v>
      </c>
      <c r="G10747">
        <f>LOG(382/(3+1))</f>
        <v>1.9800033715837464</v>
      </c>
      <c r="H10747">
        <f>0.0075187969924812*4.55912624748668</f>
        <v>3.4279144717944951E-2</v>
      </c>
      <c r="I10747">
        <v>3.4279144717944993E-2</v>
      </c>
    </row>
    <row r="10748" spans="1:9" x14ac:dyDescent="0.25">
      <c r="A10748">
        <v>417</v>
      </c>
      <c r="B10748" t="s">
        <v>3215</v>
      </c>
      <c r="C10748" t="s">
        <v>10</v>
      </c>
      <c r="D10748" t="s">
        <v>3228</v>
      </c>
      <c r="E10748">
        <f t="shared" si="504"/>
        <v>7.5187969924812026E-3</v>
      </c>
      <c r="F10748">
        <v>1</v>
      </c>
      <c r="G10748">
        <f>LOG(382/(1+1))</f>
        <v>2.2810333672477277</v>
      </c>
      <c r="H10748">
        <f>0.0075187969924812*5.25227342804663</f>
        <v>3.9490777654485922E-2</v>
      </c>
      <c r="I10748">
        <v>3.9490777654485942E-2</v>
      </c>
    </row>
    <row r="10749" spans="1:9" x14ac:dyDescent="0.25">
      <c r="A10749">
        <v>417</v>
      </c>
      <c r="B10749" t="s">
        <v>3215</v>
      </c>
      <c r="C10749" t="s">
        <v>10</v>
      </c>
      <c r="D10749" t="s">
        <v>59</v>
      </c>
      <c r="E10749">
        <f t="shared" si="504"/>
        <v>7.5187969924812026E-3</v>
      </c>
      <c r="F10749">
        <v>13</v>
      </c>
      <c r="G10749">
        <f>LOG(382/(13+1))</f>
        <v>1.4359353272334707</v>
      </c>
      <c r="H10749">
        <f>0.0075187969924812*3.30636327899131</f>
        <v>2.4859874278130141E-2</v>
      </c>
      <c r="I10749">
        <v>2.48598742781302E-2</v>
      </c>
    </row>
    <row r="10750" spans="1:9" x14ac:dyDescent="0.25">
      <c r="A10750">
        <v>417</v>
      </c>
      <c r="B10750" t="s">
        <v>3215</v>
      </c>
      <c r="C10750" t="s">
        <v>10</v>
      </c>
      <c r="D10750" t="s">
        <v>3229</v>
      </c>
      <c r="E10750">
        <f t="shared" si="504"/>
        <v>7.5187969924812026E-3</v>
      </c>
      <c r="F10750">
        <v>1</v>
      </c>
      <c r="G10750">
        <f>LOG(382/(1+1))</f>
        <v>2.2810333672477277</v>
      </c>
      <c r="H10750">
        <f>0.0075187969924812*5.25227342804663</f>
        <v>3.9490777654485922E-2</v>
      </c>
      <c r="I10750">
        <v>3.9490777654485942E-2</v>
      </c>
    </row>
    <row r="10751" spans="1:9" x14ac:dyDescent="0.25">
      <c r="A10751">
        <v>417</v>
      </c>
      <c r="B10751" t="s">
        <v>3215</v>
      </c>
      <c r="C10751" t="s">
        <v>10</v>
      </c>
      <c r="D10751" t="s">
        <v>233</v>
      </c>
      <c r="E10751">
        <f t="shared" si="504"/>
        <v>7.5187969924812026E-3</v>
      </c>
      <c r="F10751">
        <v>14</v>
      </c>
      <c r="G10751">
        <f>LOG(382/(14+1))</f>
        <v>1.4059721038560276</v>
      </c>
      <c r="H10751">
        <f>0.0075187969924812*3.23737040750436</f>
        <v>2.4341130883491418E-2</v>
      </c>
      <c r="I10751">
        <v>2.434113088349147E-2</v>
      </c>
    </row>
    <row r="10752" spans="1:9" x14ac:dyDescent="0.25">
      <c r="A10752">
        <v>417</v>
      </c>
      <c r="B10752" t="s">
        <v>3215</v>
      </c>
      <c r="C10752" t="s">
        <v>10</v>
      </c>
      <c r="D10752" t="s">
        <v>568</v>
      </c>
      <c r="E10752">
        <f t="shared" si="504"/>
        <v>7.5187969924812026E-3</v>
      </c>
      <c r="F10752">
        <v>4</v>
      </c>
      <c r="G10752">
        <f>LOG(382/(4+1))</f>
        <v>1.8830933585756899</v>
      </c>
      <c r="H10752">
        <f>0.0075187969924812*4.33598269617247</f>
        <v>3.2601373655432093E-2</v>
      </c>
      <c r="I10752">
        <v>3.2601373655432142E-2</v>
      </c>
    </row>
    <row r="10753" spans="1:9" x14ac:dyDescent="0.25">
      <c r="A10753">
        <v>417</v>
      </c>
      <c r="B10753" t="s">
        <v>3215</v>
      </c>
      <c r="C10753" t="s">
        <v>10</v>
      </c>
      <c r="D10753" t="s">
        <v>1165</v>
      </c>
      <c r="E10753">
        <f t="shared" si="504"/>
        <v>7.5187969924812026E-3</v>
      </c>
      <c r="F10753">
        <v>2</v>
      </c>
      <c r="G10753">
        <f>LOG(382/(2+1))</f>
        <v>2.1049421081920463</v>
      </c>
      <c r="H10753">
        <f>0.0075187969924812*4.84680831993846</f>
        <v>3.6442167819086151E-2</v>
      </c>
      <c r="I10753">
        <v>3.6442167819086213E-2</v>
      </c>
    </row>
    <row r="10754" spans="1:9" x14ac:dyDescent="0.25">
      <c r="A10754">
        <v>417</v>
      </c>
      <c r="B10754" t="s">
        <v>3215</v>
      </c>
      <c r="C10754" t="s">
        <v>10</v>
      </c>
      <c r="D10754" t="s">
        <v>1398</v>
      </c>
      <c r="E10754">
        <f t="shared" si="504"/>
        <v>7.5187969924812026E-3</v>
      </c>
      <c r="F10754">
        <v>29</v>
      </c>
      <c r="G10754">
        <f>LOG(382/(29+1))</f>
        <v>1.1049421081920463</v>
      </c>
      <c r="H10754">
        <f>0.0075187969924812*2.54422322694442</f>
        <v>1.9129497946950517E-2</v>
      </c>
      <c r="I10754">
        <v>1.912949794695052E-2</v>
      </c>
    </row>
    <row r="10755" spans="1:9" x14ac:dyDescent="0.25">
      <c r="A10755">
        <v>417</v>
      </c>
      <c r="B10755" t="s">
        <v>3215</v>
      </c>
      <c r="C10755" t="s">
        <v>10</v>
      </c>
      <c r="D10755" t="s">
        <v>3230</v>
      </c>
      <c r="E10755">
        <f t="shared" si="504"/>
        <v>7.5187969924812026E-3</v>
      </c>
      <c r="F10755">
        <v>1</v>
      </c>
      <c r="G10755">
        <f>LOG(382/(1+1))</f>
        <v>2.2810333672477277</v>
      </c>
      <c r="H10755">
        <f>0.0075187969924812*5.25227342804663</f>
        <v>3.9490777654485922E-2</v>
      </c>
      <c r="I10755">
        <v>3.9490777654485942E-2</v>
      </c>
    </row>
    <row r="10756" spans="1:9" x14ac:dyDescent="0.25">
      <c r="A10756">
        <v>417</v>
      </c>
      <c r="B10756" t="s">
        <v>3215</v>
      </c>
      <c r="C10756" t="s">
        <v>10</v>
      </c>
      <c r="D10756" t="s">
        <v>339</v>
      </c>
      <c r="E10756">
        <f t="shared" si="504"/>
        <v>7.5187969924812026E-3</v>
      </c>
      <c r="F10756">
        <v>66</v>
      </c>
      <c r="G10756">
        <f>LOG(382/(66+1))</f>
        <v>0.75598856021088234</v>
      </c>
      <c r="H10756">
        <f>0.0075187969924812*1.7407279892156</f>
        <v>1.3088180370042101E-2</v>
      </c>
      <c r="I10756">
        <v>1.308818037004217E-2</v>
      </c>
    </row>
    <row r="10757" spans="1:9" x14ac:dyDescent="0.25">
      <c r="A10757">
        <v>417</v>
      </c>
      <c r="B10757" t="s">
        <v>3215</v>
      </c>
      <c r="C10757" t="s">
        <v>10</v>
      </c>
      <c r="D10757" t="s">
        <v>3231</v>
      </c>
      <c r="E10757">
        <f t="shared" si="504"/>
        <v>7.5187969924812026E-3</v>
      </c>
      <c r="F10757">
        <v>1</v>
      </c>
      <c r="G10757">
        <f>LOG(382/(1+1))</f>
        <v>2.2810333672477277</v>
      </c>
      <c r="H10757">
        <f>0.0075187969924812*5.25227342804663</f>
        <v>3.9490777654485922E-2</v>
      </c>
      <c r="I10757">
        <v>3.9490777654485942E-2</v>
      </c>
    </row>
    <row r="10758" spans="1:9" x14ac:dyDescent="0.25">
      <c r="A10758">
        <v>417</v>
      </c>
      <c r="B10758" t="s">
        <v>3215</v>
      </c>
      <c r="C10758" t="s">
        <v>10</v>
      </c>
      <c r="D10758" t="s">
        <v>591</v>
      </c>
      <c r="E10758">
        <f t="shared" si="504"/>
        <v>7.5187969924812026E-3</v>
      </c>
      <c r="F10758">
        <v>21</v>
      </c>
      <c r="G10758">
        <f>LOG(382/(21+1))</f>
        <v>1.2396406820895025</v>
      </c>
      <c r="H10758">
        <f>0.0075187969924812*2.85437815524825</f>
        <v>2.1461489889084577E-2</v>
      </c>
      <c r="I10758">
        <v>2.146148988908465E-2</v>
      </c>
    </row>
    <row r="10759" spans="1:9" x14ac:dyDescent="0.25">
      <c r="A10759">
        <v>417</v>
      </c>
      <c r="B10759" t="s">
        <v>3215</v>
      </c>
      <c r="C10759" t="s">
        <v>10</v>
      </c>
      <c r="D10759" t="s">
        <v>1433</v>
      </c>
      <c r="E10759">
        <f t="shared" si="504"/>
        <v>7.5187969924812026E-3</v>
      </c>
      <c r="F10759">
        <v>21</v>
      </c>
      <c r="G10759">
        <f>LOG(382/(21+1))</f>
        <v>1.2396406820895025</v>
      </c>
      <c r="H10759">
        <f>0.0075187969924812*2.85437815524825</f>
        <v>2.1461489889084577E-2</v>
      </c>
      <c r="I10759">
        <v>2.146148988908465E-2</v>
      </c>
    </row>
    <row r="10760" spans="1:9" x14ac:dyDescent="0.25">
      <c r="A10760">
        <v>417</v>
      </c>
      <c r="B10760" t="s">
        <v>3215</v>
      </c>
      <c r="C10760" t="s">
        <v>10</v>
      </c>
      <c r="D10760" t="s">
        <v>432</v>
      </c>
      <c r="E10760">
        <f t="shared" si="504"/>
        <v>7.5187969924812026E-3</v>
      </c>
      <c r="F10760">
        <v>67</v>
      </c>
      <c r="G10760">
        <f>LOG(382/(67+1))</f>
        <v>0.7495544502054724</v>
      </c>
      <c r="H10760">
        <f>0.0075187969924812*1.72591290343046</f>
        <v>1.297678874759744E-2</v>
      </c>
      <c r="I10760">
        <v>1.2976788747597509E-2</v>
      </c>
    </row>
    <row r="10761" spans="1:9" x14ac:dyDescent="0.25">
      <c r="A10761">
        <v>417</v>
      </c>
      <c r="B10761" t="s">
        <v>3215</v>
      </c>
      <c r="C10761" t="s">
        <v>10</v>
      </c>
      <c r="D10761" t="s">
        <v>1473</v>
      </c>
      <c r="E10761">
        <f t="shared" si="504"/>
        <v>7.5187969924812026E-3</v>
      </c>
      <c r="F10761">
        <v>39</v>
      </c>
      <c r="G10761">
        <f>LOG(382/(39+1))</f>
        <v>0.9800033715837464</v>
      </c>
      <c r="H10761">
        <f>0.0075187969924812*2.25654115449263</f>
        <v>1.6966474845809241E-2</v>
      </c>
      <c r="I10761">
        <v>1.696647484580931E-2</v>
      </c>
    </row>
    <row r="10762" spans="1:9" x14ac:dyDescent="0.25">
      <c r="A10762">
        <v>417</v>
      </c>
      <c r="B10762" t="s">
        <v>3215</v>
      </c>
      <c r="C10762" t="s">
        <v>10</v>
      </c>
      <c r="D10762" t="s">
        <v>19</v>
      </c>
      <c r="E10762">
        <f>2/133</f>
        <v>1.5037593984962405E-2</v>
      </c>
      <c r="F10762">
        <v>220</v>
      </c>
      <c r="G10762">
        <f>LOG(382/(220+1))</f>
        <v>0.23767108922659805</v>
      </c>
      <c r="H10762">
        <f>0.0150375939849624*0.547257907088822</f>
        <v>8.2294422118619828E-3</v>
      </c>
      <c r="I10762">
        <v>8.2294422118619898E-3</v>
      </c>
    </row>
    <row r="10763" spans="1:9" x14ac:dyDescent="0.25">
      <c r="A10763">
        <v>417</v>
      </c>
      <c r="B10763" t="s">
        <v>3215</v>
      </c>
      <c r="C10763" t="s">
        <v>10</v>
      </c>
      <c r="D10763" t="s">
        <v>2457</v>
      </c>
      <c r="E10763">
        <f>1/133</f>
        <v>7.5187969924812026E-3</v>
      </c>
      <c r="F10763">
        <v>2</v>
      </c>
      <c r="G10763">
        <f>LOG(382/(2+1))</f>
        <v>2.1049421081920463</v>
      </c>
      <c r="H10763">
        <f>0.0075187969924812*4.84680831993846</f>
        <v>3.6442167819086151E-2</v>
      </c>
      <c r="I10763">
        <v>3.6442167819086213E-2</v>
      </c>
    </row>
    <row r="10764" spans="1:9" x14ac:dyDescent="0.25">
      <c r="A10764">
        <v>417</v>
      </c>
      <c r="B10764" t="s">
        <v>3215</v>
      </c>
      <c r="C10764" t="s">
        <v>10</v>
      </c>
      <c r="D10764" t="s">
        <v>599</v>
      </c>
      <c r="E10764">
        <f>1/133</f>
        <v>7.5187969924812026E-3</v>
      </c>
      <c r="F10764">
        <v>28</v>
      </c>
      <c r="G10764">
        <f>LOG(382/(28+1))</f>
        <v>1.1196653650127526</v>
      </c>
      <c r="H10764">
        <f>0.0075187969924812*2.5781247786201</f>
        <v>1.9384396831730065E-2</v>
      </c>
      <c r="I10764">
        <v>1.9384396831730079E-2</v>
      </c>
    </row>
    <row r="10765" spans="1:9" x14ac:dyDescent="0.25">
      <c r="A10765">
        <v>417</v>
      </c>
      <c r="B10765" t="s">
        <v>3215</v>
      </c>
      <c r="C10765" t="s">
        <v>10</v>
      </c>
      <c r="D10765" t="s">
        <v>600</v>
      </c>
      <c r="E10765">
        <f>2/133</f>
        <v>1.5037593984962405E-2</v>
      </c>
      <c r="F10765">
        <v>102</v>
      </c>
      <c r="G10765">
        <f>LOG(382/(102+1))</f>
        <v>0.56922613820653656</v>
      </c>
      <c r="H10765">
        <f>0.0150375939849624*1.31069162037693</f>
        <v>1.9709648426720745E-2</v>
      </c>
      <c r="I10765">
        <v>1.9709648426720891E-2</v>
      </c>
    </row>
    <row r="10766" spans="1:9" x14ac:dyDescent="0.25">
      <c r="A10766">
        <v>417</v>
      </c>
      <c r="B10766" t="s">
        <v>3215</v>
      </c>
      <c r="C10766" t="s">
        <v>10</v>
      </c>
      <c r="D10766" t="s">
        <v>434</v>
      </c>
      <c r="E10766">
        <f>1/133</f>
        <v>7.5187969924812026E-3</v>
      </c>
      <c r="F10766">
        <v>97</v>
      </c>
      <c r="G10766">
        <f>LOG(382/(97+1))</f>
        <v>0.59083728721921391</v>
      </c>
      <c r="H10766">
        <f>0.0075187969924812*1.360453129936</f>
        <v>1.0228970901774433E-2</v>
      </c>
      <c r="I10766">
        <v>1.0228970901774459E-2</v>
      </c>
    </row>
    <row r="10767" spans="1:9" x14ac:dyDescent="0.25">
      <c r="A10767">
        <v>417</v>
      </c>
      <c r="B10767" t="s">
        <v>3215</v>
      </c>
      <c r="C10767" t="s">
        <v>10</v>
      </c>
      <c r="D10767" t="s">
        <v>3232</v>
      </c>
      <c r="E10767">
        <f>1/133</f>
        <v>7.5187969924812026E-3</v>
      </c>
      <c r="F10767">
        <v>1</v>
      </c>
      <c r="G10767">
        <f>LOG(382/(1+1))</f>
        <v>2.2810333672477277</v>
      </c>
      <c r="H10767">
        <f>0.0075187969924812*5.25227342804663</f>
        <v>3.9490777654485922E-2</v>
      </c>
      <c r="I10767">
        <v>3.9490777654485942E-2</v>
      </c>
    </row>
    <row r="10768" spans="1:9" x14ac:dyDescent="0.25">
      <c r="A10768">
        <v>417</v>
      </c>
      <c r="B10768" t="s">
        <v>3215</v>
      </c>
      <c r="C10768" t="s">
        <v>10</v>
      </c>
      <c r="D10768" t="s">
        <v>436</v>
      </c>
      <c r="E10768">
        <f>2/133</f>
        <v>1.5037593984962405E-2</v>
      </c>
      <c r="F10768">
        <v>20</v>
      </c>
      <c r="G10768">
        <f>LOG(382/(20+1))</f>
        <v>1.2598440681777894</v>
      </c>
      <c r="H10768">
        <f>0.0150375939849624*2.90089817088315</f>
        <v>4.3622528885460886E-2</v>
      </c>
      <c r="I10768">
        <v>4.3622528885460927E-2</v>
      </c>
    </row>
    <row r="10769" spans="1:9" x14ac:dyDescent="0.25">
      <c r="A10769">
        <v>417</v>
      </c>
      <c r="B10769" t="s">
        <v>3215</v>
      </c>
      <c r="C10769" t="s">
        <v>10</v>
      </c>
      <c r="D10769" t="s">
        <v>3233</v>
      </c>
      <c r="E10769">
        <f>1/133</f>
        <v>7.5187969924812026E-3</v>
      </c>
      <c r="F10769">
        <v>1</v>
      </c>
      <c r="G10769">
        <f>LOG(382/(1+1))</f>
        <v>2.2810333672477277</v>
      </c>
      <c r="H10769">
        <f>0.0075187969924812*5.25227342804663</f>
        <v>3.9490777654485922E-2</v>
      </c>
      <c r="I10769">
        <v>3.9490777654485942E-2</v>
      </c>
    </row>
    <row r="10770" spans="1:9" x14ac:dyDescent="0.25">
      <c r="A10770">
        <v>417</v>
      </c>
      <c r="B10770" t="s">
        <v>3215</v>
      </c>
      <c r="C10770" t="s">
        <v>10</v>
      </c>
      <c r="D10770" t="s">
        <v>444</v>
      </c>
      <c r="E10770">
        <f>2/133</f>
        <v>1.5037593984962405E-2</v>
      </c>
      <c r="F10770">
        <v>28</v>
      </c>
      <c r="G10770">
        <f>LOG(382/(28+1))</f>
        <v>1.1196653650127526</v>
      </c>
      <c r="H10770">
        <f>0.0150375939849624*2.5781247786201</f>
        <v>3.876879366346013E-2</v>
      </c>
      <c r="I10770">
        <v>3.8768793663460158E-2</v>
      </c>
    </row>
    <row r="10771" spans="1:9" x14ac:dyDescent="0.25">
      <c r="A10771">
        <v>417</v>
      </c>
      <c r="B10771" t="s">
        <v>3215</v>
      </c>
      <c r="C10771" t="s">
        <v>10</v>
      </c>
      <c r="D10771" t="s">
        <v>445</v>
      </c>
      <c r="E10771">
        <f>2/133</f>
        <v>1.5037593984962405E-2</v>
      </c>
      <c r="F10771">
        <v>35</v>
      </c>
      <c r="G10771">
        <f>LOG(382/(35+1))</f>
        <v>1.0257608621444214</v>
      </c>
      <c r="H10771">
        <f>0.0150375939849624*2.36190167015046</f>
        <v>3.5517318348127207E-2</v>
      </c>
      <c r="I10771">
        <v>3.551731834812729E-2</v>
      </c>
    </row>
    <row r="10772" spans="1:9" x14ac:dyDescent="0.25">
      <c r="A10772">
        <v>417</v>
      </c>
      <c r="B10772" t="s">
        <v>3215</v>
      </c>
      <c r="C10772" t="s">
        <v>10</v>
      </c>
      <c r="D10772" t="s">
        <v>1073</v>
      </c>
      <c r="E10772">
        <f>1/133</f>
        <v>7.5187969924812026E-3</v>
      </c>
      <c r="F10772">
        <v>25</v>
      </c>
      <c r="G10772">
        <f>LOG(382/(25+1))</f>
        <v>1.1670900149408907</v>
      </c>
      <c r="H10772">
        <f>0.0075187969924812*2.68732407058509</f>
        <v>2.0205444139737513E-2</v>
      </c>
      <c r="I10772">
        <v>2.020544413973754E-2</v>
      </c>
    </row>
    <row r="10773" spans="1:9" x14ac:dyDescent="0.25">
      <c r="A10773">
        <v>417</v>
      </c>
      <c r="B10773" t="s">
        <v>3215</v>
      </c>
      <c r="C10773" t="s">
        <v>10</v>
      </c>
      <c r="D10773" t="s">
        <v>848</v>
      </c>
      <c r="E10773">
        <f>1/133</f>
        <v>7.5187969924812026E-3</v>
      </c>
      <c r="F10773">
        <v>6</v>
      </c>
      <c r="G10773">
        <f>LOG(382/(6+1))</f>
        <v>1.736965322897452</v>
      </c>
      <c r="H10773">
        <f>0.0075187969924812*3.99951045955126</f>
        <v>3.0071507214671115E-2</v>
      </c>
      <c r="I10773">
        <v>3.0071507214671139E-2</v>
      </c>
    </row>
    <row r="10774" spans="1:9" x14ac:dyDescent="0.25">
      <c r="A10774">
        <v>417</v>
      </c>
      <c r="B10774" t="s">
        <v>3215</v>
      </c>
      <c r="C10774" t="s">
        <v>10</v>
      </c>
      <c r="D10774" t="s">
        <v>3234</v>
      </c>
      <c r="E10774">
        <f>1/133</f>
        <v>7.5187969924812026E-3</v>
      </c>
      <c r="F10774">
        <v>1</v>
      </c>
      <c r="G10774">
        <f>LOG(382/(1+1))</f>
        <v>2.2810333672477277</v>
      </c>
      <c r="H10774">
        <f>0.0075187969924812*5.25227342804663</f>
        <v>3.9490777654485922E-2</v>
      </c>
      <c r="I10774">
        <v>3.9490777654485942E-2</v>
      </c>
    </row>
    <row r="10775" spans="1:9" x14ac:dyDescent="0.25">
      <c r="A10775">
        <v>417</v>
      </c>
      <c r="B10775" t="s">
        <v>3215</v>
      </c>
      <c r="C10775" t="s">
        <v>10</v>
      </c>
      <c r="D10775" t="s">
        <v>1626</v>
      </c>
      <c r="E10775">
        <f>1/133</f>
        <v>7.5187969924812026E-3</v>
      </c>
      <c r="F10775">
        <v>32</v>
      </c>
      <c r="G10775">
        <f>LOG(382/(32+1))</f>
        <v>1.0635494230338212</v>
      </c>
      <c r="H10775">
        <f>0.0075187969924812*2.44891304714009</f>
        <v>1.8412880053684882E-2</v>
      </c>
      <c r="I10775">
        <v>1.8412880053684921E-2</v>
      </c>
    </row>
    <row r="10776" spans="1:9" x14ac:dyDescent="0.25">
      <c r="A10776">
        <v>417</v>
      </c>
      <c r="B10776" t="s">
        <v>3215</v>
      </c>
      <c r="C10776" t="s">
        <v>10</v>
      </c>
      <c r="D10776" t="s">
        <v>237</v>
      </c>
      <c r="E10776">
        <f>2/133</f>
        <v>1.5037593984962405E-2</v>
      </c>
      <c r="F10776">
        <v>138</v>
      </c>
      <c r="G10776">
        <f>LOG(382/(138+1))</f>
        <v>0.43904856265761361</v>
      </c>
      <c r="H10776">
        <f>0.0150375939849624*1.01094667547588</f>
        <v>1.5202205646253828E-2</v>
      </c>
      <c r="I10776">
        <v>1.520220564625388E-2</v>
      </c>
    </row>
    <row r="10777" spans="1:9" x14ac:dyDescent="0.25">
      <c r="A10777">
        <v>417</v>
      </c>
      <c r="B10777" t="s">
        <v>3215</v>
      </c>
      <c r="C10777" t="s">
        <v>10</v>
      </c>
      <c r="D10777" t="s">
        <v>693</v>
      </c>
      <c r="E10777">
        <f>1/133</f>
        <v>7.5187969924812026E-3</v>
      </c>
      <c r="F10777">
        <v>25</v>
      </c>
      <c r="G10777">
        <f>LOG(382/(25+1))</f>
        <v>1.1670900149408907</v>
      </c>
      <c r="H10777">
        <f>0.0075187969924812*2.68732407058509</f>
        <v>2.0205444139737513E-2</v>
      </c>
      <c r="I10777">
        <v>2.020544413973754E-2</v>
      </c>
    </row>
    <row r="10778" spans="1:9" x14ac:dyDescent="0.25">
      <c r="A10778">
        <v>417</v>
      </c>
      <c r="B10778" t="s">
        <v>3215</v>
      </c>
      <c r="C10778" t="s">
        <v>10</v>
      </c>
      <c r="D10778" t="s">
        <v>437</v>
      </c>
      <c r="E10778">
        <f>1/133</f>
        <v>7.5187969924812026E-3</v>
      </c>
      <c r="F10778">
        <v>18</v>
      </c>
      <c r="G10778">
        <f>LOG(382/(18+1))</f>
        <v>1.3033097619588798</v>
      </c>
      <c r="H10778">
        <f>0.0075187969924812*3.00098162944013</f>
        <v>2.2563771649925783E-2</v>
      </c>
      <c r="I10778">
        <v>2.2563771649925821E-2</v>
      </c>
    </row>
    <row r="10779" spans="1:9" x14ac:dyDescent="0.25">
      <c r="A10779">
        <v>417</v>
      </c>
      <c r="B10779" t="s">
        <v>3215</v>
      </c>
      <c r="C10779" t="s">
        <v>10</v>
      </c>
      <c r="D10779" t="s">
        <v>133</v>
      </c>
      <c r="E10779">
        <f>1/133</f>
        <v>7.5187969924812026E-3</v>
      </c>
      <c r="F10779">
        <v>142</v>
      </c>
      <c r="G10779">
        <f>LOG(382/(142+1))</f>
        <v>0.42672732544664693</v>
      </c>
      <c r="H10779">
        <f>0.0075187969924812*0.982575978346667</f>
        <v>7.3877893108771926E-3</v>
      </c>
      <c r="I10779">
        <v>7.3877893108772021E-3</v>
      </c>
    </row>
    <row r="10780" spans="1:9" x14ac:dyDescent="0.25">
      <c r="A10780">
        <v>417</v>
      </c>
      <c r="B10780" t="s">
        <v>3215</v>
      </c>
      <c r="C10780" t="s">
        <v>10</v>
      </c>
      <c r="D10780" t="s">
        <v>76</v>
      </c>
      <c r="E10780">
        <f>1/133</f>
        <v>7.5187969924812026E-3</v>
      </c>
      <c r="F10780">
        <v>140</v>
      </c>
      <c r="G10780">
        <f>LOG(382/(140+1))</f>
        <v>0.43284425025632883</v>
      </c>
      <c r="H10780">
        <f>0.0075187969924812*0.996660718228407</f>
        <v>7.4936896107398992E-3</v>
      </c>
      <c r="I10780">
        <v>7.4936896107399018E-3</v>
      </c>
    </row>
    <row r="10781" spans="1:9" x14ac:dyDescent="0.25">
      <c r="A10781">
        <v>417</v>
      </c>
      <c r="B10781" t="s">
        <v>3215</v>
      </c>
      <c r="C10781" t="s">
        <v>10</v>
      </c>
      <c r="D10781" t="s">
        <v>78</v>
      </c>
      <c r="E10781">
        <f>1/133</f>
        <v>7.5187969924812026E-3</v>
      </c>
      <c r="F10781">
        <v>122</v>
      </c>
      <c r="G10781">
        <f>LOG(382/(122+1))</f>
        <v>0.49215825147231079</v>
      </c>
      <c r="H10781">
        <f>0.0075187969924812*1.13323625323415</f>
        <v>8.5205733325875912E-3</v>
      </c>
      <c r="I10781">
        <v>8.5205733325876502E-3</v>
      </c>
    </row>
    <row r="10782" spans="1:9" x14ac:dyDescent="0.25">
      <c r="A10782">
        <v>417</v>
      </c>
      <c r="B10782" t="s">
        <v>3215</v>
      </c>
      <c r="C10782" t="s">
        <v>10</v>
      </c>
      <c r="D10782" t="s">
        <v>754</v>
      </c>
      <c r="E10782">
        <f>2/133</f>
        <v>1.5037593984962405E-2</v>
      </c>
      <c r="F10782">
        <v>111</v>
      </c>
      <c r="G10782">
        <f>LOG(382/(111+1))</f>
        <v>0.53284534024152708</v>
      </c>
      <c r="H10782">
        <f>0.0150375939849624*1.22692173731148</f>
        <v>1.8449950937014729E-2</v>
      </c>
      <c r="I10782">
        <v>1.844995093701475E-2</v>
      </c>
    </row>
    <row r="10783" spans="1:9" x14ac:dyDescent="0.25">
      <c r="A10783">
        <v>417</v>
      </c>
      <c r="B10783" t="s">
        <v>3215</v>
      </c>
      <c r="C10783" t="s">
        <v>10</v>
      </c>
      <c r="D10783" t="s">
        <v>2249</v>
      </c>
      <c r="E10783">
        <f t="shared" ref="E10783:E10796" si="505">1/133</f>
        <v>7.5187969924812026E-3</v>
      </c>
      <c r="F10783">
        <v>2</v>
      </c>
      <c r="G10783">
        <f>LOG(382/(2+1))</f>
        <v>2.1049421081920463</v>
      </c>
      <c r="H10783">
        <f>0.0075187969924812*4.84680831993846</f>
        <v>3.6442167819086151E-2</v>
      </c>
      <c r="I10783">
        <v>3.6442167819086213E-2</v>
      </c>
    </row>
    <row r="10784" spans="1:9" x14ac:dyDescent="0.25">
      <c r="A10784">
        <v>417</v>
      </c>
      <c r="B10784" t="s">
        <v>3215</v>
      </c>
      <c r="C10784" t="s">
        <v>10</v>
      </c>
      <c r="D10784" t="s">
        <v>3235</v>
      </c>
      <c r="E10784">
        <f t="shared" si="505"/>
        <v>7.5187969924812026E-3</v>
      </c>
      <c r="F10784">
        <v>1</v>
      </c>
      <c r="G10784">
        <f>LOG(382/(1+1))</f>
        <v>2.2810333672477277</v>
      </c>
      <c r="H10784">
        <f>0.0075187969924812*5.25227342804663</f>
        <v>3.9490777654485922E-2</v>
      </c>
      <c r="I10784">
        <v>3.9490777654485942E-2</v>
      </c>
    </row>
    <row r="10785" spans="1:9" x14ac:dyDescent="0.25">
      <c r="A10785">
        <v>417</v>
      </c>
      <c r="B10785" t="s">
        <v>3215</v>
      </c>
      <c r="C10785" t="s">
        <v>10</v>
      </c>
      <c r="D10785" t="s">
        <v>596</v>
      </c>
      <c r="E10785">
        <f t="shared" si="505"/>
        <v>7.5187969924812026E-3</v>
      </c>
      <c r="F10785">
        <v>60</v>
      </c>
      <c r="G10785">
        <f>LOG(382/(60+1))</f>
        <v>0.79673352790094176</v>
      </c>
      <c r="H10785">
        <f>0.0075187969924812*1.83454674443326</f>
        <v>1.3793584544610972E-2</v>
      </c>
      <c r="I10785">
        <v>1.379358454461101E-2</v>
      </c>
    </row>
    <row r="10786" spans="1:9" x14ac:dyDescent="0.25">
      <c r="A10786">
        <v>417</v>
      </c>
      <c r="B10786" t="s">
        <v>3215</v>
      </c>
      <c r="C10786" t="s">
        <v>10</v>
      </c>
      <c r="D10786" t="s">
        <v>597</v>
      </c>
      <c r="E10786">
        <f t="shared" si="505"/>
        <v>7.5187969924812026E-3</v>
      </c>
      <c r="F10786">
        <v>51</v>
      </c>
      <c r="G10786">
        <f>LOG(382/(51+1))</f>
        <v>0.86606001927690957</v>
      </c>
      <c r="H10786">
        <f>0.0075187969924812*1.99417689002514</f>
        <v>1.4993811203196535E-2</v>
      </c>
      <c r="I10786">
        <v>1.4993811203196599E-2</v>
      </c>
    </row>
    <row r="10787" spans="1:9" x14ac:dyDescent="0.25">
      <c r="A10787">
        <v>417</v>
      </c>
      <c r="B10787" t="s">
        <v>3215</v>
      </c>
      <c r="C10787" t="s">
        <v>10</v>
      </c>
      <c r="D10787" t="s">
        <v>1953</v>
      </c>
      <c r="E10787">
        <f t="shared" si="505"/>
        <v>7.5187969924812026E-3</v>
      </c>
      <c r="F10787">
        <v>11</v>
      </c>
      <c r="G10787">
        <f>LOG(382/(11+1))</f>
        <v>1.5028821168640838</v>
      </c>
      <c r="H10787">
        <f>0.0075187969924812*3.46051395881857</f>
        <v>2.6018901946004275E-2</v>
      </c>
      <c r="I10787">
        <v>2.6018901946004321E-2</v>
      </c>
    </row>
    <row r="10788" spans="1:9" x14ac:dyDescent="0.25">
      <c r="A10788">
        <v>417</v>
      </c>
      <c r="B10788" t="s">
        <v>3215</v>
      </c>
      <c r="C10788" t="s">
        <v>10</v>
      </c>
      <c r="D10788" t="s">
        <v>243</v>
      </c>
      <c r="E10788">
        <f t="shared" si="505"/>
        <v>7.5187969924812026E-3</v>
      </c>
      <c r="F10788">
        <v>131</v>
      </c>
      <c r="G10788">
        <f>LOG(382/(131+1))</f>
        <v>0.46148943170585888</v>
      </c>
      <c r="H10788">
        <f>0.0075187969924812*1.0626186860202</f>
        <v>7.9896141806030038E-3</v>
      </c>
      <c r="I10788">
        <v>7.9896141806030385E-3</v>
      </c>
    </row>
    <row r="10789" spans="1:9" x14ac:dyDescent="0.25">
      <c r="A10789">
        <v>417</v>
      </c>
      <c r="B10789" t="s">
        <v>3215</v>
      </c>
      <c r="C10789" t="s">
        <v>10</v>
      </c>
      <c r="D10789" t="s">
        <v>887</v>
      </c>
      <c r="E10789">
        <f t="shared" si="505"/>
        <v>7.5187969924812026E-3</v>
      </c>
      <c r="F10789">
        <v>12</v>
      </c>
      <c r="G10789">
        <f>LOG(382/(12+1))</f>
        <v>1.468120010604872</v>
      </c>
      <c r="H10789">
        <f>0.0075187969924812*3.38047125114503</f>
        <v>2.541707707627841E-2</v>
      </c>
      <c r="I10789">
        <v>2.541707707627848E-2</v>
      </c>
    </row>
    <row r="10790" spans="1:9" x14ac:dyDescent="0.25">
      <c r="A10790">
        <v>417</v>
      </c>
      <c r="B10790" t="s">
        <v>3215</v>
      </c>
      <c r="C10790" t="s">
        <v>10</v>
      </c>
      <c r="D10790" t="s">
        <v>888</v>
      </c>
      <c r="E10790">
        <f t="shared" si="505"/>
        <v>7.5187969924812026E-3</v>
      </c>
      <c r="F10790">
        <v>21</v>
      </c>
      <c r="G10790">
        <f>LOG(382/(21+1))</f>
        <v>1.2396406820895025</v>
      </c>
      <c r="H10790">
        <f>0.0075187969924812*2.85437815524825</f>
        <v>2.1461489889084577E-2</v>
      </c>
      <c r="I10790">
        <v>2.146148988908465E-2</v>
      </c>
    </row>
    <row r="10791" spans="1:9" x14ac:dyDescent="0.25">
      <c r="A10791">
        <v>417</v>
      </c>
      <c r="B10791" t="s">
        <v>3215</v>
      </c>
      <c r="C10791" t="s">
        <v>10</v>
      </c>
      <c r="D10791" t="s">
        <v>263</v>
      </c>
      <c r="E10791">
        <f t="shared" si="505"/>
        <v>7.5187969924812026E-3</v>
      </c>
      <c r="F10791">
        <v>41</v>
      </c>
      <c r="G10791">
        <f>LOG(382/(41+1))</f>
        <v>0.95881407251380824</v>
      </c>
      <c r="H10791">
        <f>0.0075187969924812*2.2077509903232</f>
        <v>1.6599631506189469E-2</v>
      </c>
      <c r="I10791">
        <v>1.6599631506189521E-2</v>
      </c>
    </row>
    <row r="10792" spans="1:9" x14ac:dyDescent="0.25">
      <c r="A10792">
        <v>417</v>
      </c>
      <c r="B10792" t="s">
        <v>3215</v>
      </c>
      <c r="C10792" t="s">
        <v>10</v>
      </c>
      <c r="D10792" t="s">
        <v>471</v>
      </c>
      <c r="E10792">
        <f t="shared" si="505"/>
        <v>7.5187969924812026E-3</v>
      </c>
      <c r="F10792">
        <v>7</v>
      </c>
      <c r="G10792">
        <f>LOG(382/(7+1))</f>
        <v>1.6789733759197651</v>
      </c>
      <c r="H10792">
        <f>0.0075187969924812*3.86597906692673</f>
        <v>2.9067511781403974E-2</v>
      </c>
      <c r="I10792">
        <v>2.906751178140405E-2</v>
      </c>
    </row>
    <row r="10793" spans="1:9" x14ac:dyDescent="0.25">
      <c r="A10793">
        <v>417</v>
      </c>
      <c r="B10793" t="s">
        <v>3215</v>
      </c>
      <c r="C10793" t="s">
        <v>10</v>
      </c>
      <c r="D10793" t="s">
        <v>53</v>
      </c>
      <c r="E10793">
        <f t="shared" si="505"/>
        <v>7.5187969924812026E-3</v>
      </c>
      <c r="F10793">
        <v>57</v>
      </c>
      <c r="G10793">
        <f>LOG(382/(57+1))</f>
        <v>0.81863536934877146</v>
      </c>
      <c r="H10793">
        <f>0.0075187969924812*1.88497759806015</f>
        <v>1.4172763895189093E-2</v>
      </c>
      <c r="I10793">
        <v>1.417276389518914E-2</v>
      </c>
    </row>
    <row r="10794" spans="1:9" x14ac:dyDescent="0.25">
      <c r="A10794">
        <v>417</v>
      </c>
      <c r="B10794" t="s">
        <v>3215</v>
      </c>
      <c r="C10794" t="s">
        <v>10</v>
      </c>
      <c r="D10794" t="s">
        <v>313</v>
      </c>
      <c r="E10794">
        <f t="shared" si="505"/>
        <v>7.5187969924812026E-3</v>
      </c>
      <c r="F10794">
        <v>13</v>
      </c>
      <c r="G10794">
        <f>LOG(382/(13+1))</f>
        <v>1.4359353272334707</v>
      </c>
      <c r="H10794">
        <f>0.0075187969924812*3.30636327899131</f>
        <v>2.4859874278130141E-2</v>
      </c>
      <c r="I10794">
        <v>2.48598742781302E-2</v>
      </c>
    </row>
    <row r="10795" spans="1:9" x14ac:dyDescent="0.25">
      <c r="A10795">
        <v>417</v>
      </c>
      <c r="B10795" t="s">
        <v>3215</v>
      </c>
      <c r="C10795" t="s">
        <v>10</v>
      </c>
      <c r="D10795" t="s">
        <v>195</v>
      </c>
      <c r="E10795">
        <f t="shared" si="505"/>
        <v>7.5187969924812026E-3</v>
      </c>
      <c r="F10795">
        <v>55</v>
      </c>
      <c r="G10795">
        <f>LOG(382/(55+1))</f>
        <v>0.83387533590550833</v>
      </c>
      <c r="H10795">
        <f>0.0075187969924812*1.92006891787142</f>
        <v>1.4436608405048266E-2</v>
      </c>
      <c r="I10795">
        <v>1.4436608405048309E-2</v>
      </c>
    </row>
    <row r="10796" spans="1:9" x14ac:dyDescent="0.25">
      <c r="A10796">
        <v>417</v>
      </c>
      <c r="B10796" t="s">
        <v>3215</v>
      </c>
      <c r="C10796" t="s">
        <v>10</v>
      </c>
      <c r="D10796" t="s">
        <v>676</v>
      </c>
      <c r="E10796">
        <f t="shared" si="505"/>
        <v>7.5187969924812026E-3</v>
      </c>
      <c r="F10796">
        <v>20</v>
      </c>
      <c r="G10796">
        <f>LOG(382/(20+1))</f>
        <v>1.2598440681777894</v>
      </c>
      <c r="H10796">
        <f>0.0075187969924812*2.90089817088315</f>
        <v>2.1811264442730443E-2</v>
      </c>
      <c r="I10796">
        <v>2.1811264442730471E-2</v>
      </c>
    </row>
    <row r="10797" spans="1:9" x14ac:dyDescent="0.25">
      <c r="A10797">
        <v>418</v>
      </c>
      <c r="B10797" t="s">
        <v>3236</v>
      </c>
      <c r="C10797" t="s">
        <v>48</v>
      </c>
      <c r="D10797" t="s">
        <v>49</v>
      </c>
      <c r="E10797">
        <f>2/27</f>
        <v>7.407407407407407E-2</v>
      </c>
      <c r="F10797">
        <v>13</v>
      </c>
      <c r="G10797">
        <f>LOG(382/(13+1))</f>
        <v>1.4359353272334707</v>
      </c>
      <c r="H10797">
        <f>0.074074074074074*3.30636327899131</f>
        <v>0.24491579844380051</v>
      </c>
      <c r="I10797">
        <v>0.24491579844380121</v>
      </c>
    </row>
    <row r="10798" spans="1:9" x14ac:dyDescent="0.25">
      <c r="A10798">
        <v>418</v>
      </c>
      <c r="B10798" t="s">
        <v>3236</v>
      </c>
      <c r="C10798" t="s">
        <v>48</v>
      </c>
      <c r="D10798" t="s">
        <v>3237</v>
      </c>
      <c r="E10798">
        <f>1/27</f>
        <v>3.7037037037037035E-2</v>
      </c>
      <c r="F10798">
        <v>1</v>
      </c>
      <c r="G10798">
        <f>LOG(382/(1+1))</f>
        <v>2.2810333672477277</v>
      </c>
      <c r="H10798">
        <f>0.037037037037037*5.25227342804663</f>
        <v>0.19452864548320833</v>
      </c>
      <c r="I10798">
        <v>0.1945286454832085</v>
      </c>
    </row>
    <row r="10799" spans="1:9" x14ac:dyDescent="0.25">
      <c r="A10799">
        <v>418</v>
      </c>
      <c r="B10799" t="s">
        <v>3236</v>
      </c>
      <c r="C10799" t="s">
        <v>48</v>
      </c>
      <c r="D10799" t="s">
        <v>368</v>
      </c>
      <c r="E10799">
        <f>3/27</f>
        <v>0.1111111111111111</v>
      </c>
      <c r="F10799">
        <v>17</v>
      </c>
      <c r="G10799">
        <f>LOG(382/(17+1))</f>
        <v>1.3267908578084027</v>
      </c>
      <c r="H10799">
        <f>0.111111111111111*3.05504885071041</f>
        <v>0.33944987230115631</v>
      </c>
      <c r="I10799">
        <v>0.3394498723011567</v>
      </c>
    </row>
    <row r="10800" spans="1:9" x14ac:dyDescent="0.25">
      <c r="A10800">
        <v>418</v>
      </c>
      <c r="B10800" t="s">
        <v>3236</v>
      </c>
      <c r="C10800" t="s">
        <v>48</v>
      </c>
      <c r="D10800" t="s">
        <v>3238</v>
      </c>
      <c r="E10800">
        <f t="shared" ref="E10800:E10820" si="506">1/27</f>
        <v>3.7037037037037035E-2</v>
      </c>
      <c r="F10800">
        <v>2</v>
      </c>
      <c r="G10800">
        <f>LOG(382/(2+1))</f>
        <v>2.1049421081920463</v>
      </c>
      <c r="H10800">
        <f>0.037037037037037*4.84680831993846</f>
        <v>0.17951141925697983</v>
      </c>
      <c r="I10800">
        <v>0.17951141925698019</v>
      </c>
    </row>
    <row r="10801" spans="1:9" x14ac:dyDescent="0.25">
      <c r="A10801">
        <v>418</v>
      </c>
      <c r="B10801" t="s">
        <v>3236</v>
      </c>
      <c r="C10801" t="s">
        <v>48</v>
      </c>
      <c r="D10801" t="s">
        <v>597</v>
      </c>
      <c r="E10801">
        <f t="shared" si="506"/>
        <v>3.7037037037037035E-2</v>
      </c>
      <c r="F10801">
        <v>51</v>
      </c>
      <c r="G10801">
        <f>LOG(382/(51+1))</f>
        <v>0.86606001927690957</v>
      </c>
      <c r="H10801">
        <f>0.037037037037037*1.99417689002514</f>
        <v>7.3858403334264369E-2</v>
      </c>
      <c r="I10801">
        <v>7.385840333426473E-2</v>
      </c>
    </row>
    <row r="10802" spans="1:9" x14ac:dyDescent="0.25">
      <c r="A10802">
        <v>418</v>
      </c>
      <c r="B10802" t="s">
        <v>3236</v>
      </c>
      <c r="C10802" t="s">
        <v>48</v>
      </c>
      <c r="D10802" t="s">
        <v>3239</v>
      </c>
      <c r="E10802">
        <f t="shared" si="506"/>
        <v>3.7037037037037035E-2</v>
      </c>
      <c r="F10802">
        <v>1</v>
      </c>
      <c r="G10802">
        <f>LOG(382/(1+1))</f>
        <v>2.2810333672477277</v>
      </c>
      <c r="H10802">
        <f>0.037037037037037*5.25227342804663</f>
        <v>0.19452864548320833</v>
      </c>
      <c r="I10802">
        <v>0.1945286454832085</v>
      </c>
    </row>
    <row r="10803" spans="1:9" x14ac:dyDescent="0.25">
      <c r="A10803">
        <v>418</v>
      </c>
      <c r="B10803" t="s">
        <v>3236</v>
      </c>
      <c r="C10803" t="s">
        <v>48</v>
      </c>
      <c r="D10803" t="s">
        <v>3240</v>
      </c>
      <c r="E10803">
        <f t="shared" si="506"/>
        <v>3.7037037037037035E-2</v>
      </c>
      <c r="F10803">
        <v>1</v>
      </c>
      <c r="G10803">
        <f>LOG(382/(1+1))</f>
        <v>2.2810333672477277</v>
      </c>
      <c r="H10803">
        <f>0.037037037037037*5.25227342804663</f>
        <v>0.19452864548320833</v>
      </c>
      <c r="I10803">
        <v>0.1945286454832085</v>
      </c>
    </row>
    <row r="10804" spans="1:9" x14ac:dyDescent="0.25">
      <c r="A10804">
        <v>418</v>
      </c>
      <c r="B10804" t="s">
        <v>3236</v>
      </c>
      <c r="C10804" t="s">
        <v>48</v>
      </c>
      <c r="D10804" t="s">
        <v>1858</v>
      </c>
      <c r="E10804">
        <f t="shared" si="506"/>
        <v>3.7037037037037035E-2</v>
      </c>
      <c r="F10804">
        <v>6</v>
      </c>
      <c r="G10804">
        <f>LOG(382/(6+1))</f>
        <v>1.736965322897452</v>
      </c>
      <c r="H10804">
        <f>0.037037037037037*3.99951045955126</f>
        <v>0.14813001702041689</v>
      </c>
      <c r="I10804">
        <v>0.14813001702041709</v>
      </c>
    </row>
    <row r="10805" spans="1:9" x14ac:dyDescent="0.25">
      <c r="A10805">
        <v>418</v>
      </c>
      <c r="B10805" t="s">
        <v>3236</v>
      </c>
      <c r="C10805" t="s">
        <v>48</v>
      </c>
      <c r="D10805" t="s">
        <v>1497</v>
      </c>
      <c r="E10805">
        <f t="shared" si="506"/>
        <v>3.7037037037037035E-2</v>
      </c>
      <c r="F10805">
        <v>3</v>
      </c>
      <c r="G10805">
        <f>LOG(382/(3+1))</f>
        <v>1.9800033715837464</v>
      </c>
      <c r="H10805">
        <f>0.037037037037037*4.55912624748668</f>
        <v>0.1688565276846917</v>
      </c>
      <c r="I10805">
        <v>0.168856527684692</v>
      </c>
    </row>
    <row r="10806" spans="1:9" x14ac:dyDescent="0.25">
      <c r="A10806">
        <v>418</v>
      </c>
      <c r="B10806" t="s">
        <v>3236</v>
      </c>
      <c r="C10806" t="s">
        <v>48</v>
      </c>
      <c r="D10806" t="s">
        <v>625</v>
      </c>
      <c r="E10806">
        <f t="shared" si="506"/>
        <v>3.7037037037037035E-2</v>
      </c>
      <c r="F10806">
        <v>5</v>
      </c>
      <c r="G10806">
        <f>LOG(382/(5+1))</f>
        <v>1.803912112528065</v>
      </c>
      <c r="H10806">
        <f>0.037037037037037*4.15366113937852</f>
        <v>0.15383930145846356</v>
      </c>
      <c r="I10806">
        <v>0.1538393014584637</v>
      </c>
    </row>
    <row r="10807" spans="1:9" x14ac:dyDescent="0.25">
      <c r="A10807">
        <v>418</v>
      </c>
      <c r="B10807" t="s">
        <v>3236</v>
      </c>
      <c r="C10807" t="s">
        <v>48</v>
      </c>
      <c r="D10807" t="s">
        <v>1496</v>
      </c>
      <c r="E10807">
        <f t="shared" si="506"/>
        <v>3.7037037037037035E-2</v>
      </c>
      <c r="F10807">
        <v>39</v>
      </c>
      <c r="G10807">
        <f>LOG(382/(39+1))</f>
        <v>0.9800033715837464</v>
      </c>
      <c r="H10807">
        <f>0.037037037037037*2.25654115449263</f>
        <v>8.3575598314541769E-2</v>
      </c>
      <c r="I10807">
        <v>8.3575598314542185E-2</v>
      </c>
    </row>
    <row r="10808" spans="1:9" x14ac:dyDescent="0.25">
      <c r="A10808">
        <v>418</v>
      </c>
      <c r="B10808" t="s">
        <v>3236</v>
      </c>
      <c r="C10808" t="s">
        <v>48</v>
      </c>
      <c r="D10808" t="s">
        <v>1331</v>
      </c>
      <c r="E10808">
        <f t="shared" si="506"/>
        <v>3.7037037037037035E-2</v>
      </c>
      <c r="F10808">
        <v>4</v>
      </c>
      <c r="G10808">
        <f>LOG(382/(4+1))</f>
        <v>1.8830933585756899</v>
      </c>
      <c r="H10808">
        <f>0.037037037037037*4.33598269617247</f>
        <v>0.16059195171009133</v>
      </c>
      <c r="I10808">
        <v>0.16059195171009169</v>
      </c>
    </row>
    <row r="10809" spans="1:9" x14ac:dyDescent="0.25">
      <c r="A10809">
        <v>418</v>
      </c>
      <c r="B10809" t="s">
        <v>3236</v>
      </c>
      <c r="C10809" t="s">
        <v>48</v>
      </c>
      <c r="D10809" t="s">
        <v>103</v>
      </c>
      <c r="E10809">
        <f t="shared" si="506"/>
        <v>3.7037037037037035E-2</v>
      </c>
      <c r="F10809">
        <v>38</v>
      </c>
      <c r="G10809">
        <f>LOG(382/(38+1))</f>
        <v>0.99099875588520958</v>
      </c>
      <c r="H10809">
        <f>0.037037037037037*2.28185896247692</f>
        <v>8.4513294906552516E-2</v>
      </c>
      <c r="I10809">
        <v>8.4513294906552919E-2</v>
      </c>
    </row>
    <row r="10810" spans="1:9" x14ac:dyDescent="0.25">
      <c r="A10810">
        <v>418</v>
      </c>
      <c r="B10810" t="s">
        <v>3236</v>
      </c>
      <c r="C10810" t="s">
        <v>48</v>
      </c>
      <c r="D10810" t="s">
        <v>3241</v>
      </c>
      <c r="E10810">
        <f t="shared" si="506"/>
        <v>3.7037037037037035E-2</v>
      </c>
      <c r="F10810">
        <v>9</v>
      </c>
      <c r="G10810">
        <f>LOG(382/(9+1))</f>
        <v>1.5820633629117087</v>
      </c>
      <c r="H10810">
        <f>0.037037037037037*3.64283551561252</f>
        <v>0.13491983391157469</v>
      </c>
      <c r="I10810">
        <v>0.13491983391157519</v>
      </c>
    </row>
    <row r="10811" spans="1:9" x14ac:dyDescent="0.25">
      <c r="A10811">
        <v>418</v>
      </c>
      <c r="B10811" t="s">
        <v>3236</v>
      </c>
      <c r="C10811" t="s">
        <v>48</v>
      </c>
      <c r="D10811" t="s">
        <v>3242</v>
      </c>
      <c r="E10811">
        <f t="shared" si="506"/>
        <v>3.7037037037037035E-2</v>
      </c>
      <c r="F10811">
        <v>1</v>
      </c>
      <c r="G10811">
        <f>LOG(382/(1+1))</f>
        <v>2.2810333672477277</v>
      </c>
      <c r="H10811">
        <f>0.037037037037037*5.25227342804663</f>
        <v>0.19452864548320833</v>
      </c>
      <c r="I10811">
        <v>0.1945286454832085</v>
      </c>
    </row>
    <row r="10812" spans="1:9" x14ac:dyDescent="0.25">
      <c r="A10812">
        <v>418</v>
      </c>
      <c r="B10812" t="s">
        <v>3236</v>
      </c>
      <c r="C10812" t="s">
        <v>48</v>
      </c>
      <c r="D10812" t="s">
        <v>15</v>
      </c>
      <c r="E10812">
        <f t="shared" si="506"/>
        <v>3.7037037037037035E-2</v>
      </c>
      <c r="F10812">
        <v>112</v>
      </c>
      <c r="G10812">
        <f>LOG(382/(112+1))</f>
        <v>0.52898491942828896</v>
      </c>
      <c r="H10812">
        <f>0.037037037037037*1.21803278989423</f>
        <v>4.5112325551638105E-2</v>
      </c>
      <c r="I10812">
        <v>4.511232555163832E-2</v>
      </c>
    </row>
    <row r="10813" spans="1:9" x14ac:dyDescent="0.25">
      <c r="A10813">
        <v>418</v>
      </c>
      <c r="B10813" t="s">
        <v>3236</v>
      </c>
      <c r="C10813" t="s">
        <v>48</v>
      </c>
      <c r="D10813" t="s">
        <v>17</v>
      </c>
      <c r="E10813">
        <f t="shared" si="506"/>
        <v>3.7037037037037035E-2</v>
      </c>
      <c r="F10813">
        <v>169</v>
      </c>
      <c r="G10813">
        <f>LOG(382/(169+1))</f>
        <v>0.3516144415334348</v>
      </c>
      <c r="H10813">
        <f>0.037037037037037*0.809622171556313</f>
        <v>2.998600635393749E-2</v>
      </c>
      <c r="I10813">
        <v>2.9986006353937531E-2</v>
      </c>
    </row>
    <row r="10814" spans="1:9" x14ac:dyDescent="0.25">
      <c r="A10814">
        <v>418</v>
      </c>
      <c r="B10814" t="s">
        <v>3236</v>
      </c>
      <c r="C10814" t="s">
        <v>48</v>
      </c>
      <c r="D10814" t="s">
        <v>168</v>
      </c>
      <c r="E10814">
        <f t="shared" si="506"/>
        <v>3.7037037037037035E-2</v>
      </c>
      <c r="F10814">
        <v>34</v>
      </c>
      <c r="G10814">
        <f>LOG(382/(34+1))</f>
        <v>1.037995318561433</v>
      </c>
      <c r="H10814">
        <f>0.037037037037037*2.39007254711716</f>
        <v>8.8521205448783613E-2</v>
      </c>
      <c r="I10814">
        <v>8.8521205448783752E-2</v>
      </c>
    </row>
    <row r="10815" spans="1:9" x14ac:dyDescent="0.25">
      <c r="A10815">
        <v>418</v>
      </c>
      <c r="B10815" t="s">
        <v>3236</v>
      </c>
      <c r="C10815" t="s">
        <v>48</v>
      </c>
      <c r="D10815" t="s">
        <v>19</v>
      </c>
      <c r="E10815">
        <f t="shared" si="506"/>
        <v>3.7037037037037035E-2</v>
      </c>
      <c r="F10815">
        <v>220</v>
      </c>
      <c r="G10815">
        <f>LOG(382/(220+1))</f>
        <v>0.23767108922659805</v>
      </c>
      <c r="H10815">
        <f>0.037037037037037*0.547257907088822</f>
        <v>2.0268811373660055E-2</v>
      </c>
      <c r="I10815">
        <v>2.026881137366009E-2</v>
      </c>
    </row>
    <row r="10816" spans="1:9" x14ac:dyDescent="0.25">
      <c r="A10816">
        <v>418</v>
      </c>
      <c r="B10816" t="s">
        <v>3236</v>
      </c>
      <c r="C10816" t="s">
        <v>48</v>
      </c>
      <c r="D10816" t="s">
        <v>41</v>
      </c>
      <c r="E10816">
        <f t="shared" si="506"/>
        <v>3.7037037037037035E-2</v>
      </c>
      <c r="F10816">
        <v>195</v>
      </c>
      <c r="G10816">
        <f>LOG(382/(195+1))</f>
        <v>0.28980729155523272</v>
      </c>
      <c r="H10816">
        <f>0.037037037037037*0.667305949376058</f>
        <v>2.4715035162076199E-2</v>
      </c>
      <c r="I10816">
        <v>2.471503516207622E-2</v>
      </c>
    </row>
    <row r="10817" spans="1:9" x14ac:dyDescent="0.25">
      <c r="A10817">
        <v>418</v>
      </c>
      <c r="B10817" t="s">
        <v>3236</v>
      </c>
      <c r="C10817" t="s">
        <v>48</v>
      </c>
      <c r="D10817" t="s">
        <v>44</v>
      </c>
      <c r="E10817">
        <f t="shared" si="506"/>
        <v>3.7037037037037035E-2</v>
      </c>
      <c r="F10817">
        <v>151</v>
      </c>
      <c r="G10817">
        <f>LOG(382/(151+1))</f>
        <v>0.40021977496693617</v>
      </c>
      <c r="H10817">
        <f>0.037037037037037*0.921540087760298</f>
        <v>3.4131114361492486E-2</v>
      </c>
      <c r="I10817">
        <v>3.4131114361492541E-2</v>
      </c>
    </row>
    <row r="10818" spans="1:9" x14ac:dyDescent="0.25">
      <c r="A10818">
        <v>418</v>
      </c>
      <c r="B10818" t="s">
        <v>3236</v>
      </c>
      <c r="C10818" t="s">
        <v>48</v>
      </c>
      <c r="D10818" t="s">
        <v>21</v>
      </c>
      <c r="E10818">
        <f t="shared" si="506"/>
        <v>3.7037037037037035E-2</v>
      </c>
      <c r="F10818">
        <v>14</v>
      </c>
      <c r="G10818">
        <f>LOG(382/(14+1))</f>
        <v>1.4059721038560276</v>
      </c>
      <c r="H10818">
        <f>0.037037037037037*3.23737040750436</f>
        <v>0.11990260768534654</v>
      </c>
      <c r="I10818">
        <v>0.1199026076853469</v>
      </c>
    </row>
    <row r="10819" spans="1:9" x14ac:dyDescent="0.25">
      <c r="A10819">
        <v>418</v>
      </c>
      <c r="B10819" t="s">
        <v>3236</v>
      </c>
      <c r="C10819" t="s">
        <v>48</v>
      </c>
      <c r="D10819" t="s">
        <v>22</v>
      </c>
      <c r="E10819">
        <f t="shared" si="506"/>
        <v>3.7037037037037035E-2</v>
      </c>
      <c r="F10819">
        <v>259</v>
      </c>
      <c r="G10819">
        <f>LOG(382/(259+1))</f>
        <v>0.16709001494089079</v>
      </c>
      <c r="H10819">
        <f>0.037037037037037*0.384738977591047</f>
        <v>1.4249591762631358E-2</v>
      </c>
      <c r="I10819">
        <v>1.4249591762631389E-2</v>
      </c>
    </row>
    <row r="10820" spans="1:9" x14ac:dyDescent="0.25">
      <c r="A10820">
        <v>418</v>
      </c>
      <c r="B10820" t="s">
        <v>3236</v>
      </c>
      <c r="C10820" t="s">
        <v>48</v>
      </c>
      <c r="D10820" t="s">
        <v>23</v>
      </c>
      <c r="E10820">
        <f t="shared" si="506"/>
        <v>3.7037037037037035E-2</v>
      </c>
      <c r="F10820">
        <v>275</v>
      </c>
      <c r="G10820">
        <f>LOG(382/(275+1))</f>
        <v>0.14115428084649101</v>
      </c>
      <c r="H10820">
        <f>0.037037037037037*0.325019742889425</f>
        <v>1.2037768255163877E-2</v>
      </c>
      <c r="I10820">
        <v>1.2037768255163891E-2</v>
      </c>
    </row>
    <row r="10821" spans="1:9" x14ac:dyDescent="0.25">
      <c r="A10821">
        <v>419</v>
      </c>
      <c r="B10821" t="s">
        <v>3243</v>
      </c>
      <c r="C10821" t="s">
        <v>10</v>
      </c>
      <c r="D10821" t="s">
        <v>372</v>
      </c>
      <c r="E10821">
        <f>1/130</f>
        <v>7.6923076923076927E-3</v>
      </c>
      <c r="F10821">
        <v>8</v>
      </c>
      <c r="G10821">
        <f>LOG(382/(8+1))</f>
        <v>1.6278208534723839</v>
      </c>
      <c r="H10821">
        <f>0.00769230769230769*3.74819603127035</f>
        <v>2.8832277163618067E-2</v>
      </c>
      <c r="I10821">
        <v>2.8832277163618119E-2</v>
      </c>
    </row>
    <row r="10822" spans="1:9" x14ac:dyDescent="0.25">
      <c r="A10822">
        <v>419</v>
      </c>
      <c r="B10822" t="s">
        <v>3243</v>
      </c>
      <c r="C10822" t="s">
        <v>10</v>
      </c>
      <c r="D10822" t="s">
        <v>50</v>
      </c>
      <c r="E10822">
        <f>5/130</f>
        <v>3.8461538461538464E-2</v>
      </c>
      <c r="F10822">
        <v>109</v>
      </c>
      <c r="G10822">
        <f>LOG(382/(109+1))</f>
        <v>0.54067067775348365</v>
      </c>
      <c r="H10822">
        <f>0.0384615384615384*1.24494024281415</f>
        <v>4.788231703131339E-2</v>
      </c>
      <c r="I10822">
        <v>4.7882317031313813E-2</v>
      </c>
    </row>
    <row r="10823" spans="1:9" x14ac:dyDescent="0.25">
      <c r="A10823">
        <v>419</v>
      </c>
      <c r="B10823" t="s">
        <v>3243</v>
      </c>
      <c r="C10823" t="s">
        <v>10</v>
      </c>
      <c r="D10823" t="s">
        <v>1704</v>
      </c>
      <c r="E10823">
        <f>1/130</f>
        <v>7.6923076923076927E-3</v>
      </c>
      <c r="F10823">
        <v>4</v>
      </c>
      <c r="G10823">
        <f>LOG(382/(4+1))</f>
        <v>1.8830933585756899</v>
      </c>
      <c r="H10823">
        <f>0.00769230769230769*4.33598269617247</f>
        <v>3.3353713047480534E-2</v>
      </c>
      <c r="I10823">
        <v>3.3353713047480582E-2</v>
      </c>
    </row>
    <row r="10824" spans="1:9" x14ac:dyDescent="0.25">
      <c r="A10824">
        <v>419</v>
      </c>
      <c r="B10824" t="s">
        <v>3243</v>
      </c>
      <c r="C10824" t="s">
        <v>10</v>
      </c>
      <c r="D10824" t="s">
        <v>3244</v>
      </c>
      <c r="E10824">
        <f>4/130</f>
        <v>3.0769230769230771E-2</v>
      </c>
      <c r="F10824">
        <v>1</v>
      </c>
      <c r="G10824">
        <f>LOG(382/(1+1))</f>
        <v>2.2810333672477277</v>
      </c>
      <c r="H10824">
        <f>0.0307692307692307*5.25227342804663</f>
        <v>0.16160841317066518</v>
      </c>
      <c r="I10824">
        <v>0.16160841317066549</v>
      </c>
    </row>
    <row r="10825" spans="1:9" x14ac:dyDescent="0.25">
      <c r="A10825">
        <v>419</v>
      </c>
      <c r="B10825" t="s">
        <v>3243</v>
      </c>
      <c r="C10825" t="s">
        <v>10</v>
      </c>
      <c r="D10825" t="s">
        <v>926</v>
      </c>
      <c r="E10825">
        <f>4/130</f>
        <v>3.0769230769230771E-2</v>
      </c>
      <c r="F10825">
        <v>4</v>
      </c>
      <c r="G10825">
        <f>LOG(382/(4+1))</f>
        <v>1.8830933585756899</v>
      </c>
      <c r="H10825">
        <f>0.0307692307692307*4.33598269617247</f>
        <v>0.13341485218992188</v>
      </c>
      <c r="I10825">
        <v>0.1334148521899223</v>
      </c>
    </row>
    <row r="10826" spans="1:9" x14ac:dyDescent="0.25">
      <c r="A10826">
        <v>419</v>
      </c>
      <c r="B10826" t="s">
        <v>3243</v>
      </c>
      <c r="C10826" t="s">
        <v>10</v>
      </c>
      <c r="D10826" t="s">
        <v>3023</v>
      </c>
      <c r="E10826">
        <f>4/130</f>
        <v>3.0769230769230771E-2</v>
      </c>
      <c r="F10826">
        <v>2</v>
      </c>
      <c r="G10826">
        <f>LOG(382/(2+1))</f>
        <v>2.1049421081920463</v>
      </c>
      <c r="H10826">
        <f>0.0307692307692307*4.84680831993846</f>
        <v>0.14913256369041383</v>
      </c>
      <c r="I10826">
        <v>0.1491325636904143</v>
      </c>
    </row>
    <row r="10827" spans="1:9" x14ac:dyDescent="0.25">
      <c r="A10827">
        <v>419</v>
      </c>
      <c r="B10827" t="s">
        <v>3243</v>
      </c>
      <c r="C10827" t="s">
        <v>10</v>
      </c>
      <c r="D10827" t="s">
        <v>987</v>
      </c>
      <c r="E10827">
        <f>1/130</f>
        <v>7.6923076923076927E-3</v>
      </c>
      <c r="F10827">
        <v>2</v>
      </c>
      <c r="G10827">
        <f>LOG(382/(2+1))</f>
        <v>2.1049421081920463</v>
      </c>
      <c r="H10827">
        <f>0.00769230769230769*4.84680831993846</f>
        <v>3.7283140922603528E-2</v>
      </c>
      <c r="I10827">
        <v>3.7283140922603583E-2</v>
      </c>
    </row>
    <row r="10828" spans="1:9" x14ac:dyDescent="0.25">
      <c r="A10828">
        <v>419</v>
      </c>
      <c r="B10828" t="s">
        <v>3243</v>
      </c>
      <c r="C10828" t="s">
        <v>10</v>
      </c>
      <c r="D10828" t="s">
        <v>3245</v>
      </c>
      <c r="E10828">
        <f>1/130</f>
        <v>7.6923076923076927E-3</v>
      </c>
      <c r="F10828">
        <v>1</v>
      </c>
      <c r="G10828">
        <f>LOG(382/(1+1))</f>
        <v>2.2810333672477277</v>
      </c>
      <c r="H10828">
        <f>0.00769230769230769*5.25227342804663</f>
        <v>4.0402103292666372E-2</v>
      </c>
      <c r="I10828">
        <v>4.0402103292666393E-2</v>
      </c>
    </row>
    <row r="10829" spans="1:9" x14ac:dyDescent="0.25">
      <c r="A10829">
        <v>419</v>
      </c>
      <c r="B10829" t="s">
        <v>3243</v>
      </c>
      <c r="C10829" t="s">
        <v>10</v>
      </c>
      <c r="D10829" t="s">
        <v>3246</v>
      </c>
      <c r="E10829">
        <f>1/130</f>
        <v>7.6923076923076927E-3</v>
      </c>
      <c r="F10829">
        <v>1</v>
      </c>
      <c r="G10829">
        <f>LOG(382/(1+1))</f>
        <v>2.2810333672477277</v>
      </c>
      <c r="H10829">
        <f>0.00769230769230769*5.25227342804663</f>
        <v>4.0402103292666372E-2</v>
      </c>
      <c r="I10829">
        <v>4.0402103292666393E-2</v>
      </c>
    </row>
    <row r="10830" spans="1:9" x14ac:dyDescent="0.25">
      <c r="A10830">
        <v>419</v>
      </c>
      <c r="B10830" t="s">
        <v>3243</v>
      </c>
      <c r="C10830" t="s">
        <v>10</v>
      </c>
      <c r="D10830" t="s">
        <v>953</v>
      </c>
      <c r="E10830">
        <f>5/130</f>
        <v>3.8461538461538464E-2</v>
      </c>
      <c r="F10830">
        <v>16</v>
      </c>
      <c r="G10830">
        <f>LOG(382/(16+1))</f>
        <v>1.3516144415334348</v>
      </c>
      <c r="H10830">
        <f>0.0384615384615384*3.11220726455035</f>
        <v>0.1197002794057825</v>
      </c>
      <c r="I10830">
        <v>0.11970027940578309</v>
      </c>
    </row>
    <row r="10831" spans="1:9" x14ac:dyDescent="0.25">
      <c r="A10831">
        <v>419</v>
      </c>
      <c r="B10831" t="s">
        <v>3243</v>
      </c>
      <c r="C10831" t="s">
        <v>10</v>
      </c>
      <c r="D10831" t="s">
        <v>3247</v>
      </c>
      <c r="E10831">
        <f>2/130</f>
        <v>1.5384615384615385E-2</v>
      </c>
      <c r="F10831">
        <v>1</v>
      </c>
      <c r="G10831">
        <f>LOG(382/(1+1))</f>
        <v>2.2810333672477277</v>
      </c>
      <c r="H10831">
        <f>0.0153846153846153*5.25227342804663</f>
        <v>8.0804206585332328E-2</v>
      </c>
      <c r="I10831">
        <v>8.0804206585332772E-2</v>
      </c>
    </row>
    <row r="10832" spans="1:9" x14ac:dyDescent="0.25">
      <c r="A10832">
        <v>419</v>
      </c>
      <c r="B10832" t="s">
        <v>3243</v>
      </c>
      <c r="C10832" t="s">
        <v>10</v>
      </c>
      <c r="D10832" t="s">
        <v>819</v>
      </c>
      <c r="E10832">
        <f>3/130</f>
        <v>2.3076923076923078E-2</v>
      </c>
      <c r="F10832">
        <v>3</v>
      </c>
      <c r="G10832">
        <f>LOG(382/(3+1))</f>
        <v>1.9800033715837464</v>
      </c>
      <c r="H10832">
        <f>0.023076923076923*4.55912624748668</f>
        <v>0.10521060571123073</v>
      </c>
      <c r="I10832">
        <v>0.1052106057112312</v>
      </c>
    </row>
    <row r="10833" spans="1:9" x14ac:dyDescent="0.25">
      <c r="A10833">
        <v>419</v>
      </c>
      <c r="B10833" t="s">
        <v>3243</v>
      </c>
      <c r="C10833" t="s">
        <v>10</v>
      </c>
      <c r="D10833" t="s">
        <v>3248</v>
      </c>
      <c r="E10833">
        <f>1/130</f>
        <v>7.6923076923076927E-3</v>
      </c>
      <c r="F10833">
        <v>1</v>
      </c>
      <c r="G10833">
        <f>LOG(382/(1+1))</f>
        <v>2.2810333672477277</v>
      </c>
      <c r="H10833">
        <f>0.00769230769230769*5.25227342804663</f>
        <v>4.0402103292666372E-2</v>
      </c>
      <c r="I10833">
        <v>4.0402103292666393E-2</v>
      </c>
    </row>
    <row r="10834" spans="1:9" x14ac:dyDescent="0.25">
      <c r="A10834">
        <v>419</v>
      </c>
      <c r="B10834" t="s">
        <v>3243</v>
      </c>
      <c r="C10834" t="s">
        <v>10</v>
      </c>
      <c r="D10834" t="s">
        <v>3249</v>
      </c>
      <c r="E10834">
        <f>1/130</f>
        <v>7.6923076923076927E-3</v>
      </c>
      <c r="F10834">
        <v>1</v>
      </c>
      <c r="G10834">
        <f>LOG(382/(1+1))</f>
        <v>2.2810333672477277</v>
      </c>
      <c r="H10834">
        <f>0.00769230769230769*5.25227342804663</f>
        <v>4.0402103292666372E-2</v>
      </c>
      <c r="I10834">
        <v>4.0402103292666393E-2</v>
      </c>
    </row>
    <row r="10835" spans="1:9" x14ac:dyDescent="0.25">
      <c r="A10835">
        <v>419</v>
      </c>
      <c r="B10835" t="s">
        <v>3243</v>
      </c>
      <c r="C10835" t="s">
        <v>10</v>
      </c>
      <c r="D10835" t="s">
        <v>293</v>
      </c>
      <c r="E10835">
        <f>5/130</f>
        <v>3.8461538461538464E-2</v>
      </c>
      <c r="F10835">
        <v>8</v>
      </c>
      <c r="G10835">
        <f>LOG(382/(8+1))</f>
        <v>1.6278208534723839</v>
      </c>
      <c r="H10835">
        <f>0.0384615384615384*3.74819603127035</f>
        <v>0.14416138581809015</v>
      </c>
      <c r="I10835">
        <v>0.1441613858180906</v>
      </c>
    </row>
    <row r="10836" spans="1:9" x14ac:dyDescent="0.25">
      <c r="A10836">
        <v>419</v>
      </c>
      <c r="B10836" t="s">
        <v>3243</v>
      </c>
      <c r="C10836" t="s">
        <v>10</v>
      </c>
      <c r="D10836" t="s">
        <v>3250</v>
      </c>
      <c r="E10836">
        <f>5/130</f>
        <v>3.8461538461538464E-2</v>
      </c>
      <c r="F10836">
        <v>1</v>
      </c>
      <c r="G10836">
        <f>LOG(382/(1+1))</f>
        <v>2.2810333672477277</v>
      </c>
      <c r="H10836">
        <f>0.0384615384615384*5.25227342804663</f>
        <v>0.2020105164633316</v>
      </c>
      <c r="I10836">
        <v>0.2020105164633319</v>
      </c>
    </row>
    <row r="10837" spans="1:9" x14ac:dyDescent="0.25">
      <c r="A10837">
        <v>419</v>
      </c>
      <c r="B10837" t="s">
        <v>3243</v>
      </c>
      <c r="C10837" t="s">
        <v>10</v>
      </c>
      <c r="D10837" t="s">
        <v>3251</v>
      </c>
      <c r="E10837">
        <f>5/130</f>
        <v>3.8461538461538464E-2</v>
      </c>
      <c r="F10837">
        <v>4</v>
      </c>
      <c r="G10837">
        <f>LOG(382/(4+1))</f>
        <v>1.8830933585756899</v>
      </c>
      <c r="H10837">
        <f>0.0384615384615384*4.33598269617247</f>
        <v>0.16676856523740244</v>
      </c>
      <c r="I10837">
        <v>0.16676856523740291</v>
      </c>
    </row>
    <row r="10838" spans="1:9" x14ac:dyDescent="0.25">
      <c r="A10838">
        <v>419</v>
      </c>
      <c r="B10838" t="s">
        <v>3243</v>
      </c>
      <c r="C10838" t="s">
        <v>10</v>
      </c>
      <c r="D10838" t="s">
        <v>3252</v>
      </c>
      <c r="E10838">
        <f>1/130</f>
        <v>7.6923076923076927E-3</v>
      </c>
      <c r="F10838">
        <v>2</v>
      </c>
      <c r="G10838">
        <f>LOG(382/(2+1))</f>
        <v>2.1049421081920463</v>
      </c>
      <c r="H10838">
        <f>0.00769230769230769*4.84680831993846</f>
        <v>3.7283140922603528E-2</v>
      </c>
      <c r="I10838">
        <v>3.7283140922603583E-2</v>
      </c>
    </row>
    <row r="10839" spans="1:9" x14ac:dyDescent="0.25">
      <c r="A10839">
        <v>419</v>
      </c>
      <c r="B10839" t="s">
        <v>3243</v>
      </c>
      <c r="C10839" t="s">
        <v>10</v>
      </c>
      <c r="D10839" t="s">
        <v>11</v>
      </c>
      <c r="E10839">
        <f>8/130</f>
        <v>6.1538461538461542E-2</v>
      </c>
      <c r="F10839">
        <v>83</v>
      </c>
      <c r="G10839">
        <f>LOG(382/(83+1))</f>
        <v>0.65778407684982709</v>
      </c>
      <c r="H10839">
        <f>0.0615384615384615*1.51460380976326</f>
        <v>9.3206388293123624E-2</v>
      </c>
      <c r="I10839">
        <v>9.320638829312379E-2</v>
      </c>
    </row>
    <row r="10840" spans="1:9" x14ac:dyDescent="0.25">
      <c r="A10840">
        <v>419</v>
      </c>
      <c r="B10840" t="s">
        <v>3243</v>
      </c>
      <c r="C10840" t="s">
        <v>10</v>
      </c>
      <c r="D10840" t="s">
        <v>40</v>
      </c>
      <c r="E10840">
        <f>3/130</f>
        <v>2.3076923076923078E-2</v>
      </c>
      <c r="F10840">
        <v>159</v>
      </c>
      <c r="G10840">
        <f>LOG(382/(159+1))</f>
        <v>0.377943380255784</v>
      </c>
      <c r="H10840">
        <f>0.023076923076923*0.870246793372748</f>
        <v>2.0082618308601807E-2</v>
      </c>
      <c r="I10840">
        <v>2.0082618308601891E-2</v>
      </c>
    </row>
    <row r="10841" spans="1:9" x14ac:dyDescent="0.25">
      <c r="A10841">
        <v>419</v>
      </c>
      <c r="B10841" t="s">
        <v>3243</v>
      </c>
      <c r="C10841" t="s">
        <v>10</v>
      </c>
      <c r="D10841" t="s">
        <v>131</v>
      </c>
      <c r="E10841">
        <f>1/130</f>
        <v>7.6923076923076927E-3</v>
      </c>
      <c r="F10841">
        <v>38</v>
      </c>
      <c r="G10841">
        <f>LOG(382/(38+1))</f>
        <v>0.99099875588520958</v>
      </c>
      <c r="H10841">
        <f>0.00769230769230769*2.28185896247692</f>
        <v>1.7552761249822458E-2</v>
      </c>
      <c r="I10841">
        <v>1.7552761249822531E-2</v>
      </c>
    </row>
    <row r="10842" spans="1:9" x14ac:dyDescent="0.25">
      <c r="A10842">
        <v>419</v>
      </c>
      <c r="B10842" t="s">
        <v>3243</v>
      </c>
      <c r="C10842" t="s">
        <v>10</v>
      </c>
      <c r="D10842" t="s">
        <v>2706</v>
      </c>
      <c r="E10842">
        <f>1/130</f>
        <v>7.6923076923076927E-3</v>
      </c>
      <c r="F10842">
        <v>2</v>
      </c>
      <c r="G10842">
        <f>LOG(382/(2+1))</f>
        <v>2.1049421081920463</v>
      </c>
      <c r="H10842">
        <f>0.00769230769230769*4.84680831993846</f>
        <v>3.7283140922603528E-2</v>
      </c>
      <c r="I10842">
        <v>3.7283140922603583E-2</v>
      </c>
    </row>
    <row r="10843" spans="1:9" x14ac:dyDescent="0.25">
      <c r="A10843">
        <v>419</v>
      </c>
      <c r="B10843" t="s">
        <v>3243</v>
      </c>
      <c r="C10843" t="s">
        <v>10</v>
      </c>
      <c r="D10843" t="s">
        <v>3253</v>
      </c>
      <c r="E10843">
        <f>1/130</f>
        <v>7.6923076923076927E-3</v>
      </c>
      <c r="F10843">
        <v>1</v>
      </c>
      <c r="G10843">
        <f>LOG(382/(1+1))</f>
        <v>2.2810333672477277</v>
      </c>
      <c r="H10843">
        <f>0.00769230769230769*5.25227342804663</f>
        <v>4.0402103292666372E-2</v>
      </c>
      <c r="I10843">
        <v>4.0402103292666393E-2</v>
      </c>
    </row>
    <row r="10844" spans="1:9" x14ac:dyDescent="0.25">
      <c r="A10844">
        <v>419</v>
      </c>
      <c r="B10844" t="s">
        <v>3243</v>
      </c>
      <c r="C10844" t="s">
        <v>10</v>
      </c>
      <c r="D10844" t="s">
        <v>1831</v>
      </c>
      <c r="E10844">
        <f>2/130</f>
        <v>1.5384615384615385E-2</v>
      </c>
      <c r="F10844">
        <v>28</v>
      </c>
      <c r="G10844">
        <f>LOG(382/(28+1))</f>
        <v>1.1196653650127526</v>
      </c>
      <c r="H10844">
        <f>0.0153846153846153*2.5781247786201</f>
        <v>3.9663458132616701E-2</v>
      </c>
      <c r="I10844">
        <v>3.9663458132616937E-2</v>
      </c>
    </row>
    <row r="10845" spans="1:9" x14ac:dyDescent="0.25">
      <c r="A10845">
        <v>419</v>
      </c>
      <c r="B10845" t="s">
        <v>3243</v>
      </c>
      <c r="C10845" t="s">
        <v>10</v>
      </c>
      <c r="D10845" t="s">
        <v>650</v>
      </c>
      <c r="E10845">
        <f>4/130</f>
        <v>3.0769230769230771E-2</v>
      </c>
      <c r="F10845">
        <v>9</v>
      </c>
      <c r="G10845">
        <f>LOG(382/(9+1))</f>
        <v>1.5820633629117087</v>
      </c>
      <c r="H10845">
        <f>0.0307692307692307*3.64283551561252</f>
        <v>0.11208724663423114</v>
      </c>
      <c r="I10845">
        <v>0.1120872466342317</v>
      </c>
    </row>
    <row r="10846" spans="1:9" x14ac:dyDescent="0.25">
      <c r="A10846">
        <v>419</v>
      </c>
      <c r="B10846" t="s">
        <v>3243</v>
      </c>
      <c r="C10846" t="s">
        <v>10</v>
      </c>
      <c r="D10846" t="s">
        <v>86</v>
      </c>
      <c r="E10846">
        <f t="shared" ref="E10846:E10857" si="507">1/130</f>
        <v>7.6923076923076927E-3</v>
      </c>
      <c r="F10846">
        <v>8</v>
      </c>
      <c r="G10846">
        <f>LOG(382/(8+1))</f>
        <v>1.6278208534723839</v>
      </c>
      <c r="H10846">
        <f>0.00769230769230769*3.74819603127035</f>
        <v>2.8832277163618067E-2</v>
      </c>
      <c r="I10846">
        <v>2.8832277163618119E-2</v>
      </c>
    </row>
    <row r="10847" spans="1:9" x14ac:dyDescent="0.25">
      <c r="A10847">
        <v>419</v>
      </c>
      <c r="B10847" t="s">
        <v>3243</v>
      </c>
      <c r="C10847" t="s">
        <v>10</v>
      </c>
      <c r="D10847" t="s">
        <v>961</v>
      </c>
      <c r="E10847">
        <f t="shared" si="507"/>
        <v>7.6923076923076927E-3</v>
      </c>
      <c r="F10847">
        <v>5</v>
      </c>
      <c r="G10847">
        <f>LOG(382/(5+1))</f>
        <v>1.803912112528065</v>
      </c>
      <c r="H10847">
        <f>0.00769230769230769*4.15366113937852</f>
        <v>3.1951239533680911E-2</v>
      </c>
      <c r="I10847">
        <v>3.1951239533680932E-2</v>
      </c>
    </row>
    <row r="10848" spans="1:9" x14ac:dyDescent="0.25">
      <c r="A10848">
        <v>419</v>
      </c>
      <c r="B10848" t="s">
        <v>3243</v>
      </c>
      <c r="C10848" t="s">
        <v>10</v>
      </c>
      <c r="D10848" t="s">
        <v>3254</v>
      </c>
      <c r="E10848">
        <f t="shared" si="507"/>
        <v>7.6923076923076927E-3</v>
      </c>
      <c r="F10848">
        <v>1</v>
      </c>
      <c r="G10848">
        <f>LOG(382/(1+1))</f>
        <v>2.2810333672477277</v>
      </c>
      <c r="H10848">
        <f>0.00769230769230769*5.25227342804663</f>
        <v>4.0402103292666372E-2</v>
      </c>
      <c r="I10848">
        <v>4.0402103292666393E-2</v>
      </c>
    </row>
    <row r="10849" spans="1:9" x14ac:dyDescent="0.25">
      <c r="A10849">
        <v>419</v>
      </c>
      <c r="B10849" t="s">
        <v>3243</v>
      </c>
      <c r="C10849" t="s">
        <v>10</v>
      </c>
      <c r="D10849" t="s">
        <v>211</v>
      </c>
      <c r="E10849">
        <f t="shared" si="507"/>
        <v>7.6923076923076927E-3</v>
      </c>
      <c r="F10849">
        <v>10</v>
      </c>
      <c r="G10849">
        <f>LOG(382/(10+1))</f>
        <v>1.5406706777534838</v>
      </c>
      <c r="H10849">
        <f>0.00769230769230769*3.5475253358082</f>
        <v>2.7288656429293841E-2</v>
      </c>
      <c r="I10849">
        <v>2.728865642929388E-2</v>
      </c>
    </row>
    <row r="10850" spans="1:9" x14ac:dyDescent="0.25">
      <c r="A10850">
        <v>419</v>
      </c>
      <c r="B10850" t="s">
        <v>3243</v>
      </c>
      <c r="C10850" t="s">
        <v>10</v>
      </c>
      <c r="D10850" t="s">
        <v>2370</v>
      </c>
      <c r="E10850">
        <f t="shared" si="507"/>
        <v>7.6923076923076927E-3</v>
      </c>
      <c r="F10850">
        <v>3</v>
      </c>
      <c r="G10850">
        <f>LOG(382/(3+1))</f>
        <v>1.9800033715837464</v>
      </c>
      <c r="H10850">
        <f>0.00769230769230769*4.55912624748668</f>
        <v>3.5070201903743679E-2</v>
      </c>
      <c r="I10850">
        <v>3.5070201903743728E-2</v>
      </c>
    </row>
    <row r="10851" spans="1:9" x14ac:dyDescent="0.25">
      <c r="A10851">
        <v>419</v>
      </c>
      <c r="B10851" t="s">
        <v>3243</v>
      </c>
      <c r="C10851" t="s">
        <v>10</v>
      </c>
      <c r="D10851" t="s">
        <v>1706</v>
      </c>
      <c r="E10851">
        <f t="shared" si="507"/>
        <v>7.6923076923076927E-3</v>
      </c>
      <c r="F10851">
        <v>5</v>
      </c>
      <c r="G10851">
        <f>LOG(382/(5+1))</f>
        <v>1.803912112528065</v>
      </c>
      <c r="H10851">
        <f>0.00769230769230769*4.15366113937852</f>
        <v>3.1951239533680911E-2</v>
      </c>
      <c r="I10851">
        <v>3.1951239533680932E-2</v>
      </c>
    </row>
    <row r="10852" spans="1:9" x14ac:dyDescent="0.25">
      <c r="A10852">
        <v>419</v>
      </c>
      <c r="B10852" t="s">
        <v>3243</v>
      </c>
      <c r="C10852" t="s">
        <v>10</v>
      </c>
      <c r="D10852" t="s">
        <v>3255</v>
      </c>
      <c r="E10852">
        <f t="shared" si="507"/>
        <v>7.6923076923076927E-3</v>
      </c>
      <c r="F10852">
        <v>2</v>
      </c>
      <c r="G10852">
        <f>LOG(382/(2+1))</f>
        <v>2.1049421081920463</v>
      </c>
      <c r="H10852">
        <f>0.00769230769230769*4.84680831993846</f>
        <v>3.7283140922603528E-2</v>
      </c>
      <c r="I10852">
        <v>3.7283140922603583E-2</v>
      </c>
    </row>
    <row r="10853" spans="1:9" x14ac:dyDescent="0.25">
      <c r="A10853">
        <v>419</v>
      </c>
      <c r="B10853" t="s">
        <v>3243</v>
      </c>
      <c r="C10853" t="s">
        <v>10</v>
      </c>
      <c r="D10853" t="s">
        <v>310</v>
      </c>
      <c r="E10853">
        <f t="shared" si="507"/>
        <v>7.6923076923076927E-3</v>
      </c>
      <c r="F10853">
        <v>50</v>
      </c>
      <c r="G10853">
        <f>LOG(382/(50+1))</f>
        <v>0.87449318681377242</v>
      </c>
      <c r="H10853">
        <f>0.00769230769230769*2.01359497588224</f>
        <v>1.5489192122171071E-2</v>
      </c>
      <c r="I10853">
        <v>1.5489192122171151E-2</v>
      </c>
    </row>
    <row r="10854" spans="1:9" x14ac:dyDescent="0.25">
      <c r="A10854">
        <v>419</v>
      </c>
      <c r="B10854" t="s">
        <v>3243</v>
      </c>
      <c r="C10854" t="s">
        <v>10</v>
      </c>
      <c r="D10854" t="s">
        <v>90</v>
      </c>
      <c r="E10854">
        <f t="shared" si="507"/>
        <v>7.6923076923076927E-3</v>
      </c>
      <c r="F10854">
        <v>13</v>
      </c>
      <c r="G10854">
        <f>LOG(382/(13+1))</f>
        <v>1.4359353272334707</v>
      </c>
      <c r="H10854">
        <f>0.00769230769230769*3.30636327899131</f>
        <v>2.5433563684548532E-2</v>
      </c>
      <c r="I10854">
        <v>2.5433563684548591E-2</v>
      </c>
    </row>
    <row r="10855" spans="1:9" x14ac:dyDescent="0.25">
      <c r="A10855">
        <v>419</v>
      </c>
      <c r="B10855" t="s">
        <v>3243</v>
      </c>
      <c r="C10855" t="s">
        <v>10</v>
      </c>
      <c r="D10855" t="s">
        <v>2164</v>
      </c>
      <c r="E10855">
        <f t="shared" si="507"/>
        <v>7.6923076923076927E-3</v>
      </c>
      <c r="F10855">
        <v>2</v>
      </c>
      <c r="G10855">
        <f>LOG(382/(2+1))</f>
        <v>2.1049421081920463</v>
      </c>
      <c r="H10855">
        <f>0.00769230769230769*4.84680831993846</f>
        <v>3.7283140922603528E-2</v>
      </c>
      <c r="I10855">
        <v>3.7283140922603583E-2</v>
      </c>
    </row>
    <row r="10856" spans="1:9" x14ac:dyDescent="0.25">
      <c r="A10856">
        <v>419</v>
      </c>
      <c r="B10856" t="s">
        <v>3243</v>
      </c>
      <c r="C10856" t="s">
        <v>10</v>
      </c>
      <c r="D10856" t="s">
        <v>1714</v>
      </c>
      <c r="E10856">
        <f t="shared" si="507"/>
        <v>7.6923076923076927E-3</v>
      </c>
      <c r="F10856">
        <v>9</v>
      </c>
      <c r="G10856">
        <f>LOG(382/(9+1))</f>
        <v>1.5820633629117087</v>
      </c>
      <c r="H10856">
        <f>0.00769230769230769*3.64283551561252</f>
        <v>2.8021811658557837E-2</v>
      </c>
      <c r="I10856">
        <v>2.8021811658557921E-2</v>
      </c>
    </row>
    <row r="10857" spans="1:9" x14ac:dyDescent="0.25">
      <c r="A10857">
        <v>419</v>
      </c>
      <c r="B10857" t="s">
        <v>3243</v>
      </c>
      <c r="C10857" t="s">
        <v>10</v>
      </c>
      <c r="D10857" t="s">
        <v>811</v>
      </c>
      <c r="E10857">
        <f t="shared" si="507"/>
        <v>7.6923076923076927E-3</v>
      </c>
      <c r="F10857">
        <v>27</v>
      </c>
      <c r="G10857">
        <f>LOG(382/(27+1))</f>
        <v>1.1349053315694895</v>
      </c>
      <c r="H10857">
        <f>0.00769230769230769*2.61321609843137</f>
        <v>2.0101662295625919E-2</v>
      </c>
      <c r="I10857">
        <v>2.0101662295625929E-2</v>
      </c>
    </row>
    <row r="10858" spans="1:9" x14ac:dyDescent="0.25">
      <c r="A10858">
        <v>419</v>
      </c>
      <c r="B10858" t="s">
        <v>3243</v>
      </c>
      <c r="C10858" t="s">
        <v>10</v>
      </c>
      <c r="D10858" t="s">
        <v>106</v>
      </c>
      <c r="E10858">
        <f>3/130</f>
        <v>2.3076923076923078E-2</v>
      </c>
      <c r="F10858">
        <v>17</v>
      </c>
      <c r="G10858">
        <f>LOG(382/(17+1))</f>
        <v>1.3267908578084027</v>
      </c>
      <c r="H10858">
        <f>0.023076923076923*3.05504885071041</f>
        <v>7.0501127324086144E-2</v>
      </c>
      <c r="I10858">
        <v>7.0501127324086393E-2</v>
      </c>
    </row>
    <row r="10859" spans="1:9" x14ac:dyDescent="0.25">
      <c r="A10859">
        <v>419</v>
      </c>
      <c r="B10859" t="s">
        <v>3243</v>
      </c>
      <c r="C10859" t="s">
        <v>10</v>
      </c>
      <c r="D10859" t="s">
        <v>378</v>
      </c>
      <c r="E10859">
        <f>1/130</f>
        <v>7.6923076923076927E-3</v>
      </c>
      <c r="F10859">
        <v>4</v>
      </c>
      <c r="G10859">
        <f>LOG(382/(4+1))</f>
        <v>1.8830933585756899</v>
      </c>
      <c r="H10859">
        <f>0.00769230769230769*4.33598269617247</f>
        <v>3.3353713047480534E-2</v>
      </c>
      <c r="I10859">
        <v>3.3353713047480582E-2</v>
      </c>
    </row>
    <row r="10860" spans="1:9" x14ac:dyDescent="0.25">
      <c r="A10860">
        <v>419</v>
      </c>
      <c r="B10860" t="s">
        <v>3243</v>
      </c>
      <c r="C10860" t="s">
        <v>10</v>
      </c>
      <c r="D10860" t="s">
        <v>76</v>
      </c>
      <c r="E10860">
        <f>1/130</f>
        <v>7.6923076923076927E-3</v>
      </c>
      <c r="F10860">
        <v>140</v>
      </c>
      <c r="G10860">
        <f>LOG(382/(140+1))</f>
        <v>0.43284425025632883</v>
      </c>
      <c r="H10860">
        <f>0.00769230769230769*0.996660718228407</f>
        <v>7.6666209094492822E-3</v>
      </c>
      <c r="I10860">
        <v>7.6666209094492848E-3</v>
      </c>
    </row>
    <row r="10861" spans="1:9" x14ac:dyDescent="0.25">
      <c r="A10861">
        <v>419</v>
      </c>
      <c r="B10861" t="s">
        <v>3243</v>
      </c>
      <c r="C10861" t="s">
        <v>10</v>
      </c>
      <c r="D10861" t="s">
        <v>3256</v>
      </c>
      <c r="E10861">
        <f>1/130</f>
        <v>7.6923076923076927E-3</v>
      </c>
      <c r="F10861">
        <v>1</v>
      </c>
      <c r="G10861">
        <f>LOG(382/(1+1))</f>
        <v>2.2810333672477277</v>
      </c>
      <c r="H10861">
        <f>0.00769230769230769*5.25227342804663</f>
        <v>4.0402103292666372E-2</v>
      </c>
      <c r="I10861">
        <v>4.0402103292666393E-2</v>
      </c>
    </row>
    <row r="10862" spans="1:9" x14ac:dyDescent="0.25">
      <c r="A10862">
        <v>419</v>
      </c>
      <c r="B10862" t="s">
        <v>3243</v>
      </c>
      <c r="C10862" t="s">
        <v>10</v>
      </c>
      <c r="D10862" t="s">
        <v>3257</v>
      </c>
      <c r="E10862">
        <f>1/130</f>
        <v>7.6923076923076927E-3</v>
      </c>
      <c r="F10862">
        <v>1</v>
      </c>
      <c r="G10862">
        <f>LOG(382/(1+1))</f>
        <v>2.2810333672477277</v>
      </c>
      <c r="H10862">
        <f>0.00769230769230769*5.25227342804663</f>
        <v>4.0402103292666372E-2</v>
      </c>
      <c r="I10862">
        <v>4.0402103292666393E-2</v>
      </c>
    </row>
    <row r="10863" spans="1:9" x14ac:dyDescent="0.25">
      <c r="A10863">
        <v>419</v>
      </c>
      <c r="B10863" t="s">
        <v>3243</v>
      </c>
      <c r="C10863" t="s">
        <v>10</v>
      </c>
      <c r="D10863" t="s">
        <v>3258</v>
      </c>
      <c r="E10863">
        <f>2/130</f>
        <v>1.5384615384615385E-2</v>
      </c>
      <c r="F10863">
        <v>3</v>
      </c>
      <c r="G10863">
        <f>LOG(382/(3+1))</f>
        <v>1.9800033715837464</v>
      </c>
      <c r="H10863">
        <f>0.0153846153846153*4.55912624748668</f>
        <v>7.0140403807486998E-2</v>
      </c>
      <c r="I10863">
        <v>7.0140403807487456E-2</v>
      </c>
    </row>
    <row r="10864" spans="1:9" x14ac:dyDescent="0.25">
      <c r="A10864">
        <v>419</v>
      </c>
      <c r="B10864" t="s">
        <v>3243</v>
      </c>
      <c r="C10864" t="s">
        <v>10</v>
      </c>
      <c r="D10864" t="s">
        <v>3259</v>
      </c>
      <c r="E10864">
        <f>1/130</f>
        <v>7.6923076923076927E-3</v>
      </c>
      <c r="F10864">
        <v>1</v>
      </c>
      <c r="G10864">
        <f>LOG(382/(1+1))</f>
        <v>2.2810333672477277</v>
      </c>
      <c r="H10864">
        <f>0.00769230769230769*5.25227342804663</f>
        <v>4.0402103292666372E-2</v>
      </c>
      <c r="I10864">
        <v>4.0402103292666393E-2</v>
      </c>
    </row>
    <row r="10865" spans="1:9" x14ac:dyDescent="0.25">
      <c r="A10865">
        <v>419</v>
      </c>
      <c r="B10865" t="s">
        <v>3243</v>
      </c>
      <c r="C10865" t="s">
        <v>10</v>
      </c>
      <c r="D10865" t="s">
        <v>1296</v>
      </c>
      <c r="E10865">
        <f>1/130</f>
        <v>7.6923076923076927E-3</v>
      </c>
      <c r="F10865">
        <v>14</v>
      </c>
      <c r="G10865">
        <f>LOG(382/(14+1))</f>
        <v>1.4059721038560276</v>
      </c>
      <c r="H10865">
        <f>0.00769230769230769*3.23737040750436</f>
        <v>2.4902849288495069E-2</v>
      </c>
      <c r="I10865">
        <v>2.4902849288495121E-2</v>
      </c>
    </row>
    <row r="10866" spans="1:9" x14ac:dyDescent="0.25">
      <c r="A10866">
        <v>419</v>
      </c>
      <c r="B10866" t="s">
        <v>3243</v>
      </c>
      <c r="C10866" t="s">
        <v>10</v>
      </c>
      <c r="D10866" t="s">
        <v>3260</v>
      </c>
      <c r="E10866">
        <f>3/130</f>
        <v>2.3076923076923078E-2</v>
      </c>
      <c r="F10866">
        <v>1</v>
      </c>
      <c r="G10866">
        <f>LOG(382/(1+1))</f>
        <v>2.2810333672477277</v>
      </c>
      <c r="H10866">
        <f>0.023076923076923*5.25227342804663</f>
        <v>0.12120630987799874</v>
      </c>
      <c r="I10866">
        <v>0.1212063098779992</v>
      </c>
    </row>
    <row r="10867" spans="1:9" x14ac:dyDescent="0.25">
      <c r="A10867">
        <v>419</v>
      </c>
      <c r="B10867" t="s">
        <v>3243</v>
      </c>
      <c r="C10867" t="s">
        <v>10</v>
      </c>
      <c r="D10867" t="s">
        <v>714</v>
      </c>
      <c r="E10867">
        <f>1/130</f>
        <v>7.6923076923076927E-3</v>
      </c>
      <c r="F10867">
        <v>12</v>
      </c>
      <c r="G10867">
        <f>LOG(382/(12+1))</f>
        <v>1.468120010604872</v>
      </c>
      <c r="H10867">
        <f>0.00769230769230769*3.38047125114503</f>
        <v>2.6003625008807915E-2</v>
      </c>
      <c r="I10867">
        <v>2.6003625008807991E-2</v>
      </c>
    </row>
    <row r="10868" spans="1:9" x14ac:dyDescent="0.25">
      <c r="A10868">
        <v>419</v>
      </c>
      <c r="B10868" t="s">
        <v>3243</v>
      </c>
      <c r="C10868" t="s">
        <v>10</v>
      </c>
      <c r="D10868" t="s">
        <v>31</v>
      </c>
      <c r="E10868">
        <f>2/130</f>
        <v>1.5384615384615385E-2</v>
      </c>
      <c r="F10868">
        <v>31</v>
      </c>
      <c r="G10868">
        <f>LOG(382/(31+1))</f>
        <v>1.0769133845918029</v>
      </c>
      <c r="H10868">
        <f>0.0153846153846153*2.47968470580684</f>
        <v>3.8148995473951175E-2</v>
      </c>
      <c r="I10868">
        <v>3.8148995473951522E-2</v>
      </c>
    </row>
    <row r="10869" spans="1:9" x14ac:dyDescent="0.25">
      <c r="A10869">
        <v>419</v>
      </c>
      <c r="B10869" t="s">
        <v>3243</v>
      </c>
      <c r="C10869" t="s">
        <v>10</v>
      </c>
      <c r="D10869" t="s">
        <v>2440</v>
      </c>
      <c r="E10869">
        <f t="shared" ref="E10869:E10884" si="508">1/130</f>
        <v>7.6923076923076927E-3</v>
      </c>
      <c r="F10869">
        <v>2</v>
      </c>
      <c r="G10869">
        <f>LOG(382/(2+1))</f>
        <v>2.1049421081920463</v>
      </c>
      <c r="H10869">
        <f>0.00769230769230769*4.84680831993846</f>
        <v>3.7283140922603528E-2</v>
      </c>
      <c r="I10869">
        <v>3.7283140922603583E-2</v>
      </c>
    </row>
    <row r="10870" spans="1:9" x14ac:dyDescent="0.25">
      <c r="A10870">
        <v>419</v>
      </c>
      <c r="B10870" t="s">
        <v>3243</v>
      </c>
      <c r="C10870" t="s">
        <v>10</v>
      </c>
      <c r="D10870" t="s">
        <v>1255</v>
      </c>
      <c r="E10870">
        <f t="shared" si="508"/>
        <v>7.6923076923076927E-3</v>
      </c>
      <c r="F10870">
        <v>12</v>
      </c>
      <c r="G10870">
        <f>LOG(382/(12+1))</f>
        <v>1.468120010604872</v>
      </c>
      <c r="H10870">
        <f>0.00769230769230769*3.38047125114503</f>
        <v>2.6003625008807915E-2</v>
      </c>
      <c r="I10870">
        <v>2.6003625008807991E-2</v>
      </c>
    </row>
    <row r="10871" spans="1:9" x14ac:dyDescent="0.25">
      <c r="A10871">
        <v>419</v>
      </c>
      <c r="B10871" t="s">
        <v>3243</v>
      </c>
      <c r="C10871" t="s">
        <v>10</v>
      </c>
      <c r="D10871" t="s">
        <v>2456</v>
      </c>
      <c r="E10871">
        <f t="shared" si="508"/>
        <v>7.6923076923076927E-3</v>
      </c>
      <c r="F10871">
        <v>2</v>
      </c>
      <c r="G10871">
        <f>LOG(382/(2+1))</f>
        <v>2.1049421081920463</v>
      </c>
      <c r="H10871">
        <f>0.00769230769230769*4.84680831993846</f>
        <v>3.7283140922603528E-2</v>
      </c>
      <c r="I10871">
        <v>3.7283140922603583E-2</v>
      </c>
    </row>
    <row r="10872" spans="1:9" x14ac:dyDescent="0.25">
      <c r="A10872">
        <v>419</v>
      </c>
      <c r="B10872" t="s">
        <v>3243</v>
      </c>
      <c r="C10872" t="s">
        <v>10</v>
      </c>
      <c r="D10872" t="s">
        <v>1534</v>
      </c>
      <c r="E10872">
        <f t="shared" si="508"/>
        <v>7.6923076923076927E-3</v>
      </c>
      <c r="F10872">
        <v>25</v>
      </c>
      <c r="G10872">
        <f>LOG(382/(25+1))</f>
        <v>1.1670900149408907</v>
      </c>
      <c r="H10872">
        <f>0.00769230769230769*2.68732407058509</f>
        <v>2.0671723619885302E-2</v>
      </c>
      <c r="I10872">
        <v>2.067172361988533E-2</v>
      </c>
    </row>
    <row r="10873" spans="1:9" x14ac:dyDescent="0.25">
      <c r="A10873">
        <v>419</v>
      </c>
      <c r="B10873" t="s">
        <v>3243</v>
      </c>
      <c r="C10873" t="s">
        <v>10</v>
      </c>
      <c r="D10873" t="s">
        <v>41</v>
      </c>
      <c r="E10873">
        <f t="shared" si="508"/>
        <v>7.6923076923076927E-3</v>
      </c>
      <c r="F10873">
        <v>195</v>
      </c>
      <c r="G10873">
        <f>LOG(382/(195+1))</f>
        <v>0.28980729155523272</v>
      </c>
      <c r="H10873">
        <f>0.00769230769230769*0.667305949376058</f>
        <v>5.1331226875081376E-3</v>
      </c>
      <c r="I10873">
        <v>5.1331226875081393E-3</v>
      </c>
    </row>
    <row r="10874" spans="1:9" x14ac:dyDescent="0.25">
      <c r="A10874">
        <v>419</v>
      </c>
      <c r="B10874" t="s">
        <v>3243</v>
      </c>
      <c r="C10874" t="s">
        <v>10</v>
      </c>
      <c r="D10874" t="s">
        <v>3261</v>
      </c>
      <c r="E10874">
        <f t="shared" si="508"/>
        <v>7.6923076923076927E-3</v>
      </c>
      <c r="F10874">
        <v>1</v>
      </c>
      <c r="G10874">
        <f>LOG(382/(1+1))</f>
        <v>2.2810333672477277</v>
      </c>
      <c r="H10874">
        <f>0.00769230769230769*5.25227342804663</f>
        <v>4.0402103292666372E-2</v>
      </c>
      <c r="I10874">
        <v>4.0402103292666393E-2</v>
      </c>
    </row>
    <row r="10875" spans="1:9" x14ac:dyDescent="0.25">
      <c r="A10875">
        <v>419</v>
      </c>
      <c r="B10875" t="s">
        <v>3243</v>
      </c>
      <c r="C10875" t="s">
        <v>10</v>
      </c>
      <c r="D10875" t="s">
        <v>3262</v>
      </c>
      <c r="E10875">
        <f t="shared" si="508"/>
        <v>7.6923076923076927E-3</v>
      </c>
      <c r="F10875">
        <v>1</v>
      </c>
      <c r="G10875">
        <f>LOG(382/(1+1))</f>
        <v>2.2810333672477277</v>
      </c>
      <c r="H10875">
        <f>0.00769230769230769*5.25227342804663</f>
        <v>4.0402103292666372E-2</v>
      </c>
      <c r="I10875">
        <v>4.0402103292666393E-2</v>
      </c>
    </row>
    <row r="10876" spans="1:9" x14ac:dyDescent="0.25">
      <c r="A10876">
        <v>419</v>
      </c>
      <c r="B10876" t="s">
        <v>3243</v>
      </c>
      <c r="C10876" t="s">
        <v>10</v>
      </c>
      <c r="D10876" t="s">
        <v>3263</v>
      </c>
      <c r="E10876">
        <f t="shared" si="508"/>
        <v>7.6923076923076927E-3</v>
      </c>
      <c r="F10876">
        <v>1</v>
      </c>
      <c r="G10876">
        <f>LOG(382/(1+1))</f>
        <v>2.2810333672477277</v>
      </c>
      <c r="H10876">
        <f>0.00769230769230769*5.25227342804663</f>
        <v>4.0402103292666372E-2</v>
      </c>
      <c r="I10876">
        <v>4.0402103292666393E-2</v>
      </c>
    </row>
    <row r="10877" spans="1:9" x14ac:dyDescent="0.25">
      <c r="A10877">
        <v>419</v>
      </c>
      <c r="B10877" t="s">
        <v>3243</v>
      </c>
      <c r="C10877" t="s">
        <v>10</v>
      </c>
      <c r="D10877" t="s">
        <v>3264</v>
      </c>
      <c r="E10877">
        <f t="shared" si="508"/>
        <v>7.6923076923076927E-3</v>
      </c>
      <c r="F10877">
        <v>1</v>
      </c>
      <c r="G10877">
        <f>LOG(382/(1+1))</f>
        <v>2.2810333672477277</v>
      </c>
      <c r="H10877">
        <f>0.00769230769230769*5.25227342804663</f>
        <v>4.0402103292666372E-2</v>
      </c>
      <c r="I10877">
        <v>4.0402103292666393E-2</v>
      </c>
    </row>
    <row r="10878" spans="1:9" x14ac:dyDescent="0.25">
      <c r="A10878">
        <v>419</v>
      </c>
      <c r="B10878" t="s">
        <v>3243</v>
      </c>
      <c r="C10878" t="s">
        <v>10</v>
      </c>
      <c r="D10878" t="s">
        <v>1624</v>
      </c>
      <c r="E10878">
        <f t="shared" si="508"/>
        <v>7.6923076923076927E-3</v>
      </c>
      <c r="F10878">
        <v>4</v>
      </c>
      <c r="G10878">
        <f>LOG(382/(4+1))</f>
        <v>1.8830933585756899</v>
      </c>
      <c r="H10878">
        <f>0.00769230769230769*4.33598269617247</f>
        <v>3.3353713047480534E-2</v>
      </c>
      <c r="I10878">
        <v>3.3353713047480582E-2</v>
      </c>
    </row>
    <row r="10879" spans="1:9" x14ac:dyDescent="0.25">
      <c r="A10879">
        <v>419</v>
      </c>
      <c r="B10879" t="s">
        <v>3243</v>
      </c>
      <c r="C10879" t="s">
        <v>10</v>
      </c>
      <c r="D10879" t="s">
        <v>3265</v>
      </c>
      <c r="E10879">
        <f t="shared" si="508"/>
        <v>7.6923076923076927E-3</v>
      </c>
      <c r="F10879">
        <v>1</v>
      </c>
      <c r="G10879">
        <f>LOG(382/(1+1))</f>
        <v>2.2810333672477277</v>
      </c>
      <c r="H10879">
        <f>0.00769230769230769*5.25227342804663</f>
        <v>4.0402103292666372E-2</v>
      </c>
      <c r="I10879">
        <v>4.0402103292666393E-2</v>
      </c>
    </row>
    <row r="10880" spans="1:9" x14ac:dyDescent="0.25">
      <c r="A10880">
        <v>419</v>
      </c>
      <c r="B10880" t="s">
        <v>3243</v>
      </c>
      <c r="C10880" t="s">
        <v>10</v>
      </c>
      <c r="D10880" t="s">
        <v>3266</v>
      </c>
      <c r="E10880">
        <f t="shared" si="508"/>
        <v>7.6923076923076927E-3</v>
      </c>
      <c r="F10880">
        <v>1</v>
      </c>
      <c r="G10880">
        <f>LOG(382/(1+1))</f>
        <v>2.2810333672477277</v>
      </c>
      <c r="H10880">
        <f>0.00769230769230769*5.25227342804663</f>
        <v>4.0402103292666372E-2</v>
      </c>
      <c r="I10880">
        <v>4.0402103292666393E-2</v>
      </c>
    </row>
    <row r="10881" spans="1:9" x14ac:dyDescent="0.25">
      <c r="A10881">
        <v>419</v>
      </c>
      <c r="B10881" t="s">
        <v>3243</v>
      </c>
      <c r="C10881" t="s">
        <v>10</v>
      </c>
      <c r="D10881" t="s">
        <v>112</v>
      </c>
      <c r="E10881">
        <f t="shared" si="508"/>
        <v>7.6923076923076927E-3</v>
      </c>
      <c r="F10881">
        <v>52</v>
      </c>
      <c r="G10881">
        <f>LOG(382/(52+1))</f>
        <v>0.85778749331091964</v>
      </c>
      <c r="H10881">
        <f>0.00769230769230769*1.97512869505445</f>
        <v>1.5193297654264996E-2</v>
      </c>
      <c r="I10881">
        <v>1.5193297654265031E-2</v>
      </c>
    </row>
    <row r="10882" spans="1:9" x14ac:dyDescent="0.25">
      <c r="A10882">
        <v>419</v>
      </c>
      <c r="B10882" t="s">
        <v>3243</v>
      </c>
      <c r="C10882" t="s">
        <v>10</v>
      </c>
      <c r="D10882" t="s">
        <v>98</v>
      </c>
      <c r="E10882">
        <f t="shared" si="508"/>
        <v>7.6923076923076927E-3</v>
      </c>
      <c r="F10882">
        <v>56</v>
      </c>
      <c r="G10882">
        <f>LOG(382/(56+1))</f>
        <v>0.82618850723921733</v>
      </c>
      <c r="H10882">
        <f>0.00769230769230769*1.90236934077202</f>
        <v>1.4633610313630918E-2</v>
      </c>
      <c r="I10882">
        <v>1.463361031363096E-2</v>
      </c>
    </row>
    <row r="10883" spans="1:9" x14ac:dyDescent="0.25">
      <c r="A10883">
        <v>419</v>
      </c>
      <c r="B10883" t="s">
        <v>3243</v>
      </c>
      <c r="C10883" t="s">
        <v>10</v>
      </c>
      <c r="D10883" t="s">
        <v>994</v>
      </c>
      <c r="E10883">
        <f t="shared" si="508"/>
        <v>7.6923076923076927E-3</v>
      </c>
      <c r="F10883">
        <v>37</v>
      </c>
      <c r="G10883">
        <f>LOG(382/(37+1))</f>
        <v>1.0022797662948986</v>
      </c>
      <c r="H10883">
        <f>0.00769230769230769*2.30783444888018</f>
        <v>1.7752572683693686E-2</v>
      </c>
      <c r="I10883">
        <v>1.7752572683693759E-2</v>
      </c>
    </row>
    <row r="10884" spans="1:9" x14ac:dyDescent="0.25">
      <c r="A10884">
        <v>419</v>
      </c>
      <c r="B10884" t="s">
        <v>3243</v>
      </c>
      <c r="C10884" t="s">
        <v>10</v>
      </c>
      <c r="D10884" t="s">
        <v>188</v>
      </c>
      <c r="E10884">
        <f t="shared" si="508"/>
        <v>7.6923076923076927E-3</v>
      </c>
      <c r="F10884">
        <v>19</v>
      </c>
      <c r="G10884">
        <f>LOG(382/(19+1))</f>
        <v>1.2810333672477277</v>
      </c>
      <c r="H10884">
        <f>0.00769230769230769*2.94968833505258</f>
        <v>2.2689910269635225E-2</v>
      </c>
      <c r="I10884">
        <v>2.268991026963527E-2</v>
      </c>
    </row>
    <row r="10885" spans="1:9" x14ac:dyDescent="0.25">
      <c r="A10885">
        <v>419</v>
      </c>
      <c r="B10885" t="s">
        <v>3243</v>
      </c>
      <c r="C10885" t="s">
        <v>10</v>
      </c>
      <c r="D10885" t="s">
        <v>482</v>
      </c>
      <c r="E10885">
        <f>2/130</f>
        <v>1.5384615384615385E-2</v>
      </c>
      <c r="F10885">
        <v>16</v>
      </c>
      <c r="G10885">
        <f>LOG(382/(16+1))</f>
        <v>1.3516144415334348</v>
      </c>
      <c r="H10885">
        <f>0.0153846153846153*3.11220726455035</f>
        <v>4.7880111762312813E-2</v>
      </c>
      <c r="I10885">
        <v>4.7880111762313222E-2</v>
      </c>
    </row>
    <row r="10886" spans="1:9" x14ac:dyDescent="0.25">
      <c r="A10886">
        <v>419</v>
      </c>
      <c r="B10886" t="s">
        <v>3243</v>
      </c>
      <c r="C10886" t="s">
        <v>10</v>
      </c>
      <c r="D10886" t="s">
        <v>3267</v>
      </c>
      <c r="E10886">
        <f>1/130</f>
        <v>7.6923076923076927E-3</v>
      </c>
      <c r="F10886">
        <v>1</v>
      </c>
      <c r="G10886">
        <f>LOG(382/(1+1))</f>
        <v>2.2810333672477277</v>
      </c>
      <c r="H10886">
        <f>0.00769230769230769*5.25227342804663</f>
        <v>4.0402103292666372E-2</v>
      </c>
      <c r="I10886">
        <v>4.0402103292666393E-2</v>
      </c>
    </row>
    <row r="10887" spans="1:9" x14ac:dyDescent="0.25">
      <c r="A10887">
        <v>419</v>
      </c>
      <c r="B10887" t="s">
        <v>3243</v>
      </c>
      <c r="C10887" t="s">
        <v>10</v>
      </c>
      <c r="D10887" t="s">
        <v>197</v>
      </c>
      <c r="E10887">
        <f>2/130</f>
        <v>1.5384615384615385E-2</v>
      </c>
      <c r="F10887">
        <v>18</v>
      </c>
      <c r="G10887">
        <f>LOG(382/(18+1))</f>
        <v>1.3033097619588798</v>
      </c>
      <c r="H10887">
        <f>0.0153846153846153*3.00098162944013</f>
        <v>4.6168948145232522E-2</v>
      </c>
      <c r="I10887">
        <v>4.6168948145232841E-2</v>
      </c>
    </row>
    <row r="10888" spans="1:9" x14ac:dyDescent="0.25">
      <c r="A10888">
        <v>419</v>
      </c>
      <c r="B10888" t="s">
        <v>3243</v>
      </c>
      <c r="C10888" t="s">
        <v>10</v>
      </c>
      <c r="D10888" t="s">
        <v>331</v>
      </c>
      <c r="E10888">
        <f>2/130</f>
        <v>1.5384615384615385E-2</v>
      </c>
      <c r="F10888">
        <v>130</v>
      </c>
      <c r="G10888">
        <f>LOG(382/(130+1))</f>
        <v>0.46479206725594452</v>
      </c>
      <c r="H10888">
        <f>0.0153846153846153*1.07022328540542</f>
        <v>1.6464973621621758E-2</v>
      </c>
      <c r="I10888">
        <v>1.6464973621621901E-2</v>
      </c>
    </row>
    <row r="10889" spans="1:9" x14ac:dyDescent="0.25">
      <c r="A10889">
        <v>419</v>
      </c>
      <c r="B10889" t="s">
        <v>3243</v>
      </c>
      <c r="C10889" t="s">
        <v>10</v>
      </c>
      <c r="D10889" t="s">
        <v>1396</v>
      </c>
      <c r="E10889">
        <f t="shared" ref="E10889:E10896" si="509">1/130</f>
        <v>7.6923076923076927E-3</v>
      </c>
      <c r="F10889">
        <v>18</v>
      </c>
      <c r="G10889">
        <f>LOG(382/(18+1))</f>
        <v>1.3033097619588798</v>
      </c>
      <c r="H10889">
        <f>0.00769230769230769*3.00098162944013</f>
        <v>2.3084474072616379E-2</v>
      </c>
      <c r="I10889">
        <v>2.308447407261642E-2</v>
      </c>
    </row>
    <row r="10890" spans="1:9" x14ac:dyDescent="0.25">
      <c r="A10890">
        <v>419</v>
      </c>
      <c r="B10890" t="s">
        <v>3243</v>
      </c>
      <c r="C10890" t="s">
        <v>10</v>
      </c>
      <c r="D10890" t="s">
        <v>362</v>
      </c>
      <c r="E10890">
        <f t="shared" si="509"/>
        <v>7.6923076923076927E-3</v>
      </c>
      <c r="F10890">
        <v>81</v>
      </c>
      <c r="G10890">
        <f>LOG(382/(81+1))</f>
        <v>0.66824951052799197</v>
      </c>
      <c r="H10890">
        <f>0.00769230769230769*1.53870136134232</f>
        <v>1.1836164318017843E-2</v>
      </c>
      <c r="I10890">
        <v>1.183616431801786E-2</v>
      </c>
    </row>
    <row r="10891" spans="1:9" x14ac:dyDescent="0.25">
      <c r="A10891">
        <v>419</v>
      </c>
      <c r="B10891" t="s">
        <v>3243</v>
      </c>
      <c r="C10891" t="s">
        <v>10</v>
      </c>
      <c r="D10891" t="s">
        <v>3268</v>
      </c>
      <c r="E10891">
        <f t="shared" si="509"/>
        <v>7.6923076923076927E-3</v>
      </c>
      <c r="F10891">
        <v>1</v>
      </c>
      <c r="G10891">
        <f>LOG(382/(1+1))</f>
        <v>2.2810333672477277</v>
      </c>
      <c r="H10891">
        <f>0.00769230769230769*5.25227342804663</f>
        <v>4.0402103292666372E-2</v>
      </c>
      <c r="I10891">
        <v>4.0402103292666393E-2</v>
      </c>
    </row>
    <row r="10892" spans="1:9" x14ac:dyDescent="0.25">
      <c r="A10892">
        <v>419</v>
      </c>
      <c r="B10892" t="s">
        <v>3243</v>
      </c>
      <c r="C10892" t="s">
        <v>10</v>
      </c>
      <c r="D10892" t="s">
        <v>920</v>
      </c>
      <c r="E10892">
        <f t="shared" si="509"/>
        <v>7.6923076923076927E-3</v>
      </c>
      <c r="F10892">
        <v>30</v>
      </c>
      <c r="G10892">
        <f>LOG(382/(30+1))</f>
        <v>1.090701669077436</v>
      </c>
      <c r="H10892">
        <f>0.00769230769230769*2.51143340412142</f>
        <v>1.9318718493241689E-2</v>
      </c>
      <c r="I10892">
        <v>1.9318718493241759E-2</v>
      </c>
    </row>
    <row r="10893" spans="1:9" x14ac:dyDescent="0.25">
      <c r="A10893">
        <v>419</v>
      </c>
      <c r="B10893" t="s">
        <v>3243</v>
      </c>
      <c r="C10893" t="s">
        <v>10</v>
      </c>
      <c r="D10893" t="s">
        <v>44</v>
      </c>
      <c r="E10893">
        <f t="shared" si="509"/>
        <v>7.6923076923076927E-3</v>
      </c>
      <c r="F10893">
        <v>151</v>
      </c>
      <c r="G10893">
        <f>LOG(382/(151+1))</f>
        <v>0.40021977496693617</v>
      </c>
      <c r="H10893">
        <f>0.00769230769230769*0.921540087760298</f>
        <v>7.0887699058484448E-3</v>
      </c>
      <c r="I10893">
        <v>7.0887699058484518E-3</v>
      </c>
    </row>
    <row r="10894" spans="1:9" x14ac:dyDescent="0.25">
      <c r="A10894">
        <v>419</v>
      </c>
      <c r="B10894" t="s">
        <v>3243</v>
      </c>
      <c r="C10894" t="s">
        <v>10</v>
      </c>
      <c r="D10894" t="s">
        <v>782</v>
      </c>
      <c r="E10894">
        <f t="shared" si="509"/>
        <v>7.6923076923076927E-3</v>
      </c>
      <c r="F10894">
        <v>2</v>
      </c>
      <c r="G10894">
        <f>LOG(382/(2+1))</f>
        <v>2.1049421081920463</v>
      </c>
      <c r="H10894">
        <f>0.00769230769230769*4.84680831993846</f>
        <v>3.7283140922603528E-2</v>
      </c>
      <c r="I10894">
        <v>3.7283140922603583E-2</v>
      </c>
    </row>
    <row r="10895" spans="1:9" x14ac:dyDescent="0.25">
      <c r="A10895">
        <v>419</v>
      </c>
      <c r="B10895" t="s">
        <v>3243</v>
      </c>
      <c r="C10895" t="s">
        <v>10</v>
      </c>
      <c r="D10895" t="s">
        <v>1127</v>
      </c>
      <c r="E10895">
        <f t="shared" si="509"/>
        <v>7.6923076923076927E-3</v>
      </c>
      <c r="F10895">
        <v>18</v>
      </c>
      <c r="G10895">
        <f>LOG(382/(18+1))</f>
        <v>1.3033097619588798</v>
      </c>
      <c r="H10895">
        <f>0.00769230769230769*3.00098162944013</f>
        <v>2.3084474072616379E-2</v>
      </c>
      <c r="I10895">
        <v>2.308447407261642E-2</v>
      </c>
    </row>
    <row r="10896" spans="1:9" x14ac:dyDescent="0.25">
      <c r="A10896">
        <v>419</v>
      </c>
      <c r="B10896" t="s">
        <v>3243</v>
      </c>
      <c r="C10896" t="s">
        <v>10</v>
      </c>
      <c r="D10896" t="s">
        <v>528</v>
      </c>
      <c r="E10896">
        <f t="shared" si="509"/>
        <v>7.6923076923076927E-3</v>
      </c>
      <c r="F10896">
        <v>9</v>
      </c>
      <c r="G10896">
        <f>LOG(382/(9+1))</f>
        <v>1.5820633629117087</v>
      </c>
      <c r="H10896">
        <f>0.00769230769230769*3.64283551561252</f>
        <v>2.8021811658557837E-2</v>
      </c>
      <c r="I10896">
        <v>2.8021811658557921E-2</v>
      </c>
    </row>
    <row r="10897" spans="1:9" x14ac:dyDescent="0.25">
      <c r="A10897">
        <v>420</v>
      </c>
      <c r="B10897" t="s">
        <v>3269</v>
      </c>
      <c r="C10897" t="s">
        <v>10</v>
      </c>
      <c r="D10897" t="s">
        <v>315</v>
      </c>
      <c r="E10897">
        <f>7/92</f>
        <v>7.6086956521739135E-2</v>
      </c>
      <c r="F10897">
        <v>55</v>
      </c>
      <c r="G10897">
        <f>LOG(382/(55+1))</f>
        <v>0.83387533590550833</v>
      </c>
      <c r="H10897">
        <f>0.0760869565217391*1.92006891787142</f>
        <v>0.14609220027282538</v>
      </c>
      <c r="I10897">
        <v>0.14609220027282591</v>
      </c>
    </row>
    <row r="10898" spans="1:9" x14ac:dyDescent="0.25">
      <c r="A10898">
        <v>420</v>
      </c>
      <c r="B10898" t="s">
        <v>3269</v>
      </c>
      <c r="C10898" t="s">
        <v>10</v>
      </c>
      <c r="D10898" t="s">
        <v>3270</v>
      </c>
      <c r="E10898">
        <f>1/92</f>
        <v>1.0869565217391304E-2</v>
      </c>
      <c r="F10898">
        <v>1</v>
      </c>
      <c r="G10898">
        <f>LOG(382/(1+1))</f>
        <v>2.2810333672477277</v>
      </c>
      <c r="H10898">
        <f>0.0108695652173913*5.25227342804663</f>
        <v>5.7089928565724216E-2</v>
      </c>
      <c r="I10898">
        <v>5.7089928565724243E-2</v>
      </c>
    </row>
    <row r="10899" spans="1:9" x14ac:dyDescent="0.25">
      <c r="A10899">
        <v>420</v>
      </c>
      <c r="B10899" t="s">
        <v>3269</v>
      </c>
      <c r="C10899" t="s">
        <v>10</v>
      </c>
      <c r="D10899" t="s">
        <v>42</v>
      </c>
      <c r="E10899">
        <f>1/92</f>
        <v>1.0869565217391304E-2</v>
      </c>
      <c r="F10899">
        <v>251</v>
      </c>
      <c r="G10899">
        <f>LOG(382/(251+1))</f>
        <v>0.18066282213016463</v>
      </c>
      <c r="H10899">
        <f>0.0108695652173913*0.415991521095151</f>
        <v>4.5216469684255522E-3</v>
      </c>
      <c r="I10899">
        <v>4.5216469684255644E-3</v>
      </c>
    </row>
    <row r="10900" spans="1:9" x14ac:dyDescent="0.25">
      <c r="A10900">
        <v>420</v>
      </c>
      <c r="B10900" t="s">
        <v>3269</v>
      </c>
      <c r="C10900" t="s">
        <v>10</v>
      </c>
      <c r="D10900" t="s">
        <v>15</v>
      </c>
      <c r="E10900">
        <f>1/92</f>
        <v>1.0869565217391304E-2</v>
      </c>
      <c r="F10900">
        <v>112</v>
      </c>
      <c r="G10900">
        <f>LOG(382/(112+1))</f>
        <v>0.52898491942828896</v>
      </c>
      <c r="H10900">
        <f>0.0108695652173913*1.21803278989423</f>
        <v>1.323948684667641E-2</v>
      </c>
      <c r="I10900">
        <v>1.323948684667646E-2</v>
      </c>
    </row>
    <row r="10901" spans="1:9" x14ac:dyDescent="0.25">
      <c r="A10901">
        <v>420</v>
      </c>
      <c r="B10901" t="s">
        <v>3269</v>
      </c>
      <c r="C10901" t="s">
        <v>10</v>
      </c>
      <c r="D10901" t="s">
        <v>368</v>
      </c>
      <c r="E10901">
        <f>4/92</f>
        <v>4.3478260869565216E-2</v>
      </c>
      <c r="F10901">
        <v>17</v>
      </c>
      <c r="G10901">
        <f>LOG(382/(17+1))</f>
        <v>1.3267908578084027</v>
      </c>
      <c r="H10901">
        <f>0.0434782608695652*3.05504885071041</f>
        <v>0.13282821090045255</v>
      </c>
      <c r="I10901">
        <v>0.1328282109004526</v>
      </c>
    </row>
    <row r="10902" spans="1:9" x14ac:dyDescent="0.25">
      <c r="A10902">
        <v>420</v>
      </c>
      <c r="B10902" t="s">
        <v>3269</v>
      </c>
      <c r="C10902" t="s">
        <v>10</v>
      </c>
      <c r="D10902" t="s">
        <v>270</v>
      </c>
      <c r="E10902">
        <f>1/92</f>
        <v>1.0869565217391304E-2</v>
      </c>
      <c r="F10902">
        <v>6</v>
      </c>
      <c r="G10902">
        <f>LOG(382/(6+1))</f>
        <v>1.736965322897452</v>
      </c>
      <c r="H10902">
        <f>0.0108695652173913*3.99951045955126</f>
        <v>4.3472939777731069E-2</v>
      </c>
      <c r="I10902">
        <v>4.3472939777731097E-2</v>
      </c>
    </row>
    <row r="10903" spans="1:9" x14ac:dyDescent="0.25">
      <c r="A10903">
        <v>420</v>
      </c>
      <c r="B10903" t="s">
        <v>3269</v>
      </c>
      <c r="C10903" t="s">
        <v>10</v>
      </c>
      <c r="D10903" t="s">
        <v>17</v>
      </c>
      <c r="E10903">
        <f>1/92</f>
        <v>1.0869565217391304E-2</v>
      </c>
      <c r="F10903">
        <v>169</v>
      </c>
      <c r="G10903">
        <f>LOG(382/(169+1))</f>
        <v>0.3516144415334348</v>
      </c>
      <c r="H10903">
        <f>0.0108695652173913*0.809622171556313</f>
        <v>8.8002409951773129E-3</v>
      </c>
      <c r="I10903">
        <v>8.8002409951773199E-3</v>
      </c>
    </row>
    <row r="10904" spans="1:9" x14ac:dyDescent="0.25">
      <c r="A10904">
        <v>420</v>
      </c>
      <c r="B10904" t="s">
        <v>3269</v>
      </c>
      <c r="C10904" t="s">
        <v>10</v>
      </c>
      <c r="D10904" t="s">
        <v>947</v>
      </c>
      <c r="E10904">
        <f>1/92</f>
        <v>1.0869565217391304E-2</v>
      </c>
      <c r="F10904">
        <v>6</v>
      </c>
      <c r="G10904">
        <f>LOG(382/(6+1))</f>
        <v>1.736965322897452</v>
      </c>
      <c r="H10904">
        <f>0.0108695652173913*3.99951045955126</f>
        <v>4.3472939777731069E-2</v>
      </c>
      <c r="I10904">
        <v>4.3472939777731097E-2</v>
      </c>
    </row>
    <row r="10905" spans="1:9" x14ac:dyDescent="0.25">
      <c r="A10905">
        <v>420</v>
      </c>
      <c r="B10905" t="s">
        <v>3269</v>
      </c>
      <c r="C10905" t="s">
        <v>10</v>
      </c>
      <c r="D10905" t="s">
        <v>19</v>
      </c>
      <c r="E10905">
        <f>2/92</f>
        <v>2.1739130434782608E-2</v>
      </c>
      <c r="F10905">
        <v>220</v>
      </c>
      <c r="G10905">
        <f>LOG(382/(220+1))</f>
        <v>0.23767108922659805</v>
      </c>
      <c r="H10905">
        <f>0.0217391304347826*0.547257907088822</f>
        <v>1.1896911023670041E-2</v>
      </c>
      <c r="I10905">
        <v>1.189691102367005E-2</v>
      </c>
    </row>
    <row r="10906" spans="1:9" x14ac:dyDescent="0.25">
      <c r="A10906">
        <v>420</v>
      </c>
      <c r="B10906" t="s">
        <v>3269</v>
      </c>
      <c r="C10906" t="s">
        <v>10</v>
      </c>
      <c r="D10906" t="s">
        <v>370</v>
      </c>
      <c r="E10906">
        <f>2/92</f>
        <v>2.1739130434782608E-2</v>
      </c>
      <c r="F10906">
        <v>14</v>
      </c>
      <c r="G10906">
        <f>LOG(382/(14+1))</f>
        <v>1.4059721038560276</v>
      </c>
      <c r="H10906">
        <f>0.0217391304347826*3.23737040750436</f>
        <v>7.0377617554442579E-2</v>
      </c>
      <c r="I10906">
        <v>7.0377617554442717E-2</v>
      </c>
    </row>
    <row r="10907" spans="1:9" x14ac:dyDescent="0.25">
      <c r="A10907">
        <v>420</v>
      </c>
      <c r="B10907" t="s">
        <v>3269</v>
      </c>
      <c r="C10907" t="s">
        <v>10</v>
      </c>
      <c r="D10907" t="s">
        <v>22</v>
      </c>
      <c r="E10907">
        <f>1/92</f>
        <v>1.0869565217391304E-2</v>
      </c>
      <c r="F10907">
        <v>259</v>
      </c>
      <c r="G10907">
        <f>LOG(382/(259+1))</f>
        <v>0.16709001494089079</v>
      </c>
      <c r="H10907">
        <f>0.0108695652173913*0.384738977591047</f>
        <v>4.181945408598336E-3</v>
      </c>
      <c r="I10907">
        <v>4.1819454085983429E-3</v>
      </c>
    </row>
    <row r="10908" spans="1:9" x14ac:dyDescent="0.25">
      <c r="A10908">
        <v>420</v>
      </c>
      <c r="B10908" t="s">
        <v>3269</v>
      </c>
      <c r="C10908" t="s">
        <v>10</v>
      </c>
      <c r="D10908" t="s">
        <v>23</v>
      </c>
      <c r="E10908">
        <f>1/92</f>
        <v>1.0869565217391304E-2</v>
      </c>
      <c r="F10908">
        <v>275</v>
      </c>
      <c r="G10908">
        <f>LOG(382/(275+1))</f>
        <v>0.14115428084649101</v>
      </c>
      <c r="H10908">
        <f>0.0108695652173913*0.325019742889425</f>
        <v>3.5328232922763572E-3</v>
      </c>
      <c r="I10908">
        <v>3.5328232922763598E-3</v>
      </c>
    </row>
    <row r="10909" spans="1:9" x14ac:dyDescent="0.25">
      <c r="A10909">
        <v>420</v>
      </c>
      <c r="B10909" t="s">
        <v>3269</v>
      </c>
      <c r="C10909" t="s">
        <v>10</v>
      </c>
      <c r="D10909" t="s">
        <v>3271</v>
      </c>
      <c r="E10909">
        <f>1/92</f>
        <v>1.0869565217391304E-2</v>
      </c>
      <c r="F10909">
        <v>1</v>
      </c>
      <c r="G10909">
        <f>LOG(382/(1+1))</f>
        <v>2.2810333672477277</v>
      </c>
      <c r="H10909">
        <f>0.0108695652173913*5.25227342804663</f>
        <v>5.7089928565724216E-2</v>
      </c>
      <c r="I10909">
        <v>5.7089928565724243E-2</v>
      </c>
    </row>
    <row r="10910" spans="1:9" x14ac:dyDescent="0.25">
      <c r="A10910">
        <v>420</v>
      </c>
      <c r="B10910" t="s">
        <v>3269</v>
      </c>
      <c r="C10910" t="s">
        <v>10</v>
      </c>
      <c r="D10910" t="s">
        <v>76</v>
      </c>
      <c r="E10910">
        <f>2/92</f>
        <v>2.1739130434782608E-2</v>
      </c>
      <c r="F10910">
        <v>140</v>
      </c>
      <c r="G10910">
        <f>LOG(382/(140+1))</f>
        <v>0.43284425025632883</v>
      </c>
      <c r="H10910">
        <f>0.0217391304347826*0.996660718228407</f>
        <v>2.1666537352791448E-2</v>
      </c>
      <c r="I10910">
        <v>2.1666537352791459E-2</v>
      </c>
    </row>
    <row r="10911" spans="1:9" x14ac:dyDescent="0.25">
      <c r="A10911">
        <v>420</v>
      </c>
      <c r="B10911" t="s">
        <v>3269</v>
      </c>
      <c r="C10911" t="s">
        <v>10</v>
      </c>
      <c r="D10911" t="s">
        <v>77</v>
      </c>
      <c r="E10911">
        <f>4/92</f>
        <v>4.3478260869565216E-2</v>
      </c>
      <c r="F10911">
        <v>148</v>
      </c>
      <c r="G10911">
        <f>LOG(382/(148+1))</f>
        <v>0.40887709449943471</v>
      </c>
      <c r="H10911">
        <f>0.0434782608695652*0.941474302661116</f>
        <v>4.0933665333091986E-2</v>
      </c>
      <c r="I10911">
        <v>4.0933665333091999E-2</v>
      </c>
    </row>
    <row r="10912" spans="1:9" x14ac:dyDescent="0.25">
      <c r="A10912">
        <v>420</v>
      </c>
      <c r="B10912" t="s">
        <v>3269</v>
      </c>
      <c r="C10912" t="s">
        <v>10</v>
      </c>
      <c r="D10912" t="s">
        <v>247</v>
      </c>
      <c r="E10912">
        <f>2/92</f>
        <v>2.1739130434782608E-2</v>
      </c>
      <c r="F10912">
        <v>121</v>
      </c>
      <c r="G10912">
        <f>LOG(382/(121+1))</f>
        <v>0.49570353223696051</v>
      </c>
      <c r="H10912">
        <f>0.0217391304347826*1.14139956387331</f>
        <v>2.4813033997245864E-2</v>
      </c>
      <c r="I10912">
        <v>2.4813033997246058E-2</v>
      </c>
    </row>
    <row r="10913" spans="1:9" x14ac:dyDescent="0.25">
      <c r="A10913">
        <v>420</v>
      </c>
      <c r="B10913" t="s">
        <v>3269</v>
      </c>
      <c r="C10913" t="s">
        <v>10</v>
      </c>
      <c r="D10913" t="s">
        <v>39</v>
      </c>
      <c r="E10913">
        <f>2/92</f>
        <v>2.1739130434782608E-2</v>
      </c>
      <c r="F10913">
        <v>145</v>
      </c>
      <c r="G10913">
        <f>LOG(382/(145+1))</f>
        <v>0.41771050712727159</v>
      </c>
      <c r="H10913">
        <f>0.0217391304347826*0.961813986898238</f>
        <v>2.090899971517908E-2</v>
      </c>
      <c r="I10913">
        <v>2.0908999715179101E-2</v>
      </c>
    </row>
    <row r="10914" spans="1:9" x14ac:dyDescent="0.25">
      <c r="A10914">
        <v>420</v>
      </c>
      <c r="B10914" t="s">
        <v>3269</v>
      </c>
      <c r="C10914" t="s">
        <v>10</v>
      </c>
      <c r="D10914" t="s">
        <v>1079</v>
      </c>
      <c r="E10914">
        <f>1/92</f>
        <v>1.0869565217391304E-2</v>
      </c>
      <c r="F10914">
        <v>34</v>
      </c>
      <c r="G10914">
        <f>LOG(382/(34+1))</f>
        <v>1.037995318561433</v>
      </c>
      <c r="H10914">
        <f>0.0108695652173913*2.39007254711716</f>
        <v>2.5979049425186512E-2</v>
      </c>
      <c r="I10914">
        <v>2.5979049425186539E-2</v>
      </c>
    </row>
    <row r="10915" spans="1:9" x14ac:dyDescent="0.25">
      <c r="A10915">
        <v>420</v>
      </c>
      <c r="B10915" t="s">
        <v>3269</v>
      </c>
      <c r="C10915" t="s">
        <v>10</v>
      </c>
      <c r="D10915" t="s">
        <v>465</v>
      </c>
      <c r="E10915">
        <f>1/92</f>
        <v>1.0869565217391304E-2</v>
      </c>
      <c r="F10915">
        <v>36</v>
      </c>
      <c r="G10915">
        <f>LOG(382/(36+1))</f>
        <v>1.0138616388447137</v>
      </c>
      <c r="H10915">
        <f>0.0108695652173913*2.33450269596235</f>
        <v>2.537502930393858E-2</v>
      </c>
      <c r="I10915">
        <v>2.53750293039386E-2</v>
      </c>
    </row>
    <row r="10916" spans="1:9" x14ac:dyDescent="0.25">
      <c r="A10916">
        <v>420</v>
      </c>
      <c r="B10916" t="s">
        <v>3269</v>
      </c>
      <c r="C10916" t="s">
        <v>10</v>
      </c>
      <c r="D10916" t="s">
        <v>40</v>
      </c>
      <c r="E10916">
        <f>2/92</f>
        <v>2.1739130434782608E-2</v>
      </c>
      <c r="F10916">
        <v>159</v>
      </c>
      <c r="G10916">
        <f>LOG(382/(159+1))</f>
        <v>0.377943380255784</v>
      </c>
      <c r="H10916">
        <f>0.0217391304347826*0.870246793372748</f>
        <v>1.8918408551581473E-2</v>
      </c>
      <c r="I10916">
        <v>1.891840855158149E-2</v>
      </c>
    </row>
    <row r="10917" spans="1:9" x14ac:dyDescent="0.25">
      <c r="A10917">
        <v>420</v>
      </c>
      <c r="B10917" t="s">
        <v>3269</v>
      </c>
      <c r="C10917" t="s">
        <v>10</v>
      </c>
      <c r="D10917" t="s">
        <v>41</v>
      </c>
      <c r="E10917">
        <f>2/92</f>
        <v>2.1739130434782608E-2</v>
      </c>
      <c r="F10917">
        <v>195</v>
      </c>
      <c r="G10917">
        <f>LOG(382/(195+1))</f>
        <v>0.28980729155523272</v>
      </c>
      <c r="H10917">
        <f>0.0217391304347826*0.667305949376058</f>
        <v>1.450665107339256E-2</v>
      </c>
      <c r="I10917">
        <v>1.450665107339257E-2</v>
      </c>
    </row>
    <row r="10918" spans="1:9" x14ac:dyDescent="0.25">
      <c r="A10918">
        <v>420</v>
      </c>
      <c r="B10918" t="s">
        <v>3269</v>
      </c>
      <c r="C10918" t="s">
        <v>10</v>
      </c>
      <c r="D10918" t="s">
        <v>25</v>
      </c>
      <c r="E10918">
        <f t="shared" ref="E10918:E10923" si="510">1/92</f>
        <v>1.0869565217391304E-2</v>
      </c>
      <c r="F10918">
        <v>106</v>
      </c>
      <c r="G10918">
        <f>LOG(382/(106+1))</f>
        <v>0.55267958522649907</v>
      </c>
      <c r="H10918">
        <f>0.0108695652173913*1.27259177414466</f>
        <v>1.3832519284181081E-2</v>
      </c>
      <c r="I10918">
        <v>1.383251928418119E-2</v>
      </c>
    </row>
    <row r="10919" spans="1:9" x14ac:dyDescent="0.25">
      <c r="A10919">
        <v>420</v>
      </c>
      <c r="B10919" t="s">
        <v>3269</v>
      </c>
      <c r="C10919" t="s">
        <v>10</v>
      </c>
      <c r="D10919" t="s">
        <v>1081</v>
      </c>
      <c r="E10919">
        <f t="shared" si="510"/>
        <v>1.0869565217391304E-2</v>
      </c>
      <c r="F10919">
        <v>27</v>
      </c>
      <c r="G10919">
        <f>LOG(382/(27+1))</f>
        <v>1.1349053315694895</v>
      </c>
      <c r="H10919">
        <f>0.0108695652173913*2.61321609843137</f>
        <v>2.8404522809036624E-2</v>
      </c>
      <c r="I10919">
        <v>2.8404522809036641E-2</v>
      </c>
    </row>
    <row r="10920" spans="1:9" x14ac:dyDescent="0.25">
      <c r="A10920">
        <v>420</v>
      </c>
      <c r="B10920" t="s">
        <v>3269</v>
      </c>
      <c r="C10920" t="s">
        <v>10</v>
      </c>
      <c r="D10920" t="s">
        <v>3272</v>
      </c>
      <c r="E10920">
        <f t="shared" si="510"/>
        <v>1.0869565217391304E-2</v>
      </c>
      <c r="F10920">
        <v>1</v>
      </c>
      <c r="G10920">
        <f>LOG(382/(1+1))</f>
        <v>2.2810333672477277</v>
      </c>
      <c r="H10920">
        <f>0.0108695652173913*5.25227342804663</f>
        <v>5.7089928565724216E-2</v>
      </c>
      <c r="I10920">
        <v>5.7089928565724243E-2</v>
      </c>
    </row>
    <row r="10921" spans="1:9" x14ac:dyDescent="0.25">
      <c r="A10921">
        <v>420</v>
      </c>
      <c r="B10921" t="s">
        <v>3269</v>
      </c>
      <c r="C10921" t="s">
        <v>10</v>
      </c>
      <c r="D10921" t="s">
        <v>152</v>
      </c>
      <c r="E10921">
        <f t="shared" si="510"/>
        <v>1.0869565217391304E-2</v>
      </c>
      <c r="F10921">
        <v>31</v>
      </c>
      <c r="G10921">
        <f>LOG(382/(31+1))</f>
        <v>1.0769133845918029</v>
      </c>
      <c r="H10921">
        <f>0.0108695652173913*2.47968470580684</f>
        <v>2.6953094628335207E-2</v>
      </c>
      <c r="I10921">
        <v>2.6953094628335311E-2</v>
      </c>
    </row>
    <row r="10922" spans="1:9" x14ac:dyDescent="0.25">
      <c r="A10922">
        <v>420</v>
      </c>
      <c r="B10922" t="s">
        <v>3269</v>
      </c>
      <c r="C10922" t="s">
        <v>10</v>
      </c>
      <c r="D10922" t="s">
        <v>763</v>
      </c>
      <c r="E10922">
        <f t="shared" si="510"/>
        <v>1.0869565217391304E-2</v>
      </c>
      <c r="F10922">
        <v>47</v>
      </c>
      <c r="G10922">
        <f>LOG(382/(47+1))</f>
        <v>0.90082212553612151</v>
      </c>
      <c r="H10922">
        <f>0.0108695652173913*2.07421959769868</f>
        <v>2.2545865192376949E-2</v>
      </c>
      <c r="I10922">
        <v>2.2545865192377001E-2</v>
      </c>
    </row>
    <row r="10923" spans="1:9" x14ac:dyDescent="0.25">
      <c r="A10923">
        <v>420</v>
      </c>
      <c r="B10923" t="s">
        <v>3269</v>
      </c>
      <c r="C10923" t="s">
        <v>10</v>
      </c>
      <c r="D10923" t="s">
        <v>1951</v>
      </c>
      <c r="E10923">
        <f t="shared" si="510"/>
        <v>1.0869565217391304E-2</v>
      </c>
      <c r="F10923">
        <v>6</v>
      </c>
      <c r="G10923">
        <f>LOG(382/(6+1))</f>
        <v>1.736965322897452</v>
      </c>
      <c r="H10923">
        <f>0.0108695652173913*3.99951045955126</f>
        <v>4.3472939777731069E-2</v>
      </c>
      <c r="I10923">
        <v>4.3472939777731097E-2</v>
      </c>
    </row>
    <row r="10924" spans="1:9" x14ac:dyDescent="0.25">
      <c r="A10924">
        <v>420</v>
      </c>
      <c r="B10924" t="s">
        <v>3269</v>
      </c>
      <c r="C10924" t="s">
        <v>10</v>
      </c>
      <c r="D10924" t="s">
        <v>483</v>
      </c>
      <c r="E10924">
        <f>2/92</f>
        <v>2.1739130434782608E-2</v>
      </c>
      <c r="F10924">
        <v>61</v>
      </c>
      <c r="G10924">
        <f>LOG(382/(61+1))</f>
        <v>0.7896716734134549</v>
      </c>
      <c r="H10924">
        <f>0.0217391304347826*1.81828622356148</f>
        <v>3.9527961381771295E-2</v>
      </c>
      <c r="I10924">
        <v>3.9527961381771379E-2</v>
      </c>
    </row>
    <row r="10925" spans="1:9" x14ac:dyDescent="0.25">
      <c r="A10925">
        <v>420</v>
      </c>
      <c r="B10925" t="s">
        <v>3269</v>
      </c>
      <c r="C10925" t="s">
        <v>10</v>
      </c>
      <c r="D10925" t="s">
        <v>764</v>
      </c>
      <c r="E10925">
        <f>1/92</f>
        <v>1.0869565217391304E-2</v>
      </c>
      <c r="F10925">
        <v>57</v>
      </c>
      <c r="G10925">
        <f>LOG(382/(57+1))</f>
        <v>0.81863536934877146</v>
      </c>
      <c r="H10925">
        <f>0.0108695652173913*1.88497759806015</f>
        <v>2.0488886935436407E-2</v>
      </c>
      <c r="I10925">
        <v>2.048888693543648E-2</v>
      </c>
    </row>
    <row r="10926" spans="1:9" x14ac:dyDescent="0.25">
      <c r="A10926">
        <v>420</v>
      </c>
      <c r="B10926" t="s">
        <v>3269</v>
      </c>
      <c r="C10926" t="s">
        <v>10</v>
      </c>
      <c r="D10926" t="s">
        <v>1083</v>
      </c>
      <c r="E10926">
        <f>1/92</f>
        <v>1.0869565217391304E-2</v>
      </c>
      <c r="F10926">
        <v>51</v>
      </c>
      <c r="G10926">
        <f>LOG(382/(51+1))</f>
        <v>0.86606001927690957</v>
      </c>
      <c r="H10926">
        <f>0.0108695652173913*1.99417689002514</f>
        <v>2.167583576114282E-2</v>
      </c>
      <c r="I10926">
        <v>2.167583576114291E-2</v>
      </c>
    </row>
    <row r="10927" spans="1:9" x14ac:dyDescent="0.25">
      <c r="A10927">
        <v>420</v>
      </c>
      <c r="B10927" t="s">
        <v>3269</v>
      </c>
      <c r="C10927" t="s">
        <v>10</v>
      </c>
      <c r="D10927" t="s">
        <v>133</v>
      </c>
      <c r="E10927">
        <f>2/92</f>
        <v>2.1739130434782608E-2</v>
      </c>
      <c r="F10927">
        <v>142</v>
      </c>
      <c r="G10927">
        <f>LOG(382/(142+1))</f>
        <v>0.42672732544664693</v>
      </c>
      <c r="H10927">
        <f>0.0217391304347826*0.982575978346667</f>
        <v>2.1360347355362318E-2</v>
      </c>
      <c r="I10927">
        <v>2.1360347355362349E-2</v>
      </c>
    </row>
    <row r="10928" spans="1:9" x14ac:dyDescent="0.25">
      <c r="A10928">
        <v>420</v>
      </c>
      <c r="B10928" t="s">
        <v>3269</v>
      </c>
      <c r="C10928" t="s">
        <v>10</v>
      </c>
      <c r="D10928" t="s">
        <v>331</v>
      </c>
      <c r="E10928">
        <f>2/92</f>
        <v>2.1739130434782608E-2</v>
      </c>
      <c r="F10928">
        <v>130</v>
      </c>
      <c r="G10928">
        <f>LOG(382/(130+1))</f>
        <v>0.46479206725594452</v>
      </c>
      <c r="H10928">
        <f>0.0217391304347826*1.07022328540542</f>
        <v>2.3265723595769994E-2</v>
      </c>
      <c r="I10928">
        <v>2.3265723595770081E-2</v>
      </c>
    </row>
    <row r="10929" spans="1:9" x14ac:dyDescent="0.25">
      <c r="A10929">
        <v>420</v>
      </c>
      <c r="B10929" t="s">
        <v>3269</v>
      </c>
      <c r="C10929" t="s">
        <v>10</v>
      </c>
      <c r="D10929" t="s">
        <v>1328</v>
      </c>
      <c r="E10929">
        <f>1/92</f>
        <v>1.0869565217391304E-2</v>
      </c>
      <c r="F10929">
        <v>22</v>
      </c>
      <c r="G10929">
        <f>LOG(382/(22+1))</f>
        <v>1.2203355268941158</v>
      </c>
      <c r="H10929">
        <f>0.0108695652173913*2.80992639267742</f>
        <v>3.0542678181276293E-2</v>
      </c>
      <c r="I10929">
        <v>3.0542678181276369E-2</v>
      </c>
    </row>
    <row r="10930" spans="1:9" x14ac:dyDescent="0.25">
      <c r="A10930">
        <v>420</v>
      </c>
      <c r="B10930" t="s">
        <v>3269</v>
      </c>
      <c r="C10930" t="s">
        <v>10</v>
      </c>
      <c r="D10930" t="s">
        <v>1397</v>
      </c>
      <c r="E10930">
        <f>1/92</f>
        <v>1.0869565217391304E-2</v>
      </c>
      <c r="F10930">
        <v>29</v>
      </c>
      <c r="G10930">
        <f>LOG(382/(29+1))</f>
        <v>1.1049421081920463</v>
      </c>
      <c r="H10930">
        <f>0.0108695652173913*2.54422322694442</f>
        <v>2.7654600292874119E-2</v>
      </c>
      <c r="I10930">
        <v>2.7654600292874129E-2</v>
      </c>
    </row>
    <row r="10931" spans="1:9" x14ac:dyDescent="0.25">
      <c r="A10931">
        <v>420</v>
      </c>
      <c r="B10931" t="s">
        <v>3269</v>
      </c>
      <c r="C10931" t="s">
        <v>10</v>
      </c>
      <c r="D10931" t="s">
        <v>79</v>
      </c>
      <c r="E10931">
        <f>1/92</f>
        <v>1.0869565217391304E-2</v>
      </c>
      <c r="F10931">
        <v>26</v>
      </c>
      <c r="G10931">
        <f>LOG(382/(26+1))</f>
        <v>1.1506995987527215</v>
      </c>
      <c r="H10931">
        <f>0.0108695652173913*2.64958374260224</f>
        <v>2.8799823289154772E-2</v>
      </c>
      <c r="I10931">
        <v>2.8799823289154852E-2</v>
      </c>
    </row>
    <row r="10932" spans="1:9" x14ac:dyDescent="0.25">
      <c r="A10932">
        <v>420</v>
      </c>
      <c r="B10932" t="s">
        <v>3269</v>
      </c>
      <c r="C10932" t="s">
        <v>10</v>
      </c>
      <c r="D10932" t="s">
        <v>78</v>
      </c>
      <c r="E10932">
        <f>2/92</f>
        <v>2.1739130434782608E-2</v>
      </c>
      <c r="F10932">
        <v>122</v>
      </c>
      <c r="G10932">
        <f>LOG(382/(122+1))</f>
        <v>0.49215825147231079</v>
      </c>
      <c r="H10932">
        <f>0.0217391304347826*1.13323625323415</f>
        <v>2.4635570722481515E-2</v>
      </c>
      <c r="I10932">
        <v>2.4635570722481681E-2</v>
      </c>
    </row>
    <row r="10933" spans="1:9" x14ac:dyDescent="0.25">
      <c r="A10933">
        <v>420</v>
      </c>
      <c r="B10933" t="s">
        <v>3269</v>
      </c>
      <c r="C10933" t="s">
        <v>10</v>
      </c>
      <c r="D10933" t="s">
        <v>3273</v>
      </c>
      <c r="E10933">
        <f>3/92</f>
        <v>3.2608695652173912E-2</v>
      </c>
      <c r="F10933">
        <v>1</v>
      </c>
      <c r="G10933">
        <f>LOG(382/(1+1))</f>
        <v>2.2810333672477277</v>
      </c>
      <c r="H10933">
        <f>0.0326086956521739*5.25227342804663</f>
        <v>0.17126978569717263</v>
      </c>
      <c r="I10933">
        <v>0.17126978569717269</v>
      </c>
    </row>
    <row r="10934" spans="1:9" x14ac:dyDescent="0.25">
      <c r="A10934">
        <v>420</v>
      </c>
      <c r="B10934" t="s">
        <v>3269</v>
      </c>
      <c r="C10934" t="s">
        <v>10</v>
      </c>
      <c r="D10934" t="s">
        <v>3274</v>
      </c>
      <c r="E10934">
        <f t="shared" ref="E10934:E10940" si="511">1/92</f>
        <v>1.0869565217391304E-2</v>
      </c>
      <c r="F10934">
        <v>1</v>
      </c>
      <c r="G10934">
        <f>LOG(382/(1+1))</f>
        <v>2.2810333672477277</v>
      </c>
      <c r="H10934">
        <f>0.0108695652173913*5.25227342804663</f>
        <v>5.7089928565724216E-2</v>
      </c>
      <c r="I10934">
        <v>5.7089928565724243E-2</v>
      </c>
    </row>
    <row r="10935" spans="1:9" x14ac:dyDescent="0.25">
      <c r="A10935">
        <v>420</v>
      </c>
      <c r="B10935" t="s">
        <v>3269</v>
      </c>
      <c r="C10935" t="s">
        <v>10</v>
      </c>
      <c r="D10935" t="s">
        <v>105</v>
      </c>
      <c r="E10935">
        <f t="shared" si="511"/>
        <v>1.0869565217391304E-2</v>
      </c>
      <c r="F10935">
        <v>122</v>
      </c>
      <c r="G10935">
        <f>LOG(382/(122+1))</f>
        <v>0.49215825147231079</v>
      </c>
      <c r="H10935">
        <f>0.0108695652173913*1.13323625323415</f>
        <v>1.2317785361240757E-2</v>
      </c>
      <c r="I10935">
        <v>1.2317785361240841E-2</v>
      </c>
    </row>
    <row r="10936" spans="1:9" x14ac:dyDescent="0.25">
      <c r="A10936">
        <v>420</v>
      </c>
      <c r="B10936" t="s">
        <v>3269</v>
      </c>
      <c r="C10936" t="s">
        <v>10</v>
      </c>
      <c r="D10936" t="s">
        <v>3210</v>
      </c>
      <c r="E10936">
        <f t="shared" si="511"/>
        <v>1.0869565217391304E-2</v>
      </c>
      <c r="F10936">
        <v>3</v>
      </c>
      <c r="G10936">
        <f>LOG(382/(3+1))</f>
        <v>1.9800033715837464</v>
      </c>
      <c r="H10936">
        <f>0.0108695652173913*4.55912624748668</f>
        <v>4.9555720081376937E-2</v>
      </c>
      <c r="I10936">
        <v>4.9555720081377007E-2</v>
      </c>
    </row>
    <row r="10937" spans="1:9" x14ac:dyDescent="0.25">
      <c r="A10937">
        <v>420</v>
      </c>
      <c r="B10937" t="s">
        <v>3269</v>
      </c>
      <c r="C10937" t="s">
        <v>10</v>
      </c>
      <c r="D10937" t="s">
        <v>3211</v>
      </c>
      <c r="E10937">
        <f t="shared" si="511"/>
        <v>1.0869565217391304E-2</v>
      </c>
      <c r="F10937">
        <v>5</v>
      </c>
      <c r="G10937">
        <f>LOG(382/(5+1))</f>
        <v>1.803912112528065</v>
      </c>
      <c r="H10937">
        <f>0.0108695652173913*4.15366113937852</f>
        <v>4.5148490645418676E-2</v>
      </c>
      <c r="I10937">
        <v>4.514849064541869E-2</v>
      </c>
    </row>
    <row r="10938" spans="1:9" x14ac:dyDescent="0.25">
      <c r="A10938">
        <v>420</v>
      </c>
      <c r="B10938" t="s">
        <v>3269</v>
      </c>
      <c r="C10938" t="s">
        <v>10</v>
      </c>
      <c r="D10938" t="s">
        <v>131</v>
      </c>
      <c r="E10938">
        <f t="shared" si="511"/>
        <v>1.0869565217391304E-2</v>
      </c>
      <c r="F10938">
        <v>38</v>
      </c>
      <c r="G10938">
        <f>LOG(382/(38+1))</f>
        <v>0.99099875588520958</v>
      </c>
      <c r="H10938">
        <f>0.0108695652173913*2.28185896247692</f>
        <v>2.4802814809531733E-2</v>
      </c>
      <c r="I10938">
        <v>2.480281480953184E-2</v>
      </c>
    </row>
    <row r="10939" spans="1:9" x14ac:dyDescent="0.25">
      <c r="A10939">
        <v>420</v>
      </c>
      <c r="B10939" t="s">
        <v>3269</v>
      </c>
      <c r="C10939" t="s">
        <v>10</v>
      </c>
      <c r="D10939" t="s">
        <v>666</v>
      </c>
      <c r="E10939">
        <f t="shared" si="511"/>
        <v>1.0869565217391304E-2</v>
      </c>
      <c r="F10939">
        <v>9</v>
      </c>
      <c r="G10939">
        <f>LOG(382/(9+1))</f>
        <v>1.5820633629117087</v>
      </c>
      <c r="H10939">
        <f>0.0108695652173913*3.64283551561252</f>
        <v>3.959603821317955E-2</v>
      </c>
      <c r="I10939">
        <v>3.9596038213179668E-2</v>
      </c>
    </row>
    <row r="10940" spans="1:9" x14ac:dyDescent="0.25">
      <c r="A10940">
        <v>420</v>
      </c>
      <c r="B10940" t="s">
        <v>3269</v>
      </c>
      <c r="C10940" t="s">
        <v>10</v>
      </c>
      <c r="D10940" t="s">
        <v>747</v>
      </c>
      <c r="E10940">
        <f t="shared" si="511"/>
        <v>1.0869565217391304E-2</v>
      </c>
      <c r="F10940">
        <v>14</v>
      </c>
      <c r="G10940">
        <f>LOG(382/(14+1))</f>
        <v>1.4059721038560276</v>
      </c>
      <c r="H10940">
        <f>0.0108695652173913*3.23737040750436</f>
        <v>3.5188808777221289E-2</v>
      </c>
      <c r="I10940">
        <v>3.5188808777221359E-2</v>
      </c>
    </row>
    <row r="10941" spans="1:9" x14ac:dyDescent="0.25">
      <c r="A10941">
        <v>420</v>
      </c>
      <c r="B10941" t="s">
        <v>3269</v>
      </c>
      <c r="C10941" t="s">
        <v>10</v>
      </c>
      <c r="D10941" t="s">
        <v>744</v>
      </c>
      <c r="E10941">
        <f>2/92</f>
        <v>2.1739130434782608E-2</v>
      </c>
      <c r="F10941">
        <v>28</v>
      </c>
      <c r="G10941">
        <f>LOG(382/(28+1))</f>
        <v>1.1196653650127526</v>
      </c>
      <c r="H10941">
        <f>0.0217391304347826*2.5781247786201</f>
        <v>5.604619083956737E-2</v>
      </c>
      <c r="I10941">
        <v>5.6046190839567411E-2</v>
      </c>
    </row>
    <row r="10942" spans="1:9" x14ac:dyDescent="0.25">
      <c r="A10942">
        <v>420</v>
      </c>
      <c r="B10942" t="s">
        <v>3269</v>
      </c>
      <c r="C10942" t="s">
        <v>10</v>
      </c>
      <c r="D10942" t="s">
        <v>3275</v>
      </c>
      <c r="E10942">
        <f t="shared" ref="E10942:E10947" si="512">1/92</f>
        <v>1.0869565217391304E-2</v>
      </c>
      <c r="F10942">
        <v>1</v>
      </c>
      <c r="G10942">
        <f>LOG(382/(1+1))</f>
        <v>2.2810333672477277</v>
      </c>
      <c r="H10942">
        <f>0.0108695652173913*5.25227342804663</f>
        <v>5.7089928565724216E-2</v>
      </c>
      <c r="I10942">
        <v>5.7089928565724243E-2</v>
      </c>
    </row>
    <row r="10943" spans="1:9" x14ac:dyDescent="0.25">
      <c r="A10943">
        <v>420</v>
      </c>
      <c r="B10943" t="s">
        <v>3269</v>
      </c>
      <c r="C10943" t="s">
        <v>10</v>
      </c>
      <c r="D10943" t="s">
        <v>768</v>
      </c>
      <c r="E10943">
        <f t="shared" si="512"/>
        <v>1.0869565217391304E-2</v>
      </c>
      <c r="F10943">
        <v>4</v>
      </c>
      <c r="G10943">
        <f>LOG(382/(4+1))</f>
        <v>1.8830933585756899</v>
      </c>
      <c r="H10943">
        <f>0.0108695652173913*4.33598269617247</f>
        <v>4.7130246697526836E-2</v>
      </c>
      <c r="I10943">
        <v>4.7130246697526898E-2</v>
      </c>
    </row>
    <row r="10944" spans="1:9" x14ac:dyDescent="0.25">
      <c r="A10944">
        <v>420</v>
      </c>
      <c r="B10944" t="s">
        <v>3269</v>
      </c>
      <c r="C10944" t="s">
        <v>10</v>
      </c>
      <c r="D10944" t="s">
        <v>104</v>
      </c>
      <c r="E10944">
        <f t="shared" si="512"/>
        <v>1.0869565217391304E-2</v>
      </c>
      <c r="F10944">
        <v>49</v>
      </c>
      <c r="G10944">
        <f>LOG(382/(49+1))</f>
        <v>0.88309335857568994</v>
      </c>
      <c r="H10944">
        <f>0.0108695652173913*2.03339760317842</f>
        <v>2.2102147860634993E-2</v>
      </c>
      <c r="I10944">
        <v>2.21021478606351E-2</v>
      </c>
    </row>
    <row r="10945" spans="1:9" x14ac:dyDescent="0.25">
      <c r="A10945">
        <v>420</v>
      </c>
      <c r="B10945" t="s">
        <v>3269</v>
      </c>
      <c r="C10945" t="s">
        <v>10</v>
      </c>
      <c r="D10945" t="s">
        <v>1858</v>
      </c>
      <c r="E10945">
        <f t="shared" si="512"/>
        <v>1.0869565217391304E-2</v>
      </c>
      <c r="F10945">
        <v>6</v>
      </c>
      <c r="G10945">
        <f>LOG(382/(6+1))</f>
        <v>1.736965322897452</v>
      </c>
      <c r="H10945">
        <f>0.0108695652173913*3.99951045955126</f>
        <v>4.3472939777731069E-2</v>
      </c>
      <c r="I10945">
        <v>4.3472939777731097E-2</v>
      </c>
    </row>
    <row r="10946" spans="1:9" x14ac:dyDescent="0.25">
      <c r="A10946">
        <v>420</v>
      </c>
      <c r="B10946" t="s">
        <v>3269</v>
      </c>
      <c r="C10946" t="s">
        <v>10</v>
      </c>
      <c r="D10946" t="s">
        <v>204</v>
      </c>
      <c r="E10946">
        <f t="shared" si="512"/>
        <v>1.0869565217391304E-2</v>
      </c>
      <c r="F10946">
        <v>166</v>
      </c>
      <c r="G10946">
        <f>LOG(382/(166+1))</f>
        <v>0.35934689176412549</v>
      </c>
      <c r="H10946">
        <f>0.0108695652173913*0.82742679618982</f>
        <v>8.9937695238023873E-3</v>
      </c>
      <c r="I10946">
        <v>8.9937695238023925E-3</v>
      </c>
    </row>
    <row r="10947" spans="1:9" x14ac:dyDescent="0.25">
      <c r="A10947">
        <v>420</v>
      </c>
      <c r="B10947" t="s">
        <v>3269</v>
      </c>
      <c r="C10947" t="s">
        <v>10</v>
      </c>
      <c r="D10947" t="s">
        <v>754</v>
      </c>
      <c r="E10947">
        <f t="shared" si="512"/>
        <v>1.0869565217391304E-2</v>
      </c>
      <c r="F10947">
        <v>111</v>
      </c>
      <c r="G10947">
        <f>LOG(382/(111+1))</f>
        <v>0.53284534024152708</v>
      </c>
      <c r="H10947">
        <f>0.0108695652173913*1.22692173731148</f>
        <v>1.333610584034217E-2</v>
      </c>
      <c r="I10947">
        <v>1.333610584034218E-2</v>
      </c>
    </row>
    <row r="10948" spans="1:9" x14ac:dyDescent="0.25">
      <c r="A10948">
        <v>420</v>
      </c>
      <c r="B10948" t="s">
        <v>3269</v>
      </c>
      <c r="C10948" t="s">
        <v>10</v>
      </c>
      <c r="D10948" t="s">
        <v>119</v>
      </c>
      <c r="E10948">
        <f>2/92</f>
        <v>2.1739130434782608E-2</v>
      </c>
      <c r="F10948">
        <v>79</v>
      </c>
      <c r="G10948">
        <f>LOG(382/(79+1))</f>
        <v>0.67897337591976514</v>
      </c>
      <c r="H10948">
        <f>0.0217391304347826*1.56339397393269</f>
        <v>3.3986825520275862E-2</v>
      </c>
      <c r="I10948">
        <v>3.3986825520275953E-2</v>
      </c>
    </row>
    <row r="10949" spans="1:9" x14ac:dyDescent="0.25">
      <c r="A10949">
        <v>420</v>
      </c>
      <c r="B10949" t="s">
        <v>3269</v>
      </c>
      <c r="C10949" t="s">
        <v>10</v>
      </c>
      <c r="D10949" t="s">
        <v>1216</v>
      </c>
      <c r="E10949">
        <f t="shared" ref="E10949:E10961" si="513">1/92</f>
        <v>1.0869565217391304E-2</v>
      </c>
      <c r="F10949">
        <v>2</v>
      </c>
      <c r="G10949">
        <f>LOG(382/(2+1))</f>
        <v>2.1049421081920463</v>
      </c>
      <c r="H10949">
        <f>0.0108695652173913*4.84680831993846</f>
        <v>5.268269912976585E-2</v>
      </c>
      <c r="I10949">
        <v>5.2682699129765927E-2</v>
      </c>
    </row>
    <row r="10950" spans="1:9" x14ac:dyDescent="0.25">
      <c r="A10950">
        <v>420</v>
      </c>
      <c r="B10950" t="s">
        <v>3269</v>
      </c>
      <c r="C10950" t="s">
        <v>10</v>
      </c>
      <c r="D10950" t="s">
        <v>3276</v>
      </c>
      <c r="E10950">
        <f t="shared" si="513"/>
        <v>1.0869565217391304E-2</v>
      </c>
      <c r="F10950">
        <v>1</v>
      </c>
      <c r="G10950">
        <f>LOG(382/(1+1))</f>
        <v>2.2810333672477277</v>
      </c>
      <c r="H10950">
        <f>0.0108695652173913*5.25227342804663</f>
        <v>5.7089928565724216E-2</v>
      </c>
      <c r="I10950">
        <v>5.7089928565724243E-2</v>
      </c>
    </row>
    <row r="10951" spans="1:9" x14ac:dyDescent="0.25">
      <c r="A10951">
        <v>420</v>
      </c>
      <c r="B10951" t="s">
        <v>3269</v>
      </c>
      <c r="C10951" t="s">
        <v>10</v>
      </c>
      <c r="D10951" t="s">
        <v>144</v>
      </c>
      <c r="E10951">
        <f t="shared" si="513"/>
        <v>1.0869565217391304E-2</v>
      </c>
      <c r="F10951">
        <v>105</v>
      </c>
      <c r="G10951">
        <f>LOG(382/(105+1))</f>
        <v>0.55675749764693849</v>
      </c>
      <c r="H10951">
        <f>0.0108695652173913*1.2819815144945</f>
        <v>1.3934581679288039E-2</v>
      </c>
      <c r="I10951">
        <v>1.3934581679288131E-2</v>
      </c>
    </row>
    <row r="10952" spans="1:9" x14ac:dyDescent="0.25">
      <c r="A10952">
        <v>420</v>
      </c>
      <c r="B10952" t="s">
        <v>3269</v>
      </c>
      <c r="C10952" t="s">
        <v>10</v>
      </c>
      <c r="D10952" t="s">
        <v>224</v>
      </c>
      <c r="E10952">
        <f t="shared" si="513"/>
        <v>1.0869565217391304E-2</v>
      </c>
      <c r="F10952">
        <v>16</v>
      </c>
      <c r="G10952">
        <f>LOG(382/(16+1))</f>
        <v>1.3516144415334348</v>
      </c>
      <c r="H10952">
        <f>0.0108695652173913*3.11220726455035</f>
        <v>3.382833983206901E-2</v>
      </c>
      <c r="I10952">
        <v>3.3828339832069121E-2</v>
      </c>
    </row>
    <row r="10953" spans="1:9" x14ac:dyDescent="0.25">
      <c r="A10953">
        <v>420</v>
      </c>
      <c r="B10953" t="s">
        <v>3269</v>
      </c>
      <c r="C10953" t="s">
        <v>10</v>
      </c>
      <c r="D10953" t="s">
        <v>3277</v>
      </c>
      <c r="E10953">
        <f t="shared" si="513"/>
        <v>1.0869565217391304E-2</v>
      </c>
      <c r="F10953">
        <v>1</v>
      </c>
      <c r="G10953">
        <f>LOG(382/(1+1))</f>
        <v>2.2810333672477277</v>
      </c>
      <c r="H10953">
        <f>0.0108695652173913*5.25227342804663</f>
        <v>5.7089928565724216E-2</v>
      </c>
      <c r="I10953">
        <v>5.7089928565724243E-2</v>
      </c>
    </row>
    <row r="10954" spans="1:9" x14ac:dyDescent="0.25">
      <c r="A10954">
        <v>420</v>
      </c>
      <c r="B10954" t="s">
        <v>3269</v>
      </c>
      <c r="C10954" t="s">
        <v>10</v>
      </c>
      <c r="D10954" t="s">
        <v>2827</v>
      </c>
      <c r="E10954">
        <f t="shared" si="513"/>
        <v>1.0869565217391304E-2</v>
      </c>
      <c r="F10954">
        <v>2</v>
      </c>
      <c r="G10954">
        <f>LOG(382/(2+1))</f>
        <v>2.1049421081920463</v>
      </c>
      <c r="H10954">
        <f>0.0108695652173913*4.84680831993846</f>
        <v>5.268269912976585E-2</v>
      </c>
      <c r="I10954">
        <v>5.2682699129765927E-2</v>
      </c>
    </row>
    <row r="10955" spans="1:9" x14ac:dyDescent="0.25">
      <c r="A10955">
        <v>420</v>
      </c>
      <c r="B10955" t="s">
        <v>3269</v>
      </c>
      <c r="C10955" t="s">
        <v>10</v>
      </c>
      <c r="D10955" t="s">
        <v>3278</v>
      </c>
      <c r="E10955">
        <f t="shared" si="513"/>
        <v>1.0869565217391304E-2</v>
      </c>
      <c r="F10955">
        <v>1</v>
      </c>
      <c r="G10955">
        <f>LOG(382/(1+1))</f>
        <v>2.2810333672477277</v>
      </c>
      <c r="H10955">
        <f>0.0108695652173913*5.25227342804663</f>
        <v>5.7089928565724216E-2</v>
      </c>
      <c r="I10955">
        <v>5.7089928565724243E-2</v>
      </c>
    </row>
    <row r="10956" spans="1:9" x14ac:dyDescent="0.25">
      <c r="A10956">
        <v>420</v>
      </c>
      <c r="B10956" t="s">
        <v>3269</v>
      </c>
      <c r="C10956" t="s">
        <v>10</v>
      </c>
      <c r="D10956" t="s">
        <v>1224</v>
      </c>
      <c r="E10956">
        <f t="shared" si="513"/>
        <v>1.0869565217391304E-2</v>
      </c>
      <c r="F10956">
        <v>11</v>
      </c>
      <c r="G10956">
        <f>LOG(382/(11+1))</f>
        <v>1.5028821168640838</v>
      </c>
      <c r="H10956">
        <f>0.0108695652173913*3.46051395881857</f>
        <v>3.7614282161071398E-2</v>
      </c>
      <c r="I10956">
        <v>3.7614282161071468E-2</v>
      </c>
    </row>
    <row r="10957" spans="1:9" x14ac:dyDescent="0.25">
      <c r="A10957">
        <v>420</v>
      </c>
      <c r="B10957" t="s">
        <v>3269</v>
      </c>
      <c r="C10957" t="s">
        <v>10</v>
      </c>
      <c r="D10957" t="s">
        <v>3279</v>
      </c>
      <c r="E10957">
        <f t="shared" si="513"/>
        <v>1.0869565217391304E-2</v>
      </c>
      <c r="F10957">
        <v>1</v>
      </c>
      <c r="G10957">
        <f>LOG(382/(1+1))</f>
        <v>2.2810333672477277</v>
      </c>
      <c r="H10957">
        <f>0.0108695652173913*5.25227342804663</f>
        <v>5.7089928565724216E-2</v>
      </c>
      <c r="I10957">
        <v>5.7089928565724243E-2</v>
      </c>
    </row>
    <row r="10958" spans="1:9" x14ac:dyDescent="0.25">
      <c r="A10958">
        <v>420</v>
      </c>
      <c r="B10958" t="s">
        <v>3269</v>
      </c>
      <c r="C10958" t="s">
        <v>10</v>
      </c>
      <c r="D10958" t="s">
        <v>1801</v>
      </c>
      <c r="E10958">
        <f t="shared" si="513"/>
        <v>1.0869565217391304E-2</v>
      </c>
      <c r="F10958">
        <v>3</v>
      </c>
      <c r="G10958">
        <f>LOG(382/(3+1))</f>
        <v>1.9800033715837464</v>
      </c>
      <c r="H10958">
        <f>0.0108695652173913*4.55912624748668</f>
        <v>4.9555720081376937E-2</v>
      </c>
      <c r="I10958">
        <v>4.9555720081377007E-2</v>
      </c>
    </row>
    <row r="10959" spans="1:9" x14ac:dyDescent="0.25">
      <c r="A10959">
        <v>420</v>
      </c>
      <c r="B10959" t="s">
        <v>3269</v>
      </c>
      <c r="C10959" t="s">
        <v>10</v>
      </c>
      <c r="D10959" t="s">
        <v>533</v>
      </c>
      <c r="E10959">
        <f t="shared" si="513"/>
        <v>1.0869565217391304E-2</v>
      </c>
      <c r="F10959">
        <v>8</v>
      </c>
      <c r="G10959">
        <f>LOG(382/(8+1))</f>
        <v>1.6278208534723839</v>
      </c>
      <c r="H10959">
        <f>0.0108695652173913*3.74819603127035</f>
        <v>4.0741261209460311E-2</v>
      </c>
      <c r="I10959">
        <v>4.0741261209460387E-2</v>
      </c>
    </row>
    <row r="10960" spans="1:9" x14ac:dyDescent="0.25">
      <c r="A10960">
        <v>420</v>
      </c>
      <c r="B10960" t="s">
        <v>3269</v>
      </c>
      <c r="C10960" t="s">
        <v>10</v>
      </c>
      <c r="D10960" t="s">
        <v>208</v>
      </c>
      <c r="E10960">
        <f t="shared" si="513"/>
        <v>1.0869565217391304E-2</v>
      </c>
      <c r="F10960">
        <v>2</v>
      </c>
      <c r="G10960">
        <f>LOG(382/(2+1))</f>
        <v>2.1049421081920463</v>
      </c>
      <c r="H10960">
        <f>0.0108695652173913*4.84680831993846</f>
        <v>5.268269912976585E-2</v>
      </c>
      <c r="I10960">
        <v>5.2682699129765927E-2</v>
      </c>
    </row>
    <row r="10961" spans="1:9" x14ac:dyDescent="0.25">
      <c r="A10961">
        <v>420</v>
      </c>
      <c r="B10961" t="s">
        <v>3269</v>
      </c>
      <c r="C10961" t="s">
        <v>10</v>
      </c>
      <c r="D10961" t="s">
        <v>216</v>
      </c>
      <c r="E10961">
        <f t="shared" si="513"/>
        <v>1.0869565217391304E-2</v>
      </c>
      <c r="F10961">
        <v>63</v>
      </c>
      <c r="G10961">
        <f>LOG(382/(63+1))</f>
        <v>0.7758833889278216</v>
      </c>
      <c r="H10961">
        <f>0.0108695652173913*1.7865375252469</f>
        <v>1.9418886143988037E-2</v>
      </c>
      <c r="I10961">
        <v>1.9418886143988082E-2</v>
      </c>
    </row>
    <row r="10962" spans="1:9" x14ac:dyDescent="0.25">
      <c r="A10962">
        <v>421</v>
      </c>
      <c r="B10962" t="s">
        <v>3280</v>
      </c>
      <c r="C10962" t="s">
        <v>10</v>
      </c>
      <c r="D10962" t="s">
        <v>103</v>
      </c>
      <c r="E10962">
        <f>1/5</f>
        <v>0.2</v>
      </c>
      <c r="F10962">
        <v>38</v>
      </c>
      <c r="G10962">
        <f>LOG(382/(38+1))</f>
        <v>0.99099875588520958</v>
      </c>
      <c r="H10962">
        <f>0.2*2.28185896247692</f>
        <v>0.45637179249538407</v>
      </c>
      <c r="I10962">
        <v>0.45637179249538579</v>
      </c>
    </row>
    <row r="10963" spans="1:9" x14ac:dyDescent="0.25">
      <c r="A10963">
        <v>421</v>
      </c>
      <c r="B10963" t="s">
        <v>3280</v>
      </c>
      <c r="C10963" t="s">
        <v>10</v>
      </c>
      <c r="D10963" t="s">
        <v>3281</v>
      </c>
      <c r="E10963">
        <f>1/5</f>
        <v>0.2</v>
      </c>
      <c r="F10963">
        <v>1</v>
      </c>
      <c r="G10963">
        <f>LOG(382/(1+1))</f>
        <v>2.2810333672477277</v>
      </c>
      <c r="H10963">
        <f>0.2*5.25227342804663</f>
        <v>1.050454685609326</v>
      </c>
      <c r="I10963">
        <v>1.050454685609326</v>
      </c>
    </row>
    <row r="10964" spans="1:9" x14ac:dyDescent="0.25">
      <c r="A10964">
        <v>421</v>
      </c>
      <c r="B10964" t="s">
        <v>3280</v>
      </c>
      <c r="C10964" t="s">
        <v>10</v>
      </c>
      <c r="D10964" t="s">
        <v>2486</v>
      </c>
      <c r="E10964">
        <f>1/5</f>
        <v>0.2</v>
      </c>
      <c r="F10964">
        <v>2</v>
      </c>
      <c r="G10964">
        <f>LOG(382/(2+1))</f>
        <v>2.1049421081920463</v>
      </c>
      <c r="H10964">
        <f>0.2*4.84680831993846</f>
        <v>0.96936166398769208</v>
      </c>
      <c r="I10964">
        <v>0.96936166398769308</v>
      </c>
    </row>
    <row r="10965" spans="1:9" x14ac:dyDescent="0.25">
      <c r="A10965">
        <v>421</v>
      </c>
      <c r="B10965" t="s">
        <v>3280</v>
      </c>
      <c r="C10965" t="s">
        <v>10</v>
      </c>
      <c r="D10965" t="s">
        <v>76</v>
      </c>
      <c r="E10965">
        <f>1/5</f>
        <v>0.2</v>
      </c>
      <c r="F10965">
        <v>140</v>
      </c>
      <c r="G10965">
        <f>LOG(382/(140+1))</f>
        <v>0.43284425025632883</v>
      </c>
      <c r="H10965">
        <f>0.2*0.996660718228407</f>
        <v>0.19933214364568141</v>
      </c>
      <c r="I10965">
        <v>0.19933214364568139</v>
      </c>
    </row>
    <row r="10966" spans="1:9" x14ac:dyDescent="0.25">
      <c r="A10966">
        <v>421</v>
      </c>
      <c r="B10966" t="s">
        <v>3280</v>
      </c>
      <c r="C10966" t="s">
        <v>10</v>
      </c>
      <c r="D10966" t="s">
        <v>77</v>
      </c>
      <c r="E10966">
        <f>1/5</f>
        <v>0.2</v>
      </c>
      <c r="F10966">
        <v>148</v>
      </c>
      <c r="G10966">
        <f>LOG(382/(148+1))</f>
        <v>0.40887709449943471</v>
      </c>
      <c r="H10966">
        <f>0.2*0.941474302661116</f>
        <v>0.18829486053222322</v>
      </c>
      <c r="I10966">
        <v>0.18829486053222319</v>
      </c>
    </row>
    <row r="10967" spans="1:9" x14ac:dyDescent="0.25">
      <c r="A10967">
        <v>422</v>
      </c>
      <c r="B10967" t="s">
        <v>3282</v>
      </c>
      <c r="C10967" t="s">
        <v>10</v>
      </c>
      <c r="D10967" t="s">
        <v>15</v>
      </c>
      <c r="E10967">
        <f>1/17</f>
        <v>5.8823529411764705E-2</v>
      </c>
      <c r="F10967">
        <v>112</v>
      </c>
      <c r="G10967">
        <f>LOG(382/(112+1))</f>
        <v>0.52898491942828896</v>
      </c>
      <c r="H10967">
        <f>0.0588235294117647*1.21803278989423</f>
        <v>7.1648987640837047E-2</v>
      </c>
      <c r="I10967">
        <v>7.1648987640837339E-2</v>
      </c>
    </row>
    <row r="10968" spans="1:9" x14ac:dyDescent="0.25">
      <c r="A10968">
        <v>422</v>
      </c>
      <c r="B10968" t="s">
        <v>3282</v>
      </c>
      <c r="C10968" t="s">
        <v>10</v>
      </c>
      <c r="D10968" t="s">
        <v>39</v>
      </c>
      <c r="E10968">
        <f>2/17</f>
        <v>0.11764705882352941</v>
      </c>
      <c r="F10968">
        <v>145</v>
      </c>
      <c r="G10968">
        <f>LOG(382/(145+1))</f>
        <v>0.41771050712727159</v>
      </c>
      <c r="H10968">
        <f>0.117647058823529*0.961813986898238</f>
        <v>0.11315458669390996</v>
      </c>
      <c r="I10968">
        <v>0.1131545866939104</v>
      </c>
    </row>
    <row r="10969" spans="1:9" x14ac:dyDescent="0.25">
      <c r="A10969">
        <v>422</v>
      </c>
      <c r="B10969" t="s">
        <v>3282</v>
      </c>
      <c r="C10969" t="s">
        <v>10</v>
      </c>
      <c r="D10969" t="s">
        <v>2046</v>
      </c>
      <c r="E10969">
        <f>3/17</f>
        <v>0.17647058823529413</v>
      </c>
      <c r="F10969">
        <v>2</v>
      </c>
      <c r="G10969">
        <f>LOG(382/(2+1))</f>
        <v>2.1049421081920463</v>
      </c>
      <c r="H10969">
        <f>0.176470588235294*4.84680831993846</f>
        <v>0.85531911528325699</v>
      </c>
      <c r="I10969">
        <v>0.85531911528325866</v>
      </c>
    </row>
    <row r="10970" spans="1:9" x14ac:dyDescent="0.25">
      <c r="A10970">
        <v>422</v>
      </c>
      <c r="B10970" t="s">
        <v>3282</v>
      </c>
      <c r="C10970" t="s">
        <v>10</v>
      </c>
      <c r="D10970" t="s">
        <v>1708</v>
      </c>
      <c r="E10970">
        <f t="shared" ref="E10970:E10980" si="514">1/17</f>
        <v>5.8823529411764705E-2</v>
      </c>
      <c r="F10970">
        <v>7</v>
      </c>
      <c r="G10970">
        <f>LOG(382/(7+1))</f>
        <v>1.6789733759197651</v>
      </c>
      <c r="H10970">
        <f>0.0588235294117647*3.86597906692673</f>
        <v>0.22741053334863115</v>
      </c>
      <c r="I10970">
        <v>0.2274105333486317</v>
      </c>
    </row>
    <row r="10971" spans="1:9" x14ac:dyDescent="0.25">
      <c r="A10971">
        <v>422</v>
      </c>
      <c r="B10971" t="s">
        <v>3282</v>
      </c>
      <c r="C10971" t="s">
        <v>10</v>
      </c>
      <c r="D10971" t="s">
        <v>31</v>
      </c>
      <c r="E10971">
        <f t="shared" si="514"/>
        <v>5.8823529411764705E-2</v>
      </c>
      <c r="F10971">
        <v>31</v>
      </c>
      <c r="G10971">
        <f>LOG(382/(31+1))</f>
        <v>1.0769133845918029</v>
      </c>
      <c r="H10971">
        <f>0.0588235294117647*2.47968470580684</f>
        <v>0.14586380622393175</v>
      </c>
      <c r="I10971">
        <v>0.1458638062239323</v>
      </c>
    </row>
    <row r="10972" spans="1:9" x14ac:dyDescent="0.25">
      <c r="A10972">
        <v>422</v>
      </c>
      <c r="B10972" t="s">
        <v>3282</v>
      </c>
      <c r="C10972" t="s">
        <v>10</v>
      </c>
      <c r="D10972" t="s">
        <v>2843</v>
      </c>
      <c r="E10972">
        <f t="shared" si="514"/>
        <v>5.8823529411764705E-2</v>
      </c>
      <c r="F10972">
        <v>2</v>
      </c>
      <c r="G10972">
        <f>LOG(382/(2+1))</f>
        <v>2.1049421081920463</v>
      </c>
      <c r="H10972">
        <f>0.0588235294117647*4.84680831993846</f>
        <v>0.28510637176108583</v>
      </c>
      <c r="I10972">
        <v>0.28510637176108622</v>
      </c>
    </row>
    <row r="10973" spans="1:9" x14ac:dyDescent="0.25">
      <c r="A10973">
        <v>422</v>
      </c>
      <c r="B10973" t="s">
        <v>3282</v>
      </c>
      <c r="C10973" t="s">
        <v>10</v>
      </c>
      <c r="D10973" t="s">
        <v>706</v>
      </c>
      <c r="E10973">
        <f t="shared" si="514"/>
        <v>5.8823529411764705E-2</v>
      </c>
      <c r="F10973">
        <v>6</v>
      </c>
      <c r="G10973">
        <f>LOG(382/(6+1))</f>
        <v>1.736965322897452</v>
      </c>
      <c r="H10973">
        <f>0.0588235294117647*3.99951045955126</f>
        <v>0.23526532115007409</v>
      </c>
      <c r="I10973">
        <v>0.2352653211500742</v>
      </c>
    </row>
    <row r="10974" spans="1:9" x14ac:dyDescent="0.25">
      <c r="A10974">
        <v>422</v>
      </c>
      <c r="B10974" t="s">
        <v>3282</v>
      </c>
      <c r="C10974" t="s">
        <v>10</v>
      </c>
      <c r="D10974" t="s">
        <v>62</v>
      </c>
      <c r="E10974">
        <f t="shared" si="514"/>
        <v>5.8823529411764705E-2</v>
      </c>
      <c r="F10974">
        <v>6</v>
      </c>
      <c r="G10974">
        <f>LOG(382/(6+1))</f>
        <v>1.736965322897452</v>
      </c>
      <c r="H10974">
        <f>0.0588235294117647*3.99951045955126</f>
        <v>0.23526532115007409</v>
      </c>
      <c r="I10974">
        <v>0.2352653211500742</v>
      </c>
    </row>
    <row r="10975" spans="1:9" x14ac:dyDescent="0.25">
      <c r="A10975">
        <v>422</v>
      </c>
      <c r="B10975" t="s">
        <v>3282</v>
      </c>
      <c r="C10975" t="s">
        <v>10</v>
      </c>
      <c r="D10975" t="s">
        <v>1579</v>
      </c>
      <c r="E10975">
        <f t="shared" si="514"/>
        <v>5.8823529411764705E-2</v>
      </c>
      <c r="F10975">
        <v>6</v>
      </c>
      <c r="G10975">
        <f>LOG(382/(6+1))</f>
        <v>1.736965322897452</v>
      </c>
      <c r="H10975">
        <f>0.0588235294117647*3.99951045955126</f>
        <v>0.23526532115007409</v>
      </c>
      <c r="I10975">
        <v>0.2352653211500742</v>
      </c>
    </row>
    <row r="10976" spans="1:9" x14ac:dyDescent="0.25">
      <c r="A10976">
        <v>422</v>
      </c>
      <c r="B10976" t="s">
        <v>3282</v>
      </c>
      <c r="C10976" t="s">
        <v>10</v>
      </c>
      <c r="D10976" t="s">
        <v>38</v>
      </c>
      <c r="E10976">
        <f t="shared" si="514"/>
        <v>5.8823529411764705E-2</v>
      </c>
      <c r="F10976">
        <v>86</v>
      </c>
      <c r="G10976">
        <f>LOG(382/(86+1))</f>
        <v>0.64254411029309022</v>
      </c>
      <c r="H10976">
        <f>0.0588235294117647*1.47951248995199</f>
        <v>8.7030146467764108E-2</v>
      </c>
      <c r="I10976">
        <v>8.7030146467764191E-2</v>
      </c>
    </row>
    <row r="10977" spans="1:9" x14ac:dyDescent="0.25">
      <c r="A10977">
        <v>422</v>
      </c>
      <c r="B10977" t="s">
        <v>3282</v>
      </c>
      <c r="C10977" t="s">
        <v>10</v>
      </c>
      <c r="D10977" t="s">
        <v>133</v>
      </c>
      <c r="E10977">
        <f t="shared" si="514"/>
        <v>5.8823529411764705E-2</v>
      </c>
      <c r="F10977">
        <v>142</v>
      </c>
      <c r="G10977">
        <f>LOG(382/(142+1))</f>
        <v>0.42672732544664693</v>
      </c>
      <c r="H10977">
        <f>0.0588235294117647*0.982575978346667</f>
        <v>5.7798586961568636E-2</v>
      </c>
      <c r="I10977">
        <v>5.7798586961568699E-2</v>
      </c>
    </row>
    <row r="10978" spans="1:9" x14ac:dyDescent="0.25">
      <c r="A10978">
        <v>422</v>
      </c>
      <c r="B10978" t="s">
        <v>3282</v>
      </c>
      <c r="C10978" t="s">
        <v>10</v>
      </c>
      <c r="D10978" t="s">
        <v>76</v>
      </c>
      <c r="E10978">
        <f t="shared" si="514"/>
        <v>5.8823529411764705E-2</v>
      </c>
      <c r="F10978">
        <v>140</v>
      </c>
      <c r="G10978">
        <f>LOG(382/(140+1))</f>
        <v>0.43284425025632883</v>
      </c>
      <c r="H10978">
        <f>0.0588235294117647*0.996660718228407</f>
        <v>5.8627101072259227E-2</v>
      </c>
      <c r="I10978">
        <v>5.8627101072259227E-2</v>
      </c>
    </row>
    <row r="10979" spans="1:9" x14ac:dyDescent="0.25">
      <c r="A10979">
        <v>422</v>
      </c>
      <c r="B10979" t="s">
        <v>3282</v>
      </c>
      <c r="C10979" t="s">
        <v>10</v>
      </c>
      <c r="D10979" t="s">
        <v>40</v>
      </c>
      <c r="E10979">
        <f t="shared" si="514"/>
        <v>5.8823529411764705E-2</v>
      </c>
      <c r="F10979">
        <v>159</v>
      </c>
      <c r="G10979">
        <f>LOG(382/(159+1))</f>
        <v>0.377943380255784</v>
      </c>
      <c r="H10979">
        <f>0.0588235294117647*0.870246793372748</f>
        <v>5.1190987845455761E-2</v>
      </c>
      <c r="I10979">
        <v>5.1190987845455782E-2</v>
      </c>
    </row>
    <row r="10980" spans="1:9" x14ac:dyDescent="0.25">
      <c r="A10980">
        <v>422</v>
      </c>
      <c r="B10980" t="s">
        <v>3282</v>
      </c>
      <c r="C10980" t="s">
        <v>10</v>
      </c>
      <c r="D10980" t="s">
        <v>41</v>
      </c>
      <c r="E10980">
        <f t="shared" si="514"/>
        <v>5.8823529411764705E-2</v>
      </c>
      <c r="F10980">
        <v>195</v>
      </c>
      <c r="G10980">
        <f>LOG(382/(195+1))</f>
        <v>0.28980729155523272</v>
      </c>
      <c r="H10980">
        <f>0.0588235294117647*0.667305949376058</f>
        <v>3.9253291139768116E-2</v>
      </c>
      <c r="I10980">
        <v>3.9253291139768123E-2</v>
      </c>
    </row>
    <row r="10981" spans="1:9" x14ac:dyDescent="0.25">
      <c r="A10981">
        <v>423</v>
      </c>
      <c r="B10981" t="s">
        <v>3283</v>
      </c>
      <c r="C10981" t="s">
        <v>75</v>
      </c>
      <c r="D10981" t="s">
        <v>1746</v>
      </c>
      <c r="E10981">
        <f>1/46</f>
        <v>2.1739130434782608E-2</v>
      </c>
      <c r="F10981">
        <v>5</v>
      </c>
      <c r="G10981">
        <f>LOG(382/(5+1))</f>
        <v>1.803912112528065</v>
      </c>
      <c r="H10981">
        <f>0.0217391304347826*4.15366113937852</f>
        <v>9.0296981290837353E-2</v>
      </c>
      <c r="I10981">
        <v>9.029698129083738E-2</v>
      </c>
    </row>
    <row r="10982" spans="1:9" x14ac:dyDescent="0.25">
      <c r="A10982">
        <v>423</v>
      </c>
      <c r="B10982" t="s">
        <v>3283</v>
      </c>
      <c r="C10982" t="s">
        <v>75</v>
      </c>
      <c r="D10982" t="s">
        <v>3284</v>
      </c>
      <c r="E10982">
        <f>1/46</f>
        <v>2.1739130434782608E-2</v>
      </c>
      <c r="F10982">
        <v>3</v>
      </c>
      <c r="G10982">
        <f>LOG(382/(3+1))</f>
        <v>1.9800033715837464</v>
      </c>
      <c r="H10982">
        <f>0.0217391304347826*4.55912624748668</f>
        <v>9.9111440162753875E-2</v>
      </c>
      <c r="I10982">
        <v>9.9111440162754014E-2</v>
      </c>
    </row>
    <row r="10983" spans="1:9" x14ac:dyDescent="0.25">
      <c r="A10983">
        <v>423</v>
      </c>
      <c r="B10983" t="s">
        <v>3283</v>
      </c>
      <c r="C10983" t="s">
        <v>75</v>
      </c>
      <c r="D10983" t="s">
        <v>2257</v>
      </c>
      <c r="E10983">
        <f>1/46</f>
        <v>2.1739130434782608E-2</v>
      </c>
      <c r="F10983">
        <v>11</v>
      </c>
      <c r="G10983">
        <f>LOG(382/(11+1))</f>
        <v>1.5028821168640838</v>
      </c>
      <c r="H10983">
        <f>0.0217391304347826*3.46051395881857</f>
        <v>7.5228564322142796E-2</v>
      </c>
      <c r="I10983">
        <v>7.5228564322142935E-2</v>
      </c>
    </row>
    <row r="10984" spans="1:9" x14ac:dyDescent="0.25">
      <c r="A10984">
        <v>423</v>
      </c>
      <c r="B10984" t="s">
        <v>3283</v>
      </c>
      <c r="C10984" t="s">
        <v>75</v>
      </c>
      <c r="D10984" t="s">
        <v>465</v>
      </c>
      <c r="E10984">
        <f>1/46</f>
        <v>2.1739130434782608E-2</v>
      </c>
      <c r="F10984">
        <v>36</v>
      </c>
      <c r="G10984">
        <f>LOG(382/(36+1))</f>
        <v>1.0138616388447137</v>
      </c>
      <c r="H10984">
        <f>0.0217391304347826*2.33450269596235</f>
        <v>5.0750058607877159E-2</v>
      </c>
      <c r="I10984">
        <v>5.0750058607877187E-2</v>
      </c>
    </row>
    <row r="10985" spans="1:9" x14ac:dyDescent="0.25">
      <c r="A10985">
        <v>423</v>
      </c>
      <c r="B10985" t="s">
        <v>3283</v>
      </c>
      <c r="C10985" t="s">
        <v>75</v>
      </c>
      <c r="D10985" t="s">
        <v>40</v>
      </c>
      <c r="E10985">
        <f>2/46</f>
        <v>4.3478260869565216E-2</v>
      </c>
      <c r="F10985">
        <v>159</v>
      </c>
      <c r="G10985">
        <f>LOG(382/(159+1))</f>
        <v>0.377943380255784</v>
      </c>
      <c r="H10985">
        <f>0.0434782608695652*0.870246793372748</f>
        <v>3.7836817103162945E-2</v>
      </c>
      <c r="I10985">
        <v>3.7836817103162973E-2</v>
      </c>
    </row>
    <row r="10986" spans="1:9" x14ac:dyDescent="0.25">
      <c r="A10986">
        <v>423</v>
      </c>
      <c r="B10986" t="s">
        <v>3283</v>
      </c>
      <c r="C10986" t="s">
        <v>75</v>
      </c>
      <c r="D10986" t="s">
        <v>41</v>
      </c>
      <c r="E10986">
        <f>2/46</f>
        <v>4.3478260869565216E-2</v>
      </c>
      <c r="F10986">
        <v>195</v>
      </c>
      <c r="G10986">
        <f>LOG(382/(195+1))</f>
        <v>0.28980729155523272</v>
      </c>
      <c r="H10986">
        <f>0.0434782608695652*0.667305949376058</f>
        <v>2.901330214678512E-2</v>
      </c>
      <c r="I10986">
        <v>2.901330214678513E-2</v>
      </c>
    </row>
    <row r="10987" spans="1:9" x14ac:dyDescent="0.25">
      <c r="A10987">
        <v>423</v>
      </c>
      <c r="B10987" t="s">
        <v>3283</v>
      </c>
      <c r="C10987" t="s">
        <v>75</v>
      </c>
      <c r="D10987" t="s">
        <v>144</v>
      </c>
      <c r="E10987">
        <f t="shared" ref="E10987:E10997" si="515">1/46</f>
        <v>2.1739130434782608E-2</v>
      </c>
      <c r="F10987">
        <v>105</v>
      </c>
      <c r="G10987">
        <f>LOG(382/(105+1))</f>
        <v>0.55675749764693849</v>
      </c>
      <c r="H10987">
        <f>0.0217391304347826*1.2819815144945</f>
        <v>2.7869163358576077E-2</v>
      </c>
      <c r="I10987">
        <v>2.7869163358576261E-2</v>
      </c>
    </row>
    <row r="10988" spans="1:9" x14ac:dyDescent="0.25">
      <c r="A10988">
        <v>423</v>
      </c>
      <c r="B10988" t="s">
        <v>3283</v>
      </c>
      <c r="C10988" t="s">
        <v>75</v>
      </c>
      <c r="D10988" t="s">
        <v>260</v>
      </c>
      <c r="E10988">
        <f t="shared" si="515"/>
        <v>2.1739130434782608E-2</v>
      </c>
      <c r="F10988">
        <v>31</v>
      </c>
      <c r="G10988">
        <f>LOG(382/(31+1))</f>
        <v>1.0769133845918029</v>
      </c>
      <c r="H10988">
        <f>0.0217391304347826*2.47968470580684</f>
        <v>5.3906189256670414E-2</v>
      </c>
      <c r="I10988">
        <v>5.3906189256670622E-2</v>
      </c>
    </row>
    <row r="10989" spans="1:9" x14ac:dyDescent="0.25">
      <c r="A10989">
        <v>423</v>
      </c>
      <c r="B10989" t="s">
        <v>3283</v>
      </c>
      <c r="C10989" t="s">
        <v>75</v>
      </c>
      <c r="D10989" t="s">
        <v>2180</v>
      </c>
      <c r="E10989">
        <f t="shared" si="515"/>
        <v>2.1739130434782608E-2</v>
      </c>
      <c r="F10989">
        <v>7</v>
      </c>
      <c r="G10989">
        <f>LOG(382/(7+1))</f>
        <v>1.6789733759197651</v>
      </c>
      <c r="H10989">
        <f>0.0217391304347826*3.86597906692673</f>
        <v>8.4043023194059319E-2</v>
      </c>
      <c r="I10989">
        <v>8.4043023194059541E-2</v>
      </c>
    </row>
    <row r="10990" spans="1:9" x14ac:dyDescent="0.25">
      <c r="A10990">
        <v>423</v>
      </c>
      <c r="B10990" t="s">
        <v>3283</v>
      </c>
      <c r="C10990" t="s">
        <v>75</v>
      </c>
      <c r="D10990" t="s">
        <v>1196</v>
      </c>
      <c r="E10990">
        <f t="shared" si="515"/>
        <v>2.1739130434782608E-2</v>
      </c>
      <c r="F10990">
        <v>7</v>
      </c>
      <c r="G10990">
        <f>LOG(382/(7+1))</f>
        <v>1.6789733759197651</v>
      </c>
      <c r="H10990">
        <f>0.0217391304347826*3.86597906692673</f>
        <v>8.4043023194059319E-2</v>
      </c>
      <c r="I10990">
        <v>8.4043023194059541E-2</v>
      </c>
    </row>
    <row r="10991" spans="1:9" x14ac:dyDescent="0.25">
      <c r="A10991">
        <v>423</v>
      </c>
      <c r="B10991" t="s">
        <v>3283</v>
      </c>
      <c r="C10991" t="s">
        <v>75</v>
      </c>
      <c r="D10991" t="s">
        <v>147</v>
      </c>
      <c r="E10991">
        <f t="shared" si="515"/>
        <v>2.1739130434782608E-2</v>
      </c>
      <c r="F10991">
        <v>48</v>
      </c>
      <c r="G10991">
        <f>LOG(382/(48+1))</f>
        <v>0.89186728288319506</v>
      </c>
      <c r="H10991">
        <f>0.0217391304347826*2.05360031049594</f>
        <v>4.4643485010781289E-2</v>
      </c>
      <c r="I10991">
        <v>4.4643485010781497E-2</v>
      </c>
    </row>
    <row r="10992" spans="1:9" x14ac:dyDescent="0.25">
      <c r="A10992">
        <v>423</v>
      </c>
      <c r="B10992" t="s">
        <v>3283</v>
      </c>
      <c r="C10992" t="s">
        <v>75</v>
      </c>
      <c r="D10992" t="s">
        <v>1328</v>
      </c>
      <c r="E10992">
        <f t="shared" si="515"/>
        <v>2.1739130434782608E-2</v>
      </c>
      <c r="F10992">
        <v>22</v>
      </c>
      <c r="G10992">
        <f>LOG(382/(22+1))</f>
        <v>1.2203355268941158</v>
      </c>
      <c r="H10992">
        <f>0.0217391304347826*2.80992639267742</f>
        <v>6.1085356362552586E-2</v>
      </c>
      <c r="I10992">
        <v>6.1085356362552731E-2</v>
      </c>
    </row>
    <row r="10993" spans="1:9" x14ac:dyDescent="0.25">
      <c r="A10993">
        <v>423</v>
      </c>
      <c r="B10993" t="s">
        <v>3283</v>
      </c>
      <c r="C10993" t="s">
        <v>75</v>
      </c>
      <c r="D10993" t="s">
        <v>1396</v>
      </c>
      <c r="E10993">
        <f t="shared" si="515"/>
        <v>2.1739130434782608E-2</v>
      </c>
      <c r="F10993">
        <v>18</v>
      </c>
      <c r="G10993">
        <f>LOG(382/(18+1))</f>
        <v>1.3033097619588798</v>
      </c>
      <c r="H10993">
        <f>0.0217391304347826*3.00098162944013</f>
        <v>6.5238731074785408E-2</v>
      </c>
      <c r="I10993">
        <v>6.5238731074785533E-2</v>
      </c>
    </row>
    <row r="10994" spans="1:9" x14ac:dyDescent="0.25">
      <c r="A10994">
        <v>423</v>
      </c>
      <c r="B10994" t="s">
        <v>3283</v>
      </c>
      <c r="C10994" t="s">
        <v>75</v>
      </c>
      <c r="D10994" t="s">
        <v>2384</v>
      </c>
      <c r="E10994">
        <f t="shared" si="515"/>
        <v>2.1739130434782608E-2</v>
      </c>
      <c r="F10994">
        <v>5</v>
      </c>
      <c r="G10994">
        <f>LOG(382/(5+1))</f>
        <v>1.803912112528065</v>
      </c>
      <c r="H10994">
        <f>0.0217391304347826*4.15366113937852</f>
        <v>9.0296981290837353E-2</v>
      </c>
      <c r="I10994">
        <v>9.029698129083738E-2</v>
      </c>
    </row>
    <row r="10995" spans="1:9" x14ac:dyDescent="0.25">
      <c r="A10995">
        <v>423</v>
      </c>
      <c r="B10995" t="s">
        <v>3283</v>
      </c>
      <c r="C10995" t="s">
        <v>75</v>
      </c>
      <c r="D10995" t="s">
        <v>76</v>
      </c>
      <c r="E10995">
        <f t="shared" si="515"/>
        <v>2.1739130434782608E-2</v>
      </c>
      <c r="F10995">
        <v>140</v>
      </c>
      <c r="G10995">
        <f>LOG(382/(140+1))</f>
        <v>0.43284425025632883</v>
      </c>
      <c r="H10995">
        <f>0.0217391304347826*0.996660718228407</f>
        <v>2.1666537352791448E-2</v>
      </c>
      <c r="I10995">
        <v>2.1666537352791459E-2</v>
      </c>
    </row>
    <row r="10996" spans="1:9" x14ac:dyDescent="0.25">
      <c r="A10996">
        <v>423</v>
      </c>
      <c r="B10996" t="s">
        <v>3283</v>
      </c>
      <c r="C10996" t="s">
        <v>75</v>
      </c>
      <c r="D10996" t="s">
        <v>752</v>
      </c>
      <c r="E10996">
        <f t="shared" si="515"/>
        <v>2.1739130434782608E-2</v>
      </c>
      <c r="F10996">
        <v>34</v>
      </c>
      <c r="G10996">
        <f>LOG(382/(34+1))</f>
        <v>1.037995318561433</v>
      </c>
      <c r="H10996">
        <f>0.0217391304347826*2.39007254711716</f>
        <v>5.1958098850373023E-2</v>
      </c>
      <c r="I10996">
        <v>5.1958098850373072E-2</v>
      </c>
    </row>
    <row r="10997" spans="1:9" x14ac:dyDescent="0.25">
      <c r="A10997">
        <v>423</v>
      </c>
      <c r="B10997" t="s">
        <v>3283</v>
      </c>
      <c r="C10997" t="s">
        <v>75</v>
      </c>
      <c r="D10997" t="s">
        <v>322</v>
      </c>
      <c r="E10997">
        <f t="shared" si="515"/>
        <v>2.1739130434782608E-2</v>
      </c>
      <c r="F10997">
        <v>128</v>
      </c>
      <c r="G10997">
        <f>LOG(382/(128+1))</f>
        <v>0.47147365261245977</v>
      </c>
      <c r="H10997">
        <f>0.0217391304347826*1.0856082042449</f>
        <v>2.3600178353149991E-2</v>
      </c>
      <c r="I10997">
        <v>2.3600178353150071E-2</v>
      </c>
    </row>
    <row r="10998" spans="1:9" x14ac:dyDescent="0.25">
      <c r="A10998">
        <v>423</v>
      </c>
      <c r="B10998" t="s">
        <v>3283</v>
      </c>
      <c r="C10998" t="s">
        <v>75</v>
      </c>
      <c r="D10998" t="s">
        <v>1916</v>
      </c>
      <c r="E10998">
        <f>2/46</f>
        <v>4.3478260869565216E-2</v>
      </c>
      <c r="F10998">
        <v>5</v>
      </c>
      <c r="G10998">
        <f>LOG(382/(5+1))</f>
        <v>1.803912112528065</v>
      </c>
      <c r="H10998">
        <f>0.0434782608695652*4.15366113937852</f>
        <v>0.18059396258167471</v>
      </c>
      <c r="I10998">
        <v>0.18059396258167479</v>
      </c>
    </row>
    <row r="10999" spans="1:9" x14ac:dyDescent="0.25">
      <c r="A10999">
        <v>423</v>
      </c>
      <c r="B10999" t="s">
        <v>3283</v>
      </c>
      <c r="C10999" t="s">
        <v>75</v>
      </c>
      <c r="D10999" t="s">
        <v>2099</v>
      </c>
      <c r="E10999">
        <f t="shared" ref="E10999:E11007" si="516">1/46</f>
        <v>2.1739130434782608E-2</v>
      </c>
      <c r="F10999">
        <v>6</v>
      </c>
      <c r="G10999">
        <f>LOG(382/(6+1))</f>
        <v>1.736965322897452</v>
      </c>
      <c r="H10999">
        <f>0.0217391304347826*3.99951045955126</f>
        <v>8.6945879555462138E-2</v>
      </c>
      <c r="I10999">
        <v>8.6945879555462208E-2</v>
      </c>
    </row>
    <row r="11000" spans="1:9" x14ac:dyDescent="0.25">
      <c r="A11000">
        <v>423</v>
      </c>
      <c r="B11000" t="s">
        <v>3283</v>
      </c>
      <c r="C11000" t="s">
        <v>75</v>
      </c>
      <c r="D11000" t="s">
        <v>3285</v>
      </c>
      <c r="E11000">
        <f t="shared" si="516"/>
        <v>2.1739130434782608E-2</v>
      </c>
      <c r="F11000">
        <v>3</v>
      </c>
      <c r="G11000">
        <f>LOG(382/(3+1))</f>
        <v>1.9800033715837464</v>
      </c>
      <c r="H11000">
        <f>0.0217391304347826*4.55912624748668</f>
        <v>9.9111440162753875E-2</v>
      </c>
      <c r="I11000">
        <v>9.9111440162754014E-2</v>
      </c>
    </row>
    <row r="11001" spans="1:9" x14ac:dyDescent="0.25">
      <c r="A11001">
        <v>423</v>
      </c>
      <c r="B11001" t="s">
        <v>3283</v>
      </c>
      <c r="C11001" t="s">
        <v>75</v>
      </c>
      <c r="D11001" t="s">
        <v>630</v>
      </c>
      <c r="E11001">
        <f t="shared" si="516"/>
        <v>2.1739130434782608E-2</v>
      </c>
      <c r="F11001">
        <v>6</v>
      </c>
      <c r="G11001">
        <f>LOG(382/(6+1))</f>
        <v>1.736965322897452</v>
      </c>
      <c r="H11001">
        <f>0.0217391304347826*3.99951045955126</f>
        <v>8.6945879555462138E-2</v>
      </c>
      <c r="I11001">
        <v>8.6945879555462208E-2</v>
      </c>
    </row>
    <row r="11002" spans="1:9" x14ac:dyDescent="0.25">
      <c r="A11002">
        <v>423</v>
      </c>
      <c r="B11002" t="s">
        <v>3283</v>
      </c>
      <c r="C11002" t="s">
        <v>75</v>
      </c>
      <c r="D11002" t="s">
        <v>3286</v>
      </c>
      <c r="E11002">
        <f t="shared" si="516"/>
        <v>2.1739130434782608E-2</v>
      </c>
      <c r="F11002">
        <v>2</v>
      </c>
      <c r="G11002">
        <f>LOG(382/(2+1))</f>
        <v>2.1049421081920463</v>
      </c>
      <c r="H11002">
        <f>0.0217391304347826*4.84680831993846</f>
        <v>0.1053653982595317</v>
      </c>
      <c r="I11002">
        <v>0.10536539825953189</v>
      </c>
    </row>
    <row r="11003" spans="1:9" x14ac:dyDescent="0.25">
      <c r="A11003">
        <v>423</v>
      </c>
      <c r="B11003" t="s">
        <v>3283</v>
      </c>
      <c r="C11003" t="s">
        <v>75</v>
      </c>
      <c r="D11003" t="s">
        <v>3287</v>
      </c>
      <c r="E11003">
        <f t="shared" si="516"/>
        <v>2.1739130434782608E-2</v>
      </c>
      <c r="F11003">
        <v>2</v>
      </c>
      <c r="G11003">
        <f>LOG(382/(2+1))</f>
        <v>2.1049421081920463</v>
      </c>
      <c r="H11003">
        <f>0.0217391304347826*4.84680831993846</f>
        <v>0.1053653982595317</v>
      </c>
      <c r="I11003">
        <v>0.10536539825953189</v>
      </c>
    </row>
    <row r="11004" spans="1:9" x14ac:dyDescent="0.25">
      <c r="A11004">
        <v>423</v>
      </c>
      <c r="B11004" t="s">
        <v>3283</v>
      </c>
      <c r="C11004" t="s">
        <v>75</v>
      </c>
      <c r="D11004" t="s">
        <v>3288</v>
      </c>
      <c r="E11004">
        <f t="shared" si="516"/>
        <v>2.1739130434782608E-2</v>
      </c>
      <c r="F11004">
        <v>2</v>
      </c>
      <c r="G11004">
        <f>LOG(382/(2+1))</f>
        <v>2.1049421081920463</v>
      </c>
      <c r="H11004">
        <f>0.0217391304347826*4.84680831993846</f>
        <v>0.1053653982595317</v>
      </c>
      <c r="I11004">
        <v>0.10536539825953189</v>
      </c>
    </row>
    <row r="11005" spans="1:9" x14ac:dyDescent="0.25">
      <c r="A11005">
        <v>423</v>
      </c>
      <c r="B11005" t="s">
        <v>3283</v>
      </c>
      <c r="C11005" t="s">
        <v>75</v>
      </c>
      <c r="D11005" t="s">
        <v>3289</v>
      </c>
      <c r="E11005">
        <f t="shared" si="516"/>
        <v>2.1739130434782608E-2</v>
      </c>
      <c r="F11005">
        <v>2</v>
      </c>
      <c r="G11005">
        <f>LOG(382/(2+1))</f>
        <v>2.1049421081920463</v>
      </c>
      <c r="H11005">
        <f>0.0217391304347826*4.84680831993846</f>
        <v>0.1053653982595317</v>
      </c>
      <c r="I11005">
        <v>0.10536539825953189</v>
      </c>
    </row>
    <row r="11006" spans="1:9" x14ac:dyDescent="0.25">
      <c r="A11006">
        <v>423</v>
      </c>
      <c r="B11006" t="s">
        <v>3283</v>
      </c>
      <c r="C11006" t="s">
        <v>75</v>
      </c>
      <c r="D11006" t="s">
        <v>81</v>
      </c>
      <c r="E11006">
        <f t="shared" si="516"/>
        <v>2.1739130434782608E-2</v>
      </c>
      <c r="F11006">
        <v>114</v>
      </c>
      <c r="G11006">
        <f>LOG(382/(114+1))</f>
        <v>0.52136552255809698</v>
      </c>
      <c r="H11006">
        <f>0.0217391304347826*1.20048848024332</f>
        <v>2.609757565746347E-2</v>
      </c>
      <c r="I11006">
        <v>2.6097575657463588E-2</v>
      </c>
    </row>
    <row r="11007" spans="1:9" x14ac:dyDescent="0.25">
      <c r="A11007">
        <v>423</v>
      </c>
      <c r="B11007" t="s">
        <v>3283</v>
      </c>
      <c r="C11007" t="s">
        <v>75</v>
      </c>
      <c r="D11007" t="s">
        <v>3290</v>
      </c>
      <c r="E11007">
        <f t="shared" si="516"/>
        <v>2.1739130434782608E-2</v>
      </c>
      <c r="F11007">
        <v>12</v>
      </c>
      <c r="G11007">
        <f>LOG(382/(12+1))</f>
        <v>1.468120010604872</v>
      </c>
      <c r="H11007">
        <f>0.0217391304347826*3.38047125114503</f>
        <v>7.3488505459674544E-2</v>
      </c>
      <c r="I11007">
        <v>7.3488505459674752E-2</v>
      </c>
    </row>
    <row r="11008" spans="1:9" x14ac:dyDescent="0.25">
      <c r="A11008">
        <v>423</v>
      </c>
      <c r="B11008" t="s">
        <v>3283</v>
      </c>
      <c r="C11008" t="s">
        <v>75</v>
      </c>
      <c r="D11008" t="s">
        <v>82</v>
      </c>
      <c r="E11008">
        <f>3/46</f>
        <v>6.5217391304347824E-2</v>
      </c>
      <c r="F11008">
        <v>92</v>
      </c>
      <c r="G11008">
        <f>LOG(382/(92+1))</f>
        <v>0.61358041435777355</v>
      </c>
      <c r="H11008">
        <f>0.0652173913043478*1.41282111545331</f>
        <v>9.2140507529563653E-2</v>
      </c>
      <c r="I11008">
        <v>9.2140507529564292E-2</v>
      </c>
    </row>
    <row r="11009" spans="1:9" x14ac:dyDescent="0.25">
      <c r="A11009">
        <v>423</v>
      </c>
      <c r="B11009" t="s">
        <v>3283</v>
      </c>
      <c r="C11009" t="s">
        <v>75</v>
      </c>
      <c r="D11009" t="s">
        <v>2369</v>
      </c>
      <c r="E11009">
        <f>1/46</f>
        <v>2.1739130434782608E-2</v>
      </c>
      <c r="F11009">
        <v>15</v>
      </c>
      <c r="G11009">
        <f>LOG(382/(15+1))</f>
        <v>1.3779433802557839</v>
      </c>
      <c r="H11009">
        <f>0.0217391304347826*3.17283188636679</f>
        <v>6.8974606225364984E-2</v>
      </c>
      <c r="I11009">
        <v>6.8974606225365082E-2</v>
      </c>
    </row>
    <row r="11010" spans="1:9" x14ac:dyDescent="0.25">
      <c r="A11010">
        <v>423</v>
      </c>
      <c r="B11010" t="s">
        <v>3283</v>
      </c>
      <c r="C11010" t="s">
        <v>75</v>
      </c>
      <c r="D11010" t="s">
        <v>1727</v>
      </c>
      <c r="E11010">
        <f>2/46</f>
        <v>4.3478260869565216E-2</v>
      </c>
      <c r="F11010">
        <v>27</v>
      </c>
      <c r="G11010">
        <f>LOG(382/(27+1))</f>
        <v>1.1349053315694895</v>
      </c>
      <c r="H11010">
        <f>0.0434782608695652*2.61321609843137</f>
        <v>0.1136180912361465</v>
      </c>
      <c r="I11010">
        <v>0.11361809123614661</v>
      </c>
    </row>
    <row r="11011" spans="1:9" x14ac:dyDescent="0.25">
      <c r="A11011">
        <v>423</v>
      </c>
      <c r="B11011" t="s">
        <v>3283</v>
      </c>
      <c r="C11011" t="s">
        <v>75</v>
      </c>
      <c r="D11011" t="s">
        <v>3291</v>
      </c>
      <c r="E11011">
        <f t="shared" ref="E11011:E11020" si="517">1/46</f>
        <v>2.1739130434782608E-2</v>
      </c>
      <c r="F11011">
        <v>3</v>
      </c>
      <c r="G11011">
        <f>LOG(382/(3+1))</f>
        <v>1.9800033715837464</v>
      </c>
      <c r="H11011">
        <f>0.0217391304347826*4.55912624748668</f>
        <v>9.9111440162753875E-2</v>
      </c>
      <c r="I11011">
        <v>9.9111440162754014E-2</v>
      </c>
    </row>
    <row r="11012" spans="1:9" x14ac:dyDescent="0.25">
      <c r="A11012">
        <v>423</v>
      </c>
      <c r="B11012" t="s">
        <v>3283</v>
      </c>
      <c r="C11012" t="s">
        <v>75</v>
      </c>
      <c r="D11012" t="s">
        <v>1921</v>
      </c>
      <c r="E11012">
        <f t="shared" si="517"/>
        <v>2.1739130434782608E-2</v>
      </c>
      <c r="F11012">
        <v>37</v>
      </c>
      <c r="G11012">
        <f>LOG(382/(37+1))</f>
        <v>1.0022797662948986</v>
      </c>
      <c r="H11012">
        <f>0.0217391304347826*2.30783444888018</f>
        <v>5.0170314106090852E-2</v>
      </c>
      <c r="I11012">
        <v>5.0170314106091067E-2</v>
      </c>
    </row>
    <row r="11013" spans="1:9" x14ac:dyDescent="0.25">
      <c r="A11013">
        <v>423</v>
      </c>
      <c r="B11013" t="s">
        <v>3283</v>
      </c>
      <c r="C11013" t="s">
        <v>75</v>
      </c>
      <c r="D11013" t="s">
        <v>746</v>
      </c>
      <c r="E11013">
        <f t="shared" si="517"/>
        <v>2.1739130434782608E-2</v>
      </c>
      <c r="F11013">
        <v>58</v>
      </c>
      <c r="G11013">
        <f>LOG(382/(58+1))</f>
        <v>0.81121135126956456</v>
      </c>
      <c r="H11013">
        <f>0.0217391304347826*1.86788316470085</f>
        <v>4.060615575436629E-2</v>
      </c>
      <c r="I11013">
        <v>4.0606155754366421E-2</v>
      </c>
    </row>
    <row r="11014" spans="1:9" x14ac:dyDescent="0.25">
      <c r="A11014">
        <v>423</v>
      </c>
      <c r="B11014" t="s">
        <v>3283</v>
      </c>
      <c r="C11014" t="s">
        <v>75</v>
      </c>
      <c r="D11014" t="s">
        <v>388</v>
      </c>
      <c r="E11014">
        <f t="shared" si="517"/>
        <v>2.1739130434782608E-2</v>
      </c>
      <c r="F11014">
        <v>44</v>
      </c>
      <c r="G11014">
        <f>LOG(382/(44+1))</f>
        <v>0.92885084913636506</v>
      </c>
      <c r="H11014">
        <f>0.0217391304347826*2.13875811883625</f>
        <v>4.64947417138315E-2</v>
      </c>
      <c r="I11014">
        <v>4.6494741713831632E-2</v>
      </c>
    </row>
    <row r="11015" spans="1:9" x14ac:dyDescent="0.25">
      <c r="A11015">
        <v>423</v>
      </c>
      <c r="B11015" t="s">
        <v>3283</v>
      </c>
      <c r="C11015" t="s">
        <v>75</v>
      </c>
      <c r="D11015" t="s">
        <v>1634</v>
      </c>
      <c r="E11015">
        <f t="shared" si="517"/>
        <v>2.1739130434782608E-2</v>
      </c>
      <c r="F11015">
        <v>7</v>
      </c>
      <c r="G11015">
        <f>LOG(382/(7+1))</f>
        <v>1.6789733759197651</v>
      </c>
      <c r="H11015">
        <f>0.0217391304347826*3.86597906692673</f>
        <v>8.4043023194059319E-2</v>
      </c>
      <c r="I11015">
        <v>8.4043023194059541E-2</v>
      </c>
    </row>
    <row r="11016" spans="1:9" x14ac:dyDescent="0.25">
      <c r="A11016">
        <v>423</v>
      </c>
      <c r="B11016" t="s">
        <v>3283</v>
      </c>
      <c r="C11016" t="s">
        <v>75</v>
      </c>
      <c r="D11016" t="s">
        <v>3292</v>
      </c>
      <c r="E11016">
        <f t="shared" si="517"/>
        <v>2.1739130434782608E-2</v>
      </c>
      <c r="F11016">
        <v>5</v>
      </c>
      <c r="G11016">
        <f>LOG(382/(5+1))</f>
        <v>1.803912112528065</v>
      </c>
      <c r="H11016">
        <f>0.0217391304347826*4.15366113937852</f>
        <v>9.0296981290837353E-2</v>
      </c>
      <c r="I11016">
        <v>9.029698129083738E-2</v>
      </c>
    </row>
    <row r="11017" spans="1:9" x14ac:dyDescent="0.25">
      <c r="A11017">
        <v>423</v>
      </c>
      <c r="B11017" t="s">
        <v>3283</v>
      </c>
      <c r="C11017" t="s">
        <v>75</v>
      </c>
      <c r="D11017" t="s">
        <v>765</v>
      </c>
      <c r="E11017">
        <f t="shared" si="517"/>
        <v>2.1739130434782608E-2</v>
      </c>
      <c r="F11017">
        <v>44</v>
      </c>
      <c r="G11017">
        <f>LOG(382/(44+1))</f>
        <v>0.92885084913636506</v>
      </c>
      <c r="H11017">
        <f>0.0217391304347826*2.13875811883625</f>
        <v>4.64947417138315E-2</v>
      </c>
      <c r="I11017">
        <v>4.6494741713831632E-2</v>
      </c>
    </row>
    <row r="11018" spans="1:9" x14ac:dyDescent="0.25">
      <c r="A11018">
        <v>423</v>
      </c>
      <c r="B11018" t="s">
        <v>3283</v>
      </c>
      <c r="C11018" t="s">
        <v>75</v>
      </c>
      <c r="D11018" t="s">
        <v>597</v>
      </c>
      <c r="E11018">
        <f t="shared" si="517"/>
        <v>2.1739130434782608E-2</v>
      </c>
      <c r="F11018">
        <v>51</v>
      </c>
      <c r="G11018">
        <f>LOG(382/(51+1))</f>
        <v>0.86606001927690957</v>
      </c>
      <c r="H11018">
        <f>0.0217391304347826*1.99417689002514</f>
        <v>4.335167152228564E-2</v>
      </c>
      <c r="I11018">
        <v>4.335167152228582E-2</v>
      </c>
    </row>
    <row r="11019" spans="1:9" x14ac:dyDescent="0.25">
      <c r="A11019">
        <v>423</v>
      </c>
      <c r="B11019" t="s">
        <v>3283</v>
      </c>
      <c r="C11019" t="s">
        <v>75</v>
      </c>
      <c r="D11019" t="s">
        <v>767</v>
      </c>
      <c r="E11019">
        <f t="shared" si="517"/>
        <v>2.1739130434782608E-2</v>
      </c>
      <c r="F11019">
        <v>47</v>
      </c>
      <c r="G11019">
        <f>LOG(382/(47+1))</f>
        <v>0.90082212553612151</v>
      </c>
      <c r="H11019">
        <f>0.0217391304347826*2.07421959769868</f>
        <v>4.5091730384753899E-2</v>
      </c>
      <c r="I11019">
        <v>4.5091730384754003E-2</v>
      </c>
    </row>
    <row r="11020" spans="1:9" x14ac:dyDescent="0.25">
      <c r="A11020">
        <v>423</v>
      </c>
      <c r="B11020" t="s">
        <v>3283</v>
      </c>
      <c r="C11020" t="s">
        <v>75</v>
      </c>
      <c r="D11020" t="s">
        <v>3293</v>
      </c>
      <c r="E11020">
        <f t="shared" si="517"/>
        <v>2.1739130434782608E-2</v>
      </c>
      <c r="F11020">
        <v>6</v>
      </c>
      <c r="G11020">
        <f>LOG(382/(6+1))</f>
        <v>1.736965322897452</v>
      </c>
      <c r="H11020">
        <f>0.0217391304347826*3.99951045955126</f>
        <v>8.6945879555462138E-2</v>
      </c>
      <c r="I11020">
        <v>8.6945879555462208E-2</v>
      </c>
    </row>
    <row r="11021" spans="1:9" x14ac:dyDescent="0.25">
      <c r="A11021">
        <v>424</v>
      </c>
      <c r="B11021" t="s">
        <v>3294</v>
      </c>
      <c r="C11021" t="s">
        <v>75</v>
      </c>
      <c r="D11021" t="s">
        <v>65</v>
      </c>
      <c r="E11021">
        <f>2/21</f>
        <v>9.5238095238095233E-2</v>
      </c>
      <c r="F11021">
        <v>32</v>
      </c>
      <c r="G11021">
        <f>LOG(382/(32+1))</f>
        <v>1.0635494230338212</v>
      </c>
      <c r="H11021">
        <f>0.0952380952380952*2.44891304714009</f>
        <v>0.23322981401334184</v>
      </c>
      <c r="I11021">
        <v>0.23322981401334239</v>
      </c>
    </row>
    <row r="11022" spans="1:9" x14ac:dyDescent="0.25">
      <c r="A11022">
        <v>424</v>
      </c>
      <c r="B11022" t="s">
        <v>3294</v>
      </c>
      <c r="C11022" t="s">
        <v>75</v>
      </c>
      <c r="D11022" t="s">
        <v>40</v>
      </c>
      <c r="E11022">
        <f>2/21</f>
        <v>9.5238095238095233E-2</v>
      </c>
      <c r="F11022">
        <v>159</v>
      </c>
      <c r="G11022">
        <f>LOG(382/(159+1))</f>
        <v>0.377943380255784</v>
      </c>
      <c r="H11022">
        <f>0.0952380952380952*0.870246793372748</f>
        <v>8.2880646987880738E-2</v>
      </c>
      <c r="I11022">
        <v>8.2880646987880793E-2</v>
      </c>
    </row>
    <row r="11023" spans="1:9" x14ac:dyDescent="0.25">
      <c r="A11023">
        <v>424</v>
      </c>
      <c r="B11023" t="s">
        <v>3294</v>
      </c>
      <c r="C11023" t="s">
        <v>75</v>
      </c>
      <c r="D11023" t="s">
        <v>3284</v>
      </c>
      <c r="E11023">
        <f>1/21</f>
        <v>4.7619047619047616E-2</v>
      </c>
      <c r="F11023">
        <v>3</v>
      </c>
      <c r="G11023">
        <f>LOG(382/(3+1))</f>
        <v>1.9800033715837464</v>
      </c>
      <c r="H11023">
        <f>0.0476190476190476*4.55912624748668</f>
        <v>0.21710124988031801</v>
      </c>
      <c r="I11023">
        <v>0.21710124988031829</v>
      </c>
    </row>
    <row r="11024" spans="1:9" x14ac:dyDescent="0.25">
      <c r="A11024">
        <v>424</v>
      </c>
      <c r="B11024" t="s">
        <v>3294</v>
      </c>
      <c r="C11024" t="s">
        <v>75</v>
      </c>
      <c r="D11024" t="s">
        <v>38</v>
      </c>
      <c r="E11024">
        <f>1/21</f>
        <v>4.7619047619047616E-2</v>
      </c>
      <c r="F11024">
        <v>86</v>
      </c>
      <c r="G11024">
        <f>LOG(382/(86+1))</f>
        <v>0.64254411029309022</v>
      </c>
      <c r="H11024">
        <f>0.0476190476190476*1.47951248995199</f>
        <v>7.0452975711999502E-2</v>
      </c>
      <c r="I11024">
        <v>7.0452975711999585E-2</v>
      </c>
    </row>
    <row r="11025" spans="1:9" x14ac:dyDescent="0.25">
      <c r="A11025">
        <v>424</v>
      </c>
      <c r="B11025" t="s">
        <v>3294</v>
      </c>
      <c r="C11025" t="s">
        <v>75</v>
      </c>
      <c r="D11025" t="s">
        <v>89</v>
      </c>
      <c r="E11025">
        <f>1/21</f>
        <v>4.7619047619047616E-2</v>
      </c>
      <c r="F11025">
        <v>40</v>
      </c>
      <c r="G11025">
        <f>LOG(382/(40+1))</f>
        <v>0.96927950619197323</v>
      </c>
      <c r="H11025">
        <f>0.0476190476190476*2.23184854190226</f>
        <v>0.10627850199534566</v>
      </c>
      <c r="I11025">
        <v>0.10627850199534609</v>
      </c>
    </row>
    <row r="11026" spans="1:9" x14ac:dyDescent="0.25">
      <c r="A11026">
        <v>424</v>
      </c>
      <c r="B11026" t="s">
        <v>3294</v>
      </c>
      <c r="C11026" t="s">
        <v>75</v>
      </c>
      <c r="D11026" t="s">
        <v>1079</v>
      </c>
      <c r="E11026">
        <f>1/21</f>
        <v>4.7619047619047616E-2</v>
      </c>
      <c r="F11026">
        <v>34</v>
      </c>
      <c r="G11026">
        <f>LOG(382/(34+1))</f>
        <v>1.037995318561433</v>
      </c>
      <c r="H11026">
        <f>0.0476190476190476*2.39007254711716</f>
        <v>0.11381297843415043</v>
      </c>
      <c r="I11026">
        <v>0.1138129784341505</v>
      </c>
    </row>
    <row r="11027" spans="1:9" x14ac:dyDescent="0.25">
      <c r="A11027">
        <v>424</v>
      </c>
      <c r="B11027" t="s">
        <v>3294</v>
      </c>
      <c r="C11027" t="s">
        <v>75</v>
      </c>
      <c r="D11027" t="s">
        <v>168</v>
      </c>
      <c r="E11027">
        <f>2/21</f>
        <v>9.5238095238095233E-2</v>
      </c>
      <c r="F11027">
        <v>34</v>
      </c>
      <c r="G11027">
        <f>LOG(382/(34+1))</f>
        <v>1.037995318561433</v>
      </c>
      <c r="H11027">
        <f>0.0952380952380952*2.39007254711716</f>
        <v>0.22762595686830087</v>
      </c>
      <c r="I11027">
        <v>0.22762595686830109</v>
      </c>
    </row>
    <row r="11028" spans="1:9" x14ac:dyDescent="0.25">
      <c r="A11028">
        <v>424</v>
      </c>
      <c r="B11028" t="s">
        <v>3294</v>
      </c>
      <c r="C11028" t="s">
        <v>75</v>
      </c>
      <c r="D11028" t="s">
        <v>144</v>
      </c>
      <c r="E11028">
        <f t="shared" ref="E11028:E11038" si="518">1/21</f>
        <v>4.7619047619047616E-2</v>
      </c>
      <c r="F11028">
        <v>105</v>
      </c>
      <c r="G11028">
        <f>LOG(382/(105+1))</f>
        <v>0.55675749764693849</v>
      </c>
      <c r="H11028">
        <f>0.0476190476190476*1.2819815144945</f>
        <v>6.1046738785452359E-2</v>
      </c>
      <c r="I11028">
        <v>6.1046738785452748E-2</v>
      </c>
    </row>
    <row r="11029" spans="1:9" x14ac:dyDescent="0.25">
      <c r="A11029">
        <v>424</v>
      </c>
      <c r="B11029" t="s">
        <v>3294</v>
      </c>
      <c r="C11029" t="s">
        <v>75</v>
      </c>
      <c r="D11029" t="s">
        <v>42</v>
      </c>
      <c r="E11029">
        <f t="shared" si="518"/>
        <v>4.7619047619047616E-2</v>
      </c>
      <c r="F11029">
        <v>251</v>
      </c>
      <c r="G11029">
        <f>LOG(382/(251+1))</f>
        <v>0.18066282213016463</v>
      </c>
      <c r="H11029">
        <f>0.0476190476190476*0.415991521095151</f>
        <v>1.9809120052150041E-2</v>
      </c>
      <c r="I11029">
        <v>1.9809120052150089E-2</v>
      </c>
    </row>
    <row r="11030" spans="1:9" x14ac:dyDescent="0.25">
      <c r="A11030">
        <v>424</v>
      </c>
      <c r="B11030" t="s">
        <v>3294</v>
      </c>
      <c r="C11030" t="s">
        <v>75</v>
      </c>
      <c r="D11030" t="s">
        <v>600</v>
      </c>
      <c r="E11030">
        <f t="shared" si="518"/>
        <v>4.7619047619047616E-2</v>
      </c>
      <c r="F11030">
        <v>102</v>
      </c>
      <c r="G11030">
        <f>LOG(382/(102+1))</f>
        <v>0.56922613820653656</v>
      </c>
      <c r="H11030">
        <f>0.0476190476190476*1.31069162037693</f>
        <v>6.2413886684615699E-2</v>
      </c>
      <c r="I11030">
        <v>6.2413886684616157E-2</v>
      </c>
    </row>
    <row r="11031" spans="1:9" x14ac:dyDescent="0.25">
      <c r="A11031">
        <v>424</v>
      </c>
      <c r="B11031" t="s">
        <v>3294</v>
      </c>
      <c r="C11031" t="s">
        <v>75</v>
      </c>
      <c r="D11031" t="s">
        <v>931</v>
      </c>
      <c r="E11031">
        <f t="shared" si="518"/>
        <v>4.7619047619047616E-2</v>
      </c>
      <c r="F11031">
        <v>22</v>
      </c>
      <c r="G11031">
        <f>LOG(382/(22+1))</f>
        <v>1.2203355268941158</v>
      </c>
      <c r="H11031">
        <f>0.0476190476190476*2.80992639267742</f>
        <v>0.13380601869892469</v>
      </c>
      <c r="I11031">
        <v>0.133806018698925</v>
      </c>
    </row>
    <row r="11032" spans="1:9" x14ac:dyDescent="0.25">
      <c r="A11032">
        <v>424</v>
      </c>
      <c r="B11032" t="s">
        <v>3294</v>
      </c>
      <c r="C11032" t="s">
        <v>75</v>
      </c>
      <c r="D11032" t="s">
        <v>3241</v>
      </c>
      <c r="E11032">
        <f t="shared" si="518"/>
        <v>4.7619047619047616E-2</v>
      </c>
      <c r="F11032">
        <v>9</v>
      </c>
      <c r="G11032">
        <f>LOG(382/(9+1))</f>
        <v>1.5820633629117087</v>
      </c>
      <c r="H11032">
        <f>0.0476190476190476*3.64283551561252</f>
        <v>0.17346835788631043</v>
      </c>
      <c r="I11032">
        <v>0.1734683578863109</v>
      </c>
    </row>
    <row r="11033" spans="1:9" x14ac:dyDescent="0.25">
      <c r="A11033">
        <v>424</v>
      </c>
      <c r="B11033" t="s">
        <v>3294</v>
      </c>
      <c r="C11033" t="s">
        <v>75</v>
      </c>
      <c r="D11033" t="s">
        <v>360</v>
      </c>
      <c r="E11033">
        <f t="shared" si="518"/>
        <v>4.7619047619047616E-2</v>
      </c>
      <c r="F11033">
        <v>15</v>
      </c>
      <c r="G11033">
        <f>LOG(382/(15+1))</f>
        <v>1.3779433802557839</v>
      </c>
      <c r="H11033">
        <f>0.0476190476190476*3.17283188636679</f>
        <v>0.15108723268413282</v>
      </c>
      <c r="I11033">
        <v>0.15108723268413299</v>
      </c>
    </row>
    <row r="11034" spans="1:9" x14ac:dyDescent="0.25">
      <c r="A11034">
        <v>424</v>
      </c>
      <c r="B11034" t="s">
        <v>3294</v>
      </c>
      <c r="C11034" t="s">
        <v>75</v>
      </c>
      <c r="D11034" t="s">
        <v>41</v>
      </c>
      <c r="E11034">
        <f t="shared" si="518"/>
        <v>4.7619047619047616E-2</v>
      </c>
      <c r="F11034">
        <v>195</v>
      </c>
      <c r="G11034">
        <f>LOG(382/(195+1))</f>
        <v>0.28980729155523272</v>
      </c>
      <c r="H11034">
        <f>0.0476190476190476*0.667305949376058</f>
        <v>3.1776473779812277E-2</v>
      </c>
      <c r="I11034">
        <v>3.1776473779812277E-2</v>
      </c>
    </row>
    <row r="11035" spans="1:9" x14ac:dyDescent="0.25">
      <c r="A11035">
        <v>424</v>
      </c>
      <c r="B11035" t="s">
        <v>3294</v>
      </c>
      <c r="C11035" t="s">
        <v>75</v>
      </c>
      <c r="D11035" t="s">
        <v>2405</v>
      </c>
      <c r="E11035">
        <f t="shared" si="518"/>
        <v>4.7619047619047616E-2</v>
      </c>
      <c r="F11035">
        <v>3</v>
      </c>
      <c r="G11035">
        <f>LOG(382/(3+1))</f>
        <v>1.9800033715837464</v>
      </c>
      <c r="H11035">
        <f>0.0476190476190476*4.55912624748668</f>
        <v>0.21710124988031801</v>
      </c>
      <c r="I11035">
        <v>0.21710124988031829</v>
      </c>
    </row>
    <row r="11036" spans="1:9" x14ac:dyDescent="0.25">
      <c r="A11036">
        <v>424</v>
      </c>
      <c r="B11036" t="s">
        <v>3294</v>
      </c>
      <c r="C11036" t="s">
        <v>75</v>
      </c>
      <c r="D11036" t="s">
        <v>1181</v>
      </c>
      <c r="E11036">
        <f t="shared" si="518"/>
        <v>4.7619047619047616E-2</v>
      </c>
      <c r="F11036">
        <v>11</v>
      </c>
      <c r="G11036">
        <f>LOG(382/(11+1))</f>
        <v>1.5028821168640838</v>
      </c>
      <c r="H11036">
        <f>0.0476190476190476*3.46051395881857</f>
        <v>0.16478637899136042</v>
      </c>
      <c r="I11036">
        <v>0.1647863789913607</v>
      </c>
    </row>
    <row r="11037" spans="1:9" x14ac:dyDescent="0.25">
      <c r="A11037">
        <v>424</v>
      </c>
      <c r="B11037" t="s">
        <v>3294</v>
      </c>
      <c r="C11037" t="s">
        <v>75</v>
      </c>
      <c r="D11037" t="s">
        <v>3171</v>
      </c>
      <c r="E11037">
        <f t="shared" si="518"/>
        <v>4.7619047619047616E-2</v>
      </c>
      <c r="F11037">
        <v>2</v>
      </c>
      <c r="G11037">
        <f>LOG(382/(2+1))</f>
        <v>2.1049421081920463</v>
      </c>
      <c r="H11037">
        <f>0.0476190476190476*4.84680831993846</f>
        <v>0.23080039618754564</v>
      </c>
      <c r="I11037">
        <v>0.23080039618754589</v>
      </c>
    </row>
    <row r="11038" spans="1:9" x14ac:dyDescent="0.25">
      <c r="A11038">
        <v>424</v>
      </c>
      <c r="B11038" t="s">
        <v>3294</v>
      </c>
      <c r="C11038" t="s">
        <v>75</v>
      </c>
      <c r="D11038" t="s">
        <v>237</v>
      </c>
      <c r="E11038">
        <f t="shared" si="518"/>
        <v>4.7619047619047616E-2</v>
      </c>
      <c r="F11038">
        <v>138</v>
      </c>
      <c r="G11038">
        <f>LOG(382/(138+1))</f>
        <v>0.43904856265761361</v>
      </c>
      <c r="H11038">
        <f>0.0476190476190476*1.01094667547588</f>
        <v>4.8140317879803794E-2</v>
      </c>
      <c r="I11038">
        <v>4.8140317879803968E-2</v>
      </c>
    </row>
    <row r="11039" spans="1:9" x14ac:dyDescent="0.25">
      <c r="A11039">
        <v>425</v>
      </c>
      <c r="B11039" t="s">
        <v>3295</v>
      </c>
      <c r="C11039" t="s">
        <v>75</v>
      </c>
      <c r="D11039" t="s">
        <v>1746</v>
      </c>
      <c r="E11039">
        <f>1/47</f>
        <v>2.1276595744680851E-2</v>
      </c>
      <c r="F11039">
        <v>5</v>
      </c>
      <c r="G11039">
        <f>LOG(382/(5+1))</f>
        <v>1.803912112528065</v>
      </c>
      <c r="H11039">
        <f>0.0212765957446808*4.15366113937852</f>
        <v>8.8375768922947018E-2</v>
      </c>
      <c r="I11039">
        <v>8.8375768922947226E-2</v>
      </c>
    </row>
    <row r="11040" spans="1:9" x14ac:dyDescent="0.25">
      <c r="A11040">
        <v>425</v>
      </c>
      <c r="B11040" t="s">
        <v>3295</v>
      </c>
      <c r="C11040" t="s">
        <v>75</v>
      </c>
      <c r="D11040" t="s">
        <v>3284</v>
      </c>
      <c r="E11040">
        <f>1/47</f>
        <v>2.1276595744680851E-2</v>
      </c>
      <c r="F11040">
        <v>3</v>
      </c>
      <c r="G11040">
        <f>LOG(382/(3+1))</f>
        <v>1.9800033715837464</v>
      </c>
      <c r="H11040">
        <f>0.0212765957446808*4.55912624748668</f>
        <v>9.7002686116737638E-2</v>
      </c>
      <c r="I11040">
        <v>9.7002686116737971E-2</v>
      </c>
    </row>
    <row r="11041" spans="1:9" x14ac:dyDescent="0.25">
      <c r="A11041">
        <v>425</v>
      </c>
      <c r="B11041" t="s">
        <v>3295</v>
      </c>
      <c r="C11041" t="s">
        <v>75</v>
      </c>
      <c r="D11041" t="s">
        <v>2257</v>
      </c>
      <c r="E11041">
        <f>1/47</f>
        <v>2.1276595744680851E-2</v>
      </c>
      <c r="F11041">
        <v>11</v>
      </c>
      <c r="G11041">
        <f>LOG(382/(11+1))</f>
        <v>1.5028821168640838</v>
      </c>
      <c r="H11041">
        <f>0.0212765957446808*3.46051395881857</f>
        <v>7.3627956570607694E-2</v>
      </c>
      <c r="I11041">
        <v>7.3627956570607972E-2</v>
      </c>
    </row>
    <row r="11042" spans="1:9" x14ac:dyDescent="0.25">
      <c r="A11042">
        <v>425</v>
      </c>
      <c r="B11042" t="s">
        <v>3295</v>
      </c>
      <c r="C11042" t="s">
        <v>75</v>
      </c>
      <c r="D11042" t="s">
        <v>465</v>
      </c>
      <c r="E11042">
        <f>1/47</f>
        <v>2.1276595744680851E-2</v>
      </c>
      <c r="F11042">
        <v>36</v>
      </c>
      <c r="G11042">
        <f>LOG(382/(36+1))</f>
        <v>1.0138616388447137</v>
      </c>
      <c r="H11042">
        <f>0.0212765957446808*2.33450269596235</f>
        <v>4.9670270126858387E-2</v>
      </c>
      <c r="I11042">
        <v>4.9670270126858533E-2</v>
      </c>
    </row>
    <row r="11043" spans="1:9" x14ac:dyDescent="0.25">
      <c r="A11043">
        <v>425</v>
      </c>
      <c r="B11043" t="s">
        <v>3295</v>
      </c>
      <c r="C11043" t="s">
        <v>75</v>
      </c>
      <c r="D11043" t="s">
        <v>40</v>
      </c>
      <c r="E11043">
        <f>2/47</f>
        <v>4.2553191489361701E-2</v>
      </c>
      <c r="F11043">
        <v>159</v>
      </c>
      <c r="G11043">
        <f>LOG(382/(159+1))</f>
        <v>0.377943380255784</v>
      </c>
      <c r="H11043">
        <f>0.0425531914893617*0.870246793372748</f>
        <v>3.7031778441393534E-2</v>
      </c>
      <c r="I11043">
        <v>3.7031778441393548E-2</v>
      </c>
    </row>
    <row r="11044" spans="1:9" x14ac:dyDescent="0.25">
      <c r="A11044">
        <v>425</v>
      </c>
      <c r="B11044" t="s">
        <v>3295</v>
      </c>
      <c r="C11044" t="s">
        <v>75</v>
      </c>
      <c r="D11044" t="s">
        <v>41</v>
      </c>
      <c r="E11044">
        <f>2/47</f>
        <v>4.2553191489361701E-2</v>
      </c>
      <c r="F11044">
        <v>195</v>
      </c>
      <c r="G11044">
        <f>LOG(382/(195+1))</f>
        <v>0.28980729155523272</v>
      </c>
      <c r="H11044">
        <f>0.0425531914893617*0.667305949376058</f>
        <v>2.8395997845789701E-2</v>
      </c>
      <c r="I11044">
        <v>2.8395997845789701E-2</v>
      </c>
    </row>
    <row r="11045" spans="1:9" x14ac:dyDescent="0.25">
      <c r="A11045">
        <v>425</v>
      </c>
      <c r="B11045" t="s">
        <v>3295</v>
      </c>
      <c r="C11045" t="s">
        <v>75</v>
      </c>
      <c r="D11045" t="s">
        <v>144</v>
      </c>
      <c r="E11045">
        <f t="shared" ref="E11045:E11054" si="519">1/47</f>
        <v>2.1276595744680851E-2</v>
      </c>
      <c r="F11045">
        <v>105</v>
      </c>
      <c r="G11045">
        <f>LOG(382/(105+1))</f>
        <v>0.55675749764693849</v>
      </c>
      <c r="H11045">
        <f>0.0212765957446808*1.2819815144945</f>
        <v>2.7276202436053124E-2</v>
      </c>
      <c r="I11045">
        <v>2.7276202436053359E-2</v>
      </c>
    </row>
    <row r="11046" spans="1:9" x14ac:dyDescent="0.25">
      <c r="A11046">
        <v>425</v>
      </c>
      <c r="B11046" t="s">
        <v>3295</v>
      </c>
      <c r="C11046" t="s">
        <v>75</v>
      </c>
      <c r="D11046" t="s">
        <v>260</v>
      </c>
      <c r="E11046">
        <f t="shared" si="519"/>
        <v>2.1276595744680851E-2</v>
      </c>
      <c r="F11046">
        <v>31</v>
      </c>
      <c r="G11046">
        <f>LOG(382/(31+1))</f>
        <v>1.0769133845918029</v>
      </c>
      <c r="H11046">
        <f>0.0212765957446808*2.47968470580684</f>
        <v>5.2759249059719869E-2</v>
      </c>
      <c r="I11046">
        <v>5.2759249059720181E-2</v>
      </c>
    </row>
    <row r="11047" spans="1:9" x14ac:dyDescent="0.25">
      <c r="A11047">
        <v>425</v>
      </c>
      <c r="B11047" t="s">
        <v>3295</v>
      </c>
      <c r="C11047" t="s">
        <v>75</v>
      </c>
      <c r="D11047" t="s">
        <v>2180</v>
      </c>
      <c r="E11047">
        <f t="shared" si="519"/>
        <v>2.1276595744680851E-2</v>
      </c>
      <c r="F11047">
        <v>7</v>
      </c>
      <c r="G11047">
        <f>LOG(382/(7+1))</f>
        <v>1.6789733759197651</v>
      </c>
      <c r="H11047">
        <f>0.0212765957446808*3.86597906692673</f>
        <v>8.2254873764398315E-2</v>
      </c>
      <c r="I11047">
        <v>8.2254873764398703E-2</v>
      </c>
    </row>
    <row r="11048" spans="1:9" x14ac:dyDescent="0.25">
      <c r="A11048">
        <v>425</v>
      </c>
      <c r="B11048" t="s">
        <v>3295</v>
      </c>
      <c r="C11048" t="s">
        <v>75</v>
      </c>
      <c r="D11048" t="s">
        <v>1196</v>
      </c>
      <c r="E11048">
        <f t="shared" si="519"/>
        <v>2.1276595744680851E-2</v>
      </c>
      <c r="F11048">
        <v>7</v>
      </c>
      <c r="G11048">
        <f>LOG(382/(7+1))</f>
        <v>1.6789733759197651</v>
      </c>
      <c r="H11048">
        <f>0.0212765957446808*3.86597906692673</f>
        <v>8.2254873764398315E-2</v>
      </c>
      <c r="I11048">
        <v>8.2254873764398703E-2</v>
      </c>
    </row>
    <row r="11049" spans="1:9" x14ac:dyDescent="0.25">
      <c r="A11049">
        <v>425</v>
      </c>
      <c r="B11049" t="s">
        <v>3295</v>
      </c>
      <c r="C11049" t="s">
        <v>75</v>
      </c>
      <c r="D11049" t="s">
        <v>147</v>
      </c>
      <c r="E11049">
        <f t="shared" si="519"/>
        <v>2.1276595744680851E-2</v>
      </c>
      <c r="F11049">
        <v>48</v>
      </c>
      <c r="G11049">
        <f>LOG(382/(48+1))</f>
        <v>0.89186728288319506</v>
      </c>
      <c r="H11049">
        <f>0.0212765957446808*2.05360031049594</f>
        <v>4.3693623627573085E-2</v>
      </c>
      <c r="I11049">
        <v>4.3693623627573383E-2</v>
      </c>
    </row>
    <row r="11050" spans="1:9" x14ac:dyDescent="0.25">
      <c r="A11050">
        <v>425</v>
      </c>
      <c r="B11050" t="s">
        <v>3295</v>
      </c>
      <c r="C11050" t="s">
        <v>75</v>
      </c>
      <c r="D11050" t="s">
        <v>1328</v>
      </c>
      <c r="E11050">
        <f t="shared" si="519"/>
        <v>2.1276595744680851E-2</v>
      </c>
      <c r="F11050">
        <v>22</v>
      </c>
      <c r="G11050">
        <f>LOG(382/(22+1))</f>
        <v>1.2203355268941158</v>
      </c>
      <c r="H11050">
        <f>0.0212765957446808*2.80992639267742</f>
        <v>5.978566792930666E-2</v>
      </c>
      <c r="I11050">
        <v>5.9785667929306917E-2</v>
      </c>
    </row>
    <row r="11051" spans="1:9" x14ac:dyDescent="0.25">
      <c r="A11051">
        <v>425</v>
      </c>
      <c r="B11051" t="s">
        <v>3295</v>
      </c>
      <c r="C11051" t="s">
        <v>75</v>
      </c>
      <c r="D11051" t="s">
        <v>1396</v>
      </c>
      <c r="E11051">
        <f t="shared" si="519"/>
        <v>2.1276595744680851E-2</v>
      </c>
      <c r="F11051">
        <v>18</v>
      </c>
      <c r="G11051">
        <f>LOG(382/(18+1))</f>
        <v>1.3033097619588798</v>
      </c>
      <c r="H11051">
        <f>0.0212765957446808*3.00098162944013</f>
        <v>6.3850672966811128E-2</v>
      </c>
      <c r="I11051">
        <v>6.3850672966811378E-2</v>
      </c>
    </row>
    <row r="11052" spans="1:9" x14ac:dyDescent="0.25">
      <c r="A11052">
        <v>425</v>
      </c>
      <c r="B11052" t="s">
        <v>3295</v>
      </c>
      <c r="C11052" t="s">
        <v>75</v>
      </c>
      <c r="D11052" t="s">
        <v>2384</v>
      </c>
      <c r="E11052">
        <f t="shared" si="519"/>
        <v>2.1276595744680851E-2</v>
      </c>
      <c r="F11052">
        <v>5</v>
      </c>
      <c r="G11052">
        <f>LOG(382/(5+1))</f>
        <v>1.803912112528065</v>
      </c>
      <c r="H11052">
        <f>0.0212765957446808*4.15366113937852</f>
        <v>8.8375768922947018E-2</v>
      </c>
      <c r="I11052">
        <v>8.8375768922947226E-2</v>
      </c>
    </row>
    <row r="11053" spans="1:9" x14ac:dyDescent="0.25">
      <c r="A11053">
        <v>425</v>
      </c>
      <c r="B11053" t="s">
        <v>3295</v>
      </c>
      <c r="C11053" t="s">
        <v>75</v>
      </c>
      <c r="D11053" t="s">
        <v>76</v>
      </c>
      <c r="E11053">
        <f t="shared" si="519"/>
        <v>2.1276595744680851E-2</v>
      </c>
      <c r="F11053">
        <v>140</v>
      </c>
      <c r="G11053">
        <f>LOG(382/(140+1))</f>
        <v>0.43284425025632883</v>
      </c>
      <c r="H11053">
        <f>0.0212765957446808*0.996660718228407</f>
        <v>2.1205547196349032E-2</v>
      </c>
      <c r="I11053">
        <v>2.1205547196349081E-2</v>
      </c>
    </row>
    <row r="11054" spans="1:9" x14ac:dyDescent="0.25">
      <c r="A11054">
        <v>425</v>
      </c>
      <c r="B11054" t="s">
        <v>3295</v>
      </c>
      <c r="C11054" t="s">
        <v>75</v>
      </c>
      <c r="D11054" t="s">
        <v>752</v>
      </c>
      <c r="E11054">
        <f t="shared" si="519"/>
        <v>2.1276595744680851E-2</v>
      </c>
      <c r="F11054">
        <v>34</v>
      </c>
      <c r="G11054">
        <f>LOG(382/(34+1))</f>
        <v>1.037995318561433</v>
      </c>
      <c r="H11054">
        <f>0.0212765957446808*2.39007254711716</f>
        <v>5.0852607385471364E-2</v>
      </c>
      <c r="I11054">
        <v>5.0852607385471517E-2</v>
      </c>
    </row>
    <row r="11055" spans="1:9" x14ac:dyDescent="0.25">
      <c r="A11055">
        <v>425</v>
      </c>
      <c r="B11055" t="s">
        <v>3295</v>
      </c>
      <c r="C11055" t="s">
        <v>75</v>
      </c>
      <c r="D11055" t="s">
        <v>183</v>
      </c>
      <c r="E11055">
        <f>2/47</f>
        <v>4.2553191489361701E-2</v>
      </c>
      <c r="F11055">
        <v>46</v>
      </c>
      <c r="G11055">
        <f>LOG(382/(46+1))</f>
        <v>0.90996550497599127</v>
      </c>
      <c r="H11055">
        <f>0.0425531914893617*2.09527300689651</f>
        <v>8.9160553484957883E-2</v>
      </c>
      <c r="I11055">
        <v>8.9160553484958147E-2</v>
      </c>
    </row>
    <row r="11056" spans="1:9" x14ac:dyDescent="0.25">
      <c r="A11056">
        <v>425</v>
      </c>
      <c r="B11056" t="s">
        <v>3295</v>
      </c>
      <c r="C11056" t="s">
        <v>75</v>
      </c>
      <c r="D11056" t="s">
        <v>1102</v>
      </c>
      <c r="E11056">
        <f t="shared" ref="E11056:E11065" si="520">1/47</f>
        <v>2.1276595744680851E-2</v>
      </c>
      <c r="F11056">
        <v>4</v>
      </c>
      <c r="G11056">
        <f>LOG(382/(4+1))</f>
        <v>1.8830933585756899</v>
      </c>
      <c r="H11056">
        <f>0.0212765957446808*4.33598269617247</f>
        <v>9.2254950982392753E-2</v>
      </c>
      <c r="I11056">
        <v>9.2254950982393072E-2</v>
      </c>
    </row>
    <row r="11057" spans="1:9" x14ac:dyDescent="0.25">
      <c r="A11057">
        <v>425</v>
      </c>
      <c r="B11057" t="s">
        <v>3295</v>
      </c>
      <c r="C11057" t="s">
        <v>75</v>
      </c>
      <c r="D11057" t="s">
        <v>2099</v>
      </c>
      <c r="E11057">
        <f t="shared" si="520"/>
        <v>2.1276595744680851E-2</v>
      </c>
      <c r="F11057">
        <v>6</v>
      </c>
      <c r="G11057">
        <f>LOG(382/(6+1))</f>
        <v>1.736965322897452</v>
      </c>
      <c r="H11057">
        <f>0.0212765957446808*3.99951045955126</f>
        <v>8.5095967224494681E-2</v>
      </c>
      <c r="I11057">
        <v>8.5095967224494931E-2</v>
      </c>
    </row>
    <row r="11058" spans="1:9" x14ac:dyDescent="0.25">
      <c r="A11058">
        <v>425</v>
      </c>
      <c r="B11058" t="s">
        <v>3295</v>
      </c>
      <c r="C11058" t="s">
        <v>75</v>
      </c>
      <c r="D11058" t="s">
        <v>1916</v>
      </c>
      <c r="E11058">
        <f t="shared" si="520"/>
        <v>2.1276595744680851E-2</v>
      </c>
      <c r="F11058">
        <v>5</v>
      </c>
      <c r="G11058">
        <f>LOG(382/(5+1))</f>
        <v>1.803912112528065</v>
      </c>
      <c r="H11058">
        <f>0.0212765957446808*4.15366113937852</f>
        <v>8.8375768922947018E-2</v>
      </c>
      <c r="I11058">
        <v>8.8375768922947226E-2</v>
      </c>
    </row>
    <row r="11059" spans="1:9" x14ac:dyDescent="0.25">
      <c r="A11059">
        <v>425</v>
      </c>
      <c r="B11059" t="s">
        <v>3295</v>
      </c>
      <c r="C11059" t="s">
        <v>75</v>
      </c>
      <c r="D11059" t="s">
        <v>3285</v>
      </c>
      <c r="E11059">
        <f t="shared" si="520"/>
        <v>2.1276595744680851E-2</v>
      </c>
      <c r="F11059">
        <v>3</v>
      </c>
      <c r="G11059">
        <f>LOG(382/(3+1))</f>
        <v>1.9800033715837464</v>
      </c>
      <c r="H11059">
        <f>0.0212765957446808*4.55912624748668</f>
        <v>9.7002686116737638E-2</v>
      </c>
      <c r="I11059">
        <v>9.7002686116737971E-2</v>
      </c>
    </row>
    <row r="11060" spans="1:9" x14ac:dyDescent="0.25">
      <c r="A11060">
        <v>425</v>
      </c>
      <c r="B11060" t="s">
        <v>3295</v>
      </c>
      <c r="C11060" t="s">
        <v>75</v>
      </c>
      <c r="D11060" t="s">
        <v>630</v>
      </c>
      <c r="E11060">
        <f t="shared" si="520"/>
        <v>2.1276595744680851E-2</v>
      </c>
      <c r="F11060">
        <v>6</v>
      </c>
      <c r="G11060">
        <f>LOG(382/(6+1))</f>
        <v>1.736965322897452</v>
      </c>
      <c r="H11060">
        <f>0.0212765957446808*3.99951045955126</f>
        <v>8.5095967224494681E-2</v>
      </c>
      <c r="I11060">
        <v>8.5095967224494931E-2</v>
      </c>
    </row>
    <row r="11061" spans="1:9" x14ac:dyDescent="0.25">
      <c r="A11061">
        <v>425</v>
      </c>
      <c r="B11061" t="s">
        <v>3295</v>
      </c>
      <c r="C11061" t="s">
        <v>75</v>
      </c>
      <c r="D11061" t="s">
        <v>3286</v>
      </c>
      <c r="E11061">
        <f t="shared" si="520"/>
        <v>2.1276595744680851E-2</v>
      </c>
      <c r="F11061">
        <v>2</v>
      </c>
      <c r="G11061">
        <f>LOG(382/(2+1))</f>
        <v>2.1049421081920463</v>
      </c>
      <c r="H11061">
        <f>0.0212765957446808*4.84680831993846</f>
        <v>0.10312358127528613</v>
      </c>
      <c r="I11061">
        <v>0.10312358127528649</v>
      </c>
    </row>
    <row r="11062" spans="1:9" x14ac:dyDescent="0.25">
      <c r="A11062">
        <v>425</v>
      </c>
      <c r="B11062" t="s">
        <v>3295</v>
      </c>
      <c r="C11062" t="s">
        <v>75</v>
      </c>
      <c r="D11062" t="s">
        <v>3287</v>
      </c>
      <c r="E11062">
        <f t="shared" si="520"/>
        <v>2.1276595744680851E-2</v>
      </c>
      <c r="F11062">
        <v>2</v>
      </c>
      <c r="G11062">
        <f>LOG(382/(2+1))</f>
        <v>2.1049421081920463</v>
      </c>
      <c r="H11062">
        <f>0.0212765957446808*4.84680831993846</f>
        <v>0.10312358127528613</v>
      </c>
      <c r="I11062">
        <v>0.10312358127528649</v>
      </c>
    </row>
    <row r="11063" spans="1:9" x14ac:dyDescent="0.25">
      <c r="A11063">
        <v>425</v>
      </c>
      <c r="B11063" t="s">
        <v>3295</v>
      </c>
      <c r="C11063" t="s">
        <v>75</v>
      </c>
      <c r="D11063" t="s">
        <v>3288</v>
      </c>
      <c r="E11063">
        <f t="shared" si="520"/>
        <v>2.1276595744680851E-2</v>
      </c>
      <c r="F11063">
        <v>2</v>
      </c>
      <c r="G11063">
        <f>LOG(382/(2+1))</f>
        <v>2.1049421081920463</v>
      </c>
      <c r="H11063">
        <f>0.0212765957446808*4.84680831993846</f>
        <v>0.10312358127528613</v>
      </c>
      <c r="I11063">
        <v>0.10312358127528649</v>
      </c>
    </row>
    <row r="11064" spans="1:9" x14ac:dyDescent="0.25">
      <c r="A11064">
        <v>425</v>
      </c>
      <c r="B11064" t="s">
        <v>3295</v>
      </c>
      <c r="C11064" t="s">
        <v>75</v>
      </c>
      <c r="D11064" t="s">
        <v>3289</v>
      </c>
      <c r="E11064">
        <f t="shared" si="520"/>
        <v>2.1276595744680851E-2</v>
      </c>
      <c r="F11064">
        <v>2</v>
      </c>
      <c r="G11064">
        <f>LOG(382/(2+1))</f>
        <v>2.1049421081920463</v>
      </c>
      <c r="H11064">
        <f>0.0212765957446808*4.84680831993846</f>
        <v>0.10312358127528613</v>
      </c>
      <c r="I11064">
        <v>0.10312358127528649</v>
      </c>
    </row>
    <row r="11065" spans="1:9" x14ac:dyDescent="0.25">
      <c r="A11065">
        <v>425</v>
      </c>
      <c r="B11065" t="s">
        <v>3295</v>
      </c>
      <c r="C11065" t="s">
        <v>75</v>
      </c>
      <c r="D11065" t="s">
        <v>3290</v>
      </c>
      <c r="E11065">
        <f t="shared" si="520"/>
        <v>2.1276595744680851E-2</v>
      </c>
      <c r="F11065">
        <v>12</v>
      </c>
      <c r="G11065">
        <f>LOG(382/(12+1))</f>
        <v>1.468120010604872</v>
      </c>
      <c r="H11065">
        <f>0.0212765957446808*3.38047125114503</f>
        <v>7.1924920237128126E-2</v>
      </c>
      <c r="I11065">
        <v>7.1924920237128473E-2</v>
      </c>
    </row>
    <row r="11066" spans="1:9" x14ac:dyDescent="0.25">
      <c r="A11066">
        <v>425</v>
      </c>
      <c r="B11066" t="s">
        <v>3295</v>
      </c>
      <c r="C11066" t="s">
        <v>75</v>
      </c>
      <c r="D11066" t="s">
        <v>82</v>
      </c>
      <c r="E11066">
        <f>3/47</f>
        <v>6.3829787234042548E-2</v>
      </c>
      <c r="F11066">
        <v>92</v>
      </c>
      <c r="G11066">
        <f>LOG(382/(92+1))</f>
        <v>0.61358041435777355</v>
      </c>
      <c r="H11066">
        <f>0.0638297872340425*1.41282111545331</f>
        <v>9.018007119914738E-2</v>
      </c>
      <c r="I11066">
        <v>9.0180071199148032E-2</v>
      </c>
    </row>
    <row r="11067" spans="1:9" x14ac:dyDescent="0.25">
      <c r="A11067">
        <v>425</v>
      </c>
      <c r="B11067" t="s">
        <v>3295</v>
      </c>
      <c r="C11067" t="s">
        <v>75</v>
      </c>
      <c r="D11067" t="s">
        <v>2369</v>
      </c>
      <c r="E11067">
        <f>1/47</f>
        <v>2.1276595744680851E-2</v>
      </c>
      <c r="F11067">
        <v>15</v>
      </c>
      <c r="G11067">
        <f>LOG(382/(15+1))</f>
        <v>1.3779433802557839</v>
      </c>
      <c r="H11067">
        <f>0.0212765957446808*3.17283188636679</f>
        <v>6.7507061412059199E-2</v>
      </c>
      <c r="I11067">
        <v>6.7507061412059449E-2</v>
      </c>
    </row>
    <row r="11068" spans="1:9" x14ac:dyDescent="0.25">
      <c r="A11068">
        <v>425</v>
      </c>
      <c r="B11068" t="s">
        <v>3295</v>
      </c>
      <c r="C11068" t="s">
        <v>75</v>
      </c>
      <c r="D11068" t="s">
        <v>1727</v>
      </c>
      <c r="E11068">
        <f>2/47</f>
        <v>4.2553191489361701E-2</v>
      </c>
      <c r="F11068">
        <v>27</v>
      </c>
      <c r="G11068">
        <f>LOG(382/(27+1))</f>
        <v>1.1349053315694895</v>
      </c>
      <c r="H11068">
        <f>0.0425531914893617*2.61321609843137</f>
        <v>0.11120068503963276</v>
      </c>
      <c r="I11068">
        <v>0.1112006850396328</v>
      </c>
    </row>
    <row r="11069" spans="1:9" x14ac:dyDescent="0.25">
      <c r="A11069">
        <v>425</v>
      </c>
      <c r="B11069" t="s">
        <v>3295</v>
      </c>
      <c r="C11069" t="s">
        <v>75</v>
      </c>
      <c r="D11069" t="s">
        <v>3291</v>
      </c>
      <c r="E11069">
        <f t="shared" ref="E11069:E11079" si="521">1/47</f>
        <v>2.1276595744680851E-2</v>
      </c>
      <c r="F11069">
        <v>3</v>
      </c>
      <c r="G11069">
        <f>LOG(382/(3+1))</f>
        <v>1.9800033715837464</v>
      </c>
      <c r="H11069">
        <f>0.0212765957446808*4.55912624748668</f>
        <v>9.7002686116737638E-2</v>
      </c>
      <c r="I11069">
        <v>9.7002686116737971E-2</v>
      </c>
    </row>
    <row r="11070" spans="1:9" x14ac:dyDescent="0.25">
      <c r="A11070">
        <v>425</v>
      </c>
      <c r="B11070" t="s">
        <v>3295</v>
      </c>
      <c r="C11070" t="s">
        <v>75</v>
      </c>
      <c r="D11070" t="s">
        <v>1921</v>
      </c>
      <c r="E11070">
        <f t="shared" si="521"/>
        <v>2.1276595744680851E-2</v>
      </c>
      <c r="F11070">
        <v>37</v>
      </c>
      <c r="G11070">
        <f>LOG(382/(37+1))</f>
        <v>1.0022797662948986</v>
      </c>
      <c r="H11070">
        <f>0.0212765957446808*2.30783444888018</f>
        <v>4.9102860614471791E-2</v>
      </c>
      <c r="I11070">
        <v>4.910286061447211E-2</v>
      </c>
    </row>
    <row r="11071" spans="1:9" x14ac:dyDescent="0.25">
      <c r="A11071">
        <v>425</v>
      </c>
      <c r="B11071" t="s">
        <v>3295</v>
      </c>
      <c r="C11071" t="s">
        <v>75</v>
      </c>
      <c r="D11071" t="s">
        <v>388</v>
      </c>
      <c r="E11071">
        <f t="shared" si="521"/>
        <v>2.1276595744680851E-2</v>
      </c>
      <c r="F11071">
        <v>44</v>
      </c>
      <c r="G11071">
        <f>LOG(382/(44+1))</f>
        <v>0.92885084913636506</v>
      </c>
      <c r="H11071">
        <f>0.0212765957446808*2.13875811883625</f>
        <v>4.5505491890132865E-2</v>
      </c>
      <c r="I11071">
        <v>4.5505491890133087E-2</v>
      </c>
    </row>
    <row r="11072" spans="1:9" x14ac:dyDescent="0.25">
      <c r="A11072">
        <v>425</v>
      </c>
      <c r="B11072" t="s">
        <v>3295</v>
      </c>
      <c r="C11072" t="s">
        <v>75</v>
      </c>
      <c r="D11072" t="s">
        <v>1634</v>
      </c>
      <c r="E11072">
        <f t="shared" si="521"/>
        <v>2.1276595744680851E-2</v>
      </c>
      <c r="F11072">
        <v>7</v>
      </c>
      <c r="G11072">
        <f>LOG(382/(7+1))</f>
        <v>1.6789733759197651</v>
      </c>
      <c r="H11072">
        <f>0.0212765957446808*3.86597906692673</f>
        <v>8.2254873764398315E-2</v>
      </c>
      <c r="I11072">
        <v>8.2254873764398703E-2</v>
      </c>
    </row>
    <row r="11073" spans="1:9" x14ac:dyDescent="0.25">
      <c r="A11073">
        <v>425</v>
      </c>
      <c r="B11073" t="s">
        <v>3295</v>
      </c>
      <c r="C11073" t="s">
        <v>75</v>
      </c>
      <c r="D11073" t="s">
        <v>3292</v>
      </c>
      <c r="E11073">
        <f t="shared" si="521"/>
        <v>2.1276595744680851E-2</v>
      </c>
      <c r="F11073">
        <v>5</v>
      </c>
      <c r="G11073">
        <f>LOG(382/(5+1))</f>
        <v>1.803912112528065</v>
      </c>
      <c r="H11073">
        <f>0.0212765957446808*4.15366113937852</f>
        <v>8.8375768922947018E-2</v>
      </c>
      <c r="I11073">
        <v>8.8375768922947226E-2</v>
      </c>
    </row>
    <row r="11074" spans="1:9" x14ac:dyDescent="0.25">
      <c r="A11074">
        <v>425</v>
      </c>
      <c r="B11074" t="s">
        <v>3295</v>
      </c>
      <c r="C11074" t="s">
        <v>75</v>
      </c>
      <c r="D11074" t="s">
        <v>765</v>
      </c>
      <c r="E11074">
        <f t="shared" si="521"/>
        <v>2.1276595744680851E-2</v>
      </c>
      <c r="F11074">
        <v>44</v>
      </c>
      <c r="G11074">
        <f>LOG(382/(44+1))</f>
        <v>0.92885084913636506</v>
      </c>
      <c r="H11074">
        <f>0.0212765957446808*2.13875811883625</f>
        <v>4.5505491890132865E-2</v>
      </c>
      <c r="I11074">
        <v>4.5505491890133087E-2</v>
      </c>
    </row>
    <row r="11075" spans="1:9" x14ac:dyDescent="0.25">
      <c r="A11075">
        <v>425</v>
      </c>
      <c r="B11075" t="s">
        <v>3295</v>
      </c>
      <c r="C11075" t="s">
        <v>75</v>
      </c>
      <c r="D11075" t="s">
        <v>597</v>
      </c>
      <c r="E11075">
        <f t="shared" si="521"/>
        <v>2.1276595744680851E-2</v>
      </c>
      <c r="F11075">
        <v>51</v>
      </c>
      <c r="G11075">
        <f>LOG(382/(51+1))</f>
        <v>0.86606001927690957</v>
      </c>
      <c r="H11075">
        <f>0.0212765957446808*1.99417689002514</f>
        <v>4.242929553244968E-2</v>
      </c>
      <c r="I11075">
        <v>4.2429295532449951E-2</v>
      </c>
    </row>
    <row r="11076" spans="1:9" x14ac:dyDescent="0.25">
      <c r="A11076">
        <v>425</v>
      </c>
      <c r="B11076" t="s">
        <v>3295</v>
      </c>
      <c r="C11076" t="s">
        <v>75</v>
      </c>
      <c r="D11076" t="s">
        <v>767</v>
      </c>
      <c r="E11076">
        <f t="shared" si="521"/>
        <v>2.1276595744680851E-2</v>
      </c>
      <c r="F11076">
        <v>47</v>
      </c>
      <c r="G11076">
        <f>LOG(382/(47+1))</f>
        <v>0.90082212553612151</v>
      </c>
      <c r="H11076">
        <f>0.0212765957446808*2.07421959769868</f>
        <v>4.4132331865929256E-2</v>
      </c>
      <c r="I11076">
        <v>4.413233186592945E-2</v>
      </c>
    </row>
    <row r="11077" spans="1:9" x14ac:dyDescent="0.25">
      <c r="A11077">
        <v>425</v>
      </c>
      <c r="B11077" t="s">
        <v>3295</v>
      </c>
      <c r="C11077" t="s">
        <v>75</v>
      </c>
      <c r="D11077" t="s">
        <v>3293</v>
      </c>
      <c r="E11077">
        <f t="shared" si="521"/>
        <v>2.1276595744680851E-2</v>
      </c>
      <c r="F11077">
        <v>6</v>
      </c>
      <c r="G11077">
        <f>LOG(382/(6+1))</f>
        <v>1.736965322897452</v>
      </c>
      <c r="H11077">
        <f>0.0212765957446808*3.99951045955126</f>
        <v>8.5095967224494681E-2</v>
      </c>
      <c r="I11077">
        <v>8.5095967224494931E-2</v>
      </c>
    </row>
    <row r="11078" spans="1:9" x14ac:dyDescent="0.25">
      <c r="A11078">
        <v>425</v>
      </c>
      <c r="B11078" t="s">
        <v>3295</v>
      </c>
      <c r="C11078" t="s">
        <v>75</v>
      </c>
      <c r="D11078" t="s">
        <v>310</v>
      </c>
      <c r="E11078">
        <f t="shared" si="521"/>
        <v>2.1276595744680851E-2</v>
      </c>
      <c r="F11078">
        <v>50</v>
      </c>
      <c r="G11078">
        <f>LOG(382/(50+1))</f>
        <v>0.87449318681377242</v>
      </c>
      <c r="H11078">
        <f>0.0212765957446808*2.01359497588224</f>
        <v>4.2842446295366696E-2</v>
      </c>
      <c r="I11078">
        <v>4.2842446295367008E-2</v>
      </c>
    </row>
    <row r="11079" spans="1:9" x14ac:dyDescent="0.25">
      <c r="A11079">
        <v>425</v>
      </c>
      <c r="B11079" t="s">
        <v>3295</v>
      </c>
      <c r="C11079" t="s">
        <v>75</v>
      </c>
      <c r="D11079" t="s">
        <v>3296</v>
      </c>
      <c r="E11079">
        <f t="shared" si="521"/>
        <v>2.1276595744680851E-2</v>
      </c>
      <c r="F11079">
        <v>1</v>
      </c>
      <c r="G11079">
        <f>LOG(382/(1+1))</f>
        <v>2.2810333672477277</v>
      </c>
      <c r="H11079">
        <f>0.0212765957446808*5.25227342804663</f>
        <v>0.11175049846907696</v>
      </c>
      <c r="I11079">
        <v>0.1117504984690772</v>
      </c>
    </row>
    <row r="11080" spans="1:9" x14ac:dyDescent="0.25">
      <c r="A11080">
        <v>426</v>
      </c>
      <c r="B11080" t="s">
        <v>3297</v>
      </c>
      <c r="C11080" t="s">
        <v>75</v>
      </c>
      <c r="D11080" t="s">
        <v>3298</v>
      </c>
      <c r="E11080">
        <f t="shared" ref="E11080:E11088" si="522">1/17</f>
        <v>5.8823529411764705E-2</v>
      </c>
      <c r="F11080">
        <v>1</v>
      </c>
      <c r="G11080">
        <f>LOG(382/(1+1))</f>
        <v>2.2810333672477277</v>
      </c>
      <c r="H11080">
        <f>0.0588235294117647*5.25227342804663</f>
        <v>0.30895726047333111</v>
      </c>
      <c r="I11080">
        <v>0.30895726047333122</v>
      </c>
    </row>
    <row r="11081" spans="1:9" x14ac:dyDescent="0.25">
      <c r="A11081">
        <v>426</v>
      </c>
      <c r="B11081" t="s">
        <v>3297</v>
      </c>
      <c r="C11081" t="s">
        <v>75</v>
      </c>
      <c r="D11081" t="s">
        <v>41</v>
      </c>
      <c r="E11081">
        <f t="shared" si="522"/>
        <v>5.8823529411764705E-2</v>
      </c>
      <c r="F11081">
        <v>195</v>
      </c>
      <c r="G11081">
        <f>LOG(382/(195+1))</f>
        <v>0.28980729155523272</v>
      </c>
      <c r="H11081">
        <f>0.0588235294117647*0.667305949376058</f>
        <v>3.9253291139768116E-2</v>
      </c>
      <c r="I11081">
        <v>3.9253291139768123E-2</v>
      </c>
    </row>
    <row r="11082" spans="1:9" x14ac:dyDescent="0.25">
      <c r="A11082">
        <v>426</v>
      </c>
      <c r="B11082" t="s">
        <v>3297</v>
      </c>
      <c r="C11082" t="s">
        <v>75</v>
      </c>
      <c r="D11082" t="s">
        <v>144</v>
      </c>
      <c r="E11082">
        <f t="shared" si="522"/>
        <v>5.8823529411764705E-2</v>
      </c>
      <c r="F11082">
        <v>105</v>
      </c>
      <c r="G11082">
        <f>LOG(382/(105+1))</f>
        <v>0.55675749764693849</v>
      </c>
      <c r="H11082">
        <f>0.0588235294117647*1.2819815144945</f>
        <v>7.5410677323205874E-2</v>
      </c>
      <c r="I11082">
        <v>7.5410677323206346E-2</v>
      </c>
    </row>
    <row r="11083" spans="1:9" x14ac:dyDescent="0.25">
      <c r="A11083">
        <v>426</v>
      </c>
      <c r="B11083" t="s">
        <v>3297</v>
      </c>
      <c r="C11083" t="s">
        <v>75</v>
      </c>
      <c r="D11083" t="s">
        <v>168</v>
      </c>
      <c r="E11083">
        <f t="shared" si="522"/>
        <v>5.8823529411764705E-2</v>
      </c>
      <c r="F11083">
        <v>34</v>
      </c>
      <c r="G11083">
        <f>LOG(382/(34+1))</f>
        <v>1.037995318561433</v>
      </c>
      <c r="H11083">
        <f>0.0588235294117647*2.39007254711716</f>
        <v>0.14059250277159763</v>
      </c>
      <c r="I11083">
        <v>0.14059250277159771</v>
      </c>
    </row>
    <row r="11084" spans="1:9" x14ac:dyDescent="0.25">
      <c r="A11084">
        <v>426</v>
      </c>
      <c r="B11084" t="s">
        <v>3297</v>
      </c>
      <c r="C11084" t="s">
        <v>75</v>
      </c>
      <c r="D11084" t="s">
        <v>570</v>
      </c>
      <c r="E11084">
        <f t="shared" si="522"/>
        <v>5.8823529411764705E-2</v>
      </c>
      <c r="F11084">
        <v>27</v>
      </c>
      <c r="G11084">
        <f>LOG(382/(27+1))</f>
        <v>1.1349053315694895</v>
      </c>
      <c r="H11084">
        <f>0.0588235294117647*2.61321609843137</f>
        <v>0.15371859402537469</v>
      </c>
      <c r="I11084">
        <v>0.1537185940253748</v>
      </c>
    </row>
    <row r="11085" spans="1:9" x14ac:dyDescent="0.25">
      <c r="A11085">
        <v>426</v>
      </c>
      <c r="B11085" t="s">
        <v>3297</v>
      </c>
      <c r="C11085" t="s">
        <v>75</v>
      </c>
      <c r="D11085" t="s">
        <v>744</v>
      </c>
      <c r="E11085">
        <f t="shared" si="522"/>
        <v>5.8823529411764705E-2</v>
      </c>
      <c r="F11085">
        <v>28</v>
      </c>
      <c r="G11085">
        <f>LOG(382/(28+1))</f>
        <v>1.1196653650127526</v>
      </c>
      <c r="H11085">
        <f>0.0588235294117647*2.5781247786201</f>
        <v>0.15165439874235878</v>
      </c>
      <c r="I11085">
        <v>0.15165439874235889</v>
      </c>
    </row>
    <row r="11086" spans="1:9" x14ac:dyDescent="0.25">
      <c r="A11086">
        <v>426</v>
      </c>
      <c r="B11086" t="s">
        <v>3297</v>
      </c>
      <c r="C11086" t="s">
        <v>75</v>
      </c>
      <c r="D11086" t="s">
        <v>2189</v>
      </c>
      <c r="E11086">
        <f t="shared" si="522"/>
        <v>5.8823529411764705E-2</v>
      </c>
      <c r="F11086">
        <v>12</v>
      </c>
      <c r="G11086">
        <f>LOG(382/(12+1))</f>
        <v>1.468120010604872</v>
      </c>
      <c r="H11086">
        <f>0.0588235294117647*3.38047125114503</f>
        <v>0.19885125006735468</v>
      </c>
      <c r="I11086">
        <v>0.19885125006735521</v>
      </c>
    </row>
    <row r="11087" spans="1:9" x14ac:dyDescent="0.25">
      <c r="A11087">
        <v>426</v>
      </c>
      <c r="B11087" t="s">
        <v>3297</v>
      </c>
      <c r="C11087" t="s">
        <v>75</v>
      </c>
      <c r="D11087" t="s">
        <v>865</v>
      </c>
      <c r="E11087">
        <f t="shared" si="522"/>
        <v>5.8823529411764705E-2</v>
      </c>
      <c r="F11087">
        <v>13</v>
      </c>
      <c r="G11087">
        <f>LOG(382/(13+1))</f>
        <v>1.4359353272334707</v>
      </c>
      <c r="H11087">
        <f>0.0588235294117647*3.30636327899131</f>
        <v>0.19449195758772411</v>
      </c>
      <c r="I11087">
        <v>0.1944919575877245</v>
      </c>
    </row>
    <row r="11088" spans="1:9" x14ac:dyDescent="0.25">
      <c r="A11088">
        <v>426</v>
      </c>
      <c r="B11088" t="s">
        <v>3297</v>
      </c>
      <c r="C11088" t="s">
        <v>75</v>
      </c>
      <c r="D11088" t="s">
        <v>25</v>
      </c>
      <c r="E11088">
        <f t="shared" si="522"/>
        <v>5.8823529411764705E-2</v>
      </c>
      <c r="F11088">
        <v>106</v>
      </c>
      <c r="G11088">
        <f>LOG(382/(106+1))</f>
        <v>0.55267958522649907</v>
      </c>
      <c r="H11088">
        <f>0.0588235294117647*1.27259177414466</f>
        <v>7.4858339655568221E-2</v>
      </c>
      <c r="I11088">
        <v>7.4858339655568762E-2</v>
      </c>
    </row>
    <row r="11089" spans="1:9" x14ac:dyDescent="0.25">
      <c r="A11089">
        <v>426</v>
      </c>
      <c r="B11089" t="s">
        <v>3297</v>
      </c>
      <c r="C11089" t="s">
        <v>75</v>
      </c>
      <c r="D11089" t="s">
        <v>762</v>
      </c>
      <c r="E11089">
        <f>2/17</f>
        <v>0.11764705882352941</v>
      </c>
      <c r="F11089">
        <v>29</v>
      </c>
      <c r="G11089">
        <f>LOG(382/(29+1))</f>
        <v>1.1049421081920463</v>
      </c>
      <c r="H11089">
        <f>0.117647058823529*2.54422322694442</f>
        <v>0.29932037964051894</v>
      </c>
      <c r="I11089">
        <v>0.29932037964052</v>
      </c>
    </row>
    <row r="11090" spans="1:9" x14ac:dyDescent="0.25">
      <c r="A11090">
        <v>426</v>
      </c>
      <c r="B11090" t="s">
        <v>3297</v>
      </c>
      <c r="C11090" t="s">
        <v>75</v>
      </c>
      <c r="D11090" t="s">
        <v>3299</v>
      </c>
      <c r="E11090">
        <f t="shared" ref="E11090:E11095" si="523">1/17</f>
        <v>5.8823529411764705E-2</v>
      </c>
      <c r="F11090">
        <v>1</v>
      </c>
      <c r="G11090">
        <f>LOG(382/(1+1))</f>
        <v>2.2810333672477277</v>
      </c>
      <c r="H11090">
        <f>0.0588235294117647*5.25227342804663</f>
        <v>0.30895726047333111</v>
      </c>
      <c r="I11090">
        <v>0.30895726047333122</v>
      </c>
    </row>
    <row r="11091" spans="1:9" x14ac:dyDescent="0.25">
      <c r="A11091">
        <v>426</v>
      </c>
      <c r="B11091" t="s">
        <v>3297</v>
      </c>
      <c r="C11091" t="s">
        <v>75</v>
      </c>
      <c r="D11091" t="s">
        <v>3300</v>
      </c>
      <c r="E11091">
        <f t="shared" si="523"/>
        <v>5.8823529411764705E-2</v>
      </c>
      <c r="F11091">
        <v>1</v>
      </c>
      <c r="G11091">
        <f>LOG(382/(1+1))</f>
        <v>2.2810333672477277</v>
      </c>
      <c r="H11091">
        <f>0.0588235294117647*5.25227342804663</f>
        <v>0.30895726047333111</v>
      </c>
      <c r="I11091">
        <v>0.30895726047333122</v>
      </c>
    </row>
    <row r="11092" spans="1:9" x14ac:dyDescent="0.25">
      <c r="A11092">
        <v>426</v>
      </c>
      <c r="B11092" t="s">
        <v>3297</v>
      </c>
      <c r="C11092" t="s">
        <v>75</v>
      </c>
      <c r="D11092" t="s">
        <v>447</v>
      </c>
      <c r="E11092">
        <f t="shared" si="523"/>
        <v>5.8823529411764705E-2</v>
      </c>
      <c r="F11092">
        <v>37</v>
      </c>
      <c r="G11092">
        <f>LOG(382/(37+1))</f>
        <v>1.0022797662948986</v>
      </c>
      <c r="H11092">
        <f>0.0588235294117647*2.30783444888018</f>
        <v>0.13575496758118702</v>
      </c>
      <c r="I11092">
        <v>0.1357549675811876</v>
      </c>
    </row>
    <row r="11093" spans="1:9" x14ac:dyDescent="0.25">
      <c r="A11093">
        <v>426</v>
      </c>
      <c r="B11093" t="s">
        <v>3297</v>
      </c>
      <c r="C11093" t="s">
        <v>75</v>
      </c>
      <c r="D11093" t="s">
        <v>338</v>
      </c>
      <c r="E11093">
        <f t="shared" si="523"/>
        <v>5.8823529411764705E-2</v>
      </c>
      <c r="F11093">
        <v>54</v>
      </c>
      <c r="G11093">
        <f>LOG(382/(54+1))</f>
        <v>0.84170067341746491</v>
      </c>
      <c r="H11093">
        <f>0.0588235294117647*1.9380874233741</f>
        <v>0.11400514255141762</v>
      </c>
      <c r="I11093">
        <v>0.1140051425514179</v>
      </c>
    </row>
    <row r="11094" spans="1:9" x14ac:dyDescent="0.25">
      <c r="A11094">
        <v>426</v>
      </c>
      <c r="B11094" t="s">
        <v>3297</v>
      </c>
      <c r="C11094" t="s">
        <v>75</v>
      </c>
      <c r="D11094" t="s">
        <v>931</v>
      </c>
      <c r="E11094">
        <f t="shared" si="523"/>
        <v>5.8823529411764705E-2</v>
      </c>
      <c r="F11094">
        <v>22</v>
      </c>
      <c r="G11094">
        <f>LOG(382/(22+1))</f>
        <v>1.2203355268941158</v>
      </c>
      <c r="H11094">
        <f>0.0588235294117647*2.80992639267742</f>
        <v>0.16528978780455408</v>
      </c>
      <c r="I11094">
        <v>0.16528978780455439</v>
      </c>
    </row>
    <row r="11095" spans="1:9" x14ac:dyDescent="0.25">
      <c r="A11095">
        <v>426</v>
      </c>
      <c r="B11095" t="s">
        <v>3297</v>
      </c>
      <c r="C11095" t="s">
        <v>75</v>
      </c>
      <c r="D11095" t="s">
        <v>597</v>
      </c>
      <c r="E11095">
        <f t="shared" si="523"/>
        <v>5.8823529411764705E-2</v>
      </c>
      <c r="F11095">
        <v>51</v>
      </c>
      <c r="G11095">
        <f>LOG(382/(51+1))</f>
        <v>0.86606001927690957</v>
      </c>
      <c r="H11095">
        <f>0.0588235294117647*1.99417689002514</f>
        <v>0.11730452294265528</v>
      </c>
      <c r="I11095">
        <v>0.1173045229426558</v>
      </c>
    </row>
    <row r="11096" spans="1:9" x14ac:dyDescent="0.25">
      <c r="A11096">
        <v>427</v>
      </c>
      <c r="B11096" t="s">
        <v>3301</v>
      </c>
      <c r="C11096" t="s">
        <v>75</v>
      </c>
      <c r="D11096" t="s">
        <v>1544</v>
      </c>
      <c r="E11096">
        <f>5/43</f>
        <v>0.11627906976744186</v>
      </c>
      <c r="F11096">
        <v>19</v>
      </c>
      <c r="G11096">
        <f>LOG(382/(19+1))</f>
        <v>1.2810333672477277</v>
      </c>
      <c r="H11096">
        <f>0.116279069767441*2.94968833505258</f>
        <v>0.34298701570378581</v>
      </c>
      <c r="I11096">
        <v>0.34298701570378892</v>
      </c>
    </row>
    <row r="11097" spans="1:9" x14ac:dyDescent="0.25">
      <c r="A11097">
        <v>427</v>
      </c>
      <c r="B11097" t="s">
        <v>3301</v>
      </c>
      <c r="C11097" t="s">
        <v>75</v>
      </c>
      <c r="D11097" t="s">
        <v>3302</v>
      </c>
      <c r="E11097">
        <f>1/43</f>
        <v>2.3255813953488372E-2</v>
      </c>
      <c r="F11097">
        <v>1</v>
      </c>
      <c r="G11097">
        <f>LOG(382/(1+1))</f>
        <v>2.2810333672477277</v>
      </c>
      <c r="H11097">
        <f>0.0232558139534883*5.25227342804663</f>
        <v>0.12214589367550263</v>
      </c>
      <c r="I11097">
        <v>0.12214589367550301</v>
      </c>
    </row>
    <row r="11098" spans="1:9" x14ac:dyDescent="0.25">
      <c r="A11098">
        <v>427</v>
      </c>
      <c r="B11098" t="s">
        <v>3301</v>
      </c>
      <c r="C11098" t="s">
        <v>75</v>
      </c>
      <c r="D11098" t="s">
        <v>82</v>
      </c>
      <c r="E11098">
        <f>1/43</f>
        <v>2.3255813953488372E-2</v>
      </c>
      <c r="F11098">
        <v>92</v>
      </c>
      <c r="G11098">
        <f>LOG(382/(92+1))</f>
        <v>0.61358041435777355</v>
      </c>
      <c r="H11098">
        <f>0.0232558139534883*1.41282111545331</f>
        <v>3.2856305010541986E-2</v>
      </c>
      <c r="I11098">
        <v>3.2856305010542312E-2</v>
      </c>
    </row>
    <row r="11099" spans="1:9" x14ac:dyDescent="0.25">
      <c r="A11099">
        <v>427</v>
      </c>
      <c r="B11099" t="s">
        <v>3301</v>
      </c>
      <c r="C11099" t="s">
        <v>75</v>
      </c>
      <c r="D11099" t="s">
        <v>1079</v>
      </c>
      <c r="E11099">
        <f>1/43</f>
        <v>2.3255813953488372E-2</v>
      </c>
      <c r="F11099">
        <v>34</v>
      </c>
      <c r="G11099">
        <f>LOG(382/(34+1))</f>
        <v>1.037995318561433</v>
      </c>
      <c r="H11099">
        <f>0.0232558139534883*2.39007254711716</f>
        <v>5.5583082491096572E-2</v>
      </c>
      <c r="I11099">
        <v>5.5583082491096773E-2</v>
      </c>
    </row>
    <row r="11100" spans="1:9" x14ac:dyDescent="0.25">
      <c r="A11100">
        <v>427</v>
      </c>
      <c r="B11100" t="s">
        <v>3301</v>
      </c>
      <c r="C11100" t="s">
        <v>75</v>
      </c>
      <c r="D11100" t="s">
        <v>147</v>
      </c>
      <c r="E11100">
        <f>4/43</f>
        <v>9.3023255813953487E-2</v>
      </c>
      <c r="F11100">
        <v>48</v>
      </c>
      <c r="G11100">
        <f>LOG(382/(48+1))</f>
        <v>0.89186728288319506</v>
      </c>
      <c r="H11100">
        <f>0.0930232558139534*2.05360031049594</f>
        <v>0.19103258702287795</v>
      </c>
      <c r="I11100">
        <v>0.19103258702287901</v>
      </c>
    </row>
    <row r="11101" spans="1:9" x14ac:dyDescent="0.25">
      <c r="A11101">
        <v>427</v>
      </c>
      <c r="B11101" t="s">
        <v>3301</v>
      </c>
      <c r="C11101" t="s">
        <v>75</v>
      </c>
      <c r="D11101" t="s">
        <v>22</v>
      </c>
      <c r="E11101">
        <f>1/43</f>
        <v>2.3255813953488372E-2</v>
      </c>
      <c r="F11101">
        <v>259</v>
      </c>
      <c r="G11101">
        <f>LOG(382/(259+1))</f>
        <v>0.16709001494089079</v>
      </c>
      <c r="H11101">
        <f>0.0232558139534883*0.384738977591047</f>
        <v>8.9474180835126937E-3</v>
      </c>
      <c r="I11101">
        <v>8.9474180835127336E-3</v>
      </c>
    </row>
    <row r="11102" spans="1:9" x14ac:dyDescent="0.25">
      <c r="A11102">
        <v>427</v>
      </c>
      <c r="B11102" t="s">
        <v>3301</v>
      </c>
      <c r="C11102" t="s">
        <v>75</v>
      </c>
      <c r="D11102" t="s">
        <v>23</v>
      </c>
      <c r="E11102">
        <f>1/43</f>
        <v>2.3255813953488372E-2</v>
      </c>
      <c r="F11102">
        <v>275</v>
      </c>
      <c r="G11102">
        <f>LOG(382/(275+1))</f>
        <v>0.14115428084649101</v>
      </c>
      <c r="H11102">
        <f>0.0232558139534883*0.325019742889425</f>
        <v>7.558598671847069E-3</v>
      </c>
      <c r="I11102">
        <v>7.5585986718470959E-3</v>
      </c>
    </row>
    <row r="11103" spans="1:9" x14ac:dyDescent="0.25">
      <c r="A11103">
        <v>427</v>
      </c>
      <c r="B11103" t="s">
        <v>3301</v>
      </c>
      <c r="C11103" t="s">
        <v>75</v>
      </c>
      <c r="D11103" t="s">
        <v>105</v>
      </c>
      <c r="E11103">
        <f>2/43</f>
        <v>4.6511627906976744E-2</v>
      </c>
      <c r="F11103">
        <v>122</v>
      </c>
      <c r="G11103">
        <f>LOG(382/(122+1))</f>
        <v>0.49215825147231079</v>
      </c>
      <c r="H11103">
        <f>0.0465116279069767*1.13323625323415</f>
        <v>5.270866294112321E-2</v>
      </c>
      <c r="I11103">
        <v>5.2708662941123613E-2</v>
      </c>
    </row>
    <row r="11104" spans="1:9" x14ac:dyDescent="0.25">
      <c r="A11104">
        <v>427</v>
      </c>
      <c r="B11104" t="s">
        <v>3301</v>
      </c>
      <c r="C11104" t="s">
        <v>75</v>
      </c>
      <c r="D11104" t="s">
        <v>3303</v>
      </c>
      <c r="E11104">
        <f t="shared" ref="E11104:E11111" si="524">1/43</f>
        <v>2.3255813953488372E-2</v>
      </c>
      <c r="F11104">
        <v>1</v>
      </c>
      <c r="G11104">
        <f>LOG(382/(1+1))</f>
        <v>2.2810333672477277</v>
      </c>
      <c r="H11104">
        <f>0.0232558139534883*5.25227342804663</f>
        <v>0.12214589367550263</v>
      </c>
      <c r="I11104">
        <v>0.12214589367550301</v>
      </c>
    </row>
    <row r="11105" spans="1:9" x14ac:dyDescent="0.25">
      <c r="A11105">
        <v>427</v>
      </c>
      <c r="B11105" t="s">
        <v>3301</v>
      </c>
      <c r="C11105" t="s">
        <v>75</v>
      </c>
      <c r="D11105" t="s">
        <v>3304</v>
      </c>
      <c r="E11105">
        <f t="shared" si="524"/>
        <v>2.3255813953488372E-2</v>
      </c>
      <c r="F11105">
        <v>1</v>
      </c>
      <c r="G11105">
        <f>LOG(382/(1+1))</f>
        <v>2.2810333672477277</v>
      </c>
      <c r="H11105">
        <f>0.0232558139534883*5.25227342804663</f>
        <v>0.12214589367550263</v>
      </c>
      <c r="I11105">
        <v>0.12214589367550301</v>
      </c>
    </row>
    <row r="11106" spans="1:9" x14ac:dyDescent="0.25">
      <c r="A11106">
        <v>427</v>
      </c>
      <c r="B11106" t="s">
        <v>3301</v>
      </c>
      <c r="C11106" t="s">
        <v>75</v>
      </c>
      <c r="D11106" t="s">
        <v>1974</v>
      </c>
      <c r="E11106">
        <f t="shared" si="524"/>
        <v>2.3255813953488372E-2</v>
      </c>
      <c r="F11106">
        <v>9</v>
      </c>
      <c r="G11106">
        <f>LOG(382/(9+1))</f>
        <v>1.5820633629117087</v>
      </c>
      <c r="H11106">
        <f>0.0232558139534883*3.64283551561252</f>
        <v>8.4717105014244384E-2</v>
      </c>
      <c r="I11106">
        <v>8.471710501424487E-2</v>
      </c>
    </row>
    <row r="11107" spans="1:9" x14ac:dyDescent="0.25">
      <c r="A11107">
        <v>427</v>
      </c>
      <c r="B11107" t="s">
        <v>3301</v>
      </c>
      <c r="C11107" t="s">
        <v>75</v>
      </c>
      <c r="D11107" t="s">
        <v>786</v>
      </c>
      <c r="E11107">
        <f t="shared" si="524"/>
        <v>2.3255813953488372E-2</v>
      </c>
      <c r="F11107">
        <v>11</v>
      </c>
      <c r="G11107">
        <f>LOG(382/(11+1))</f>
        <v>1.5028821168640838</v>
      </c>
      <c r="H11107">
        <f>0.0232558139534883*3.46051395881857</f>
        <v>8.0477068809733932E-2</v>
      </c>
      <c r="I11107">
        <v>8.0477068809734306E-2</v>
      </c>
    </row>
    <row r="11108" spans="1:9" x14ac:dyDescent="0.25">
      <c r="A11108">
        <v>427</v>
      </c>
      <c r="B11108" t="s">
        <v>3301</v>
      </c>
      <c r="C11108" t="s">
        <v>75</v>
      </c>
      <c r="D11108" t="s">
        <v>204</v>
      </c>
      <c r="E11108">
        <f t="shared" si="524"/>
        <v>2.3255813953488372E-2</v>
      </c>
      <c r="F11108">
        <v>166</v>
      </c>
      <c r="G11108">
        <f>LOG(382/(166+1))</f>
        <v>0.35934689176412549</v>
      </c>
      <c r="H11108">
        <f>0.0232558139534883*0.82742679618982</f>
        <v>1.9242483632321335E-2</v>
      </c>
      <c r="I11108">
        <v>1.9242483632321401E-2</v>
      </c>
    </row>
    <row r="11109" spans="1:9" x14ac:dyDescent="0.25">
      <c r="A11109">
        <v>427</v>
      </c>
      <c r="B11109" t="s">
        <v>3301</v>
      </c>
      <c r="C11109" t="s">
        <v>75</v>
      </c>
      <c r="D11109" t="s">
        <v>2238</v>
      </c>
      <c r="E11109">
        <f t="shared" si="524"/>
        <v>2.3255813953488372E-2</v>
      </c>
      <c r="F11109">
        <v>68</v>
      </c>
      <c r="G11109">
        <f>LOG(382/(68+1))</f>
        <v>0.74321427217445335</v>
      </c>
      <c r="H11109">
        <f>0.0232558139534883*1.71131410400931</f>
        <v>3.9798002418821039E-2</v>
      </c>
      <c r="I11109">
        <v>3.9798002418821303E-2</v>
      </c>
    </row>
    <row r="11110" spans="1:9" x14ac:dyDescent="0.25">
      <c r="A11110">
        <v>427</v>
      </c>
      <c r="B11110" t="s">
        <v>3301</v>
      </c>
      <c r="C11110" t="s">
        <v>75</v>
      </c>
      <c r="D11110" t="s">
        <v>89</v>
      </c>
      <c r="E11110">
        <f t="shared" si="524"/>
        <v>2.3255813953488372E-2</v>
      </c>
      <c r="F11110">
        <v>40</v>
      </c>
      <c r="G11110">
        <f>LOG(382/(40+1))</f>
        <v>0.96927950619197323</v>
      </c>
      <c r="H11110">
        <f>0.0232558139534883*2.23184854190226</f>
        <v>5.1903454462843085E-2</v>
      </c>
      <c r="I11110">
        <v>5.1903454462843418E-2</v>
      </c>
    </row>
    <row r="11111" spans="1:9" x14ac:dyDescent="0.25">
      <c r="A11111">
        <v>427</v>
      </c>
      <c r="B11111" t="s">
        <v>3301</v>
      </c>
      <c r="C11111" t="s">
        <v>75</v>
      </c>
      <c r="D11111" t="s">
        <v>2368</v>
      </c>
      <c r="E11111">
        <f t="shared" si="524"/>
        <v>2.3255813953488372E-2</v>
      </c>
      <c r="F11111">
        <v>2</v>
      </c>
      <c r="G11111">
        <f>LOG(382/(2+1))</f>
        <v>2.1049421081920463</v>
      </c>
      <c r="H11111">
        <f>0.0232558139534883*4.84680831993846</f>
        <v>0.11271647255670801</v>
      </c>
      <c r="I11111">
        <v>0.1127164725567085</v>
      </c>
    </row>
    <row r="11112" spans="1:9" x14ac:dyDescent="0.25">
      <c r="A11112">
        <v>427</v>
      </c>
      <c r="B11112" t="s">
        <v>3301</v>
      </c>
      <c r="C11112" t="s">
        <v>75</v>
      </c>
      <c r="D11112" t="s">
        <v>237</v>
      </c>
      <c r="E11112">
        <f>3/43</f>
        <v>6.9767441860465115E-2</v>
      </c>
      <c r="F11112">
        <v>138</v>
      </c>
      <c r="G11112">
        <f>LOG(382/(138+1))</f>
        <v>0.43904856265761361</v>
      </c>
      <c r="H11112">
        <f>0.0697674418604651*1.01094667547588</f>
        <v>7.0531163405293945E-2</v>
      </c>
      <c r="I11112">
        <v>7.0531163405294181E-2</v>
      </c>
    </row>
    <row r="11113" spans="1:9" x14ac:dyDescent="0.25">
      <c r="A11113">
        <v>427</v>
      </c>
      <c r="B11113" t="s">
        <v>3301</v>
      </c>
      <c r="C11113" t="s">
        <v>75</v>
      </c>
      <c r="D11113" t="s">
        <v>3305</v>
      </c>
      <c r="E11113">
        <f>1/43</f>
        <v>2.3255813953488372E-2</v>
      </c>
      <c r="F11113">
        <v>1</v>
      </c>
      <c r="G11113">
        <f>LOG(382/(1+1))</f>
        <v>2.2810333672477277</v>
      </c>
      <c r="H11113">
        <f>0.0232558139534883*5.25227342804663</f>
        <v>0.12214589367550263</v>
      </c>
      <c r="I11113">
        <v>0.12214589367550301</v>
      </c>
    </row>
    <row r="11114" spans="1:9" x14ac:dyDescent="0.25">
      <c r="A11114">
        <v>427</v>
      </c>
      <c r="B11114" t="s">
        <v>3301</v>
      </c>
      <c r="C11114" t="s">
        <v>75</v>
      </c>
      <c r="D11114" t="s">
        <v>3306</v>
      </c>
      <c r="E11114">
        <f>3/43</f>
        <v>6.9767441860465115E-2</v>
      </c>
      <c r="F11114">
        <v>1</v>
      </c>
      <c r="G11114">
        <f>LOG(382/(1+1))</f>
        <v>2.2810333672477277</v>
      </c>
      <c r="H11114">
        <f>0.0697674418604651*5.25227342804663</f>
        <v>0.36643768102650898</v>
      </c>
      <c r="I11114">
        <v>0.36643768102650898</v>
      </c>
    </row>
    <row r="11115" spans="1:9" x14ac:dyDescent="0.25">
      <c r="A11115">
        <v>427</v>
      </c>
      <c r="B11115" t="s">
        <v>3301</v>
      </c>
      <c r="C11115" t="s">
        <v>75</v>
      </c>
      <c r="D11115" t="s">
        <v>25</v>
      </c>
      <c r="E11115">
        <f t="shared" ref="E11115:E11126" si="525">1/43</f>
        <v>2.3255813953488372E-2</v>
      </c>
      <c r="F11115">
        <v>106</v>
      </c>
      <c r="G11115">
        <f>LOG(382/(106+1))</f>
        <v>0.55267958522649907</v>
      </c>
      <c r="H11115">
        <f>0.0232558139534883*1.27259177414466</f>
        <v>2.9595157538247811E-2</v>
      </c>
      <c r="I11115">
        <v>2.959515753824812E-2</v>
      </c>
    </row>
    <row r="11116" spans="1:9" x14ac:dyDescent="0.25">
      <c r="A11116">
        <v>427</v>
      </c>
      <c r="B11116" t="s">
        <v>3301</v>
      </c>
      <c r="C11116" t="s">
        <v>75</v>
      </c>
      <c r="D11116" t="s">
        <v>3307</v>
      </c>
      <c r="E11116">
        <f t="shared" si="525"/>
        <v>2.3255813953488372E-2</v>
      </c>
      <c r="F11116">
        <v>7</v>
      </c>
      <c r="G11116">
        <f>LOG(382/(7+1))</f>
        <v>1.6789733759197651</v>
      </c>
      <c r="H11116">
        <f>0.0232558139534883*3.86597906692673</f>
        <v>8.990648992852833E-2</v>
      </c>
      <c r="I11116">
        <v>8.9906489928528815E-2</v>
      </c>
    </row>
    <row r="11117" spans="1:9" x14ac:dyDescent="0.25">
      <c r="A11117">
        <v>427</v>
      </c>
      <c r="B11117" t="s">
        <v>3301</v>
      </c>
      <c r="C11117" t="s">
        <v>75</v>
      </c>
      <c r="D11117" t="s">
        <v>3308</v>
      </c>
      <c r="E11117">
        <f t="shared" si="525"/>
        <v>2.3255813953488372E-2</v>
      </c>
      <c r="F11117">
        <v>1</v>
      </c>
      <c r="G11117">
        <f>LOG(382/(1+1))</f>
        <v>2.2810333672477277</v>
      </c>
      <c r="H11117">
        <f>0.0232558139534883*5.25227342804663</f>
        <v>0.12214589367550263</v>
      </c>
      <c r="I11117">
        <v>0.12214589367550301</v>
      </c>
    </row>
    <row r="11118" spans="1:9" x14ac:dyDescent="0.25">
      <c r="A11118">
        <v>427</v>
      </c>
      <c r="B11118" t="s">
        <v>3301</v>
      </c>
      <c r="C11118" t="s">
        <v>75</v>
      </c>
      <c r="D11118" t="s">
        <v>830</v>
      </c>
      <c r="E11118">
        <f t="shared" si="525"/>
        <v>2.3255813953488372E-2</v>
      </c>
      <c r="F11118">
        <v>19</v>
      </c>
      <c r="G11118">
        <f>LOG(382/(19+1))</f>
        <v>1.2810333672477277</v>
      </c>
      <c r="H11118">
        <f>0.0232558139534883*2.94968833505258</f>
        <v>6.8597403140757462E-2</v>
      </c>
      <c r="I11118">
        <v>6.8597403140757782E-2</v>
      </c>
    </row>
    <row r="11119" spans="1:9" x14ac:dyDescent="0.25">
      <c r="A11119">
        <v>427</v>
      </c>
      <c r="B11119" t="s">
        <v>3301</v>
      </c>
      <c r="C11119" t="s">
        <v>75</v>
      </c>
      <c r="D11119" t="s">
        <v>3309</v>
      </c>
      <c r="E11119">
        <f t="shared" si="525"/>
        <v>2.3255813953488372E-2</v>
      </c>
      <c r="F11119">
        <v>1</v>
      </c>
      <c r="G11119">
        <f>LOG(382/(1+1))</f>
        <v>2.2810333672477277</v>
      </c>
      <c r="H11119">
        <f>0.0232558139534883*5.25227342804663</f>
        <v>0.12214589367550263</v>
      </c>
      <c r="I11119">
        <v>0.12214589367550301</v>
      </c>
    </row>
    <row r="11120" spans="1:9" x14ac:dyDescent="0.25">
      <c r="A11120">
        <v>427</v>
      </c>
      <c r="B11120" t="s">
        <v>3301</v>
      </c>
      <c r="C11120" t="s">
        <v>75</v>
      </c>
      <c r="D11120" t="s">
        <v>3310</v>
      </c>
      <c r="E11120">
        <f t="shared" si="525"/>
        <v>2.3255813953488372E-2</v>
      </c>
      <c r="F11120">
        <v>4</v>
      </c>
      <c r="G11120">
        <f>LOG(382/(4+1))</f>
        <v>1.8830933585756899</v>
      </c>
      <c r="H11120">
        <f>0.0232558139534883*4.33598269617247</f>
        <v>0.10083680688773156</v>
      </c>
      <c r="I11120">
        <v>0.100836806887732</v>
      </c>
    </row>
    <row r="11121" spans="1:9" x14ac:dyDescent="0.25">
      <c r="A11121">
        <v>427</v>
      </c>
      <c r="B11121" t="s">
        <v>3301</v>
      </c>
      <c r="C11121" t="s">
        <v>75</v>
      </c>
      <c r="D11121" t="s">
        <v>243</v>
      </c>
      <c r="E11121">
        <f t="shared" si="525"/>
        <v>2.3255813953488372E-2</v>
      </c>
      <c r="F11121">
        <v>131</v>
      </c>
      <c r="G11121">
        <f>LOG(382/(131+1))</f>
        <v>0.46148943170585888</v>
      </c>
      <c r="H11121">
        <f>0.0232558139534883*1.0626186860202</f>
        <v>2.4712062465585969E-2</v>
      </c>
      <c r="I11121">
        <v>2.4712062465586149E-2</v>
      </c>
    </row>
    <row r="11122" spans="1:9" x14ac:dyDescent="0.25">
      <c r="A11122">
        <v>427</v>
      </c>
      <c r="B11122" t="s">
        <v>3301</v>
      </c>
      <c r="C11122" t="s">
        <v>75</v>
      </c>
      <c r="D11122" t="s">
        <v>887</v>
      </c>
      <c r="E11122">
        <f t="shared" si="525"/>
        <v>2.3255813953488372E-2</v>
      </c>
      <c r="F11122">
        <v>12</v>
      </c>
      <c r="G11122">
        <f>LOG(382/(12+1))</f>
        <v>1.468120010604872</v>
      </c>
      <c r="H11122">
        <f>0.0232558139534883*3.38047125114503</f>
        <v>7.8615610491744634E-2</v>
      </c>
      <c r="I11122">
        <v>7.8615610491745078E-2</v>
      </c>
    </row>
    <row r="11123" spans="1:9" x14ac:dyDescent="0.25">
      <c r="A11123">
        <v>427</v>
      </c>
      <c r="B11123" t="s">
        <v>3301</v>
      </c>
      <c r="C11123" t="s">
        <v>75</v>
      </c>
      <c r="D11123" t="s">
        <v>888</v>
      </c>
      <c r="E11123">
        <f t="shared" si="525"/>
        <v>2.3255813953488372E-2</v>
      </c>
      <c r="F11123">
        <v>21</v>
      </c>
      <c r="G11123">
        <f>LOG(382/(21+1))</f>
        <v>1.2396406820895025</v>
      </c>
      <c r="H11123">
        <f>0.0232558139534883*2.85437815524825</f>
        <v>6.6380887331354443E-2</v>
      </c>
      <c r="I11123">
        <v>6.638088733135486E-2</v>
      </c>
    </row>
    <row r="11124" spans="1:9" x14ac:dyDescent="0.25">
      <c r="A11124">
        <v>427</v>
      </c>
      <c r="B11124" t="s">
        <v>3301</v>
      </c>
      <c r="C11124" t="s">
        <v>75</v>
      </c>
      <c r="D11124" t="s">
        <v>263</v>
      </c>
      <c r="E11124">
        <f t="shared" si="525"/>
        <v>2.3255813953488372E-2</v>
      </c>
      <c r="F11124">
        <v>41</v>
      </c>
      <c r="G11124">
        <f>LOG(382/(41+1))</f>
        <v>0.95881407251380824</v>
      </c>
      <c r="H11124">
        <f>0.0232558139534883*2.2077509903232</f>
        <v>5.134304628658589E-2</v>
      </c>
      <c r="I11124">
        <v>5.1343046286586203E-2</v>
      </c>
    </row>
    <row r="11125" spans="1:9" x14ac:dyDescent="0.25">
      <c r="A11125">
        <v>427</v>
      </c>
      <c r="B11125" t="s">
        <v>3301</v>
      </c>
      <c r="C11125" t="s">
        <v>75</v>
      </c>
      <c r="D11125" t="s">
        <v>3311</v>
      </c>
      <c r="E11125">
        <f t="shared" si="525"/>
        <v>2.3255813953488372E-2</v>
      </c>
      <c r="F11125">
        <v>1</v>
      </c>
      <c r="G11125">
        <f>LOG(382/(1+1))</f>
        <v>2.2810333672477277</v>
      </c>
      <c r="H11125">
        <f>0.0232558139534883*5.25227342804663</f>
        <v>0.12214589367550263</v>
      </c>
      <c r="I11125">
        <v>0.12214589367550301</v>
      </c>
    </row>
    <row r="11126" spans="1:9" x14ac:dyDescent="0.25">
      <c r="A11126">
        <v>427</v>
      </c>
      <c r="B11126" t="s">
        <v>3301</v>
      </c>
      <c r="C11126" t="s">
        <v>75</v>
      </c>
      <c r="D11126" t="s">
        <v>342</v>
      </c>
      <c r="E11126">
        <f t="shared" si="525"/>
        <v>2.3255813953488372E-2</v>
      </c>
      <c r="F11126">
        <v>35</v>
      </c>
      <c r="G11126">
        <f>LOG(382/(35+1))</f>
        <v>1.0257608621444214</v>
      </c>
      <c r="H11126">
        <f>0.0232558139534883*2.36190167015046</f>
        <v>5.4927945817452389E-2</v>
      </c>
      <c r="I11126">
        <v>5.4927945817452667E-2</v>
      </c>
    </row>
    <row r="11127" spans="1:9" x14ac:dyDescent="0.25">
      <c r="A11127">
        <v>428</v>
      </c>
      <c r="B11127" t="s">
        <v>3312</v>
      </c>
      <c r="C11127" t="s">
        <v>75</v>
      </c>
      <c r="D11127" t="s">
        <v>3313</v>
      </c>
      <c r="E11127">
        <f>3/114</f>
        <v>2.6315789473684209E-2</v>
      </c>
      <c r="F11127">
        <v>1</v>
      </c>
      <c r="G11127">
        <f>LOG(382/(1+1))</f>
        <v>2.2810333672477277</v>
      </c>
      <c r="H11127">
        <f>0.0263157894736842*5.25227342804663</f>
        <v>0.13821772179070071</v>
      </c>
      <c r="I11127">
        <v>0.1382177217907008</v>
      </c>
    </row>
    <row r="11128" spans="1:9" x14ac:dyDescent="0.25">
      <c r="A11128">
        <v>428</v>
      </c>
      <c r="B11128" t="s">
        <v>3312</v>
      </c>
      <c r="C11128" t="s">
        <v>75</v>
      </c>
      <c r="D11128" t="s">
        <v>871</v>
      </c>
      <c r="E11128">
        <f>3/114</f>
        <v>2.6315789473684209E-2</v>
      </c>
      <c r="F11128">
        <v>9</v>
      </c>
      <c r="G11128">
        <f>LOG(382/(9+1))</f>
        <v>1.5820633629117087</v>
      </c>
      <c r="H11128">
        <f>0.0263157894736842*3.64283551561252</f>
        <v>9.5864092516118909E-2</v>
      </c>
      <c r="I11128">
        <v>9.5864092516119187E-2</v>
      </c>
    </row>
    <row r="11129" spans="1:9" x14ac:dyDescent="0.25">
      <c r="A11129">
        <v>428</v>
      </c>
      <c r="B11129" t="s">
        <v>3312</v>
      </c>
      <c r="C11129" t="s">
        <v>75</v>
      </c>
      <c r="D11129" t="s">
        <v>872</v>
      </c>
      <c r="E11129">
        <f>3/114</f>
        <v>2.6315789473684209E-2</v>
      </c>
      <c r="F11129">
        <v>9</v>
      </c>
      <c r="G11129">
        <f>LOG(382/(9+1))</f>
        <v>1.5820633629117087</v>
      </c>
      <c r="H11129">
        <f>0.0263157894736842*3.64283551561252</f>
        <v>9.5864092516118909E-2</v>
      </c>
      <c r="I11129">
        <v>9.5864092516119187E-2</v>
      </c>
    </row>
    <row r="11130" spans="1:9" x14ac:dyDescent="0.25">
      <c r="A11130">
        <v>428</v>
      </c>
      <c r="B11130" t="s">
        <v>3312</v>
      </c>
      <c r="C11130" t="s">
        <v>75</v>
      </c>
      <c r="D11130" t="s">
        <v>1765</v>
      </c>
      <c r="E11130">
        <f>3/114</f>
        <v>2.6315789473684209E-2</v>
      </c>
      <c r="F11130">
        <v>14</v>
      </c>
      <c r="G11130">
        <f>LOG(382/(14+1))</f>
        <v>1.4059721038560276</v>
      </c>
      <c r="H11130">
        <f>0.0263157894736842*3.23737040750436</f>
        <v>8.5193958092219954E-2</v>
      </c>
      <c r="I11130">
        <v>8.5193958092220134E-2</v>
      </c>
    </row>
    <row r="11131" spans="1:9" x14ac:dyDescent="0.25">
      <c r="A11131">
        <v>428</v>
      </c>
      <c r="B11131" t="s">
        <v>3312</v>
      </c>
      <c r="C11131" t="s">
        <v>75</v>
      </c>
      <c r="D11131" t="s">
        <v>2554</v>
      </c>
      <c r="E11131">
        <f>2/114</f>
        <v>1.7543859649122806E-2</v>
      </c>
      <c r="F11131">
        <v>22</v>
      </c>
      <c r="G11131">
        <f>LOG(382/(22+1))</f>
        <v>1.2203355268941158</v>
      </c>
      <c r="H11131">
        <f>0.0175438596491228*2.80992639267742</f>
        <v>4.9296954257498568E-2</v>
      </c>
      <c r="I11131">
        <v>4.9296954257498693E-2</v>
      </c>
    </row>
    <row r="11132" spans="1:9" x14ac:dyDescent="0.25">
      <c r="A11132">
        <v>428</v>
      </c>
      <c r="B11132" t="s">
        <v>3312</v>
      </c>
      <c r="C11132" t="s">
        <v>75</v>
      </c>
      <c r="D11132" t="s">
        <v>42</v>
      </c>
      <c r="E11132">
        <f>1/114</f>
        <v>8.771929824561403E-3</v>
      </c>
      <c r="F11132">
        <v>251</v>
      </c>
      <c r="G11132">
        <f>LOG(382/(251+1))</f>
        <v>0.18066282213016463</v>
      </c>
      <c r="H11132">
        <f>0.0087719298245614*0.415991521095151</f>
        <v>3.6490484306592173E-3</v>
      </c>
      <c r="I11132">
        <v>3.6490484306592268E-3</v>
      </c>
    </row>
    <row r="11133" spans="1:9" x14ac:dyDescent="0.25">
      <c r="A11133">
        <v>428</v>
      </c>
      <c r="B11133" t="s">
        <v>3312</v>
      </c>
      <c r="C11133" t="s">
        <v>75</v>
      </c>
      <c r="D11133" t="s">
        <v>3314</v>
      </c>
      <c r="E11133">
        <f>1/114</f>
        <v>8.771929824561403E-3</v>
      </c>
      <c r="F11133">
        <v>1</v>
      </c>
      <c r="G11133">
        <f>LOG(382/(1+1))</f>
        <v>2.2810333672477277</v>
      </c>
      <c r="H11133">
        <f>0.0087719298245614*5.25227342804663</f>
        <v>4.6072573930233576E-2</v>
      </c>
      <c r="I11133">
        <v>4.607257393023359E-2</v>
      </c>
    </row>
    <row r="11134" spans="1:9" x14ac:dyDescent="0.25">
      <c r="A11134">
        <v>428</v>
      </c>
      <c r="B11134" t="s">
        <v>3312</v>
      </c>
      <c r="C11134" t="s">
        <v>75</v>
      </c>
      <c r="D11134" t="s">
        <v>674</v>
      </c>
      <c r="E11134">
        <f>2/114</f>
        <v>1.7543859649122806E-2</v>
      </c>
      <c r="F11134">
        <v>11</v>
      </c>
      <c r="G11134">
        <f>LOG(382/(11+1))</f>
        <v>1.5028821168640838</v>
      </c>
      <c r="H11134">
        <f>0.0175438596491228*3.46051395881857</f>
        <v>6.0710771207343306E-2</v>
      </c>
      <c r="I11134">
        <v>6.0710771207343417E-2</v>
      </c>
    </row>
    <row r="11135" spans="1:9" x14ac:dyDescent="0.25">
      <c r="A11135">
        <v>428</v>
      </c>
      <c r="B11135" t="s">
        <v>3312</v>
      </c>
      <c r="C11135" t="s">
        <v>75</v>
      </c>
      <c r="D11135" t="s">
        <v>589</v>
      </c>
      <c r="E11135">
        <f>2/114</f>
        <v>1.7543859649122806E-2</v>
      </c>
      <c r="F11135">
        <v>12</v>
      </c>
      <c r="G11135">
        <f>LOG(382/(12+1))</f>
        <v>1.468120010604872</v>
      </c>
      <c r="H11135">
        <f>0.0175438596491228*3.38047125114503</f>
        <v>5.930651317798296E-2</v>
      </c>
      <c r="I11135">
        <v>5.9306513177983133E-2</v>
      </c>
    </row>
    <row r="11136" spans="1:9" x14ac:dyDescent="0.25">
      <c r="A11136">
        <v>428</v>
      </c>
      <c r="B11136" t="s">
        <v>3312</v>
      </c>
      <c r="C11136" t="s">
        <v>75</v>
      </c>
      <c r="D11136" t="s">
        <v>154</v>
      </c>
      <c r="E11136">
        <f>3/114</f>
        <v>2.6315789473684209E-2</v>
      </c>
      <c r="F11136">
        <v>5</v>
      </c>
      <c r="G11136">
        <f>LOG(382/(5+1))</f>
        <v>1.803912112528065</v>
      </c>
      <c r="H11136">
        <f>0.0263157894736842*4.15366113937852</f>
        <v>0.10930687208890837</v>
      </c>
      <c r="I11136">
        <v>0.10930687208890839</v>
      </c>
    </row>
    <row r="11137" spans="1:9" x14ac:dyDescent="0.25">
      <c r="A11137">
        <v>428</v>
      </c>
      <c r="B11137" t="s">
        <v>3312</v>
      </c>
      <c r="C11137" t="s">
        <v>75</v>
      </c>
      <c r="D11137" t="s">
        <v>68</v>
      </c>
      <c r="E11137">
        <f>2/114</f>
        <v>1.7543859649122806E-2</v>
      </c>
      <c r="F11137">
        <v>43</v>
      </c>
      <c r="G11137">
        <f>LOG(382/(43+1))</f>
        <v>0.93861068642552126</v>
      </c>
      <c r="H11137">
        <f>0.0175438596491228*2.16123097468831</f>
        <v>3.7916332889268579E-2</v>
      </c>
      <c r="I11137">
        <v>3.7916332889268663E-2</v>
      </c>
    </row>
    <row r="11138" spans="1:9" x14ac:dyDescent="0.25">
      <c r="A11138">
        <v>428</v>
      </c>
      <c r="B11138" t="s">
        <v>3312</v>
      </c>
      <c r="C11138" t="s">
        <v>75</v>
      </c>
      <c r="D11138" t="s">
        <v>44</v>
      </c>
      <c r="E11138">
        <f>4/114</f>
        <v>3.5087719298245612E-2</v>
      </c>
      <c r="F11138">
        <v>151</v>
      </c>
      <c r="G11138">
        <f>LOG(382/(151+1))</f>
        <v>0.40021977496693617</v>
      </c>
      <c r="H11138">
        <f>0.0350877192982456*0.921540087760298</f>
        <v>3.2334739921413953E-2</v>
      </c>
      <c r="I11138">
        <v>3.2334739921413988E-2</v>
      </c>
    </row>
    <row r="11139" spans="1:9" x14ac:dyDescent="0.25">
      <c r="A11139">
        <v>428</v>
      </c>
      <c r="B11139" t="s">
        <v>3312</v>
      </c>
      <c r="C11139" t="s">
        <v>75</v>
      </c>
      <c r="D11139" t="s">
        <v>19</v>
      </c>
      <c r="E11139">
        <f>2/114</f>
        <v>1.7543859649122806E-2</v>
      </c>
      <c r="F11139">
        <v>220</v>
      </c>
      <c r="G11139">
        <f>LOG(382/(220+1))</f>
        <v>0.23767108922659805</v>
      </c>
      <c r="H11139">
        <f>0.0175438596491228*0.547257907088822</f>
        <v>9.6010159138389794E-3</v>
      </c>
      <c r="I11139">
        <v>9.6010159138389881E-3</v>
      </c>
    </row>
    <row r="11140" spans="1:9" x14ac:dyDescent="0.25">
      <c r="A11140">
        <v>428</v>
      </c>
      <c r="B11140" t="s">
        <v>3312</v>
      </c>
      <c r="C11140" t="s">
        <v>75</v>
      </c>
      <c r="D11140" t="s">
        <v>22</v>
      </c>
      <c r="E11140">
        <f>2/114</f>
        <v>1.7543859649122806E-2</v>
      </c>
      <c r="F11140">
        <v>259</v>
      </c>
      <c r="G11140">
        <f>LOG(382/(259+1))</f>
        <v>0.16709001494089079</v>
      </c>
      <c r="H11140">
        <f>0.0175438596491228*0.384738977591047</f>
        <v>6.7498066244043309E-3</v>
      </c>
      <c r="I11140">
        <v>6.7498066244043422E-3</v>
      </c>
    </row>
    <row r="11141" spans="1:9" x14ac:dyDescent="0.25">
      <c r="A11141">
        <v>428</v>
      </c>
      <c r="B11141" t="s">
        <v>3312</v>
      </c>
      <c r="C11141" t="s">
        <v>75</v>
      </c>
      <c r="D11141" t="s">
        <v>23</v>
      </c>
      <c r="E11141">
        <f>2/114</f>
        <v>1.7543859649122806E-2</v>
      </c>
      <c r="F11141">
        <v>275</v>
      </c>
      <c r="G11141">
        <f>LOG(382/(275+1))</f>
        <v>0.14115428084649101</v>
      </c>
      <c r="H11141">
        <f>0.0175438596491228*0.325019742889425</f>
        <v>5.7021007524460498E-3</v>
      </c>
      <c r="I11141">
        <v>5.702100752446055E-3</v>
      </c>
    </row>
    <row r="11142" spans="1:9" x14ac:dyDescent="0.25">
      <c r="A11142">
        <v>428</v>
      </c>
      <c r="B11142" t="s">
        <v>3312</v>
      </c>
      <c r="C11142" t="s">
        <v>75</v>
      </c>
      <c r="D11142" t="s">
        <v>204</v>
      </c>
      <c r="E11142">
        <f>1/114</f>
        <v>8.771929824561403E-3</v>
      </c>
      <c r="F11142">
        <v>166</v>
      </c>
      <c r="G11142">
        <f>LOG(382/(166+1))</f>
        <v>0.35934689176412549</v>
      </c>
      <c r="H11142">
        <f>0.0087719298245614*0.82742679618982</f>
        <v>7.2581297911387685E-3</v>
      </c>
      <c r="I11142">
        <v>7.258129791138772E-3</v>
      </c>
    </row>
    <row r="11143" spans="1:9" x14ac:dyDescent="0.25">
      <c r="A11143">
        <v>428</v>
      </c>
      <c r="B11143" t="s">
        <v>3312</v>
      </c>
      <c r="C11143" t="s">
        <v>75</v>
      </c>
      <c r="D11143" t="s">
        <v>2238</v>
      </c>
      <c r="E11143">
        <f>2/114</f>
        <v>1.7543859649122806E-2</v>
      </c>
      <c r="F11143">
        <v>68</v>
      </c>
      <c r="G11143">
        <f>LOG(382/(68+1))</f>
        <v>0.74321427217445335</v>
      </c>
      <c r="H11143">
        <f>0.0175438596491228*1.71131410400931</f>
        <v>3.0023054456303672E-2</v>
      </c>
      <c r="I11143">
        <v>3.002305445630378E-2</v>
      </c>
    </row>
    <row r="11144" spans="1:9" x14ac:dyDescent="0.25">
      <c r="A11144">
        <v>428</v>
      </c>
      <c r="B11144" t="s">
        <v>3312</v>
      </c>
      <c r="C11144" t="s">
        <v>75</v>
      </c>
      <c r="D11144" t="s">
        <v>1762</v>
      </c>
      <c r="E11144">
        <f>1/114</f>
        <v>8.771929824561403E-3</v>
      </c>
      <c r="F11144">
        <v>60</v>
      </c>
      <c r="G11144">
        <f>LOG(382/(60+1))</f>
        <v>0.79673352790094176</v>
      </c>
      <c r="H11144">
        <f>0.0087719298245614*1.83454674443326</f>
        <v>1.6092515302046133E-2</v>
      </c>
      <c r="I11144">
        <v>1.6092515302046171E-2</v>
      </c>
    </row>
    <row r="11145" spans="1:9" x14ac:dyDescent="0.25">
      <c r="A11145">
        <v>428</v>
      </c>
      <c r="B11145" t="s">
        <v>3312</v>
      </c>
      <c r="C11145" t="s">
        <v>75</v>
      </c>
      <c r="D11145" t="s">
        <v>3315</v>
      </c>
      <c r="E11145">
        <f>1/114</f>
        <v>8.771929824561403E-3</v>
      </c>
      <c r="F11145">
        <v>1</v>
      </c>
      <c r="G11145">
        <f>LOG(382/(1+1))</f>
        <v>2.2810333672477277</v>
      </c>
      <c r="H11145">
        <f>0.0087719298245614*5.25227342804663</f>
        <v>4.6072573930233576E-2</v>
      </c>
      <c r="I11145">
        <v>4.607257393023359E-2</v>
      </c>
    </row>
    <row r="11146" spans="1:9" x14ac:dyDescent="0.25">
      <c r="A11146">
        <v>428</v>
      </c>
      <c r="B11146" t="s">
        <v>3312</v>
      </c>
      <c r="C11146" t="s">
        <v>75</v>
      </c>
      <c r="D11146" t="s">
        <v>225</v>
      </c>
      <c r="E11146">
        <f>1/114</f>
        <v>8.771929824561403E-3</v>
      </c>
      <c r="F11146">
        <v>30</v>
      </c>
      <c r="G11146">
        <f>LOG(382/(30+1))</f>
        <v>1.090701669077436</v>
      </c>
      <c r="H11146">
        <f>0.0087719298245614*2.51143340412142</f>
        <v>2.2030117580012446E-2</v>
      </c>
      <c r="I11146">
        <v>2.2030117580012529E-2</v>
      </c>
    </row>
    <row r="11147" spans="1:9" x14ac:dyDescent="0.25">
      <c r="A11147">
        <v>428</v>
      </c>
      <c r="B11147" t="s">
        <v>3312</v>
      </c>
      <c r="C11147" t="s">
        <v>75</v>
      </c>
      <c r="D11147" t="s">
        <v>1921</v>
      </c>
      <c r="E11147">
        <f>2/114</f>
        <v>1.7543859649122806E-2</v>
      </c>
      <c r="F11147">
        <v>37</v>
      </c>
      <c r="G11147">
        <f>LOG(382/(37+1))</f>
        <v>1.0022797662948986</v>
      </c>
      <c r="H11147">
        <f>0.0175438596491228*2.30783444888018</f>
        <v>4.0488323664564542E-2</v>
      </c>
      <c r="I11147">
        <v>4.0488323664564722E-2</v>
      </c>
    </row>
    <row r="11148" spans="1:9" x14ac:dyDescent="0.25">
      <c r="A11148">
        <v>428</v>
      </c>
      <c r="B11148" t="s">
        <v>3312</v>
      </c>
      <c r="C11148" t="s">
        <v>75</v>
      </c>
      <c r="D11148" t="s">
        <v>1080</v>
      </c>
      <c r="E11148">
        <f>2/114</f>
        <v>1.7543859649122806E-2</v>
      </c>
      <c r="F11148">
        <v>26</v>
      </c>
      <c r="G11148">
        <f>LOG(382/(26+1))</f>
        <v>1.1506995987527215</v>
      </c>
      <c r="H11148">
        <f>0.0175438596491228*2.64958374260224</f>
        <v>4.6483925308811208E-2</v>
      </c>
      <c r="I11148">
        <v>4.6483925308811333E-2</v>
      </c>
    </row>
    <row r="11149" spans="1:9" x14ac:dyDescent="0.25">
      <c r="A11149">
        <v>428</v>
      </c>
      <c r="B11149" t="s">
        <v>3312</v>
      </c>
      <c r="C11149" t="s">
        <v>75</v>
      </c>
      <c r="D11149" t="s">
        <v>1444</v>
      </c>
      <c r="E11149">
        <f>1/114</f>
        <v>8.771929824561403E-3</v>
      </c>
      <c r="F11149">
        <v>7</v>
      </c>
      <c r="G11149">
        <f>LOG(382/(7+1))</f>
        <v>1.6789733759197651</v>
      </c>
      <c r="H11149">
        <f>0.0087719298245614*3.86597906692673</f>
        <v>3.3912097078304636E-2</v>
      </c>
      <c r="I11149">
        <v>3.3912097078304733E-2</v>
      </c>
    </row>
    <row r="11150" spans="1:9" x14ac:dyDescent="0.25">
      <c r="A11150">
        <v>428</v>
      </c>
      <c r="B11150" t="s">
        <v>3312</v>
      </c>
      <c r="C11150" t="s">
        <v>75</v>
      </c>
      <c r="D11150" t="s">
        <v>3316</v>
      </c>
      <c r="E11150">
        <f>1/114</f>
        <v>8.771929824561403E-3</v>
      </c>
      <c r="F11150">
        <v>1</v>
      </c>
      <c r="G11150">
        <f>LOG(382/(1+1))</f>
        <v>2.2810333672477277</v>
      </c>
      <c r="H11150">
        <f>0.0087719298245614*5.25227342804663</f>
        <v>4.6072573930233576E-2</v>
      </c>
      <c r="I11150">
        <v>4.607257393023359E-2</v>
      </c>
    </row>
    <row r="11151" spans="1:9" x14ac:dyDescent="0.25">
      <c r="A11151">
        <v>428</v>
      </c>
      <c r="B11151" t="s">
        <v>3312</v>
      </c>
      <c r="C11151" t="s">
        <v>75</v>
      </c>
      <c r="D11151" t="s">
        <v>78</v>
      </c>
      <c r="E11151">
        <f>2/114</f>
        <v>1.7543859649122806E-2</v>
      </c>
      <c r="F11151">
        <v>122</v>
      </c>
      <c r="G11151">
        <f>LOG(382/(122+1))</f>
        <v>0.49215825147231079</v>
      </c>
      <c r="H11151">
        <f>0.0175438596491228*1.13323625323415</f>
        <v>1.9881337776037709E-2</v>
      </c>
      <c r="I11151">
        <v>1.9881337776037851E-2</v>
      </c>
    </row>
    <row r="11152" spans="1:9" x14ac:dyDescent="0.25">
      <c r="A11152">
        <v>428</v>
      </c>
      <c r="B11152" t="s">
        <v>3312</v>
      </c>
      <c r="C11152" t="s">
        <v>75</v>
      </c>
      <c r="D11152" t="s">
        <v>754</v>
      </c>
      <c r="E11152">
        <f>2/114</f>
        <v>1.7543859649122806E-2</v>
      </c>
      <c r="F11152">
        <v>111</v>
      </c>
      <c r="G11152">
        <f>LOG(382/(111+1))</f>
        <v>0.53284534024152708</v>
      </c>
      <c r="H11152">
        <f>0.0175438596491228*1.22692173731148</f>
        <v>2.1524942759850518E-2</v>
      </c>
      <c r="I11152">
        <v>2.1524942759850538E-2</v>
      </c>
    </row>
    <row r="11153" spans="1:9" x14ac:dyDescent="0.25">
      <c r="A11153">
        <v>428</v>
      </c>
      <c r="B11153" t="s">
        <v>3312</v>
      </c>
      <c r="C11153" t="s">
        <v>75</v>
      </c>
      <c r="D11153" t="s">
        <v>767</v>
      </c>
      <c r="E11153">
        <f>1/114</f>
        <v>8.771929824561403E-3</v>
      </c>
      <c r="F11153">
        <v>47</v>
      </c>
      <c r="G11153">
        <f>LOG(382/(47+1))</f>
        <v>0.90082212553612151</v>
      </c>
      <c r="H11153">
        <f>0.0087719298245614*2.07421959769868</f>
        <v>1.8194908751742799E-2</v>
      </c>
      <c r="I11153">
        <v>1.8194908751742841E-2</v>
      </c>
    </row>
    <row r="11154" spans="1:9" x14ac:dyDescent="0.25">
      <c r="A11154">
        <v>428</v>
      </c>
      <c r="B11154" t="s">
        <v>3312</v>
      </c>
      <c r="C11154" t="s">
        <v>75</v>
      </c>
      <c r="D11154" t="s">
        <v>256</v>
      </c>
      <c r="E11154">
        <f>1/114</f>
        <v>8.771929824561403E-3</v>
      </c>
      <c r="F11154">
        <v>28</v>
      </c>
      <c r="G11154">
        <f>LOG(382/(28+1))</f>
        <v>1.1196653650127526</v>
      </c>
      <c r="H11154">
        <f>0.0087719298245614*2.5781247786201</f>
        <v>2.2615129637018408E-2</v>
      </c>
      <c r="I11154">
        <v>2.2615129637018429E-2</v>
      </c>
    </row>
    <row r="11155" spans="1:9" x14ac:dyDescent="0.25">
      <c r="A11155">
        <v>428</v>
      </c>
      <c r="B11155" t="s">
        <v>3312</v>
      </c>
      <c r="C11155" t="s">
        <v>75</v>
      </c>
      <c r="D11155" t="s">
        <v>675</v>
      </c>
      <c r="E11155">
        <f>1/114</f>
        <v>8.771929824561403E-3</v>
      </c>
      <c r="F11155">
        <v>10</v>
      </c>
      <c r="G11155">
        <f>LOG(382/(10+1))</f>
        <v>1.5406706777534838</v>
      </c>
      <c r="H11155">
        <f>0.0087719298245614*3.5475253358082</f>
        <v>3.1118643296563147E-2</v>
      </c>
      <c r="I11155">
        <v>3.1118643296563199E-2</v>
      </c>
    </row>
    <row r="11156" spans="1:9" x14ac:dyDescent="0.25">
      <c r="A11156">
        <v>428</v>
      </c>
      <c r="B11156" t="s">
        <v>3312</v>
      </c>
      <c r="C11156" t="s">
        <v>75</v>
      </c>
      <c r="D11156" t="s">
        <v>1079</v>
      </c>
      <c r="E11156">
        <f>2/114</f>
        <v>1.7543859649122806E-2</v>
      </c>
      <c r="F11156">
        <v>34</v>
      </c>
      <c r="G11156">
        <f>LOG(382/(34+1))</f>
        <v>1.037995318561433</v>
      </c>
      <c r="H11156">
        <f>0.0175438596491228*2.39007254711716</f>
        <v>4.1931097317844897E-2</v>
      </c>
      <c r="I11156">
        <v>4.1931097317844931E-2</v>
      </c>
    </row>
    <row r="11157" spans="1:9" x14ac:dyDescent="0.25">
      <c r="A11157">
        <v>428</v>
      </c>
      <c r="B11157" t="s">
        <v>3312</v>
      </c>
      <c r="C11157" t="s">
        <v>75</v>
      </c>
      <c r="D11157" t="s">
        <v>3317</v>
      </c>
      <c r="E11157">
        <f>1/114</f>
        <v>8.771929824561403E-3</v>
      </c>
      <c r="F11157">
        <v>1</v>
      </c>
      <c r="G11157">
        <f>LOG(382/(1+1))</f>
        <v>2.2810333672477277</v>
      </c>
      <c r="H11157">
        <f>0.0087719298245614*5.25227342804663</f>
        <v>4.6072573930233576E-2</v>
      </c>
      <c r="I11157">
        <v>4.607257393023359E-2</v>
      </c>
    </row>
    <row r="11158" spans="1:9" x14ac:dyDescent="0.25">
      <c r="A11158">
        <v>428</v>
      </c>
      <c r="B11158" t="s">
        <v>3312</v>
      </c>
      <c r="C11158" t="s">
        <v>75</v>
      </c>
      <c r="D11158" t="s">
        <v>1453</v>
      </c>
      <c r="E11158">
        <f>2/114</f>
        <v>1.7543859649122806E-2</v>
      </c>
      <c r="F11158">
        <v>23</v>
      </c>
      <c r="G11158">
        <f>LOG(382/(23+1))</f>
        <v>1.2018521212001028</v>
      </c>
      <c r="H11158">
        <f>0.0175438596491228*2.76736677825862</f>
        <v>4.8550294355414365E-2</v>
      </c>
      <c r="I11158">
        <v>4.8550294355414553E-2</v>
      </c>
    </row>
    <row r="11159" spans="1:9" x14ac:dyDescent="0.25">
      <c r="A11159">
        <v>428</v>
      </c>
      <c r="B11159" t="s">
        <v>3312</v>
      </c>
      <c r="C11159" t="s">
        <v>75</v>
      </c>
      <c r="D11159" t="s">
        <v>1008</v>
      </c>
      <c r="E11159">
        <f t="shared" ref="E11159:E11192" si="526">1/114</f>
        <v>8.771929824561403E-3</v>
      </c>
      <c r="F11159">
        <v>3</v>
      </c>
      <c r="G11159">
        <f>LOG(382/(3+1))</f>
        <v>1.9800033715837464</v>
      </c>
      <c r="H11159">
        <f>0.0087719298245614*4.55912624748668</f>
        <v>3.9992335504269103E-2</v>
      </c>
      <c r="I11159">
        <v>3.9992335504269158E-2</v>
      </c>
    </row>
    <row r="11160" spans="1:9" x14ac:dyDescent="0.25">
      <c r="A11160">
        <v>428</v>
      </c>
      <c r="B11160" t="s">
        <v>3312</v>
      </c>
      <c r="C11160" t="s">
        <v>75</v>
      </c>
      <c r="D11160" t="s">
        <v>243</v>
      </c>
      <c r="E11160">
        <f t="shared" si="526"/>
        <v>8.771929824561403E-3</v>
      </c>
      <c r="F11160">
        <v>131</v>
      </c>
      <c r="G11160">
        <f>LOG(382/(131+1))</f>
        <v>0.46148943170585888</v>
      </c>
      <c r="H11160">
        <f>0.0087719298245614*1.0626186860202</f>
        <v>9.3212165440368384E-3</v>
      </c>
      <c r="I11160">
        <v>9.3212165440368783E-3</v>
      </c>
    </row>
    <row r="11161" spans="1:9" x14ac:dyDescent="0.25">
      <c r="A11161">
        <v>428</v>
      </c>
      <c r="B11161" t="s">
        <v>3312</v>
      </c>
      <c r="C11161" t="s">
        <v>75</v>
      </c>
      <c r="D11161" t="s">
        <v>3318</v>
      </c>
      <c r="E11161">
        <f t="shared" si="526"/>
        <v>8.771929824561403E-3</v>
      </c>
      <c r="F11161">
        <v>1</v>
      </c>
      <c r="G11161">
        <f>LOG(382/(1+1))</f>
        <v>2.2810333672477277</v>
      </c>
      <c r="H11161">
        <f>0.0087719298245614*5.25227342804663</f>
        <v>4.6072573930233576E-2</v>
      </c>
      <c r="I11161">
        <v>4.607257393023359E-2</v>
      </c>
    </row>
    <row r="11162" spans="1:9" x14ac:dyDescent="0.25">
      <c r="A11162">
        <v>428</v>
      </c>
      <c r="B11162" t="s">
        <v>3312</v>
      </c>
      <c r="C11162" t="s">
        <v>75</v>
      </c>
      <c r="D11162" t="s">
        <v>1905</v>
      </c>
      <c r="E11162">
        <f t="shared" si="526"/>
        <v>8.771929824561403E-3</v>
      </c>
      <c r="F11162">
        <v>24</v>
      </c>
      <c r="G11162">
        <f>LOG(382/(24+1))</f>
        <v>1.1841233542396712</v>
      </c>
      <c r="H11162">
        <f>0.0087719298245614*2.72654478373837</f>
        <v>2.3917059506476917E-2</v>
      </c>
      <c r="I11162">
        <v>2.3917059506476969E-2</v>
      </c>
    </row>
    <row r="11163" spans="1:9" x14ac:dyDescent="0.25">
      <c r="A11163">
        <v>428</v>
      </c>
      <c r="B11163" t="s">
        <v>3312</v>
      </c>
      <c r="C11163" t="s">
        <v>75</v>
      </c>
      <c r="D11163" t="s">
        <v>600</v>
      </c>
      <c r="E11163">
        <f t="shared" si="526"/>
        <v>8.771929824561403E-3</v>
      </c>
      <c r="F11163">
        <v>102</v>
      </c>
      <c r="G11163">
        <f>LOG(382/(102+1))</f>
        <v>0.56922613820653656</v>
      </c>
      <c r="H11163">
        <f>0.0087719298245614*1.31069162037693</f>
        <v>1.1497294915587101E-2</v>
      </c>
      <c r="I11163">
        <v>1.1497294915587189E-2</v>
      </c>
    </row>
    <row r="11164" spans="1:9" x14ac:dyDescent="0.25">
      <c r="A11164">
        <v>428</v>
      </c>
      <c r="B11164" t="s">
        <v>3312</v>
      </c>
      <c r="C11164" t="s">
        <v>75</v>
      </c>
      <c r="D11164" t="s">
        <v>3319</v>
      </c>
      <c r="E11164">
        <f t="shared" si="526"/>
        <v>8.771929824561403E-3</v>
      </c>
      <c r="F11164">
        <v>1</v>
      </c>
      <c r="G11164">
        <f>LOG(382/(1+1))</f>
        <v>2.2810333672477277</v>
      </c>
      <c r="H11164">
        <f>0.0087719298245614*5.25227342804663</f>
        <v>4.6072573930233576E-2</v>
      </c>
      <c r="I11164">
        <v>4.607257393023359E-2</v>
      </c>
    </row>
    <row r="11165" spans="1:9" x14ac:dyDescent="0.25">
      <c r="A11165">
        <v>428</v>
      </c>
      <c r="B11165" t="s">
        <v>3312</v>
      </c>
      <c r="C11165" t="s">
        <v>75</v>
      </c>
      <c r="D11165" t="s">
        <v>3320</v>
      </c>
      <c r="E11165">
        <f t="shared" si="526"/>
        <v>8.771929824561403E-3</v>
      </c>
      <c r="F11165">
        <v>1</v>
      </c>
      <c r="G11165">
        <f>LOG(382/(1+1))</f>
        <v>2.2810333672477277</v>
      </c>
      <c r="H11165">
        <f>0.0087719298245614*5.25227342804663</f>
        <v>4.6072573930233576E-2</v>
      </c>
      <c r="I11165">
        <v>4.607257393023359E-2</v>
      </c>
    </row>
    <row r="11166" spans="1:9" x14ac:dyDescent="0.25">
      <c r="A11166">
        <v>428</v>
      </c>
      <c r="B11166" t="s">
        <v>3312</v>
      </c>
      <c r="C11166" t="s">
        <v>75</v>
      </c>
      <c r="D11166" t="s">
        <v>1785</v>
      </c>
      <c r="E11166">
        <f t="shared" si="526"/>
        <v>8.771929824561403E-3</v>
      </c>
      <c r="F11166">
        <v>21</v>
      </c>
      <c r="G11166">
        <f>LOG(382/(21+1))</f>
        <v>1.2396406820895025</v>
      </c>
      <c r="H11166">
        <f>0.0087719298245614*2.85437815524825</f>
        <v>2.5038404870598673E-2</v>
      </c>
      <c r="I11166">
        <v>2.503840487059876E-2</v>
      </c>
    </row>
    <row r="11167" spans="1:9" x14ac:dyDescent="0.25">
      <c r="A11167">
        <v>428</v>
      </c>
      <c r="B11167" t="s">
        <v>3312</v>
      </c>
      <c r="C11167" t="s">
        <v>75</v>
      </c>
      <c r="D11167" t="s">
        <v>3321</v>
      </c>
      <c r="E11167">
        <f t="shared" si="526"/>
        <v>8.771929824561403E-3</v>
      </c>
      <c r="F11167">
        <v>1</v>
      </c>
      <c r="G11167">
        <f>LOG(382/(1+1))</f>
        <v>2.2810333672477277</v>
      </c>
      <c r="H11167">
        <f>0.0087719298245614*5.25227342804663</f>
        <v>4.6072573930233576E-2</v>
      </c>
      <c r="I11167">
        <v>4.607257393023359E-2</v>
      </c>
    </row>
    <row r="11168" spans="1:9" x14ac:dyDescent="0.25">
      <c r="A11168">
        <v>428</v>
      </c>
      <c r="B11168" t="s">
        <v>3312</v>
      </c>
      <c r="C11168" t="s">
        <v>75</v>
      </c>
      <c r="D11168" t="s">
        <v>3322</v>
      </c>
      <c r="E11168">
        <f t="shared" si="526"/>
        <v>8.771929824561403E-3</v>
      </c>
      <c r="F11168">
        <v>1</v>
      </c>
      <c r="G11168">
        <f>LOG(382/(1+1))</f>
        <v>2.2810333672477277</v>
      </c>
      <c r="H11168">
        <f>0.0087719298245614*5.25227342804663</f>
        <v>4.6072573930233576E-2</v>
      </c>
      <c r="I11168">
        <v>4.607257393023359E-2</v>
      </c>
    </row>
    <row r="11169" spans="1:9" x14ac:dyDescent="0.25">
      <c r="A11169">
        <v>428</v>
      </c>
      <c r="B11169" t="s">
        <v>3312</v>
      </c>
      <c r="C11169" t="s">
        <v>75</v>
      </c>
      <c r="D11169" t="s">
        <v>455</v>
      </c>
      <c r="E11169">
        <f t="shared" si="526"/>
        <v>8.771929824561403E-3</v>
      </c>
      <c r="F11169">
        <v>78</v>
      </c>
      <c r="G11169">
        <f>LOG(382/(78+1))</f>
        <v>0.6844362716212673</v>
      </c>
      <c r="H11169">
        <f>0.0087719298245614*1.57597275613955</f>
        <v>1.3824322422276748E-2</v>
      </c>
      <c r="I11169">
        <v>1.382432242227679E-2</v>
      </c>
    </row>
    <row r="11170" spans="1:9" x14ac:dyDescent="0.25">
      <c r="A11170">
        <v>428</v>
      </c>
      <c r="B11170" t="s">
        <v>3312</v>
      </c>
      <c r="C11170" t="s">
        <v>75</v>
      </c>
      <c r="D11170" t="s">
        <v>456</v>
      </c>
      <c r="E11170">
        <f t="shared" si="526"/>
        <v>8.771929824561403E-3</v>
      </c>
      <c r="F11170">
        <v>71</v>
      </c>
      <c r="G11170">
        <f>LOG(382/(71+1))</f>
        <v>0.72473086648044027</v>
      </c>
      <c r="H11170">
        <f>0.0087719298245614*1.66875448959051</f>
        <v>1.463819727710973E-2</v>
      </c>
      <c r="I11170">
        <v>1.463819727710982E-2</v>
      </c>
    </row>
    <row r="11171" spans="1:9" x14ac:dyDescent="0.25">
      <c r="A11171">
        <v>428</v>
      </c>
      <c r="B11171" t="s">
        <v>3312</v>
      </c>
      <c r="C11171" t="s">
        <v>75</v>
      </c>
      <c r="D11171" t="s">
        <v>1779</v>
      </c>
      <c r="E11171">
        <f t="shared" si="526"/>
        <v>8.771929824561403E-3</v>
      </c>
      <c r="F11171">
        <v>41</v>
      </c>
      <c r="G11171">
        <f>LOG(382/(41+1))</f>
        <v>0.95881407251380824</v>
      </c>
      <c r="H11171">
        <f>0.0087719298245614*2.2077509903232</f>
        <v>1.9366236757221045E-2</v>
      </c>
      <c r="I11171">
        <v>1.9366236757221111E-2</v>
      </c>
    </row>
    <row r="11172" spans="1:9" x14ac:dyDescent="0.25">
      <c r="A11172">
        <v>428</v>
      </c>
      <c r="B11172" t="s">
        <v>3312</v>
      </c>
      <c r="C11172" t="s">
        <v>75</v>
      </c>
      <c r="D11172" t="s">
        <v>3323</v>
      </c>
      <c r="E11172">
        <f t="shared" si="526"/>
        <v>8.771929824561403E-3</v>
      </c>
      <c r="F11172">
        <v>1</v>
      </c>
      <c r="G11172">
        <f>LOG(382/(1+1))</f>
        <v>2.2810333672477277</v>
      </c>
      <c r="H11172">
        <f>0.0087719298245614*5.25227342804663</f>
        <v>4.6072573930233576E-2</v>
      </c>
      <c r="I11172">
        <v>4.607257393023359E-2</v>
      </c>
    </row>
    <row r="11173" spans="1:9" x14ac:dyDescent="0.25">
      <c r="A11173">
        <v>428</v>
      </c>
      <c r="B11173" t="s">
        <v>3312</v>
      </c>
      <c r="C11173" t="s">
        <v>75</v>
      </c>
      <c r="D11173" t="s">
        <v>3324</v>
      </c>
      <c r="E11173">
        <f t="shared" si="526"/>
        <v>8.771929824561403E-3</v>
      </c>
      <c r="F11173">
        <v>8</v>
      </c>
      <c r="G11173">
        <f>LOG(382/(8+1))</f>
        <v>1.6278208534723839</v>
      </c>
      <c r="H11173">
        <f>0.0087719298245614*3.74819603127035</f>
        <v>3.2878912555003054E-2</v>
      </c>
      <c r="I11173">
        <v>3.2878912555003123E-2</v>
      </c>
    </row>
    <row r="11174" spans="1:9" x14ac:dyDescent="0.25">
      <c r="A11174">
        <v>428</v>
      </c>
      <c r="B11174" t="s">
        <v>3312</v>
      </c>
      <c r="C11174" t="s">
        <v>75</v>
      </c>
      <c r="D11174" t="s">
        <v>361</v>
      </c>
      <c r="E11174">
        <f t="shared" si="526"/>
        <v>8.771929824561403E-3</v>
      </c>
      <c r="F11174">
        <v>118</v>
      </c>
      <c r="G11174">
        <f>LOG(382/(118+1))</f>
        <v>0.50651640151917798</v>
      </c>
      <c r="H11174">
        <f>0.0087719298245614*1.16629711549504</f>
        <v>1.0230676451710871E-2</v>
      </c>
      <c r="I11174">
        <v>1.023067645171093E-2</v>
      </c>
    </row>
    <row r="11175" spans="1:9" x14ac:dyDescent="0.25">
      <c r="A11175">
        <v>428</v>
      </c>
      <c r="B11175" t="s">
        <v>3312</v>
      </c>
      <c r="C11175" t="s">
        <v>75</v>
      </c>
      <c r="D11175" t="s">
        <v>2641</v>
      </c>
      <c r="E11175">
        <f t="shared" si="526"/>
        <v>8.771929824561403E-3</v>
      </c>
      <c r="F11175">
        <v>2</v>
      </c>
      <c r="G11175">
        <f>LOG(382/(2+1))</f>
        <v>2.1049421081920463</v>
      </c>
      <c r="H11175">
        <f>0.0087719298245614*4.84680831993846</f>
        <v>4.2515862455600503E-2</v>
      </c>
      <c r="I11175">
        <v>4.2515862455600573E-2</v>
      </c>
    </row>
    <row r="11176" spans="1:9" x14ac:dyDescent="0.25">
      <c r="A11176">
        <v>428</v>
      </c>
      <c r="B11176" t="s">
        <v>3312</v>
      </c>
      <c r="C11176" t="s">
        <v>75</v>
      </c>
      <c r="D11176" t="s">
        <v>3325</v>
      </c>
      <c r="E11176">
        <f t="shared" si="526"/>
        <v>8.771929824561403E-3</v>
      </c>
      <c r="F11176">
        <v>19</v>
      </c>
      <c r="G11176">
        <f>LOG(382/(19+1))</f>
        <v>1.2810333672477277</v>
      </c>
      <c r="H11176">
        <f>0.0087719298245614*2.94968833505258</f>
        <v>2.5874459079408586E-2</v>
      </c>
      <c r="I11176">
        <v>2.5874459079408631E-2</v>
      </c>
    </row>
    <row r="11177" spans="1:9" x14ac:dyDescent="0.25">
      <c r="A11177">
        <v>428</v>
      </c>
      <c r="B11177" t="s">
        <v>3312</v>
      </c>
      <c r="C11177" t="s">
        <v>75</v>
      </c>
      <c r="D11177" t="s">
        <v>3326</v>
      </c>
      <c r="E11177">
        <f t="shared" si="526"/>
        <v>8.771929824561403E-3</v>
      </c>
      <c r="F11177">
        <v>1</v>
      </c>
      <c r="G11177">
        <f>LOG(382/(1+1))</f>
        <v>2.2810333672477277</v>
      </c>
      <c r="H11177">
        <f>0.0087719298245614*5.25227342804663</f>
        <v>4.6072573930233576E-2</v>
      </c>
      <c r="I11177">
        <v>4.607257393023359E-2</v>
      </c>
    </row>
    <row r="11178" spans="1:9" x14ac:dyDescent="0.25">
      <c r="A11178">
        <v>428</v>
      </c>
      <c r="B11178" t="s">
        <v>3312</v>
      </c>
      <c r="C11178" t="s">
        <v>75</v>
      </c>
      <c r="D11178" t="s">
        <v>3327</v>
      </c>
      <c r="E11178">
        <f t="shared" si="526"/>
        <v>8.771929824561403E-3</v>
      </c>
      <c r="F11178">
        <v>21</v>
      </c>
      <c r="G11178">
        <f>LOG(382/(21+1))</f>
        <v>1.2396406820895025</v>
      </c>
      <c r="H11178">
        <f>0.0087719298245614*2.85437815524825</f>
        <v>2.5038404870598673E-2</v>
      </c>
      <c r="I11178">
        <v>2.503840487059876E-2</v>
      </c>
    </row>
    <row r="11179" spans="1:9" x14ac:dyDescent="0.25">
      <c r="A11179">
        <v>428</v>
      </c>
      <c r="B11179" t="s">
        <v>3312</v>
      </c>
      <c r="C11179" t="s">
        <v>75</v>
      </c>
      <c r="D11179" t="s">
        <v>3328</v>
      </c>
      <c r="E11179">
        <f t="shared" si="526"/>
        <v>8.771929824561403E-3</v>
      </c>
      <c r="F11179">
        <v>1</v>
      </c>
      <c r="G11179">
        <f>LOG(382/(1+1))</f>
        <v>2.2810333672477277</v>
      </c>
      <c r="H11179">
        <f>0.0087719298245614*5.25227342804663</f>
        <v>4.6072573930233576E-2</v>
      </c>
      <c r="I11179">
        <v>4.607257393023359E-2</v>
      </c>
    </row>
    <row r="11180" spans="1:9" x14ac:dyDescent="0.25">
      <c r="A11180">
        <v>428</v>
      </c>
      <c r="B11180" t="s">
        <v>3312</v>
      </c>
      <c r="C11180" t="s">
        <v>75</v>
      </c>
      <c r="D11180" t="s">
        <v>673</v>
      </c>
      <c r="E11180">
        <f t="shared" si="526"/>
        <v>8.771929824561403E-3</v>
      </c>
      <c r="F11180">
        <v>16</v>
      </c>
      <c r="G11180">
        <f>LOG(382/(16+1))</f>
        <v>1.3516144415334348</v>
      </c>
      <c r="H11180">
        <f>0.0087719298245614*3.11220726455035</f>
        <v>2.7300063724125863E-2</v>
      </c>
      <c r="I11180">
        <v>2.730006372412596E-2</v>
      </c>
    </row>
    <row r="11181" spans="1:9" x14ac:dyDescent="0.25">
      <c r="A11181">
        <v>428</v>
      </c>
      <c r="B11181" t="s">
        <v>3312</v>
      </c>
      <c r="C11181" t="s">
        <v>75</v>
      </c>
      <c r="D11181" t="s">
        <v>1778</v>
      </c>
      <c r="E11181">
        <f t="shared" si="526"/>
        <v>8.771929824561403E-3</v>
      </c>
      <c r="F11181">
        <v>3</v>
      </c>
      <c r="G11181">
        <f>LOG(382/(3+1))</f>
        <v>1.9800033715837464</v>
      </c>
      <c r="H11181">
        <f>0.0087719298245614*4.55912624748668</f>
        <v>3.9992335504269103E-2</v>
      </c>
      <c r="I11181">
        <v>3.9992335504269158E-2</v>
      </c>
    </row>
    <row r="11182" spans="1:9" x14ac:dyDescent="0.25">
      <c r="A11182">
        <v>428</v>
      </c>
      <c r="B11182" t="s">
        <v>3312</v>
      </c>
      <c r="C11182" t="s">
        <v>75</v>
      </c>
      <c r="D11182" t="s">
        <v>3329</v>
      </c>
      <c r="E11182">
        <f t="shared" si="526"/>
        <v>8.771929824561403E-3</v>
      </c>
      <c r="F11182">
        <v>1</v>
      </c>
      <c r="G11182">
        <f>LOG(382/(1+1))</f>
        <v>2.2810333672477277</v>
      </c>
      <c r="H11182">
        <f>0.0087719298245614*5.25227342804663</f>
        <v>4.6072573930233576E-2</v>
      </c>
      <c r="I11182">
        <v>4.607257393023359E-2</v>
      </c>
    </row>
    <row r="11183" spans="1:9" x14ac:dyDescent="0.25">
      <c r="A11183">
        <v>428</v>
      </c>
      <c r="B11183" t="s">
        <v>3312</v>
      </c>
      <c r="C11183" t="s">
        <v>75</v>
      </c>
      <c r="D11183" t="s">
        <v>322</v>
      </c>
      <c r="E11183">
        <f t="shared" si="526"/>
        <v>8.771929824561403E-3</v>
      </c>
      <c r="F11183">
        <v>128</v>
      </c>
      <c r="G11183">
        <f>LOG(382/(128+1))</f>
        <v>0.47147365261245977</v>
      </c>
      <c r="H11183">
        <f>0.0087719298245614*1.0856082042449</f>
        <v>9.5228789846043809E-3</v>
      </c>
      <c r="I11183">
        <v>9.5228789846044121E-3</v>
      </c>
    </row>
    <row r="11184" spans="1:9" x14ac:dyDescent="0.25">
      <c r="A11184">
        <v>428</v>
      </c>
      <c r="B11184" t="s">
        <v>3312</v>
      </c>
      <c r="C11184" t="s">
        <v>75</v>
      </c>
      <c r="D11184" t="s">
        <v>1773</v>
      </c>
      <c r="E11184">
        <f t="shared" si="526"/>
        <v>8.771929824561403E-3</v>
      </c>
      <c r="F11184">
        <v>24</v>
      </c>
      <c r="G11184">
        <f>LOG(382/(24+1))</f>
        <v>1.1841233542396712</v>
      </c>
      <c r="H11184">
        <f>0.0087719298245614*2.72654478373837</f>
        <v>2.3917059506476917E-2</v>
      </c>
      <c r="I11184">
        <v>2.3917059506476969E-2</v>
      </c>
    </row>
    <row r="11185" spans="1:9" x14ac:dyDescent="0.25">
      <c r="A11185">
        <v>428</v>
      </c>
      <c r="B11185" t="s">
        <v>3312</v>
      </c>
      <c r="C11185" t="s">
        <v>75</v>
      </c>
      <c r="D11185" t="s">
        <v>447</v>
      </c>
      <c r="E11185">
        <f t="shared" si="526"/>
        <v>8.771929824561403E-3</v>
      </c>
      <c r="F11185">
        <v>37</v>
      </c>
      <c r="G11185">
        <f>LOG(382/(37+1))</f>
        <v>1.0022797662948986</v>
      </c>
      <c r="H11185">
        <f>0.0087719298245614*2.30783444888018</f>
        <v>2.0244161832282271E-2</v>
      </c>
      <c r="I11185">
        <v>2.0244161832282361E-2</v>
      </c>
    </row>
    <row r="11186" spans="1:9" x14ac:dyDescent="0.25">
      <c r="A11186">
        <v>428</v>
      </c>
      <c r="B11186" t="s">
        <v>3312</v>
      </c>
      <c r="C11186" t="s">
        <v>75</v>
      </c>
      <c r="D11186" t="s">
        <v>324</v>
      </c>
      <c r="E11186">
        <f t="shared" si="526"/>
        <v>8.771929824561403E-3</v>
      </c>
      <c r="F11186">
        <v>82</v>
      </c>
      <c r="G11186">
        <f>LOG(382/(82+1))</f>
        <v>0.66298527053563483</v>
      </c>
      <c r="H11186">
        <f>0.0087719298245614*1.52658000080997</f>
        <v>1.3391052638683941E-2</v>
      </c>
      <c r="I11186">
        <v>1.3391052638684011E-2</v>
      </c>
    </row>
    <row r="11187" spans="1:9" x14ac:dyDescent="0.25">
      <c r="A11187">
        <v>428</v>
      </c>
      <c r="B11187" t="s">
        <v>3312</v>
      </c>
      <c r="C11187" t="s">
        <v>75</v>
      </c>
      <c r="D11187" t="s">
        <v>1222</v>
      </c>
      <c r="E11187">
        <f t="shared" si="526"/>
        <v>8.771929824561403E-3</v>
      </c>
      <c r="F11187">
        <v>56</v>
      </c>
      <c r="G11187">
        <f>LOG(382/(56+1))</f>
        <v>0.82618850723921733</v>
      </c>
      <c r="H11187">
        <f>0.0087719298245614*1.90236934077202</f>
        <v>1.6687450357649292E-2</v>
      </c>
      <c r="I11187">
        <v>1.668745035764934E-2</v>
      </c>
    </row>
    <row r="11188" spans="1:9" x14ac:dyDescent="0.25">
      <c r="A11188">
        <v>428</v>
      </c>
      <c r="B11188" t="s">
        <v>3312</v>
      </c>
      <c r="C11188" t="s">
        <v>75</v>
      </c>
      <c r="D11188" t="s">
        <v>3330</v>
      </c>
      <c r="E11188">
        <f t="shared" si="526"/>
        <v>8.771929824561403E-3</v>
      </c>
      <c r="F11188">
        <v>3</v>
      </c>
      <c r="G11188">
        <f>LOG(382/(3+1))</f>
        <v>1.9800033715837464</v>
      </c>
      <c r="H11188">
        <f>0.0087719298245614*4.55912624748668</f>
        <v>3.9992335504269103E-2</v>
      </c>
      <c r="I11188">
        <v>3.9992335504269158E-2</v>
      </c>
    </row>
    <row r="11189" spans="1:9" x14ac:dyDescent="0.25">
      <c r="A11189">
        <v>428</v>
      </c>
      <c r="B11189" t="s">
        <v>3312</v>
      </c>
      <c r="C11189" t="s">
        <v>75</v>
      </c>
      <c r="D11189" t="s">
        <v>3331</v>
      </c>
      <c r="E11189">
        <f t="shared" si="526"/>
        <v>8.771929824561403E-3</v>
      </c>
      <c r="F11189">
        <v>1</v>
      </c>
      <c r="G11189">
        <f>LOG(382/(1+1))</f>
        <v>2.2810333672477277</v>
      </c>
      <c r="H11189">
        <f>0.0087719298245614*5.25227342804663</f>
        <v>4.6072573930233576E-2</v>
      </c>
      <c r="I11189">
        <v>4.607257393023359E-2</v>
      </c>
    </row>
    <row r="11190" spans="1:9" x14ac:dyDescent="0.25">
      <c r="A11190">
        <v>428</v>
      </c>
      <c r="B11190" t="s">
        <v>3312</v>
      </c>
      <c r="C11190" t="s">
        <v>75</v>
      </c>
      <c r="D11190" t="s">
        <v>76</v>
      </c>
      <c r="E11190">
        <f t="shared" si="526"/>
        <v>8.771929824561403E-3</v>
      </c>
      <c r="F11190">
        <v>140</v>
      </c>
      <c r="G11190">
        <f>LOG(382/(140+1))</f>
        <v>0.43284425025632883</v>
      </c>
      <c r="H11190">
        <f>0.0087719298245614*0.996660718228407</f>
        <v>8.7426378791965482E-3</v>
      </c>
      <c r="I11190">
        <v>8.7426378791965517E-3</v>
      </c>
    </row>
    <row r="11191" spans="1:9" x14ac:dyDescent="0.25">
      <c r="A11191">
        <v>428</v>
      </c>
      <c r="B11191" t="s">
        <v>3312</v>
      </c>
      <c r="C11191" t="s">
        <v>75</v>
      </c>
      <c r="D11191" t="s">
        <v>40</v>
      </c>
      <c r="E11191">
        <f t="shared" si="526"/>
        <v>8.771929824561403E-3</v>
      </c>
      <c r="F11191">
        <v>159</v>
      </c>
      <c r="G11191">
        <f>LOG(382/(159+1))</f>
        <v>0.377943380255784</v>
      </c>
      <c r="H11191">
        <f>0.0087719298245614*0.870246793372748</f>
        <v>7.6337438015153299E-3</v>
      </c>
      <c r="I11191">
        <v>7.633743801515336E-3</v>
      </c>
    </row>
    <row r="11192" spans="1:9" x14ac:dyDescent="0.25">
      <c r="A11192">
        <v>428</v>
      </c>
      <c r="B11192" t="s">
        <v>3312</v>
      </c>
      <c r="C11192" t="s">
        <v>75</v>
      </c>
      <c r="D11192" t="s">
        <v>41</v>
      </c>
      <c r="E11192">
        <f t="shared" si="526"/>
        <v>8.771929824561403E-3</v>
      </c>
      <c r="F11192">
        <v>195</v>
      </c>
      <c r="G11192">
        <f>LOG(382/(195+1))</f>
        <v>0.28980729155523272</v>
      </c>
      <c r="H11192">
        <f>0.0087719298245614*0.667305949376058</f>
        <v>5.8535609594391027E-3</v>
      </c>
      <c r="I11192">
        <v>5.8535609594391053E-3</v>
      </c>
    </row>
    <row r="11193" spans="1:9" x14ac:dyDescent="0.25">
      <c r="A11193">
        <v>428</v>
      </c>
      <c r="B11193" t="s">
        <v>3312</v>
      </c>
      <c r="C11193" t="s">
        <v>75</v>
      </c>
      <c r="D11193" t="s">
        <v>772</v>
      </c>
      <c r="E11193">
        <f>2/114</f>
        <v>1.7543859649122806E-2</v>
      </c>
      <c r="F11193">
        <v>31</v>
      </c>
      <c r="G11193">
        <f>LOG(382/(31+1))</f>
        <v>1.0769133845918029</v>
      </c>
      <c r="H11193">
        <f>0.0175438596491228*2.47968470580684</f>
        <v>4.3503240452751557E-2</v>
      </c>
      <c r="I11193">
        <v>4.3503240452751731E-2</v>
      </c>
    </row>
    <row r="11194" spans="1:9" x14ac:dyDescent="0.25">
      <c r="A11194">
        <v>428</v>
      </c>
      <c r="B11194" t="s">
        <v>3312</v>
      </c>
      <c r="C11194" t="s">
        <v>75</v>
      </c>
      <c r="D11194" t="s">
        <v>237</v>
      </c>
      <c r="E11194">
        <f t="shared" ref="E11194:E11206" si="527">1/114</f>
        <v>8.771929824561403E-3</v>
      </c>
      <c r="F11194">
        <v>138</v>
      </c>
      <c r="G11194">
        <f>LOG(382/(138+1))</f>
        <v>0.43904856265761361</v>
      </c>
      <c r="H11194">
        <f>0.0087719298245614*1.01094667547588</f>
        <v>8.8679532936480655E-3</v>
      </c>
      <c r="I11194">
        <v>8.8679532936480985E-3</v>
      </c>
    </row>
    <row r="11195" spans="1:9" x14ac:dyDescent="0.25">
      <c r="A11195">
        <v>428</v>
      </c>
      <c r="B11195" t="s">
        <v>3312</v>
      </c>
      <c r="C11195" t="s">
        <v>75</v>
      </c>
      <c r="D11195" t="s">
        <v>399</v>
      </c>
      <c r="E11195">
        <f t="shared" si="527"/>
        <v>8.771929824561403E-3</v>
      </c>
      <c r="F11195">
        <v>27</v>
      </c>
      <c r="G11195">
        <f>LOG(382/(27+1))</f>
        <v>1.1349053315694895</v>
      </c>
      <c r="H11195">
        <f>0.0087719298245614*2.61321609843137</f>
        <v>2.2922948231854114E-2</v>
      </c>
      <c r="I11195">
        <v>2.2922948231854132E-2</v>
      </c>
    </row>
    <row r="11196" spans="1:9" x14ac:dyDescent="0.25">
      <c r="A11196">
        <v>428</v>
      </c>
      <c r="B11196" t="s">
        <v>3312</v>
      </c>
      <c r="C11196" t="s">
        <v>75</v>
      </c>
      <c r="D11196" t="s">
        <v>3332</v>
      </c>
      <c r="E11196">
        <f t="shared" si="527"/>
        <v>8.771929824561403E-3</v>
      </c>
      <c r="F11196">
        <v>3</v>
      </c>
      <c r="G11196">
        <f>LOG(382/(3+1))</f>
        <v>1.9800033715837464</v>
      </c>
      <c r="H11196">
        <f>0.0087719298245614*4.55912624748668</f>
        <v>3.9992335504269103E-2</v>
      </c>
      <c r="I11196">
        <v>3.9992335504269158E-2</v>
      </c>
    </row>
    <row r="11197" spans="1:9" x14ac:dyDescent="0.25">
      <c r="A11197">
        <v>428</v>
      </c>
      <c r="B11197" t="s">
        <v>3312</v>
      </c>
      <c r="C11197" t="s">
        <v>75</v>
      </c>
      <c r="D11197" t="s">
        <v>3307</v>
      </c>
      <c r="E11197">
        <f t="shared" si="527"/>
        <v>8.771929824561403E-3</v>
      </c>
      <c r="F11197">
        <v>7</v>
      </c>
      <c r="G11197">
        <f>LOG(382/(7+1))</f>
        <v>1.6789733759197651</v>
      </c>
      <c r="H11197">
        <f>0.0087719298245614*3.86597906692673</f>
        <v>3.3912097078304636E-2</v>
      </c>
      <c r="I11197">
        <v>3.3912097078304733E-2</v>
      </c>
    </row>
    <row r="11198" spans="1:9" x14ac:dyDescent="0.25">
      <c r="A11198">
        <v>428</v>
      </c>
      <c r="B11198" t="s">
        <v>3312</v>
      </c>
      <c r="C11198" t="s">
        <v>75</v>
      </c>
      <c r="D11198" t="s">
        <v>863</v>
      </c>
      <c r="E11198">
        <f t="shared" si="527"/>
        <v>8.771929824561403E-3</v>
      </c>
      <c r="F11198">
        <v>14</v>
      </c>
      <c r="G11198">
        <f>LOG(382/(14+1))</f>
        <v>1.4059721038560276</v>
      </c>
      <c r="H11198">
        <f>0.0087719298245614*3.23737040750436</f>
        <v>2.8397986030739987E-2</v>
      </c>
      <c r="I11198">
        <v>2.8397986030740039E-2</v>
      </c>
    </row>
    <row r="11199" spans="1:9" x14ac:dyDescent="0.25">
      <c r="A11199">
        <v>428</v>
      </c>
      <c r="B11199" t="s">
        <v>3312</v>
      </c>
      <c r="C11199" t="s">
        <v>75</v>
      </c>
      <c r="D11199" t="s">
        <v>830</v>
      </c>
      <c r="E11199">
        <f t="shared" si="527"/>
        <v>8.771929824561403E-3</v>
      </c>
      <c r="F11199">
        <v>19</v>
      </c>
      <c r="G11199">
        <f>LOG(382/(19+1))</f>
        <v>1.2810333672477277</v>
      </c>
      <c r="H11199">
        <f>0.0087719298245614*2.94968833505258</f>
        <v>2.5874459079408586E-2</v>
      </c>
      <c r="I11199">
        <v>2.5874459079408631E-2</v>
      </c>
    </row>
    <row r="11200" spans="1:9" x14ac:dyDescent="0.25">
      <c r="A11200">
        <v>428</v>
      </c>
      <c r="B11200" t="s">
        <v>3312</v>
      </c>
      <c r="C11200" t="s">
        <v>75</v>
      </c>
      <c r="D11200" t="s">
        <v>2189</v>
      </c>
      <c r="E11200">
        <f t="shared" si="527"/>
        <v>8.771929824561403E-3</v>
      </c>
      <c r="F11200">
        <v>12</v>
      </c>
      <c r="G11200">
        <f>LOG(382/(12+1))</f>
        <v>1.468120010604872</v>
      </c>
      <c r="H11200">
        <f>0.0087719298245614*3.38047125114503</f>
        <v>2.965325658899148E-2</v>
      </c>
      <c r="I11200">
        <v>2.965325658899156E-2</v>
      </c>
    </row>
    <row r="11201" spans="1:9" x14ac:dyDescent="0.25">
      <c r="A11201">
        <v>428</v>
      </c>
      <c r="B11201" t="s">
        <v>3312</v>
      </c>
      <c r="C11201" t="s">
        <v>75</v>
      </c>
      <c r="D11201" t="s">
        <v>3333</v>
      </c>
      <c r="E11201">
        <f t="shared" si="527"/>
        <v>8.771929824561403E-3</v>
      </c>
      <c r="F11201">
        <v>1</v>
      </c>
      <c r="G11201">
        <f>LOG(382/(1+1))</f>
        <v>2.2810333672477277</v>
      </c>
      <c r="H11201">
        <f>0.0087719298245614*5.25227342804663</f>
        <v>4.6072573930233576E-2</v>
      </c>
      <c r="I11201">
        <v>4.607257393023359E-2</v>
      </c>
    </row>
    <row r="11202" spans="1:9" x14ac:dyDescent="0.25">
      <c r="A11202">
        <v>428</v>
      </c>
      <c r="B11202" t="s">
        <v>3312</v>
      </c>
      <c r="C11202" t="s">
        <v>75</v>
      </c>
      <c r="D11202" t="s">
        <v>3334</v>
      </c>
      <c r="E11202">
        <f t="shared" si="527"/>
        <v>8.771929824561403E-3</v>
      </c>
      <c r="F11202">
        <v>12</v>
      </c>
      <c r="G11202">
        <f>LOG(382/(12+1))</f>
        <v>1.468120010604872</v>
      </c>
      <c r="H11202">
        <f>0.0087719298245614*3.38047125114503</f>
        <v>2.965325658899148E-2</v>
      </c>
      <c r="I11202">
        <v>2.965325658899156E-2</v>
      </c>
    </row>
    <row r="11203" spans="1:9" x14ac:dyDescent="0.25">
      <c r="A11203">
        <v>428</v>
      </c>
      <c r="B11203" t="s">
        <v>3312</v>
      </c>
      <c r="C11203" t="s">
        <v>75</v>
      </c>
      <c r="D11203" t="s">
        <v>2930</v>
      </c>
      <c r="E11203">
        <f t="shared" si="527"/>
        <v>8.771929824561403E-3</v>
      </c>
      <c r="F11203">
        <v>15</v>
      </c>
      <c r="G11203">
        <f>LOG(382/(15+1))</f>
        <v>1.3779433802557839</v>
      </c>
      <c r="H11203">
        <f>0.0087719298245614*3.17283188636679</f>
        <v>2.7831858652340252E-2</v>
      </c>
      <c r="I11203">
        <v>2.7831858652340301E-2</v>
      </c>
    </row>
    <row r="11204" spans="1:9" x14ac:dyDescent="0.25">
      <c r="A11204">
        <v>428</v>
      </c>
      <c r="B11204" t="s">
        <v>3312</v>
      </c>
      <c r="C11204" t="s">
        <v>75</v>
      </c>
      <c r="D11204" t="s">
        <v>82</v>
      </c>
      <c r="E11204">
        <f t="shared" si="527"/>
        <v>8.771929824561403E-3</v>
      </c>
      <c r="F11204">
        <v>92</v>
      </c>
      <c r="G11204">
        <f>LOG(382/(92+1))</f>
        <v>0.61358041435777355</v>
      </c>
      <c r="H11204">
        <f>0.0087719298245614*1.41282111545331</f>
        <v>1.2393167679414993E-2</v>
      </c>
      <c r="I11204">
        <v>1.239316767941508E-2</v>
      </c>
    </row>
    <row r="11205" spans="1:9" x14ac:dyDescent="0.25">
      <c r="A11205">
        <v>428</v>
      </c>
      <c r="B11205" t="s">
        <v>3312</v>
      </c>
      <c r="C11205" t="s">
        <v>75</v>
      </c>
      <c r="D11205" t="s">
        <v>1076</v>
      </c>
      <c r="E11205">
        <f t="shared" si="527"/>
        <v>8.771929824561403E-3</v>
      </c>
      <c r="F11205">
        <v>13</v>
      </c>
      <c r="G11205">
        <f>LOG(382/(13+1))</f>
        <v>1.4359353272334707</v>
      </c>
      <c r="H11205">
        <f>0.0087719298245614*3.30636327899131</f>
        <v>2.9003186657818498E-2</v>
      </c>
      <c r="I11205">
        <v>2.900318665781856E-2</v>
      </c>
    </row>
    <row r="11206" spans="1:9" x14ac:dyDescent="0.25">
      <c r="A11206">
        <v>428</v>
      </c>
      <c r="B11206" t="s">
        <v>3312</v>
      </c>
      <c r="C11206" t="s">
        <v>75</v>
      </c>
      <c r="D11206" t="s">
        <v>1738</v>
      </c>
      <c r="E11206">
        <f t="shared" si="527"/>
        <v>8.771929824561403E-3</v>
      </c>
      <c r="F11206">
        <v>24</v>
      </c>
      <c r="G11206">
        <f>LOG(382/(24+1))</f>
        <v>1.1841233542396712</v>
      </c>
      <c r="H11206">
        <f>0.0087719298245614*2.72654478373837</f>
        <v>2.3917059506476917E-2</v>
      </c>
      <c r="I11206">
        <v>2.3917059506476969E-2</v>
      </c>
    </row>
    <row r="11207" spans="1:9" x14ac:dyDescent="0.25">
      <c r="A11207">
        <v>428</v>
      </c>
      <c r="B11207" t="s">
        <v>3312</v>
      </c>
      <c r="C11207" t="s">
        <v>75</v>
      </c>
      <c r="D11207" t="s">
        <v>1739</v>
      </c>
      <c r="E11207">
        <f>2/114</f>
        <v>1.7543859649122806E-2</v>
      </c>
      <c r="F11207">
        <v>30</v>
      </c>
      <c r="G11207">
        <f>LOG(382/(30+1))</f>
        <v>1.090701669077436</v>
      </c>
      <c r="H11207">
        <f>0.0175438596491228*2.51143340412142</f>
        <v>4.4060235160024892E-2</v>
      </c>
      <c r="I11207">
        <v>4.4060235160025073E-2</v>
      </c>
    </row>
    <row r="11208" spans="1:9" x14ac:dyDescent="0.25">
      <c r="A11208">
        <v>428</v>
      </c>
      <c r="B11208" t="s">
        <v>3312</v>
      </c>
      <c r="C11208" t="s">
        <v>75</v>
      </c>
      <c r="D11208" t="s">
        <v>3335</v>
      </c>
      <c r="E11208">
        <f>1/114</f>
        <v>8.771929824561403E-3</v>
      </c>
      <c r="F11208">
        <v>16</v>
      </c>
      <c r="G11208">
        <f>LOG(382/(16+1))</f>
        <v>1.3516144415334348</v>
      </c>
      <c r="H11208">
        <f>0.0087719298245614*3.11220726455035</f>
        <v>2.7300063724125863E-2</v>
      </c>
      <c r="I11208">
        <v>2.730006372412596E-2</v>
      </c>
    </row>
    <row r="11209" spans="1:9" x14ac:dyDescent="0.25">
      <c r="A11209">
        <v>428</v>
      </c>
      <c r="B11209" t="s">
        <v>3312</v>
      </c>
      <c r="C11209" t="s">
        <v>75</v>
      </c>
      <c r="D11209" t="s">
        <v>3336</v>
      </c>
      <c r="E11209">
        <f>1/114</f>
        <v>8.771929824561403E-3</v>
      </c>
      <c r="F11209">
        <v>1</v>
      </c>
      <c r="G11209">
        <f>LOG(382/(1+1))</f>
        <v>2.2810333672477277</v>
      </c>
      <c r="H11209">
        <f>0.0087719298245614*5.25227342804663</f>
        <v>4.6072573930233576E-2</v>
      </c>
      <c r="I11209">
        <v>4.607257393023359E-2</v>
      </c>
    </row>
    <row r="11210" spans="1:9" x14ac:dyDescent="0.25">
      <c r="A11210">
        <v>428</v>
      </c>
      <c r="B11210" t="s">
        <v>3312</v>
      </c>
      <c r="C11210" t="s">
        <v>75</v>
      </c>
      <c r="D11210" t="s">
        <v>3337</v>
      </c>
      <c r="E11210">
        <f>1/114</f>
        <v>8.771929824561403E-3</v>
      </c>
      <c r="F11210">
        <v>3</v>
      </c>
      <c r="G11210">
        <f>LOG(382/(3+1))</f>
        <v>1.9800033715837464</v>
      </c>
      <c r="H11210">
        <f>0.0087719298245614*4.55912624748668</f>
        <v>3.9992335504269103E-2</v>
      </c>
      <c r="I11210">
        <v>3.9992335504269158E-2</v>
      </c>
    </row>
    <row r="11211" spans="1:9" x14ac:dyDescent="0.25">
      <c r="A11211">
        <v>428</v>
      </c>
      <c r="B11211" t="s">
        <v>3312</v>
      </c>
      <c r="C11211" t="s">
        <v>75</v>
      </c>
      <c r="D11211" t="s">
        <v>937</v>
      </c>
      <c r="E11211">
        <f>1/114</f>
        <v>8.771929824561403E-3</v>
      </c>
      <c r="F11211">
        <v>41</v>
      </c>
      <c r="G11211">
        <f>LOG(382/(41+1))</f>
        <v>0.95881407251380824</v>
      </c>
      <c r="H11211">
        <f>0.0087719298245614*2.2077509903232</f>
        <v>1.9366236757221045E-2</v>
      </c>
      <c r="I11211">
        <v>1.9366236757221111E-2</v>
      </c>
    </row>
    <row r="11212" spans="1:9" x14ac:dyDescent="0.25">
      <c r="A11212">
        <v>429</v>
      </c>
      <c r="B11212" t="s">
        <v>3338</v>
      </c>
      <c r="C11212" t="s">
        <v>75</v>
      </c>
      <c r="D11212" t="s">
        <v>1762</v>
      </c>
      <c r="E11212">
        <f>1/22</f>
        <v>4.5454545454545456E-2</v>
      </c>
      <c r="F11212">
        <v>60</v>
      </c>
      <c r="G11212">
        <f>LOG(382/(60+1))</f>
        <v>0.79673352790094176</v>
      </c>
      <c r="H11212">
        <f>0.0454545454545454*1.83454674443326</f>
        <v>8.3388488383329892E-2</v>
      </c>
      <c r="I11212">
        <v>8.3388488383330184E-2</v>
      </c>
    </row>
    <row r="11213" spans="1:9" x14ac:dyDescent="0.25">
      <c r="A11213">
        <v>429</v>
      </c>
      <c r="B11213" t="s">
        <v>3338</v>
      </c>
      <c r="C11213" t="s">
        <v>75</v>
      </c>
      <c r="D11213" t="s">
        <v>1827</v>
      </c>
      <c r="E11213">
        <f>1/22</f>
        <v>4.5454545454545456E-2</v>
      </c>
      <c r="F11213">
        <v>9</v>
      </c>
      <c r="G11213">
        <f>LOG(382/(9+1))</f>
        <v>1.5820633629117087</v>
      </c>
      <c r="H11213">
        <f>0.0454545454545454*3.64283551561252</f>
        <v>0.16558343252784163</v>
      </c>
      <c r="I11213">
        <v>0.16558343252784219</v>
      </c>
    </row>
    <row r="11214" spans="1:9" x14ac:dyDescent="0.25">
      <c r="A11214">
        <v>429</v>
      </c>
      <c r="B11214" t="s">
        <v>3338</v>
      </c>
      <c r="C11214" t="s">
        <v>75</v>
      </c>
      <c r="D11214" t="s">
        <v>24</v>
      </c>
      <c r="E11214">
        <f>1/22</f>
        <v>4.5454545454545456E-2</v>
      </c>
      <c r="F11214">
        <v>59</v>
      </c>
      <c r="G11214">
        <f>LOG(382/(59+1))</f>
        <v>0.80391211252806505</v>
      </c>
      <c r="H11214">
        <f>0.0454545454545454*1.85107604638447</f>
        <v>8.4139820290203074E-2</v>
      </c>
      <c r="I11214">
        <v>8.4139820290203379E-2</v>
      </c>
    </row>
    <row r="11215" spans="1:9" x14ac:dyDescent="0.25">
      <c r="A11215">
        <v>429</v>
      </c>
      <c r="B11215" t="s">
        <v>3338</v>
      </c>
      <c r="C11215" t="s">
        <v>75</v>
      </c>
      <c r="D11215" t="s">
        <v>451</v>
      </c>
      <c r="E11215">
        <f>1/22</f>
        <v>4.5454545454545456E-2</v>
      </c>
      <c r="F11215">
        <v>15</v>
      </c>
      <c r="G11215">
        <f>LOG(382/(15+1))</f>
        <v>1.3779433802557839</v>
      </c>
      <c r="H11215">
        <f>0.0454545454545454*3.17283188636679</f>
        <v>0.14421963119849029</v>
      </c>
      <c r="I11215">
        <v>0.14421963119849071</v>
      </c>
    </row>
    <row r="11216" spans="1:9" x14ac:dyDescent="0.25">
      <c r="A11216">
        <v>429</v>
      </c>
      <c r="B11216" t="s">
        <v>3338</v>
      </c>
      <c r="C11216" t="s">
        <v>75</v>
      </c>
      <c r="D11216" t="s">
        <v>82</v>
      </c>
      <c r="E11216">
        <f>3/22</f>
        <v>0.13636363636363635</v>
      </c>
      <c r="F11216">
        <v>92</v>
      </c>
      <c r="G11216">
        <f>LOG(382/(92+1))</f>
        <v>0.61358041435777355</v>
      </c>
      <c r="H11216">
        <f>0.136363636363636*1.41282111545331</f>
        <v>0.19265742483454174</v>
      </c>
      <c r="I11216">
        <v>0.19265742483454351</v>
      </c>
    </row>
    <row r="11217" spans="1:9" x14ac:dyDescent="0.25">
      <c r="A11217">
        <v>429</v>
      </c>
      <c r="B11217" t="s">
        <v>3338</v>
      </c>
      <c r="C11217" t="s">
        <v>75</v>
      </c>
      <c r="D11217" t="s">
        <v>3290</v>
      </c>
      <c r="E11217">
        <f t="shared" ref="E11217:E11231" si="528">1/22</f>
        <v>4.5454545454545456E-2</v>
      </c>
      <c r="F11217">
        <v>12</v>
      </c>
      <c r="G11217">
        <f>LOG(382/(12+1))</f>
        <v>1.468120010604872</v>
      </c>
      <c r="H11217">
        <f>0.0454545454545454*3.38047125114503</f>
        <v>0.15365778414295572</v>
      </c>
      <c r="I11217">
        <v>0.15365778414295631</v>
      </c>
    </row>
    <row r="11218" spans="1:9" x14ac:dyDescent="0.25">
      <c r="A11218">
        <v>429</v>
      </c>
      <c r="B11218" t="s">
        <v>3338</v>
      </c>
      <c r="C11218" t="s">
        <v>75</v>
      </c>
      <c r="D11218" t="s">
        <v>2369</v>
      </c>
      <c r="E11218">
        <f t="shared" si="528"/>
        <v>4.5454545454545456E-2</v>
      </c>
      <c r="F11218">
        <v>15</v>
      </c>
      <c r="G11218">
        <f>LOG(382/(15+1))</f>
        <v>1.3779433802557839</v>
      </c>
      <c r="H11218">
        <f>0.0454545454545454*3.17283188636679</f>
        <v>0.14421963119849029</v>
      </c>
      <c r="I11218">
        <v>0.14421963119849071</v>
      </c>
    </row>
    <row r="11219" spans="1:9" x14ac:dyDescent="0.25">
      <c r="A11219">
        <v>429</v>
      </c>
      <c r="B11219" t="s">
        <v>3338</v>
      </c>
      <c r="C11219" t="s">
        <v>75</v>
      </c>
      <c r="D11219" t="s">
        <v>1727</v>
      </c>
      <c r="E11219">
        <f t="shared" si="528"/>
        <v>4.5454545454545456E-2</v>
      </c>
      <c r="F11219">
        <v>27</v>
      </c>
      <c r="G11219">
        <f>LOG(382/(27+1))</f>
        <v>1.1349053315694895</v>
      </c>
      <c r="H11219">
        <f>0.0454545454545454*2.61321609843137</f>
        <v>0.11878254992869851</v>
      </c>
      <c r="I11219">
        <v>0.1187825499286987</v>
      </c>
    </row>
    <row r="11220" spans="1:9" x14ac:dyDescent="0.25">
      <c r="A11220">
        <v>429</v>
      </c>
      <c r="B11220" t="s">
        <v>3338</v>
      </c>
      <c r="C11220" t="s">
        <v>75</v>
      </c>
      <c r="D11220" t="s">
        <v>3291</v>
      </c>
      <c r="E11220">
        <f t="shared" si="528"/>
        <v>4.5454545454545456E-2</v>
      </c>
      <c r="F11220">
        <v>3</v>
      </c>
      <c r="G11220">
        <f>LOG(382/(3+1))</f>
        <v>1.9800033715837464</v>
      </c>
      <c r="H11220">
        <f>0.0454545454545454*4.55912624748668</f>
        <v>0.20723301124939431</v>
      </c>
      <c r="I11220">
        <v>0.20723301124939469</v>
      </c>
    </row>
    <row r="11221" spans="1:9" x14ac:dyDescent="0.25">
      <c r="A11221">
        <v>429</v>
      </c>
      <c r="B11221" t="s">
        <v>3338</v>
      </c>
      <c r="C11221" t="s">
        <v>75</v>
      </c>
      <c r="D11221" t="s">
        <v>3339</v>
      </c>
      <c r="E11221">
        <f t="shared" si="528"/>
        <v>4.5454545454545456E-2</v>
      </c>
      <c r="F11221">
        <v>1</v>
      </c>
      <c r="G11221">
        <f>LOG(382/(1+1))</f>
        <v>2.2810333672477277</v>
      </c>
      <c r="H11221">
        <f>0.0454545454545454*5.25227342804663</f>
        <v>0.23873970127484653</v>
      </c>
      <c r="I11221">
        <v>0.23873970127484681</v>
      </c>
    </row>
    <row r="11222" spans="1:9" x14ac:dyDescent="0.25">
      <c r="A11222">
        <v>429</v>
      </c>
      <c r="B11222" t="s">
        <v>3338</v>
      </c>
      <c r="C11222" t="s">
        <v>75</v>
      </c>
      <c r="D11222" t="s">
        <v>442</v>
      </c>
      <c r="E11222">
        <f t="shared" si="528"/>
        <v>4.5454545454545456E-2</v>
      </c>
      <c r="F11222">
        <v>9</v>
      </c>
      <c r="G11222">
        <f>LOG(382/(9+1))</f>
        <v>1.5820633629117087</v>
      </c>
      <c r="H11222">
        <f>0.0454545454545454*3.64283551561252</f>
        <v>0.16558343252784163</v>
      </c>
      <c r="I11222">
        <v>0.16558343252784219</v>
      </c>
    </row>
    <row r="11223" spans="1:9" x14ac:dyDescent="0.25">
      <c r="A11223">
        <v>429</v>
      </c>
      <c r="B11223" t="s">
        <v>3338</v>
      </c>
      <c r="C11223" t="s">
        <v>75</v>
      </c>
      <c r="D11223" t="s">
        <v>450</v>
      </c>
      <c r="E11223">
        <f t="shared" si="528"/>
        <v>4.5454545454545456E-2</v>
      </c>
      <c r="F11223">
        <v>17</v>
      </c>
      <c r="G11223">
        <f>LOG(382/(17+1))</f>
        <v>1.3267908578084027</v>
      </c>
      <c r="H11223">
        <f>0.0454545454545454*3.05504885071041</f>
        <v>0.13886585685047301</v>
      </c>
      <c r="I11223">
        <v>0.1388658568504732</v>
      </c>
    </row>
    <row r="11224" spans="1:9" x14ac:dyDescent="0.25">
      <c r="A11224">
        <v>429</v>
      </c>
      <c r="B11224" t="s">
        <v>3338</v>
      </c>
      <c r="C11224" t="s">
        <v>75</v>
      </c>
      <c r="D11224" t="s">
        <v>3340</v>
      </c>
      <c r="E11224">
        <f t="shared" si="528"/>
        <v>4.5454545454545456E-2</v>
      </c>
      <c r="F11224">
        <v>4</v>
      </c>
      <c r="G11224">
        <f>LOG(382/(4+1))</f>
        <v>1.8830933585756899</v>
      </c>
      <c r="H11224">
        <f>0.0454545454545454*4.33598269617247</f>
        <v>0.19709012255329386</v>
      </c>
      <c r="I11224">
        <v>0.19709012255329431</v>
      </c>
    </row>
    <row r="11225" spans="1:9" x14ac:dyDescent="0.25">
      <c r="A11225">
        <v>429</v>
      </c>
      <c r="B11225" t="s">
        <v>3338</v>
      </c>
      <c r="C11225" t="s">
        <v>75</v>
      </c>
      <c r="D11225" t="s">
        <v>746</v>
      </c>
      <c r="E11225">
        <f t="shared" si="528"/>
        <v>4.5454545454545456E-2</v>
      </c>
      <c r="F11225">
        <v>58</v>
      </c>
      <c r="G11225">
        <f>LOG(382/(58+1))</f>
        <v>0.81121135126956456</v>
      </c>
      <c r="H11225">
        <f>0.0454545454545454*1.86788316470085</f>
        <v>8.4903780213674895E-2</v>
      </c>
      <c r="I11225">
        <v>8.4903780213675256E-2</v>
      </c>
    </row>
    <row r="11226" spans="1:9" x14ac:dyDescent="0.25">
      <c r="A11226">
        <v>429</v>
      </c>
      <c r="B11226" t="s">
        <v>3338</v>
      </c>
      <c r="C11226" t="s">
        <v>75</v>
      </c>
      <c r="D11226" t="s">
        <v>3341</v>
      </c>
      <c r="E11226">
        <f t="shared" si="528"/>
        <v>4.5454545454545456E-2</v>
      </c>
      <c r="F11226">
        <v>3</v>
      </c>
      <c r="G11226">
        <f>LOG(382/(3+1))</f>
        <v>1.9800033715837464</v>
      </c>
      <c r="H11226">
        <f>0.0454545454545454*4.55912624748668</f>
        <v>0.20723301124939431</v>
      </c>
      <c r="I11226">
        <v>0.20723301124939469</v>
      </c>
    </row>
    <row r="11227" spans="1:9" x14ac:dyDescent="0.25">
      <c r="A11227">
        <v>429</v>
      </c>
      <c r="B11227" t="s">
        <v>3338</v>
      </c>
      <c r="C11227" t="s">
        <v>75</v>
      </c>
      <c r="D11227" t="s">
        <v>1102</v>
      </c>
      <c r="E11227">
        <f t="shared" si="528"/>
        <v>4.5454545454545456E-2</v>
      </c>
      <c r="F11227">
        <v>4</v>
      </c>
      <c r="G11227">
        <f>LOG(382/(4+1))</f>
        <v>1.8830933585756899</v>
      </c>
      <c r="H11227">
        <f>0.0454545454545454*4.33598269617247</f>
        <v>0.19709012255329386</v>
      </c>
      <c r="I11227">
        <v>0.19709012255329431</v>
      </c>
    </row>
    <row r="11228" spans="1:9" x14ac:dyDescent="0.25">
      <c r="A11228">
        <v>429</v>
      </c>
      <c r="B11228" t="s">
        <v>3338</v>
      </c>
      <c r="C11228" t="s">
        <v>75</v>
      </c>
      <c r="D11228" t="s">
        <v>388</v>
      </c>
      <c r="E11228">
        <f t="shared" si="528"/>
        <v>4.5454545454545456E-2</v>
      </c>
      <c r="F11228">
        <v>44</v>
      </c>
      <c r="G11228">
        <f>LOG(382/(44+1))</f>
        <v>0.92885084913636506</v>
      </c>
      <c r="H11228">
        <f>0.0454545454545454*2.13875811883625</f>
        <v>9.7216278128920336E-2</v>
      </c>
      <c r="I11228">
        <v>9.7216278128920697E-2</v>
      </c>
    </row>
    <row r="11229" spans="1:9" x14ac:dyDescent="0.25">
      <c r="A11229">
        <v>429</v>
      </c>
      <c r="B11229" t="s">
        <v>3338</v>
      </c>
      <c r="C11229" t="s">
        <v>75</v>
      </c>
      <c r="D11229" t="s">
        <v>1634</v>
      </c>
      <c r="E11229">
        <f t="shared" si="528"/>
        <v>4.5454545454545456E-2</v>
      </c>
      <c r="F11229">
        <v>7</v>
      </c>
      <c r="G11229">
        <f>LOG(382/(7+1))</f>
        <v>1.6789733759197651</v>
      </c>
      <c r="H11229">
        <f>0.0454545454545454*3.86597906692673</f>
        <v>0.17572632122394208</v>
      </c>
      <c r="I11229">
        <v>0.17572632122394269</v>
      </c>
    </row>
    <row r="11230" spans="1:9" x14ac:dyDescent="0.25">
      <c r="A11230">
        <v>429</v>
      </c>
      <c r="B11230" t="s">
        <v>3338</v>
      </c>
      <c r="C11230" t="s">
        <v>75</v>
      </c>
      <c r="D11230" t="s">
        <v>362</v>
      </c>
      <c r="E11230">
        <f t="shared" si="528"/>
        <v>4.5454545454545456E-2</v>
      </c>
      <c r="F11230">
        <v>81</v>
      </c>
      <c r="G11230">
        <f>LOG(382/(81+1))</f>
        <v>0.66824951052799197</v>
      </c>
      <c r="H11230">
        <f>0.0454545454545454*1.53870136134232</f>
        <v>6.9940970970105362E-2</v>
      </c>
      <c r="I11230">
        <v>6.9940970970105543E-2</v>
      </c>
    </row>
    <row r="11231" spans="1:9" x14ac:dyDescent="0.25">
      <c r="A11231">
        <v>429</v>
      </c>
      <c r="B11231" t="s">
        <v>3338</v>
      </c>
      <c r="C11231" t="s">
        <v>75</v>
      </c>
      <c r="D11231" t="s">
        <v>3342</v>
      </c>
      <c r="E11231">
        <f t="shared" si="528"/>
        <v>4.5454545454545456E-2</v>
      </c>
      <c r="F11231">
        <v>1</v>
      </c>
      <c r="G11231">
        <f>LOG(382/(1+1))</f>
        <v>2.2810333672477277</v>
      </c>
      <c r="H11231">
        <f>0.0454545454545454*5.25227342804663</f>
        <v>0.23873970127484653</v>
      </c>
      <c r="I11231">
        <v>0.23873970127484681</v>
      </c>
    </row>
    <row r="11232" spans="1:9" x14ac:dyDescent="0.25">
      <c r="A11232">
        <v>430</v>
      </c>
      <c r="B11232" t="s">
        <v>3343</v>
      </c>
      <c r="C11232" t="s">
        <v>75</v>
      </c>
      <c r="D11232" t="s">
        <v>112</v>
      </c>
      <c r="E11232">
        <f>2/44</f>
        <v>4.5454545454545456E-2</v>
      </c>
      <c r="F11232">
        <v>52</v>
      </c>
      <c r="G11232">
        <f>LOG(382/(52+1))</f>
        <v>0.85778749331091964</v>
      </c>
      <c r="H11232">
        <f>0.0454545454545454*1.97512869505445</f>
        <v>8.9778577047929436E-2</v>
      </c>
      <c r="I11232">
        <v>8.97785770479297E-2</v>
      </c>
    </row>
    <row r="11233" spans="1:9" x14ac:dyDescent="0.25">
      <c r="A11233">
        <v>430</v>
      </c>
      <c r="B11233" t="s">
        <v>3343</v>
      </c>
      <c r="C11233" t="s">
        <v>75</v>
      </c>
      <c r="D11233" t="s">
        <v>82</v>
      </c>
      <c r="E11233">
        <f>2/44</f>
        <v>4.5454545454545456E-2</v>
      </c>
      <c r="F11233">
        <v>92</v>
      </c>
      <c r="G11233">
        <f>LOG(382/(92+1))</f>
        <v>0.61358041435777355</v>
      </c>
      <c r="H11233">
        <f>0.0454545454545454*1.41282111545331</f>
        <v>6.4219141611514013E-2</v>
      </c>
      <c r="I11233">
        <v>6.4219141611514513E-2</v>
      </c>
    </row>
    <row r="11234" spans="1:9" x14ac:dyDescent="0.25">
      <c r="A11234">
        <v>430</v>
      </c>
      <c r="B11234" t="s">
        <v>3343</v>
      </c>
      <c r="C11234" t="s">
        <v>75</v>
      </c>
      <c r="D11234" t="s">
        <v>3344</v>
      </c>
      <c r="E11234">
        <f t="shared" ref="E11234:E11259" si="529">1/44</f>
        <v>2.2727272727272728E-2</v>
      </c>
      <c r="F11234">
        <v>1</v>
      </c>
      <c r="G11234">
        <f>LOG(382/(1+1))</f>
        <v>2.2810333672477277</v>
      </c>
      <c r="H11234">
        <f>0.0227272727272727*5.25227342804663</f>
        <v>0.11936985063742327</v>
      </c>
      <c r="I11234">
        <v>0.11936985063742341</v>
      </c>
    </row>
    <row r="11235" spans="1:9" x14ac:dyDescent="0.25">
      <c r="A11235">
        <v>430</v>
      </c>
      <c r="B11235" t="s">
        <v>3343</v>
      </c>
      <c r="C11235" t="s">
        <v>75</v>
      </c>
      <c r="D11235" t="s">
        <v>42</v>
      </c>
      <c r="E11235">
        <f t="shared" si="529"/>
        <v>2.2727272727272728E-2</v>
      </c>
      <c r="F11235">
        <v>251</v>
      </c>
      <c r="G11235">
        <f>LOG(382/(251+1))</f>
        <v>0.18066282213016463</v>
      </c>
      <c r="H11235">
        <f>0.0227272727272727*0.415991521095151</f>
        <v>9.4543527521625103E-3</v>
      </c>
      <c r="I11235">
        <v>9.4543527521625433E-3</v>
      </c>
    </row>
    <row r="11236" spans="1:9" x14ac:dyDescent="0.25">
      <c r="A11236">
        <v>430</v>
      </c>
      <c r="B11236" t="s">
        <v>3343</v>
      </c>
      <c r="C11236" t="s">
        <v>75</v>
      </c>
      <c r="D11236" t="s">
        <v>600</v>
      </c>
      <c r="E11236">
        <f t="shared" si="529"/>
        <v>2.2727272727272728E-2</v>
      </c>
      <c r="F11236">
        <v>102</v>
      </c>
      <c r="G11236">
        <f>LOG(382/(102+1))</f>
        <v>0.56922613820653656</v>
      </c>
      <c r="H11236">
        <f>0.0227272727272727*1.31069162037693</f>
        <v>2.9788445917657468E-2</v>
      </c>
      <c r="I11236">
        <v>2.978844591765771E-2</v>
      </c>
    </row>
    <row r="11237" spans="1:9" x14ac:dyDescent="0.25">
      <c r="A11237">
        <v>430</v>
      </c>
      <c r="B11237" t="s">
        <v>3343</v>
      </c>
      <c r="C11237" t="s">
        <v>75</v>
      </c>
      <c r="D11237" t="s">
        <v>2180</v>
      </c>
      <c r="E11237">
        <f t="shared" si="529"/>
        <v>2.2727272727272728E-2</v>
      </c>
      <c r="F11237">
        <v>7</v>
      </c>
      <c r="G11237">
        <f>LOG(382/(7+1))</f>
        <v>1.6789733759197651</v>
      </c>
      <c r="H11237">
        <f>0.0227272727272727*3.86597906692673</f>
        <v>8.7863160611971039E-2</v>
      </c>
      <c r="I11237">
        <v>8.7863160611971344E-2</v>
      </c>
    </row>
    <row r="11238" spans="1:9" x14ac:dyDescent="0.25">
      <c r="A11238">
        <v>430</v>
      </c>
      <c r="B11238" t="s">
        <v>3343</v>
      </c>
      <c r="C11238" t="s">
        <v>75</v>
      </c>
      <c r="D11238" t="s">
        <v>1015</v>
      </c>
      <c r="E11238">
        <f t="shared" si="529"/>
        <v>2.2727272727272728E-2</v>
      </c>
      <c r="F11238">
        <v>8</v>
      </c>
      <c r="G11238">
        <f>LOG(382/(8+1))</f>
        <v>1.6278208534723839</v>
      </c>
      <c r="H11238">
        <f>0.0227272727272727*3.74819603127035</f>
        <v>8.5186273437962395E-2</v>
      </c>
      <c r="I11238">
        <v>8.5186273437962631E-2</v>
      </c>
    </row>
    <row r="11239" spans="1:9" x14ac:dyDescent="0.25">
      <c r="A11239">
        <v>430</v>
      </c>
      <c r="B11239" t="s">
        <v>3343</v>
      </c>
      <c r="C11239" t="s">
        <v>75</v>
      </c>
      <c r="D11239" t="s">
        <v>147</v>
      </c>
      <c r="E11239">
        <f t="shared" si="529"/>
        <v>2.2727272727272728E-2</v>
      </c>
      <c r="F11239">
        <v>48</v>
      </c>
      <c r="G11239">
        <f>LOG(382/(48+1))</f>
        <v>0.89186728288319506</v>
      </c>
      <c r="H11239">
        <f>0.0227272727272727*2.05360031049594</f>
        <v>4.6672734329453125E-2</v>
      </c>
      <c r="I11239">
        <v>4.6672734329453382E-2</v>
      </c>
    </row>
    <row r="11240" spans="1:9" x14ac:dyDescent="0.25">
      <c r="A11240">
        <v>430</v>
      </c>
      <c r="B11240" t="s">
        <v>3343</v>
      </c>
      <c r="C11240" t="s">
        <v>75</v>
      </c>
      <c r="D11240" t="s">
        <v>1908</v>
      </c>
      <c r="E11240">
        <f t="shared" si="529"/>
        <v>2.2727272727272728E-2</v>
      </c>
      <c r="F11240">
        <v>20</v>
      </c>
      <c r="G11240">
        <f>LOG(382/(20+1))</f>
        <v>1.2598440681777894</v>
      </c>
      <c r="H11240">
        <f>0.0227272727272727*2.90089817088315</f>
        <v>6.5929503883707871E-2</v>
      </c>
      <c r="I11240">
        <v>6.592950388370801E-2</v>
      </c>
    </row>
    <row r="11241" spans="1:9" x14ac:dyDescent="0.25">
      <c r="A11241">
        <v>430</v>
      </c>
      <c r="B11241" t="s">
        <v>3343</v>
      </c>
      <c r="C11241" t="s">
        <v>75</v>
      </c>
      <c r="D11241" t="s">
        <v>91</v>
      </c>
      <c r="E11241">
        <f t="shared" si="529"/>
        <v>2.2727272727272728E-2</v>
      </c>
      <c r="F11241">
        <v>33</v>
      </c>
      <c r="G11241">
        <f>LOG(382/(33+1))</f>
        <v>1.0505844458694535</v>
      </c>
      <c r="H11241">
        <f>0.0227272727272727*2.41906008399041</f>
        <v>5.4978638272509255E-2</v>
      </c>
      <c r="I11241">
        <v>5.4978638272509407E-2</v>
      </c>
    </row>
    <row r="11242" spans="1:9" x14ac:dyDescent="0.25">
      <c r="A11242">
        <v>430</v>
      </c>
      <c r="B11242" t="s">
        <v>3343</v>
      </c>
      <c r="C11242" t="s">
        <v>75</v>
      </c>
      <c r="D11242" t="s">
        <v>19</v>
      </c>
      <c r="E11242">
        <f t="shared" si="529"/>
        <v>2.2727272727272728E-2</v>
      </c>
      <c r="F11242">
        <v>220</v>
      </c>
      <c r="G11242">
        <f>LOG(382/(220+1))</f>
        <v>0.23767108922659805</v>
      </c>
      <c r="H11242">
        <f>0.0227272727272727*0.547257907088822</f>
        <v>1.2437679706564123E-2</v>
      </c>
      <c r="I11242">
        <v>1.2437679706564149E-2</v>
      </c>
    </row>
    <row r="11243" spans="1:9" x14ac:dyDescent="0.25">
      <c r="A11243">
        <v>430</v>
      </c>
      <c r="B11243" t="s">
        <v>3343</v>
      </c>
      <c r="C11243" t="s">
        <v>75</v>
      </c>
      <c r="D11243" t="s">
        <v>3345</v>
      </c>
      <c r="E11243">
        <f t="shared" si="529"/>
        <v>2.2727272727272728E-2</v>
      </c>
      <c r="F11243">
        <v>1</v>
      </c>
      <c r="G11243">
        <f>LOG(382/(1+1))</f>
        <v>2.2810333672477277</v>
      </c>
      <c r="H11243">
        <f>0.0227272727272727*5.25227342804663</f>
        <v>0.11936985063742327</v>
      </c>
      <c r="I11243">
        <v>0.11936985063742341</v>
      </c>
    </row>
    <row r="11244" spans="1:9" x14ac:dyDescent="0.25">
      <c r="A11244">
        <v>430</v>
      </c>
      <c r="B11244" t="s">
        <v>3343</v>
      </c>
      <c r="C11244" t="s">
        <v>75</v>
      </c>
      <c r="D11244" t="s">
        <v>22</v>
      </c>
      <c r="E11244">
        <f t="shared" si="529"/>
        <v>2.2727272727272728E-2</v>
      </c>
      <c r="F11244">
        <v>259</v>
      </c>
      <c r="G11244">
        <f>LOG(382/(259+1))</f>
        <v>0.16709001494089079</v>
      </c>
      <c r="H11244">
        <f>0.0227272727272727*0.384738977591047</f>
        <v>8.7440676725237861E-3</v>
      </c>
      <c r="I11244">
        <v>8.7440676725238069E-3</v>
      </c>
    </row>
    <row r="11245" spans="1:9" x14ac:dyDescent="0.25">
      <c r="A11245">
        <v>430</v>
      </c>
      <c r="B11245" t="s">
        <v>3343</v>
      </c>
      <c r="C11245" t="s">
        <v>75</v>
      </c>
      <c r="D11245" t="s">
        <v>23</v>
      </c>
      <c r="E11245">
        <f t="shared" si="529"/>
        <v>2.2727272727272728E-2</v>
      </c>
      <c r="F11245">
        <v>275</v>
      </c>
      <c r="G11245">
        <f>LOG(382/(275+1))</f>
        <v>0.14115428084649101</v>
      </c>
      <c r="H11245">
        <f>0.0227272727272727*0.325019742889425</f>
        <v>7.386812338396013E-3</v>
      </c>
      <c r="I11245">
        <v>7.386812338396026E-3</v>
      </c>
    </row>
    <row r="11246" spans="1:9" x14ac:dyDescent="0.25">
      <c r="A11246">
        <v>430</v>
      </c>
      <c r="B11246" t="s">
        <v>3343</v>
      </c>
      <c r="C11246" t="s">
        <v>75</v>
      </c>
      <c r="D11246" t="s">
        <v>2291</v>
      </c>
      <c r="E11246">
        <f t="shared" si="529"/>
        <v>2.2727272727272728E-2</v>
      </c>
      <c r="F11246">
        <v>17</v>
      </c>
      <c r="G11246">
        <f>LOG(382/(17+1))</f>
        <v>1.3267908578084027</v>
      </c>
      <c r="H11246">
        <f>0.0227272727272727*3.05504885071041</f>
        <v>6.9432928425236504E-2</v>
      </c>
      <c r="I11246">
        <v>6.9432928425236601E-2</v>
      </c>
    </row>
    <row r="11247" spans="1:9" x14ac:dyDescent="0.25">
      <c r="A11247">
        <v>430</v>
      </c>
      <c r="B11247" t="s">
        <v>3343</v>
      </c>
      <c r="C11247" t="s">
        <v>75</v>
      </c>
      <c r="D11247" t="s">
        <v>1537</v>
      </c>
      <c r="E11247">
        <f t="shared" si="529"/>
        <v>2.2727272727272728E-2</v>
      </c>
      <c r="F11247">
        <v>80</v>
      </c>
      <c r="G11247">
        <f>LOG(382/(80+1))</f>
        <v>0.67357834403305894</v>
      </c>
      <c r="H11247">
        <f>0.0227272727272727*1.55097145393413</f>
        <v>3.5249351225775639E-2</v>
      </c>
      <c r="I11247">
        <v>3.5249351225775827E-2</v>
      </c>
    </row>
    <row r="11248" spans="1:9" x14ac:dyDescent="0.25">
      <c r="A11248">
        <v>430</v>
      </c>
      <c r="B11248" t="s">
        <v>3343</v>
      </c>
      <c r="C11248" t="s">
        <v>75</v>
      </c>
      <c r="D11248" t="s">
        <v>310</v>
      </c>
      <c r="E11248">
        <f t="shared" si="529"/>
        <v>2.2727272727272728E-2</v>
      </c>
      <c r="F11248">
        <v>50</v>
      </c>
      <c r="G11248">
        <f>LOG(382/(50+1))</f>
        <v>0.87449318681377242</v>
      </c>
      <c r="H11248">
        <f>0.0227272727272727*2.01359497588224</f>
        <v>4.5763522179141758E-2</v>
      </c>
      <c r="I11248">
        <v>4.5763522179142042E-2</v>
      </c>
    </row>
    <row r="11249" spans="1:9" x14ac:dyDescent="0.25">
      <c r="A11249">
        <v>430</v>
      </c>
      <c r="B11249" t="s">
        <v>3343</v>
      </c>
      <c r="C11249" t="s">
        <v>75</v>
      </c>
      <c r="D11249" t="s">
        <v>3325</v>
      </c>
      <c r="E11249">
        <f t="shared" si="529"/>
        <v>2.2727272727272728E-2</v>
      </c>
      <c r="F11249">
        <v>19</v>
      </c>
      <c r="G11249">
        <f>LOG(382/(19+1))</f>
        <v>1.2810333672477277</v>
      </c>
      <c r="H11249">
        <f>0.0227272727272727*2.94968833505258</f>
        <v>6.7038371251194925E-2</v>
      </c>
      <c r="I11249">
        <v>6.7038371251195106E-2</v>
      </c>
    </row>
    <row r="11250" spans="1:9" x14ac:dyDescent="0.25">
      <c r="A11250">
        <v>430</v>
      </c>
      <c r="B11250" t="s">
        <v>3343</v>
      </c>
      <c r="C11250" t="s">
        <v>75</v>
      </c>
      <c r="D11250" t="s">
        <v>3346</v>
      </c>
      <c r="E11250">
        <f t="shared" si="529"/>
        <v>2.2727272727272728E-2</v>
      </c>
      <c r="F11250">
        <v>1</v>
      </c>
      <c r="G11250">
        <f>LOG(382/(1+1))</f>
        <v>2.2810333672477277</v>
      </c>
      <c r="H11250">
        <f>0.0227272727272727*5.25227342804663</f>
        <v>0.11936985063742327</v>
      </c>
      <c r="I11250">
        <v>0.11936985063742341</v>
      </c>
    </row>
    <row r="11251" spans="1:9" x14ac:dyDescent="0.25">
      <c r="A11251">
        <v>430</v>
      </c>
      <c r="B11251" t="s">
        <v>3343</v>
      </c>
      <c r="C11251" t="s">
        <v>75</v>
      </c>
      <c r="D11251" t="s">
        <v>3327</v>
      </c>
      <c r="E11251">
        <f t="shared" si="529"/>
        <v>2.2727272727272728E-2</v>
      </c>
      <c r="F11251">
        <v>21</v>
      </c>
      <c r="G11251">
        <f>LOG(382/(21+1))</f>
        <v>1.2396406820895025</v>
      </c>
      <c r="H11251">
        <f>0.0227272727272727*2.85437815524825</f>
        <v>6.4872230801096512E-2</v>
      </c>
      <c r="I11251">
        <v>6.4872230801096803E-2</v>
      </c>
    </row>
    <row r="11252" spans="1:9" x14ac:dyDescent="0.25">
      <c r="A11252">
        <v>430</v>
      </c>
      <c r="B11252" t="s">
        <v>3343</v>
      </c>
      <c r="C11252" t="s">
        <v>75</v>
      </c>
      <c r="D11252" t="s">
        <v>3347</v>
      </c>
      <c r="E11252">
        <f t="shared" si="529"/>
        <v>2.2727272727272728E-2</v>
      </c>
      <c r="F11252">
        <v>1</v>
      </c>
      <c r="G11252">
        <f>LOG(382/(1+1))</f>
        <v>2.2810333672477277</v>
      </c>
      <c r="H11252">
        <f>0.0227272727272727*5.25227342804663</f>
        <v>0.11936985063742327</v>
      </c>
      <c r="I11252">
        <v>0.11936985063742341</v>
      </c>
    </row>
    <row r="11253" spans="1:9" x14ac:dyDescent="0.25">
      <c r="A11253">
        <v>430</v>
      </c>
      <c r="B11253" t="s">
        <v>3343</v>
      </c>
      <c r="C11253" t="s">
        <v>75</v>
      </c>
      <c r="D11253" t="s">
        <v>1748</v>
      </c>
      <c r="E11253">
        <f t="shared" si="529"/>
        <v>2.2727272727272728E-2</v>
      </c>
      <c r="F11253">
        <v>12</v>
      </c>
      <c r="G11253">
        <f>LOG(382/(12+1))</f>
        <v>1.468120010604872</v>
      </c>
      <c r="H11253">
        <f>0.0227272727272727*3.38047125114503</f>
        <v>7.6828892071477861E-2</v>
      </c>
      <c r="I11253">
        <v>7.6828892071478153E-2</v>
      </c>
    </row>
    <row r="11254" spans="1:9" x14ac:dyDescent="0.25">
      <c r="A11254">
        <v>430</v>
      </c>
      <c r="B11254" t="s">
        <v>3343</v>
      </c>
      <c r="C11254" t="s">
        <v>75</v>
      </c>
      <c r="D11254" t="s">
        <v>307</v>
      </c>
      <c r="E11254">
        <f t="shared" si="529"/>
        <v>2.2727272727272728E-2</v>
      </c>
      <c r="F11254">
        <v>67</v>
      </c>
      <c r="G11254">
        <f>LOG(382/(67+1))</f>
        <v>0.7495544502054724</v>
      </c>
      <c r="H11254">
        <f>0.0227272727272727*1.72591290343046</f>
        <v>3.9225293259783141E-2</v>
      </c>
      <c r="I11254">
        <v>3.922529325978337E-2</v>
      </c>
    </row>
    <row r="11255" spans="1:9" x14ac:dyDescent="0.25">
      <c r="A11255">
        <v>430</v>
      </c>
      <c r="B11255" t="s">
        <v>3343</v>
      </c>
      <c r="C11255" t="s">
        <v>75</v>
      </c>
      <c r="D11255" t="s">
        <v>455</v>
      </c>
      <c r="E11255">
        <f t="shared" si="529"/>
        <v>2.2727272727272728E-2</v>
      </c>
      <c r="F11255">
        <v>78</v>
      </c>
      <c r="G11255">
        <f>LOG(382/(78+1))</f>
        <v>0.6844362716212673</v>
      </c>
      <c r="H11255">
        <f>0.0227272727272727*1.57597275613955</f>
        <v>3.5817562639535186E-2</v>
      </c>
      <c r="I11255">
        <v>3.5817562639535318E-2</v>
      </c>
    </row>
    <row r="11256" spans="1:9" x14ac:dyDescent="0.25">
      <c r="A11256">
        <v>430</v>
      </c>
      <c r="B11256" t="s">
        <v>3343</v>
      </c>
      <c r="C11256" t="s">
        <v>75</v>
      </c>
      <c r="D11256" t="s">
        <v>456</v>
      </c>
      <c r="E11256">
        <f t="shared" si="529"/>
        <v>2.2727272727272728E-2</v>
      </c>
      <c r="F11256">
        <v>71</v>
      </c>
      <c r="G11256">
        <f>LOG(382/(71+1))</f>
        <v>0.72473086648044027</v>
      </c>
      <c r="H11256">
        <f>0.0227272727272727*1.66875448959051</f>
        <v>3.7926238399784269E-2</v>
      </c>
      <c r="I11256">
        <v>3.792623839978454E-2</v>
      </c>
    </row>
    <row r="11257" spans="1:9" x14ac:dyDescent="0.25">
      <c r="A11257">
        <v>430</v>
      </c>
      <c r="B11257" t="s">
        <v>3343</v>
      </c>
      <c r="C11257" t="s">
        <v>75</v>
      </c>
      <c r="D11257" t="s">
        <v>3348</v>
      </c>
      <c r="E11257">
        <f t="shared" si="529"/>
        <v>2.2727272727272728E-2</v>
      </c>
      <c r="F11257">
        <v>1</v>
      </c>
      <c r="G11257">
        <f>LOG(382/(1+1))</f>
        <v>2.2810333672477277</v>
      </c>
      <c r="H11257">
        <f>0.0227272727272727*5.25227342804663</f>
        <v>0.11936985063742327</v>
      </c>
      <c r="I11257">
        <v>0.11936985063742341</v>
      </c>
    </row>
    <row r="11258" spans="1:9" x14ac:dyDescent="0.25">
      <c r="A11258">
        <v>430</v>
      </c>
      <c r="B11258" t="s">
        <v>3343</v>
      </c>
      <c r="C11258" t="s">
        <v>75</v>
      </c>
      <c r="D11258" t="s">
        <v>3349</v>
      </c>
      <c r="E11258">
        <f t="shared" si="529"/>
        <v>2.2727272727272728E-2</v>
      </c>
      <c r="F11258">
        <v>1</v>
      </c>
      <c r="G11258">
        <f>LOG(382/(1+1))</f>
        <v>2.2810333672477277</v>
      </c>
      <c r="H11258">
        <f>0.0227272727272727*5.25227342804663</f>
        <v>0.11936985063742327</v>
      </c>
      <c r="I11258">
        <v>0.11936985063742341</v>
      </c>
    </row>
    <row r="11259" spans="1:9" x14ac:dyDescent="0.25">
      <c r="A11259">
        <v>430</v>
      </c>
      <c r="B11259" t="s">
        <v>3343</v>
      </c>
      <c r="C11259" t="s">
        <v>75</v>
      </c>
      <c r="D11259" t="s">
        <v>399</v>
      </c>
      <c r="E11259">
        <f t="shared" si="529"/>
        <v>2.2727272727272728E-2</v>
      </c>
      <c r="F11259">
        <v>27</v>
      </c>
      <c r="G11259">
        <f>LOG(382/(27+1))</f>
        <v>1.1349053315694895</v>
      </c>
      <c r="H11259">
        <f>0.0227272727272727*2.61321609843137</f>
        <v>5.9391274964349254E-2</v>
      </c>
      <c r="I11259">
        <v>5.9391274964349337E-2</v>
      </c>
    </row>
    <row r="11260" spans="1:9" x14ac:dyDescent="0.25">
      <c r="A11260">
        <v>430</v>
      </c>
      <c r="B11260" t="s">
        <v>3343</v>
      </c>
      <c r="C11260" t="s">
        <v>75</v>
      </c>
      <c r="D11260" t="s">
        <v>243</v>
      </c>
      <c r="E11260">
        <f>2/44</f>
        <v>4.5454545454545456E-2</v>
      </c>
      <c r="F11260">
        <v>131</v>
      </c>
      <c r="G11260">
        <f>LOG(382/(131+1))</f>
        <v>0.46148943170585888</v>
      </c>
      <c r="H11260">
        <f>0.0454545454545454*1.0626186860202</f>
        <v>4.8300849364554491E-2</v>
      </c>
      <c r="I11260">
        <v>4.830084936455474E-2</v>
      </c>
    </row>
    <row r="11261" spans="1:9" x14ac:dyDescent="0.25">
      <c r="A11261">
        <v>430</v>
      </c>
      <c r="B11261" t="s">
        <v>3343</v>
      </c>
      <c r="C11261" t="s">
        <v>75</v>
      </c>
      <c r="D11261" t="s">
        <v>81</v>
      </c>
      <c r="E11261">
        <f t="shared" ref="E11261:E11272" si="530">1/44</f>
        <v>2.2727272727272728E-2</v>
      </c>
      <c r="F11261">
        <v>114</v>
      </c>
      <c r="G11261">
        <f>LOG(382/(114+1))</f>
        <v>0.52136552255809698</v>
      </c>
      <c r="H11261">
        <f>0.0227272727272727*1.20048848024332</f>
        <v>2.7283829096439057E-2</v>
      </c>
      <c r="I11261">
        <v>2.728382909643921E-2</v>
      </c>
    </row>
    <row r="11262" spans="1:9" x14ac:dyDescent="0.25">
      <c r="A11262">
        <v>430</v>
      </c>
      <c r="B11262" t="s">
        <v>3343</v>
      </c>
      <c r="C11262" t="s">
        <v>75</v>
      </c>
      <c r="D11262" t="s">
        <v>3350</v>
      </c>
      <c r="E11262">
        <f t="shared" si="530"/>
        <v>2.2727272727272728E-2</v>
      </c>
      <c r="F11262">
        <v>1</v>
      </c>
      <c r="G11262">
        <f>LOG(382/(1+1))</f>
        <v>2.2810333672477277</v>
      </c>
      <c r="H11262">
        <f>0.0227272727272727*5.25227342804663</f>
        <v>0.11936985063742327</v>
      </c>
      <c r="I11262">
        <v>0.11936985063742341</v>
      </c>
    </row>
    <row r="11263" spans="1:9" x14ac:dyDescent="0.25">
      <c r="A11263">
        <v>430</v>
      </c>
      <c r="B11263" t="s">
        <v>3343</v>
      </c>
      <c r="C11263" t="s">
        <v>75</v>
      </c>
      <c r="D11263" t="s">
        <v>3351</v>
      </c>
      <c r="E11263">
        <f t="shared" si="530"/>
        <v>2.2727272727272728E-2</v>
      </c>
      <c r="F11263">
        <v>1</v>
      </c>
      <c r="G11263">
        <f>LOG(382/(1+1))</f>
        <v>2.2810333672477277</v>
      </c>
      <c r="H11263">
        <f>0.0227272727272727*5.25227342804663</f>
        <v>0.11936985063742327</v>
      </c>
      <c r="I11263">
        <v>0.11936985063742341</v>
      </c>
    </row>
    <row r="11264" spans="1:9" x14ac:dyDescent="0.25">
      <c r="A11264">
        <v>430</v>
      </c>
      <c r="B11264" t="s">
        <v>3343</v>
      </c>
      <c r="C11264" t="s">
        <v>75</v>
      </c>
      <c r="D11264" t="s">
        <v>3307</v>
      </c>
      <c r="E11264">
        <f t="shared" si="530"/>
        <v>2.2727272727272728E-2</v>
      </c>
      <c r="F11264">
        <v>7</v>
      </c>
      <c r="G11264">
        <f>LOG(382/(7+1))</f>
        <v>1.6789733759197651</v>
      </c>
      <c r="H11264">
        <f>0.0227272727272727*3.86597906692673</f>
        <v>8.7863160611971039E-2</v>
      </c>
      <c r="I11264">
        <v>8.7863160611971344E-2</v>
      </c>
    </row>
    <row r="11265" spans="1:9" x14ac:dyDescent="0.25">
      <c r="A11265">
        <v>430</v>
      </c>
      <c r="B11265" t="s">
        <v>3343</v>
      </c>
      <c r="C11265" t="s">
        <v>75</v>
      </c>
      <c r="D11265" t="s">
        <v>3352</v>
      </c>
      <c r="E11265">
        <f t="shared" si="530"/>
        <v>2.2727272727272728E-2</v>
      </c>
      <c r="F11265">
        <v>1</v>
      </c>
      <c r="G11265">
        <f>LOG(382/(1+1))</f>
        <v>2.2810333672477277</v>
      </c>
      <c r="H11265">
        <f>0.0227272727272727*5.25227342804663</f>
        <v>0.11936985063742327</v>
      </c>
      <c r="I11265">
        <v>0.11936985063742341</v>
      </c>
    </row>
    <row r="11266" spans="1:9" x14ac:dyDescent="0.25">
      <c r="A11266">
        <v>430</v>
      </c>
      <c r="B11266" t="s">
        <v>3343</v>
      </c>
      <c r="C11266" t="s">
        <v>75</v>
      </c>
      <c r="D11266" t="s">
        <v>3353</v>
      </c>
      <c r="E11266">
        <f t="shared" si="530"/>
        <v>2.2727272727272728E-2</v>
      </c>
      <c r="F11266">
        <v>1</v>
      </c>
      <c r="G11266">
        <f>LOG(382/(1+1))</f>
        <v>2.2810333672477277</v>
      </c>
      <c r="H11266">
        <f>0.0227272727272727*5.25227342804663</f>
        <v>0.11936985063742327</v>
      </c>
      <c r="I11266">
        <v>0.11936985063742341</v>
      </c>
    </row>
    <row r="11267" spans="1:9" x14ac:dyDescent="0.25">
      <c r="A11267">
        <v>430</v>
      </c>
      <c r="B11267" t="s">
        <v>3343</v>
      </c>
      <c r="C11267" t="s">
        <v>75</v>
      </c>
      <c r="D11267" t="s">
        <v>772</v>
      </c>
      <c r="E11267">
        <f t="shared" si="530"/>
        <v>2.2727272727272728E-2</v>
      </c>
      <c r="F11267">
        <v>31</v>
      </c>
      <c r="G11267">
        <f>LOG(382/(31+1))</f>
        <v>1.0769133845918029</v>
      </c>
      <c r="H11267">
        <f>0.0227272727272727*2.47968470580684</f>
        <v>5.635647058651902E-2</v>
      </c>
      <c r="I11267">
        <v>5.635647058651929E-2</v>
      </c>
    </row>
    <row r="11268" spans="1:9" x14ac:dyDescent="0.25">
      <c r="A11268">
        <v>430</v>
      </c>
      <c r="B11268" t="s">
        <v>3343</v>
      </c>
      <c r="C11268" t="s">
        <v>75</v>
      </c>
      <c r="D11268" t="s">
        <v>3354</v>
      </c>
      <c r="E11268">
        <f t="shared" si="530"/>
        <v>2.2727272727272728E-2</v>
      </c>
      <c r="F11268">
        <v>1</v>
      </c>
      <c r="G11268">
        <f>LOG(382/(1+1))</f>
        <v>2.2810333672477277</v>
      </c>
      <c r="H11268">
        <f>0.0227272727272727*5.25227342804663</f>
        <v>0.11936985063742327</v>
      </c>
      <c r="I11268">
        <v>0.11936985063742341</v>
      </c>
    </row>
    <row r="11269" spans="1:9" x14ac:dyDescent="0.25">
      <c r="A11269">
        <v>430</v>
      </c>
      <c r="B11269" t="s">
        <v>3343</v>
      </c>
      <c r="C11269" t="s">
        <v>75</v>
      </c>
      <c r="D11269" t="s">
        <v>237</v>
      </c>
      <c r="E11269">
        <f t="shared" si="530"/>
        <v>2.2727272727272728E-2</v>
      </c>
      <c r="F11269">
        <v>138</v>
      </c>
      <c r="G11269">
        <f>LOG(382/(138+1))</f>
        <v>0.43904856265761361</v>
      </c>
      <c r="H11269">
        <f>0.0227272727272727*1.01094667547588</f>
        <v>2.2976060806269974E-2</v>
      </c>
      <c r="I11269">
        <v>2.2976060806270081E-2</v>
      </c>
    </row>
    <row r="11270" spans="1:9" x14ac:dyDescent="0.25">
      <c r="A11270">
        <v>430</v>
      </c>
      <c r="B11270" t="s">
        <v>3343</v>
      </c>
      <c r="C11270" t="s">
        <v>75</v>
      </c>
      <c r="D11270" t="s">
        <v>458</v>
      </c>
      <c r="E11270">
        <f t="shared" si="530"/>
        <v>2.2727272727272728E-2</v>
      </c>
      <c r="F11270">
        <v>34</v>
      </c>
      <c r="G11270">
        <f>LOG(382/(34+1))</f>
        <v>1.037995318561433</v>
      </c>
      <c r="H11270">
        <f>0.0227272727272727*2.39007254711716</f>
        <v>5.4319830616299025E-2</v>
      </c>
      <c r="I11270">
        <v>5.4319830616299122E-2</v>
      </c>
    </row>
    <row r="11271" spans="1:9" x14ac:dyDescent="0.25">
      <c r="A11271">
        <v>430</v>
      </c>
      <c r="B11271" t="s">
        <v>3343</v>
      </c>
      <c r="C11271" t="s">
        <v>75</v>
      </c>
      <c r="D11271" t="s">
        <v>459</v>
      </c>
      <c r="E11271">
        <f t="shared" si="530"/>
        <v>2.2727272727272728E-2</v>
      </c>
      <c r="F11271">
        <v>14</v>
      </c>
      <c r="G11271">
        <f>LOG(382/(14+1))</f>
        <v>1.4059721038560276</v>
      </c>
      <c r="H11271">
        <f>0.0227272727272727*3.23737040750436</f>
        <v>7.3576600170553549E-2</v>
      </c>
      <c r="I11271">
        <v>7.3576600170553758E-2</v>
      </c>
    </row>
    <row r="11272" spans="1:9" x14ac:dyDescent="0.25">
      <c r="A11272">
        <v>430</v>
      </c>
      <c r="B11272" t="s">
        <v>3343</v>
      </c>
      <c r="C11272" t="s">
        <v>75</v>
      </c>
      <c r="D11272" t="s">
        <v>3355</v>
      </c>
      <c r="E11272">
        <f t="shared" si="530"/>
        <v>2.2727272727272728E-2</v>
      </c>
      <c r="F11272">
        <v>1</v>
      </c>
      <c r="G11272">
        <f>LOG(382/(1+1))</f>
        <v>2.2810333672477277</v>
      </c>
      <c r="H11272">
        <f>0.0227272727272727*5.25227342804663</f>
        <v>0.11936985063742327</v>
      </c>
      <c r="I11272">
        <v>0.11936985063742341</v>
      </c>
    </row>
    <row r="11273" spans="1:9" x14ac:dyDescent="0.25">
      <c r="A11273">
        <v>431</v>
      </c>
      <c r="B11273" t="s">
        <v>3356</v>
      </c>
      <c r="C11273" t="s">
        <v>75</v>
      </c>
      <c r="D11273" t="s">
        <v>112</v>
      </c>
      <c r="E11273">
        <f>2/92</f>
        <v>2.1739130434782608E-2</v>
      </c>
      <c r="F11273">
        <v>52</v>
      </c>
      <c r="G11273">
        <f>LOG(382/(52+1))</f>
        <v>0.85778749331091964</v>
      </c>
      <c r="H11273">
        <f>0.0217391304347826*1.97512869505445</f>
        <v>4.2937580327270637E-2</v>
      </c>
      <c r="I11273">
        <v>4.293758032727072E-2</v>
      </c>
    </row>
    <row r="11274" spans="1:9" x14ac:dyDescent="0.25">
      <c r="A11274">
        <v>431</v>
      </c>
      <c r="B11274" t="s">
        <v>3356</v>
      </c>
      <c r="C11274" t="s">
        <v>75</v>
      </c>
      <c r="D11274" t="s">
        <v>82</v>
      </c>
      <c r="E11274">
        <f>4/92</f>
        <v>4.3478260869565216E-2</v>
      </c>
      <c r="F11274">
        <v>92</v>
      </c>
      <c r="G11274">
        <f>LOG(382/(92+1))</f>
        <v>0.61358041435777355</v>
      </c>
      <c r="H11274">
        <f>0.0434782608695652*1.41282111545331</f>
        <v>6.1427005019709102E-2</v>
      </c>
      <c r="I11274">
        <v>6.1427005019709532E-2</v>
      </c>
    </row>
    <row r="11275" spans="1:9" x14ac:dyDescent="0.25">
      <c r="A11275">
        <v>431</v>
      </c>
      <c r="B11275" t="s">
        <v>3356</v>
      </c>
      <c r="C11275" t="s">
        <v>75</v>
      </c>
      <c r="D11275" t="s">
        <v>3357</v>
      </c>
      <c r="E11275">
        <f>1/92</f>
        <v>1.0869565217391304E-2</v>
      </c>
      <c r="F11275">
        <v>2</v>
      </c>
      <c r="G11275">
        <f>LOG(382/(2+1))</f>
        <v>2.1049421081920463</v>
      </c>
      <c r="H11275">
        <f>0.0108695652173913*4.84680831993846</f>
        <v>5.268269912976585E-2</v>
      </c>
      <c r="I11275">
        <v>5.2682699129765927E-2</v>
      </c>
    </row>
    <row r="11276" spans="1:9" x14ac:dyDescent="0.25">
      <c r="A11276">
        <v>431</v>
      </c>
      <c r="B11276" t="s">
        <v>3356</v>
      </c>
      <c r="C11276" t="s">
        <v>75</v>
      </c>
      <c r="D11276" t="s">
        <v>2231</v>
      </c>
      <c r="E11276">
        <f>2/92</f>
        <v>2.1739130434782608E-2</v>
      </c>
      <c r="F11276">
        <v>23</v>
      </c>
      <c r="G11276">
        <f>LOG(382/(23+1))</f>
        <v>1.2018521212001028</v>
      </c>
      <c r="H11276">
        <f>0.0217391304347826*2.76736677825862</f>
        <v>6.0160147353448247E-2</v>
      </c>
      <c r="I11276">
        <v>6.0160147353448469E-2</v>
      </c>
    </row>
    <row r="11277" spans="1:9" x14ac:dyDescent="0.25">
      <c r="A11277">
        <v>431</v>
      </c>
      <c r="B11277" t="s">
        <v>3356</v>
      </c>
      <c r="C11277" t="s">
        <v>75</v>
      </c>
      <c r="D11277" t="s">
        <v>147</v>
      </c>
      <c r="E11277">
        <f>1/92</f>
        <v>1.0869565217391304E-2</v>
      </c>
      <c r="F11277">
        <v>48</v>
      </c>
      <c r="G11277">
        <f>LOG(382/(48+1))</f>
        <v>0.89186728288319506</v>
      </c>
      <c r="H11277">
        <f>0.0108695652173913*2.05360031049594</f>
        <v>2.2321742505390645E-2</v>
      </c>
      <c r="I11277">
        <v>2.2321742505390749E-2</v>
      </c>
    </row>
    <row r="11278" spans="1:9" x14ac:dyDescent="0.25">
      <c r="A11278">
        <v>431</v>
      </c>
      <c r="B11278" t="s">
        <v>3356</v>
      </c>
      <c r="C11278" t="s">
        <v>75</v>
      </c>
      <c r="D11278" t="s">
        <v>3358</v>
      </c>
      <c r="E11278">
        <f>1/92</f>
        <v>1.0869565217391304E-2</v>
      </c>
      <c r="F11278">
        <v>2</v>
      </c>
      <c r="G11278">
        <f>LOG(382/(2+1))</f>
        <v>2.1049421081920463</v>
      </c>
      <c r="H11278">
        <f>0.0108695652173913*4.84680831993846</f>
        <v>5.268269912976585E-2</v>
      </c>
      <c r="I11278">
        <v>5.2682699129765927E-2</v>
      </c>
    </row>
    <row r="11279" spans="1:9" x14ac:dyDescent="0.25">
      <c r="A11279">
        <v>431</v>
      </c>
      <c r="B11279" t="s">
        <v>3356</v>
      </c>
      <c r="C11279" t="s">
        <v>75</v>
      </c>
      <c r="D11279" t="s">
        <v>836</v>
      </c>
      <c r="E11279">
        <f>1/92</f>
        <v>1.0869565217391304E-2</v>
      </c>
      <c r="F11279">
        <v>21</v>
      </c>
      <c r="G11279">
        <f>LOG(382/(21+1))</f>
        <v>1.2396406820895025</v>
      </c>
      <c r="H11279">
        <f>0.0108695652173913*2.85437815524825</f>
        <v>3.1025849513567922E-2</v>
      </c>
      <c r="I11279">
        <v>3.102584951356803E-2</v>
      </c>
    </row>
    <row r="11280" spans="1:9" x14ac:dyDescent="0.25">
      <c r="A11280">
        <v>431</v>
      </c>
      <c r="B11280" t="s">
        <v>3356</v>
      </c>
      <c r="C11280" t="s">
        <v>75</v>
      </c>
      <c r="D11280" t="s">
        <v>3359</v>
      </c>
      <c r="E11280">
        <f>1/92</f>
        <v>1.0869565217391304E-2</v>
      </c>
      <c r="F11280">
        <v>2</v>
      </c>
      <c r="G11280">
        <f>LOG(382/(2+1))</f>
        <v>2.1049421081920463</v>
      </c>
      <c r="H11280">
        <f>0.0108695652173913*4.84680831993846</f>
        <v>5.268269912976585E-2</v>
      </c>
      <c r="I11280">
        <v>5.2682699129765927E-2</v>
      </c>
    </row>
    <row r="11281" spans="1:9" x14ac:dyDescent="0.25">
      <c r="A11281">
        <v>431</v>
      </c>
      <c r="B11281" t="s">
        <v>3356</v>
      </c>
      <c r="C11281" t="s">
        <v>75</v>
      </c>
      <c r="D11281" t="s">
        <v>3360</v>
      </c>
      <c r="E11281">
        <f>1/92</f>
        <v>1.0869565217391304E-2</v>
      </c>
      <c r="F11281">
        <v>2</v>
      </c>
      <c r="G11281">
        <f>LOG(382/(2+1))</f>
        <v>2.1049421081920463</v>
      </c>
      <c r="H11281">
        <f>0.0108695652173913*4.84680831993846</f>
        <v>5.268269912976585E-2</v>
      </c>
      <c r="I11281">
        <v>5.2682699129765927E-2</v>
      </c>
    </row>
    <row r="11282" spans="1:9" x14ac:dyDescent="0.25">
      <c r="A11282">
        <v>431</v>
      </c>
      <c r="B11282" t="s">
        <v>3356</v>
      </c>
      <c r="C11282" t="s">
        <v>75</v>
      </c>
      <c r="D11282" t="s">
        <v>408</v>
      </c>
      <c r="E11282">
        <f>2/92</f>
        <v>2.1739130434782608E-2</v>
      </c>
      <c r="F11282">
        <v>27</v>
      </c>
      <c r="G11282">
        <f>LOG(382/(27+1))</f>
        <v>1.1349053315694895</v>
      </c>
      <c r="H11282">
        <f>0.0217391304347826*2.61321609843137</f>
        <v>5.6809045618073248E-2</v>
      </c>
      <c r="I11282">
        <v>5.6809045618073283E-2</v>
      </c>
    </row>
    <row r="11283" spans="1:9" x14ac:dyDescent="0.25">
      <c r="A11283">
        <v>431</v>
      </c>
      <c r="B11283" t="s">
        <v>3356</v>
      </c>
      <c r="C11283" t="s">
        <v>75</v>
      </c>
      <c r="D11283" t="s">
        <v>3361</v>
      </c>
      <c r="E11283">
        <f>1/92</f>
        <v>1.0869565217391304E-2</v>
      </c>
      <c r="F11283">
        <v>2</v>
      </c>
      <c r="G11283">
        <f>LOG(382/(2+1))</f>
        <v>2.1049421081920463</v>
      </c>
      <c r="H11283">
        <f>0.0108695652173913*4.84680831993846</f>
        <v>5.268269912976585E-2</v>
      </c>
      <c r="I11283">
        <v>5.2682699129765927E-2</v>
      </c>
    </row>
    <row r="11284" spans="1:9" x14ac:dyDescent="0.25">
      <c r="A11284">
        <v>431</v>
      </c>
      <c r="B11284" t="s">
        <v>3356</v>
      </c>
      <c r="C11284" t="s">
        <v>75</v>
      </c>
      <c r="D11284" t="s">
        <v>3362</v>
      </c>
      <c r="E11284">
        <f>2/92</f>
        <v>2.1739130434782608E-2</v>
      </c>
      <c r="F11284">
        <v>5</v>
      </c>
      <c r="G11284">
        <f>LOG(382/(5+1))</f>
        <v>1.803912112528065</v>
      </c>
      <c r="H11284">
        <f>0.0217391304347826*4.15366113937852</f>
        <v>9.0296981290837353E-2</v>
      </c>
      <c r="I11284">
        <v>9.029698129083738E-2</v>
      </c>
    </row>
    <row r="11285" spans="1:9" x14ac:dyDescent="0.25">
      <c r="A11285">
        <v>431</v>
      </c>
      <c r="B11285" t="s">
        <v>3356</v>
      </c>
      <c r="C11285" t="s">
        <v>75</v>
      </c>
      <c r="D11285" t="s">
        <v>3363</v>
      </c>
      <c r="E11285">
        <f>2/92</f>
        <v>2.1739130434782608E-2</v>
      </c>
      <c r="F11285">
        <v>2</v>
      </c>
      <c r="G11285">
        <f>LOG(382/(2+1))</f>
        <v>2.1049421081920463</v>
      </c>
      <c r="H11285">
        <f>0.0217391304347826*4.84680831993846</f>
        <v>0.1053653982595317</v>
      </c>
      <c r="I11285">
        <v>0.10536539825953189</v>
      </c>
    </row>
    <row r="11286" spans="1:9" x14ac:dyDescent="0.25">
      <c r="A11286">
        <v>431</v>
      </c>
      <c r="B11286" t="s">
        <v>3356</v>
      </c>
      <c r="C11286" t="s">
        <v>75</v>
      </c>
      <c r="D11286" t="s">
        <v>3014</v>
      </c>
      <c r="E11286">
        <f>2/92</f>
        <v>2.1739130434782608E-2</v>
      </c>
      <c r="F11286">
        <v>11</v>
      </c>
      <c r="G11286">
        <f>LOG(382/(11+1))</f>
        <v>1.5028821168640838</v>
      </c>
      <c r="H11286">
        <f>0.0217391304347826*3.46051395881857</f>
        <v>7.5228564322142796E-2</v>
      </c>
      <c r="I11286">
        <v>7.5228564322142935E-2</v>
      </c>
    </row>
    <row r="11287" spans="1:9" x14ac:dyDescent="0.25">
      <c r="A11287">
        <v>431</v>
      </c>
      <c r="B11287" t="s">
        <v>3356</v>
      </c>
      <c r="C11287" t="s">
        <v>75</v>
      </c>
      <c r="D11287" t="s">
        <v>42</v>
      </c>
      <c r="E11287">
        <f>1/92</f>
        <v>1.0869565217391304E-2</v>
      </c>
      <c r="F11287">
        <v>251</v>
      </c>
      <c r="G11287">
        <f>LOG(382/(251+1))</f>
        <v>0.18066282213016463</v>
      </c>
      <c r="H11287">
        <f>0.0108695652173913*0.415991521095151</f>
        <v>4.5216469684255522E-3</v>
      </c>
      <c r="I11287">
        <v>4.5216469684255644E-3</v>
      </c>
    </row>
    <row r="11288" spans="1:9" x14ac:dyDescent="0.25">
      <c r="A11288">
        <v>431</v>
      </c>
      <c r="B11288" t="s">
        <v>3356</v>
      </c>
      <c r="C11288" t="s">
        <v>75</v>
      </c>
      <c r="D11288" t="s">
        <v>636</v>
      </c>
      <c r="E11288">
        <f>1/92</f>
        <v>1.0869565217391304E-2</v>
      </c>
      <c r="F11288">
        <v>31</v>
      </c>
      <c r="G11288">
        <f>LOG(382/(31+1))</f>
        <v>1.0769133845918029</v>
      </c>
      <c r="H11288">
        <f>0.0108695652173913*2.47968470580684</f>
        <v>2.6953094628335207E-2</v>
      </c>
      <c r="I11288">
        <v>2.6953094628335311E-2</v>
      </c>
    </row>
    <row r="11289" spans="1:9" x14ac:dyDescent="0.25">
      <c r="A11289">
        <v>431</v>
      </c>
      <c r="B11289" t="s">
        <v>3356</v>
      </c>
      <c r="C11289" t="s">
        <v>75</v>
      </c>
      <c r="D11289" t="s">
        <v>637</v>
      </c>
      <c r="E11289">
        <f>1/92</f>
        <v>1.0869565217391304E-2</v>
      </c>
      <c r="F11289">
        <v>29</v>
      </c>
      <c r="G11289">
        <f>LOG(382/(29+1))</f>
        <v>1.1049421081920463</v>
      </c>
      <c r="H11289">
        <f>0.0108695652173913*2.54422322694442</f>
        <v>2.7654600292874119E-2</v>
      </c>
      <c r="I11289">
        <v>2.7654600292874129E-2</v>
      </c>
    </row>
    <row r="11290" spans="1:9" x14ac:dyDescent="0.25">
      <c r="A11290">
        <v>431</v>
      </c>
      <c r="B11290" t="s">
        <v>3356</v>
      </c>
      <c r="C11290" t="s">
        <v>75</v>
      </c>
      <c r="D11290" t="s">
        <v>19</v>
      </c>
      <c r="E11290">
        <f>2/92</f>
        <v>2.1739130434782608E-2</v>
      </c>
      <c r="F11290">
        <v>220</v>
      </c>
      <c r="G11290">
        <f>LOG(382/(220+1))</f>
        <v>0.23767108922659805</v>
      </c>
      <c r="H11290">
        <f>0.0217391304347826*0.547257907088822</f>
        <v>1.1896911023670041E-2</v>
      </c>
      <c r="I11290">
        <v>1.189691102367005E-2</v>
      </c>
    </row>
    <row r="11291" spans="1:9" x14ac:dyDescent="0.25">
      <c r="A11291">
        <v>431</v>
      </c>
      <c r="B11291" t="s">
        <v>3356</v>
      </c>
      <c r="C11291" t="s">
        <v>75</v>
      </c>
      <c r="D11291" t="s">
        <v>3364</v>
      </c>
      <c r="E11291">
        <f>1/92</f>
        <v>1.0869565217391304E-2</v>
      </c>
      <c r="F11291">
        <v>2</v>
      </c>
      <c r="G11291">
        <f>LOG(382/(2+1))</f>
        <v>2.1049421081920463</v>
      </c>
      <c r="H11291">
        <f>0.0108695652173913*4.84680831993846</f>
        <v>5.268269912976585E-2</v>
      </c>
      <c r="I11291">
        <v>5.2682699129765927E-2</v>
      </c>
    </row>
    <row r="11292" spans="1:9" x14ac:dyDescent="0.25">
      <c r="A11292">
        <v>431</v>
      </c>
      <c r="B11292" t="s">
        <v>3356</v>
      </c>
      <c r="C11292" t="s">
        <v>75</v>
      </c>
      <c r="D11292" t="s">
        <v>23</v>
      </c>
      <c r="E11292">
        <f>2/92</f>
        <v>2.1739130434782608E-2</v>
      </c>
      <c r="F11292">
        <v>275</v>
      </c>
      <c r="G11292">
        <f>LOG(382/(275+1))</f>
        <v>0.14115428084649101</v>
      </c>
      <c r="H11292">
        <f>0.0217391304347826*0.325019742889425</f>
        <v>7.0656465845527145E-3</v>
      </c>
      <c r="I11292">
        <v>7.0656465845527214E-3</v>
      </c>
    </row>
    <row r="11293" spans="1:9" x14ac:dyDescent="0.25">
      <c r="A11293">
        <v>431</v>
      </c>
      <c r="B11293" t="s">
        <v>3356</v>
      </c>
      <c r="C11293" t="s">
        <v>75</v>
      </c>
      <c r="D11293" t="s">
        <v>3365</v>
      </c>
      <c r="E11293">
        <f>1/92</f>
        <v>1.0869565217391304E-2</v>
      </c>
      <c r="F11293">
        <v>2</v>
      </c>
      <c r="G11293">
        <f>LOG(382/(2+1))</f>
        <v>2.1049421081920463</v>
      </c>
      <c r="H11293">
        <f>0.0108695652173913*4.84680831993846</f>
        <v>5.268269912976585E-2</v>
      </c>
      <c r="I11293">
        <v>5.2682699129765927E-2</v>
      </c>
    </row>
    <row r="11294" spans="1:9" x14ac:dyDescent="0.25">
      <c r="A11294">
        <v>431</v>
      </c>
      <c r="B11294" t="s">
        <v>3356</v>
      </c>
      <c r="C11294" t="s">
        <v>75</v>
      </c>
      <c r="D11294" t="s">
        <v>3366</v>
      </c>
      <c r="E11294">
        <f>1/92</f>
        <v>1.0869565217391304E-2</v>
      </c>
      <c r="F11294">
        <v>2</v>
      </c>
      <c r="G11294">
        <f>LOG(382/(2+1))</f>
        <v>2.1049421081920463</v>
      </c>
      <c r="H11294">
        <f>0.0108695652173913*4.84680831993846</f>
        <v>5.268269912976585E-2</v>
      </c>
      <c r="I11294">
        <v>5.2682699129765927E-2</v>
      </c>
    </row>
    <row r="11295" spans="1:9" x14ac:dyDescent="0.25">
      <c r="A11295">
        <v>431</v>
      </c>
      <c r="B11295" t="s">
        <v>3356</v>
      </c>
      <c r="C11295" t="s">
        <v>75</v>
      </c>
      <c r="D11295" t="s">
        <v>3367</v>
      </c>
      <c r="E11295">
        <f>1/92</f>
        <v>1.0869565217391304E-2</v>
      </c>
      <c r="F11295">
        <v>2</v>
      </c>
      <c r="G11295">
        <f>LOG(382/(2+1))</f>
        <v>2.1049421081920463</v>
      </c>
      <c r="H11295">
        <f>0.0108695652173913*4.84680831993846</f>
        <v>5.268269912976585E-2</v>
      </c>
      <c r="I11295">
        <v>5.2682699129765927E-2</v>
      </c>
    </row>
    <row r="11296" spans="1:9" x14ac:dyDescent="0.25">
      <c r="A11296">
        <v>431</v>
      </c>
      <c r="B11296" t="s">
        <v>3356</v>
      </c>
      <c r="C11296" t="s">
        <v>75</v>
      </c>
      <c r="D11296" t="s">
        <v>105</v>
      </c>
      <c r="E11296">
        <f>1/92</f>
        <v>1.0869565217391304E-2</v>
      </c>
      <c r="F11296">
        <v>122</v>
      </c>
      <c r="G11296">
        <f>LOG(382/(122+1))</f>
        <v>0.49215825147231079</v>
      </c>
      <c r="H11296">
        <f>0.0108695652173913*1.13323625323415</f>
        <v>1.2317785361240757E-2</v>
      </c>
      <c r="I11296">
        <v>1.2317785361240841E-2</v>
      </c>
    </row>
    <row r="11297" spans="1:9" x14ac:dyDescent="0.25">
      <c r="A11297">
        <v>431</v>
      </c>
      <c r="B11297" t="s">
        <v>3356</v>
      </c>
      <c r="C11297" t="s">
        <v>75</v>
      </c>
      <c r="D11297" t="s">
        <v>1769</v>
      </c>
      <c r="E11297">
        <f>2/92</f>
        <v>2.1739130434782608E-2</v>
      </c>
      <c r="F11297">
        <v>84</v>
      </c>
      <c r="G11297">
        <f>LOG(382/(84+1))</f>
        <v>0.65264443719741605</v>
      </c>
      <c r="H11297">
        <f>0.0217391304347826*1.50276935211625</f>
        <v>3.2668898959048898E-2</v>
      </c>
      <c r="I11297">
        <v>3.2668898959049113E-2</v>
      </c>
    </row>
    <row r="11298" spans="1:9" x14ac:dyDescent="0.25">
      <c r="A11298">
        <v>431</v>
      </c>
      <c r="B11298" t="s">
        <v>3356</v>
      </c>
      <c r="C11298" t="s">
        <v>75</v>
      </c>
      <c r="D11298" t="s">
        <v>126</v>
      </c>
      <c r="E11298">
        <f t="shared" ref="E11298:E11316" si="531">1/92</f>
        <v>1.0869565217391304E-2</v>
      </c>
      <c r="F11298">
        <v>79</v>
      </c>
      <c r="G11298">
        <f>LOG(382/(79+1))</f>
        <v>0.67897337591976514</v>
      </c>
      <c r="H11298">
        <f>0.0108695652173913*1.56339397393269</f>
        <v>1.6993412760137931E-2</v>
      </c>
      <c r="I11298">
        <v>1.6993412760137969E-2</v>
      </c>
    </row>
    <row r="11299" spans="1:9" x14ac:dyDescent="0.25">
      <c r="A11299">
        <v>431</v>
      </c>
      <c r="B11299" t="s">
        <v>3356</v>
      </c>
      <c r="C11299" t="s">
        <v>75</v>
      </c>
      <c r="D11299" t="s">
        <v>3368</v>
      </c>
      <c r="E11299">
        <f t="shared" si="531"/>
        <v>1.0869565217391304E-2</v>
      </c>
      <c r="F11299">
        <v>2</v>
      </c>
      <c r="G11299">
        <f>LOG(382/(2+1))</f>
        <v>2.1049421081920463</v>
      </c>
      <c r="H11299">
        <f>0.0108695652173913*4.84680831993846</f>
        <v>5.268269912976585E-2</v>
      </c>
      <c r="I11299">
        <v>5.2682699129765927E-2</v>
      </c>
    </row>
    <row r="11300" spans="1:9" x14ac:dyDescent="0.25">
      <c r="A11300">
        <v>431</v>
      </c>
      <c r="B11300" t="s">
        <v>3356</v>
      </c>
      <c r="C11300" t="s">
        <v>75</v>
      </c>
      <c r="D11300" t="s">
        <v>1546</v>
      </c>
      <c r="E11300">
        <f t="shared" si="531"/>
        <v>1.0869565217391304E-2</v>
      </c>
      <c r="F11300">
        <v>44</v>
      </c>
      <c r="G11300">
        <f>LOG(382/(44+1))</f>
        <v>0.92885084913636506</v>
      </c>
      <c r="H11300">
        <f>0.0108695652173913*2.13875811883625</f>
        <v>2.324737085691575E-2</v>
      </c>
      <c r="I11300">
        <v>2.3247370856915819E-2</v>
      </c>
    </row>
    <row r="11301" spans="1:9" x14ac:dyDescent="0.25">
      <c r="A11301">
        <v>431</v>
      </c>
      <c r="B11301" t="s">
        <v>3356</v>
      </c>
      <c r="C11301" t="s">
        <v>75</v>
      </c>
      <c r="D11301" t="s">
        <v>3369</v>
      </c>
      <c r="E11301">
        <f t="shared" si="531"/>
        <v>1.0869565217391304E-2</v>
      </c>
      <c r="F11301">
        <v>2</v>
      </c>
      <c r="G11301">
        <f>LOG(382/(2+1))</f>
        <v>2.1049421081920463</v>
      </c>
      <c r="H11301">
        <f>0.0108695652173913*4.84680831993846</f>
        <v>5.268269912976585E-2</v>
      </c>
      <c r="I11301">
        <v>5.2682699129765927E-2</v>
      </c>
    </row>
    <row r="11302" spans="1:9" x14ac:dyDescent="0.25">
      <c r="A11302">
        <v>431</v>
      </c>
      <c r="B11302" t="s">
        <v>3356</v>
      </c>
      <c r="C11302" t="s">
        <v>75</v>
      </c>
      <c r="D11302" t="s">
        <v>2027</v>
      </c>
      <c r="E11302">
        <f t="shared" si="531"/>
        <v>1.0869565217391304E-2</v>
      </c>
      <c r="F11302">
        <v>3</v>
      </c>
      <c r="G11302">
        <f>LOG(382/(3+1))</f>
        <v>1.9800033715837464</v>
      </c>
      <c r="H11302">
        <f>0.0108695652173913*4.55912624748668</f>
        <v>4.9555720081376937E-2</v>
      </c>
      <c r="I11302">
        <v>4.9555720081377007E-2</v>
      </c>
    </row>
    <row r="11303" spans="1:9" x14ac:dyDescent="0.25">
      <c r="A11303">
        <v>431</v>
      </c>
      <c r="B11303" t="s">
        <v>3356</v>
      </c>
      <c r="C11303" t="s">
        <v>75</v>
      </c>
      <c r="D11303" t="s">
        <v>3370</v>
      </c>
      <c r="E11303">
        <f t="shared" si="531"/>
        <v>1.0869565217391304E-2</v>
      </c>
      <c r="F11303">
        <v>2</v>
      </c>
      <c r="G11303">
        <f>LOG(382/(2+1))</f>
        <v>2.1049421081920463</v>
      </c>
      <c r="H11303">
        <f>0.0108695652173913*4.84680831993846</f>
        <v>5.268269912976585E-2</v>
      </c>
      <c r="I11303">
        <v>5.2682699129765927E-2</v>
      </c>
    </row>
    <row r="11304" spans="1:9" x14ac:dyDescent="0.25">
      <c r="A11304">
        <v>431</v>
      </c>
      <c r="B11304" t="s">
        <v>3356</v>
      </c>
      <c r="C11304" t="s">
        <v>75</v>
      </c>
      <c r="D11304" t="s">
        <v>3371</v>
      </c>
      <c r="E11304">
        <f t="shared" si="531"/>
        <v>1.0869565217391304E-2</v>
      </c>
      <c r="F11304">
        <v>2</v>
      </c>
      <c r="G11304">
        <f>LOG(382/(2+1))</f>
        <v>2.1049421081920463</v>
      </c>
      <c r="H11304">
        <f>0.0108695652173913*4.84680831993846</f>
        <v>5.268269912976585E-2</v>
      </c>
      <c r="I11304">
        <v>5.2682699129765927E-2</v>
      </c>
    </row>
    <row r="11305" spans="1:9" x14ac:dyDescent="0.25">
      <c r="A11305">
        <v>431</v>
      </c>
      <c r="B11305" t="s">
        <v>3356</v>
      </c>
      <c r="C11305" t="s">
        <v>75</v>
      </c>
      <c r="D11305" t="s">
        <v>838</v>
      </c>
      <c r="E11305">
        <f t="shared" si="531"/>
        <v>1.0869565217391304E-2</v>
      </c>
      <c r="F11305">
        <v>10</v>
      </c>
      <c r="G11305">
        <f>LOG(382/(10+1))</f>
        <v>1.5406706777534838</v>
      </c>
      <c r="H11305">
        <f>0.0108695652173913*3.5475253358082</f>
        <v>3.8560057997915204E-2</v>
      </c>
      <c r="I11305">
        <v>3.8560057997915273E-2</v>
      </c>
    </row>
    <row r="11306" spans="1:9" x14ac:dyDescent="0.25">
      <c r="A11306">
        <v>431</v>
      </c>
      <c r="B11306" t="s">
        <v>3356</v>
      </c>
      <c r="C11306" t="s">
        <v>75</v>
      </c>
      <c r="D11306" t="s">
        <v>1905</v>
      </c>
      <c r="E11306">
        <f t="shared" si="531"/>
        <v>1.0869565217391304E-2</v>
      </c>
      <c r="F11306">
        <v>24</v>
      </c>
      <c r="G11306">
        <f>LOG(382/(24+1))</f>
        <v>1.1841233542396712</v>
      </c>
      <c r="H11306">
        <f>0.0108695652173913*2.72654478373837</f>
        <v>2.9636356344982271E-2</v>
      </c>
      <c r="I11306">
        <v>2.963635634498233E-2</v>
      </c>
    </row>
    <row r="11307" spans="1:9" x14ac:dyDescent="0.25">
      <c r="A11307">
        <v>431</v>
      </c>
      <c r="B11307" t="s">
        <v>3356</v>
      </c>
      <c r="C11307" t="s">
        <v>75</v>
      </c>
      <c r="D11307" t="s">
        <v>600</v>
      </c>
      <c r="E11307">
        <f t="shared" si="531"/>
        <v>1.0869565217391304E-2</v>
      </c>
      <c r="F11307">
        <v>102</v>
      </c>
      <c r="G11307">
        <f>LOG(382/(102+1))</f>
        <v>0.56922613820653656</v>
      </c>
      <c r="H11307">
        <f>0.0108695652173913*1.31069162037693</f>
        <v>1.4246648047575323E-2</v>
      </c>
      <c r="I11307">
        <v>1.424664804757543E-2</v>
      </c>
    </row>
    <row r="11308" spans="1:9" x14ac:dyDescent="0.25">
      <c r="A11308">
        <v>431</v>
      </c>
      <c r="B11308" t="s">
        <v>3356</v>
      </c>
      <c r="C11308" t="s">
        <v>75</v>
      </c>
      <c r="D11308" t="s">
        <v>3372</v>
      </c>
      <c r="E11308">
        <f t="shared" si="531"/>
        <v>1.0869565217391304E-2</v>
      </c>
      <c r="F11308">
        <v>2</v>
      </c>
      <c r="G11308">
        <f>LOG(382/(2+1))</f>
        <v>2.1049421081920463</v>
      </c>
      <c r="H11308">
        <f>0.0108695652173913*4.84680831993846</f>
        <v>5.268269912976585E-2</v>
      </c>
      <c r="I11308">
        <v>5.2682699129765927E-2</v>
      </c>
    </row>
    <row r="11309" spans="1:9" x14ac:dyDescent="0.25">
      <c r="A11309">
        <v>431</v>
      </c>
      <c r="B11309" t="s">
        <v>3356</v>
      </c>
      <c r="C11309" t="s">
        <v>75</v>
      </c>
      <c r="D11309" t="s">
        <v>2894</v>
      </c>
      <c r="E11309">
        <f t="shared" si="531"/>
        <v>1.0869565217391304E-2</v>
      </c>
      <c r="F11309">
        <v>4</v>
      </c>
      <c r="G11309">
        <f>LOG(382/(4+1))</f>
        <v>1.8830933585756899</v>
      </c>
      <c r="H11309">
        <f>0.0108695652173913*4.33598269617247</f>
        <v>4.7130246697526836E-2</v>
      </c>
      <c r="I11309">
        <v>4.7130246697526898E-2</v>
      </c>
    </row>
    <row r="11310" spans="1:9" x14ac:dyDescent="0.25">
      <c r="A11310">
        <v>431</v>
      </c>
      <c r="B11310" t="s">
        <v>3356</v>
      </c>
      <c r="C11310" t="s">
        <v>75</v>
      </c>
      <c r="D11310" t="s">
        <v>195</v>
      </c>
      <c r="E11310">
        <f t="shared" si="531"/>
        <v>1.0869565217391304E-2</v>
      </c>
      <c r="F11310">
        <v>55</v>
      </c>
      <c r="G11310">
        <f>LOG(382/(55+1))</f>
        <v>0.83387533590550833</v>
      </c>
      <c r="H11310">
        <f>0.0108695652173913*1.92006891787142</f>
        <v>2.0870314324689342E-2</v>
      </c>
      <c r="I11310">
        <v>2.0870314324689412E-2</v>
      </c>
    </row>
    <row r="11311" spans="1:9" x14ac:dyDescent="0.25">
      <c r="A11311">
        <v>431</v>
      </c>
      <c r="B11311" t="s">
        <v>3356</v>
      </c>
      <c r="C11311" t="s">
        <v>75</v>
      </c>
      <c r="D11311" t="s">
        <v>22</v>
      </c>
      <c r="E11311">
        <f t="shared" si="531"/>
        <v>1.0869565217391304E-2</v>
      </c>
      <c r="F11311">
        <v>259</v>
      </c>
      <c r="G11311">
        <f>LOG(382/(259+1))</f>
        <v>0.16709001494089079</v>
      </c>
      <c r="H11311">
        <f>0.0108695652173913*0.384738977591047</f>
        <v>4.181945408598336E-3</v>
      </c>
      <c r="I11311">
        <v>4.1819454085983429E-3</v>
      </c>
    </row>
    <row r="11312" spans="1:9" x14ac:dyDescent="0.25">
      <c r="A11312">
        <v>431</v>
      </c>
      <c r="B11312" t="s">
        <v>3356</v>
      </c>
      <c r="C11312" t="s">
        <v>75</v>
      </c>
      <c r="D11312" t="s">
        <v>3373</v>
      </c>
      <c r="E11312">
        <f t="shared" si="531"/>
        <v>1.0869565217391304E-2</v>
      </c>
      <c r="F11312">
        <v>2</v>
      </c>
      <c r="G11312">
        <f>LOG(382/(2+1))</f>
        <v>2.1049421081920463</v>
      </c>
      <c r="H11312">
        <f>0.0108695652173913*4.84680831993846</f>
        <v>5.268269912976585E-2</v>
      </c>
      <c r="I11312">
        <v>5.2682699129765927E-2</v>
      </c>
    </row>
    <row r="11313" spans="1:9" x14ac:dyDescent="0.25">
      <c r="A11313">
        <v>431</v>
      </c>
      <c r="B11313" t="s">
        <v>3356</v>
      </c>
      <c r="C11313" t="s">
        <v>75</v>
      </c>
      <c r="D11313" t="s">
        <v>361</v>
      </c>
      <c r="E11313">
        <f t="shared" si="531"/>
        <v>1.0869565217391304E-2</v>
      </c>
      <c r="F11313">
        <v>118</v>
      </c>
      <c r="G11313">
        <f>LOG(382/(118+1))</f>
        <v>0.50651640151917798</v>
      </c>
      <c r="H11313">
        <f>0.0108695652173913*1.16629711549504</f>
        <v>1.2677142559728689E-2</v>
      </c>
      <c r="I11313">
        <v>1.267714255972876E-2</v>
      </c>
    </row>
    <row r="11314" spans="1:9" x14ac:dyDescent="0.25">
      <c r="A11314">
        <v>431</v>
      </c>
      <c r="B11314" t="s">
        <v>3356</v>
      </c>
      <c r="C11314" t="s">
        <v>75</v>
      </c>
      <c r="D11314" t="s">
        <v>434</v>
      </c>
      <c r="E11314">
        <f t="shared" si="531"/>
        <v>1.0869565217391304E-2</v>
      </c>
      <c r="F11314">
        <v>97</v>
      </c>
      <c r="G11314">
        <f>LOG(382/(97+1))</f>
        <v>0.59083728721921391</v>
      </c>
      <c r="H11314">
        <f>0.0108695652173913*1.360453129936</f>
        <v>1.4787534021043474E-2</v>
      </c>
      <c r="I11314">
        <v>1.478753402104351E-2</v>
      </c>
    </row>
    <row r="11315" spans="1:9" x14ac:dyDescent="0.25">
      <c r="A11315">
        <v>431</v>
      </c>
      <c r="B11315" t="s">
        <v>3356</v>
      </c>
      <c r="C11315" t="s">
        <v>75</v>
      </c>
      <c r="D11315" t="s">
        <v>3374</v>
      </c>
      <c r="E11315">
        <f t="shared" si="531"/>
        <v>1.0869565217391304E-2</v>
      </c>
      <c r="F11315">
        <v>6</v>
      </c>
      <c r="G11315">
        <f>LOG(382/(6+1))</f>
        <v>1.736965322897452</v>
      </c>
      <c r="H11315">
        <f>0.0108695652173913*3.99951045955126</f>
        <v>4.3472939777731069E-2</v>
      </c>
      <c r="I11315">
        <v>4.3472939777731097E-2</v>
      </c>
    </row>
    <row r="11316" spans="1:9" x14ac:dyDescent="0.25">
      <c r="A11316">
        <v>431</v>
      </c>
      <c r="B11316" t="s">
        <v>3356</v>
      </c>
      <c r="C11316" t="s">
        <v>75</v>
      </c>
      <c r="D11316" t="s">
        <v>1777</v>
      </c>
      <c r="E11316">
        <f t="shared" si="531"/>
        <v>1.0869565217391304E-2</v>
      </c>
      <c r="F11316">
        <v>4</v>
      </c>
      <c r="G11316">
        <f>LOG(382/(4+1))</f>
        <v>1.8830933585756899</v>
      </c>
      <c r="H11316">
        <f>0.0108695652173913*4.33598269617247</f>
        <v>4.7130246697526836E-2</v>
      </c>
      <c r="I11316">
        <v>4.7130246697526898E-2</v>
      </c>
    </row>
    <row r="11317" spans="1:9" x14ac:dyDescent="0.25">
      <c r="A11317">
        <v>431</v>
      </c>
      <c r="B11317" t="s">
        <v>3356</v>
      </c>
      <c r="C11317" t="s">
        <v>75</v>
      </c>
      <c r="D11317" t="s">
        <v>3375</v>
      </c>
      <c r="E11317">
        <f>2/92</f>
        <v>2.1739130434782608E-2</v>
      </c>
      <c r="F11317">
        <v>2</v>
      </c>
      <c r="G11317">
        <f>LOG(382/(2+1))</f>
        <v>2.1049421081920463</v>
      </c>
      <c r="H11317">
        <f>0.0217391304347826*4.84680831993846</f>
        <v>0.1053653982595317</v>
      </c>
      <c r="I11317">
        <v>0.10536539825953189</v>
      </c>
    </row>
    <row r="11318" spans="1:9" x14ac:dyDescent="0.25">
      <c r="A11318">
        <v>431</v>
      </c>
      <c r="B11318" t="s">
        <v>3356</v>
      </c>
      <c r="C11318" t="s">
        <v>75</v>
      </c>
      <c r="D11318" t="s">
        <v>2238</v>
      </c>
      <c r="E11318">
        <f>1/92</f>
        <v>1.0869565217391304E-2</v>
      </c>
      <c r="F11318">
        <v>68</v>
      </c>
      <c r="G11318">
        <f>LOG(382/(68+1))</f>
        <v>0.74321427217445335</v>
      </c>
      <c r="H11318">
        <f>0.0108695652173913*1.71131410400931</f>
        <v>1.8601240260970753E-2</v>
      </c>
      <c r="I11318">
        <v>1.8601240260970819E-2</v>
      </c>
    </row>
    <row r="11319" spans="1:9" x14ac:dyDescent="0.25">
      <c r="A11319">
        <v>431</v>
      </c>
      <c r="B11319" t="s">
        <v>3356</v>
      </c>
      <c r="C11319" t="s">
        <v>75</v>
      </c>
      <c r="D11319" t="s">
        <v>1125</v>
      </c>
      <c r="E11319">
        <f>1/92</f>
        <v>1.0869565217391304E-2</v>
      </c>
      <c r="F11319">
        <v>19</v>
      </c>
      <c r="G11319">
        <f>LOG(382/(19+1))</f>
        <v>1.2810333672477277</v>
      </c>
      <c r="H11319">
        <f>0.0108695652173913*2.94968833505258</f>
        <v>3.2061829728832383E-2</v>
      </c>
      <c r="I11319">
        <v>3.2061829728832439E-2</v>
      </c>
    </row>
    <row r="11320" spans="1:9" x14ac:dyDescent="0.25">
      <c r="A11320">
        <v>431</v>
      </c>
      <c r="B11320" t="s">
        <v>3356</v>
      </c>
      <c r="C11320" t="s">
        <v>75</v>
      </c>
      <c r="D11320" t="s">
        <v>24</v>
      </c>
      <c r="E11320">
        <f>1/92</f>
        <v>1.0869565217391304E-2</v>
      </c>
      <c r="F11320">
        <v>59</v>
      </c>
      <c r="G11320">
        <f>LOG(382/(59+1))</f>
        <v>0.80391211252806505</v>
      </c>
      <c r="H11320">
        <f>0.0108695652173913*1.85107604638447</f>
        <v>2.0120391808526841E-2</v>
      </c>
      <c r="I11320">
        <v>2.01203918085269E-2</v>
      </c>
    </row>
    <row r="11321" spans="1:9" x14ac:dyDescent="0.25">
      <c r="A11321">
        <v>431</v>
      </c>
      <c r="B11321" t="s">
        <v>3356</v>
      </c>
      <c r="C11321" t="s">
        <v>75</v>
      </c>
      <c r="D11321" t="s">
        <v>3376</v>
      </c>
      <c r="E11321">
        <f>1/92</f>
        <v>1.0869565217391304E-2</v>
      </c>
      <c r="F11321">
        <v>21</v>
      </c>
      <c r="G11321">
        <f>LOG(382/(21+1))</f>
        <v>1.2396406820895025</v>
      </c>
      <c r="H11321">
        <f>0.0108695652173913*2.85437815524825</f>
        <v>3.1025849513567922E-2</v>
      </c>
      <c r="I11321">
        <v>3.102584951356803E-2</v>
      </c>
    </row>
    <row r="11322" spans="1:9" x14ac:dyDescent="0.25">
      <c r="A11322">
        <v>431</v>
      </c>
      <c r="B11322" t="s">
        <v>3356</v>
      </c>
      <c r="C11322" t="s">
        <v>75</v>
      </c>
      <c r="D11322" t="s">
        <v>1739</v>
      </c>
      <c r="E11322">
        <f>2/92</f>
        <v>2.1739130434782608E-2</v>
      </c>
      <c r="F11322">
        <v>30</v>
      </c>
      <c r="G11322">
        <f>LOG(382/(30+1))</f>
        <v>1.090701669077436</v>
      </c>
      <c r="H11322">
        <f>0.0217391304347826*2.51143340412142</f>
        <v>5.4596378350465637E-2</v>
      </c>
      <c r="I11322">
        <v>5.4596378350465838E-2</v>
      </c>
    </row>
    <row r="11323" spans="1:9" x14ac:dyDescent="0.25">
      <c r="A11323">
        <v>431</v>
      </c>
      <c r="B11323" t="s">
        <v>3356</v>
      </c>
      <c r="C11323" t="s">
        <v>75</v>
      </c>
      <c r="D11323" t="s">
        <v>1730</v>
      </c>
      <c r="E11323">
        <f t="shared" ref="E11323:E11350" si="532">1/92</f>
        <v>1.0869565217391304E-2</v>
      </c>
      <c r="F11323">
        <v>35</v>
      </c>
      <c r="G11323">
        <f>LOG(382/(35+1))</f>
        <v>1.0257608621444214</v>
      </c>
      <c r="H11323">
        <f>0.0108695652173913*2.36190167015046</f>
        <v>2.5672844240765862E-2</v>
      </c>
      <c r="I11323">
        <v>2.5672844240765921E-2</v>
      </c>
    </row>
    <row r="11324" spans="1:9" x14ac:dyDescent="0.25">
      <c r="A11324">
        <v>431</v>
      </c>
      <c r="B11324" t="s">
        <v>3356</v>
      </c>
      <c r="C11324" t="s">
        <v>75</v>
      </c>
      <c r="D11324" t="s">
        <v>1738</v>
      </c>
      <c r="E11324">
        <f t="shared" si="532"/>
        <v>1.0869565217391304E-2</v>
      </c>
      <c r="F11324">
        <v>24</v>
      </c>
      <c r="G11324">
        <f>LOG(382/(24+1))</f>
        <v>1.1841233542396712</v>
      </c>
      <c r="H11324">
        <f>0.0108695652173913*2.72654478373837</f>
        <v>2.9636356344982271E-2</v>
      </c>
      <c r="I11324">
        <v>2.963635634498233E-2</v>
      </c>
    </row>
    <row r="11325" spans="1:9" x14ac:dyDescent="0.25">
      <c r="A11325">
        <v>431</v>
      </c>
      <c r="B11325" t="s">
        <v>3356</v>
      </c>
      <c r="C11325" t="s">
        <v>75</v>
      </c>
      <c r="D11325" t="s">
        <v>3377</v>
      </c>
      <c r="E11325">
        <f t="shared" si="532"/>
        <v>1.0869565217391304E-2</v>
      </c>
      <c r="F11325">
        <v>3</v>
      </c>
      <c r="G11325">
        <f>LOG(382/(3+1))</f>
        <v>1.9800033715837464</v>
      </c>
      <c r="H11325">
        <f>0.0108695652173913*4.55912624748668</f>
        <v>4.9555720081376937E-2</v>
      </c>
      <c r="I11325">
        <v>4.9555720081377007E-2</v>
      </c>
    </row>
    <row r="11326" spans="1:9" x14ac:dyDescent="0.25">
      <c r="A11326">
        <v>431</v>
      </c>
      <c r="B11326" t="s">
        <v>3356</v>
      </c>
      <c r="C11326" t="s">
        <v>75</v>
      </c>
      <c r="D11326" t="s">
        <v>3378</v>
      </c>
      <c r="E11326">
        <f t="shared" si="532"/>
        <v>1.0869565217391304E-2</v>
      </c>
      <c r="F11326">
        <v>5</v>
      </c>
      <c r="G11326">
        <f>LOG(382/(5+1))</f>
        <v>1.803912112528065</v>
      </c>
      <c r="H11326">
        <f>0.0108695652173913*4.15366113937852</f>
        <v>4.5148490645418676E-2</v>
      </c>
      <c r="I11326">
        <v>4.514849064541869E-2</v>
      </c>
    </row>
    <row r="11327" spans="1:9" x14ac:dyDescent="0.25">
      <c r="A11327">
        <v>431</v>
      </c>
      <c r="B11327" t="s">
        <v>3356</v>
      </c>
      <c r="C11327" t="s">
        <v>75</v>
      </c>
      <c r="D11327" t="s">
        <v>3379</v>
      </c>
      <c r="E11327">
        <f t="shared" si="532"/>
        <v>1.0869565217391304E-2</v>
      </c>
      <c r="F11327">
        <v>2</v>
      </c>
      <c r="G11327">
        <f>LOG(382/(2+1))</f>
        <v>2.1049421081920463</v>
      </c>
      <c r="H11327">
        <f>0.0108695652173913*4.84680831993846</f>
        <v>5.268269912976585E-2</v>
      </c>
      <c r="I11327">
        <v>5.2682699129765927E-2</v>
      </c>
    </row>
    <row r="11328" spans="1:9" x14ac:dyDescent="0.25">
      <c r="A11328">
        <v>431</v>
      </c>
      <c r="B11328" t="s">
        <v>3356</v>
      </c>
      <c r="C11328" t="s">
        <v>75</v>
      </c>
      <c r="D11328" t="s">
        <v>3380</v>
      </c>
      <c r="E11328">
        <f t="shared" si="532"/>
        <v>1.0869565217391304E-2</v>
      </c>
      <c r="F11328">
        <v>2</v>
      </c>
      <c r="G11328">
        <f>LOG(382/(2+1))</f>
        <v>2.1049421081920463</v>
      </c>
      <c r="H11328">
        <f>0.0108695652173913*4.84680831993846</f>
        <v>5.268269912976585E-2</v>
      </c>
      <c r="I11328">
        <v>5.2682699129765927E-2</v>
      </c>
    </row>
    <row r="11329" spans="1:9" x14ac:dyDescent="0.25">
      <c r="A11329">
        <v>431</v>
      </c>
      <c r="B11329" t="s">
        <v>3356</v>
      </c>
      <c r="C11329" t="s">
        <v>75</v>
      </c>
      <c r="D11329" t="s">
        <v>3381</v>
      </c>
      <c r="E11329">
        <f t="shared" si="532"/>
        <v>1.0869565217391304E-2</v>
      </c>
      <c r="F11329">
        <v>6</v>
      </c>
      <c r="G11329">
        <f>LOG(382/(6+1))</f>
        <v>1.736965322897452</v>
      </c>
      <c r="H11329">
        <f>0.0108695652173913*3.99951045955126</f>
        <v>4.3472939777731069E-2</v>
      </c>
      <c r="I11329">
        <v>4.3472939777731097E-2</v>
      </c>
    </row>
    <row r="11330" spans="1:9" x14ac:dyDescent="0.25">
      <c r="A11330">
        <v>431</v>
      </c>
      <c r="B11330" t="s">
        <v>3356</v>
      </c>
      <c r="C11330" t="s">
        <v>75</v>
      </c>
      <c r="D11330" t="s">
        <v>322</v>
      </c>
      <c r="E11330">
        <f t="shared" si="532"/>
        <v>1.0869565217391304E-2</v>
      </c>
      <c r="F11330">
        <v>128</v>
      </c>
      <c r="G11330">
        <f>LOG(382/(128+1))</f>
        <v>0.47147365261245977</v>
      </c>
      <c r="H11330">
        <f>0.0108695652173913*1.0856082042449</f>
        <v>1.1800089176574996E-2</v>
      </c>
      <c r="I11330">
        <v>1.180008917657503E-2</v>
      </c>
    </row>
    <row r="11331" spans="1:9" x14ac:dyDescent="0.25">
      <c r="A11331">
        <v>431</v>
      </c>
      <c r="B11331" t="s">
        <v>3356</v>
      </c>
      <c r="C11331" t="s">
        <v>75</v>
      </c>
      <c r="D11331" t="s">
        <v>1222</v>
      </c>
      <c r="E11331">
        <f t="shared" si="532"/>
        <v>1.0869565217391304E-2</v>
      </c>
      <c r="F11331">
        <v>56</v>
      </c>
      <c r="G11331">
        <f>LOG(382/(56+1))</f>
        <v>0.82618850723921733</v>
      </c>
      <c r="H11331">
        <f>0.0108695652173913*1.90236934077202</f>
        <v>2.0677927617087165E-2</v>
      </c>
      <c r="I11331">
        <v>2.0677927617087231E-2</v>
      </c>
    </row>
    <row r="11332" spans="1:9" x14ac:dyDescent="0.25">
      <c r="A11332">
        <v>431</v>
      </c>
      <c r="B11332" t="s">
        <v>3356</v>
      </c>
      <c r="C11332" t="s">
        <v>75</v>
      </c>
      <c r="D11332" t="s">
        <v>753</v>
      </c>
      <c r="E11332">
        <f t="shared" si="532"/>
        <v>1.0869565217391304E-2</v>
      </c>
      <c r="F11332">
        <v>19</v>
      </c>
      <c r="G11332">
        <f>LOG(382/(19+1))</f>
        <v>1.2810333672477277</v>
      </c>
      <c r="H11332">
        <f>0.0108695652173913*2.94968833505258</f>
        <v>3.2061829728832383E-2</v>
      </c>
      <c r="I11332">
        <v>3.2061829728832439E-2</v>
      </c>
    </row>
    <row r="11333" spans="1:9" x14ac:dyDescent="0.25">
      <c r="A11333">
        <v>431</v>
      </c>
      <c r="B11333" t="s">
        <v>3356</v>
      </c>
      <c r="C11333" t="s">
        <v>75</v>
      </c>
      <c r="D11333" t="s">
        <v>78</v>
      </c>
      <c r="E11333">
        <f t="shared" si="532"/>
        <v>1.0869565217391304E-2</v>
      </c>
      <c r="F11333">
        <v>122</v>
      </c>
      <c r="G11333">
        <f>LOG(382/(122+1))</f>
        <v>0.49215825147231079</v>
      </c>
      <c r="H11333">
        <f>0.0108695652173913*1.13323625323415</f>
        <v>1.2317785361240757E-2</v>
      </c>
      <c r="I11333">
        <v>1.2317785361240841E-2</v>
      </c>
    </row>
    <row r="11334" spans="1:9" x14ac:dyDescent="0.25">
      <c r="A11334">
        <v>431</v>
      </c>
      <c r="B11334" t="s">
        <v>3356</v>
      </c>
      <c r="C11334" t="s">
        <v>75</v>
      </c>
      <c r="D11334" t="s">
        <v>754</v>
      </c>
      <c r="E11334">
        <f t="shared" si="532"/>
        <v>1.0869565217391304E-2</v>
      </c>
      <c r="F11334">
        <v>111</v>
      </c>
      <c r="G11334">
        <f>LOG(382/(111+1))</f>
        <v>0.53284534024152708</v>
      </c>
      <c r="H11334">
        <f>0.0108695652173913*1.22692173731148</f>
        <v>1.333610584034217E-2</v>
      </c>
      <c r="I11334">
        <v>1.333610584034218E-2</v>
      </c>
    </row>
    <row r="11335" spans="1:9" x14ac:dyDescent="0.25">
      <c r="A11335">
        <v>431</v>
      </c>
      <c r="B11335" t="s">
        <v>3356</v>
      </c>
      <c r="C11335" t="s">
        <v>75</v>
      </c>
      <c r="D11335" t="s">
        <v>1083</v>
      </c>
      <c r="E11335">
        <f t="shared" si="532"/>
        <v>1.0869565217391304E-2</v>
      </c>
      <c r="F11335">
        <v>51</v>
      </c>
      <c r="G11335">
        <f>LOG(382/(51+1))</f>
        <v>0.86606001927690957</v>
      </c>
      <c r="H11335">
        <f>0.0108695652173913*1.99417689002514</f>
        <v>2.167583576114282E-2</v>
      </c>
      <c r="I11335">
        <v>2.167583576114291E-2</v>
      </c>
    </row>
    <row r="11336" spans="1:9" x14ac:dyDescent="0.25">
      <c r="A11336">
        <v>431</v>
      </c>
      <c r="B11336" t="s">
        <v>3356</v>
      </c>
      <c r="C11336" t="s">
        <v>75</v>
      </c>
      <c r="D11336" t="s">
        <v>765</v>
      </c>
      <c r="E11336">
        <f t="shared" si="532"/>
        <v>1.0869565217391304E-2</v>
      </c>
      <c r="F11336">
        <v>44</v>
      </c>
      <c r="G11336">
        <f>LOG(382/(44+1))</f>
        <v>0.92885084913636506</v>
      </c>
      <c r="H11336">
        <f>0.0108695652173913*2.13875811883625</f>
        <v>2.324737085691575E-2</v>
      </c>
      <c r="I11336">
        <v>2.3247370856915819E-2</v>
      </c>
    </row>
    <row r="11337" spans="1:9" x14ac:dyDescent="0.25">
      <c r="A11337">
        <v>431</v>
      </c>
      <c r="B11337" t="s">
        <v>3356</v>
      </c>
      <c r="C11337" t="s">
        <v>75</v>
      </c>
      <c r="D11337" t="s">
        <v>2220</v>
      </c>
      <c r="E11337">
        <f t="shared" si="532"/>
        <v>1.0869565217391304E-2</v>
      </c>
      <c r="F11337">
        <v>21</v>
      </c>
      <c r="G11337">
        <f>LOG(382/(21+1))</f>
        <v>1.2396406820895025</v>
      </c>
      <c r="H11337">
        <f>0.0108695652173913*2.85437815524825</f>
        <v>3.1025849513567922E-2</v>
      </c>
      <c r="I11337">
        <v>3.102584951356803E-2</v>
      </c>
    </row>
    <row r="11338" spans="1:9" x14ac:dyDescent="0.25">
      <c r="A11338">
        <v>431</v>
      </c>
      <c r="B11338" t="s">
        <v>3356</v>
      </c>
      <c r="C11338" t="s">
        <v>75</v>
      </c>
      <c r="D11338" t="s">
        <v>3307</v>
      </c>
      <c r="E11338">
        <f t="shared" si="532"/>
        <v>1.0869565217391304E-2</v>
      </c>
      <c r="F11338">
        <v>7</v>
      </c>
      <c r="G11338">
        <f>LOG(382/(7+1))</f>
        <v>1.6789733759197651</v>
      </c>
      <c r="H11338">
        <f>0.0108695652173913*3.86597906692673</f>
        <v>4.2021511597029659E-2</v>
      </c>
      <c r="I11338">
        <v>4.202151159702977E-2</v>
      </c>
    </row>
    <row r="11339" spans="1:9" x14ac:dyDescent="0.25">
      <c r="A11339">
        <v>431</v>
      </c>
      <c r="B11339" t="s">
        <v>3356</v>
      </c>
      <c r="C11339" t="s">
        <v>75</v>
      </c>
      <c r="D11339" t="s">
        <v>3382</v>
      </c>
      <c r="E11339">
        <f t="shared" si="532"/>
        <v>1.0869565217391304E-2</v>
      </c>
      <c r="F11339">
        <v>2</v>
      </c>
      <c r="G11339">
        <f>LOG(382/(2+1))</f>
        <v>2.1049421081920463</v>
      </c>
      <c r="H11339">
        <f>0.0108695652173913*4.84680831993846</f>
        <v>5.268269912976585E-2</v>
      </c>
      <c r="I11339">
        <v>5.2682699129765927E-2</v>
      </c>
    </row>
    <row r="11340" spans="1:9" x14ac:dyDescent="0.25">
      <c r="A11340">
        <v>431</v>
      </c>
      <c r="B11340" t="s">
        <v>3356</v>
      </c>
      <c r="C11340" t="s">
        <v>75</v>
      </c>
      <c r="D11340" t="s">
        <v>830</v>
      </c>
      <c r="E11340">
        <f t="shared" si="532"/>
        <v>1.0869565217391304E-2</v>
      </c>
      <c r="F11340">
        <v>19</v>
      </c>
      <c r="G11340">
        <f>LOG(382/(19+1))</f>
        <v>1.2810333672477277</v>
      </c>
      <c r="H11340">
        <f>0.0108695652173913*2.94968833505258</f>
        <v>3.2061829728832383E-2</v>
      </c>
      <c r="I11340">
        <v>3.2061829728832439E-2</v>
      </c>
    </row>
    <row r="11341" spans="1:9" x14ac:dyDescent="0.25">
      <c r="A11341">
        <v>431</v>
      </c>
      <c r="B11341" t="s">
        <v>3356</v>
      </c>
      <c r="C11341" t="s">
        <v>75</v>
      </c>
      <c r="D11341" t="s">
        <v>399</v>
      </c>
      <c r="E11341">
        <f t="shared" si="532"/>
        <v>1.0869565217391304E-2</v>
      </c>
      <c r="F11341">
        <v>27</v>
      </c>
      <c r="G11341">
        <f>LOG(382/(27+1))</f>
        <v>1.1349053315694895</v>
      </c>
      <c r="H11341">
        <f>0.0108695652173913*2.61321609843137</f>
        <v>2.8404522809036624E-2</v>
      </c>
      <c r="I11341">
        <v>2.8404522809036641E-2</v>
      </c>
    </row>
    <row r="11342" spans="1:9" x14ac:dyDescent="0.25">
      <c r="A11342">
        <v>431</v>
      </c>
      <c r="B11342" t="s">
        <v>3356</v>
      </c>
      <c r="C11342" t="s">
        <v>75</v>
      </c>
      <c r="D11342" t="s">
        <v>3383</v>
      </c>
      <c r="E11342">
        <f t="shared" si="532"/>
        <v>1.0869565217391304E-2</v>
      </c>
      <c r="F11342">
        <v>2</v>
      </c>
      <c r="G11342">
        <f>LOG(382/(2+1))</f>
        <v>2.1049421081920463</v>
      </c>
      <c r="H11342">
        <f>0.0108695652173913*4.84680831993846</f>
        <v>5.268269912976585E-2</v>
      </c>
      <c r="I11342">
        <v>5.2682699129765927E-2</v>
      </c>
    </row>
    <row r="11343" spans="1:9" x14ac:dyDescent="0.25">
      <c r="A11343">
        <v>431</v>
      </c>
      <c r="B11343" t="s">
        <v>3356</v>
      </c>
      <c r="C11343" t="s">
        <v>75</v>
      </c>
      <c r="D11343" t="s">
        <v>772</v>
      </c>
      <c r="E11343">
        <f t="shared" si="532"/>
        <v>1.0869565217391304E-2</v>
      </c>
      <c r="F11343">
        <v>31</v>
      </c>
      <c r="G11343">
        <f>LOG(382/(31+1))</f>
        <v>1.0769133845918029</v>
      </c>
      <c r="H11343">
        <f>0.0108695652173913*2.47968470580684</f>
        <v>2.6953094628335207E-2</v>
      </c>
      <c r="I11343">
        <v>2.6953094628335311E-2</v>
      </c>
    </row>
    <row r="11344" spans="1:9" x14ac:dyDescent="0.25">
      <c r="A11344">
        <v>431</v>
      </c>
      <c r="B11344" t="s">
        <v>3356</v>
      </c>
      <c r="C11344" t="s">
        <v>75</v>
      </c>
      <c r="D11344" t="s">
        <v>746</v>
      </c>
      <c r="E11344">
        <f t="shared" si="532"/>
        <v>1.0869565217391304E-2</v>
      </c>
      <c r="F11344">
        <v>58</v>
      </c>
      <c r="G11344">
        <f>LOG(382/(58+1))</f>
        <v>0.81121135126956456</v>
      </c>
      <c r="H11344">
        <f>0.0108695652173913*1.86788316470085</f>
        <v>2.0303077877183145E-2</v>
      </c>
      <c r="I11344">
        <v>2.0303077877183211E-2</v>
      </c>
    </row>
    <row r="11345" spans="1:9" x14ac:dyDescent="0.25">
      <c r="A11345">
        <v>431</v>
      </c>
      <c r="B11345" t="s">
        <v>3356</v>
      </c>
      <c r="C11345" t="s">
        <v>75</v>
      </c>
      <c r="D11345" t="s">
        <v>119</v>
      </c>
      <c r="E11345">
        <f t="shared" si="532"/>
        <v>1.0869565217391304E-2</v>
      </c>
      <c r="F11345">
        <v>79</v>
      </c>
      <c r="G11345">
        <f>LOG(382/(79+1))</f>
        <v>0.67897337591976514</v>
      </c>
      <c r="H11345">
        <f>0.0108695652173913*1.56339397393269</f>
        <v>1.6993412760137931E-2</v>
      </c>
      <c r="I11345">
        <v>1.6993412760137969E-2</v>
      </c>
    </row>
    <row r="11346" spans="1:9" x14ac:dyDescent="0.25">
      <c r="A11346">
        <v>431</v>
      </c>
      <c r="B11346" t="s">
        <v>3356</v>
      </c>
      <c r="C11346" t="s">
        <v>75</v>
      </c>
      <c r="D11346" t="s">
        <v>520</v>
      </c>
      <c r="E11346">
        <f t="shared" si="532"/>
        <v>1.0869565217391304E-2</v>
      </c>
      <c r="F11346">
        <v>25</v>
      </c>
      <c r="G11346">
        <f>LOG(382/(25+1))</f>
        <v>1.1670900149408907</v>
      </c>
      <c r="H11346">
        <f>0.0108695652173913*2.68732407058509</f>
        <v>2.9210044245490098E-2</v>
      </c>
      <c r="I11346">
        <v>2.921004424549014E-2</v>
      </c>
    </row>
    <row r="11347" spans="1:9" x14ac:dyDescent="0.25">
      <c r="A11347">
        <v>431</v>
      </c>
      <c r="B11347" t="s">
        <v>3356</v>
      </c>
      <c r="C11347" t="s">
        <v>75</v>
      </c>
      <c r="D11347" t="s">
        <v>89</v>
      </c>
      <c r="E11347">
        <f t="shared" si="532"/>
        <v>1.0869565217391304E-2</v>
      </c>
      <c r="F11347">
        <v>40</v>
      </c>
      <c r="G11347">
        <f>LOG(382/(40+1))</f>
        <v>0.96927950619197323</v>
      </c>
      <c r="H11347">
        <f>0.0108695652173913*2.23184854190226</f>
        <v>2.4259223281546293E-2</v>
      </c>
      <c r="I11347">
        <v>2.425922328154638E-2</v>
      </c>
    </row>
    <row r="11348" spans="1:9" x14ac:dyDescent="0.25">
      <c r="A11348">
        <v>431</v>
      </c>
      <c r="B11348" t="s">
        <v>3356</v>
      </c>
      <c r="C11348" t="s">
        <v>75</v>
      </c>
      <c r="D11348" t="s">
        <v>40</v>
      </c>
      <c r="E11348">
        <f t="shared" si="532"/>
        <v>1.0869565217391304E-2</v>
      </c>
      <c r="F11348">
        <v>159</v>
      </c>
      <c r="G11348">
        <f>LOG(382/(159+1))</f>
        <v>0.377943380255784</v>
      </c>
      <c r="H11348">
        <f>0.0108695652173913*0.870246793372748</f>
        <v>9.4592042757907363E-3</v>
      </c>
      <c r="I11348">
        <v>9.4592042757907432E-3</v>
      </c>
    </row>
    <row r="11349" spans="1:9" x14ac:dyDescent="0.25">
      <c r="A11349">
        <v>431</v>
      </c>
      <c r="B11349" t="s">
        <v>3356</v>
      </c>
      <c r="C11349" t="s">
        <v>75</v>
      </c>
      <c r="D11349" t="s">
        <v>41</v>
      </c>
      <c r="E11349">
        <f t="shared" si="532"/>
        <v>1.0869565217391304E-2</v>
      </c>
      <c r="F11349">
        <v>195</v>
      </c>
      <c r="G11349">
        <f>LOG(382/(195+1))</f>
        <v>0.28980729155523272</v>
      </c>
      <c r="H11349">
        <f>0.0108695652173913*0.667305949376058</f>
        <v>7.25332553669628E-3</v>
      </c>
      <c r="I11349">
        <v>7.2533255366962826E-3</v>
      </c>
    </row>
    <row r="11350" spans="1:9" x14ac:dyDescent="0.25">
      <c r="A11350">
        <v>431</v>
      </c>
      <c r="B11350" t="s">
        <v>3356</v>
      </c>
      <c r="C11350" t="s">
        <v>75</v>
      </c>
      <c r="D11350" t="s">
        <v>3310</v>
      </c>
      <c r="E11350">
        <f t="shared" si="532"/>
        <v>1.0869565217391304E-2</v>
      </c>
      <c r="F11350">
        <v>4</v>
      </c>
      <c r="G11350">
        <f>LOG(382/(4+1))</f>
        <v>1.8830933585756899</v>
      </c>
      <c r="H11350">
        <f>0.0108695652173913*4.33598269617247</f>
        <v>4.7130246697526836E-2</v>
      </c>
      <c r="I11350">
        <v>4.7130246697526898E-2</v>
      </c>
    </row>
    <row r="11351" spans="1:9" x14ac:dyDescent="0.25">
      <c r="A11351">
        <v>432</v>
      </c>
      <c r="B11351" t="s">
        <v>3384</v>
      </c>
      <c r="C11351" t="s">
        <v>75</v>
      </c>
      <c r="D11351" t="s">
        <v>3385</v>
      </c>
      <c r="E11351">
        <f>2/52</f>
        <v>3.8461538461538464E-2</v>
      </c>
      <c r="F11351">
        <v>1</v>
      </c>
      <c r="G11351">
        <f>LOG(382/(1+1))</f>
        <v>2.2810333672477277</v>
      </c>
      <c r="H11351">
        <f>0.0384615384615384*5.25227342804663</f>
        <v>0.2020105164633316</v>
      </c>
      <c r="I11351">
        <v>0.2020105164633319</v>
      </c>
    </row>
    <row r="11352" spans="1:9" x14ac:dyDescent="0.25">
      <c r="A11352">
        <v>432</v>
      </c>
      <c r="B11352" t="s">
        <v>3384</v>
      </c>
      <c r="C11352" t="s">
        <v>75</v>
      </c>
      <c r="D11352" t="s">
        <v>1765</v>
      </c>
      <c r="E11352">
        <f>1/52</f>
        <v>1.9230769230769232E-2</v>
      </c>
      <c r="F11352">
        <v>14</v>
      </c>
      <c r="G11352">
        <f>LOG(382/(14+1))</f>
        <v>1.4059721038560276</v>
      </c>
      <c r="H11352">
        <f>0.0192307692307692*3.23737040750436</f>
        <v>6.2257123221237595E-2</v>
      </c>
      <c r="I11352">
        <v>6.2257123221237803E-2</v>
      </c>
    </row>
    <row r="11353" spans="1:9" x14ac:dyDescent="0.25">
      <c r="A11353">
        <v>432</v>
      </c>
      <c r="B11353" t="s">
        <v>3384</v>
      </c>
      <c r="C11353" t="s">
        <v>75</v>
      </c>
      <c r="D11353" t="s">
        <v>168</v>
      </c>
      <c r="E11353">
        <f>2/52</f>
        <v>3.8461538461538464E-2</v>
      </c>
      <c r="F11353">
        <v>34</v>
      </c>
      <c r="G11353">
        <f>LOG(382/(34+1))</f>
        <v>1.037995318561433</v>
      </c>
      <c r="H11353">
        <f>0.0384615384615384*2.39007254711716</f>
        <v>9.1925867196813699E-2</v>
      </c>
      <c r="I11353">
        <v>9.1925867196813907E-2</v>
      </c>
    </row>
    <row r="11354" spans="1:9" x14ac:dyDescent="0.25">
      <c r="A11354">
        <v>432</v>
      </c>
      <c r="B11354" t="s">
        <v>3384</v>
      </c>
      <c r="C11354" t="s">
        <v>75</v>
      </c>
      <c r="D11354" t="s">
        <v>2554</v>
      </c>
      <c r="E11354">
        <f>2/52</f>
        <v>3.8461538461538464E-2</v>
      </c>
      <c r="F11354">
        <v>22</v>
      </c>
      <c r="G11354">
        <f>LOG(382/(22+1))</f>
        <v>1.2203355268941158</v>
      </c>
      <c r="H11354">
        <f>0.0384615384615384*2.80992639267742</f>
        <v>0.10807409202605443</v>
      </c>
      <c r="I11354">
        <v>0.10807409202605479</v>
      </c>
    </row>
    <row r="11355" spans="1:9" x14ac:dyDescent="0.25">
      <c r="A11355">
        <v>432</v>
      </c>
      <c r="B11355" t="s">
        <v>3384</v>
      </c>
      <c r="C11355" t="s">
        <v>75</v>
      </c>
      <c r="D11355" t="s">
        <v>42</v>
      </c>
      <c r="E11355">
        <f t="shared" ref="E11355:E11367" si="533">1/52</f>
        <v>1.9230769230769232E-2</v>
      </c>
      <c r="F11355">
        <v>251</v>
      </c>
      <c r="G11355">
        <f>LOG(382/(251+1))</f>
        <v>0.18066282213016463</v>
      </c>
      <c r="H11355">
        <f>0.0192307692307692*0.415991521095151</f>
        <v>7.9998369441375058E-3</v>
      </c>
      <c r="I11355">
        <v>7.999836944137537E-3</v>
      </c>
    </row>
    <row r="11356" spans="1:9" x14ac:dyDescent="0.25">
      <c r="A11356">
        <v>432</v>
      </c>
      <c r="B11356" t="s">
        <v>3384</v>
      </c>
      <c r="C11356" t="s">
        <v>75</v>
      </c>
      <c r="D11356" t="s">
        <v>19</v>
      </c>
      <c r="E11356">
        <f t="shared" si="533"/>
        <v>1.9230769230769232E-2</v>
      </c>
      <c r="F11356">
        <v>220</v>
      </c>
      <c r="G11356">
        <f>LOG(382/(220+1))</f>
        <v>0.23767108922659805</v>
      </c>
      <c r="H11356">
        <f>0.0192307692307692*0.547257907088822</f>
        <v>1.0524190520938869E-2</v>
      </c>
      <c r="I11356">
        <v>1.052419052093889E-2</v>
      </c>
    </row>
    <row r="11357" spans="1:9" x14ac:dyDescent="0.25">
      <c r="A11357">
        <v>432</v>
      </c>
      <c r="B11357" t="s">
        <v>3384</v>
      </c>
      <c r="C11357" t="s">
        <v>75</v>
      </c>
      <c r="D11357" t="s">
        <v>41</v>
      </c>
      <c r="E11357">
        <f t="shared" si="533"/>
        <v>1.9230769230769232E-2</v>
      </c>
      <c r="F11357">
        <v>195</v>
      </c>
      <c r="G11357">
        <f>LOG(382/(195+1))</f>
        <v>0.28980729155523272</v>
      </c>
      <c r="H11357">
        <f>0.0192307692307692*0.667305949376058</f>
        <v>1.2832806718770327E-2</v>
      </c>
      <c r="I11357">
        <v>1.2832806718770349E-2</v>
      </c>
    </row>
    <row r="11358" spans="1:9" x14ac:dyDescent="0.25">
      <c r="A11358">
        <v>432</v>
      </c>
      <c r="B11358" t="s">
        <v>3384</v>
      </c>
      <c r="C11358" t="s">
        <v>75</v>
      </c>
      <c r="D11358" t="s">
        <v>22</v>
      </c>
      <c r="E11358">
        <f t="shared" si="533"/>
        <v>1.9230769230769232E-2</v>
      </c>
      <c r="F11358">
        <v>259</v>
      </c>
      <c r="G11358">
        <f>LOG(382/(259+1))</f>
        <v>0.16709001494089079</v>
      </c>
      <c r="H11358">
        <f>0.0192307692307692*0.384738977591047</f>
        <v>7.3988264921355084E-3</v>
      </c>
      <c r="I11358">
        <v>7.3988264921355301E-3</v>
      </c>
    </row>
    <row r="11359" spans="1:9" x14ac:dyDescent="0.25">
      <c r="A11359">
        <v>432</v>
      </c>
      <c r="B11359" t="s">
        <v>3384</v>
      </c>
      <c r="C11359" t="s">
        <v>75</v>
      </c>
      <c r="D11359" t="s">
        <v>23</v>
      </c>
      <c r="E11359">
        <f t="shared" si="533"/>
        <v>1.9230769230769232E-2</v>
      </c>
      <c r="F11359">
        <v>275</v>
      </c>
      <c r="G11359">
        <f>LOG(382/(275+1))</f>
        <v>0.14115428084649101</v>
      </c>
      <c r="H11359">
        <f>0.0192307692307692*0.325019742889425</f>
        <v>6.2503796709504709E-3</v>
      </c>
      <c r="I11359">
        <v>6.2503796709504839E-3</v>
      </c>
    </row>
    <row r="11360" spans="1:9" x14ac:dyDescent="0.25">
      <c r="A11360">
        <v>432</v>
      </c>
      <c r="B11360" t="s">
        <v>3384</v>
      </c>
      <c r="C11360" t="s">
        <v>75</v>
      </c>
      <c r="D11360" t="s">
        <v>105</v>
      </c>
      <c r="E11360">
        <f t="shared" si="533"/>
        <v>1.9230769230769232E-2</v>
      </c>
      <c r="F11360">
        <v>122</v>
      </c>
      <c r="G11360">
        <f>LOG(382/(122+1))</f>
        <v>0.49215825147231079</v>
      </c>
      <c r="H11360">
        <f>0.0192307692307692*1.13323625323415</f>
        <v>2.1793004869887465E-2</v>
      </c>
      <c r="I11360">
        <v>2.1793004869887649E-2</v>
      </c>
    </row>
    <row r="11361" spans="1:9" x14ac:dyDescent="0.25">
      <c r="A11361">
        <v>432</v>
      </c>
      <c r="B11361" t="s">
        <v>3384</v>
      </c>
      <c r="C11361" t="s">
        <v>75</v>
      </c>
      <c r="D11361" t="s">
        <v>78</v>
      </c>
      <c r="E11361">
        <f t="shared" si="533"/>
        <v>1.9230769230769232E-2</v>
      </c>
      <c r="F11361">
        <v>122</v>
      </c>
      <c r="G11361">
        <f>LOG(382/(122+1))</f>
        <v>0.49215825147231079</v>
      </c>
      <c r="H11361">
        <f>0.0192307692307692*1.13323625323415</f>
        <v>2.1793004869887465E-2</v>
      </c>
      <c r="I11361">
        <v>2.1793004869887649E-2</v>
      </c>
    </row>
    <row r="11362" spans="1:9" x14ac:dyDescent="0.25">
      <c r="A11362">
        <v>432</v>
      </c>
      <c r="B11362" t="s">
        <v>3384</v>
      </c>
      <c r="C11362" t="s">
        <v>75</v>
      </c>
      <c r="D11362" t="s">
        <v>570</v>
      </c>
      <c r="E11362">
        <f t="shared" si="533"/>
        <v>1.9230769230769232E-2</v>
      </c>
      <c r="F11362">
        <v>27</v>
      </c>
      <c r="G11362">
        <f>LOG(382/(27+1))</f>
        <v>1.1349053315694895</v>
      </c>
      <c r="H11362">
        <f>0.0192307692307692*2.61321609843137</f>
        <v>5.0254155739064735E-2</v>
      </c>
      <c r="I11362">
        <v>5.0254155739064832E-2</v>
      </c>
    </row>
    <row r="11363" spans="1:9" x14ac:dyDescent="0.25">
      <c r="A11363">
        <v>432</v>
      </c>
      <c r="B11363" t="s">
        <v>3384</v>
      </c>
      <c r="C11363" t="s">
        <v>75</v>
      </c>
      <c r="D11363" t="s">
        <v>754</v>
      </c>
      <c r="E11363">
        <f t="shared" si="533"/>
        <v>1.9230769230769232E-2</v>
      </c>
      <c r="F11363">
        <v>111</v>
      </c>
      <c r="G11363">
        <f>LOG(382/(111+1))</f>
        <v>0.53284534024152708</v>
      </c>
      <c r="H11363">
        <f>0.0192307692307692*1.22692173731148</f>
        <v>2.35946487944515E-2</v>
      </c>
      <c r="I11363">
        <v>2.3594648794451549E-2</v>
      </c>
    </row>
    <row r="11364" spans="1:9" x14ac:dyDescent="0.25">
      <c r="A11364">
        <v>432</v>
      </c>
      <c r="B11364" t="s">
        <v>3384</v>
      </c>
      <c r="C11364" t="s">
        <v>75</v>
      </c>
      <c r="D11364" t="s">
        <v>1926</v>
      </c>
      <c r="E11364">
        <f t="shared" si="533"/>
        <v>1.9230769230769232E-2</v>
      </c>
      <c r="F11364">
        <v>4</v>
      </c>
      <c r="G11364">
        <f>LOG(382/(4+1))</f>
        <v>1.8830933585756899</v>
      </c>
      <c r="H11364">
        <f>0.0192307692307692*4.33598269617247</f>
        <v>8.3384282618701219E-2</v>
      </c>
      <c r="I11364">
        <v>8.3384282618701441E-2</v>
      </c>
    </row>
    <row r="11365" spans="1:9" x14ac:dyDescent="0.25">
      <c r="A11365">
        <v>432</v>
      </c>
      <c r="B11365" t="s">
        <v>3384</v>
      </c>
      <c r="C11365" t="s">
        <v>75</v>
      </c>
      <c r="D11365" t="s">
        <v>3386</v>
      </c>
      <c r="E11365">
        <f t="shared" si="533"/>
        <v>1.9230769230769232E-2</v>
      </c>
      <c r="F11365">
        <v>1</v>
      </c>
      <c r="G11365">
        <f>LOG(382/(1+1))</f>
        <v>2.2810333672477277</v>
      </c>
      <c r="H11365">
        <f>0.0192307692307692*5.25227342804663</f>
        <v>0.1010052582316658</v>
      </c>
      <c r="I11365">
        <v>0.10100525823166601</v>
      </c>
    </row>
    <row r="11366" spans="1:9" x14ac:dyDescent="0.25">
      <c r="A11366">
        <v>432</v>
      </c>
      <c r="B11366" t="s">
        <v>3384</v>
      </c>
      <c r="C11366" t="s">
        <v>75</v>
      </c>
      <c r="D11366" t="s">
        <v>675</v>
      </c>
      <c r="E11366">
        <f t="shared" si="533"/>
        <v>1.9230769230769232E-2</v>
      </c>
      <c r="F11366">
        <v>10</v>
      </c>
      <c r="G11366">
        <f>LOG(382/(10+1))</f>
        <v>1.5406706777534838</v>
      </c>
      <c r="H11366">
        <f>0.0192307692307692*3.5475253358082</f>
        <v>6.8221641073234515E-2</v>
      </c>
      <c r="I11366">
        <v>6.8221641073234709E-2</v>
      </c>
    </row>
    <row r="11367" spans="1:9" x14ac:dyDescent="0.25">
      <c r="A11367">
        <v>432</v>
      </c>
      <c r="B11367" t="s">
        <v>3384</v>
      </c>
      <c r="C11367" t="s">
        <v>75</v>
      </c>
      <c r="D11367" t="s">
        <v>327</v>
      </c>
      <c r="E11367">
        <f t="shared" si="533"/>
        <v>1.9230769230769232E-2</v>
      </c>
      <c r="F11367">
        <v>46</v>
      </c>
      <c r="G11367">
        <f>LOG(382/(46+1))</f>
        <v>0.90996550497599127</v>
      </c>
      <c r="H11367">
        <f>0.0192307692307692*2.09527300689651</f>
        <v>4.0293711671086668E-2</v>
      </c>
      <c r="I11367">
        <v>4.0293711671086863E-2</v>
      </c>
    </row>
    <row r="11368" spans="1:9" x14ac:dyDescent="0.25">
      <c r="A11368">
        <v>432</v>
      </c>
      <c r="B11368" t="s">
        <v>3384</v>
      </c>
      <c r="C11368" t="s">
        <v>75</v>
      </c>
      <c r="D11368" t="s">
        <v>237</v>
      </c>
      <c r="E11368">
        <f>2/52</f>
        <v>3.8461538461538464E-2</v>
      </c>
      <c r="F11368">
        <v>138</v>
      </c>
      <c r="G11368">
        <f>LOG(382/(138+1))</f>
        <v>0.43904856265761361</v>
      </c>
      <c r="H11368">
        <f>0.0384615384615384*1.01094667547588</f>
        <v>3.8882564441379941E-2</v>
      </c>
      <c r="I11368">
        <v>3.8882564441380128E-2</v>
      </c>
    </row>
    <row r="11369" spans="1:9" x14ac:dyDescent="0.25">
      <c r="A11369">
        <v>432</v>
      </c>
      <c r="B11369" t="s">
        <v>3384</v>
      </c>
      <c r="C11369" t="s">
        <v>75</v>
      </c>
      <c r="D11369" t="s">
        <v>1083</v>
      </c>
      <c r="E11369">
        <f>1/52</f>
        <v>1.9230769230769232E-2</v>
      </c>
      <c r="F11369">
        <v>51</v>
      </c>
      <c r="G11369">
        <f>LOG(382/(51+1))</f>
        <v>0.86606001927690957</v>
      </c>
      <c r="H11369">
        <f>0.0192307692307692*1.99417689002514</f>
        <v>3.8349555577406477E-2</v>
      </c>
      <c r="I11369">
        <v>3.8349555577406692E-2</v>
      </c>
    </row>
    <row r="11370" spans="1:9" x14ac:dyDescent="0.25">
      <c r="A11370">
        <v>432</v>
      </c>
      <c r="B11370" t="s">
        <v>3384</v>
      </c>
      <c r="C11370" t="s">
        <v>75</v>
      </c>
      <c r="D11370" t="s">
        <v>133</v>
      </c>
      <c r="E11370">
        <f>1/52</f>
        <v>1.9230769230769232E-2</v>
      </c>
      <c r="F11370">
        <v>142</v>
      </c>
      <c r="G11370">
        <f>LOG(382/(142+1))</f>
        <v>0.42672732544664693</v>
      </c>
      <c r="H11370">
        <f>0.0192307692307692*0.982575978346667</f>
        <v>1.8895691891282027E-2</v>
      </c>
      <c r="I11370">
        <v>1.8895691891282079E-2</v>
      </c>
    </row>
    <row r="11371" spans="1:9" x14ac:dyDescent="0.25">
      <c r="A11371">
        <v>432</v>
      </c>
      <c r="B11371" t="s">
        <v>3384</v>
      </c>
      <c r="C11371" t="s">
        <v>75</v>
      </c>
      <c r="D11371" t="s">
        <v>1769</v>
      </c>
      <c r="E11371">
        <f>1/52</f>
        <v>1.9230769230769232E-2</v>
      </c>
      <c r="F11371">
        <v>84</v>
      </c>
      <c r="G11371">
        <f>LOG(382/(84+1))</f>
        <v>0.65264443719741605</v>
      </c>
      <c r="H11371">
        <f>0.0192307692307692*1.50276935211625</f>
        <v>2.8899410617620146E-2</v>
      </c>
      <c r="I11371">
        <v>2.8899410617620361E-2</v>
      </c>
    </row>
    <row r="11372" spans="1:9" x14ac:dyDescent="0.25">
      <c r="A11372">
        <v>432</v>
      </c>
      <c r="B11372" t="s">
        <v>3384</v>
      </c>
      <c r="C11372" t="s">
        <v>75</v>
      </c>
      <c r="D11372" t="s">
        <v>1921</v>
      </c>
      <c r="E11372">
        <f>1/52</f>
        <v>1.9230769230769232E-2</v>
      </c>
      <c r="F11372">
        <v>37</v>
      </c>
      <c r="G11372">
        <f>LOG(382/(37+1))</f>
        <v>1.0022797662948986</v>
      </c>
      <c r="H11372">
        <f>0.0192307692307692*2.30783444888018</f>
        <v>4.4381431709234156E-2</v>
      </c>
      <c r="I11372">
        <v>4.4381431709234413E-2</v>
      </c>
    </row>
    <row r="11373" spans="1:9" x14ac:dyDescent="0.25">
      <c r="A11373">
        <v>432</v>
      </c>
      <c r="B11373" t="s">
        <v>3384</v>
      </c>
      <c r="C11373" t="s">
        <v>75</v>
      </c>
      <c r="D11373" t="s">
        <v>884</v>
      </c>
      <c r="E11373">
        <f>2/52</f>
        <v>3.8461538461538464E-2</v>
      </c>
      <c r="F11373">
        <v>6</v>
      </c>
      <c r="G11373">
        <f>LOG(382/(6+1))</f>
        <v>1.736965322897452</v>
      </c>
      <c r="H11373">
        <f>0.0384615384615384*3.99951045955126</f>
        <v>0.15382732536735591</v>
      </c>
      <c r="I11373">
        <v>0.15382732536735619</v>
      </c>
    </row>
    <row r="11374" spans="1:9" x14ac:dyDescent="0.25">
      <c r="A11374">
        <v>432</v>
      </c>
      <c r="B11374" t="s">
        <v>3384</v>
      </c>
      <c r="C11374" t="s">
        <v>75</v>
      </c>
      <c r="D11374" t="s">
        <v>3387</v>
      </c>
      <c r="E11374">
        <f t="shared" ref="E11374:E11379" si="534">1/52</f>
        <v>1.9230769230769232E-2</v>
      </c>
      <c r="F11374">
        <v>1</v>
      </c>
      <c r="G11374">
        <f>LOG(382/(1+1))</f>
        <v>2.2810333672477277</v>
      </c>
      <c r="H11374">
        <f>0.0192307692307692*5.25227342804663</f>
        <v>0.1010052582316658</v>
      </c>
      <c r="I11374">
        <v>0.10100525823166601</v>
      </c>
    </row>
    <row r="11375" spans="1:9" x14ac:dyDescent="0.25">
      <c r="A11375">
        <v>432</v>
      </c>
      <c r="B11375" t="s">
        <v>3384</v>
      </c>
      <c r="C11375" t="s">
        <v>75</v>
      </c>
      <c r="D11375" t="s">
        <v>2504</v>
      </c>
      <c r="E11375">
        <f t="shared" si="534"/>
        <v>1.9230769230769232E-2</v>
      </c>
      <c r="F11375">
        <v>3</v>
      </c>
      <c r="G11375">
        <f>LOG(382/(3+1))</f>
        <v>1.9800033715837464</v>
      </c>
      <c r="H11375">
        <f>0.0192307692307692*4.55912624748668</f>
        <v>8.7675504759359091E-2</v>
      </c>
      <c r="I11375">
        <v>8.7675504759359327E-2</v>
      </c>
    </row>
    <row r="11376" spans="1:9" x14ac:dyDescent="0.25">
      <c r="A11376">
        <v>432</v>
      </c>
      <c r="B11376" t="s">
        <v>3384</v>
      </c>
      <c r="C11376" t="s">
        <v>75</v>
      </c>
      <c r="D11376" t="s">
        <v>678</v>
      </c>
      <c r="E11376">
        <f t="shared" si="534"/>
        <v>1.9230769230769232E-2</v>
      </c>
      <c r="F11376">
        <v>2</v>
      </c>
      <c r="G11376">
        <f>LOG(382/(2+1))</f>
        <v>2.1049421081920463</v>
      </c>
      <c r="H11376">
        <f>0.0192307692307692*4.84680831993846</f>
        <v>9.3207852306508701E-2</v>
      </c>
      <c r="I11376">
        <v>9.3207852306508951E-2</v>
      </c>
    </row>
    <row r="11377" spans="1:9" x14ac:dyDescent="0.25">
      <c r="A11377">
        <v>432</v>
      </c>
      <c r="B11377" t="s">
        <v>3384</v>
      </c>
      <c r="C11377" t="s">
        <v>75</v>
      </c>
      <c r="D11377" t="s">
        <v>307</v>
      </c>
      <c r="E11377">
        <f t="shared" si="534"/>
        <v>1.9230769230769232E-2</v>
      </c>
      <c r="F11377">
        <v>67</v>
      </c>
      <c r="G11377">
        <f>LOG(382/(67+1))</f>
        <v>0.7495544502054724</v>
      </c>
      <c r="H11377">
        <f>0.0192307692307692*1.72591290343046</f>
        <v>3.3190632758278028E-2</v>
      </c>
      <c r="I11377">
        <v>3.3190632758278243E-2</v>
      </c>
    </row>
    <row r="11378" spans="1:9" x14ac:dyDescent="0.25">
      <c r="A11378">
        <v>432</v>
      </c>
      <c r="B11378" t="s">
        <v>3384</v>
      </c>
      <c r="C11378" t="s">
        <v>75</v>
      </c>
      <c r="D11378" t="s">
        <v>3334</v>
      </c>
      <c r="E11378">
        <f t="shared" si="534"/>
        <v>1.9230769230769232E-2</v>
      </c>
      <c r="F11378">
        <v>12</v>
      </c>
      <c r="G11378">
        <f>LOG(382/(12+1))</f>
        <v>1.468120010604872</v>
      </c>
      <c r="H11378">
        <f>0.0192307692307692*3.38047125114503</f>
        <v>6.5009062522019712E-2</v>
      </c>
      <c r="I11378">
        <v>6.5009062522019975E-2</v>
      </c>
    </row>
    <row r="11379" spans="1:9" x14ac:dyDescent="0.25">
      <c r="A11379">
        <v>432</v>
      </c>
      <c r="B11379" t="s">
        <v>3384</v>
      </c>
      <c r="C11379" t="s">
        <v>75</v>
      </c>
      <c r="D11379" t="s">
        <v>543</v>
      </c>
      <c r="E11379">
        <f t="shared" si="534"/>
        <v>1.9230769230769232E-2</v>
      </c>
      <c r="F11379">
        <v>6</v>
      </c>
      <c r="G11379">
        <f>LOG(382/(6+1))</f>
        <v>1.736965322897452</v>
      </c>
      <c r="H11379">
        <f>0.0192307692307692*3.99951045955126</f>
        <v>7.6913662683677955E-2</v>
      </c>
      <c r="I11379">
        <v>7.6913662683678122E-2</v>
      </c>
    </row>
    <row r="11380" spans="1:9" x14ac:dyDescent="0.25">
      <c r="A11380">
        <v>432</v>
      </c>
      <c r="B11380" t="s">
        <v>3384</v>
      </c>
      <c r="C11380" t="s">
        <v>75</v>
      </c>
      <c r="D11380" t="s">
        <v>2930</v>
      </c>
      <c r="E11380">
        <f>2/52</f>
        <v>3.8461538461538464E-2</v>
      </c>
      <c r="F11380">
        <v>15</v>
      </c>
      <c r="G11380">
        <f>LOG(382/(15+1))</f>
        <v>1.3779433802557839</v>
      </c>
      <c r="H11380">
        <f>0.0384615384615384*3.17283188636679</f>
        <v>0.12203199562949174</v>
      </c>
      <c r="I11380">
        <v>0.1220319956294921</v>
      </c>
    </row>
    <row r="11381" spans="1:9" x14ac:dyDescent="0.25">
      <c r="A11381">
        <v>432</v>
      </c>
      <c r="B11381" t="s">
        <v>3384</v>
      </c>
      <c r="C11381" t="s">
        <v>75</v>
      </c>
      <c r="D11381" t="s">
        <v>767</v>
      </c>
      <c r="E11381">
        <f>2/52</f>
        <v>3.8461538461538464E-2</v>
      </c>
      <c r="F11381">
        <v>47</v>
      </c>
      <c r="G11381">
        <f>LOG(382/(47+1))</f>
        <v>0.90082212553612151</v>
      </c>
      <c r="H11381">
        <f>0.0384615384615384*2.07421959769868</f>
        <v>7.9777676834564493E-2</v>
      </c>
      <c r="I11381">
        <v>7.9777676834564784E-2</v>
      </c>
    </row>
    <row r="11382" spans="1:9" x14ac:dyDescent="0.25">
      <c r="A11382">
        <v>432</v>
      </c>
      <c r="B11382" t="s">
        <v>3384</v>
      </c>
      <c r="C11382" t="s">
        <v>75</v>
      </c>
      <c r="D11382" t="s">
        <v>2371</v>
      </c>
      <c r="E11382">
        <f>2/52</f>
        <v>3.8461538461538464E-2</v>
      </c>
      <c r="F11382">
        <v>4</v>
      </c>
      <c r="G11382">
        <f>LOG(382/(4+1))</f>
        <v>1.8830933585756899</v>
      </c>
      <c r="H11382">
        <f>0.0384615384615384*4.33598269617247</f>
        <v>0.16676856523740244</v>
      </c>
      <c r="I11382">
        <v>0.16676856523740291</v>
      </c>
    </row>
    <row r="11383" spans="1:9" x14ac:dyDescent="0.25">
      <c r="A11383">
        <v>432</v>
      </c>
      <c r="B11383" t="s">
        <v>3384</v>
      </c>
      <c r="C11383" t="s">
        <v>75</v>
      </c>
      <c r="D11383" t="s">
        <v>3388</v>
      </c>
      <c r="E11383">
        <f>2/52</f>
        <v>3.8461538461538464E-2</v>
      </c>
      <c r="F11383">
        <v>1</v>
      </c>
      <c r="G11383">
        <f>LOG(382/(1+1))</f>
        <v>2.2810333672477277</v>
      </c>
      <c r="H11383">
        <f>0.0384615384615384*5.25227342804663</f>
        <v>0.2020105164633316</v>
      </c>
      <c r="I11383">
        <v>0.2020105164633319</v>
      </c>
    </row>
    <row r="11384" spans="1:9" x14ac:dyDescent="0.25">
      <c r="A11384">
        <v>432</v>
      </c>
      <c r="B11384" t="s">
        <v>3384</v>
      </c>
      <c r="C11384" t="s">
        <v>75</v>
      </c>
      <c r="D11384" t="s">
        <v>3389</v>
      </c>
      <c r="E11384">
        <f>1/52</f>
        <v>1.9230769230769232E-2</v>
      </c>
      <c r="F11384">
        <v>1</v>
      </c>
      <c r="G11384">
        <f>LOG(382/(1+1))</f>
        <v>2.2810333672477277</v>
      </c>
      <c r="H11384">
        <f>0.0192307692307692*5.25227342804663</f>
        <v>0.1010052582316658</v>
      </c>
      <c r="I11384">
        <v>0.10100525823166601</v>
      </c>
    </row>
    <row r="11385" spans="1:9" x14ac:dyDescent="0.25">
      <c r="A11385">
        <v>432</v>
      </c>
      <c r="B11385" t="s">
        <v>3384</v>
      </c>
      <c r="C11385" t="s">
        <v>75</v>
      </c>
      <c r="D11385" t="s">
        <v>233</v>
      </c>
      <c r="E11385">
        <f>1/52</f>
        <v>1.9230769230769232E-2</v>
      </c>
      <c r="F11385">
        <v>14</v>
      </c>
      <c r="G11385">
        <f>LOG(382/(14+1))</f>
        <v>1.4059721038560276</v>
      </c>
      <c r="H11385">
        <f>0.0192307692307692*3.23737040750436</f>
        <v>6.2257123221237595E-2</v>
      </c>
      <c r="I11385">
        <v>6.2257123221237803E-2</v>
      </c>
    </row>
    <row r="11386" spans="1:9" x14ac:dyDescent="0.25">
      <c r="A11386">
        <v>432</v>
      </c>
      <c r="B11386" t="s">
        <v>3384</v>
      </c>
      <c r="C11386" t="s">
        <v>75</v>
      </c>
      <c r="D11386" t="s">
        <v>3390</v>
      </c>
      <c r="E11386">
        <f>1/52</f>
        <v>1.9230769230769232E-2</v>
      </c>
      <c r="F11386">
        <v>1</v>
      </c>
      <c r="G11386">
        <f>LOG(382/(1+1))</f>
        <v>2.2810333672477277</v>
      </c>
      <c r="H11386">
        <f>0.0192307692307692*5.25227342804663</f>
        <v>0.1010052582316658</v>
      </c>
      <c r="I11386">
        <v>0.10100525823166601</v>
      </c>
    </row>
    <row r="11387" spans="1:9" x14ac:dyDescent="0.25">
      <c r="A11387">
        <v>432</v>
      </c>
      <c r="B11387" t="s">
        <v>3384</v>
      </c>
      <c r="C11387" t="s">
        <v>75</v>
      </c>
      <c r="D11387" t="s">
        <v>243</v>
      </c>
      <c r="E11387">
        <f>1/52</f>
        <v>1.9230769230769232E-2</v>
      </c>
      <c r="F11387">
        <v>131</v>
      </c>
      <c r="G11387">
        <f>LOG(382/(131+1))</f>
        <v>0.46148943170585888</v>
      </c>
      <c r="H11387">
        <f>0.0192307692307692*1.0626186860202</f>
        <v>2.043497473115766E-2</v>
      </c>
      <c r="I11387">
        <v>2.0434974731157771E-2</v>
      </c>
    </row>
    <row r="11388" spans="1:9" x14ac:dyDescent="0.25">
      <c r="A11388">
        <v>432</v>
      </c>
      <c r="B11388" t="s">
        <v>3384</v>
      </c>
      <c r="C11388" t="s">
        <v>75</v>
      </c>
      <c r="D11388" t="s">
        <v>881</v>
      </c>
      <c r="E11388">
        <f>2/52</f>
        <v>3.8461538461538464E-2</v>
      </c>
      <c r="F11388">
        <v>15</v>
      </c>
      <c r="G11388">
        <f>LOG(382/(15+1))</f>
        <v>1.3779433802557839</v>
      </c>
      <c r="H11388">
        <f>0.0384615384615384*3.17283188636679</f>
        <v>0.12203199562949174</v>
      </c>
      <c r="I11388">
        <v>0.1220319956294921</v>
      </c>
    </row>
    <row r="11389" spans="1:9" x14ac:dyDescent="0.25">
      <c r="A11389">
        <v>432</v>
      </c>
      <c r="B11389" t="s">
        <v>3384</v>
      </c>
      <c r="C11389" t="s">
        <v>75</v>
      </c>
      <c r="D11389" t="s">
        <v>888</v>
      </c>
      <c r="E11389">
        <f>1/52</f>
        <v>1.9230769230769232E-2</v>
      </c>
      <c r="F11389">
        <v>21</v>
      </c>
      <c r="G11389">
        <f>LOG(382/(21+1))</f>
        <v>1.2396406820895025</v>
      </c>
      <c r="H11389">
        <f>0.0192307692307692*2.85437815524825</f>
        <v>5.4891887600927794E-2</v>
      </c>
      <c r="I11389">
        <v>5.4891887600928058E-2</v>
      </c>
    </row>
    <row r="11390" spans="1:9" x14ac:dyDescent="0.25">
      <c r="A11390">
        <v>432</v>
      </c>
      <c r="B11390" t="s">
        <v>3384</v>
      </c>
      <c r="C11390" t="s">
        <v>75</v>
      </c>
      <c r="D11390" t="s">
        <v>263</v>
      </c>
      <c r="E11390">
        <f>1/52</f>
        <v>1.9230769230769232E-2</v>
      </c>
      <c r="F11390">
        <v>41</v>
      </c>
      <c r="G11390">
        <f>LOG(382/(41+1))</f>
        <v>0.95881407251380824</v>
      </c>
      <c r="H11390">
        <f>0.0192307692307692*2.2077509903232</f>
        <v>4.2456749813907631E-2</v>
      </c>
      <c r="I11390">
        <v>4.2456749813907832E-2</v>
      </c>
    </row>
    <row r="11391" spans="1:9" x14ac:dyDescent="0.25">
      <c r="A11391">
        <v>432</v>
      </c>
      <c r="B11391" t="s">
        <v>3384</v>
      </c>
      <c r="C11391" t="s">
        <v>75</v>
      </c>
      <c r="D11391" t="s">
        <v>676</v>
      </c>
      <c r="E11391">
        <f>1/52</f>
        <v>1.9230769230769232E-2</v>
      </c>
      <c r="F11391">
        <v>20</v>
      </c>
      <c r="G11391">
        <f>LOG(382/(20+1))</f>
        <v>1.2598440681777894</v>
      </c>
      <c r="H11391">
        <f>0.0192307692307692*2.90089817088315</f>
        <v>5.5786503286214338E-2</v>
      </c>
      <c r="I11391">
        <v>5.578650328621447E-2</v>
      </c>
    </row>
    <row r="11392" spans="1:9" x14ac:dyDescent="0.25">
      <c r="A11392">
        <v>432</v>
      </c>
      <c r="B11392" t="s">
        <v>3384</v>
      </c>
      <c r="C11392" t="s">
        <v>75</v>
      </c>
      <c r="D11392" t="s">
        <v>1025</v>
      </c>
      <c r="E11392">
        <f>1/52</f>
        <v>1.9230769230769232E-2</v>
      </c>
      <c r="F11392">
        <v>7</v>
      </c>
      <c r="G11392">
        <f>LOG(382/(7+1))</f>
        <v>1.6789733759197651</v>
      </c>
      <c r="H11392">
        <f>0.0192307692307692*3.86597906692673</f>
        <v>7.4345751287052383E-2</v>
      </c>
      <c r="I11392">
        <v>7.4345751287052675E-2</v>
      </c>
    </row>
    <row r="11393" spans="1:9" x14ac:dyDescent="0.25">
      <c r="A11393">
        <v>433</v>
      </c>
      <c r="B11393" t="s">
        <v>3391</v>
      </c>
      <c r="C11393" t="s">
        <v>75</v>
      </c>
      <c r="D11393" t="s">
        <v>3392</v>
      </c>
      <c r="E11393">
        <f>2/89</f>
        <v>2.247191011235955E-2</v>
      </c>
      <c r="F11393">
        <v>1</v>
      </c>
      <c r="G11393">
        <f>LOG(382/(1+1))</f>
        <v>2.2810333672477277</v>
      </c>
      <c r="H11393">
        <f>0.0224719101123595*5.25227342804663</f>
        <v>0.11802861636059817</v>
      </c>
      <c r="I11393">
        <v>0.1180286163605984</v>
      </c>
    </row>
    <row r="11394" spans="1:9" x14ac:dyDescent="0.25">
      <c r="A11394">
        <v>433</v>
      </c>
      <c r="B11394" t="s">
        <v>3391</v>
      </c>
      <c r="C11394" t="s">
        <v>75</v>
      </c>
      <c r="D11394" t="s">
        <v>1765</v>
      </c>
      <c r="E11394">
        <f>3/89</f>
        <v>3.3707865168539325E-2</v>
      </c>
      <c r="F11394">
        <v>14</v>
      </c>
      <c r="G11394">
        <f>LOG(382/(14+1))</f>
        <v>1.4059721038560276</v>
      </c>
      <c r="H11394">
        <f>0.0337078651685393*3.23737040750436</f>
        <v>0.10912484519677608</v>
      </c>
      <c r="I11394">
        <v>0.1091248451967764</v>
      </c>
    </row>
    <row r="11395" spans="1:9" x14ac:dyDescent="0.25">
      <c r="A11395">
        <v>433</v>
      </c>
      <c r="B11395" t="s">
        <v>3391</v>
      </c>
      <c r="C11395" t="s">
        <v>75</v>
      </c>
      <c r="D11395" t="s">
        <v>42</v>
      </c>
      <c r="E11395">
        <f>1/89</f>
        <v>1.1235955056179775E-2</v>
      </c>
      <c r="F11395">
        <v>251</v>
      </c>
      <c r="G11395">
        <f>LOG(382/(251+1))</f>
        <v>0.18066282213016463</v>
      </c>
      <c r="H11395">
        <f>0.0112359550561797*0.415991521095151</f>
        <v>4.6740620347769457E-3</v>
      </c>
      <c r="I11395">
        <v>4.6740620347769874E-3</v>
      </c>
    </row>
    <row r="11396" spans="1:9" x14ac:dyDescent="0.25">
      <c r="A11396">
        <v>433</v>
      </c>
      <c r="B11396" t="s">
        <v>3391</v>
      </c>
      <c r="C11396" t="s">
        <v>75</v>
      </c>
      <c r="D11396" t="s">
        <v>3393</v>
      </c>
      <c r="E11396">
        <f>1/89</f>
        <v>1.1235955056179775E-2</v>
      </c>
      <c r="F11396">
        <v>1</v>
      </c>
      <c r="G11396">
        <f>LOG(382/(1+1))</f>
        <v>2.2810333672477277</v>
      </c>
      <c r="H11396">
        <f>0.0112359550561797*5.25227342804663</f>
        <v>5.9014308180298819E-2</v>
      </c>
      <c r="I11396">
        <v>5.9014308180299208E-2</v>
      </c>
    </row>
    <row r="11397" spans="1:9" x14ac:dyDescent="0.25">
      <c r="A11397">
        <v>433</v>
      </c>
      <c r="B11397" t="s">
        <v>3391</v>
      </c>
      <c r="C11397" t="s">
        <v>75</v>
      </c>
      <c r="D11397" t="s">
        <v>70</v>
      </c>
      <c r="E11397">
        <f>2/89</f>
        <v>2.247191011235955E-2</v>
      </c>
      <c r="F11397">
        <v>44</v>
      </c>
      <c r="G11397">
        <f>LOG(382/(44+1))</f>
        <v>0.92885084913636506</v>
      </c>
      <c r="H11397">
        <f>0.0224719101123595*2.13875811883625</f>
        <v>4.8061980198567306E-2</v>
      </c>
      <c r="I11397">
        <v>4.8061980198567528E-2</v>
      </c>
    </row>
    <row r="11398" spans="1:9" x14ac:dyDescent="0.25">
      <c r="A11398">
        <v>433</v>
      </c>
      <c r="B11398" t="s">
        <v>3391</v>
      </c>
      <c r="C11398" t="s">
        <v>75</v>
      </c>
      <c r="D11398" t="s">
        <v>19</v>
      </c>
      <c r="E11398">
        <f>2/89</f>
        <v>2.247191011235955E-2</v>
      </c>
      <c r="F11398">
        <v>220</v>
      </c>
      <c r="G11398">
        <f>LOG(382/(220+1))</f>
        <v>0.23767108922659805</v>
      </c>
      <c r="H11398">
        <f>0.0224719101123595*0.547257907088822</f>
        <v>1.2297930496377996E-2</v>
      </c>
      <c r="I11398">
        <v>1.2297930496378029E-2</v>
      </c>
    </row>
    <row r="11399" spans="1:9" x14ac:dyDescent="0.25">
      <c r="A11399">
        <v>433</v>
      </c>
      <c r="B11399" t="s">
        <v>3391</v>
      </c>
      <c r="C11399" t="s">
        <v>75</v>
      </c>
      <c r="D11399" t="s">
        <v>44</v>
      </c>
      <c r="E11399">
        <f>2/89</f>
        <v>2.247191011235955E-2</v>
      </c>
      <c r="F11399">
        <v>151</v>
      </c>
      <c r="G11399">
        <f>LOG(382/(151+1))</f>
        <v>0.40021977496693617</v>
      </c>
      <c r="H11399">
        <f>0.0224719101123595*0.921540087760298</f>
        <v>2.0708766017085305E-2</v>
      </c>
      <c r="I11399">
        <v>2.0708766017085361E-2</v>
      </c>
    </row>
    <row r="11400" spans="1:9" x14ac:dyDescent="0.25">
      <c r="A11400">
        <v>433</v>
      </c>
      <c r="B11400" t="s">
        <v>3391</v>
      </c>
      <c r="C11400" t="s">
        <v>75</v>
      </c>
      <c r="D11400" t="s">
        <v>22</v>
      </c>
      <c r="E11400">
        <f>2/89</f>
        <v>2.247191011235955E-2</v>
      </c>
      <c r="F11400">
        <v>259</v>
      </c>
      <c r="G11400">
        <f>LOG(382/(259+1))</f>
        <v>0.16709001494089079</v>
      </c>
      <c r="H11400">
        <f>0.0224719101123595*0.384738977591047</f>
        <v>8.6458197211471046E-3</v>
      </c>
      <c r="I11400">
        <v>8.6458197211471358E-3</v>
      </c>
    </row>
    <row r="11401" spans="1:9" x14ac:dyDescent="0.25">
      <c r="A11401">
        <v>433</v>
      </c>
      <c r="B11401" t="s">
        <v>3391</v>
      </c>
      <c r="C11401" t="s">
        <v>75</v>
      </c>
      <c r="D11401" t="s">
        <v>23</v>
      </c>
      <c r="E11401">
        <f>2/89</f>
        <v>2.247191011235955E-2</v>
      </c>
      <c r="F11401">
        <v>275</v>
      </c>
      <c r="G11401">
        <f>LOG(382/(275+1))</f>
        <v>0.14115428084649101</v>
      </c>
      <c r="H11401">
        <f>0.0224719101123595*0.325019742889425</f>
        <v>7.3038144469533542E-3</v>
      </c>
      <c r="I11401">
        <v>7.3038144469533741E-3</v>
      </c>
    </row>
    <row r="11402" spans="1:9" x14ac:dyDescent="0.25">
      <c r="A11402">
        <v>433</v>
      </c>
      <c r="B11402" t="s">
        <v>3391</v>
      </c>
      <c r="C11402" t="s">
        <v>75</v>
      </c>
      <c r="D11402" t="s">
        <v>1537</v>
      </c>
      <c r="E11402">
        <f>1/89</f>
        <v>1.1235955056179775E-2</v>
      </c>
      <c r="F11402">
        <v>80</v>
      </c>
      <c r="G11402">
        <f>LOG(382/(80+1))</f>
        <v>0.67357834403305894</v>
      </c>
      <c r="H11402">
        <f>0.0112359550561797*1.55097145393413</f>
        <v>1.7426645549821568E-2</v>
      </c>
      <c r="I11402">
        <v>1.7426645549821759E-2</v>
      </c>
    </row>
    <row r="11403" spans="1:9" x14ac:dyDescent="0.25">
      <c r="A11403">
        <v>433</v>
      </c>
      <c r="B11403" t="s">
        <v>3391</v>
      </c>
      <c r="C11403" t="s">
        <v>75</v>
      </c>
      <c r="D11403" t="s">
        <v>3341</v>
      </c>
      <c r="E11403">
        <f>2/89</f>
        <v>2.247191011235955E-2</v>
      </c>
      <c r="F11403">
        <v>3</v>
      </c>
      <c r="G11403">
        <f>LOG(382/(3+1))</f>
        <v>1.9800033715837464</v>
      </c>
      <c r="H11403">
        <f>0.0224719101123595*4.55912624748668</f>
        <v>0.10245227522441955</v>
      </c>
      <c r="I11403">
        <v>0.10245227522441989</v>
      </c>
    </row>
    <row r="11404" spans="1:9" x14ac:dyDescent="0.25">
      <c r="A11404">
        <v>433</v>
      </c>
      <c r="B11404" t="s">
        <v>3391</v>
      </c>
      <c r="C11404" t="s">
        <v>75</v>
      </c>
      <c r="D11404" t="s">
        <v>204</v>
      </c>
      <c r="E11404">
        <f>1/89</f>
        <v>1.1235955056179775E-2</v>
      </c>
      <c r="F11404">
        <v>166</v>
      </c>
      <c r="G11404">
        <f>LOG(382/(166+1))</f>
        <v>0.35934689176412549</v>
      </c>
      <c r="H11404">
        <f>0.0112359550561797*0.82742679618982</f>
        <v>9.2969302942675774E-3</v>
      </c>
      <c r="I11404">
        <v>9.2969302942676416E-3</v>
      </c>
    </row>
    <row r="11405" spans="1:9" x14ac:dyDescent="0.25">
      <c r="A11405">
        <v>433</v>
      </c>
      <c r="B11405" t="s">
        <v>3391</v>
      </c>
      <c r="C11405" t="s">
        <v>75</v>
      </c>
      <c r="D11405" t="s">
        <v>1769</v>
      </c>
      <c r="E11405">
        <f>2/89</f>
        <v>2.247191011235955E-2</v>
      </c>
      <c r="F11405">
        <v>84</v>
      </c>
      <c r="G11405">
        <f>LOG(382/(84+1))</f>
        <v>0.65264443719741605</v>
      </c>
      <c r="H11405">
        <f>0.0224719101123595*1.50276935211625</f>
        <v>3.3770097800365093E-2</v>
      </c>
      <c r="I11405">
        <v>3.3770097800365363E-2</v>
      </c>
    </row>
    <row r="11406" spans="1:9" x14ac:dyDescent="0.25">
      <c r="A11406">
        <v>433</v>
      </c>
      <c r="B11406" t="s">
        <v>3391</v>
      </c>
      <c r="C11406" t="s">
        <v>75</v>
      </c>
      <c r="D11406" t="s">
        <v>1188</v>
      </c>
      <c r="E11406">
        <f t="shared" ref="E11406:E11429" si="535">1/89</f>
        <v>1.1235955056179775E-2</v>
      </c>
      <c r="F11406">
        <v>4</v>
      </c>
      <c r="G11406">
        <f>LOG(382/(4+1))</f>
        <v>1.8830933585756899</v>
      </c>
      <c r="H11406">
        <f>0.0112359550561797*4.33598269617247</f>
        <v>4.8718906698566759E-2</v>
      </c>
      <c r="I11406">
        <v>4.8718906698567127E-2</v>
      </c>
    </row>
    <row r="11407" spans="1:9" x14ac:dyDescent="0.25">
      <c r="A11407">
        <v>433</v>
      </c>
      <c r="B11407" t="s">
        <v>3391</v>
      </c>
      <c r="C11407" t="s">
        <v>75</v>
      </c>
      <c r="D11407" t="s">
        <v>1706</v>
      </c>
      <c r="E11407">
        <f t="shared" si="535"/>
        <v>1.1235955056179775E-2</v>
      </c>
      <c r="F11407">
        <v>5</v>
      </c>
      <c r="G11407">
        <f>LOG(382/(5+1))</f>
        <v>1.803912112528065</v>
      </c>
      <c r="H11407">
        <f>0.0112359550561797*4.15366113937852</f>
        <v>4.6670349880657214E-2</v>
      </c>
      <c r="I11407">
        <v>4.6670349880657533E-2</v>
      </c>
    </row>
    <row r="11408" spans="1:9" x14ac:dyDescent="0.25">
      <c r="A11408">
        <v>433</v>
      </c>
      <c r="B11408" t="s">
        <v>3391</v>
      </c>
      <c r="C11408" t="s">
        <v>75</v>
      </c>
      <c r="D11408" t="s">
        <v>1546</v>
      </c>
      <c r="E11408">
        <f t="shared" si="535"/>
        <v>1.1235955056179775E-2</v>
      </c>
      <c r="F11408">
        <v>44</v>
      </c>
      <c r="G11408">
        <f>LOG(382/(44+1))</f>
        <v>0.92885084913636506</v>
      </c>
      <c r="H11408">
        <f>0.0112359550561797*2.13875811883625</f>
        <v>2.4030990099283545E-2</v>
      </c>
      <c r="I11408">
        <v>2.4030990099283771E-2</v>
      </c>
    </row>
    <row r="11409" spans="1:9" x14ac:dyDescent="0.25">
      <c r="A11409">
        <v>433</v>
      </c>
      <c r="B11409" t="s">
        <v>3391</v>
      </c>
      <c r="C11409" t="s">
        <v>75</v>
      </c>
      <c r="D11409" t="s">
        <v>932</v>
      </c>
      <c r="E11409">
        <f t="shared" si="535"/>
        <v>1.1235955056179775E-2</v>
      </c>
      <c r="F11409">
        <v>35</v>
      </c>
      <c r="G11409">
        <f>LOG(382/(35+1))</f>
        <v>1.0257608621444214</v>
      </c>
      <c r="H11409">
        <f>0.0112359550561797*2.36190167015046</f>
        <v>2.6538221012926341E-2</v>
      </c>
      <c r="I11409">
        <v>2.653822101292657E-2</v>
      </c>
    </row>
    <row r="11410" spans="1:9" x14ac:dyDescent="0.25">
      <c r="A11410">
        <v>433</v>
      </c>
      <c r="B11410" t="s">
        <v>3391</v>
      </c>
      <c r="C11410" t="s">
        <v>75</v>
      </c>
      <c r="D11410" t="s">
        <v>570</v>
      </c>
      <c r="E11410">
        <f t="shared" si="535"/>
        <v>1.1235955056179775E-2</v>
      </c>
      <c r="F11410">
        <v>27</v>
      </c>
      <c r="G11410">
        <f>LOG(382/(27+1))</f>
        <v>1.1349053315694895</v>
      </c>
      <c r="H11410">
        <f>0.0112359550561797*2.61321609843137</f>
        <v>2.9361978634060142E-2</v>
      </c>
      <c r="I11410">
        <v>2.936197863406035E-2</v>
      </c>
    </row>
    <row r="11411" spans="1:9" x14ac:dyDescent="0.25">
      <c r="A11411">
        <v>433</v>
      </c>
      <c r="B11411" t="s">
        <v>3391</v>
      </c>
      <c r="C11411" t="s">
        <v>75</v>
      </c>
      <c r="D11411" t="s">
        <v>77</v>
      </c>
      <c r="E11411">
        <f t="shared" si="535"/>
        <v>1.1235955056179775E-2</v>
      </c>
      <c r="F11411">
        <v>148</v>
      </c>
      <c r="G11411">
        <f>LOG(382/(148+1))</f>
        <v>0.40887709449943471</v>
      </c>
      <c r="H11411">
        <f>0.0112359550561797*0.941474302661116</f>
        <v>1.0578362951248423E-2</v>
      </c>
      <c r="I11411">
        <v>1.0578362951248499E-2</v>
      </c>
    </row>
    <row r="11412" spans="1:9" x14ac:dyDescent="0.25">
      <c r="A11412">
        <v>433</v>
      </c>
      <c r="B11412" t="s">
        <v>3391</v>
      </c>
      <c r="C11412" t="s">
        <v>75</v>
      </c>
      <c r="D11412" t="s">
        <v>3394</v>
      </c>
      <c r="E11412">
        <f t="shared" si="535"/>
        <v>1.1235955056179775E-2</v>
      </c>
      <c r="F11412">
        <v>1</v>
      </c>
      <c r="G11412">
        <f>LOG(382/(1+1))</f>
        <v>2.2810333672477277</v>
      </c>
      <c r="H11412">
        <f>0.0112359550561797*5.25227342804663</f>
        <v>5.9014308180298819E-2</v>
      </c>
      <c r="I11412">
        <v>5.9014308180299208E-2</v>
      </c>
    </row>
    <row r="11413" spans="1:9" x14ac:dyDescent="0.25">
      <c r="A11413">
        <v>433</v>
      </c>
      <c r="B11413" t="s">
        <v>3391</v>
      </c>
      <c r="C11413" t="s">
        <v>75</v>
      </c>
      <c r="D11413" t="s">
        <v>40</v>
      </c>
      <c r="E11413">
        <f t="shared" si="535"/>
        <v>1.1235955056179775E-2</v>
      </c>
      <c r="F11413">
        <v>159</v>
      </c>
      <c r="G11413">
        <f>LOG(382/(159+1))</f>
        <v>0.377943380255784</v>
      </c>
      <c r="H11413">
        <f>0.0112359550561797*0.870246793372748</f>
        <v>9.7780538581206996E-3</v>
      </c>
      <c r="I11413">
        <v>9.7780538581207672E-3</v>
      </c>
    </row>
    <row r="11414" spans="1:9" x14ac:dyDescent="0.25">
      <c r="A11414">
        <v>433</v>
      </c>
      <c r="B11414" t="s">
        <v>3391</v>
      </c>
      <c r="C11414" t="s">
        <v>75</v>
      </c>
      <c r="D11414" t="s">
        <v>415</v>
      </c>
      <c r="E11414">
        <f t="shared" si="535"/>
        <v>1.1235955056179775E-2</v>
      </c>
      <c r="F11414">
        <v>6</v>
      </c>
      <c r="G11414">
        <f>LOG(382/(6+1))</f>
        <v>1.736965322897452</v>
      </c>
      <c r="H11414">
        <f>0.0112359550561797*3.99951045955126</f>
        <v>4.4938319770238579E-2</v>
      </c>
      <c r="I11414">
        <v>4.4938319770238898E-2</v>
      </c>
    </row>
    <row r="11415" spans="1:9" x14ac:dyDescent="0.25">
      <c r="A11415">
        <v>433</v>
      </c>
      <c r="B11415" t="s">
        <v>3391</v>
      </c>
      <c r="C11415" t="s">
        <v>75</v>
      </c>
      <c r="D11415" t="s">
        <v>2887</v>
      </c>
      <c r="E11415">
        <f t="shared" si="535"/>
        <v>1.1235955056179775E-2</v>
      </c>
      <c r="F11415">
        <v>2</v>
      </c>
      <c r="G11415">
        <f>LOG(382/(2+1))</f>
        <v>2.1049421081920463</v>
      </c>
      <c r="H11415">
        <f>0.0112359550561797*4.84680831993846</f>
        <v>5.4458520448746377E-2</v>
      </c>
      <c r="I11415">
        <v>5.44585204487468E-2</v>
      </c>
    </row>
    <row r="11416" spans="1:9" x14ac:dyDescent="0.25">
      <c r="A11416">
        <v>433</v>
      </c>
      <c r="B11416" t="s">
        <v>3391</v>
      </c>
      <c r="C11416" t="s">
        <v>75</v>
      </c>
      <c r="D11416" t="s">
        <v>247</v>
      </c>
      <c r="E11416">
        <f t="shared" si="535"/>
        <v>1.1235955056179775E-2</v>
      </c>
      <c r="F11416">
        <v>121</v>
      </c>
      <c r="G11416">
        <f>LOG(382/(121+1))</f>
        <v>0.49570353223696051</v>
      </c>
      <c r="H11416">
        <f>0.0112359550561797*1.14139956387331</f>
        <v>1.2824714200823624E-2</v>
      </c>
      <c r="I11416">
        <v>1.282471420082381E-2</v>
      </c>
    </row>
    <row r="11417" spans="1:9" x14ac:dyDescent="0.25">
      <c r="A11417">
        <v>433</v>
      </c>
      <c r="B11417" t="s">
        <v>3391</v>
      </c>
      <c r="C11417" t="s">
        <v>75</v>
      </c>
      <c r="D11417" t="s">
        <v>1079</v>
      </c>
      <c r="E11417">
        <f t="shared" si="535"/>
        <v>1.1235955056179775E-2</v>
      </c>
      <c r="F11417">
        <v>34</v>
      </c>
      <c r="G11417">
        <f>LOG(382/(34+1))</f>
        <v>1.037995318561433</v>
      </c>
      <c r="H11417">
        <f>0.0112359550561797*2.39007254711716</f>
        <v>2.6854747720417349E-2</v>
      </c>
      <c r="I11417">
        <v>2.685474772041754E-2</v>
      </c>
    </row>
    <row r="11418" spans="1:9" x14ac:dyDescent="0.25">
      <c r="A11418">
        <v>433</v>
      </c>
      <c r="B11418" t="s">
        <v>3391</v>
      </c>
      <c r="C11418" t="s">
        <v>75</v>
      </c>
      <c r="D11418" t="s">
        <v>119</v>
      </c>
      <c r="E11418">
        <f t="shared" si="535"/>
        <v>1.1235955056179775E-2</v>
      </c>
      <c r="F11418">
        <v>79</v>
      </c>
      <c r="G11418">
        <f>LOG(382/(79+1))</f>
        <v>0.67897337591976514</v>
      </c>
      <c r="H11418">
        <f>0.0112359550561797*1.56339397393269</f>
        <v>1.7566224426209885E-2</v>
      </c>
      <c r="I11418">
        <v>1.7566224426210041E-2</v>
      </c>
    </row>
    <row r="11419" spans="1:9" x14ac:dyDescent="0.25">
      <c r="A11419">
        <v>433</v>
      </c>
      <c r="B11419" t="s">
        <v>3391</v>
      </c>
      <c r="C11419" t="s">
        <v>75</v>
      </c>
      <c r="D11419" t="s">
        <v>520</v>
      </c>
      <c r="E11419">
        <f t="shared" si="535"/>
        <v>1.1235955056179775E-2</v>
      </c>
      <c r="F11419">
        <v>25</v>
      </c>
      <c r="G11419">
        <f>LOG(382/(25+1))</f>
        <v>1.1670900149408907</v>
      </c>
      <c r="H11419">
        <f>0.0112359550561797*2.68732407058509</f>
        <v>3.0194652478483956E-2</v>
      </c>
      <c r="I11419">
        <v>3.0194652478484189E-2</v>
      </c>
    </row>
    <row r="11420" spans="1:9" x14ac:dyDescent="0.25">
      <c r="A11420">
        <v>433</v>
      </c>
      <c r="B11420" t="s">
        <v>3391</v>
      </c>
      <c r="C11420" t="s">
        <v>75</v>
      </c>
      <c r="D11420" t="s">
        <v>3395</v>
      </c>
      <c r="E11420">
        <f t="shared" si="535"/>
        <v>1.1235955056179775E-2</v>
      </c>
      <c r="F11420">
        <v>1</v>
      </c>
      <c r="G11420">
        <f>LOG(382/(1+1))</f>
        <v>2.2810333672477277</v>
      </c>
      <c r="H11420">
        <f>0.0112359550561797*5.25227342804663</f>
        <v>5.9014308180298819E-2</v>
      </c>
      <c r="I11420">
        <v>5.9014308180299208E-2</v>
      </c>
    </row>
    <row r="11421" spans="1:9" x14ac:dyDescent="0.25">
      <c r="A11421">
        <v>433</v>
      </c>
      <c r="B11421" t="s">
        <v>3391</v>
      </c>
      <c r="C11421" t="s">
        <v>75</v>
      </c>
      <c r="D11421" t="s">
        <v>632</v>
      </c>
      <c r="E11421">
        <f t="shared" si="535"/>
        <v>1.1235955056179775E-2</v>
      </c>
      <c r="F11421">
        <v>7</v>
      </c>
      <c r="G11421">
        <f>LOG(382/(7+1))</f>
        <v>1.6789733759197651</v>
      </c>
      <c r="H11421">
        <f>0.0112359550561797*3.86597906692673</f>
        <v>4.3437967044120278E-2</v>
      </c>
      <c r="I11421">
        <v>4.3437967044120659E-2</v>
      </c>
    </row>
    <row r="11422" spans="1:9" x14ac:dyDescent="0.25">
      <c r="A11422">
        <v>433</v>
      </c>
      <c r="B11422" t="s">
        <v>3391</v>
      </c>
      <c r="C11422" t="s">
        <v>75</v>
      </c>
      <c r="D11422" t="s">
        <v>3396</v>
      </c>
      <c r="E11422">
        <f t="shared" si="535"/>
        <v>1.1235955056179775E-2</v>
      </c>
      <c r="F11422">
        <v>1</v>
      </c>
      <c r="G11422">
        <f>LOG(382/(1+1))</f>
        <v>2.2810333672477277</v>
      </c>
      <c r="H11422">
        <f>0.0112359550561797*5.25227342804663</f>
        <v>5.9014308180298819E-2</v>
      </c>
      <c r="I11422">
        <v>5.9014308180299208E-2</v>
      </c>
    </row>
    <row r="11423" spans="1:9" x14ac:dyDescent="0.25">
      <c r="A11423">
        <v>433</v>
      </c>
      <c r="B11423" t="s">
        <v>3391</v>
      </c>
      <c r="C11423" t="s">
        <v>75</v>
      </c>
      <c r="D11423" t="s">
        <v>3324</v>
      </c>
      <c r="E11423">
        <f t="shared" si="535"/>
        <v>1.1235955056179775E-2</v>
      </c>
      <c r="F11423">
        <v>8</v>
      </c>
      <c r="G11423">
        <f>LOG(382/(8+1))</f>
        <v>1.6278208534723839</v>
      </c>
      <c r="H11423">
        <f>0.0112359550561797*3.74819603127035</f>
        <v>4.2114562149104771E-2</v>
      </c>
      <c r="I11423">
        <v>4.2114562149105118E-2</v>
      </c>
    </row>
    <row r="11424" spans="1:9" x14ac:dyDescent="0.25">
      <c r="A11424">
        <v>433</v>
      </c>
      <c r="B11424" t="s">
        <v>3391</v>
      </c>
      <c r="C11424" t="s">
        <v>75</v>
      </c>
      <c r="D11424" t="s">
        <v>1905</v>
      </c>
      <c r="E11424">
        <f t="shared" si="535"/>
        <v>1.1235955056179775E-2</v>
      </c>
      <c r="F11424">
        <v>24</v>
      </c>
      <c r="G11424">
        <f>LOG(382/(24+1))</f>
        <v>1.1841233542396712</v>
      </c>
      <c r="H11424">
        <f>0.0112359550561797*2.72654478373837</f>
        <v>3.0635334648745523E-2</v>
      </c>
      <c r="I11424">
        <v>3.0635334648745779E-2</v>
      </c>
    </row>
    <row r="11425" spans="1:9" x14ac:dyDescent="0.25">
      <c r="A11425">
        <v>433</v>
      </c>
      <c r="B11425" t="s">
        <v>3391</v>
      </c>
      <c r="C11425" t="s">
        <v>75</v>
      </c>
      <c r="D11425" t="s">
        <v>3397</v>
      </c>
      <c r="E11425">
        <f t="shared" si="535"/>
        <v>1.1235955056179775E-2</v>
      </c>
      <c r="F11425">
        <v>1</v>
      </c>
      <c r="G11425">
        <f>LOG(382/(1+1))</f>
        <v>2.2810333672477277</v>
      </c>
      <c r="H11425">
        <f>0.0112359550561797*5.25227342804663</f>
        <v>5.9014308180298819E-2</v>
      </c>
      <c r="I11425">
        <v>5.9014308180299208E-2</v>
      </c>
    </row>
    <row r="11426" spans="1:9" x14ac:dyDescent="0.25">
      <c r="A11426">
        <v>433</v>
      </c>
      <c r="B11426" t="s">
        <v>3391</v>
      </c>
      <c r="C11426" t="s">
        <v>75</v>
      </c>
      <c r="D11426" t="s">
        <v>2016</v>
      </c>
      <c r="E11426">
        <f t="shared" si="535"/>
        <v>1.1235955056179775E-2</v>
      </c>
      <c r="F11426">
        <v>2</v>
      </c>
      <c r="G11426">
        <f>LOG(382/(2+1))</f>
        <v>2.1049421081920463</v>
      </c>
      <c r="H11426">
        <f>0.0112359550561797*4.84680831993846</f>
        <v>5.4458520448746377E-2</v>
      </c>
      <c r="I11426">
        <v>5.44585204487468E-2</v>
      </c>
    </row>
    <row r="11427" spans="1:9" x14ac:dyDescent="0.25">
      <c r="A11427">
        <v>433</v>
      </c>
      <c r="B11427" t="s">
        <v>3391</v>
      </c>
      <c r="C11427" t="s">
        <v>75</v>
      </c>
      <c r="D11427" t="s">
        <v>361</v>
      </c>
      <c r="E11427">
        <f t="shared" si="535"/>
        <v>1.1235955056179775E-2</v>
      </c>
      <c r="F11427">
        <v>118</v>
      </c>
      <c r="G11427">
        <f>LOG(382/(118+1))</f>
        <v>0.50651640151917798</v>
      </c>
      <c r="H11427">
        <f>0.0112359550561797*1.16629711549504</f>
        <v>1.3104461971854293E-2</v>
      </c>
      <c r="I11427">
        <v>1.3104461971854451E-2</v>
      </c>
    </row>
    <row r="11428" spans="1:9" x14ac:dyDescent="0.25">
      <c r="A11428">
        <v>433</v>
      </c>
      <c r="B11428" t="s">
        <v>3391</v>
      </c>
      <c r="C11428" t="s">
        <v>75</v>
      </c>
      <c r="D11428" t="s">
        <v>434</v>
      </c>
      <c r="E11428">
        <f t="shared" si="535"/>
        <v>1.1235955056179775E-2</v>
      </c>
      <c r="F11428">
        <v>97</v>
      </c>
      <c r="G11428">
        <f>LOG(382/(97+1))</f>
        <v>0.59083728721921391</v>
      </c>
      <c r="H11428">
        <f>0.0112359550561797*1.360453129936</f>
        <v>1.52859902239999E-2</v>
      </c>
      <c r="I11428">
        <v>1.528599022400003E-2</v>
      </c>
    </row>
    <row r="11429" spans="1:9" x14ac:dyDescent="0.25">
      <c r="A11429">
        <v>433</v>
      </c>
      <c r="B11429" t="s">
        <v>3391</v>
      </c>
      <c r="C11429" t="s">
        <v>75</v>
      </c>
      <c r="D11429" t="s">
        <v>3325</v>
      </c>
      <c r="E11429">
        <f t="shared" si="535"/>
        <v>1.1235955056179775E-2</v>
      </c>
      <c r="F11429">
        <v>19</v>
      </c>
      <c r="G11429">
        <f>LOG(382/(19+1))</f>
        <v>1.2810333672477277</v>
      </c>
      <c r="H11429">
        <f>0.0112359550561797*2.94968833505258</f>
        <v>3.3142565562388315E-2</v>
      </c>
      <c r="I11429">
        <v>3.3142565562388593E-2</v>
      </c>
    </row>
    <row r="11430" spans="1:9" x14ac:dyDescent="0.25">
      <c r="A11430">
        <v>433</v>
      </c>
      <c r="B11430" t="s">
        <v>3391</v>
      </c>
      <c r="C11430" t="s">
        <v>75</v>
      </c>
      <c r="D11430" t="s">
        <v>2241</v>
      </c>
      <c r="E11430">
        <f>4/89</f>
        <v>4.49438202247191E-2</v>
      </c>
      <c r="F11430">
        <v>12</v>
      </c>
      <c r="G11430">
        <f>LOG(382/(12+1))</f>
        <v>1.468120010604872</v>
      </c>
      <c r="H11430">
        <f>0.0449438202247191*3.38047125114503</f>
        <v>0.15193129218629348</v>
      </c>
      <c r="I11430">
        <v>0.15193129218629389</v>
      </c>
    </row>
    <row r="11431" spans="1:9" x14ac:dyDescent="0.25">
      <c r="A11431">
        <v>433</v>
      </c>
      <c r="B11431" t="s">
        <v>3391</v>
      </c>
      <c r="C11431" t="s">
        <v>75</v>
      </c>
      <c r="D11431" t="s">
        <v>851</v>
      </c>
      <c r="E11431">
        <f>4/89</f>
        <v>4.49438202247191E-2</v>
      </c>
      <c r="F11431">
        <v>8</v>
      </c>
      <c r="G11431">
        <f>LOG(382/(8+1))</f>
        <v>1.6278208534723839</v>
      </c>
      <c r="H11431">
        <f>0.0449438202247191*3.74819603127035</f>
        <v>0.16845824859642022</v>
      </c>
      <c r="I11431">
        <v>0.1684582485964205</v>
      </c>
    </row>
    <row r="11432" spans="1:9" x14ac:dyDescent="0.25">
      <c r="A11432">
        <v>433</v>
      </c>
      <c r="B11432" t="s">
        <v>3391</v>
      </c>
      <c r="C11432" t="s">
        <v>75</v>
      </c>
      <c r="D11432" t="s">
        <v>3398</v>
      </c>
      <c r="E11432">
        <f>1/89</f>
        <v>1.1235955056179775E-2</v>
      </c>
      <c r="F11432">
        <v>2</v>
      </c>
      <c r="G11432">
        <f>LOG(382/(2+1))</f>
        <v>2.1049421081920463</v>
      </c>
      <c r="H11432">
        <f>0.0112359550561797*4.84680831993846</f>
        <v>5.4458520448746377E-2</v>
      </c>
      <c r="I11432">
        <v>5.44585204487468E-2</v>
      </c>
    </row>
    <row r="11433" spans="1:9" x14ac:dyDescent="0.25">
      <c r="A11433">
        <v>433</v>
      </c>
      <c r="B11433" t="s">
        <v>3391</v>
      </c>
      <c r="C11433" t="s">
        <v>75</v>
      </c>
      <c r="D11433" t="s">
        <v>3399</v>
      </c>
      <c r="E11433">
        <f>1/89</f>
        <v>1.1235955056179775E-2</v>
      </c>
      <c r="F11433">
        <v>1</v>
      </c>
      <c r="G11433">
        <f>LOG(382/(1+1))</f>
        <v>2.2810333672477277</v>
      </c>
      <c r="H11433">
        <f>0.0112359550561797*5.25227342804663</f>
        <v>5.9014308180298819E-2</v>
      </c>
      <c r="I11433">
        <v>5.9014308180299208E-2</v>
      </c>
    </row>
    <row r="11434" spans="1:9" x14ac:dyDescent="0.25">
      <c r="A11434">
        <v>433</v>
      </c>
      <c r="B11434" t="s">
        <v>3391</v>
      </c>
      <c r="C11434" t="s">
        <v>75</v>
      </c>
      <c r="D11434" t="s">
        <v>213</v>
      </c>
      <c r="E11434">
        <f>2/89</f>
        <v>2.247191011235955E-2</v>
      </c>
      <c r="F11434">
        <v>2</v>
      </c>
      <c r="G11434">
        <f>LOG(382/(2+1))</f>
        <v>2.1049421081920463</v>
      </c>
      <c r="H11434">
        <f>0.0224719101123595*4.84680831993846</f>
        <v>0.10891704089749324</v>
      </c>
      <c r="I11434">
        <v>0.1089170408974936</v>
      </c>
    </row>
    <row r="11435" spans="1:9" x14ac:dyDescent="0.25">
      <c r="A11435">
        <v>433</v>
      </c>
      <c r="B11435" t="s">
        <v>3391</v>
      </c>
      <c r="C11435" t="s">
        <v>75</v>
      </c>
      <c r="D11435" t="s">
        <v>3400</v>
      </c>
      <c r="E11435">
        <f t="shared" ref="E11435:E11464" si="536">1/89</f>
        <v>1.1235955056179775E-2</v>
      </c>
      <c r="F11435">
        <v>1</v>
      </c>
      <c r="G11435">
        <f>LOG(382/(1+1))</f>
        <v>2.2810333672477277</v>
      </c>
      <c r="H11435">
        <f>0.0112359550561797*5.25227342804663</f>
        <v>5.9014308180298819E-2</v>
      </c>
      <c r="I11435">
        <v>5.9014308180299208E-2</v>
      </c>
    </row>
    <row r="11436" spans="1:9" x14ac:dyDescent="0.25">
      <c r="A11436">
        <v>433</v>
      </c>
      <c r="B11436" t="s">
        <v>3391</v>
      </c>
      <c r="C11436" t="s">
        <v>75</v>
      </c>
      <c r="D11436" t="s">
        <v>3401</v>
      </c>
      <c r="E11436">
        <f t="shared" si="536"/>
        <v>1.1235955056179775E-2</v>
      </c>
      <c r="F11436">
        <v>8</v>
      </c>
      <c r="G11436">
        <f>LOG(382/(8+1))</f>
        <v>1.6278208534723839</v>
      </c>
      <c r="H11436">
        <f>0.0112359550561797*3.74819603127035</f>
        <v>4.2114562149104771E-2</v>
      </c>
      <c r="I11436">
        <v>4.2114562149105118E-2</v>
      </c>
    </row>
    <row r="11437" spans="1:9" x14ac:dyDescent="0.25">
      <c r="A11437">
        <v>433</v>
      </c>
      <c r="B11437" t="s">
        <v>3391</v>
      </c>
      <c r="C11437" t="s">
        <v>75</v>
      </c>
      <c r="D11437" t="s">
        <v>3402</v>
      </c>
      <c r="E11437">
        <f t="shared" si="536"/>
        <v>1.1235955056179775E-2</v>
      </c>
      <c r="F11437">
        <v>1</v>
      </c>
      <c r="G11437">
        <f>LOG(382/(1+1))</f>
        <v>2.2810333672477277</v>
      </c>
      <c r="H11437">
        <f>0.0112359550561797*5.25227342804663</f>
        <v>5.9014308180298819E-2</v>
      </c>
      <c r="I11437">
        <v>5.9014308180299208E-2</v>
      </c>
    </row>
    <row r="11438" spans="1:9" x14ac:dyDescent="0.25">
      <c r="A11438">
        <v>433</v>
      </c>
      <c r="B11438" t="s">
        <v>3391</v>
      </c>
      <c r="C11438" t="s">
        <v>75</v>
      </c>
      <c r="D11438" t="s">
        <v>210</v>
      </c>
      <c r="E11438">
        <f t="shared" si="536"/>
        <v>1.1235955056179775E-2</v>
      </c>
      <c r="F11438">
        <v>9</v>
      </c>
      <c r="G11438">
        <f>LOG(382/(9+1))</f>
        <v>1.5820633629117087</v>
      </c>
      <c r="H11438">
        <f>0.0112359550561797*3.64283551561252</f>
        <v>4.0930736130477478E-2</v>
      </c>
      <c r="I11438">
        <v>4.093073613047786E-2</v>
      </c>
    </row>
    <row r="11439" spans="1:9" x14ac:dyDescent="0.25">
      <c r="A11439">
        <v>433</v>
      </c>
      <c r="B11439" t="s">
        <v>3391</v>
      </c>
      <c r="C11439" t="s">
        <v>75</v>
      </c>
      <c r="D11439" t="s">
        <v>1284</v>
      </c>
      <c r="E11439">
        <f t="shared" si="536"/>
        <v>1.1235955056179775E-2</v>
      </c>
      <c r="F11439">
        <v>5</v>
      </c>
      <c r="G11439">
        <f>LOG(382/(5+1))</f>
        <v>1.803912112528065</v>
      </c>
      <c r="H11439">
        <f>0.0112359550561797*4.15366113937852</f>
        <v>4.6670349880657214E-2</v>
      </c>
      <c r="I11439">
        <v>4.6670349880657533E-2</v>
      </c>
    </row>
    <row r="11440" spans="1:9" x14ac:dyDescent="0.25">
      <c r="A11440">
        <v>433</v>
      </c>
      <c r="B11440" t="s">
        <v>3391</v>
      </c>
      <c r="C11440" t="s">
        <v>75</v>
      </c>
      <c r="D11440" t="s">
        <v>362</v>
      </c>
      <c r="E11440">
        <f t="shared" si="536"/>
        <v>1.1235955056179775E-2</v>
      </c>
      <c r="F11440">
        <v>81</v>
      </c>
      <c r="G11440">
        <f>LOG(382/(81+1))</f>
        <v>0.66824951052799197</v>
      </c>
      <c r="H11440">
        <f>0.0112359550561797*1.53870136134232</f>
        <v>1.7288779340924827E-2</v>
      </c>
      <c r="I11440">
        <v>1.7288779340924969E-2</v>
      </c>
    </row>
    <row r="11441" spans="1:9" x14ac:dyDescent="0.25">
      <c r="A11441">
        <v>433</v>
      </c>
      <c r="B11441" t="s">
        <v>3391</v>
      </c>
      <c r="C11441" t="s">
        <v>75</v>
      </c>
      <c r="D11441" t="s">
        <v>3403</v>
      </c>
      <c r="E11441">
        <f t="shared" si="536"/>
        <v>1.1235955056179775E-2</v>
      </c>
      <c r="F11441">
        <v>5</v>
      </c>
      <c r="G11441">
        <f>LOG(382/(5+1))</f>
        <v>1.803912112528065</v>
      </c>
      <c r="H11441">
        <f>0.0112359550561797*4.15366113937852</f>
        <v>4.6670349880657214E-2</v>
      </c>
      <c r="I11441">
        <v>4.6670349880657533E-2</v>
      </c>
    </row>
    <row r="11442" spans="1:9" x14ac:dyDescent="0.25">
      <c r="A11442">
        <v>433</v>
      </c>
      <c r="B11442" t="s">
        <v>3391</v>
      </c>
      <c r="C11442" t="s">
        <v>75</v>
      </c>
      <c r="D11442" t="s">
        <v>3404</v>
      </c>
      <c r="E11442">
        <f t="shared" si="536"/>
        <v>1.1235955056179775E-2</v>
      </c>
      <c r="F11442">
        <v>5</v>
      </c>
      <c r="G11442">
        <f>LOG(382/(5+1))</f>
        <v>1.803912112528065</v>
      </c>
      <c r="H11442">
        <f>0.0112359550561797*4.15366113937852</f>
        <v>4.6670349880657214E-2</v>
      </c>
      <c r="I11442">
        <v>4.6670349880657533E-2</v>
      </c>
    </row>
    <row r="11443" spans="1:9" x14ac:dyDescent="0.25">
      <c r="A11443">
        <v>433</v>
      </c>
      <c r="B11443" t="s">
        <v>3391</v>
      </c>
      <c r="C11443" t="s">
        <v>75</v>
      </c>
      <c r="D11443" t="s">
        <v>1548</v>
      </c>
      <c r="E11443">
        <f t="shared" si="536"/>
        <v>1.1235955056179775E-2</v>
      </c>
      <c r="F11443">
        <v>6</v>
      </c>
      <c r="G11443">
        <f>LOG(382/(6+1))</f>
        <v>1.736965322897452</v>
      </c>
      <c r="H11443">
        <f>0.0112359550561797*3.99951045955126</f>
        <v>4.4938319770238579E-2</v>
      </c>
      <c r="I11443">
        <v>4.4938319770238898E-2</v>
      </c>
    </row>
    <row r="11444" spans="1:9" x14ac:dyDescent="0.25">
      <c r="A11444">
        <v>433</v>
      </c>
      <c r="B11444" t="s">
        <v>3391</v>
      </c>
      <c r="C11444" t="s">
        <v>75</v>
      </c>
      <c r="D11444" t="s">
        <v>3405</v>
      </c>
      <c r="E11444">
        <f t="shared" si="536"/>
        <v>1.1235955056179775E-2</v>
      </c>
      <c r="F11444">
        <v>1</v>
      </c>
      <c r="G11444">
        <f>LOG(382/(1+1))</f>
        <v>2.2810333672477277</v>
      </c>
      <c r="H11444">
        <f>0.0112359550561797*5.25227342804663</f>
        <v>5.9014308180298819E-2</v>
      </c>
      <c r="I11444">
        <v>5.9014308180299208E-2</v>
      </c>
    </row>
    <row r="11445" spans="1:9" x14ac:dyDescent="0.25">
      <c r="A11445">
        <v>433</v>
      </c>
      <c r="B11445" t="s">
        <v>3391</v>
      </c>
      <c r="C11445" t="s">
        <v>75</v>
      </c>
      <c r="D11445" t="s">
        <v>105</v>
      </c>
      <c r="E11445">
        <f t="shared" si="536"/>
        <v>1.1235955056179775E-2</v>
      </c>
      <c r="F11445">
        <v>122</v>
      </c>
      <c r="G11445">
        <f>LOG(382/(122+1))</f>
        <v>0.49215825147231079</v>
      </c>
      <c r="H11445">
        <f>0.0112359550561797*1.13323625323415</f>
        <v>1.2732991609372387E-2</v>
      </c>
      <c r="I11445">
        <v>1.273299160937256E-2</v>
      </c>
    </row>
    <row r="11446" spans="1:9" x14ac:dyDescent="0.25">
      <c r="A11446">
        <v>433</v>
      </c>
      <c r="B11446" t="s">
        <v>3391</v>
      </c>
      <c r="C11446" t="s">
        <v>75</v>
      </c>
      <c r="D11446" t="s">
        <v>3406</v>
      </c>
      <c r="E11446">
        <f t="shared" si="536"/>
        <v>1.1235955056179775E-2</v>
      </c>
      <c r="F11446">
        <v>1</v>
      </c>
      <c r="G11446">
        <f>LOG(382/(1+1))</f>
        <v>2.2810333672477277</v>
      </c>
      <c r="H11446">
        <f>0.0112359550561797*5.25227342804663</f>
        <v>5.9014308180298819E-2</v>
      </c>
      <c r="I11446">
        <v>5.9014308180299208E-2</v>
      </c>
    </row>
    <row r="11447" spans="1:9" x14ac:dyDescent="0.25">
      <c r="A11447">
        <v>433</v>
      </c>
      <c r="B11447" t="s">
        <v>3391</v>
      </c>
      <c r="C11447" t="s">
        <v>75</v>
      </c>
      <c r="D11447" t="s">
        <v>1080</v>
      </c>
      <c r="E11447">
        <f t="shared" si="536"/>
        <v>1.1235955056179775E-2</v>
      </c>
      <c r="F11447">
        <v>26</v>
      </c>
      <c r="G11447">
        <f>LOG(382/(26+1))</f>
        <v>1.1506995987527215</v>
      </c>
      <c r="H11447">
        <f>0.0112359550561797*2.64958374260224</f>
        <v>2.9770603849463173E-2</v>
      </c>
      <c r="I11447">
        <v>2.977060384946344E-2</v>
      </c>
    </row>
    <row r="11448" spans="1:9" x14ac:dyDescent="0.25">
      <c r="A11448">
        <v>433</v>
      </c>
      <c r="B11448" t="s">
        <v>3391</v>
      </c>
      <c r="C11448" t="s">
        <v>75</v>
      </c>
      <c r="D11448" t="s">
        <v>3407</v>
      </c>
      <c r="E11448">
        <f t="shared" si="536"/>
        <v>1.1235955056179775E-2</v>
      </c>
      <c r="F11448">
        <v>1</v>
      </c>
      <c r="G11448">
        <f>LOG(382/(1+1))</f>
        <v>2.2810333672477277</v>
      </c>
      <c r="H11448">
        <f>0.0112359550561797*5.25227342804663</f>
        <v>5.9014308180298819E-2</v>
      </c>
      <c r="I11448">
        <v>5.9014308180299208E-2</v>
      </c>
    </row>
    <row r="11449" spans="1:9" x14ac:dyDescent="0.25">
      <c r="A11449">
        <v>433</v>
      </c>
      <c r="B11449" t="s">
        <v>3391</v>
      </c>
      <c r="C11449" t="s">
        <v>75</v>
      </c>
      <c r="D11449" t="s">
        <v>3071</v>
      </c>
      <c r="E11449">
        <f t="shared" si="536"/>
        <v>1.1235955056179775E-2</v>
      </c>
      <c r="F11449">
        <v>6</v>
      </c>
      <c r="G11449">
        <f>LOG(382/(6+1))</f>
        <v>1.736965322897452</v>
      </c>
      <c r="H11449">
        <f>0.0112359550561797*3.99951045955126</f>
        <v>4.4938319770238579E-2</v>
      </c>
      <c r="I11449">
        <v>4.4938319770238898E-2</v>
      </c>
    </row>
    <row r="11450" spans="1:9" x14ac:dyDescent="0.25">
      <c r="A11450">
        <v>433</v>
      </c>
      <c r="B11450" t="s">
        <v>3391</v>
      </c>
      <c r="C11450" t="s">
        <v>75</v>
      </c>
      <c r="D11450" t="s">
        <v>3408</v>
      </c>
      <c r="E11450">
        <f t="shared" si="536"/>
        <v>1.1235955056179775E-2</v>
      </c>
      <c r="F11450">
        <v>1</v>
      </c>
      <c r="G11450">
        <f>LOG(382/(1+1))</f>
        <v>2.2810333672477277</v>
      </c>
      <c r="H11450">
        <f>0.0112359550561797*5.25227342804663</f>
        <v>5.9014308180298819E-2</v>
      </c>
      <c r="I11450">
        <v>5.9014308180299208E-2</v>
      </c>
    </row>
    <row r="11451" spans="1:9" x14ac:dyDescent="0.25">
      <c r="A11451">
        <v>433</v>
      </c>
      <c r="B11451" t="s">
        <v>3391</v>
      </c>
      <c r="C11451" t="s">
        <v>75</v>
      </c>
      <c r="D11451" t="s">
        <v>3409</v>
      </c>
      <c r="E11451">
        <f t="shared" si="536"/>
        <v>1.1235955056179775E-2</v>
      </c>
      <c r="F11451">
        <v>1</v>
      </c>
      <c r="G11451">
        <f>LOG(382/(1+1))</f>
        <v>2.2810333672477277</v>
      </c>
      <c r="H11451">
        <f>0.0112359550561797*5.25227342804663</f>
        <v>5.9014308180298819E-2</v>
      </c>
      <c r="I11451">
        <v>5.9014308180299208E-2</v>
      </c>
    </row>
    <row r="11452" spans="1:9" x14ac:dyDescent="0.25">
      <c r="A11452">
        <v>433</v>
      </c>
      <c r="B11452" t="s">
        <v>3391</v>
      </c>
      <c r="C11452" t="s">
        <v>75</v>
      </c>
      <c r="D11452" t="s">
        <v>3410</v>
      </c>
      <c r="E11452">
        <f t="shared" si="536"/>
        <v>1.1235955056179775E-2</v>
      </c>
      <c r="F11452">
        <v>1</v>
      </c>
      <c r="G11452">
        <f>LOG(382/(1+1))</f>
        <v>2.2810333672477277</v>
      </c>
      <c r="H11452">
        <f>0.0112359550561797*5.25227342804663</f>
        <v>5.9014308180298819E-2</v>
      </c>
      <c r="I11452">
        <v>5.9014308180299208E-2</v>
      </c>
    </row>
    <row r="11453" spans="1:9" x14ac:dyDescent="0.25">
      <c r="A11453">
        <v>433</v>
      </c>
      <c r="B11453" t="s">
        <v>3391</v>
      </c>
      <c r="C11453" t="s">
        <v>75</v>
      </c>
      <c r="D11453" t="s">
        <v>3411</v>
      </c>
      <c r="E11453">
        <f t="shared" si="536"/>
        <v>1.1235955056179775E-2</v>
      </c>
      <c r="F11453">
        <v>6</v>
      </c>
      <c r="G11453">
        <f>LOG(382/(6+1))</f>
        <v>1.736965322897452</v>
      </c>
      <c r="H11453">
        <f>0.0112359550561797*3.99951045955126</f>
        <v>4.4938319770238579E-2</v>
      </c>
      <c r="I11453">
        <v>4.4938319770238898E-2</v>
      </c>
    </row>
    <row r="11454" spans="1:9" x14ac:dyDescent="0.25">
      <c r="A11454">
        <v>433</v>
      </c>
      <c r="B11454" t="s">
        <v>3391</v>
      </c>
      <c r="C11454" t="s">
        <v>75</v>
      </c>
      <c r="D11454" t="s">
        <v>3412</v>
      </c>
      <c r="E11454">
        <f t="shared" si="536"/>
        <v>1.1235955056179775E-2</v>
      </c>
      <c r="F11454">
        <v>4</v>
      </c>
      <c r="G11454">
        <f>LOG(382/(4+1))</f>
        <v>1.8830933585756899</v>
      </c>
      <c r="H11454">
        <f>0.0112359550561797*4.33598269617247</f>
        <v>4.8718906698566759E-2</v>
      </c>
      <c r="I11454">
        <v>4.8718906698567127E-2</v>
      </c>
    </row>
    <row r="11455" spans="1:9" x14ac:dyDescent="0.25">
      <c r="A11455">
        <v>433</v>
      </c>
      <c r="B11455" t="s">
        <v>3391</v>
      </c>
      <c r="C11455" t="s">
        <v>75</v>
      </c>
      <c r="D11455" t="s">
        <v>3413</v>
      </c>
      <c r="E11455">
        <f t="shared" si="536"/>
        <v>1.1235955056179775E-2</v>
      </c>
      <c r="F11455">
        <v>1</v>
      </c>
      <c r="G11455">
        <f>LOG(382/(1+1))</f>
        <v>2.2810333672477277</v>
      </c>
      <c r="H11455">
        <f>0.0112359550561797*5.25227342804663</f>
        <v>5.9014308180298819E-2</v>
      </c>
      <c r="I11455">
        <v>5.9014308180299208E-2</v>
      </c>
    </row>
    <row r="11456" spans="1:9" x14ac:dyDescent="0.25">
      <c r="A11456">
        <v>433</v>
      </c>
      <c r="B11456" t="s">
        <v>3391</v>
      </c>
      <c r="C11456" t="s">
        <v>75</v>
      </c>
      <c r="D11456" t="s">
        <v>243</v>
      </c>
      <c r="E11456">
        <f t="shared" si="536"/>
        <v>1.1235955056179775E-2</v>
      </c>
      <c r="F11456">
        <v>131</v>
      </c>
      <c r="G11456">
        <f>LOG(382/(131+1))</f>
        <v>0.46148943170585888</v>
      </c>
      <c r="H11456">
        <f>0.0112359550561797*1.0626186860202</f>
        <v>1.1939535797979696E-2</v>
      </c>
      <c r="I11456">
        <v>1.193953579797982E-2</v>
      </c>
    </row>
    <row r="11457" spans="1:9" x14ac:dyDescent="0.25">
      <c r="A11457">
        <v>433</v>
      </c>
      <c r="B11457" t="s">
        <v>3391</v>
      </c>
      <c r="C11457" t="s">
        <v>75</v>
      </c>
      <c r="D11457" t="s">
        <v>237</v>
      </c>
      <c r="E11457">
        <f t="shared" si="536"/>
        <v>1.1235955056179775E-2</v>
      </c>
      <c r="F11457">
        <v>138</v>
      </c>
      <c r="G11457">
        <f>LOG(382/(138+1))</f>
        <v>0.43904856265761361</v>
      </c>
      <c r="H11457">
        <f>0.0112359550561797*1.01094667547588</f>
        <v>1.1358951409841273E-2</v>
      </c>
      <c r="I11457">
        <v>1.1358951409841391E-2</v>
      </c>
    </row>
    <row r="11458" spans="1:9" x14ac:dyDescent="0.25">
      <c r="A11458">
        <v>433</v>
      </c>
      <c r="B11458" t="s">
        <v>3391</v>
      </c>
      <c r="C11458" t="s">
        <v>75</v>
      </c>
      <c r="D11458" t="s">
        <v>881</v>
      </c>
      <c r="E11458">
        <f t="shared" si="536"/>
        <v>1.1235955056179775E-2</v>
      </c>
      <c r="F11458">
        <v>15</v>
      </c>
      <c r="G11458">
        <f>LOG(382/(15+1))</f>
        <v>1.3779433802557839</v>
      </c>
      <c r="H11458">
        <f>0.0112359550561797*3.17283188636679</f>
        <v>3.5649796476031115E-2</v>
      </c>
      <c r="I11458">
        <v>3.5649796476031392E-2</v>
      </c>
    </row>
    <row r="11459" spans="1:9" x14ac:dyDescent="0.25">
      <c r="A11459">
        <v>433</v>
      </c>
      <c r="B11459" t="s">
        <v>3391</v>
      </c>
      <c r="C11459" t="s">
        <v>75</v>
      </c>
      <c r="D11459" t="s">
        <v>1025</v>
      </c>
      <c r="E11459">
        <f t="shared" si="536"/>
        <v>1.1235955056179775E-2</v>
      </c>
      <c r="F11459">
        <v>7</v>
      </c>
      <c r="G11459">
        <f>LOG(382/(7+1))</f>
        <v>1.6789733759197651</v>
      </c>
      <c r="H11459">
        <f>0.0112359550561797*3.86597906692673</f>
        <v>4.3437967044120278E-2</v>
      </c>
      <c r="I11459">
        <v>4.3437967044120659E-2</v>
      </c>
    </row>
    <row r="11460" spans="1:9" x14ac:dyDescent="0.25">
      <c r="A11460">
        <v>433</v>
      </c>
      <c r="B11460" t="s">
        <v>3391</v>
      </c>
      <c r="C11460" t="s">
        <v>75</v>
      </c>
      <c r="D11460" t="s">
        <v>3414</v>
      </c>
      <c r="E11460">
        <f t="shared" si="536"/>
        <v>1.1235955056179775E-2</v>
      </c>
      <c r="F11460">
        <v>3</v>
      </c>
      <c r="G11460">
        <f>LOG(382/(3+1))</f>
        <v>1.9800033715837464</v>
      </c>
      <c r="H11460">
        <f>0.0112359550561797*4.55912624748668</f>
        <v>5.1226137612209545E-2</v>
      </c>
      <c r="I11460">
        <v>5.1226137612209927E-2</v>
      </c>
    </row>
    <row r="11461" spans="1:9" x14ac:dyDescent="0.25">
      <c r="A11461">
        <v>433</v>
      </c>
      <c r="B11461" t="s">
        <v>3391</v>
      </c>
      <c r="C11461" t="s">
        <v>75</v>
      </c>
      <c r="D11461" t="s">
        <v>871</v>
      </c>
      <c r="E11461">
        <f t="shared" si="536"/>
        <v>1.1235955056179775E-2</v>
      </c>
      <c r="F11461">
        <v>9</v>
      </c>
      <c r="G11461">
        <f>LOG(382/(9+1))</f>
        <v>1.5820633629117087</v>
      </c>
      <c r="H11461">
        <f>0.0112359550561797*3.64283551561252</f>
        <v>4.0930736130477478E-2</v>
      </c>
      <c r="I11461">
        <v>4.093073613047786E-2</v>
      </c>
    </row>
    <row r="11462" spans="1:9" x14ac:dyDescent="0.25">
      <c r="A11462">
        <v>433</v>
      </c>
      <c r="B11462" t="s">
        <v>3391</v>
      </c>
      <c r="C11462" t="s">
        <v>75</v>
      </c>
      <c r="D11462" t="s">
        <v>872</v>
      </c>
      <c r="E11462">
        <f t="shared" si="536"/>
        <v>1.1235955056179775E-2</v>
      </c>
      <c r="F11462">
        <v>9</v>
      </c>
      <c r="G11462">
        <f>LOG(382/(9+1))</f>
        <v>1.5820633629117087</v>
      </c>
      <c r="H11462">
        <f>0.0112359550561797*3.64283551561252</f>
        <v>4.0930736130477478E-2</v>
      </c>
      <c r="I11462">
        <v>4.093073613047786E-2</v>
      </c>
    </row>
    <row r="11463" spans="1:9" x14ac:dyDescent="0.25">
      <c r="A11463">
        <v>433</v>
      </c>
      <c r="B11463" t="s">
        <v>3391</v>
      </c>
      <c r="C11463" t="s">
        <v>75</v>
      </c>
      <c r="D11463" t="s">
        <v>888</v>
      </c>
      <c r="E11463">
        <f t="shared" si="536"/>
        <v>1.1235955056179775E-2</v>
      </c>
      <c r="F11463">
        <v>21</v>
      </c>
      <c r="G11463">
        <f>LOG(382/(21+1))</f>
        <v>1.2396406820895025</v>
      </c>
      <c r="H11463">
        <f>0.0112359550561797*2.85437815524825</f>
        <v>3.2071664665710459E-2</v>
      </c>
      <c r="I11463">
        <v>3.2071664665710778E-2</v>
      </c>
    </row>
    <row r="11464" spans="1:9" x14ac:dyDescent="0.25">
      <c r="A11464">
        <v>433</v>
      </c>
      <c r="B11464" t="s">
        <v>3391</v>
      </c>
      <c r="C11464" t="s">
        <v>75</v>
      </c>
      <c r="D11464" t="s">
        <v>3415</v>
      </c>
      <c r="E11464">
        <f t="shared" si="536"/>
        <v>1.1235955056179775E-2</v>
      </c>
      <c r="F11464">
        <v>1</v>
      </c>
      <c r="G11464">
        <f>LOG(382/(1+1))</f>
        <v>2.2810333672477277</v>
      </c>
      <c r="H11464">
        <f>0.0112359550561797*5.25227342804663</f>
        <v>5.9014308180298819E-2</v>
      </c>
      <c r="I11464">
        <v>5.9014308180299208E-2</v>
      </c>
    </row>
    <row r="11465" spans="1:9" x14ac:dyDescent="0.25">
      <c r="A11465">
        <v>434</v>
      </c>
      <c r="B11465" t="s">
        <v>3416</v>
      </c>
      <c r="C11465" t="s">
        <v>75</v>
      </c>
      <c r="D11465" t="s">
        <v>81</v>
      </c>
      <c r="E11465">
        <f>1/4</f>
        <v>0.25</v>
      </c>
      <c r="F11465">
        <v>114</v>
      </c>
      <c r="G11465">
        <f>LOG(382/(114+1))</f>
        <v>0.52136552255809698</v>
      </c>
      <c r="H11465">
        <f>0.25*1.20048848024332</f>
        <v>0.30012212006083</v>
      </c>
      <c r="I11465">
        <v>0.30012212006083128</v>
      </c>
    </row>
    <row r="11466" spans="1:9" x14ac:dyDescent="0.25">
      <c r="A11466">
        <v>434</v>
      </c>
      <c r="B11466" t="s">
        <v>3416</v>
      </c>
      <c r="C11466" t="s">
        <v>75</v>
      </c>
      <c r="D11466" t="s">
        <v>451</v>
      </c>
      <c r="E11466">
        <f>1/4</f>
        <v>0.25</v>
      </c>
      <c r="F11466">
        <v>15</v>
      </c>
      <c r="G11466">
        <f>LOG(382/(15+1))</f>
        <v>1.3779433802557839</v>
      </c>
      <c r="H11466">
        <f>0.25*3.17283188636679</f>
        <v>0.79320797159169754</v>
      </c>
      <c r="I11466">
        <v>0.79320797159169854</v>
      </c>
    </row>
    <row r="11467" spans="1:9" x14ac:dyDescent="0.25">
      <c r="A11467">
        <v>434</v>
      </c>
      <c r="B11467" t="s">
        <v>3416</v>
      </c>
      <c r="C11467" t="s">
        <v>75</v>
      </c>
      <c r="D11467" t="s">
        <v>82</v>
      </c>
      <c r="E11467">
        <f>1/4</f>
        <v>0.25</v>
      </c>
      <c r="F11467">
        <v>92</v>
      </c>
      <c r="G11467">
        <f>LOG(382/(92+1))</f>
        <v>0.61358041435777355</v>
      </c>
      <c r="H11467">
        <f>0.25*1.41282111545331</f>
        <v>0.35320527886332748</v>
      </c>
      <c r="I11467">
        <v>0.35320527886332981</v>
      </c>
    </row>
    <row r="11468" spans="1:9" x14ac:dyDescent="0.25">
      <c r="A11468">
        <v>434</v>
      </c>
      <c r="B11468" t="s">
        <v>3416</v>
      </c>
      <c r="C11468" t="s">
        <v>75</v>
      </c>
      <c r="D11468" t="s">
        <v>1921</v>
      </c>
      <c r="E11468">
        <f>1/4</f>
        <v>0.25</v>
      </c>
      <c r="F11468">
        <v>37</v>
      </c>
      <c r="G11468">
        <f>LOG(382/(37+1))</f>
        <v>1.0022797662948986</v>
      </c>
      <c r="H11468">
        <f>0.25*2.30783444888018</f>
        <v>0.57695861222004496</v>
      </c>
      <c r="I11468">
        <v>0.5769586122200473</v>
      </c>
    </row>
    <row r="11469" spans="1:9" x14ac:dyDescent="0.25">
      <c r="A11469">
        <v>435</v>
      </c>
      <c r="B11469" t="s">
        <v>3417</v>
      </c>
      <c r="C11469" t="s">
        <v>75</v>
      </c>
      <c r="D11469" t="s">
        <v>112</v>
      </c>
      <c r="E11469">
        <f>3/66</f>
        <v>4.5454545454545456E-2</v>
      </c>
      <c r="F11469">
        <v>52</v>
      </c>
      <c r="G11469">
        <f>LOG(382/(52+1))</f>
        <v>0.85778749331091964</v>
      </c>
      <c r="H11469">
        <f>0.0454545454545454*1.97512869505445</f>
        <v>8.9778577047929436E-2</v>
      </c>
      <c r="I11469">
        <v>8.97785770479297E-2</v>
      </c>
    </row>
    <row r="11470" spans="1:9" x14ac:dyDescent="0.25">
      <c r="A11470">
        <v>435</v>
      </c>
      <c r="B11470" t="s">
        <v>3417</v>
      </c>
      <c r="C11470" t="s">
        <v>75</v>
      </c>
      <c r="D11470" t="s">
        <v>82</v>
      </c>
      <c r="E11470">
        <f>3/66</f>
        <v>4.5454545454545456E-2</v>
      </c>
      <c r="F11470">
        <v>92</v>
      </c>
      <c r="G11470">
        <f>LOG(382/(92+1))</f>
        <v>0.61358041435777355</v>
      </c>
      <c r="H11470">
        <f>0.0454545454545454*1.41282111545331</f>
        <v>6.4219141611514013E-2</v>
      </c>
      <c r="I11470">
        <v>6.4219141611514513E-2</v>
      </c>
    </row>
    <row r="11471" spans="1:9" x14ac:dyDescent="0.25">
      <c r="A11471">
        <v>435</v>
      </c>
      <c r="B11471" t="s">
        <v>3417</v>
      </c>
      <c r="C11471" t="s">
        <v>75</v>
      </c>
      <c r="D11471" t="s">
        <v>3418</v>
      </c>
      <c r="E11471">
        <f>2/66</f>
        <v>3.0303030303030304E-2</v>
      </c>
      <c r="F11471">
        <v>1</v>
      </c>
      <c r="G11471">
        <f>LOG(382/(1+1))</f>
        <v>2.2810333672477277</v>
      </c>
      <c r="H11471">
        <f>0.0303030303030303*5.25227342804663</f>
        <v>0.15915980084989786</v>
      </c>
      <c r="I11471">
        <v>0.15915980084989789</v>
      </c>
    </row>
    <row r="11472" spans="1:9" x14ac:dyDescent="0.25">
      <c r="A11472">
        <v>435</v>
      </c>
      <c r="B11472" t="s">
        <v>3417</v>
      </c>
      <c r="C11472" t="s">
        <v>75</v>
      </c>
      <c r="D11472" t="s">
        <v>1537</v>
      </c>
      <c r="E11472">
        <f>2/66</f>
        <v>3.0303030303030304E-2</v>
      </c>
      <c r="F11472">
        <v>80</v>
      </c>
      <c r="G11472">
        <f>LOG(382/(80+1))</f>
        <v>0.67357834403305894</v>
      </c>
      <c r="H11472">
        <f>0.0303030303030303*1.55097145393413</f>
        <v>4.6999134967700903E-2</v>
      </c>
      <c r="I11472">
        <v>4.6999134967701098E-2</v>
      </c>
    </row>
    <row r="11473" spans="1:9" x14ac:dyDescent="0.25">
      <c r="A11473">
        <v>435</v>
      </c>
      <c r="B11473" t="s">
        <v>3417</v>
      </c>
      <c r="C11473" t="s">
        <v>75</v>
      </c>
      <c r="D11473" t="s">
        <v>42</v>
      </c>
      <c r="E11473">
        <f>1/66</f>
        <v>1.5151515151515152E-2</v>
      </c>
      <c r="F11473">
        <v>251</v>
      </c>
      <c r="G11473">
        <f>LOG(382/(251+1))</f>
        <v>0.18066282213016463</v>
      </c>
      <c r="H11473">
        <f>0.0151515151515151*0.415991521095151</f>
        <v>6.3029018347749936E-3</v>
      </c>
      <c r="I11473">
        <v>6.3029018347750283E-3</v>
      </c>
    </row>
    <row r="11474" spans="1:9" x14ac:dyDescent="0.25">
      <c r="A11474">
        <v>435</v>
      </c>
      <c r="B11474" t="s">
        <v>3417</v>
      </c>
      <c r="C11474" t="s">
        <v>75</v>
      </c>
      <c r="D11474" t="s">
        <v>636</v>
      </c>
      <c r="E11474">
        <f>1/66</f>
        <v>1.5151515151515152E-2</v>
      </c>
      <c r="F11474">
        <v>31</v>
      </c>
      <c r="G11474">
        <f>LOG(382/(31+1))</f>
        <v>1.0769133845918029</v>
      </c>
      <c r="H11474">
        <f>0.0151515151515151*2.47968470580684</f>
        <v>3.7570980391012594E-2</v>
      </c>
      <c r="I11474">
        <v>3.7570980391012858E-2</v>
      </c>
    </row>
    <row r="11475" spans="1:9" x14ac:dyDescent="0.25">
      <c r="A11475">
        <v>435</v>
      </c>
      <c r="B11475" t="s">
        <v>3417</v>
      </c>
      <c r="C11475" t="s">
        <v>75</v>
      </c>
      <c r="D11475" t="s">
        <v>637</v>
      </c>
      <c r="E11475">
        <f>1/66</f>
        <v>1.5151515151515152E-2</v>
      </c>
      <c r="F11475">
        <v>29</v>
      </c>
      <c r="G11475">
        <f>LOG(382/(29+1))</f>
        <v>1.1049421081920463</v>
      </c>
      <c r="H11475">
        <f>0.0151515151515151*2.54422322694442</f>
        <v>3.8548836771885017E-2</v>
      </c>
      <c r="I11475">
        <v>3.8548836771885149E-2</v>
      </c>
    </row>
    <row r="11476" spans="1:9" x14ac:dyDescent="0.25">
      <c r="A11476">
        <v>435</v>
      </c>
      <c r="B11476" t="s">
        <v>3417</v>
      </c>
      <c r="C11476" t="s">
        <v>75</v>
      </c>
      <c r="D11476" t="s">
        <v>70</v>
      </c>
      <c r="E11476">
        <f>2/66</f>
        <v>3.0303030303030304E-2</v>
      </c>
      <c r="F11476">
        <v>44</v>
      </c>
      <c r="G11476">
        <f>LOG(382/(44+1))</f>
        <v>0.92885084913636506</v>
      </c>
      <c r="H11476">
        <f>0.0303030303030303*2.13875811883625</f>
        <v>6.481085208594696E-2</v>
      </c>
      <c r="I11476">
        <v>6.4810852085947127E-2</v>
      </c>
    </row>
    <row r="11477" spans="1:9" x14ac:dyDescent="0.25">
      <c r="A11477">
        <v>435</v>
      </c>
      <c r="B11477" t="s">
        <v>3417</v>
      </c>
      <c r="C11477" t="s">
        <v>75</v>
      </c>
      <c r="D11477" t="s">
        <v>19</v>
      </c>
      <c r="E11477">
        <f>2/66</f>
        <v>3.0303030303030304E-2</v>
      </c>
      <c r="F11477">
        <v>220</v>
      </c>
      <c r="G11477">
        <f>LOG(382/(220+1))</f>
        <v>0.23767108922659805</v>
      </c>
      <c r="H11477">
        <f>0.0303030303030303*0.547257907088822</f>
        <v>1.6583572942085515E-2</v>
      </c>
      <c r="I11477">
        <v>1.6583572942085529E-2</v>
      </c>
    </row>
    <row r="11478" spans="1:9" x14ac:dyDescent="0.25">
      <c r="A11478">
        <v>435</v>
      </c>
      <c r="B11478" t="s">
        <v>3417</v>
      </c>
      <c r="C11478" t="s">
        <v>75</v>
      </c>
      <c r="D11478" t="s">
        <v>44</v>
      </c>
      <c r="E11478">
        <f>2/66</f>
        <v>3.0303030303030304E-2</v>
      </c>
      <c r="F11478">
        <v>151</v>
      </c>
      <c r="G11478">
        <f>LOG(382/(151+1))</f>
        <v>0.40021977496693617</v>
      </c>
      <c r="H11478">
        <f>0.0303030303030303*0.921540087760298</f>
        <v>2.7925457204857514E-2</v>
      </c>
      <c r="I11478">
        <v>2.7925457204857541E-2</v>
      </c>
    </row>
    <row r="11479" spans="1:9" x14ac:dyDescent="0.25">
      <c r="A11479">
        <v>435</v>
      </c>
      <c r="B11479" t="s">
        <v>3417</v>
      </c>
      <c r="C11479" t="s">
        <v>75</v>
      </c>
      <c r="D11479" t="s">
        <v>22</v>
      </c>
      <c r="E11479">
        <f>2/66</f>
        <v>3.0303030303030304E-2</v>
      </c>
      <c r="F11479">
        <v>259</v>
      </c>
      <c r="G11479">
        <f>LOG(382/(259+1))</f>
        <v>0.16709001494089079</v>
      </c>
      <c r="H11479">
        <f>0.0303030303030303*0.384738977591047</f>
        <v>1.1658756896698394E-2</v>
      </c>
      <c r="I11479">
        <v>1.1658756896698409E-2</v>
      </c>
    </row>
    <row r="11480" spans="1:9" x14ac:dyDescent="0.25">
      <c r="A11480">
        <v>435</v>
      </c>
      <c r="B11480" t="s">
        <v>3417</v>
      </c>
      <c r="C11480" t="s">
        <v>75</v>
      </c>
      <c r="D11480" t="s">
        <v>23</v>
      </c>
      <c r="E11480">
        <f>2/66</f>
        <v>3.0303030303030304E-2</v>
      </c>
      <c r="F11480">
        <v>275</v>
      </c>
      <c r="G11480">
        <f>LOG(382/(275+1))</f>
        <v>0.14115428084649101</v>
      </c>
      <c r="H11480">
        <f>0.0303030303030303*0.325019742889425</f>
        <v>9.8490831178613628E-3</v>
      </c>
      <c r="I11480">
        <v>9.849083117861368E-3</v>
      </c>
    </row>
    <row r="11481" spans="1:9" x14ac:dyDescent="0.25">
      <c r="A11481">
        <v>435</v>
      </c>
      <c r="B11481" t="s">
        <v>3417</v>
      </c>
      <c r="C11481" t="s">
        <v>75</v>
      </c>
      <c r="D11481" t="s">
        <v>1060</v>
      </c>
      <c r="E11481">
        <f>1/66</f>
        <v>1.5151515151515152E-2</v>
      </c>
      <c r="F11481">
        <v>15</v>
      </c>
      <c r="G11481">
        <f>LOG(382/(15+1))</f>
        <v>1.3779433802557839</v>
      </c>
      <c r="H11481">
        <f>0.0151515151515151*3.17283188636679</f>
        <v>4.8073210399496656E-2</v>
      </c>
      <c r="I11481">
        <v>4.8073210399496892E-2</v>
      </c>
    </row>
    <row r="11482" spans="1:9" x14ac:dyDescent="0.25">
      <c r="A11482">
        <v>435</v>
      </c>
      <c r="B11482" t="s">
        <v>3417</v>
      </c>
      <c r="C11482" t="s">
        <v>75</v>
      </c>
      <c r="D11482" t="s">
        <v>105</v>
      </c>
      <c r="E11482">
        <f>1/66</f>
        <v>1.5151515151515152E-2</v>
      </c>
      <c r="F11482">
        <v>122</v>
      </c>
      <c r="G11482">
        <f>LOG(382/(122+1))</f>
        <v>0.49215825147231079</v>
      </c>
      <c r="H11482">
        <f>0.0151515151515151*1.13323625323415</f>
        <v>1.7170246261123425E-2</v>
      </c>
      <c r="I11482">
        <v>1.7170246261123599E-2</v>
      </c>
    </row>
    <row r="11483" spans="1:9" x14ac:dyDescent="0.25">
      <c r="A11483">
        <v>435</v>
      </c>
      <c r="B11483" t="s">
        <v>3417</v>
      </c>
      <c r="C11483" t="s">
        <v>75</v>
      </c>
      <c r="D11483" t="s">
        <v>3419</v>
      </c>
      <c r="E11483">
        <f>1/66</f>
        <v>1.5151515151515152E-2</v>
      </c>
      <c r="F11483">
        <v>1</v>
      </c>
      <c r="G11483">
        <f>LOG(382/(1+1))</f>
        <v>2.2810333672477277</v>
      </c>
      <c r="H11483">
        <f>0.0151515151515151*5.25227342804663</f>
        <v>7.9579900424948669E-2</v>
      </c>
      <c r="I11483">
        <v>7.9579900424948946E-2</v>
      </c>
    </row>
    <row r="11484" spans="1:9" x14ac:dyDescent="0.25">
      <c r="A11484">
        <v>435</v>
      </c>
      <c r="B11484" t="s">
        <v>3417</v>
      </c>
      <c r="C11484" t="s">
        <v>75</v>
      </c>
      <c r="D11484" t="s">
        <v>50</v>
      </c>
      <c r="E11484">
        <f>2/66</f>
        <v>3.0303030303030304E-2</v>
      </c>
      <c r="F11484">
        <v>109</v>
      </c>
      <c r="G11484">
        <f>LOG(382/(109+1))</f>
        <v>0.54067067775348365</v>
      </c>
      <c r="H11484">
        <f>0.0303030303030303*1.24494024281415</f>
        <v>3.7725461903459087E-2</v>
      </c>
      <c r="I11484">
        <v>3.7725461903459358E-2</v>
      </c>
    </row>
    <row r="11485" spans="1:9" x14ac:dyDescent="0.25">
      <c r="A11485">
        <v>435</v>
      </c>
      <c r="B11485" t="s">
        <v>3417</v>
      </c>
      <c r="C11485" t="s">
        <v>75</v>
      </c>
      <c r="D11485" t="s">
        <v>1769</v>
      </c>
      <c r="E11485">
        <f t="shared" ref="E11485:E11504" si="537">1/66</f>
        <v>1.5151515151515152E-2</v>
      </c>
      <c r="F11485">
        <v>84</v>
      </c>
      <c r="G11485">
        <f>LOG(382/(84+1))</f>
        <v>0.65264443719741605</v>
      </c>
      <c r="H11485">
        <f>0.0151515151515151*1.50276935211625</f>
        <v>2.276923260782189E-2</v>
      </c>
      <c r="I11485">
        <v>2.2769232607822109E-2</v>
      </c>
    </row>
    <row r="11486" spans="1:9" x14ac:dyDescent="0.25">
      <c r="A11486">
        <v>435</v>
      </c>
      <c r="B11486" t="s">
        <v>3417</v>
      </c>
      <c r="C11486" t="s">
        <v>75</v>
      </c>
      <c r="D11486" t="s">
        <v>3420</v>
      </c>
      <c r="E11486">
        <f t="shared" si="537"/>
        <v>1.5151515151515152E-2</v>
      </c>
      <c r="F11486">
        <v>12</v>
      </c>
      <c r="G11486">
        <f>LOG(382/(12+1))</f>
        <v>1.468120010604872</v>
      </c>
      <c r="H11486">
        <f>0.0151515151515151*3.38047125114503</f>
        <v>5.1219261380985127E-2</v>
      </c>
      <c r="I11486">
        <v>5.1219261380985433E-2</v>
      </c>
    </row>
    <row r="11487" spans="1:9" x14ac:dyDescent="0.25">
      <c r="A11487">
        <v>435</v>
      </c>
      <c r="B11487" t="s">
        <v>3417</v>
      </c>
      <c r="C11487" t="s">
        <v>75</v>
      </c>
      <c r="D11487" t="s">
        <v>1732</v>
      </c>
      <c r="E11487">
        <f t="shared" si="537"/>
        <v>1.5151515151515152E-2</v>
      </c>
      <c r="F11487">
        <v>16</v>
      </c>
      <c r="G11487">
        <f>LOG(382/(16+1))</f>
        <v>1.3516144415334348</v>
      </c>
      <c r="H11487">
        <f>0.0151515151515151*3.11220726455035</f>
        <v>4.7154655523489991E-2</v>
      </c>
      <c r="I11487">
        <v>4.7154655523490289E-2</v>
      </c>
    </row>
    <row r="11488" spans="1:9" x14ac:dyDescent="0.25">
      <c r="A11488">
        <v>435</v>
      </c>
      <c r="B11488" t="s">
        <v>3417</v>
      </c>
      <c r="C11488" t="s">
        <v>75</v>
      </c>
      <c r="D11488" t="s">
        <v>1733</v>
      </c>
      <c r="E11488">
        <f t="shared" si="537"/>
        <v>1.5151515151515152E-2</v>
      </c>
      <c r="F11488">
        <v>19</v>
      </c>
      <c r="G11488">
        <f>LOG(382/(19+1))</f>
        <v>1.2810333672477277</v>
      </c>
      <c r="H11488">
        <f>0.0151515151515151*2.94968833505258</f>
        <v>4.4692247500796513E-2</v>
      </c>
      <c r="I11488">
        <v>4.4692247500796728E-2</v>
      </c>
    </row>
    <row r="11489" spans="1:9" x14ac:dyDescent="0.25">
      <c r="A11489">
        <v>435</v>
      </c>
      <c r="B11489" t="s">
        <v>3417</v>
      </c>
      <c r="C11489" t="s">
        <v>75</v>
      </c>
      <c r="D11489" t="s">
        <v>1739</v>
      </c>
      <c r="E11489">
        <f t="shared" si="537"/>
        <v>1.5151515151515152E-2</v>
      </c>
      <c r="F11489">
        <v>30</v>
      </c>
      <c r="G11489">
        <f>LOG(382/(30+1))</f>
        <v>1.090701669077436</v>
      </c>
      <c r="H11489">
        <f>0.0151515151515151*2.51143340412142</f>
        <v>3.805202127456684E-2</v>
      </c>
      <c r="I11489">
        <v>3.805202127456711E-2</v>
      </c>
    </row>
    <row r="11490" spans="1:9" x14ac:dyDescent="0.25">
      <c r="A11490">
        <v>435</v>
      </c>
      <c r="B11490" t="s">
        <v>3417</v>
      </c>
      <c r="C11490" t="s">
        <v>75</v>
      </c>
      <c r="D11490" t="s">
        <v>474</v>
      </c>
      <c r="E11490">
        <f t="shared" si="537"/>
        <v>1.5151515151515152E-2</v>
      </c>
      <c r="F11490">
        <v>25</v>
      </c>
      <c r="G11490">
        <f>LOG(382/(25+1))</f>
        <v>1.1670900149408907</v>
      </c>
      <c r="H11490">
        <f>0.0151515151515151*2.68732407058509</f>
        <v>4.0717031372501225E-2</v>
      </c>
      <c r="I11490">
        <v>4.0717031372501412E-2</v>
      </c>
    </row>
    <row r="11491" spans="1:9" x14ac:dyDescent="0.25">
      <c r="A11491">
        <v>435</v>
      </c>
      <c r="B11491" t="s">
        <v>3417</v>
      </c>
      <c r="C11491" t="s">
        <v>75</v>
      </c>
      <c r="D11491" t="s">
        <v>237</v>
      </c>
      <c r="E11491">
        <f t="shared" si="537"/>
        <v>1.5151515151515152E-2</v>
      </c>
      <c r="F11491">
        <v>138</v>
      </c>
      <c r="G11491">
        <f>LOG(382/(138+1))</f>
        <v>0.43904856265761361</v>
      </c>
      <c r="H11491">
        <f>0.0151515151515151*1.01094667547588</f>
        <v>1.5317373870846614E-2</v>
      </c>
      <c r="I11491">
        <v>1.531737387084672E-2</v>
      </c>
    </row>
    <row r="11492" spans="1:9" x14ac:dyDescent="0.25">
      <c r="A11492">
        <v>435</v>
      </c>
      <c r="B11492" t="s">
        <v>3417</v>
      </c>
      <c r="C11492" t="s">
        <v>75</v>
      </c>
      <c r="D11492" t="s">
        <v>183</v>
      </c>
      <c r="E11492">
        <f t="shared" si="537"/>
        <v>1.5151515151515152E-2</v>
      </c>
      <c r="F11492">
        <v>46</v>
      </c>
      <c r="G11492">
        <f>LOG(382/(46+1))</f>
        <v>0.90996550497599127</v>
      </c>
      <c r="H11492">
        <f>0.0151515151515151*2.09527300689651</f>
        <v>3.1746560710553075E-2</v>
      </c>
      <c r="I11492">
        <v>3.1746560710553283E-2</v>
      </c>
    </row>
    <row r="11493" spans="1:9" x14ac:dyDescent="0.25">
      <c r="A11493">
        <v>435</v>
      </c>
      <c r="B11493" t="s">
        <v>3417</v>
      </c>
      <c r="C11493" t="s">
        <v>75</v>
      </c>
      <c r="D11493" t="s">
        <v>1905</v>
      </c>
      <c r="E11493">
        <f t="shared" si="537"/>
        <v>1.5151515151515152E-2</v>
      </c>
      <c r="F11493">
        <v>24</v>
      </c>
      <c r="G11493">
        <f>LOG(382/(24+1))</f>
        <v>1.1841233542396712</v>
      </c>
      <c r="H11493">
        <f>0.0151515151515151*2.72654478373837</f>
        <v>4.1311284602096369E-2</v>
      </c>
      <c r="I11493">
        <v>4.1311284602096578E-2</v>
      </c>
    </row>
    <row r="11494" spans="1:9" x14ac:dyDescent="0.25">
      <c r="A11494">
        <v>435</v>
      </c>
      <c r="B11494" t="s">
        <v>3417</v>
      </c>
      <c r="C11494" t="s">
        <v>75</v>
      </c>
      <c r="D11494" t="s">
        <v>338</v>
      </c>
      <c r="E11494">
        <f t="shared" si="537"/>
        <v>1.5151515151515152E-2</v>
      </c>
      <c r="F11494">
        <v>54</v>
      </c>
      <c r="G11494">
        <f>LOG(382/(54+1))</f>
        <v>0.84170067341746491</v>
      </c>
      <c r="H11494">
        <f>0.0151515151515151*1.9380874233741</f>
        <v>2.9364960960213536E-2</v>
      </c>
      <c r="I11494">
        <v>2.9364960960213699E-2</v>
      </c>
    </row>
    <row r="11495" spans="1:9" x14ac:dyDescent="0.25">
      <c r="A11495">
        <v>435</v>
      </c>
      <c r="B11495" t="s">
        <v>3417</v>
      </c>
      <c r="C11495" t="s">
        <v>75</v>
      </c>
      <c r="D11495" t="s">
        <v>600</v>
      </c>
      <c r="E11495">
        <f t="shared" si="537"/>
        <v>1.5151515151515152E-2</v>
      </c>
      <c r="F11495">
        <v>102</v>
      </c>
      <c r="G11495">
        <f>LOG(382/(102+1))</f>
        <v>0.56922613820653656</v>
      </c>
      <c r="H11495">
        <f>0.0151515151515151*1.31069162037693</f>
        <v>1.9858963945104932E-2</v>
      </c>
      <c r="I11495">
        <v>1.985896394510514E-2</v>
      </c>
    </row>
    <row r="11496" spans="1:9" x14ac:dyDescent="0.25">
      <c r="A11496">
        <v>435</v>
      </c>
      <c r="B11496" t="s">
        <v>3417</v>
      </c>
      <c r="C11496" t="s">
        <v>75</v>
      </c>
      <c r="D11496" t="s">
        <v>3421</v>
      </c>
      <c r="E11496">
        <f t="shared" si="537"/>
        <v>1.5151515151515152E-2</v>
      </c>
      <c r="F11496">
        <v>1</v>
      </c>
      <c r="G11496">
        <f>LOG(382/(1+1))</f>
        <v>2.2810333672477277</v>
      </c>
      <c r="H11496">
        <f>0.0151515151515151*5.25227342804663</f>
        <v>7.9579900424948669E-2</v>
      </c>
      <c r="I11496">
        <v>7.9579900424948946E-2</v>
      </c>
    </row>
    <row r="11497" spans="1:9" x14ac:dyDescent="0.25">
      <c r="A11497">
        <v>435</v>
      </c>
      <c r="B11497" t="s">
        <v>3417</v>
      </c>
      <c r="C11497" t="s">
        <v>75</v>
      </c>
      <c r="D11497" t="s">
        <v>3422</v>
      </c>
      <c r="E11497">
        <f t="shared" si="537"/>
        <v>1.5151515151515152E-2</v>
      </c>
      <c r="F11497">
        <v>1</v>
      </c>
      <c r="G11497">
        <f>LOG(382/(1+1))</f>
        <v>2.2810333672477277</v>
      </c>
      <c r="H11497">
        <f>0.0151515151515151*5.25227342804663</f>
        <v>7.9579900424948669E-2</v>
      </c>
      <c r="I11497">
        <v>7.9579900424948946E-2</v>
      </c>
    </row>
    <row r="11498" spans="1:9" x14ac:dyDescent="0.25">
      <c r="A11498">
        <v>435</v>
      </c>
      <c r="B11498" t="s">
        <v>3417</v>
      </c>
      <c r="C11498" t="s">
        <v>75</v>
      </c>
      <c r="D11498" t="s">
        <v>3423</v>
      </c>
      <c r="E11498">
        <f t="shared" si="537"/>
        <v>1.5151515151515152E-2</v>
      </c>
      <c r="F11498">
        <v>1</v>
      </c>
      <c r="G11498">
        <f>LOG(382/(1+1))</f>
        <v>2.2810333672477277</v>
      </c>
      <c r="H11498">
        <f>0.0151515151515151*5.25227342804663</f>
        <v>7.9579900424948669E-2</v>
      </c>
      <c r="I11498">
        <v>7.9579900424948946E-2</v>
      </c>
    </row>
    <row r="11499" spans="1:9" x14ac:dyDescent="0.25">
      <c r="A11499">
        <v>435</v>
      </c>
      <c r="B11499" t="s">
        <v>3417</v>
      </c>
      <c r="C11499" t="s">
        <v>75</v>
      </c>
      <c r="D11499" t="s">
        <v>1785</v>
      </c>
      <c r="E11499">
        <f t="shared" si="537"/>
        <v>1.5151515151515152E-2</v>
      </c>
      <c r="F11499">
        <v>21</v>
      </c>
      <c r="G11499">
        <f>LOG(382/(21+1))</f>
        <v>1.2396406820895025</v>
      </c>
      <c r="H11499">
        <f>0.0151515151515151*2.85437815524825</f>
        <v>4.3248153867397575E-2</v>
      </c>
      <c r="I11499">
        <v>4.3248153867397873E-2</v>
      </c>
    </row>
    <row r="11500" spans="1:9" x14ac:dyDescent="0.25">
      <c r="A11500">
        <v>435</v>
      </c>
      <c r="B11500" t="s">
        <v>3417</v>
      </c>
      <c r="C11500" t="s">
        <v>75</v>
      </c>
      <c r="D11500" t="s">
        <v>676</v>
      </c>
      <c r="E11500">
        <f t="shared" si="537"/>
        <v>1.5151515151515152E-2</v>
      </c>
      <c r="F11500">
        <v>20</v>
      </c>
      <c r="G11500">
        <f>LOG(382/(20+1))</f>
        <v>1.2598440681777894</v>
      </c>
      <c r="H11500">
        <f>0.0151515151515151*2.90089817088315</f>
        <v>4.3953002589138486E-2</v>
      </c>
      <c r="I11500">
        <v>4.3953002589138673E-2</v>
      </c>
    </row>
    <row r="11501" spans="1:9" x14ac:dyDescent="0.25">
      <c r="A11501">
        <v>435</v>
      </c>
      <c r="B11501" t="s">
        <v>3417</v>
      </c>
      <c r="C11501" t="s">
        <v>75</v>
      </c>
      <c r="D11501" t="s">
        <v>3424</v>
      </c>
      <c r="E11501">
        <f t="shared" si="537"/>
        <v>1.5151515151515152E-2</v>
      </c>
      <c r="F11501">
        <v>1</v>
      </c>
      <c r="G11501">
        <f>LOG(382/(1+1))</f>
        <v>2.2810333672477277</v>
      </c>
      <c r="H11501">
        <f>0.0151515151515151*5.25227342804663</f>
        <v>7.9579900424948669E-2</v>
      </c>
      <c r="I11501">
        <v>7.9579900424948946E-2</v>
      </c>
    </row>
    <row r="11502" spans="1:9" x14ac:dyDescent="0.25">
      <c r="A11502">
        <v>435</v>
      </c>
      <c r="B11502" t="s">
        <v>3417</v>
      </c>
      <c r="C11502" t="s">
        <v>75</v>
      </c>
      <c r="D11502" t="s">
        <v>1467</v>
      </c>
      <c r="E11502">
        <f t="shared" si="537"/>
        <v>1.5151515151515152E-2</v>
      </c>
      <c r="F11502">
        <v>21</v>
      </c>
      <c r="G11502">
        <f>LOG(382/(21+1))</f>
        <v>1.2396406820895025</v>
      </c>
      <c r="H11502">
        <f>0.0151515151515151*2.85437815524825</f>
        <v>4.3248153867397575E-2</v>
      </c>
      <c r="I11502">
        <v>4.3248153867397873E-2</v>
      </c>
    </row>
    <row r="11503" spans="1:9" x14ac:dyDescent="0.25">
      <c r="A11503">
        <v>435</v>
      </c>
      <c r="B11503" t="s">
        <v>3417</v>
      </c>
      <c r="C11503" t="s">
        <v>75</v>
      </c>
      <c r="D11503" t="s">
        <v>1748</v>
      </c>
      <c r="E11503">
        <f t="shared" si="537"/>
        <v>1.5151515151515152E-2</v>
      </c>
      <c r="F11503">
        <v>12</v>
      </c>
      <c r="G11503">
        <f>LOG(382/(12+1))</f>
        <v>1.468120010604872</v>
      </c>
      <c r="H11503">
        <f>0.0151515151515151*3.38047125114503</f>
        <v>5.1219261380985127E-2</v>
      </c>
      <c r="I11503">
        <v>5.1219261380985433E-2</v>
      </c>
    </row>
    <row r="11504" spans="1:9" x14ac:dyDescent="0.25">
      <c r="A11504">
        <v>435</v>
      </c>
      <c r="B11504" t="s">
        <v>3417</v>
      </c>
      <c r="C11504" t="s">
        <v>75</v>
      </c>
      <c r="D11504" t="s">
        <v>214</v>
      </c>
      <c r="E11504">
        <f t="shared" si="537"/>
        <v>1.5151515151515152E-2</v>
      </c>
      <c r="F11504">
        <v>68</v>
      </c>
      <c r="G11504">
        <f>LOG(382/(68+1))</f>
        <v>0.74321427217445335</v>
      </c>
      <c r="H11504">
        <f>0.0151515151515151*1.71131410400931</f>
        <v>2.5929001575898548E-2</v>
      </c>
      <c r="I11504">
        <v>2.5929001575898721E-2</v>
      </c>
    </row>
    <row r="11505" spans="1:9" x14ac:dyDescent="0.25">
      <c r="A11505">
        <v>435</v>
      </c>
      <c r="B11505" t="s">
        <v>3417</v>
      </c>
      <c r="C11505" t="s">
        <v>75</v>
      </c>
      <c r="D11505" t="s">
        <v>3425</v>
      </c>
      <c r="E11505">
        <f>2/66</f>
        <v>3.0303030303030304E-2</v>
      </c>
      <c r="F11505">
        <v>1</v>
      </c>
      <c r="G11505">
        <f>LOG(382/(1+1))</f>
        <v>2.2810333672477277</v>
      </c>
      <c r="H11505">
        <f>0.0303030303030303*5.25227342804663</f>
        <v>0.15915980084989786</v>
      </c>
      <c r="I11505">
        <v>0.15915980084989789</v>
      </c>
    </row>
    <row r="11506" spans="1:9" x14ac:dyDescent="0.25">
      <c r="A11506">
        <v>435</v>
      </c>
      <c r="B11506" t="s">
        <v>3417</v>
      </c>
      <c r="C11506" t="s">
        <v>75</v>
      </c>
      <c r="D11506" t="s">
        <v>770</v>
      </c>
      <c r="E11506">
        <f t="shared" ref="E11506:E11521" si="538">1/66</f>
        <v>1.5151515151515152E-2</v>
      </c>
      <c r="F11506">
        <v>47</v>
      </c>
      <c r="G11506">
        <f>LOG(382/(47+1))</f>
        <v>0.90082212553612151</v>
      </c>
      <c r="H11506">
        <f>0.0151515151515151*2.07421959769868</f>
        <v>3.1427569662101106E-2</v>
      </c>
      <c r="I11506">
        <v>3.1427569662101279E-2</v>
      </c>
    </row>
    <row r="11507" spans="1:9" x14ac:dyDescent="0.25">
      <c r="A11507">
        <v>435</v>
      </c>
      <c r="B11507" t="s">
        <v>3417</v>
      </c>
      <c r="C11507" t="s">
        <v>75</v>
      </c>
      <c r="D11507" t="s">
        <v>243</v>
      </c>
      <c r="E11507">
        <f t="shared" si="538"/>
        <v>1.5151515151515152E-2</v>
      </c>
      <c r="F11507">
        <v>131</v>
      </c>
      <c r="G11507">
        <f>LOG(382/(131+1))</f>
        <v>0.46148943170585888</v>
      </c>
      <c r="H11507">
        <f>0.0151515151515151*1.0626186860202</f>
        <v>1.6100283121518129E-2</v>
      </c>
      <c r="I11507">
        <v>1.610028312151825E-2</v>
      </c>
    </row>
    <row r="11508" spans="1:9" x14ac:dyDescent="0.25">
      <c r="A11508">
        <v>435</v>
      </c>
      <c r="B11508" t="s">
        <v>3417</v>
      </c>
      <c r="C11508" t="s">
        <v>75</v>
      </c>
      <c r="D11508" t="s">
        <v>307</v>
      </c>
      <c r="E11508">
        <f t="shared" si="538"/>
        <v>1.5151515151515152E-2</v>
      </c>
      <c r="F11508">
        <v>67</v>
      </c>
      <c r="G11508">
        <f>LOG(382/(67+1))</f>
        <v>0.7495544502054724</v>
      </c>
      <c r="H11508">
        <f>0.0151515151515151*1.72591290343046</f>
        <v>2.6150195506522034E-2</v>
      </c>
      <c r="I11508">
        <v>2.6150195506522249E-2</v>
      </c>
    </row>
    <row r="11509" spans="1:9" x14ac:dyDescent="0.25">
      <c r="A11509">
        <v>435</v>
      </c>
      <c r="B11509" t="s">
        <v>3417</v>
      </c>
      <c r="C11509" t="s">
        <v>75</v>
      </c>
      <c r="D11509" t="s">
        <v>455</v>
      </c>
      <c r="E11509">
        <f t="shared" si="538"/>
        <v>1.5151515151515152E-2</v>
      </c>
      <c r="F11509">
        <v>78</v>
      </c>
      <c r="G11509">
        <f>LOG(382/(78+1))</f>
        <v>0.6844362716212673</v>
      </c>
      <c r="H11509">
        <f>0.0151515151515151*1.57597275613955</f>
        <v>2.3878375093023405E-2</v>
      </c>
      <c r="I11509">
        <v>2.3878375093023541E-2</v>
      </c>
    </row>
    <row r="11510" spans="1:9" x14ac:dyDescent="0.25">
      <c r="A11510">
        <v>435</v>
      </c>
      <c r="B11510" t="s">
        <v>3417</v>
      </c>
      <c r="C11510" t="s">
        <v>75</v>
      </c>
      <c r="D11510" t="s">
        <v>456</v>
      </c>
      <c r="E11510">
        <f t="shared" si="538"/>
        <v>1.5151515151515152E-2</v>
      </c>
      <c r="F11510">
        <v>71</v>
      </c>
      <c r="G11510">
        <f>LOG(382/(71+1))</f>
        <v>0.72473086648044027</v>
      </c>
      <c r="H11510">
        <f>0.0151515151515151*1.66875448959051</f>
        <v>2.5284158933189461E-2</v>
      </c>
      <c r="I11510">
        <v>2.528415893318969E-2</v>
      </c>
    </row>
    <row r="11511" spans="1:9" x14ac:dyDescent="0.25">
      <c r="A11511">
        <v>435</v>
      </c>
      <c r="B11511" t="s">
        <v>3417</v>
      </c>
      <c r="C11511" t="s">
        <v>75</v>
      </c>
      <c r="D11511" t="s">
        <v>3426</v>
      </c>
      <c r="E11511">
        <f t="shared" si="538"/>
        <v>1.5151515151515152E-2</v>
      </c>
      <c r="F11511">
        <v>1</v>
      </c>
      <c r="G11511">
        <f>LOG(382/(1+1))</f>
        <v>2.2810333672477277</v>
      </c>
      <c r="H11511">
        <f>0.0151515151515151*5.25227342804663</f>
        <v>7.9579900424948669E-2</v>
      </c>
      <c r="I11511">
        <v>7.9579900424948946E-2</v>
      </c>
    </row>
    <row r="11512" spans="1:9" x14ac:dyDescent="0.25">
      <c r="A11512">
        <v>435</v>
      </c>
      <c r="B11512" t="s">
        <v>3417</v>
      </c>
      <c r="C11512" t="s">
        <v>75</v>
      </c>
      <c r="D11512" t="s">
        <v>78</v>
      </c>
      <c r="E11512">
        <f t="shared" si="538"/>
        <v>1.5151515151515152E-2</v>
      </c>
      <c r="F11512">
        <v>122</v>
      </c>
      <c r="G11512">
        <f>LOG(382/(122+1))</f>
        <v>0.49215825147231079</v>
      </c>
      <c r="H11512">
        <f>0.0151515151515151*1.13323625323415</f>
        <v>1.7170246261123425E-2</v>
      </c>
      <c r="I11512">
        <v>1.7170246261123599E-2</v>
      </c>
    </row>
    <row r="11513" spans="1:9" x14ac:dyDescent="0.25">
      <c r="A11513">
        <v>435</v>
      </c>
      <c r="B11513" t="s">
        <v>3417</v>
      </c>
      <c r="C11513" t="s">
        <v>75</v>
      </c>
      <c r="D11513" t="s">
        <v>754</v>
      </c>
      <c r="E11513">
        <f t="shared" si="538"/>
        <v>1.5151515151515152E-2</v>
      </c>
      <c r="F11513">
        <v>111</v>
      </c>
      <c r="G11513">
        <f>LOG(382/(111+1))</f>
        <v>0.53284534024152708</v>
      </c>
      <c r="H11513">
        <f>0.0151515151515151*1.22692173731148</f>
        <v>1.8589723292598118E-2</v>
      </c>
      <c r="I11513">
        <v>1.8589723292598191E-2</v>
      </c>
    </row>
    <row r="11514" spans="1:9" x14ac:dyDescent="0.25">
      <c r="A11514">
        <v>435</v>
      </c>
      <c r="B11514" t="s">
        <v>3417</v>
      </c>
      <c r="C11514" t="s">
        <v>75</v>
      </c>
      <c r="D11514" t="s">
        <v>2238</v>
      </c>
      <c r="E11514">
        <f t="shared" si="538"/>
        <v>1.5151515151515152E-2</v>
      </c>
      <c r="F11514">
        <v>68</v>
      </c>
      <c r="G11514">
        <f>LOG(382/(68+1))</f>
        <v>0.74321427217445335</v>
      </c>
      <c r="H11514">
        <f>0.0151515151515151*1.71131410400931</f>
        <v>2.5929001575898548E-2</v>
      </c>
      <c r="I11514">
        <v>2.5929001575898721E-2</v>
      </c>
    </row>
    <row r="11515" spans="1:9" x14ac:dyDescent="0.25">
      <c r="A11515">
        <v>435</v>
      </c>
      <c r="B11515" t="s">
        <v>3417</v>
      </c>
      <c r="C11515" t="s">
        <v>75</v>
      </c>
      <c r="D11515" t="s">
        <v>1546</v>
      </c>
      <c r="E11515">
        <f t="shared" si="538"/>
        <v>1.5151515151515152E-2</v>
      </c>
      <c r="F11515">
        <v>44</v>
      </c>
      <c r="G11515">
        <f>LOG(382/(44+1))</f>
        <v>0.92885084913636506</v>
      </c>
      <c r="H11515">
        <f>0.0151515151515151*2.13875811883625</f>
        <v>3.2405426042973376E-2</v>
      </c>
      <c r="I11515">
        <v>3.2405426042973563E-2</v>
      </c>
    </row>
    <row r="11516" spans="1:9" x14ac:dyDescent="0.25">
      <c r="A11516">
        <v>435</v>
      </c>
      <c r="B11516" t="s">
        <v>3417</v>
      </c>
      <c r="C11516" t="s">
        <v>75</v>
      </c>
      <c r="D11516" t="s">
        <v>746</v>
      </c>
      <c r="E11516">
        <f t="shared" si="538"/>
        <v>1.5151515151515152E-2</v>
      </c>
      <c r="F11516">
        <v>58</v>
      </c>
      <c r="G11516">
        <f>LOG(382/(58+1))</f>
        <v>0.81121135126956456</v>
      </c>
      <c r="H11516">
        <f>0.0151515151515151*1.86788316470085</f>
        <v>2.8301260071224903E-2</v>
      </c>
      <c r="I11516">
        <v>2.830126007122509E-2</v>
      </c>
    </row>
    <row r="11517" spans="1:9" x14ac:dyDescent="0.25">
      <c r="A11517">
        <v>435</v>
      </c>
      <c r="B11517" t="s">
        <v>3417</v>
      </c>
      <c r="C11517" t="s">
        <v>75</v>
      </c>
      <c r="D11517" t="s">
        <v>133</v>
      </c>
      <c r="E11517">
        <f t="shared" si="538"/>
        <v>1.5151515151515152E-2</v>
      </c>
      <c r="F11517">
        <v>142</v>
      </c>
      <c r="G11517">
        <f>LOG(382/(142+1))</f>
        <v>0.42672732544664693</v>
      </c>
      <c r="H11517">
        <f>0.0151515151515151*0.982575978346667</f>
        <v>1.4887514823434297E-2</v>
      </c>
      <c r="I11517">
        <v>1.488751482343436E-2</v>
      </c>
    </row>
    <row r="11518" spans="1:9" x14ac:dyDescent="0.25">
      <c r="A11518">
        <v>435</v>
      </c>
      <c r="B11518" t="s">
        <v>3417</v>
      </c>
      <c r="C11518" t="s">
        <v>75</v>
      </c>
      <c r="D11518" t="s">
        <v>1762</v>
      </c>
      <c r="E11518">
        <f t="shared" si="538"/>
        <v>1.5151515151515152E-2</v>
      </c>
      <c r="F11518">
        <v>60</v>
      </c>
      <c r="G11518">
        <f>LOG(382/(60+1))</f>
        <v>0.79673352790094176</v>
      </c>
      <c r="H11518">
        <f>0.0151515151515151*1.83454674443326</f>
        <v>2.7796162794443236E-2</v>
      </c>
      <c r="I11518">
        <v>2.7796162794443389E-2</v>
      </c>
    </row>
    <row r="11519" spans="1:9" x14ac:dyDescent="0.25">
      <c r="A11519">
        <v>435</v>
      </c>
      <c r="B11519" t="s">
        <v>3417</v>
      </c>
      <c r="C11519" t="s">
        <v>75</v>
      </c>
      <c r="D11519" t="s">
        <v>98</v>
      </c>
      <c r="E11519">
        <f t="shared" si="538"/>
        <v>1.5151515151515152E-2</v>
      </c>
      <c r="F11519">
        <v>56</v>
      </c>
      <c r="G11519">
        <f>LOG(382/(56+1))</f>
        <v>0.82618850723921733</v>
      </c>
      <c r="H11519">
        <f>0.0151515151515151*1.90236934077202</f>
        <v>2.8823777890485052E-2</v>
      </c>
      <c r="I11519">
        <v>2.8823777890485229E-2</v>
      </c>
    </row>
    <row r="11520" spans="1:9" x14ac:dyDescent="0.25">
      <c r="A11520">
        <v>435</v>
      </c>
      <c r="B11520" t="s">
        <v>3417</v>
      </c>
      <c r="C11520" t="s">
        <v>75</v>
      </c>
      <c r="D11520" t="s">
        <v>40</v>
      </c>
      <c r="E11520">
        <f t="shared" si="538"/>
        <v>1.5151515151515152E-2</v>
      </c>
      <c r="F11520">
        <v>159</v>
      </c>
      <c r="G11520">
        <f>LOG(382/(159+1))</f>
        <v>0.377943380255784</v>
      </c>
      <c r="H11520">
        <f>0.0151515151515151*0.870246793372748</f>
        <v>1.3185557475344622E-2</v>
      </c>
      <c r="I11520">
        <v>1.318555747534467E-2</v>
      </c>
    </row>
    <row r="11521" spans="1:9" x14ac:dyDescent="0.25">
      <c r="A11521">
        <v>435</v>
      </c>
      <c r="B11521" t="s">
        <v>3417</v>
      </c>
      <c r="C11521" t="s">
        <v>75</v>
      </c>
      <c r="D11521" t="s">
        <v>41</v>
      </c>
      <c r="E11521">
        <f t="shared" si="538"/>
        <v>1.5151515151515152E-2</v>
      </c>
      <c r="F11521">
        <v>195</v>
      </c>
      <c r="G11521">
        <f>LOG(382/(195+1))</f>
        <v>0.28980729155523272</v>
      </c>
      <c r="H11521">
        <f>0.0151515151515151*0.667305949376058</f>
        <v>1.0110696202667512E-2</v>
      </c>
      <c r="I11521">
        <v>1.011069620266755E-2</v>
      </c>
    </row>
    <row r="11522" spans="1:9" x14ac:dyDescent="0.25">
      <c r="A11522">
        <v>436</v>
      </c>
      <c r="B11522" t="s">
        <v>1760</v>
      </c>
      <c r="C11522" t="s">
        <v>75</v>
      </c>
      <c r="D11522" t="s">
        <v>1761</v>
      </c>
      <c r="E11522">
        <f t="shared" ref="E11522:E11527" si="539">1/71</f>
        <v>1.4084507042253521E-2</v>
      </c>
      <c r="F11522">
        <v>2</v>
      </c>
      <c r="G11522">
        <f>LOG(382/(2+1))</f>
        <v>2.1049421081920463</v>
      </c>
      <c r="H11522">
        <f>0.0140845070422535*4.84680831993846</f>
        <v>6.8264905914626098E-2</v>
      </c>
      <c r="I11522">
        <v>6.8264905914626278E-2</v>
      </c>
    </row>
    <row r="11523" spans="1:9" x14ac:dyDescent="0.25">
      <c r="A11523">
        <v>436</v>
      </c>
      <c r="B11523" t="s">
        <v>1760</v>
      </c>
      <c r="C11523" t="s">
        <v>75</v>
      </c>
      <c r="D11523" t="s">
        <v>1537</v>
      </c>
      <c r="E11523">
        <f t="shared" si="539"/>
        <v>1.4084507042253521E-2</v>
      </c>
      <c r="F11523">
        <v>80</v>
      </c>
      <c r="G11523">
        <f>LOG(382/(80+1))</f>
        <v>0.67357834403305894</v>
      </c>
      <c r="H11523">
        <f>0.0140845070422535*1.55097145393413</f>
        <v>2.1844668365269403E-2</v>
      </c>
      <c r="I11523">
        <v>2.1844668365269531E-2</v>
      </c>
    </row>
    <row r="11524" spans="1:9" x14ac:dyDescent="0.25">
      <c r="A11524">
        <v>436</v>
      </c>
      <c r="B11524" t="s">
        <v>1760</v>
      </c>
      <c r="C11524" t="s">
        <v>75</v>
      </c>
      <c r="D11524" t="s">
        <v>42</v>
      </c>
      <c r="E11524">
        <f t="shared" si="539"/>
        <v>1.4084507042253521E-2</v>
      </c>
      <c r="F11524">
        <v>251</v>
      </c>
      <c r="G11524">
        <f>LOG(382/(251+1))</f>
        <v>0.18066282213016463</v>
      </c>
      <c r="H11524">
        <f>0.0140845070422535*0.415991521095151</f>
        <v>5.8590355083823998E-3</v>
      </c>
      <c r="I11524">
        <v>5.8590355083824206E-3</v>
      </c>
    </row>
    <row r="11525" spans="1:9" x14ac:dyDescent="0.25">
      <c r="A11525">
        <v>436</v>
      </c>
      <c r="B11525" t="s">
        <v>1760</v>
      </c>
      <c r="C11525" t="s">
        <v>75</v>
      </c>
      <c r="D11525" t="s">
        <v>636</v>
      </c>
      <c r="E11525">
        <f t="shared" si="539"/>
        <v>1.4084507042253521E-2</v>
      </c>
      <c r="F11525">
        <v>31</v>
      </c>
      <c r="G11525">
        <f>LOG(382/(31+1))</f>
        <v>1.0769133845918029</v>
      </c>
      <c r="H11525">
        <f>0.0140845070422535*2.47968470580684</f>
        <v>3.4925136701504739E-2</v>
      </c>
      <c r="I11525">
        <v>3.4925136701504912E-2</v>
      </c>
    </row>
    <row r="11526" spans="1:9" x14ac:dyDescent="0.25">
      <c r="A11526">
        <v>436</v>
      </c>
      <c r="B11526" t="s">
        <v>1760</v>
      </c>
      <c r="C11526" t="s">
        <v>75</v>
      </c>
      <c r="D11526" t="s">
        <v>637</v>
      </c>
      <c r="E11526">
        <f t="shared" si="539"/>
        <v>1.4084507042253521E-2</v>
      </c>
      <c r="F11526">
        <v>29</v>
      </c>
      <c r="G11526">
        <f>LOG(382/(29+1))</f>
        <v>1.1049421081920463</v>
      </c>
      <c r="H11526">
        <f>0.0140845070422535*2.54422322694442</f>
        <v>3.5834129956963605E-2</v>
      </c>
      <c r="I11526">
        <v>3.583412995696366E-2</v>
      </c>
    </row>
    <row r="11527" spans="1:9" x14ac:dyDescent="0.25">
      <c r="A11527">
        <v>436</v>
      </c>
      <c r="B11527" t="s">
        <v>1760</v>
      </c>
      <c r="C11527" t="s">
        <v>75</v>
      </c>
      <c r="D11527" t="s">
        <v>19</v>
      </c>
      <c r="E11527">
        <f t="shared" si="539"/>
        <v>1.4084507042253521E-2</v>
      </c>
      <c r="F11527">
        <v>220</v>
      </c>
      <c r="G11527">
        <f>LOG(382/(220+1))</f>
        <v>0.23767108922659805</v>
      </c>
      <c r="H11527">
        <f>0.0140845070422535*0.547257907088822</f>
        <v>7.7078578463214264E-3</v>
      </c>
      <c r="I11527">
        <v>7.707857846321442E-3</v>
      </c>
    </row>
    <row r="11528" spans="1:9" x14ac:dyDescent="0.25">
      <c r="A11528">
        <v>436</v>
      </c>
      <c r="B11528" t="s">
        <v>1760</v>
      </c>
      <c r="C11528" t="s">
        <v>75</v>
      </c>
      <c r="D11528" t="s">
        <v>44</v>
      </c>
      <c r="E11528">
        <f>2/71</f>
        <v>2.8169014084507043E-2</v>
      </c>
      <c r="F11528">
        <v>151</v>
      </c>
      <c r="G11528">
        <f>LOG(382/(151+1))</f>
        <v>0.40021977496693617</v>
      </c>
      <c r="H11528">
        <f>0.028169014084507*0.921540087760298</f>
        <v>2.5958875711557652E-2</v>
      </c>
      <c r="I11528">
        <v>2.5958875711557711E-2</v>
      </c>
    </row>
    <row r="11529" spans="1:9" x14ac:dyDescent="0.25">
      <c r="A11529">
        <v>436</v>
      </c>
      <c r="B11529" t="s">
        <v>1760</v>
      </c>
      <c r="C11529" t="s">
        <v>75</v>
      </c>
      <c r="D11529" t="s">
        <v>22</v>
      </c>
      <c r="E11529">
        <f>1/71</f>
        <v>1.4084507042253521E-2</v>
      </c>
      <c r="F11529">
        <v>259</v>
      </c>
      <c r="G11529">
        <f>LOG(382/(259+1))</f>
        <v>0.16709001494089079</v>
      </c>
      <c r="H11529">
        <f>0.0140845070422535*0.384738977591047</f>
        <v>5.4188588393105138E-3</v>
      </c>
      <c r="I11529">
        <v>5.4188588393105294E-3</v>
      </c>
    </row>
    <row r="11530" spans="1:9" x14ac:dyDescent="0.25">
      <c r="A11530">
        <v>436</v>
      </c>
      <c r="B11530" t="s">
        <v>1760</v>
      </c>
      <c r="C11530" t="s">
        <v>75</v>
      </c>
      <c r="D11530" t="s">
        <v>23</v>
      </c>
      <c r="E11530">
        <f>1/71</f>
        <v>1.4084507042253521E-2</v>
      </c>
      <c r="F11530">
        <v>275</v>
      </c>
      <c r="G11530">
        <f>LOG(382/(275+1))</f>
        <v>0.14115428084649101</v>
      </c>
      <c r="H11530">
        <f>0.0140845070422535*0.325019742889425</f>
        <v>4.5777428575975287E-3</v>
      </c>
      <c r="I11530">
        <v>4.5777428575975374E-3</v>
      </c>
    </row>
    <row r="11531" spans="1:9" x14ac:dyDescent="0.25">
      <c r="A11531">
        <v>436</v>
      </c>
      <c r="B11531" t="s">
        <v>1760</v>
      </c>
      <c r="C11531" t="s">
        <v>75</v>
      </c>
      <c r="D11531" t="s">
        <v>24</v>
      </c>
      <c r="E11531">
        <f>3/71</f>
        <v>4.2253521126760563E-2</v>
      </c>
      <c r="F11531">
        <v>59</v>
      </c>
      <c r="G11531">
        <f>LOG(382/(59+1))</f>
        <v>0.80391211252806505</v>
      </c>
      <c r="H11531">
        <f>0.0422535211267605*1.85107604638447</f>
        <v>7.8214480833146499E-2</v>
      </c>
      <c r="I11531">
        <v>7.8214480833146804E-2</v>
      </c>
    </row>
    <row r="11532" spans="1:9" x14ac:dyDescent="0.25">
      <c r="A11532">
        <v>436</v>
      </c>
      <c r="B11532" t="s">
        <v>1760</v>
      </c>
      <c r="C11532" t="s">
        <v>75</v>
      </c>
      <c r="D11532" t="s">
        <v>362</v>
      </c>
      <c r="E11532">
        <f>1/71</f>
        <v>1.4084507042253521E-2</v>
      </c>
      <c r="F11532">
        <v>81</v>
      </c>
      <c r="G11532">
        <f>LOG(382/(81+1))</f>
        <v>0.66824951052799197</v>
      </c>
      <c r="H11532">
        <f>0.0140845070422535*1.53870136134232</f>
        <v>2.1671850159750955E-2</v>
      </c>
      <c r="I11532">
        <v>2.167185015975101E-2</v>
      </c>
    </row>
    <row r="11533" spans="1:9" x14ac:dyDescent="0.25">
      <c r="A11533">
        <v>436</v>
      </c>
      <c r="B11533" t="s">
        <v>1760</v>
      </c>
      <c r="C11533" t="s">
        <v>75</v>
      </c>
      <c r="D11533" t="s">
        <v>1762</v>
      </c>
      <c r="E11533">
        <f>2/71</f>
        <v>2.8169014084507043E-2</v>
      </c>
      <c r="F11533">
        <v>60</v>
      </c>
      <c r="G11533">
        <f>LOG(382/(60+1))</f>
        <v>0.79673352790094176</v>
      </c>
      <c r="H11533">
        <f>0.028169014084507*1.83454674443326</f>
        <v>5.1677373082626966E-2</v>
      </c>
      <c r="I11533">
        <v>5.1677373082627147E-2</v>
      </c>
    </row>
    <row r="11534" spans="1:9" x14ac:dyDescent="0.25">
      <c r="A11534">
        <v>436</v>
      </c>
      <c r="B11534" t="s">
        <v>1760</v>
      </c>
      <c r="C11534" t="s">
        <v>75</v>
      </c>
      <c r="D11534" t="s">
        <v>1763</v>
      </c>
      <c r="E11534">
        <f>1/71</f>
        <v>1.4084507042253521E-2</v>
      </c>
      <c r="F11534">
        <v>9</v>
      </c>
      <c r="G11534">
        <f>LOG(382/(9+1))</f>
        <v>1.5820633629117087</v>
      </c>
      <c r="H11534">
        <f>0.0140845070422535*3.64283551561252</f>
        <v>5.13075424734157E-2</v>
      </c>
      <c r="I11534">
        <v>5.1307542473415908E-2</v>
      </c>
    </row>
    <row r="11535" spans="1:9" x14ac:dyDescent="0.25">
      <c r="A11535">
        <v>436</v>
      </c>
      <c r="B11535" t="s">
        <v>1760</v>
      </c>
      <c r="C11535" t="s">
        <v>75</v>
      </c>
      <c r="D11535" t="s">
        <v>1764</v>
      </c>
      <c r="E11535">
        <f>5/71</f>
        <v>7.0422535211267609E-2</v>
      </c>
      <c r="F11535">
        <v>2</v>
      </c>
      <c r="G11535">
        <f>LOG(382/(2+1))</f>
        <v>2.1049421081920463</v>
      </c>
      <c r="H11535">
        <f>0.0704225352112676*4.84680831993846</f>
        <v>0.34132452957313092</v>
      </c>
      <c r="I11535">
        <v>0.34132452957313142</v>
      </c>
    </row>
    <row r="11536" spans="1:9" x14ac:dyDescent="0.25">
      <c r="A11536">
        <v>436</v>
      </c>
      <c r="B11536" t="s">
        <v>1760</v>
      </c>
      <c r="C11536" t="s">
        <v>75</v>
      </c>
      <c r="D11536" t="s">
        <v>1765</v>
      </c>
      <c r="E11536">
        <f>5/71</f>
        <v>7.0422535211267609E-2</v>
      </c>
      <c r="F11536">
        <v>14</v>
      </c>
      <c r="G11536">
        <f>LOG(382/(14+1))</f>
        <v>1.4059721038560276</v>
      </c>
      <c r="H11536">
        <f>0.0704225352112676*3.23737040750436</f>
        <v>0.2279838315143915</v>
      </c>
      <c r="I11536">
        <v>0.22798383151439189</v>
      </c>
    </row>
    <row r="11537" spans="1:9" x14ac:dyDescent="0.25">
      <c r="A11537">
        <v>436</v>
      </c>
      <c r="B11537" t="s">
        <v>1760</v>
      </c>
      <c r="C11537" t="s">
        <v>75</v>
      </c>
      <c r="D11537" t="s">
        <v>1766</v>
      </c>
      <c r="E11537">
        <f t="shared" ref="E11537:E11560" si="540">1/71</f>
        <v>1.4084507042253521E-2</v>
      </c>
      <c r="F11537">
        <v>4</v>
      </c>
      <c r="G11537">
        <f>LOG(382/(4+1))</f>
        <v>1.8830933585756899</v>
      </c>
      <c r="H11537">
        <f>0.0140845070422535*4.33598269617247</f>
        <v>6.1070178819330481E-2</v>
      </c>
      <c r="I11537">
        <v>6.1070178819330627E-2</v>
      </c>
    </row>
    <row r="11538" spans="1:9" x14ac:dyDescent="0.25">
      <c r="A11538">
        <v>436</v>
      </c>
      <c r="B11538" t="s">
        <v>1760</v>
      </c>
      <c r="C11538" t="s">
        <v>75</v>
      </c>
      <c r="D11538" t="s">
        <v>425</v>
      </c>
      <c r="E11538">
        <f t="shared" si="540"/>
        <v>1.4084507042253521E-2</v>
      </c>
      <c r="F11538">
        <v>3</v>
      </c>
      <c r="G11538">
        <f>LOG(382/(3+1))</f>
        <v>1.9800033715837464</v>
      </c>
      <c r="H11538">
        <f>0.0140845070422535*4.55912624748668</f>
        <v>6.4213045739248922E-2</v>
      </c>
      <c r="I11538">
        <v>6.4213045739249075E-2</v>
      </c>
    </row>
    <row r="11539" spans="1:9" x14ac:dyDescent="0.25">
      <c r="A11539">
        <v>436</v>
      </c>
      <c r="B11539" t="s">
        <v>1760</v>
      </c>
      <c r="C11539" t="s">
        <v>75</v>
      </c>
      <c r="D11539" t="s">
        <v>1767</v>
      </c>
      <c r="E11539">
        <f t="shared" si="540"/>
        <v>1.4084507042253521E-2</v>
      </c>
      <c r="F11539">
        <v>2</v>
      </c>
      <c r="G11539">
        <f>LOG(382/(2+1))</f>
        <v>2.1049421081920463</v>
      </c>
      <c r="H11539">
        <f>0.0140845070422535*4.84680831993846</f>
        <v>6.8264905914626098E-2</v>
      </c>
      <c r="I11539">
        <v>6.8264905914626278E-2</v>
      </c>
    </row>
    <row r="11540" spans="1:9" x14ac:dyDescent="0.25">
      <c r="A11540">
        <v>436</v>
      </c>
      <c r="B11540" t="s">
        <v>1760</v>
      </c>
      <c r="C11540" t="s">
        <v>75</v>
      </c>
      <c r="D11540" t="s">
        <v>237</v>
      </c>
      <c r="E11540">
        <f t="shared" si="540"/>
        <v>1.4084507042253521E-2</v>
      </c>
      <c r="F11540">
        <v>138</v>
      </c>
      <c r="G11540">
        <f>LOG(382/(138+1))</f>
        <v>0.43904856265761361</v>
      </c>
      <c r="H11540">
        <f>0.0140845070422535*1.01094667547588</f>
        <v>1.4238685570082796E-2</v>
      </c>
      <c r="I11540">
        <v>1.423868557008286E-2</v>
      </c>
    </row>
    <row r="11541" spans="1:9" x14ac:dyDescent="0.25">
      <c r="A11541">
        <v>436</v>
      </c>
      <c r="B11541" t="s">
        <v>1760</v>
      </c>
      <c r="C11541" t="s">
        <v>75</v>
      </c>
      <c r="D11541" t="s">
        <v>1768</v>
      </c>
      <c r="E11541">
        <f t="shared" si="540"/>
        <v>1.4084507042253521E-2</v>
      </c>
      <c r="F11541">
        <v>2</v>
      </c>
      <c r="G11541">
        <f>LOG(382/(2+1))</f>
        <v>2.1049421081920463</v>
      </c>
      <c r="H11541">
        <f>0.0140845070422535*4.84680831993846</f>
        <v>6.8264905914626098E-2</v>
      </c>
      <c r="I11541">
        <v>6.8264905914626278E-2</v>
      </c>
    </row>
    <row r="11542" spans="1:9" x14ac:dyDescent="0.25">
      <c r="A11542">
        <v>436</v>
      </c>
      <c r="B11542" t="s">
        <v>1760</v>
      </c>
      <c r="C11542" t="s">
        <v>75</v>
      </c>
      <c r="D11542" t="s">
        <v>1731</v>
      </c>
      <c r="E11542">
        <f t="shared" si="540"/>
        <v>1.4084507042253521E-2</v>
      </c>
      <c r="F11542">
        <v>15</v>
      </c>
      <c r="G11542">
        <f>LOG(382/(15+1))</f>
        <v>1.3779433802557839</v>
      </c>
      <c r="H11542">
        <f>0.0140845070422535*3.17283188636679</f>
        <v>4.4687773047419513E-2</v>
      </c>
      <c r="I11542">
        <v>4.4687773047419638E-2</v>
      </c>
    </row>
    <row r="11543" spans="1:9" x14ac:dyDescent="0.25">
      <c r="A11543">
        <v>436</v>
      </c>
      <c r="B11543" t="s">
        <v>1760</v>
      </c>
      <c r="C11543" t="s">
        <v>75</v>
      </c>
      <c r="D11543" t="s">
        <v>1769</v>
      </c>
      <c r="E11543">
        <f t="shared" si="540"/>
        <v>1.4084507042253521E-2</v>
      </c>
      <c r="F11543">
        <v>84</v>
      </c>
      <c r="G11543">
        <f>LOG(382/(84+1))</f>
        <v>0.65264443719741605</v>
      </c>
      <c r="H11543">
        <f>0.0140845070422535*1.50276935211625</f>
        <v>2.1165765522764054E-2</v>
      </c>
      <c r="I11543">
        <v>2.116576552276421E-2</v>
      </c>
    </row>
    <row r="11544" spans="1:9" x14ac:dyDescent="0.25">
      <c r="A11544">
        <v>436</v>
      </c>
      <c r="B11544" t="s">
        <v>1760</v>
      </c>
      <c r="C11544" t="s">
        <v>75</v>
      </c>
      <c r="D11544" t="s">
        <v>98</v>
      </c>
      <c r="E11544">
        <f t="shared" si="540"/>
        <v>1.4084507042253521E-2</v>
      </c>
      <c r="F11544">
        <v>56</v>
      </c>
      <c r="G11544">
        <f>LOG(382/(56+1))</f>
        <v>0.82618850723921733</v>
      </c>
      <c r="H11544">
        <f>0.0140845070422535*1.90236934077202</f>
        <v>2.6793934377070665E-2</v>
      </c>
      <c r="I11544">
        <v>2.6793934377070779E-2</v>
      </c>
    </row>
    <row r="11545" spans="1:9" x14ac:dyDescent="0.25">
      <c r="A11545">
        <v>436</v>
      </c>
      <c r="B11545" t="s">
        <v>1760</v>
      </c>
      <c r="C11545" t="s">
        <v>75</v>
      </c>
      <c r="D11545" t="s">
        <v>1076</v>
      </c>
      <c r="E11545">
        <f t="shared" si="540"/>
        <v>1.4084507042253521E-2</v>
      </c>
      <c r="F11545">
        <v>13</v>
      </c>
      <c r="G11545">
        <f>LOG(382/(13+1))</f>
        <v>1.4359353272334707</v>
      </c>
      <c r="H11545">
        <f>0.0140845070422535*3.30636327899131</f>
        <v>4.6568496887201487E-2</v>
      </c>
      <c r="I11545">
        <v>4.6568496887201639E-2</v>
      </c>
    </row>
    <row r="11546" spans="1:9" x14ac:dyDescent="0.25">
      <c r="A11546">
        <v>436</v>
      </c>
      <c r="B11546" t="s">
        <v>1760</v>
      </c>
      <c r="C11546" t="s">
        <v>75</v>
      </c>
      <c r="D11546" t="s">
        <v>322</v>
      </c>
      <c r="E11546">
        <f t="shared" si="540"/>
        <v>1.4084507042253521E-2</v>
      </c>
      <c r="F11546">
        <v>128</v>
      </c>
      <c r="G11546">
        <f>LOG(382/(128+1))</f>
        <v>0.47147365261245977</v>
      </c>
      <c r="H11546">
        <f>0.0140845070422535*1.0856082042449</f>
        <v>1.529025639781547E-2</v>
      </c>
      <c r="I11546">
        <v>1.529025639781554E-2</v>
      </c>
    </row>
    <row r="11547" spans="1:9" x14ac:dyDescent="0.25">
      <c r="A11547">
        <v>436</v>
      </c>
      <c r="B11547" t="s">
        <v>1760</v>
      </c>
      <c r="C11547" t="s">
        <v>75</v>
      </c>
      <c r="D11547" t="s">
        <v>78</v>
      </c>
      <c r="E11547">
        <f t="shared" si="540"/>
        <v>1.4084507042253521E-2</v>
      </c>
      <c r="F11547">
        <v>122</v>
      </c>
      <c r="G11547">
        <f>LOG(382/(122+1))</f>
        <v>0.49215825147231079</v>
      </c>
      <c r="H11547">
        <f>0.0140845070422535*1.13323625323415</f>
        <v>1.5961073989213356E-2</v>
      </c>
      <c r="I11547">
        <v>1.5961073989213492E-2</v>
      </c>
    </row>
    <row r="11548" spans="1:9" x14ac:dyDescent="0.25">
      <c r="A11548">
        <v>436</v>
      </c>
      <c r="B11548" t="s">
        <v>1760</v>
      </c>
      <c r="C11548" t="s">
        <v>75</v>
      </c>
      <c r="D11548" t="s">
        <v>1770</v>
      </c>
      <c r="E11548">
        <f t="shared" si="540"/>
        <v>1.4084507042253521E-2</v>
      </c>
      <c r="F11548">
        <v>4</v>
      </c>
      <c r="G11548">
        <f>LOG(382/(4+1))</f>
        <v>1.8830933585756899</v>
      </c>
      <c r="H11548">
        <f>0.0140845070422535*4.33598269617247</f>
        <v>6.1070178819330481E-2</v>
      </c>
      <c r="I11548">
        <v>6.1070178819330627E-2</v>
      </c>
    </row>
    <row r="11549" spans="1:9" x14ac:dyDescent="0.25">
      <c r="A11549">
        <v>436</v>
      </c>
      <c r="B11549" t="s">
        <v>1760</v>
      </c>
      <c r="C11549" t="s">
        <v>75</v>
      </c>
      <c r="D11549" t="s">
        <v>25</v>
      </c>
      <c r="E11549">
        <f t="shared" si="540"/>
        <v>1.4084507042253521E-2</v>
      </c>
      <c r="F11549">
        <v>106</v>
      </c>
      <c r="G11549">
        <f>LOG(382/(106+1))</f>
        <v>0.55267958522649907</v>
      </c>
      <c r="H11549">
        <f>0.0140845070422535*1.27259177414466</f>
        <v>1.7923827804854339E-2</v>
      </c>
      <c r="I11549">
        <v>1.7923827804854499E-2</v>
      </c>
    </row>
    <row r="11550" spans="1:9" x14ac:dyDescent="0.25">
      <c r="A11550">
        <v>436</v>
      </c>
      <c r="B11550" t="s">
        <v>1760</v>
      </c>
      <c r="C11550" t="s">
        <v>75</v>
      </c>
      <c r="D11550" t="s">
        <v>1771</v>
      </c>
      <c r="E11550">
        <f t="shared" si="540"/>
        <v>1.4084507042253521E-2</v>
      </c>
      <c r="F11550">
        <v>2</v>
      </c>
      <c r="G11550">
        <f>LOG(382/(2+1))</f>
        <v>2.1049421081920463</v>
      </c>
      <c r="H11550">
        <f>0.0140845070422535*4.84680831993846</f>
        <v>6.8264905914626098E-2</v>
      </c>
      <c r="I11550">
        <v>6.8264905914626278E-2</v>
      </c>
    </row>
    <row r="11551" spans="1:9" x14ac:dyDescent="0.25">
      <c r="A11551">
        <v>436</v>
      </c>
      <c r="B11551" t="s">
        <v>1760</v>
      </c>
      <c r="C11551" t="s">
        <v>75</v>
      </c>
      <c r="D11551" t="s">
        <v>1772</v>
      </c>
      <c r="E11551">
        <f t="shared" si="540"/>
        <v>1.4084507042253521E-2</v>
      </c>
      <c r="F11551">
        <v>2</v>
      </c>
      <c r="G11551">
        <f>LOG(382/(2+1))</f>
        <v>2.1049421081920463</v>
      </c>
      <c r="H11551">
        <f>0.0140845070422535*4.84680831993846</f>
        <v>6.8264905914626098E-2</v>
      </c>
      <c r="I11551">
        <v>6.8264905914626278E-2</v>
      </c>
    </row>
    <row r="11552" spans="1:9" x14ac:dyDescent="0.25">
      <c r="A11552">
        <v>436</v>
      </c>
      <c r="B11552" t="s">
        <v>1760</v>
      </c>
      <c r="C11552" t="s">
        <v>75</v>
      </c>
      <c r="D11552" t="s">
        <v>256</v>
      </c>
      <c r="E11552">
        <f t="shared" si="540"/>
        <v>1.4084507042253521E-2</v>
      </c>
      <c r="F11552">
        <v>28</v>
      </c>
      <c r="G11552">
        <f>LOG(382/(28+1))</f>
        <v>1.1196653650127526</v>
      </c>
      <c r="H11552">
        <f>0.0140845070422535*2.5781247786201</f>
        <v>3.6311616600283043E-2</v>
      </c>
      <c r="I11552">
        <v>3.6311616600283113E-2</v>
      </c>
    </row>
    <row r="11553" spans="1:9" x14ac:dyDescent="0.25">
      <c r="A11553">
        <v>436</v>
      </c>
      <c r="B11553" t="s">
        <v>1760</v>
      </c>
      <c r="C11553" t="s">
        <v>75</v>
      </c>
      <c r="D11553" t="s">
        <v>76</v>
      </c>
      <c r="E11553">
        <f t="shared" si="540"/>
        <v>1.4084507042253521E-2</v>
      </c>
      <c r="F11553">
        <v>140</v>
      </c>
      <c r="G11553">
        <f>LOG(382/(140+1))</f>
        <v>0.43284425025632883</v>
      </c>
      <c r="H11553">
        <f>0.0140845070422535*0.996660718228407</f>
        <v>1.403747490462543E-2</v>
      </c>
      <c r="I11553">
        <v>1.403747490462545E-2</v>
      </c>
    </row>
    <row r="11554" spans="1:9" x14ac:dyDescent="0.25">
      <c r="A11554">
        <v>436</v>
      </c>
      <c r="B11554" t="s">
        <v>1760</v>
      </c>
      <c r="C11554" t="s">
        <v>75</v>
      </c>
      <c r="D11554" t="s">
        <v>77</v>
      </c>
      <c r="E11554">
        <f t="shared" si="540"/>
        <v>1.4084507042253521E-2</v>
      </c>
      <c r="F11554">
        <v>148</v>
      </c>
      <c r="G11554">
        <f>LOG(382/(148+1))</f>
        <v>0.40887709449943471</v>
      </c>
      <c r="H11554">
        <f>0.0140845070422535*0.941474302661116</f>
        <v>1.3260201445931192E-2</v>
      </c>
      <c r="I11554">
        <v>1.326020144593121E-2</v>
      </c>
    </row>
    <row r="11555" spans="1:9" x14ac:dyDescent="0.25">
      <c r="A11555">
        <v>436</v>
      </c>
      <c r="B11555" t="s">
        <v>1760</v>
      </c>
      <c r="C11555" t="s">
        <v>75</v>
      </c>
      <c r="D11555" t="s">
        <v>40</v>
      </c>
      <c r="E11555">
        <f t="shared" si="540"/>
        <v>1.4084507042253521E-2</v>
      </c>
      <c r="F11555">
        <v>159</v>
      </c>
      <c r="G11555">
        <f>LOG(382/(159+1))</f>
        <v>0.377943380255784</v>
      </c>
      <c r="H11555">
        <f>0.0140845070422535*0.870246793372748</f>
        <v>1.2256997089756997E-2</v>
      </c>
      <c r="I11555">
        <v>1.225699708975702E-2</v>
      </c>
    </row>
    <row r="11556" spans="1:9" x14ac:dyDescent="0.25">
      <c r="A11556">
        <v>436</v>
      </c>
      <c r="B11556" t="s">
        <v>1760</v>
      </c>
      <c r="C11556" t="s">
        <v>75</v>
      </c>
      <c r="D11556" t="s">
        <v>41</v>
      </c>
      <c r="E11556">
        <f t="shared" si="540"/>
        <v>1.4084507042253521E-2</v>
      </c>
      <c r="F11556">
        <v>195</v>
      </c>
      <c r="G11556">
        <f>LOG(382/(195+1))</f>
        <v>0.28980729155523272</v>
      </c>
      <c r="H11556">
        <f>0.0140845070422535*0.667305949376058</f>
        <v>9.3986753433247475E-3</v>
      </c>
      <c r="I11556">
        <v>9.3986753433247614E-3</v>
      </c>
    </row>
    <row r="11557" spans="1:9" x14ac:dyDescent="0.25">
      <c r="A11557">
        <v>436</v>
      </c>
      <c r="B11557" t="s">
        <v>1760</v>
      </c>
      <c r="C11557" t="s">
        <v>75</v>
      </c>
      <c r="D11557" t="s">
        <v>81</v>
      </c>
      <c r="E11557">
        <f t="shared" si="540"/>
        <v>1.4084507042253521E-2</v>
      </c>
      <c r="F11557">
        <v>114</v>
      </c>
      <c r="G11557">
        <f>LOG(382/(114+1))</f>
        <v>0.52136552255809698</v>
      </c>
      <c r="H11557">
        <f>0.0140845070422535*1.20048848024332</f>
        <v>1.6908288454131244E-2</v>
      </c>
      <c r="I11557">
        <v>1.6908288454131341E-2</v>
      </c>
    </row>
    <row r="11558" spans="1:9" x14ac:dyDescent="0.25">
      <c r="A11558">
        <v>436</v>
      </c>
      <c r="B11558" t="s">
        <v>1760</v>
      </c>
      <c r="C11558" t="s">
        <v>75</v>
      </c>
      <c r="D11558" t="s">
        <v>1773</v>
      </c>
      <c r="E11558">
        <f t="shared" si="540"/>
        <v>1.4084507042253521E-2</v>
      </c>
      <c r="F11558">
        <v>24</v>
      </c>
      <c r="G11558">
        <f>LOG(382/(24+1))</f>
        <v>1.1841233542396712</v>
      </c>
      <c r="H11558">
        <f>0.0140845070422535*2.72654478373837</f>
        <v>3.8402039207582617E-2</v>
      </c>
      <c r="I11558">
        <v>3.8402039207582728E-2</v>
      </c>
    </row>
    <row r="11559" spans="1:9" x14ac:dyDescent="0.25">
      <c r="A11559">
        <v>436</v>
      </c>
      <c r="B11559" t="s">
        <v>1760</v>
      </c>
      <c r="C11559" t="s">
        <v>75</v>
      </c>
      <c r="D11559" t="s">
        <v>447</v>
      </c>
      <c r="E11559">
        <f t="shared" si="540"/>
        <v>1.4084507042253521E-2</v>
      </c>
      <c r="F11559">
        <v>37</v>
      </c>
      <c r="G11559">
        <f>LOG(382/(37+1))</f>
        <v>1.0022797662948986</v>
      </c>
      <c r="H11559">
        <f>0.0140845070422535*2.30783444888018</f>
        <v>3.2504710547608118E-2</v>
      </c>
      <c r="I11559">
        <v>3.2504710547608298E-2</v>
      </c>
    </row>
    <row r="11560" spans="1:9" x14ac:dyDescent="0.25">
      <c r="A11560">
        <v>436</v>
      </c>
      <c r="B11560" t="s">
        <v>1760</v>
      </c>
      <c r="C11560" t="s">
        <v>75</v>
      </c>
      <c r="D11560" t="s">
        <v>1774</v>
      </c>
      <c r="E11560">
        <f t="shared" si="540"/>
        <v>1.4084507042253521E-2</v>
      </c>
      <c r="F11560">
        <v>2</v>
      </c>
      <c r="G11560">
        <f>LOG(382/(2+1))</f>
        <v>2.1049421081920463</v>
      </c>
      <c r="H11560">
        <f>0.0140845070422535*4.84680831993846</f>
        <v>6.8264905914626098E-2</v>
      </c>
      <c r="I11560">
        <v>6.8264905914626278E-2</v>
      </c>
    </row>
    <row r="11561" spans="1:9" x14ac:dyDescent="0.25">
      <c r="A11561">
        <v>436</v>
      </c>
      <c r="B11561" t="s">
        <v>1760</v>
      </c>
      <c r="C11561" t="s">
        <v>75</v>
      </c>
      <c r="D11561" t="s">
        <v>1775</v>
      </c>
      <c r="E11561">
        <f>2/71</f>
        <v>2.8169014084507043E-2</v>
      </c>
      <c r="F11561">
        <v>10</v>
      </c>
      <c r="G11561">
        <f>LOG(382/(10+1))</f>
        <v>1.5406706777534838</v>
      </c>
      <c r="H11561">
        <f>0.028169014084507*3.5475253358082</f>
        <v>9.9930291149526618E-2</v>
      </c>
      <c r="I11561">
        <v>9.9930291149526895E-2</v>
      </c>
    </row>
    <row r="11562" spans="1:9" x14ac:dyDescent="0.25">
      <c r="A11562">
        <v>436</v>
      </c>
      <c r="B11562" t="s">
        <v>1760</v>
      </c>
      <c r="C11562" t="s">
        <v>75</v>
      </c>
      <c r="D11562" t="s">
        <v>361</v>
      </c>
      <c r="E11562">
        <f t="shared" ref="E11562:E11575" si="541">1/71</f>
        <v>1.4084507042253521E-2</v>
      </c>
      <c r="F11562">
        <v>118</v>
      </c>
      <c r="G11562">
        <f>LOG(382/(118+1))</f>
        <v>0.50651640151917798</v>
      </c>
      <c r="H11562">
        <f>0.0140845070422535*1.16629711549504</f>
        <v>1.6426719936549834E-2</v>
      </c>
      <c r="I11562">
        <v>1.6426719936549941E-2</v>
      </c>
    </row>
    <row r="11563" spans="1:9" x14ac:dyDescent="0.25">
      <c r="A11563">
        <v>436</v>
      </c>
      <c r="B11563" t="s">
        <v>1760</v>
      </c>
      <c r="C11563" t="s">
        <v>75</v>
      </c>
      <c r="D11563" t="s">
        <v>434</v>
      </c>
      <c r="E11563">
        <f t="shared" si="541"/>
        <v>1.4084507042253521E-2</v>
      </c>
      <c r="F11563">
        <v>97</v>
      </c>
      <c r="G11563">
        <f>LOG(382/(97+1))</f>
        <v>0.59083728721921391</v>
      </c>
      <c r="H11563">
        <f>0.0140845070422535*1.360453129936</f>
        <v>1.9161311689239409E-2</v>
      </c>
      <c r="I11563">
        <v>1.9161311689239478E-2</v>
      </c>
    </row>
    <row r="11564" spans="1:9" x14ac:dyDescent="0.25">
      <c r="A11564">
        <v>436</v>
      </c>
      <c r="B11564" t="s">
        <v>1760</v>
      </c>
      <c r="C11564" t="s">
        <v>75</v>
      </c>
      <c r="D11564" t="s">
        <v>310</v>
      </c>
      <c r="E11564">
        <f t="shared" si="541"/>
        <v>1.4084507042253521E-2</v>
      </c>
      <c r="F11564">
        <v>50</v>
      </c>
      <c r="G11564">
        <f>LOG(382/(50+1))</f>
        <v>0.87449318681377242</v>
      </c>
      <c r="H11564">
        <f>0.0140845070422535*2.01359497588224</f>
        <v>2.8360492618059674E-2</v>
      </c>
      <c r="I11564">
        <v>2.8360492618059851E-2</v>
      </c>
    </row>
    <row r="11565" spans="1:9" x14ac:dyDescent="0.25">
      <c r="A11565">
        <v>436</v>
      </c>
      <c r="B11565" t="s">
        <v>1760</v>
      </c>
      <c r="C11565" t="s">
        <v>75</v>
      </c>
      <c r="D11565" t="s">
        <v>1776</v>
      </c>
      <c r="E11565">
        <f t="shared" si="541"/>
        <v>1.4084507042253521E-2</v>
      </c>
      <c r="F11565">
        <v>3</v>
      </c>
      <c r="G11565">
        <f>LOG(382/(3+1))</f>
        <v>1.9800033715837464</v>
      </c>
      <c r="H11565">
        <f>0.0140845070422535*4.55912624748668</f>
        <v>6.4213045739248922E-2</v>
      </c>
      <c r="I11565">
        <v>6.4213045739249075E-2</v>
      </c>
    </row>
    <row r="11566" spans="1:9" x14ac:dyDescent="0.25">
      <c r="A11566">
        <v>436</v>
      </c>
      <c r="B11566" t="s">
        <v>1760</v>
      </c>
      <c r="C11566" t="s">
        <v>75</v>
      </c>
      <c r="D11566" t="s">
        <v>1777</v>
      </c>
      <c r="E11566">
        <f t="shared" si="541"/>
        <v>1.4084507042253521E-2</v>
      </c>
      <c r="F11566">
        <v>4</v>
      </c>
      <c r="G11566">
        <f>LOG(382/(4+1))</f>
        <v>1.8830933585756899</v>
      </c>
      <c r="H11566">
        <f>0.0140845070422535*4.33598269617247</f>
        <v>6.1070178819330481E-2</v>
      </c>
      <c r="I11566">
        <v>6.1070178819330627E-2</v>
      </c>
    </row>
    <row r="11567" spans="1:9" x14ac:dyDescent="0.25">
      <c r="A11567">
        <v>436</v>
      </c>
      <c r="B11567" t="s">
        <v>1760</v>
      </c>
      <c r="C11567" t="s">
        <v>75</v>
      </c>
      <c r="D11567" t="s">
        <v>1778</v>
      </c>
      <c r="E11567">
        <f t="shared" si="541"/>
        <v>1.4084507042253521E-2</v>
      </c>
      <c r="F11567">
        <v>3</v>
      </c>
      <c r="G11567">
        <f>LOG(382/(3+1))</f>
        <v>1.9800033715837464</v>
      </c>
      <c r="H11567">
        <f>0.0140845070422535*4.55912624748668</f>
        <v>6.4213045739248922E-2</v>
      </c>
      <c r="I11567">
        <v>6.4213045739249075E-2</v>
      </c>
    </row>
    <row r="11568" spans="1:9" x14ac:dyDescent="0.25">
      <c r="A11568">
        <v>436</v>
      </c>
      <c r="B11568" t="s">
        <v>1760</v>
      </c>
      <c r="C11568" t="s">
        <v>75</v>
      </c>
      <c r="D11568" t="s">
        <v>453</v>
      </c>
      <c r="E11568">
        <f t="shared" si="541"/>
        <v>1.4084507042253521E-2</v>
      </c>
      <c r="F11568">
        <v>68</v>
      </c>
      <c r="G11568">
        <f>LOG(382/(68+1))</f>
        <v>0.74321427217445335</v>
      </c>
      <c r="H11568">
        <f>0.0140845070422535*1.71131410400931</f>
        <v>2.4103015549426867E-2</v>
      </c>
      <c r="I11568">
        <v>2.4103015549426988E-2</v>
      </c>
    </row>
    <row r="11569" spans="1:9" x14ac:dyDescent="0.25">
      <c r="A11569">
        <v>436</v>
      </c>
      <c r="B11569" t="s">
        <v>1760</v>
      </c>
      <c r="C11569" t="s">
        <v>75</v>
      </c>
      <c r="D11569" t="s">
        <v>770</v>
      </c>
      <c r="E11569">
        <f t="shared" si="541"/>
        <v>1.4084507042253521E-2</v>
      </c>
      <c r="F11569">
        <v>47</v>
      </c>
      <c r="G11569">
        <f>LOG(382/(47+1))</f>
        <v>0.90082212553612151</v>
      </c>
      <c r="H11569">
        <f>0.0140845070422535*2.07421959769868</f>
        <v>2.9214360530967282E-2</v>
      </c>
      <c r="I11569">
        <v>2.9214360530967379E-2</v>
      </c>
    </row>
    <row r="11570" spans="1:9" x14ac:dyDescent="0.25">
      <c r="A11570">
        <v>436</v>
      </c>
      <c r="B11570" t="s">
        <v>1760</v>
      </c>
      <c r="C11570" t="s">
        <v>75</v>
      </c>
      <c r="D11570" t="s">
        <v>243</v>
      </c>
      <c r="E11570">
        <f t="shared" si="541"/>
        <v>1.4084507042253521E-2</v>
      </c>
      <c r="F11570">
        <v>131</v>
      </c>
      <c r="G11570">
        <f>LOG(382/(131+1))</f>
        <v>0.46148943170585888</v>
      </c>
      <c r="H11570">
        <f>0.0140845070422535*1.0626186860202</f>
        <v>1.4966460366481669E-2</v>
      </c>
      <c r="I11570">
        <v>1.496646036648175E-2</v>
      </c>
    </row>
    <row r="11571" spans="1:9" x14ac:dyDescent="0.25">
      <c r="A11571">
        <v>436</v>
      </c>
      <c r="B11571" t="s">
        <v>1760</v>
      </c>
      <c r="C11571" t="s">
        <v>75</v>
      </c>
      <c r="D11571" t="s">
        <v>307</v>
      </c>
      <c r="E11571">
        <f t="shared" si="541"/>
        <v>1.4084507042253521E-2</v>
      </c>
      <c r="F11571">
        <v>67</v>
      </c>
      <c r="G11571">
        <f>LOG(382/(67+1))</f>
        <v>0.7495544502054724</v>
      </c>
      <c r="H11571">
        <f>0.0140845070422535*1.72591290343046</f>
        <v>2.4308632442682502E-2</v>
      </c>
      <c r="I11571">
        <v>2.4308632442682651E-2</v>
      </c>
    </row>
    <row r="11572" spans="1:9" x14ac:dyDescent="0.25">
      <c r="A11572">
        <v>436</v>
      </c>
      <c r="B11572" t="s">
        <v>1760</v>
      </c>
      <c r="C11572" t="s">
        <v>75</v>
      </c>
      <c r="D11572" t="s">
        <v>455</v>
      </c>
      <c r="E11572">
        <f t="shared" si="541"/>
        <v>1.4084507042253521E-2</v>
      </c>
      <c r="F11572">
        <v>78</v>
      </c>
      <c r="G11572">
        <f>LOG(382/(78+1))</f>
        <v>0.6844362716212673</v>
      </c>
      <c r="H11572">
        <f>0.0140845070422535*1.57597275613955</f>
        <v>2.219679938224715E-2</v>
      </c>
      <c r="I11572">
        <v>2.2196799382247241E-2</v>
      </c>
    </row>
    <row r="11573" spans="1:9" x14ac:dyDescent="0.25">
      <c r="A11573">
        <v>436</v>
      </c>
      <c r="B11573" t="s">
        <v>1760</v>
      </c>
      <c r="C11573" t="s">
        <v>75</v>
      </c>
      <c r="D11573" t="s">
        <v>1779</v>
      </c>
      <c r="E11573">
        <f t="shared" si="541"/>
        <v>1.4084507042253521E-2</v>
      </c>
      <c r="F11573">
        <v>41</v>
      </c>
      <c r="G11573">
        <f>LOG(382/(41+1))</f>
        <v>0.95881407251380824</v>
      </c>
      <c r="H11573">
        <f>0.0140845070422535*2.2077509903232</f>
        <v>3.1095084370749253E-2</v>
      </c>
      <c r="I11573">
        <v>3.1095084370749392E-2</v>
      </c>
    </row>
    <row r="11574" spans="1:9" x14ac:dyDescent="0.25">
      <c r="A11574">
        <v>436</v>
      </c>
      <c r="B11574" t="s">
        <v>1760</v>
      </c>
      <c r="C11574" t="s">
        <v>75</v>
      </c>
      <c r="D11574" t="s">
        <v>1780</v>
      </c>
      <c r="E11574">
        <f t="shared" si="541"/>
        <v>1.4084507042253521E-2</v>
      </c>
      <c r="F11574">
        <v>2</v>
      </c>
      <c r="G11574">
        <f>LOG(382/(2+1))</f>
        <v>2.1049421081920463</v>
      </c>
      <c r="H11574">
        <f>0.0140845070422535*4.84680831993846</f>
        <v>6.8264905914626098E-2</v>
      </c>
      <c r="I11574">
        <v>6.8264905914626278E-2</v>
      </c>
    </row>
    <row r="11575" spans="1:9" x14ac:dyDescent="0.25">
      <c r="A11575">
        <v>436</v>
      </c>
      <c r="B11575" t="s">
        <v>1760</v>
      </c>
      <c r="C11575" t="s">
        <v>75</v>
      </c>
      <c r="D11575" t="s">
        <v>1781</v>
      </c>
      <c r="E11575">
        <f t="shared" si="541"/>
        <v>1.4084507042253521E-2</v>
      </c>
      <c r="F11575">
        <v>2</v>
      </c>
      <c r="G11575">
        <f>LOG(382/(2+1))</f>
        <v>2.1049421081920463</v>
      </c>
      <c r="H11575">
        <f>0.0140845070422535*4.84680831993846</f>
        <v>6.8264905914626098E-2</v>
      </c>
      <c r="I11575">
        <v>6.8264905914626278E-2</v>
      </c>
    </row>
    <row r="11576" spans="1:9" x14ac:dyDescent="0.25">
      <c r="A11576">
        <v>436</v>
      </c>
      <c r="B11576" t="s">
        <v>1760</v>
      </c>
      <c r="C11576" t="s">
        <v>75</v>
      </c>
      <c r="D11576" t="s">
        <v>236</v>
      </c>
      <c r="E11576">
        <f>2/71</f>
        <v>2.8169014084507043E-2</v>
      </c>
      <c r="F11576">
        <v>87</v>
      </c>
      <c r="G11576">
        <f>LOG(382/(87+1))</f>
        <v>0.63758069076154011</v>
      </c>
      <c r="H11576">
        <f>0.028169014084507*1.46808379412836</f>
        <v>4.135447307403825E-2</v>
      </c>
      <c r="I11576">
        <v>4.1354473074038563E-2</v>
      </c>
    </row>
    <row r="11577" spans="1:9" x14ac:dyDescent="0.25">
      <c r="A11577">
        <v>436</v>
      </c>
      <c r="B11577" t="s">
        <v>1760</v>
      </c>
      <c r="C11577" t="s">
        <v>75</v>
      </c>
      <c r="D11577" t="s">
        <v>216</v>
      </c>
      <c r="E11577">
        <f>1/71</f>
        <v>1.4084507042253521E-2</v>
      </c>
      <c r="F11577">
        <v>63</v>
      </c>
      <c r="G11577">
        <f>LOG(382/(63+1))</f>
        <v>0.7758833889278216</v>
      </c>
      <c r="H11577">
        <f>0.0140845070422535*1.7865375252469</f>
        <v>2.5162500355590103E-2</v>
      </c>
      <c r="I11577">
        <v>2.516250035559019E-2</v>
      </c>
    </row>
    <row r="11578" spans="1:9" x14ac:dyDescent="0.25">
      <c r="A11578">
        <v>436</v>
      </c>
      <c r="B11578" t="s">
        <v>1760</v>
      </c>
      <c r="C11578" t="s">
        <v>75</v>
      </c>
      <c r="D11578" t="s">
        <v>426</v>
      </c>
      <c r="E11578">
        <f>1/71</f>
        <v>1.4084507042253521E-2</v>
      </c>
      <c r="F11578">
        <v>10</v>
      </c>
      <c r="G11578">
        <f>LOG(382/(10+1))</f>
        <v>1.5406706777534838</v>
      </c>
      <c r="H11578">
        <f>0.0140845070422535*3.5475253358082</f>
        <v>4.9965145574763309E-2</v>
      </c>
      <c r="I11578">
        <v>4.9965145574763448E-2</v>
      </c>
    </row>
    <row r="11579" spans="1:9" x14ac:dyDescent="0.25">
      <c r="A11579">
        <v>437</v>
      </c>
      <c r="B11579" t="s">
        <v>3427</v>
      </c>
      <c r="C11579" t="s">
        <v>75</v>
      </c>
      <c r="D11579" t="s">
        <v>2925</v>
      </c>
      <c r="E11579">
        <f>4/74</f>
        <v>5.4054054054054057E-2</v>
      </c>
      <c r="F11579">
        <v>3</v>
      </c>
      <c r="G11579">
        <f>LOG(382/(3+1))</f>
        <v>1.9800033715837464</v>
      </c>
      <c r="H11579">
        <f>0.054054054054054*4.55912624748668</f>
        <v>0.24643925662090138</v>
      </c>
      <c r="I11579">
        <v>0.24643925662090191</v>
      </c>
    </row>
    <row r="11580" spans="1:9" x14ac:dyDescent="0.25">
      <c r="A11580">
        <v>437</v>
      </c>
      <c r="B11580" t="s">
        <v>3427</v>
      </c>
      <c r="C11580" t="s">
        <v>75</v>
      </c>
      <c r="D11580" t="s">
        <v>871</v>
      </c>
      <c r="E11580">
        <f>4/74</f>
        <v>5.4054054054054057E-2</v>
      </c>
      <c r="F11580">
        <v>9</v>
      </c>
      <c r="G11580">
        <f>LOG(382/(9+1))</f>
        <v>1.5820633629117087</v>
      </c>
      <c r="H11580">
        <f>0.054054054054054*3.64283551561252</f>
        <v>0.19691002787094683</v>
      </c>
      <c r="I11580">
        <v>0.19691002787094761</v>
      </c>
    </row>
    <row r="11581" spans="1:9" x14ac:dyDescent="0.25">
      <c r="A11581">
        <v>437</v>
      </c>
      <c r="B11581" t="s">
        <v>3427</v>
      </c>
      <c r="C11581" t="s">
        <v>75</v>
      </c>
      <c r="D11581" t="s">
        <v>872</v>
      </c>
      <c r="E11581">
        <f>4/74</f>
        <v>5.4054054054054057E-2</v>
      </c>
      <c r="F11581">
        <v>9</v>
      </c>
      <c r="G11581">
        <f>LOG(382/(9+1))</f>
        <v>1.5820633629117087</v>
      </c>
      <c r="H11581">
        <f>0.054054054054054*3.64283551561252</f>
        <v>0.19691002787094683</v>
      </c>
      <c r="I11581">
        <v>0.19691002787094761</v>
      </c>
    </row>
    <row r="11582" spans="1:9" x14ac:dyDescent="0.25">
      <c r="A11582">
        <v>437</v>
      </c>
      <c r="B11582" t="s">
        <v>3427</v>
      </c>
      <c r="C11582" t="s">
        <v>75</v>
      </c>
      <c r="D11582" t="s">
        <v>2231</v>
      </c>
      <c r="E11582">
        <f>4/74</f>
        <v>5.4054054054054057E-2</v>
      </c>
      <c r="F11582">
        <v>23</v>
      </c>
      <c r="G11582">
        <f>LOG(382/(23+1))</f>
        <v>1.2018521212001028</v>
      </c>
      <c r="H11582">
        <f>0.054054054054054*2.76736677825862</f>
        <v>0.14958739341938473</v>
      </c>
      <c r="I11582">
        <v>0.1495873934193854</v>
      </c>
    </row>
    <row r="11583" spans="1:9" x14ac:dyDescent="0.25">
      <c r="A11583">
        <v>437</v>
      </c>
      <c r="B11583" t="s">
        <v>3427</v>
      </c>
      <c r="C11583" t="s">
        <v>75</v>
      </c>
      <c r="D11583" t="s">
        <v>1537</v>
      </c>
      <c r="E11583">
        <f>3/74</f>
        <v>4.0540540540540543E-2</v>
      </c>
      <c r="F11583">
        <v>80</v>
      </c>
      <c r="G11583">
        <f>LOG(382/(80+1))</f>
        <v>0.67357834403305894</v>
      </c>
      <c r="H11583">
        <f>0.0405405405405405*1.55097145393413</f>
        <v>6.2877221105437642E-2</v>
      </c>
      <c r="I11583">
        <v>6.2877221105437961E-2</v>
      </c>
    </row>
    <row r="11584" spans="1:9" x14ac:dyDescent="0.25">
      <c r="A11584">
        <v>437</v>
      </c>
      <c r="B11584" t="s">
        <v>3427</v>
      </c>
      <c r="C11584" t="s">
        <v>75</v>
      </c>
      <c r="D11584" t="s">
        <v>42</v>
      </c>
      <c r="E11584">
        <f t="shared" ref="E11584:E11592" si="542">1/74</f>
        <v>1.3513513513513514E-2</v>
      </c>
      <c r="F11584">
        <v>251</v>
      </c>
      <c r="G11584">
        <f>LOG(382/(251+1))</f>
        <v>0.18066282213016463</v>
      </c>
      <c r="H11584">
        <f>0.0135135135135135*0.415991521095151</f>
        <v>5.6215070418263588E-3</v>
      </c>
      <c r="I11584">
        <v>5.621507041826377E-3</v>
      </c>
    </row>
    <row r="11585" spans="1:9" x14ac:dyDescent="0.25">
      <c r="A11585">
        <v>437</v>
      </c>
      <c r="B11585" t="s">
        <v>3427</v>
      </c>
      <c r="C11585" t="s">
        <v>75</v>
      </c>
      <c r="D11585" t="s">
        <v>636</v>
      </c>
      <c r="E11585">
        <f t="shared" si="542"/>
        <v>1.3513513513513514E-2</v>
      </c>
      <c r="F11585">
        <v>31</v>
      </c>
      <c r="G11585">
        <f>LOG(382/(31+1))</f>
        <v>1.0769133845918029</v>
      </c>
      <c r="H11585">
        <f>0.0135135135135135*2.47968470580684</f>
        <v>3.3509252781173476E-2</v>
      </c>
      <c r="I11585">
        <v>3.3509252781173643E-2</v>
      </c>
    </row>
    <row r="11586" spans="1:9" x14ac:dyDescent="0.25">
      <c r="A11586">
        <v>437</v>
      </c>
      <c r="B11586" t="s">
        <v>3427</v>
      </c>
      <c r="C11586" t="s">
        <v>75</v>
      </c>
      <c r="D11586" t="s">
        <v>637</v>
      </c>
      <c r="E11586">
        <f t="shared" si="542"/>
        <v>1.3513513513513514E-2</v>
      </c>
      <c r="F11586">
        <v>29</v>
      </c>
      <c r="G11586">
        <f>LOG(382/(29+1))</f>
        <v>1.1049421081920463</v>
      </c>
      <c r="H11586">
        <f>0.0135135135135135*2.54422322694442</f>
        <v>3.4381394958708345E-2</v>
      </c>
      <c r="I11586">
        <v>3.4381394958708379E-2</v>
      </c>
    </row>
    <row r="11587" spans="1:9" x14ac:dyDescent="0.25">
      <c r="A11587">
        <v>437</v>
      </c>
      <c r="B11587" t="s">
        <v>3427</v>
      </c>
      <c r="C11587" t="s">
        <v>75</v>
      </c>
      <c r="D11587" t="s">
        <v>70</v>
      </c>
      <c r="E11587">
        <f t="shared" si="542"/>
        <v>1.3513513513513514E-2</v>
      </c>
      <c r="F11587">
        <v>44</v>
      </c>
      <c r="G11587">
        <f>LOG(382/(44+1))</f>
        <v>0.92885084913636506</v>
      </c>
      <c r="H11587">
        <f>0.0135135135135135*2.13875811883625</f>
        <v>2.8902136741030374E-2</v>
      </c>
      <c r="I11587">
        <v>2.8902136741030478E-2</v>
      </c>
    </row>
    <row r="11588" spans="1:9" x14ac:dyDescent="0.25">
      <c r="A11588">
        <v>437</v>
      </c>
      <c r="B11588" t="s">
        <v>3427</v>
      </c>
      <c r="C11588" t="s">
        <v>75</v>
      </c>
      <c r="D11588" t="s">
        <v>3428</v>
      </c>
      <c r="E11588">
        <f t="shared" si="542"/>
        <v>1.3513513513513514E-2</v>
      </c>
      <c r="F11588">
        <v>1</v>
      </c>
      <c r="G11588">
        <f>LOG(382/(1+1))</f>
        <v>2.2810333672477277</v>
      </c>
      <c r="H11588">
        <f>0.0135135135135135*5.25227342804663</f>
        <v>7.0976667946576005E-2</v>
      </c>
      <c r="I11588">
        <v>7.0976667946576089E-2</v>
      </c>
    </row>
    <row r="11589" spans="1:9" x14ac:dyDescent="0.25">
      <c r="A11589">
        <v>437</v>
      </c>
      <c r="B11589" t="s">
        <v>3427</v>
      </c>
      <c r="C11589" t="s">
        <v>75</v>
      </c>
      <c r="D11589" t="s">
        <v>44</v>
      </c>
      <c r="E11589">
        <f t="shared" si="542"/>
        <v>1.3513513513513514E-2</v>
      </c>
      <c r="F11589">
        <v>151</v>
      </c>
      <c r="G11589">
        <f>LOG(382/(151+1))</f>
        <v>0.40021977496693617</v>
      </c>
      <c r="H11589">
        <f>0.0135135135135135*0.921540087760298</f>
        <v>1.2453244429193204E-2</v>
      </c>
      <c r="I11589">
        <v>1.245324442919323E-2</v>
      </c>
    </row>
    <row r="11590" spans="1:9" x14ac:dyDescent="0.25">
      <c r="A11590">
        <v>437</v>
      </c>
      <c r="B11590" t="s">
        <v>3427</v>
      </c>
      <c r="C11590" t="s">
        <v>75</v>
      </c>
      <c r="D11590" t="s">
        <v>22</v>
      </c>
      <c r="E11590">
        <f t="shared" si="542"/>
        <v>1.3513513513513514E-2</v>
      </c>
      <c r="F11590">
        <v>259</v>
      </c>
      <c r="G11590">
        <f>LOG(382/(259+1))</f>
        <v>0.16709001494089079</v>
      </c>
      <c r="H11590">
        <f>0.0135135135135135*0.384738977591047</f>
        <v>5.1991753728519814E-3</v>
      </c>
      <c r="I11590">
        <v>5.1991753728519944E-3</v>
      </c>
    </row>
    <row r="11591" spans="1:9" x14ac:dyDescent="0.25">
      <c r="A11591">
        <v>437</v>
      </c>
      <c r="B11591" t="s">
        <v>3427</v>
      </c>
      <c r="C11591" t="s">
        <v>75</v>
      </c>
      <c r="D11591" t="s">
        <v>23</v>
      </c>
      <c r="E11591">
        <f t="shared" si="542"/>
        <v>1.3513513513513514E-2</v>
      </c>
      <c r="F11591">
        <v>275</v>
      </c>
      <c r="G11591">
        <f>LOG(382/(275+1))</f>
        <v>0.14115428084649101</v>
      </c>
      <c r="H11591">
        <f>0.0135135135135135*0.325019742889425</f>
        <v>4.3921586876949281E-3</v>
      </c>
      <c r="I11591">
        <v>4.392158687694935E-3</v>
      </c>
    </row>
    <row r="11592" spans="1:9" x14ac:dyDescent="0.25">
      <c r="A11592">
        <v>437</v>
      </c>
      <c r="B11592" t="s">
        <v>3427</v>
      </c>
      <c r="C11592" t="s">
        <v>75</v>
      </c>
      <c r="D11592" t="s">
        <v>204</v>
      </c>
      <c r="E11592">
        <f t="shared" si="542"/>
        <v>1.3513513513513514E-2</v>
      </c>
      <c r="F11592">
        <v>166</v>
      </c>
      <c r="G11592">
        <f>LOG(382/(166+1))</f>
        <v>0.35934689176412549</v>
      </c>
      <c r="H11592">
        <f>0.0135135135135135*0.82742679618982</f>
        <v>1.1181443191754313E-2</v>
      </c>
      <c r="I11592">
        <v>1.118144319175433E-2</v>
      </c>
    </row>
    <row r="11593" spans="1:9" x14ac:dyDescent="0.25">
      <c r="A11593">
        <v>437</v>
      </c>
      <c r="B11593" t="s">
        <v>3427</v>
      </c>
      <c r="C11593" t="s">
        <v>75</v>
      </c>
      <c r="D11593" t="s">
        <v>1769</v>
      </c>
      <c r="E11593">
        <f>2/74</f>
        <v>2.7027027027027029E-2</v>
      </c>
      <c r="F11593">
        <v>84</v>
      </c>
      <c r="G11593">
        <f>LOG(382/(84+1))</f>
        <v>0.65264443719741605</v>
      </c>
      <c r="H11593">
        <f>0.027027027027027*1.50276935211625</f>
        <v>4.0615387895033744E-2</v>
      </c>
      <c r="I11593">
        <v>4.0615387895034022E-2</v>
      </c>
    </row>
    <row r="11594" spans="1:9" x14ac:dyDescent="0.25">
      <c r="A11594">
        <v>437</v>
      </c>
      <c r="B11594" t="s">
        <v>3427</v>
      </c>
      <c r="C11594" t="s">
        <v>75</v>
      </c>
      <c r="D11594" t="s">
        <v>1827</v>
      </c>
      <c r="E11594">
        <f t="shared" ref="E11594:E11606" si="543">1/74</f>
        <v>1.3513513513513514E-2</v>
      </c>
      <c r="F11594">
        <v>9</v>
      </c>
      <c r="G11594">
        <f>LOG(382/(9+1))</f>
        <v>1.5820633629117087</v>
      </c>
      <c r="H11594">
        <f>0.0135135135135135*3.64283551561252</f>
        <v>4.9227506967736707E-2</v>
      </c>
      <c r="I11594">
        <v>4.9227506967736888E-2</v>
      </c>
    </row>
    <row r="11595" spans="1:9" x14ac:dyDescent="0.25">
      <c r="A11595">
        <v>437</v>
      </c>
      <c r="B11595" t="s">
        <v>3427</v>
      </c>
      <c r="C11595" t="s">
        <v>75</v>
      </c>
      <c r="D11595" t="s">
        <v>1763</v>
      </c>
      <c r="E11595">
        <f t="shared" si="543"/>
        <v>1.3513513513513514E-2</v>
      </c>
      <c r="F11595">
        <v>9</v>
      </c>
      <c r="G11595">
        <f>LOG(382/(9+1))</f>
        <v>1.5820633629117087</v>
      </c>
      <c r="H11595">
        <f>0.0135135135135135*3.64283551561252</f>
        <v>4.9227506967736707E-2</v>
      </c>
      <c r="I11595">
        <v>4.9227506967736888E-2</v>
      </c>
    </row>
    <row r="11596" spans="1:9" x14ac:dyDescent="0.25">
      <c r="A11596">
        <v>437</v>
      </c>
      <c r="B11596" t="s">
        <v>3427</v>
      </c>
      <c r="C11596" t="s">
        <v>75</v>
      </c>
      <c r="D11596" t="s">
        <v>1762</v>
      </c>
      <c r="E11596">
        <f t="shared" si="543"/>
        <v>1.3513513513513514E-2</v>
      </c>
      <c r="F11596">
        <v>60</v>
      </c>
      <c r="G11596">
        <f>LOG(382/(60+1))</f>
        <v>0.79673352790094176</v>
      </c>
      <c r="H11596">
        <f>0.0135135135135135*1.83454674443326</f>
        <v>2.4791172222071056E-2</v>
      </c>
      <c r="I11596">
        <v>2.4791172222071139E-2</v>
      </c>
    </row>
    <row r="11597" spans="1:9" x14ac:dyDescent="0.25">
      <c r="A11597">
        <v>437</v>
      </c>
      <c r="B11597" t="s">
        <v>3427</v>
      </c>
      <c r="C11597" t="s">
        <v>75</v>
      </c>
      <c r="D11597" t="s">
        <v>24</v>
      </c>
      <c r="E11597">
        <f t="shared" si="543"/>
        <v>1.3513513513513514E-2</v>
      </c>
      <c r="F11597">
        <v>59</v>
      </c>
      <c r="G11597">
        <f>LOG(382/(59+1))</f>
        <v>0.80391211252806505</v>
      </c>
      <c r="H11597">
        <f>0.0135135135135135*1.85107604638447</f>
        <v>2.5014541167357678E-2</v>
      </c>
      <c r="I11597">
        <v>2.5014541167357761E-2</v>
      </c>
    </row>
    <row r="11598" spans="1:9" x14ac:dyDescent="0.25">
      <c r="A11598">
        <v>437</v>
      </c>
      <c r="B11598" t="s">
        <v>3427</v>
      </c>
      <c r="C11598" t="s">
        <v>75</v>
      </c>
      <c r="D11598" t="s">
        <v>98</v>
      </c>
      <c r="E11598">
        <f t="shared" si="543"/>
        <v>1.3513513513513514E-2</v>
      </c>
      <c r="F11598">
        <v>56</v>
      </c>
      <c r="G11598">
        <f>LOG(382/(56+1))</f>
        <v>0.82618850723921733</v>
      </c>
      <c r="H11598">
        <f>0.0135135135135135*1.90236934077202</f>
        <v>2.570769379421646E-2</v>
      </c>
      <c r="I11598">
        <v>2.5707693794216561E-2</v>
      </c>
    </row>
    <row r="11599" spans="1:9" x14ac:dyDescent="0.25">
      <c r="A11599">
        <v>437</v>
      </c>
      <c r="B11599" t="s">
        <v>3427</v>
      </c>
      <c r="C11599" t="s">
        <v>75</v>
      </c>
      <c r="D11599" t="s">
        <v>2238</v>
      </c>
      <c r="E11599">
        <f t="shared" si="543"/>
        <v>1.3513513513513514E-2</v>
      </c>
      <c r="F11599">
        <v>68</v>
      </c>
      <c r="G11599">
        <f>LOG(382/(68+1))</f>
        <v>0.74321427217445335</v>
      </c>
      <c r="H11599">
        <f>0.0135135135135135*1.71131410400931</f>
        <v>2.3125866270396058E-2</v>
      </c>
      <c r="I11599">
        <v>2.3125866270396159E-2</v>
      </c>
    </row>
    <row r="11600" spans="1:9" x14ac:dyDescent="0.25">
      <c r="A11600">
        <v>437</v>
      </c>
      <c r="B11600" t="s">
        <v>3427</v>
      </c>
      <c r="C11600" t="s">
        <v>75</v>
      </c>
      <c r="D11600" t="s">
        <v>716</v>
      </c>
      <c r="E11600">
        <f t="shared" si="543"/>
        <v>1.3513513513513514E-2</v>
      </c>
      <c r="F11600">
        <v>13</v>
      </c>
      <c r="G11600">
        <f>LOG(382/(13+1))</f>
        <v>1.4359353272334707</v>
      </c>
      <c r="H11600">
        <f>0.0135135135135135*3.30636327899131</f>
        <v>4.4680584851233877E-2</v>
      </c>
      <c r="I11600">
        <v>4.4680584851234009E-2</v>
      </c>
    </row>
    <row r="11601" spans="1:9" x14ac:dyDescent="0.25">
      <c r="A11601">
        <v>437</v>
      </c>
      <c r="B11601" t="s">
        <v>3427</v>
      </c>
      <c r="C11601" t="s">
        <v>75</v>
      </c>
      <c r="D11601" t="s">
        <v>1738</v>
      </c>
      <c r="E11601">
        <f t="shared" si="543"/>
        <v>1.3513513513513514E-2</v>
      </c>
      <c r="F11601">
        <v>24</v>
      </c>
      <c r="G11601">
        <f>LOG(382/(24+1))</f>
        <v>1.1841233542396712</v>
      </c>
      <c r="H11601">
        <f>0.0135135135135135*2.72654478373837</f>
        <v>3.6845199780248208E-2</v>
      </c>
      <c r="I11601">
        <v>3.6845199780248312E-2</v>
      </c>
    </row>
    <row r="11602" spans="1:9" x14ac:dyDescent="0.25">
      <c r="A11602">
        <v>437</v>
      </c>
      <c r="B11602" t="s">
        <v>3427</v>
      </c>
      <c r="C11602" t="s">
        <v>75</v>
      </c>
      <c r="D11602" t="s">
        <v>1739</v>
      </c>
      <c r="E11602">
        <f t="shared" si="543"/>
        <v>1.3513513513513514E-2</v>
      </c>
      <c r="F11602">
        <v>30</v>
      </c>
      <c r="G11602">
        <f>LOG(382/(30+1))</f>
        <v>1.090701669077436</v>
      </c>
      <c r="H11602">
        <f>0.0135135135135135*2.51143340412142</f>
        <v>3.3938289244884026E-2</v>
      </c>
      <c r="I11602">
        <v>3.3938289244884179E-2</v>
      </c>
    </row>
    <row r="11603" spans="1:9" x14ac:dyDescent="0.25">
      <c r="A11603">
        <v>437</v>
      </c>
      <c r="B11603" t="s">
        <v>3427</v>
      </c>
      <c r="C11603" t="s">
        <v>75</v>
      </c>
      <c r="D11603" t="s">
        <v>3376</v>
      </c>
      <c r="E11603">
        <f t="shared" si="543"/>
        <v>1.3513513513513514E-2</v>
      </c>
      <c r="F11603">
        <v>21</v>
      </c>
      <c r="G11603">
        <f>LOG(382/(21+1))</f>
        <v>1.2396406820895025</v>
      </c>
      <c r="H11603">
        <f>0.0135135135135135*2.85437815524825</f>
        <v>3.8572677773624962E-2</v>
      </c>
      <c r="I11603">
        <v>3.8572677773625129E-2</v>
      </c>
    </row>
    <row r="11604" spans="1:9" x14ac:dyDescent="0.25">
      <c r="A11604">
        <v>437</v>
      </c>
      <c r="B11604" t="s">
        <v>3427</v>
      </c>
      <c r="C11604" t="s">
        <v>75</v>
      </c>
      <c r="D11604" t="s">
        <v>330</v>
      </c>
      <c r="E11604">
        <f t="shared" si="543"/>
        <v>1.3513513513513514E-2</v>
      </c>
      <c r="F11604">
        <v>3</v>
      </c>
      <c r="G11604">
        <f>LOG(382/(3+1))</f>
        <v>1.9800033715837464</v>
      </c>
      <c r="H11604">
        <f>0.0135135135135135*4.55912624748668</f>
        <v>6.1609814155225345E-2</v>
      </c>
      <c r="I11604">
        <v>6.160981415522547E-2</v>
      </c>
    </row>
    <row r="11605" spans="1:9" x14ac:dyDescent="0.25">
      <c r="A11605">
        <v>437</v>
      </c>
      <c r="B11605" t="s">
        <v>3427</v>
      </c>
      <c r="C11605" t="s">
        <v>75</v>
      </c>
      <c r="D11605" t="s">
        <v>937</v>
      </c>
      <c r="E11605">
        <f t="shared" si="543"/>
        <v>1.3513513513513514E-2</v>
      </c>
      <c r="F11605">
        <v>41</v>
      </c>
      <c r="G11605">
        <f>LOG(382/(41+1))</f>
        <v>0.95881407251380824</v>
      </c>
      <c r="H11605">
        <f>0.0135135135135135*2.2077509903232</f>
        <v>2.9834472842205379E-2</v>
      </c>
      <c r="I11605">
        <v>2.9834472842205501E-2</v>
      </c>
    </row>
    <row r="11606" spans="1:9" x14ac:dyDescent="0.25">
      <c r="A11606">
        <v>437</v>
      </c>
      <c r="B11606" t="s">
        <v>3427</v>
      </c>
      <c r="C11606" t="s">
        <v>75</v>
      </c>
      <c r="D11606" t="s">
        <v>3429</v>
      </c>
      <c r="E11606">
        <f t="shared" si="543"/>
        <v>1.3513513513513514E-2</v>
      </c>
      <c r="F11606">
        <v>1</v>
      </c>
      <c r="G11606">
        <f>LOG(382/(1+1))</f>
        <v>2.2810333672477277</v>
      </c>
      <c r="H11606">
        <f>0.0135135135135135*5.25227342804663</f>
        <v>7.0976667946576005E-2</v>
      </c>
      <c r="I11606">
        <v>7.0976667946576089E-2</v>
      </c>
    </row>
    <row r="11607" spans="1:9" x14ac:dyDescent="0.25">
      <c r="A11607">
        <v>437</v>
      </c>
      <c r="B11607" t="s">
        <v>3427</v>
      </c>
      <c r="C11607" t="s">
        <v>75</v>
      </c>
      <c r="D11607" t="s">
        <v>3324</v>
      </c>
      <c r="E11607">
        <f>4/74</f>
        <v>5.4054054054054057E-2</v>
      </c>
      <c r="F11607">
        <v>8</v>
      </c>
      <c r="G11607">
        <f>LOG(382/(8+1))</f>
        <v>1.6278208534723839</v>
      </c>
      <c r="H11607">
        <f>0.054054054054054*3.74819603127035</f>
        <v>0.20260519087947818</v>
      </c>
      <c r="I11607">
        <v>0.2026051908794787</v>
      </c>
    </row>
    <row r="11608" spans="1:9" x14ac:dyDescent="0.25">
      <c r="A11608">
        <v>437</v>
      </c>
      <c r="B11608" t="s">
        <v>3427</v>
      </c>
      <c r="C11608" t="s">
        <v>75</v>
      </c>
      <c r="D11608" t="s">
        <v>671</v>
      </c>
      <c r="E11608">
        <f t="shared" ref="E11608:E11625" si="544">1/74</f>
        <v>1.3513513513513514E-2</v>
      </c>
      <c r="F11608">
        <v>10</v>
      </c>
      <c r="G11608">
        <f>LOG(382/(10+1))</f>
        <v>1.5406706777534838</v>
      </c>
      <c r="H11608">
        <f>0.0135135135135135*3.5475253358082</f>
        <v>4.7939531564975629E-2</v>
      </c>
      <c r="I11608">
        <v>4.793953156497574E-2</v>
      </c>
    </row>
    <row r="11609" spans="1:9" x14ac:dyDescent="0.25">
      <c r="A11609">
        <v>437</v>
      </c>
      <c r="B11609" t="s">
        <v>3427</v>
      </c>
      <c r="C11609" t="s">
        <v>75</v>
      </c>
      <c r="D11609" t="s">
        <v>1467</v>
      </c>
      <c r="E11609">
        <f t="shared" si="544"/>
        <v>1.3513513513513514E-2</v>
      </c>
      <c r="F11609">
        <v>21</v>
      </c>
      <c r="G11609">
        <f>LOG(382/(21+1))</f>
        <v>1.2396406820895025</v>
      </c>
      <c r="H11609">
        <f>0.0135135135135135*2.85437815524825</f>
        <v>3.8572677773624962E-2</v>
      </c>
      <c r="I11609">
        <v>3.8572677773625129E-2</v>
      </c>
    </row>
    <row r="11610" spans="1:9" x14ac:dyDescent="0.25">
      <c r="A11610">
        <v>437</v>
      </c>
      <c r="B11610" t="s">
        <v>3427</v>
      </c>
      <c r="C11610" t="s">
        <v>75</v>
      </c>
      <c r="D11610" t="s">
        <v>3430</v>
      </c>
      <c r="E11610">
        <f t="shared" si="544"/>
        <v>1.3513513513513514E-2</v>
      </c>
      <c r="F11610">
        <v>1</v>
      </c>
      <c r="G11610">
        <f>LOG(382/(1+1))</f>
        <v>2.2810333672477277</v>
      </c>
      <c r="H11610">
        <f>0.0135135135135135*5.25227342804663</f>
        <v>7.0976667946576005E-2</v>
      </c>
      <c r="I11610">
        <v>7.0976667946576089E-2</v>
      </c>
    </row>
    <row r="11611" spans="1:9" x14ac:dyDescent="0.25">
      <c r="A11611">
        <v>437</v>
      </c>
      <c r="B11611" t="s">
        <v>3427</v>
      </c>
      <c r="C11611" t="s">
        <v>75</v>
      </c>
      <c r="D11611" t="s">
        <v>214</v>
      </c>
      <c r="E11611">
        <f t="shared" si="544"/>
        <v>1.3513513513513514E-2</v>
      </c>
      <c r="F11611">
        <v>68</v>
      </c>
      <c r="G11611">
        <f>LOG(382/(68+1))</f>
        <v>0.74321427217445335</v>
      </c>
      <c r="H11611">
        <f>0.0135135135135135*1.71131410400931</f>
        <v>2.3125866270396058E-2</v>
      </c>
      <c r="I11611">
        <v>2.3125866270396159E-2</v>
      </c>
    </row>
    <row r="11612" spans="1:9" x14ac:dyDescent="0.25">
      <c r="A11612">
        <v>437</v>
      </c>
      <c r="B11612" t="s">
        <v>3427</v>
      </c>
      <c r="C11612" t="s">
        <v>75</v>
      </c>
      <c r="D11612" t="s">
        <v>105</v>
      </c>
      <c r="E11612">
        <f t="shared" si="544"/>
        <v>1.3513513513513514E-2</v>
      </c>
      <c r="F11612">
        <v>122</v>
      </c>
      <c r="G11612">
        <f>LOG(382/(122+1))</f>
        <v>0.49215825147231079</v>
      </c>
      <c r="H11612">
        <f>0.0135135135135135*1.13323625323415</f>
        <v>1.5314003422083094E-2</v>
      </c>
      <c r="I11612">
        <v>1.531400342208321E-2</v>
      </c>
    </row>
    <row r="11613" spans="1:9" x14ac:dyDescent="0.25">
      <c r="A11613">
        <v>437</v>
      </c>
      <c r="B11613" t="s">
        <v>3427</v>
      </c>
      <c r="C11613" t="s">
        <v>75</v>
      </c>
      <c r="D11613" t="s">
        <v>3431</v>
      </c>
      <c r="E11613">
        <f t="shared" si="544"/>
        <v>1.3513513513513514E-2</v>
      </c>
      <c r="F11613">
        <v>1</v>
      </c>
      <c r="G11613">
        <f>LOG(382/(1+1))</f>
        <v>2.2810333672477277</v>
      </c>
      <c r="H11613">
        <f>0.0135135135135135*5.25227342804663</f>
        <v>7.0976667946576005E-2</v>
      </c>
      <c r="I11613">
        <v>7.0976667946576089E-2</v>
      </c>
    </row>
    <row r="11614" spans="1:9" x14ac:dyDescent="0.25">
      <c r="A11614">
        <v>437</v>
      </c>
      <c r="B11614" t="s">
        <v>3427</v>
      </c>
      <c r="C11614" t="s">
        <v>75</v>
      </c>
      <c r="D11614" t="s">
        <v>78</v>
      </c>
      <c r="E11614">
        <f t="shared" si="544"/>
        <v>1.3513513513513514E-2</v>
      </c>
      <c r="F11614">
        <v>122</v>
      </c>
      <c r="G11614">
        <f>LOG(382/(122+1))</f>
        <v>0.49215825147231079</v>
      </c>
      <c r="H11614">
        <f>0.0135135135135135*1.13323625323415</f>
        <v>1.5314003422083094E-2</v>
      </c>
      <c r="I11614">
        <v>1.531400342208321E-2</v>
      </c>
    </row>
    <row r="11615" spans="1:9" x14ac:dyDescent="0.25">
      <c r="A11615">
        <v>437</v>
      </c>
      <c r="B11615" t="s">
        <v>3427</v>
      </c>
      <c r="C11615" t="s">
        <v>75</v>
      </c>
      <c r="D11615" t="s">
        <v>3432</v>
      </c>
      <c r="E11615">
        <f t="shared" si="544"/>
        <v>1.3513513513513514E-2</v>
      </c>
      <c r="F11615">
        <v>8</v>
      </c>
      <c r="G11615">
        <f>LOG(382/(8+1))</f>
        <v>1.6278208534723839</v>
      </c>
      <c r="H11615">
        <f>0.0135135135135135*3.74819603127035</f>
        <v>5.0651297719869544E-2</v>
      </c>
      <c r="I11615">
        <v>5.0651297719869683E-2</v>
      </c>
    </row>
    <row r="11616" spans="1:9" x14ac:dyDescent="0.25">
      <c r="A11616">
        <v>437</v>
      </c>
      <c r="B11616" t="s">
        <v>3427</v>
      </c>
      <c r="C11616" t="s">
        <v>75</v>
      </c>
      <c r="D11616" t="s">
        <v>1444</v>
      </c>
      <c r="E11616">
        <f t="shared" si="544"/>
        <v>1.3513513513513514E-2</v>
      </c>
      <c r="F11616">
        <v>7</v>
      </c>
      <c r="G11616">
        <f>LOG(382/(7+1))</f>
        <v>1.6789733759197651</v>
      </c>
      <c r="H11616">
        <f>0.0135135135135135*3.86597906692673</f>
        <v>5.2242960363874678E-2</v>
      </c>
      <c r="I11616">
        <v>5.2242960363874859E-2</v>
      </c>
    </row>
    <row r="11617" spans="1:9" x14ac:dyDescent="0.25">
      <c r="A11617">
        <v>437</v>
      </c>
      <c r="B11617" t="s">
        <v>3427</v>
      </c>
      <c r="C11617" t="s">
        <v>75</v>
      </c>
      <c r="D11617" t="s">
        <v>2632</v>
      </c>
      <c r="E11617">
        <f t="shared" si="544"/>
        <v>1.3513513513513514E-2</v>
      </c>
      <c r="F11617">
        <v>2</v>
      </c>
      <c r="G11617">
        <f>LOG(382/(2+1))</f>
        <v>2.1049421081920463</v>
      </c>
      <c r="H11617">
        <f>0.0135135135135135*4.84680831993846</f>
        <v>6.5497409728898046E-2</v>
      </c>
      <c r="I11617">
        <v>6.5497409728898184E-2</v>
      </c>
    </row>
    <row r="11618" spans="1:9" x14ac:dyDescent="0.25">
      <c r="A11618">
        <v>437</v>
      </c>
      <c r="B11618" t="s">
        <v>3427</v>
      </c>
      <c r="C11618" t="s">
        <v>75</v>
      </c>
      <c r="D11618" t="s">
        <v>994</v>
      </c>
      <c r="E11618">
        <f t="shared" si="544"/>
        <v>1.3513513513513514E-2</v>
      </c>
      <c r="F11618">
        <v>37</v>
      </c>
      <c r="G11618">
        <f>LOG(382/(37+1))</f>
        <v>1.0022797662948986</v>
      </c>
      <c r="H11618">
        <f>0.0135135135135135*2.30783444888018</f>
        <v>3.1186952011894292E-2</v>
      </c>
      <c r="I11618">
        <v>3.1186952011894451E-2</v>
      </c>
    </row>
    <row r="11619" spans="1:9" x14ac:dyDescent="0.25">
      <c r="A11619">
        <v>437</v>
      </c>
      <c r="B11619" t="s">
        <v>3427</v>
      </c>
      <c r="C11619" t="s">
        <v>75</v>
      </c>
      <c r="D11619" t="s">
        <v>327</v>
      </c>
      <c r="E11619">
        <f t="shared" si="544"/>
        <v>1.3513513513513514E-2</v>
      </c>
      <c r="F11619">
        <v>46</v>
      </c>
      <c r="G11619">
        <f>LOG(382/(46+1))</f>
        <v>0.90996550497599127</v>
      </c>
      <c r="H11619">
        <f>0.0135135135135135*2.09527300689651</f>
        <v>2.8314500093196058E-2</v>
      </c>
      <c r="I11619">
        <v>2.8314500093196169E-2</v>
      </c>
    </row>
    <row r="11620" spans="1:9" x14ac:dyDescent="0.25">
      <c r="A11620">
        <v>437</v>
      </c>
      <c r="B11620" t="s">
        <v>3427</v>
      </c>
      <c r="C11620" t="s">
        <v>75</v>
      </c>
      <c r="D11620" t="s">
        <v>1083</v>
      </c>
      <c r="E11620">
        <f t="shared" si="544"/>
        <v>1.3513513513513514E-2</v>
      </c>
      <c r="F11620">
        <v>51</v>
      </c>
      <c r="G11620">
        <f>LOG(382/(51+1))</f>
        <v>0.86606001927690957</v>
      </c>
      <c r="H11620">
        <f>0.0135135135135135*1.99417689002514</f>
        <v>2.6948336351691055E-2</v>
      </c>
      <c r="I11620">
        <v>2.694833635169119E-2</v>
      </c>
    </row>
    <row r="11621" spans="1:9" x14ac:dyDescent="0.25">
      <c r="A11621">
        <v>437</v>
      </c>
      <c r="B11621" t="s">
        <v>3427</v>
      </c>
      <c r="C11621" t="s">
        <v>75</v>
      </c>
      <c r="D11621" t="s">
        <v>765</v>
      </c>
      <c r="E11621">
        <f t="shared" si="544"/>
        <v>1.3513513513513514E-2</v>
      </c>
      <c r="F11621">
        <v>44</v>
      </c>
      <c r="G11621">
        <f>LOG(382/(44+1))</f>
        <v>0.92885084913636506</v>
      </c>
      <c r="H11621">
        <f>0.0135135135135135*2.13875811883625</f>
        <v>2.8902136741030374E-2</v>
      </c>
      <c r="I11621">
        <v>2.8902136741030478E-2</v>
      </c>
    </row>
    <row r="11622" spans="1:9" x14ac:dyDescent="0.25">
      <c r="A11622">
        <v>437</v>
      </c>
      <c r="B11622" t="s">
        <v>3427</v>
      </c>
      <c r="C11622" t="s">
        <v>75</v>
      </c>
      <c r="D11622" t="s">
        <v>2220</v>
      </c>
      <c r="E11622">
        <f t="shared" si="544"/>
        <v>1.3513513513513514E-2</v>
      </c>
      <c r="F11622">
        <v>21</v>
      </c>
      <c r="G11622">
        <f>LOG(382/(21+1))</f>
        <v>1.2396406820895025</v>
      </c>
      <c r="H11622">
        <f>0.0135135135135135*2.85437815524825</f>
        <v>3.8572677773624962E-2</v>
      </c>
      <c r="I11622">
        <v>3.8572677773625129E-2</v>
      </c>
    </row>
    <row r="11623" spans="1:9" x14ac:dyDescent="0.25">
      <c r="A11623">
        <v>437</v>
      </c>
      <c r="B11623" t="s">
        <v>3427</v>
      </c>
      <c r="C11623" t="s">
        <v>75</v>
      </c>
      <c r="D11623" t="s">
        <v>1926</v>
      </c>
      <c r="E11623">
        <f t="shared" si="544"/>
        <v>1.3513513513513514E-2</v>
      </c>
      <c r="F11623">
        <v>4</v>
      </c>
      <c r="G11623">
        <f>LOG(382/(4+1))</f>
        <v>1.8830933585756899</v>
      </c>
      <c r="H11623">
        <f>0.0135135135135135*4.33598269617247</f>
        <v>5.8594360759087381E-2</v>
      </c>
      <c r="I11623">
        <v>5.8594360759087499E-2</v>
      </c>
    </row>
    <row r="11624" spans="1:9" x14ac:dyDescent="0.25">
      <c r="A11624">
        <v>437</v>
      </c>
      <c r="B11624" t="s">
        <v>3427</v>
      </c>
      <c r="C11624" t="s">
        <v>75</v>
      </c>
      <c r="D11624" t="s">
        <v>76</v>
      </c>
      <c r="E11624">
        <f t="shared" si="544"/>
        <v>1.3513513513513514E-2</v>
      </c>
      <c r="F11624">
        <v>140</v>
      </c>
      <c r="G11624">
        <f>LOG(382/(140+1))</f>
        <v>0.43284425025632883</v>
      </c>
      <c r="H11624">
        <f>0.0135135135135135*0.996660718228407</f>
        <v>1.3468388084167648E-2</v>
      </c>
      <c r="I11624">
        <v>1.346838808416766E-2</v>
      </c>
    </row>
    <row r="11625" spans="1:9" x14ac:dyDescent="0.25">
      <c r="A11625">
        <v>437</v>
      </c>
      <c r="B11625" t="s">
        <v>3427</v>
      </c>
      <c r="C11625" t="s">
        <v>75</v>
      </c>
      <c r="D11625" t="s">
        <v>3433</v>
      </c>
      <c r="E11625">
        <f t="shared" si="544"/>
        <v>1.3513513513513514E-2</v>
      </c>
      <c r="F11625">
        <v>1</v>
      </c>
      <c r="G11625">
        <f>LOG(382/(1+1))</f>
        <v>2.2810333672477277</v>
      </c>
      <c r="H11625">
        <f>0.0135135135135135*5.25227342804663</f>
        <v>7.0976667946576005E-2</v>
      </c>
      <c r="I11625">
        <v>7.0976667946576089E-2</v>
      </c>
    </row>
    <row r="11626" spans="1:9" x14ac:dyDescent="0.25">
      <c r="A11626">
        <v>437</v>
      </c>
      <c r="B11626" t="s">
        <v>3427</v>
      </c>
      <c r="C11626" t="s">
        <v>75</v>
      </c>
      <c r="D11626" t="s">
        <v>133</v>
      </c>
      <c r="E11626">
        <f>2/74</f>
        <v>2.7027027027027029E-2</v>
      </c>
      <c r="F11626">
        <v>142</v>
      </c>
      <c r="G11626">
        <f>LOG(382/(142+1))</f>
        <v>0.42672732544664693</v>
      </c>
      <c r="H11626">
        <f>0.027027027027027*0.982575978346667</f>
        <v>2.6556107522882864E-2</v>
      </c>
      <c r="I11626">
        <v>2.655610752288292E-2</v>
      </c>
    </row>
    <row r="11627" spans="1:9" x14ac:dyDescent="0.25">
      <c r="A11627">
        <v>437</v>
      </c>
      <c r="B11627" t="s">
        <v>3427</v>
      </c>
      <c r="C11627" t="s">
        <v>75</v>
      </c>
      <c r="D11627" t="s">
        <v>243</v>
      </c>
      <c r="E11627">
        <f t="shared" ref="E11627:E11633" si="545">1/74</f>
        <v>1.3513513513513514E-2</v>
      </c>
      <c r="F11627">
        <v>131</v>
      </c>
      <c r="G11627">
        <f>LOG(382/(131+1))</f>
        <v>0.46148943170585888</v>
      </c>
      <c r="H11627">
        <f>0.0135135135135135*1.0626186860202</f>
        <v>1.4359711973245932E-2</v>
      </c>
      <c r="I11627">
        <v>1.4359711973246E-2</v>
      </c>
    </row>
    <row r="11628" spans="1:9" x14ac:dyDescent="0.25">
      <c r="A11628">
        <v>437</v>
      </c>
      <c r="B11628" t="s">
        <v>3427</v>
      </c>
      <c r="C11628" t="s">
        <v>75</v>
      </c>
      <c r="D11628" t="s">
        <v>770</v>
      </c>
      <c r="E11628">
        <f t="shared" si="545"/>
        <v>1.3513513513513514E-2</v>
      </c>
      <c r="F11628">
        <v>47</v>
      </c>
      <c r="G11628">
        <f>LOG(382/(47+1))</f>
        <v>0.90082212553612151</v>
      </c>
      <c r="H11628">
        <f>0.0135135135135135*2.07421959769868</f>
        <v>2.8029994563495652E-2</v>
      </c>
      <c r="I11628">
        <v>2.8029994563495728E-2</v>
      </c>
    </row>
    <row r="11629" spans="1:9" x14ac:dyDescent="0.25">
      <c r="A11629">
        <v>437</v>
      </c>
      <c r="B11629" t="s">
        <v>3427</v>
      </c>
      <c r="C11629" t="s">
        <v>75</v>
      </c>
      <c r="D11629" t="s">
        <v>307</v>
      </c>
      <c r="E11629">
        <f t="shared" si="545"/>
        <v>1.3513513513513514E-2</v>
      </c>
      <c r="F11629">
        <v>67</v>
      </c>
      <c r="G11629">
        <f>LOG(382/(67+1))</f>
        <v>0.7495544502054724</v>
      </c>
      <c r="H11629">
        <f>0.0135135135135135*1.72591290343046</f>
        <v>2.3323147343654843E-2</v>
      </c>
      <c r="I11629">
        <v>2.3323147343654978E-2</v>
      </c>
    </row>
    <row r="11630" spans="1:9" x14ac:dyDescent="0.25">
      <c r="A11630">
        <v>437</v>
      </c>
      <c r="B11630" t="s">
        <v>3427</v>
      </c>
      <c r="C11630" t="s">
        <v>75</v>
      </c>
      <c r="D11630" t="s">
        <v>455</v>
      </c>
      <c r="E11630">
        <f t="shared" si="545"/>
        <v>1.3513513513513514E-2</v>
      </c>
      <c r="F11630">
        <v>78</v>
      </c>
      <c r="G11630">
        <f>LOG(382/(78+1))</f>
        <v>0.6844362716212673</v>
      </c>
      <c r="H11630">
        <f>0.0135135135135135*1.57597275613955</f>
        <v>2.1296929137020925E-2</v>
      </c>
      <c r="I11630">
        <v>2.1296929137021001E-2</v>
      </c>
    </row>
    <row r="11631" spans="1:9" x14ac:dyDescent="0.25">
      <c r="A11631">
        <v>437</v>
      </c>
      <c r="B11631" t="s">
        <v>3427</v>
      </c>
      <c r="C11631" t="s">
        <v>75</v>
      </c>
      <c r="D11631" t="s">
        <v>456</v>
      </c>
      <c r="E11631">
        <f t="shared" si="545"/>
        <v>1.3513513513513514E-2</v>
      </c>
      <c r="F11631">
        <v>71</v>
      </c>
      <c r="G11631">
        <f>LOG(382/(71+1))</f>
        <v>0.72473086648044027</v>
      </c>
      <c r="H11631">
        <f>0.0135135135135135*1.66875448959051</f>
        <v>2.2550736345817682E-2</v>
      </c>
      <c r="I11631">
        <v>2.2550736345817831E-2</v>
      </c>
    </row>
    <row r="11632" spans="1:9" x14ac:dyDescent="0.25">
      <c r="A11632">
        <v>437</v>
      </c>
      <c r="B11632" t="s">
        <v>3427</v>
      </c>
      <c r="C11632" t="s">
        <v>75</v>
      </c>
      <c r="D11632" t="s">
        <v>1779</v>
      </c>
      <c r="E11632">
        <f t="shared" si="545"/>
        <v>1.3513513513513514E-2</v>
      </c>
      <c r="F11632">
        <v>41</v>
      </c>
      <c r="G11632">
        <f>LOG(382/(41+1))</f>
        <v>0.95881407251380824</v>
      </c>
      <c r="H11632">
        <f>0.0135135135135135*2.2077509903232</f>
        <v>2.9834472842205379E-2</v>
      </c>
      <c r="I11632">
        <v>2.9834472842205501E-2</v>
      </c>
    </row>
    <row r="11633" spans="1:9" x14ac:dyDescent="0.25">
      <c r="A11633">
        <v>437</v>
      </c>
      <c r="B11633" t="s">
        <v>3427</v>
      </c>
      <c r="C11633" t="s">
        <v>75</v>
      </c>
      <c r="D11633" t="s">
        <v>3434</v>
      </c>
      <c r="E11633">
        <f t="shared" si="545"/>
        <v>1.3513513513513514E-2</v>
      </c>
      <c r="F11633">
        <v>1</v>
      </c>
      <c r="G11633">
        <f>LOG(382/(1+1))</f>
        <v>2.2810333672477277</v>
      </c>
      <c r="H11633">
        <f>0.0135135135135135*5.25227342804663</f>
        <v>7.0976667946576005E-2</v>
      </c>
      <c r="I11633">
        <v>7.0976667946576089E-2</v>
      </c>
    </row>
    <row r="11634" spans="1:9" x14ac:dyDescent="0.25">
      <c r="A11634">
        <v>438</v>
      </c>
      <c r="B11634" t="s">
        <v>3435</v>
      </c>
      <c r="C11634" t="s">
        <v>75</v>
      </c>
      <c r="D11634" t="s">
        <v>3436</v>
      </c>
      <c r="E11634">
        <f>3/123</f>
        <v>2.4390243902439025E-2</v>
      </c>
      <c r="F11634">
        <v>10</v>
      </c>
      <c r="G11634">
        <f>LOG(382/(10+1))</f>
        <v>1.5406706777534838</v>
      </c>
      <c r="H11634">
        <f>0.024390243902439*3.5475253358082</f>
        <v>8.6525008190443828E-2</v>
      </c>
      <c r="I11634">
        <v>8.6525008190444022E-2</v>
      </c>
    </row>
    <row r="11635" spans="1:9" x14ac:dyDescent="0.25">
      <c r="A11635">
        <v>438</v>
      </c>
      <c r="B11635" t="s">
        <v>3435</v>
      </c>
      <c r="C11635" t="s">
        <v>75</v>
      </c>
      <c r="D11635" t="s">
        <v>963</v>
      </c>
      <c r="E11635">
        <f>3/123</f>
        <v>2.4390243902439025E-2</v>
      </c>
      <c r="F11635">
        <v>2</v>
      </c>
      <c r="G11635">
        <f>LOG(382/(2+1))</f>
        <v>2.1049421081920463</v>
      </c>
      <c r="H11635">
        <f>0.024390243902439*4.84680831993846</f>
        <v>0.11821483707166965</v>
      </c>
      <c r="I11635">
        <v>0.1182148370716699</v>
      </c>
    </row>
    <row r="11636" spans="1:9" x14ac:dyDescent="0.25">
      <c r="A11636">
        <v>438</v>
      </c>
      <c r="B11636" t="s">
        <v>3435</v>
      </c>
      <c r="C11636" t="s">
        <v>75</v>
      </c>
      <c r="D11636" t="s">
        <v>2274</v>
      </c>
      <c r="E11636">
        <f>3/123</f>
        <v>2.4390243902439025E-2</v>
      </c>
      <c r="F11636">
        <v>4</v>
      </c>
      <c r="G11636">
        <f>LOG(382/(4+1))</f>
        <v>1.8830933585756899</v>
      </c>
      <c r="H11636">
        <f>0.024390243902439*4.33598269617247</f>
        <v>0.10575567551640161</v>
      </c>
      <c r="I11636">
        <v>0.1057556755164018</v>
      </c>
    </row>
    <row r="11637" spans="1:9" x14ac:dyDescent="0.25">
      <c r="A11637">
        <v>438</v>
      </c>
      <c r="B11637" t="s">
        <v>3435</v>
      </c>
      <c r="C11637" t="s">
        <v>75</v>
      </c>
      <c r="D11637" t="s">
        <v>3437</v>
      </c>
      <c r="E11637">
        <f>3/123</f>
        <v>2.4390243902439025E-2</v>
      </c>
      <c r="F11637">
        <v>5</v>
      </c>
      <c r="G11637">
        <f>LOG(382/(5+1))</f>
        <v>1.803912112528065</v>
      </c>
      <c r="H11637">
        <f>0.024390243902439*4.15366113937852</f>
        <v>0.10130880827752478</v>
      </c>
      <c r="I11637">
        <v>0.10130880827752491</v>
      </c>
    </row>
    <row r="11638" spans="1:9" x14ac:dyDescent="0.25">
      <c r="A11638">
        <v>438</v>
      </c>
      <c r="B11638" t="s">
        <v>3435</v>
      </c>
      <c r="C11638" t="s">
        <v>75</v>
      </c>
      <c r="D11638" t="s">
        <v>1537</v>
      </c>
      <c r="E11638">
        <f>4/123</f>
        <v>3.2520325203252036E-2</v>
      </c>
      <c r="F11638">
        <v>80</v>
      </c>
      <c r="G11638">
        <f>LOG(382/(80+1))</f>
        <v>0.67357834403305894</v>
      </c>
      <c r="H11638">
        <f>0.032520325203252*1.55097145393413</f>
        <v>5.0438096062898487E-2</v>
      </c>
      <c r="I11638">
        <v>5.043809606289875E-2</v>
      </c>
    </row>
    <row r="11639" spans="1:9" x14ac:dyDescent="0.25">
      <c r="A11639">
        <v>438</v>
      </c>
      <c r="B11639" t="s">
        <v>3435</v>
      </c>
      <c r="C11639" t="s">
        <v>75</v>
      </c>
      <c r="D11639" t="s">
        <v>42</v>
      </c>
      <c r="E11639">
        <f>2/123</f>
        <v>1.6260162601626018E-2</v>
      </c>
      <c r="F11639">
        <v>251</v>
      </c>
      <c r="G11639">
        <f>LOG(382/(251+1))</f>
        <v>0.18066282213016463</v>
      </c>
      <c r="H11639">
        <f>0.016260162601626*0.415991521095151</f>
        <v>6.7640897739048873E-3</v>
      </c>
      <c r="I11639">
        <v>6.7640897739049089E-3</v>
      </c>
    </row>
    <row r="11640" spans="1:9" x14ac:dyDescent="0.25">
      <c r="A11640">
        <v>438</v>
      </c>
      <c r="B11640" t="s">
        <v>3435</v>
      </c>
      <c r="C11640" t="s">
        <v>75</v>
      </c>
      <c r="D11640" t="s">
        <v>600</v>
      </c>
      <c r="E11640">
        <f>1/123</f>
        <v>8.130081300813009E-3</v>
      </c>
      <c r="F11640">
        <v>102</v>
      </c>
      <c r="G11640">
        <f>LOG(382/(102+1))</f>
        <v>0.56922613820653656</v>
      </c>
      <c r="H11640">
        <f>0.008130081300813*1.31069162037693</f>
        <v>1.0656029433958771E-2</v>
      </c>
      <c r="I11640">
        <v>1.0656029433958859E-2</v>
      </c>
    </row>
    <row r="11641" spans="1:9" x14ac:dyDescent="0.25">
      <c r="A11641">
        <v>438</v>
      </c>
      <c r="B11641" t="s">
        <v>3435</v>
      </c>
      <c r="C11641" t="s">
        <v>75</v>
      </c>
      <c r="D11641" t="s">
        <v>3438</v>
      </c>
      <c r="E11641">
        <f>2/123</f>
        <v>1.6260162601626018E-2</v>
      </c>
      <c r="F11641">
        <v>4</v>
      </c>
      <c r="G11641">
        <f>LOG(382/(4+1))</f>
        <v>1.8830933585756899</v>
      </c>
      <c r="H11641">
        <f>0.016260162601626*4.33598269617247</f>
        <v>7.0503783677601073E-2</v>
      </c>
      <c r="I11641">
        <v>7.0503783677601226E-2</v>
      </c>
    </row>
    <row r="11642" spans="1:9" x14ac:dyDescent="0.25">
      <c r="A11642">
        <v>438</v>
      </c>
      <c r="B11642" t="s">
        <v>3435</v>
      </c>
      <c r="C11642" t="s">
        <v>75</v>
      </c>
      <c r="D11642" t="s">
        <v>147</v>
      </c>
      <c r="E11642">
        <f>2/123</f>
        <v>1.6260162601626018E-2</v>
      </c>
      <c r="F11642">
        <v>48</v>
      </c>
      <c r="G11642">
        <f>LOG(382/(48+1))</f>
        <v>0.89186728288319506</v>
      </c>
      <c r="H11642">
        <f>0.016260162601626*2.05360031049594</f>
        <v>3.3391874967413623E-2</v>
      </c>
      <c r="I11642">
        <v>3.3391874967413797E-2</v>
      </c>
    </row>
    <row r="11643" spans="1:9" x14ac:dyDescent="0.25">
      <c r="A11643">
        <v>438</v>
      </c>
      <c r="B11643" t="s">
        <v>3435</v>
      </c>
      <c r="C11643" t="s">
        <v>75</v>
      </c>
      <c r="D11643" t="s">
        <v>104</v>
      </c>
      <c r="E11643">
        <f>3/123</f>
        <v>2.4390243902439025E-2</v>
      </c>
      <c r="F11643">
        <v>49</v>
      </c>
      <c r="G11643">
        <f>LOG(382/(49+1))</f>
        <v>0.88309335857568994</v>
      </c>
      <c r="H11643">
        <f>0.024390243902439*2.03339760317842</f>
        <v>4.9595063492156539E-2</v>
      </c>
      <c r="I11643">
        <v>4.9595063492156803E-2</v>
      </c>
    </row>
    <row r="11644" spans="1:9" x14ac:dyDescent="0.25">
      <c r="A11644">
        <v>438</v>
      </c>
      <c r="B11644" t="s">
        <v>3435</v>
      </c>
      <c r="C11644" t="s">
        <v>75</v>
      </c>
      <c r="D11644" t="s">
        <v>19</v>
      </c>
      <c r="E11644">
        <f>3/123</f>
        <v>2.4390243902439025E-2</v>
      </c>
      <c r="F11644">
        <v>220</v>
      </c>
      <c r="G11644">
        <f>LOG(382/(220+1))</f>
        <v>0.23767108922659805</v>
      </c>
      <c r="H11644">
        <f>0.024390243902439*0.547257907088822</f>
        <v>1.3347753831434672E-2</v>
      </c>
      <c r="I11644">
        <v>1.3347753831434691E-2</v>
      </c>
    </row>
    <row r="11645" spans="1:9" x14ac:dyDescent="0.25">
      <c r="A11645">
        <v>438</v>
      </c>
      <c r="B11645" t="s">
        <v>3435</v>
      </c>
      <c r="C11645" t="s">
        <v>75</v>
      </c>
      <c r="D11645" t="s">
        <v>195</v>
      </c>
      <c r="E11645">
        <f>2/123</f>
        <v>1.6260162601626018E-2</v>
      </c>
      <c r="F11645">
        <v>55</v>
      </c>
      <c r="G11645">
        <f>LOG(382/(55+1))</f>
        <v>0.83387533590550833</v>
      </c>
      <c r="H11645">
        <f>0.016260162601626*1.92006891787142</f>
        <v>3.122063281091737E-2</v>
      </c>
      <c r="I11645">
        <v>3.1220632810917501E-2</v>
      </c>
    </row>
    <row r="11646" spans="1:9" x14ac:dyDescent="0.25">
      <c r="A11646">
        <v>438</v>
      </c>
      <c r="B11646" t="s">
        <v>3435</v>
      </c>
      <c r="C11646" t="s">
        <v>75</v>
      </c>
      <c r="D11646" t="s">
        <v>22</v>
      </c>
      <c r="E11646">
        <f>2/123</f>
        <v>1.6260162601626018E-2</v>
      </c>
      <c r="F11646">
        <v>259</v>
      </c>
      <c r="G11646">
        <f>LOG(382/(259+1))</f>
        <v>0.16709001494089079</v>
      </c>
      <c r="H11646">
        <f>0.016260162601626*0.384738977591047</f>
        <v>6.2559183348137671E-3</v>
      </c>
      <c r="I11646">
        <v>6.2559183348137818E-3</v>
      </c>
    </row>
    <row r="11647" spans="1:9" x14ac:dyDescent="0.25">
      <c r="A11647">
        <v>438</v>
      </c>
      <c r="B11647" t="s">
        <v>3435</v>
      </c>
      <c r="C11647" t="s">
        <v>75</v>
      </c>
      <c r="D11647" t="s">
        <v>23</v>
      </c>
      <c r="E11647">
        <f>1/123</f>
        <v>8.130081300813009E-3</v>
      </c>
      <c r="F11647">
        <v>275</v>
      </c>
      <c r="G11647">
        <f>LOG(382/(275+1))</f>
        <v>0.14115428084649101</v>
      </c>
      <c r="H11647">
        <f>0.008130081300813*0.325019742889425</f>
        <v>2.6424369340603631E-3</v>
      </c>
      <c r="I11647">
        <v>2.642436934060367E-3</v>
      </c>
    </row>
    <row r="11648" spans="1:9" x14ac:dyDescent="0.25">
      <c r="A11648">
        <v>438</v>
      </c>
      <c r="B11648" t="s">
        <v>3435</v>
      </c>
      <c r="C11648" t="s">
        <v>75</v>
      </c>
      <c r="D11648" t="s">
        <v>204</v>
      </c>
      <c r="E11648">
        <f>1/123</f>
        <v>8.130081300813009E-3</v>
      </c>
      <c r="F11648">
        <v>166</v>
      </c>
      <c r="G11648">
        <f>LOG(382/(166+1))</f>
        <v>0.35934689176412549</v>
      </c>
      <c r="H11648">
        <f>0.008130081300813*0.82742679618982</f>
        <v>6.7270471234944645E-3</v>
      </c>
      <c r="I11648">
        <v>6.7270471234944732E-3</v>
      </c>
    </row>
    <row r="11649" spans="1:9" x14ac:dyDescent="0.25">
      <c r="A11649">
        <v>438</v>
      </c>
      <c r="B11649" t="s">
        <v>3435</v>
      </c>
      <c r="C11649" t="s">
        <v>75</v>
      </c>
      <c r="D11649" t="s">
        <v>2462</v>
      </c>
      <c r="E11649">
        <f>1/123</f>
        <v>8.130081300813009E-3</v>
      </c>
      <c r="F11649">
        <v>3</v>
      </c>
      <c r="G11649">
        <f>LOG(382/(3+1))</f>
        <v>1.9800033715837464</v>
      </c>
      <c r="H11649">
        <f>0.008130081300813*4.55912624748668</f>
        <v>3.7066067052737198E-2</v>
      </c>
      <c r="I11649">
        <v>3.7066067052737267E-2</v>
      </c>
    </row>
    <row r="11650" spans="1:9" x14ac:dyDescent="0.25">
      <c r="A11650">
        <v>438</v>
      </c>
      <c r="B11650" t="s">
        <v>3435</v>
      </c>
      <c r="C11650" t="s">
        <v>75</v>
      </c>
      <c r="D11650" t="s">
        <v>1769</v>
      </c>
      <c r="E11650">
        <f>3/123</f>
        <v>2.4390243902439025E-2</v>
      </c>
      <c r="F11650">
        <v>84</v>
      </c>
      <c r="G11650">
        <f>LOG(382/(84+1))</f>
        <v>0.65264443719741605</v>
      </c>
      <c r="H11650">
        <f>0.024390243902439*1.50276935211625</f>
        <v>3.6652911027225572E-2</v>
      </c>
      <c r="I11650">
        <v>3.6652911027225829E-2</v>
      </c>
    </row>
    <row r="11651" spans="1:9" x14ac:dyDescent="0.25">
      <c r="A11651">
        <v>438</v>
      </c>
      <c r="B11651" t="s">
        <v>3435</v>
      </c>
      <c r="C11651" t="s">
        <v>75</v>
      </c>
      <c r="D11651" t="s">
        <v>1762</v>
      </c>
      <c r="E11651">
        <f>2/123</f>
        <v>1.6260162601626018E-2</v>
      </c>
      <c r="F11651">
        <v>60</v>
      </c>
      <c r="G11651">
        <f>LOG(382/(60+1))</f>
        <v>0.79673352790094176</v>
      </c>
      <c r="H11651">
        <f>0.016260162601626*1.83454674443326</f>
        <v>2.9830028364768425E-2</v>
      </c>
      <c r="I11651">
        <v>2.9830028364768519E-2</v>
      </c>
    </row>
    <row r="11652" spans="1:9" x14ac:dyDescent="0.25">
      <c r="A11652">
        <v>438</v>
      </c>
      <c r="B11652" t="s">
        <v>3435</v>
      </c>
      <c r="C11652" t="s">
        <v>75</v>
      </c>
      <c r="D11652" t="s">
        <v>24</v>
      </c>
      <c r="E11652">
        <f>2/123</f>
        <v>1.6260162601626018E-2</v>
      </c>
      <c r="F11652">
        <v>59</v>
      </c>
      <c r="G11652">
        <f>LOG(382/(59+1))</f>
        <v>0.80391211252806505</v>
      </c>
      <c r="H11652">
        <f>0.016260162601626*1.85107604638447</f>
        <v>3.0098797502186476E-2</v>
      </c>
      <c r="I11652">
        <v>3.0098797502186581E-2</v>
      </c>
    </row>
    <row r="11653" spans="1:9" x14ac:dyDescent="0.25">
      <c r="A11653">
        <v>438</v>
      </c>
      <c r="B11653" t="s">
        <v>3435</v>
      </c>
      <c r="C11653" t="s">
        <v>75</v>
      </c>
      <c r="D11653" t="s">
        <v>3439</v>
      </c>
      <c r="E11653">
        <f>1/123</f>
        <v>8.130081300813009E-3</v>
      </c>
      <c r="F11653">
        <v>1</v>
      </c>
      <c r="G11653">
        <f>LOG(382/(1+1))</f>
        <v>2.2810333672477277</v>
      </c>
      <c r="H11653">
        <f>0.008130081300813*5.25227342804663</f>
        <v>4.27014099841189E-2</v>
      </c>
      <c r="I11653">
        <v>4.2701409984118949E-2</v>
      </c>
    </row>
    <row r="11654" spans="1:9" x14ac:dyDescent="0.25">
      <c r="A11654">
        <v>438</v>
      </c>
      <c r="B11654" t="s">
        <v>3435</v>
      </c>
      <c r="C11654" t="s">
        <v>75</v>
      </c>
      <c r="D11654" t="s">
        <v>474</v>
      </c>
      <c r="E11654">
        <f>1/123</f>
        <v>8.130081300813009E-3</v>
      </c>
      <c r="F11654">
        <v>25</v>
      </c>
      <c r="G11654">
        <f>LOG(382/(25+1))</f>
        <v>1.1670900149408907</v>
      </c>
      <c r="H11654">
        <f>0.008130081300813*2.68732407058509</f>
        <v>2.1848163175488516E-2</v>
      </c>
      <c r="I11654">
        <v>2.1848163175488561E-2</v>
      </c>
    </row>
    <row r="11655" spans="1:9" x14ac:dyDescent="0.25">
      <c r="A11655">
        <v>438</v>
      </c>
      <c r="B11655" t="s">
        <v>3435</v>
      </c>
      <c r="C11655" t="s">
        <v>75</v>
      </c>
      <c r="D11655" t="s">
        <v>1884</v>
      </c>
      <c r="E11655">
        <f>1/123</f>
        <v>8.130081300813009E-3</v>
      </c>
      <c r="F11655">
        <v>9</v>
      </c>
      <c r="G11655">
        <f>LOG(382/(9+1))</f>
        <v>1.5820633629117087</v>
      </c>
      <c r="H11655">
        <f>0.008130081300813*3.64283551561252</f>
        <v>2.9616548907418834E-2</v>
      </c>
      <c r="I11655">
        <v>2.9616548907418942E-2</v>
      </c>
    </row>
    <row r="11656" spans="1:9" x14ac:dyDescent="0.25">
      <c r="A11656">
        <v>438</v>
      </c>
      <c r="B11656" t="s">
        <v>3435</v>
      </c>
      <c r="C11656" t="s">
        <v>75</v>
      </c>
      <c r="D11656" t="s">
        <v>1453</v>
      </c>
      <c r="E11656">
        <f>2/123</f>
        <v>1.6260162601626018E-2</v>
      </c>
      <c r="F11656">
        <v>23</v>
      </c>
      <c r="G11656">
        <f>LOG(382/(23+1))</f>
        <v>1.2018521212001028</v>
      </c>
      <c r="H11656">
        <f>0.016260162601626*2.76736677825862</f>
        <v>4.4997833792823051E-2</v>
      </c>
      <c r="I11656">
        <v>4.4997833792823252E-2</v>
      </c>
    </row>
    <row r="11657" spans="1:9" x14ac:dyDescent="0.25">
      <c r="A11657">
        <v>438</v>
      </c>
      <c r="B11657" t="s">
        <v>3435</v>
      </c>
      <c r="C11657" t="s">
        <v>75</v>
      </c>
      <c r="D11657" t="s">
        <v>201</v>
      </c>
      <c r="E11657">
        <f>2/123</f>
        <v>1.6260162601626018E-2</v>
      </c>
      <c r="F11657">
        <v>72</v>
      </c>
      <c r="G11657">
        <f>LOG(382/(72+1))</f>
        <v>0.71874050279125279</v>
      </c>
      <c r="H11657">
        <f>0.016260162601626*1.65496116745818</f>
        <v>2.6909937682246803E-2</v>
      </c>
      <c r="I11657">
        <v>2.69099376822469E-2</v>
      </c>
    </row>
    <row r="11658" spans="1:9" x14ac:dyDescent="0.25">
      <c r="A11658">
        <v>438</v>
      </c>
      <c r="B11658" t="s">
        <v>3435</v>
      </c>
      <c r="C11658" t="s">
        <v>75</v>
      </c>
      <c r="D11658" t="s">
        <v>119</v>
      </c>
      <c r="E11658">
        <f>1/123</f>
        <v>8.130081300813009E-3</v>
      </c>
      <c r="F11658">
        <v>79</v>
      </c>
      <c r="G11658">
        <f>LOG(382/(79+1))</f>
        <v>0.67897337591976514</v>
      </c>
      <c r="H11658">
        <f>0.008130081300813*1.56339397393269</f>
        <v>1.2710520113273891E-2</v>
      </c>
      <c r="I11658">
        <v>1.271052011327393E-2</v>
      </c>
    </row>
    <row r="11659" spans="1:9" x14ac:dyDescent="0.25">
      <c r="A11659">
        <v>438</v>
      </c>
      <c r="B11659" t="s">
        <v>3435</v>
      </c>
      <c r="C11659" t="s">
        <v>75</v>
      </c>
      <c r="D11659" t="s">
        <v>243</v>
      </c>
      <c r="E11659">
        <f>2/123</f>
        <v>1.6260162601626018E-2</v>
      </c>
      <c r="F11659">
        <v>131</v>
      </c>
      <c r="G11659">
        <f>LOG(382/(131+1))</f>
        <v>0.46148943170585888</v>
      </c>
      <c r="H11659">
        <f>0.016260162601626*1.0626186860202</f>
        <v>1.7278352618214619E-2</v>
      </c>
      <c r="I11659">
        <v>1.7278352618214709E-2</v>
      </c>
    </row>
    <row r="11660" spans="1:9" x14ac:dyDescent="0.25">
      <c r="A11660">
        <v>438</v>
      </c>
      <c r="B11660" t="s">
        <v>3435</v>
      </c>
      <c r="C11660" t="s">
        <v>75</v>
      </c>
      <c r="D11660" t="s">
        <v>3440</v>
      </c>
      <c r="E11660">
        <f t="shared" ref="E11660:E11665" si="546">1/123</f>
        <v>8.130081300813009E-3</v>
      </c>
      <c r="F11660">
        <v>1</v>
      </c>
      <c r="G11660">
        <f>LOG(382/(1+1))</f>
        <v>2.2810333672477277</v>
      </c>
      <c r="H11660">
        <f>0.008130081300813*5.25227342804663</f>
        <v>4.27014099841189E-2</v>
      </c>
      <c r="I11660">
        <v>4.2701409984118949E-2</v>
      </c>
    </row>
    <row r="11661" spans="1:9" x14ac:dyDescent="0.25">
      <c r="A11661">
        <v>438</v>
      </c>
      <c r="B11661" t="s">
        <v>3435</v>
      </c>
      <c r="C11661" t="s">
        <v>75</v>
      </c>
      <c r="D11661" t="s">
        <v>3441</v>
      </c>
      <c r="E11661">
        <f t="shared" si="546"/>
        <v>8.130081300813009E-3</v>
      </c>
      <c r="F11661">
        <v>1</v>
      </c>
      <c r="G11661">
        <f>LOG(382/(1+1))</f>
        <v>2.2810333672477277</v>
      </c>
      <c r="H11661">
        <f>0.008130081300813*5.25227342804663</f>
        <v>4.27014099841189E-2</v>
      </c>
      <c r="I11661">
        <v>4.2701409984118949E-2</v>
      </c>
    </row>
    <row r="11662" spans="1:9" x14ac:dyDescent="0.25">
      <c r="A11662">
        <v>438</v>
      </c>
      <c r="B11662" t="s">
        <v>3435</v>
      </c>
      <c r="C11662" t="s">
        <v>75</v>
      </c>
      <c r="D11662" t="s">
        <v>2894</v>
      </c>
      <c r="E11662">
        <f t="shared" si="546"/>
        <v>8.130081300813009E-3</v>
      </c>
      <c r="F11662">
        <v>4</v>
      </c>
      <c r="G11662">
        <f>LOG(382/(4+1))</f>
        <v>1.8830933585756899</v>
      </c>
      <c r="H11662">
        <f>0.008130081300813*4.33598269617247</f>
        <v>3.5251891838800536E-2</v>
      </c>
      <c r="I11662">
        <v>3.5251891838800613E-2</v>
      </c>
    </row>
    <row r="11663" spans="1:9" x14ac:dyDescent="0.25">
      <c r="A11663">
        <v>438</v>
      </c>
      <c r="B11663" t="s">
        <v>3435</v>
      </c>
      <c r="C11663" t="s">
        <v>75</v>
      </c>
      <c r="D11663" t="s">
        <v>3442</v>
      </c>
      <c r="E11663">
        <f t="shared" si="546"/>
        <v>8.130081300813009E-3</v>
      </c>
      <c r="F11663">
        <v>1</v>
      </c>
      <c r="G11663">
        <f>LOG(382/(1+1))</f>
        <v>2.2810333672477277</v>
      </c>
      <c r="H11663">
        <f>0.008130081300813*5.25227342804663</f>
        <v>4.27014099841189E-2</v>
      </c>
      <c r="I11663">
        <v>4.2701409984118949E-2</v>
      </c>
    </row>
    <row r="11664" spans="1:9" x14ac:dyDescent="0.25">
      <c r="A11664">
        <v>438</v>
      </c>
      <c r="B11664" t="s">
        <v>3435</v>
      </c>
      <c r="C11664" t="s">
        <v>75</v>
      </c>
      <c r="D11664" t="s">
        <v>3443</v>
      </c>
      <c r="E11664">
        <f t="shared" si="546"/>
        <v>8.130081300813009E-3</v>
      </c>
      <c r="F11664">
        <v>1</v>
      </c>
      <c r="G11664">
        <f>LOG(382/(1+1))</f>
        <v>2.2810333672477277</v>
      </c>
      <c r="H11664">
        <f>0.008130081300813*5.25227342804663</f>
        <v>4.27014099841189E-2</v>
      </c>
      <c r="I11664">
        <v>4.2701409984118949E-2</v>
      </c>
    </row>
    <row r="11665" spans="1:9" x14ac:dyDescent="0.25">
      <c r="A11665">
        <v>438</v>
      </c>
      <c r="B11665" t="s">
        <v>3435</v>
      </c>
      <c r="C11665" t="s">
        <v>75</v>
      </c>
      <c r="D11665" t="s">
        <v>3444</v>
      </c>
      <c r="E11665">
        <f t="shared" si="546"/>
        <v>8.130081300813009E-3</v>
      </c>
      <c r="F11665">
        <v>10</v>
      </c>
      <c r="G11665">
        <f>LOG(382/(10+1))</f>
        <v>1.5406706777534838</v>
      </c>
      <c r="H11665">
        <f>0.008130081300813*3.5475253358082</f>
        <v>2.8841669396814609E-2</v>
      </c>
      <c r="I11665">
        <v>2.8841669396814679E-2</v>
      </c>
    </row>
    <row r="11666" spans="1:9" x14ac:dyDescent="0.25">
      <c r="A11666">
        <v>438</v>
      </c>
      <c r="B11666" t="s">
        <v>3435</v>
      </c>
      <c r="C11666" t="s">
        <v>75</v>
      </c>
      <c r="D11666" t="s">
        <v>361</v>
      </c>
      <c r="E11666">
        <f>2/123</f>
        <v>1.6260162601626018E-2</v>
      </c>
      <c r="F11666">
        <v>118</v>
      </c>
      <c r="G11666">
        <f>LOG(382/(118+1))</f>
        <v>0.50651640151917798</v>
      </c>
      <c r="H11666">
        <f>0.016260162601626*1.16629711549504</f>
        <v>1.8964180739756729E-2</v>
      </c>
      <c r="I11666">
        <v>1.896418073975685E-2</v>
      </c>
    </row>
    <row r="11667" spans="1:9" x14ac:dyDescent="0.25">
      <c r="A11667">
        <v>438</v>
      </c>
      <c r="B11667" t="s">
        <v>3435</v>
      </c>
      <c r="C11667" t="s">
        <v>75</v>
      </c>
      <c r="D11667" t="s">
        <v>434</v>
      </c>
      <c r="E11667">
        <f t="shared" ref="E11667:E11672" si="547">1/123</f>
        <v>8.130081300813009E-3</v>
      </c>
      <c r="F11667">
        <v>97</v>
      </c>
      <c r="G11667">
        <f>LOG(382/(97+1))</f>
        <v>0.59083728721921391</v>
      </c>
      <c r="H11667">
        <f>0.008130081300813*1.360453129936</f>
        <v>1.1060594552325194E-2</v>
      </c>
      <c r="I11667">
        <v>1.1060594552325231E-2</v>
      </c>
    </row>
    <row r="11668" spans="1:9" x14ac:dyDescent="0.25">
      <c r="A11668">
        <v>438</v>
      </c>
      <c r="B11668" t="s">
        <v>3435</v>
      </c>
      <c r="C11668" t="s">
        <v>75</v>
      </c>
      <c r="D11668" t="s">
        <v>3325</v>
      </c>
      <c r="E11668">
        <f t="shared" si="547"/>
        <v>8.130081300813009E-3</v>
      </c>
      <c r="F11668">
        <v>19</v>
      </c>
      <c r="G11668">
        <f>LOG(382/(19+1))</f>
        <v>1.2810333672477277</v>
      </c>
      <c r="H11668">
        <f>0.008130081300813*2.94968833505258</f>
        <v>2.3981205976037211E-2</v>
      </c>
      <c r="I11668">
        <v>2.398120597603727E-2</v>
      </c>
    </row>
    <row r="11669" spans="1:9" x14ac:dyDescent="0.25">
      <c r="A11669">
        <v>438</v>
      </c>
      <c r="B11669" t="s">
        <v>3435</v>
      </c>
      <c r="C11669" t="s">
        <v>75</v>
      </c>
      <c r="D11669" t="s">
        <v>3327</v>
      </c>
      <c r="E11669">
        <f t="shared" si="547"/>
        <v>8.130081300813009E-3</v>
      </c>
      <c r="F11669">
        <v>21</v>
      </c>
      <c r="G11669">
        <f>LOG(382/(21+1))</f>
        <v>1.2396406820895025</v>
      </c>
      <c r="H11669">
        <f>0.008130081300813*2.85437815524825</f>
        <v>2.3206326465432903E-2</v>
      </c>
      <c r="I11669">
        <v>2.3206326465433001E-2</v>
      </c>
    </row>
    <row r="11670" spans="1:9" x14ac:dyDescent="0.25">
      <c r="A11670">
        <v>438</v>
      </c>
      <c r="B11670" t="s">
        <v>3435</v>
      </c>
      <c r="C11670" t="s">
        <v>75</v>
      </c>
      <c r="D11670" t="s">
        <v>310</v>
      </c>
      <c r="E11670">
        <f t="shared" si="547"/>
        <v>8.130081300813009E-3</v>
      </c>
      <c r="F11670">
        <v>50</v>
      </c>
      <c r="G11670">
        <f>LOG(382/(50+1))</f>
        <v>0.87449318681377242</v>
      </c>
      <c r="H11670">
        <f>0.008130081300813*2.01359497588224</f>
        <v>1.6370690860831202E-2</v>
      </c>
      <c r="I11670">
        <v>1.6370690860831299E-2</v>
      </c>
    </row>
    <row r="11671" spans="1:9" x14ac:dyDescent="0.25">
      <c r="A11671">
        <v>438</v>
      </c>
      <c r="B11671" t="s">
        <v>3435</v>
      </c>
      <c r="C11671" t="s">
        <v>75</v>
      </c>
      <c r="D11671" t="s">
        <v>2035</v>
      </c>
      <c r="E11671">
        <f t="shared" si="547"/>
        <v>8.130081300813009E-3</v>
      </c>
      <c r="F11671">
        <v>13</v>
      </c>
      <c r="G11671">
        <f>LOG(382/(13+1))</f>
        <v>1.4359353272334707</v>
      </c>
      <c r="H11671">
        <f>0.008130081300813*3.30636327899131</f>
        <v>2.6881002268222008E-2</v>
      </c>
      <c r="I11671">
        <v>2.6881002268222091E-2</v>
      </c>
    </row>
    <row r="11672" spans="1:9" x14ac:dyDescent="0.25">
      <c r="A11672">
        <v>438</v>
      </c>
      <c r="B11672" t="s">
        <v>3435</v>
      </c>
      <c r="C11672" t="s">
        <v>75</v>
      </c>
      <c r="D11672" t="s">
        <v>3445</v>
      </c>
      <c r="E11672">
        <f t="shared" si="547"/>
        <v>8.130081300813009E-3</v>
      </c>
      <c r="F11672">
        <v>1</v>
      </c>
      <c r="G11672">
        <f>LOG(382/(1+1))</f>
        <v>2.2810333672477277</v>
      </c>
      <c r="H11672">
        <f>0.008130081300813*5.25227342804663</f>
        <v>4.27014099841189E-2</v>
      </c>
      <c r="I11672">
        <v>4.2701409984118949E-2</v>
      </c>
    </row>
    <row r="11673" spans="1:9" x14ac:dyDescent="0.25">
      <c r="A11673">
        <v>438</v>
      </c>
      <c r="B11673" t="s">
        <v>3435</v>
      </c>
      <c r="C11673" t="s">
        <v>75</v>
      </c>
      <c r="D11673" t="s">
        <v>455</v>
      </c>
      <c r="E11673">
        <f>2/123</f>
        <v>1.6260162601626018E-2</v>
      </c>
      <c r="F11673">
        <v>78</v>
      </c>
      <c r="G11673">
        <f>LOG(382/(78+1))</f>
        <v>0.6844362716212673</v>
      </c>
      <c r="H11673">
        <f>0.016260162601626*1.57597275613955</f>
        <v>2.5625573270561763E-2</v>
      </c>
      <c r="I11673">
        <v>2.5625573270561849E-2</v>
      </c>
    </row>
    <row r="11674" spans="1:9" x14ac:dyDescent="0.25">
      <c r="A11674">
        <v>438</v>
      </c>
      <c r="B11674" t="s">
        <v>3435</v>
      </c>
      <c r="C11674" t="s">
        <v>75</v>
      </c>
      <c r="D11674" t="s">
        <v>456</v>
      </c>
      <c r="E11674">
        <f>2/123</f>
        <v>1.6260162601626018E-2</v>
      </c>
      <c r="F11674">
        <v>71</v>
      </c>
      <c r="G11674">
        <f>LOG(382/(71+1))</f>
        <v>0.72473086648044027</v>
      </c>
      <c r="H11674">
        <f>0.016260162601626*1.66875448959051</f>
        <v>2.7134219342935095E-2</v>
      </c>
      <c r="I11674">
        <v>2.7134219342935278E-2</v>
      </c>
    </row>
    <row r="11675" spans="1:9" x14ac:dyDescent="0.25">
      <c r="A11675">
        <v>438</v>
      </c>
      <c r="B11675" t="s">
        <v>3435</v>
      </c>
      <c r="C11675" t="s">
        <v>75</v>
      </c>
      <c r="D11675" t="s">
        <v>3446</v>
      </c>
      <c r="E11675">
        <f t="shared" ref="E11675:E11692" si="548">1/123</f>
        <v>8.130081300813009E-3</v>
      </c>
      <c r="F11675">
        <v>1</v>
      </c>
      <c r="G11675">
        <f>LOG(382/(1+1))</f>
        <v>2.2810333672477277</v>
      </c>
      <c r="H11675">
        <f>0.008130081300813*5.25227342804663</f>
        <v>4.27014099841189E-2</v>
      </c>
      <c r="I11675">
        <v>4.2701409984118949E-2</v>
      </c>
    </row>
    <row r="11676" spans="1:9" x14ac:dyDescent="0.25">
      <c r="A11676">
        <v>438</v>
      </c>
      <c r="B11676" t="s">
        <v>3435</v>
      </c>
      <c r="C11676" t="s">
        <v>75</v>
      </c>
      <c r="D11676" t="s">
        <v>3447</v>
      </c>
      <c r="E11676">
        <f t="shared" si="548"/>
        <v>8.130081300813009E-3</v>
      </c>
      <c r="F11676">
        <v>1</v>
      </c>
      <c r="G11676">
        <f>LOG(382/(1+1))</f>
        <v>2.2810333672477277</v>
      </c>
      <c r="H11676">
        <f>0.008130081300813*5.25227342804663</f>
        <v>4.27014099841189E-2</v>
      </c>
      <c r="I11676">
        <v>4.2701409984118949E-2</v>
      </c>
    </row>
    <row r="11677" spans="1:9" x14ac:dyDescent="0.25">
      <c r="A11677">
        <v>438</v>
      </c>
      <c r="B11677" t="s">
        <v>3435</v>
      </c>
      <c r="C11677" t="s">
        <v>75</v>
      </c>
      <c r="D11677" t="s">
        <v>836</v>
      </c>
      <c r="E11677">
        <f t="shared" si="548"/>
        <v>8.130081300813009E-3</v>
      </c>
      <c r="F11677">
        <v>21</v>
      </c>
      <c r="G11677">
        <f>LOG(382/(21+1))</f>
        <v>1.2396406820895025</v>
      </c>
      <c r="H11677">
        <f>0.008130081300813*2.85437815524825</f>
        <v>2.3206326465432903E-2</v>
      </c>
      <c r="I11677">
        <v>2.3206326465433001E-2</v>
      </c>
    </row>
    <row r="11678" spans="1:9" x14ac:dyDescent="0.25">
      <c r="A11678">
        <v>438</v>
      </c>
      <c r="B11678" t="s">
        <v>3435</v>
      </c>
      <c r="C11678" t="s">
        <v>75</v>
      </c>
      <c r="D11678" t="s">
        <v>3448</v>
      </c>
      <c r="E11678">
        <f t="shared" si="548"/>
        <v>8.130081300813009E-3</v>
      </c>
      <c r="F11678">
        <v>1</v>
      </c>
      <c r="G11678">
        <f>LOG(382/(1+1))</f>
        <v>2.2810333672477277</v>
      </c>
      <c r="H11678">
        <f>0.008130081300813*5.25227342804663</f>
        <v>4.27014099841189E-2</v>
      </c>
      <c r="I11678">
        <v>4.2701409984118949E-2</v>
      </c>
    </row>
    <row r="11679" spans="1:9" x14ac:dyDescent="0.25">
      <c r="A11679">
        <v>438</v>
      </c>
      <c r="B11679" t="s">
        <v>3435</v>
      </c>
      <c r="C11679" t="s">
        <v>75</v>
      </c>
      <c r="D11679" t="s">
        <v>838</v>
      </c>
      <c r="E11679">
        <f t="shared" si="548"/>
        <v>8.130081300813009E-3</v>
      </c>
      <c r="F11679">
        <v>10</v>
      </c>
      <c r="G11679">
        <f>LOG(382/(10+1))</f>
        <v>1.5406706777534838</v>
      </c>
      <c r="H11679">
        <f>0.008130081300813*3.5475253358082</f>
        <v>2.8841669396814609E-2</v>
      </c>
      <c r="I11679">
        <v>2.8841669396814679E-2</v>
      </c>
    </row>
    <row r="11680" spans="1:9" x14ac:dyDescent="0.25">
      <c r="A11680">
        <v>438</v>
      </c>
      <c r="B11680" t="s">
        <v>3435</v>
      </c>
      <c r="C11680" t="s">
        <v>75</v>
      </c>
      <c r="D11680" t="s">
        <v>3449</v>
      </c>
      <c r="E11680">
        <f t="shared" si="548"/>
        <v>8.130081300813009E-3</v>
      </c>
      <c r="F11680">
        <v>1</v>
      </c>
      <c r="G11680">
        <f>LOG(382/(1+1))</f>
        <v>2.2810333672477277</v>
      </c>
      <c r="H11680">
        <f>0.008130081300813*5.25227342804663</f>
        <v>4.27014099841189E-2</v>
      </c>
      <c r="I11680">
        <v>4.2701409984118949E-2</v>
      </c>
    </row>
    <row r="11681" spans="1:9" x14ac:dyDescent="0.25">
      <c r="A11681">
        <v>438</v>
      </c>
      <c r="B11681" t="s">
        <v>3435</v>
      </c>
      <c r="C11681" t="s">
        <v>75</v>
      </c>
      <c r="D11681" t="s">
        <v>324</v>
      </c>
      <c r="E11681">
        <f t="shared" si="548"/>
        <v>8.130081300813009E-3</v>
      </c>
      <c r="F11681">
        <v>82</v>
      </c>
      <c r="G11681">
        <f>LOG(382/(82+1))</f>
        <v>0.66298527053563483</v>
      </c>
      <c r="H11681">
        <f>0.008130081300813*1.52658000080997</f>
        <v>1.2411219518780232E-2</v>
      </c>
      <c r="I11681">
        <v>1.2411219518780299E-2</v>
      </c>
    </row>
    <row r="11682" spans="1:9" x14ac:dyDescent="0.25">
      <c r="A11682">
        <v>438</v>
      </c>
      <c r="B11682" t="s">
        <v>3435</v>
      </c>
      <c r="C11682" t="s">
        <v>75</v>
      </c>
      <c r="D11682" t="s">
        <v>1222</v>
      </c>
      <c r="E11682">
        <f t="shared" si="548"/>
        <v>8.130081300813009E-3</v>
      </c>
      <c r="F11682">
        <v>56</v>
      </c>
      <c r="G11682">
        <f>LOG(382/(56+1))</f>
        <v>0.82618850723921733</v>
      </c>
      <c r="H11682">
        <f>0.008130081300813*1.90236934077202</f>
        <v>1.5466417404650554E-2</v>
      </c>
      <c r="I11682">
        <v>1.546641740465061E-2</v>
      </c>
    </row>
    <row r="11683" spans="1:9" x14ac:dyDescent="0.25">
      <c r="A11683">
        <v>438</v>
      </c>
      <c r="B11683" t="s">
        <v>3435</v>
      </c>
      <c r="C11683" t="s">
        <v>75</v>
      </c>
      <c r="D11683" t="s">
        <v>485</v>
      </c>
      <c r="E11683">
        <f t="shared" si="548"/>
        <v>8.130081300813009E-3</v>
      </c>
      <c r="F11683">
        <v>74</v>
      </c>
      <c r="G11683">
        <f>LOG(382/(74+1))</f>
        <v>0.7070020995200087</v>
      </c>
      <c r="H11683">
        <f>0.008130081300813*1.62793249507026</f>
        <v>1.3235223537156574E-2</v>
      </c>
      <c r="I11683">
        <v>1.3235223537156631E-2</v>
      </c>
    </row>
    <row r="11684" spans="1:9" x14ac:dyDescent="0.25">
      <c r="A11684">
        <v>438</v>
      </c>
      <c r="B11684" t="s">
        <v>3435</v>
      </c>
      <c r="C11684" t="s">
        <v>75</v>
      </c>
      <c r="D11684" t="s">
        <v>754</v>
      </c>
      <c r="E11684">
        <f t="shared" si="548"/>
        <v>8.130081300813009E-3</v>
      </c>
      <c r="F11684">
        <v>111</v>
      </c>
      <c r="G11684">
        <f>LOG(382/(111+1))</f>
        <v>0.53284534024152708</v>
      </c>
      <c r="H11684">
        <f>0.008130081300813*1.22692173731148</f>
        <v>9.9749734740770639E-3</v>
      </c>
      <c r="I11684">
        <v>9.9749734740770795E-3</v>
      </c>
    </row>
    <row r="11685" spans="1:9" x14ac:dyDescent="0.25">
      <c r="A11685">
        <v>438</v>
      </c>
      <c r="B11685" t="s">
        <v>3435</v>
      </c>
      <c r="C11685" t="s">
        <v>75</v>
      </c>
      <c r="D11685" t="s">
        <v>1083</v>
      </c>
      <c r="E11685">
        <f t="shared" si="548"/>
        <v>8.130081300813009E-3</v>
      </c>
      <c r="F11685">
        <v>51</v>
      </c>
      <c r="G11685">
        <f>LOG(382/(51+1))</f>
        <v>0.86606001927690957</v>
      </c>
      <c r="H11685">
        <f>0.008130081300813*1.99417689002514</f>
        <v>1.6212820244106814E-2</v>
      </c>
      <c r="I11685">
        <v>1.621282024410689E-2</v>
      </c>
    </row>
    <row r="11686" spans="1:9" x14ac:dyDescent="0.25">
      <c r="A11686">
        <v>438</v>
      </c>
      <c r="B11686" t="s">
        <v>3435</v>
      </c>
      <c r="C11686" t="s">
        <v>75</v>
      </c>
      <c r="D11686" t="s">
        <v>765</v>
      </c>
      <c r="E11686">
        <f t="shared" si="548"/>
        <v>8.130081300813009E-3</v>
      </c>
      <c r="F11686">
        <v>44</v>
      </c>
      <c r="G11686">
        <f>LOG(382/(44+1))</f>
        <v>0.92885084913636506</v>
      </c>
      <c r="H11686">
        <f>0.008130081300813*2.13875811883625</f>
        <v>1.7388277388912583E-2</v>
      </c>
      <c r="I11686">
        <v>1.7388277388912649E-2</v>
      </c>
    </row>
    <row r="11687" spans="1:9" x14ac:dyDescent="0.25">
      <c r="A11687">
        <v>438</v>
      </c>
      <c r="B11687" t="s">
        <v>3435</v>
      </c>
      <c r="C11687" t="s">
        <v>75</v>
      </c>
      <c r="D11687" t="s">
        <v>2220</v>
      </c>
      <c r="E11687">
        <f t="shared" si="548"/>
        <v>8.130081300813009E-3</v>
      </c>
      <c r="F11687">
        <v>21</v>
      </c>
      <c r="G11687">
        <f>LOG(382/(21+1))</f>
        <v>1.2396406820895025</v>
      </c>
      <c r="H11687">
        <f>0.008130081300813*2.85437815524825</f>
        <v>2.3206326465432903E-2</v>
      </c>
      <c r="I11687">
        <v>2.3206326465433001E-2</v>
      </c>
    </row>
    <row r="11688" spans="1:9" x14ac:dyDescent="0.25">
      <c r="A11688">
        <v>438</v>
      </c>
      <c r="B11688" t="s">
        <v>3435</v>
      </c>
      <c r="C11688" t="s">
        <v>75</v>
      </c>
      <c r="D11688" t="s">
        <v>2238</v>
      </c>
      <c r="E11688">
        <f t="shared" si="548"/>
        <v>8.130081300813009E-3</v>
      </c>
      <c r="F11688">
        <v>68</v>
      </c>
      <c r="G11688">
        <f>LOG(382/(68+1))</f>
        <v>0.74321427217445335</v>
      </c>
      <c r="H11688">
        <f>0.008130081300813*1.71131410400931</f>
        <v>1.3913122796823645E-2</v>
      </c>
      <c r="I11688">
        <v>1.3913122796823709E-2</v>
      </c>
    </row>
    <row r="11689" spans="1:9" x14ac:dyDescent="0.25">
      <c r="A11689">
        <v>438</v>
      </c>
      <c r="B11689" t="s">
        <v>3435</v>
      </c>
      <c r="C11689" t="s">
        <v>75</v>
      </c>
      <c r="D11689" t="s">
        <v>2178</v>
      </c>
      <c r="E11689">
        <f t="shared" si="548"/>
        <v>8.130081300813009E-3</v>
      </c>
      <c r="F11689">
        <v>11</v>
      </c>
      <c r="G11689">
        <f>LOG(382/(11+1))</f>
        <v>1.5028821168640838</v>
      </c>
      <c r="H11689">
        <f>0.008130081300813*3.46051395881857</f>
        <v>2.8134259827793225E-2</v>
      </c>
      <c r="I11689">
        <v>2.8134259827793291E-2</v>
      </c>
    </row>
    <row r="11690" spans="1:9" x14ac:dyDescent="0.25">
      <c r="A11690">
        <v>438</v>
      </c>
      <c r="B11690" t="s">
        <v>3435</v>
      </c>
      <c r="C11690" t="s">
        <v>75</v>
      </c>
      <c r="D11690" t="s">
        <v>1738</v>
      </c>
      <c r="E11690">
        <f t="shared" si="548"/>
        <v>8.130081300813009E-3</v>
      </c>
      <c r="F11690">
        <v>24</v>
      </c>
      <c r="G11690">
        <f>LOG(382/(24+1))</f>
        <v>1.1841233542396712</v>
      </c>
      <c r="H11690">
        <f>0.008130081300813*2.72654478373837</f>
        <v>2.2167030762100547E-2</v>
      </c>
      <c r="I11690">
        <v>2.2167030762100609E-2</v>
      </c>
    </row>
    <row r="11691" spans="1:9" x14ac:dyDescent="0.25">
      <c r="A11691">
        <v>438</v>
      </c>
      <c r="B11691" t="s">
        <v>3435</v>
      </c>
      <c r="C11691" t="s">
        <v>75</v>
      </c>
      <c r="D11691" t="s">
        <v>1739</v>
      </c>
      <c r="E11691">
        <f t="shared" si="548"/>
        <v>8.130081300813009E-3</v>
      </c>
      <c r="F11691">
        <v>30</v>
      </c>
      <c r="G11691">
        <f>LOG(382/(30+1))</f>
        <v>1.090701669077436</v>
      </c>
      <c r="H11691">
        <f>0.008130081300813*2.51143340412142</f>
        <v>2.0418157757084696E-2</v>
      </c>
      <c r="I11691">
        <v>2.041815775708479E-2</v>
      </c>
    </row>
    <row r="11692" spans="1:9" x14ac:dyDescent="0.25">
      <c r="A11692">
        <v>438</v>
      </c>
      <c r="B11692" t="s">
        <v>3435</v>
      </c>
      <c r="C11692" t="s">
        <v>75</v>
      </c>
      <c r="D11692" t="s">
        <v>3450</v>
      </c>
      <c r="E11692">
        <f t="shared" si="548"/>
        <v>8.130081300813009E-3</v>
      </c>
      <c r="F11692">
        <v>1</v>
      </c>
      <c r="G11692">
        <f>LOG(382/(1+1))</f>
        <v>2.2810333672477277</v>
      </c>
      <c r="H11692">
        <f>0.008130081300813*5.25227342804663</f>
        <v>4.27014099841189E-2</v>
      </c>
      <c r="I11692">
        <v>4.2701409984118949E-2</v>
      </c>
    </row>
    <row r="11693" spans="1:9" x14ac:dyDescent="0.25">
      <c r="A11693">
        <v>438</v>
      </c>
      <c r="B11693" t="s">
        <v>3435</v>
      </c>
      <c r="C11693" t="s">
        <v>75</v>
      </c>
      <c r="D11693" t="s">
        <v>3376</v>
      </c>
      <c r="E11693">
        <f>2/123</f>
        <v>1.6260162601626018E-2</v>
      </c>
      <c r="F11693">
        <v>21</v>
      </c>
      <c r="G11693">
        <f>LOG(382/(21+1))</f>
        <v>1.2396406820895025</v>
      </c>
      <c r="H11693">
        <f>0.016260162601626*2.85437815524825</f>
        <v>4.6412652930865807E-2</v>
      </c>
      <c r="I11693">
        <v>4.6412652930866008E-2</v>
      </c>
    </row>
    <row r="11694" spans="1:9" x14ac:dyDescent="0.25">
      <c r="A11694">
        <v>438</v>
      </c>
      <c r="B11694" t="s">
        <v>3435</v>
      </c>
      <c r="C11694" t="s">
        <v>75</v>
      </c>
      <c r="D11694" t="s">
        <v>3451</v>
      </c>
      <c r="E11694">
        <f t="shared" ref="E11694:E11699" si="549">1/123</f>
        <v>8.130081300813009E-3</v>
      </c>
      <c r="F11694">
        <v>5</v>
      </c>
      <c r="G11694">
        <f>LOG(382/(5+1))</f>
        <v>1.803912112528065</v>
      </c>
      <c r="H11694">
        <f>0.008130081300813*4.15366113937852</f>
        <v>3.3769602759174927E-2</v>
      </c>
      <c r="I11694">
        <v>3.3769602759174962E-2</v>
      </c>
    </row>
    <row r="11695" spans="1:9" x14ac:dyDescent="0.25">
      <c r="A11695">
        <v>438</v>
      </c>
      <c r="B11695" t="s">
        <v>3435</v>
      </c>
      <c r="C11695" t="s">
        <v>75</v>
      </c>
      <c r="D11695" t="s">
        <v>1549</v>
      </c>
      <c r="E11695">
        <f t="shared" si="549"/>
        <v>8.130081300813009E-3</v>
      </c>
      <c r="F11695">
        <v>5</v>
      </c>
      <c r="G11695">
        <f>LOG(382/(5+1))</f>
        <v>1.803912112528065</v>
      </c>
      <c r="H11695">
        <f>0.008130081300813*4.15366113937852</f>
        <v>3.3769602759174927E-2</v>
      </c>
      <c r="I11695">
        <v>3.3769602759174962E-2</v>
      </c>
    </row>
    <row r="11696" spans="1:9" x14ac:dyDescent="0.25">
      <c r="A11696">
        <v>438</v>
      </c>
      <c r="B11696" t="s">
        <v>3435</v>
      </c>
      <c r="C11696" t="s">
        <v>75</v>
      </c>
      <c r="D11696" t="s">
        <v>451</v>
      </c>
      <c r="E11696">
        <f t="shared" si="549"/>
        <v>8.130081300813009E-3</v>
      </c>
      <c r="F11696">
        <v>15</v>
      </c>
      <c r="G11696">
        <f>LOG(382/(15+1))</f>
        <v>1.3779433802557839</v>
      </c>
      <c r="H11696">
        <f>0.008130081300813*3.17283188636679</f>
        <v>2.579538118997388E-2</v>
      </c>
      <c r="I11696">
        <v>2.5795381189973939E-2</v>
      </c>
    </row>
    <row r="11697" spans="1:9" x14ac:dyDescent="0.25">
      <c r="A11697">
        <v>438</v>
      </c>
      <c r="B11697" t="s">
        <v>3435</v>
      </c>
      <c r="C11697" t="s">
        <v>75</v>
      </c>
      <c r="D11697" t="s">
        <v>3452</v>
      </c>
      <c r="E11697">
        <f t="shared" si="549"/>
        <v>8.130081300813009E-3</v>
      </c>
      <c r="F11697">
        <v>8</v>
      </c>
      <c r="G11697">
        <f>LOG(382/(8+1))</f>
        <v>1.6278208534723839</v>
      </c>
      <c r="H11697">
        <f>0.008130081300813*3.74819603127035</f>
        <v>3.0473138465612573E-2</v>
      </c>
      <c r="I11697">
        <v>3.0473138465612649E-2</v>
      </c>
    </row>
    <row r="11698" spans="1:9" x14ac:dyDescent="0.25">
      <c r="A11698">
        <v>438</v>
      </c>
      <c r="B11698" t="s">
        <v>3435</v>
      </c>
      <c r="C11698" t="s">
        <v>75</v>
      </c>
      <c r="D11698" t="s">
        <v>937</v>
      </c>
      <c r="E11698">
        <f t="shared" si="549"/>
        <v>8.130081300813009E-3</v>
      </c>
      <c r="F11698">
        <v>41</v>
      </c>
      <c r="G11698">
        <f>LOG(382/(41+1))</f>
        <v>0.95881407251380824</v>
      </c>
      <c r="H11698">
        <f>0.008130081300813*2.2077509903232</f>
        <v>1.7949195043278032E-2</v>
      </c>
      <c r="I11698">
        <v>1.7949195043278111E-2</v>
      </c>
    </row>
    <row r="11699" spans="1:9" x14ac:dyDescent="0.25">
      <c r="A11699">
        <v>438</v>
      </c>
      <c r="B11699" t="s">
        <v>3435</v>
      </c>
      <c r="C11699" t="s">
        <v>75</v>
      </c>
      <c r="D11699" t="s">
        <v>772</v>
      </c>
      <c r="E11699">
        <f t="shared" si="549"/>
        <v>8.130081300813009E-3</v>
      </c>
      <c r="F11699">
        <v>31</v>
      </c>
      <c r="G11699">
        <f>LOG(382/(31+1))</f>
        <v>1.0769133845918029</v>
      </c>
      <c r="H11699">
        <f>0.008130081300813*2.47968470580684</f>
        <v>2.0160038258592174E-2</v>
      </c>
      <c r="I11699">
        <v>2.0160038258592271E-2</v>
      </c>
    </row>
    <row r="11700" spans="1:9" x14ac:dyDescent="0.25">
      <c r="A11700">
        <v>438</v>
      </c>
      <c r="B11700" t="s">
        <v>3435</v>
      </c>
      <c r="C11700" t="s">
        <v>75</v>
      </c>
      <c r="D11700" t="s">
        <v>237</v>
      </c>
      <c r="E11700">
        <f>2/123</f>
        <v>1.6260162601626018E-2</v>
      </c>
      <c r="F11700">
        <v>138</v>
      </c>
      <c r="G11700">
        <f>LOG(382/(138+1))</f>
        <v>0.43904856265761361</v>
      </c>
      <c r="H11700">
        <f>0.016260162601626*1.01094667547588</f>
        <v>1.6438157324811041E-2</v>
      </c>
      <c r="I11700">
        <v>1.643815732481111E-2</v>
      </c>
    </row>
    <row r="11701" spans="1:9" x14ac:dyDescent="0.25">
      <c r="A11701">
        <v>438</v>
      </c>
      <c r="B11701" t="s">
        <v>3435</v>
      </c>
      <c r="C11701" t="s">
        <v>75</v>
      </c>
      <c r="D11701" t="s">
        <v>3453</v>
      </c>
      <c r="E11701">
        <f t="shared" ref="E11701:E11707" si="550">1/123</f>
        <v>8.130081300813009E-3</v>
      </c>
      <c r="F11701">
        <v>1</v>
      </c>
      <c r="G11701">
        <f>LOG(382/(1+1))</f>
        <v>2.2810333672477277</v>
      </c>
      <c r="H11701">
        <f>0.008130081300813*5.25227342804663</f>
        <v>4.27014099841189E-2</v>
      </c>
      <c r="I11701">
        <v>4.2701409984118949E-2</v>
      </c>
    </row>
    <row r="11702" spans="1:9" x14ac:dyDescent="0.25">
      <c r="A11702">
        <v>438</v>
      </c>
      <c r="B11702" t="s">
        <v>3435</v>
      </c>
      <c r="C11702" t="s">
        <v>75</v>
      </c>
      <c r="D11702" t="s">
        <v>767</v>
      </c>
      <c r="E11702">
        <f t="shared" si="550"/>
        <v>8.130081300813009E-3</v>
      </c>
      <c r="F11702">
        <v>47</v>
      </c>
      <c r="G11702">
        <f>LOG(382/(47+1))</f>
        <v>0.90082212553612151</v>
      </c>
      <c r="H11702">
        <f>0.008130081300813*2.07421959769868</f>
        <v>1.6863573965029903E-2</v>
      </c>
      <c r="I11702">
        <v>1.6863573965029958E-2</v>
      </c>
    </row>
    <row r="11703" spans="1:9" x14ac:dyDescent="0.25">
      <c r="A11703">
        <v>438</v>
      </c>
      <c r="B11703" t="s">
        <v>3435</v>
      </c>
      <c r="C11703" t="s">
        <v>75</v>
      </c>
      <c r="D11703" t="s">
        <v>256</v>
      </c>
      <c r="E11703">
        <f t="shared" si="550"/>
        <v>8.130081300813009E-3</v>
      </c>
      <c r="F11703">
        <v>28</v>
      </c>
      <c r="G11703">
        <f>LOG(382/(28+1))</f>
        <v>1.1196653650127526</v>
      </c>
      <c r="H11703">
        <f>0.008130081300813*2.5781247786201</f>
        <v>2.0960364053821928E-2</v>
      </c>
      <c r="I11703">
        <v>2.0960364053821959E-2</v>
      </c>
    </row>
    <row r="11704" spans="1:9" x14ac:dyDescent="0.25">
      <c r="A11704">
        <v>438</v>
      </c>
      <c r="B11704" t="s">
        <v>3435</v>
      </c>
      <c r="C11704" t="s">
        <v>75</v>
      </c>
      <c r="D11704" t="s">
        <v>1546</v>
      </c>
      <c r="E11704">
        <f t="shared" si="550"/>
        <v>8.130081300813009E-3</v>
      </c>
      <c r="F11704">
        <v>44</v>
      </c>
      <c r="G11704">
        <f>LOG(382/(44+1))</f>
        <v>0.92885084913636506</v>
      </c>
      <c r="H11704">
        <f>0.008130081300813*2.13875811883625</f>
        <v>1.7388277388912583E-2</v>
      </c>
      <c r="I11704">
        <v>1.7388277388912649E-2</v>
      </c>
    </row>
    <row r="11705" spans="1:9" x14ac:dyDescent="0.25">
      <c r="A11705">
        <v>438</v>
      </c>
      <c r="B11705" t="s">
        <v>3435</v>
      </c>
      <c r="C11705" t="s">
        <v>75</v>
      </c>
      <c r="D11705" t="s">
        <v>1448</v>
      </c>
      <c r="E11705">
        <f t="shared" si="550"/>
        <v>8.130081300813009E-3</v>
      </c>
      <c r="F11705">
        <v>11</v>
      </c>
      <c r="G11705">
        <f>LOG(382/(11+1))</f>
        <v>1.5028821168640838</v>
      </c>
      <c r="H11705">
        <f>0.008130081300813*3.46051395881857</f>
        <v>2.8134259827793225E-2</v>
      </c>
      <c r="I11705">
        <v>2.8134259827793291E-2</v>
      </c>
    </row>
    <row r="11706" spans="1:9" x14ac:dyDescent="0.25">
      <c r="A11706">
        <v>438</v>
      </c>
      <c r="B11706" t="s">
        <v>3435</v>
      </c>
      <c r="C11706" t="s">
        <v>75</v>
      </c>
      <c r="D11706" t="s">
        <v>3454</v>
      </c>
      <c r="E11706">
        <f t="shared" si="550"/>
        <v>8.130081300813009E-3</v>
      </c>
      <c r="F11706">
        <v>1</v>
      </c>
      <c r="G11706">
        <f>LOG(382/(1+1))</f>
        <v>2.2810333672477277</v>
      </c>
      <c r="H11706">
        <f>0.008130081300813*5.25227342804663</f>
        <v>4.27014099841189E-2</v>
      </c>
      <c r="I11706">
        <v>4.2701409984118949E-2</v>
      </c>
    </row>
    <row r="11707" spans="1:9" x14ac:dyDescent="0.25">
      <c r="A11707">
        <v>438</v>
      </c>
      <c r="B11707" t="s">
        <v>3435</v>
      </c>
      <c r="C11707" t="s">
        <v>75</v>
      </c>
      <c r="D11707" t="s">
        <v>327</v>
      </c>
      <c r="E11707">
        <f t="shared" si="550"/>
        <v>8.130081300813009E-3</v>
      </c>
      <c r="F11707">
        <v>46</v>
      </c>
      <c r="G11707">
        <f>LOG(382/(46+1))</f>
        <v>0.90996550497599127</v>
      </c>
      <c r="H11707">
        <f>0.008130081300813*2.09527300689651</f>
        <v>1.7034739893467547E-2</v>
      </c>
      <c r="I11707">
        <v>1.7034739893467619E-2</v>
      </c>
    </row>
    <row r="11708" spans="1:9" x14ac:dyDescent="0.25">
      <c r="A11708">
        <v>438</v>
      </c>
      <c r="B11708" t="s">
        <v>3435</v>
      </c>
      <c r="C11708" t="s">
        <v>75</v>
      </c>
      <c r="D11708" t="s">
        <v>133</v>
      </c>
      <c r="E11708">
        <f>2/123</f>
        <v>1.6260162601626018E-2</v>
      </c>
      <c r="F11708">
        <v>142</v>
      </c>
      <c r="G11708">
        <f>LOG(382/(142+1))</f>
        <v>0.42672732544664693</v>
      </c>
      <c r="H11708">
        <f>0.016260162601626*0.982575978346667</f>
        <v>1.5976845176368555E-2</v>
      </c>
      <c r="I11708">
        <v>1.597684517636859E-2</v>
      </c>
    </row>
    <row r="11709" spans="1:9" x14ac:dyDescent="0.25">
      <c r="A11709">
        <v>438</v>
      </c>
      <c r="B11709" t="s">
        <v>3435</v>
      </c>
      <c r="C11709" t="s">
        <v>75</v>
      </c>
      <c r="D11709" t="s">
        <v>1763</v>
      </c>
      <c r="E11709">
        <f>1/123</f>
        <v>8.130081300813009E-3</v>
      </c>
      <c r="F11709">
        <v>9</v>
      </c>
      <c r="G11709">
        <f>LOG(382/(9+1))</f>
        <v>1.5820633629117087</v>
      </c>
      <c r="H11709">
        <f>0.008130081300813*3.64283551561252</f>
        <v>2.9616548907418834E-2</v>
      </c>
      <c r="I11709">
        <v>2.9616548907418942E-2</v>
      </c>
    </row>
    <row r="11710" spans="1:9" x14ac:dyDescent="0.25">
      <c r="A11710">
        <v>438</v>
      </c>
      <c r="B11710" t="s">
        <v>3435</v>
      </c>
      <c r="C11710" t="s">
        <v>75</v>
      </c>
      <c r="D11710" t="s">
        <v>144</v>
      </c>
      <c r="E11710">
        <f>2/123</f>
        <v>1.6260162601626018E-2</v>
      </c>
      <c r="F11710">
        <v>105</v>
      </c>
      <c r="G11710">
        <f>LOG(382/(105+1))</f>
        <v>0.55675749764693849</v>
      </c>
      <c r="H11710">
        <f>0.016260162601626*1.2819815144945</f>
        <v>2.0845227877959328E-2</v>
      </c>
      <c r="I11710">
        <v>2.084522787795948E-2</v>
      </c>
    </row>
    <row r="11711" spans="1:9" x14ac:dyDescent="0.25">
      <c r="A11711">
        <v>438</v>
      </c>
      <c r="B11711" t="s">
        <v>3435</v>
      </c>
      <c r="C11711" t="s">
        <v>75</v>
      </c>
      <c r="D11711" t="s">
        <v>260</v>
      </c>
      <c r="E11711">
        <f t="shared" ref="E11711:E11722" si="551">1/123</f>
        <v>8.130081300813009E-3</v>
      </c>
      <c r="F11711">
        <v>31</v>
      </c>
      <c r="G11711">
        <f>LOG(382/(31+1))</f>
        <v>1.0769133845918029</v>
      </c>
      <c r="H11711">
        <f>0.008130081300813*2.47968470580684</f>
        <v>2.0160038258592174E-2</v>
      </c>
      <c r="I11711">
        <v>2.0160038258592271E-2</v>
      </c>
    </row>
    <row r="11712" spans="1:9" x14ac:dyDescent="0.25">
      <c r="A11712">
        <v>438</v>
      </c>
      <c r="B11712" t="s">
        <v>3435</v>
      </c>
      <c r="C11712" t="s">
        <v>75</v>
      </c>
      <c r="D11712" t="s">
        <v>758</v>
      </c>
      <c r="E11712">
        <f t="shared" si="551"/>
        <v>8.130081300813009E-3</v>
      </c>
      <c r="F11712">
        <v>26</v>
      </c>
      <c r="G11712">
        <f>LOG(382/(26+1))</f>
        <v>1.1506995987527215</v>
      </c>
      <c r="H11712">
        <f>0.008130081300813*2.64958374260224</f>
        <v>2.1541331240668597E-2</v>
      </c>
      <c r="I11712">
        <v>2.1541331240668669E-2</v>
      </c>
    </row>
    <row r="11713" spans="1:9" x14ac:dyDescent="0.25">
      <c r="A11713">
        <v>438</v>
      </c>
      <c r="B11713" t="s">
        <v>3435</v>
      </c>
      <c r="C11713" t="s">
        <v>75</v>
      </c>
      <c r="D11713" t="s">
        <v>591</v>
      </c>
      <c r="E11713">
        <f t="shared" si="551"/>
        <v>8.130081300813009E-3</v>
      </c>
      <c r="F11713">
        <v>21</v>
      </c>
      <c r="G11713">
        <f>LOG(382/(21+1))</f>
        <v>1.2396406820895025</v>
      </c>
      <c r="H11713">
        <f>0.008130081300813*2.85437815524825</f>
        <v>2.3206326465432903E-2</v>
      </c>
      <c r="I11713">
        <v>2.3206326465433001E-2</v>
      </c>
    </row>
    <row r="11714" spans="1:9" x14ac:dyDescent="0.25">
      <c r="A11714">
        <v>438</v>
      </c>
      <c r="B11714" t="s">
        <v>3435</v>
      </c>
      <c r="C11714" t="s">
        <v>75</v>
      </c>
      <c r="D11714" t="s">
        <v>823</v>
      </c>
      <c r="E11714">
        <f t="shared" si="551"/>
        <v>8.130081300813009E-3</v>
      </c>
      <c r="F11714">
        <v>45</v>
      </c>
      <c r="G11714">
        <f>LOG(382/(45+1))</f>
        <v>0.9193055312301347</v>
      </c>
      <c r="H11714">
        <f>0.008130081300813*2.11677921211748</f>
        <v>1.7209587090386003E-2</v>
      </c>
      <c r="I11714">
        <v>1.720958709038602E-2</v>
      </c>
    </row>
    <row r="11715" spans="1:9" x14ac:dyDescent="0.25">
      <c r="A11715">
        <v>438</v>
      </c>
      <c r="B11715" t="s">
        <v>3435</v>
      </c>
      <c r="C11715" t="s">
        <v>75</v>
      </c>
      <c r="D11715" t="s">
        <v>40</v>
      </c>
      <c r="E11715">
        <f t="shared" si="551"/>
        <v>8.130081300813009E-3</v>
      </c>
      <c r="F11715">
        <v>159</v>
      </c>
      <c r="G11715">
        <f>LOG(382/(159+1))</f>
        <v>0.377943380255784</v>
      </c>
      <c r="H11715">
        <f>0.008130081300813*0.870246793372748</f>
        <v>7.0751771818922532E-3</v>
      </c>
      <c r="I11715">
        <v>7.0751771818922636E-3</v>
      </c>
    </row>
    <row r="11716" spans="1:9" x14ac:dyDescent="0.25">
      <c r="A11716">
        <v>438</v>
      </c>
      <c r="B11716" t="s">
        <v>3435</v>
      </c>
      <c r="C11716" t="s">
        <v>75</v>
      </c>
      <c r="D11716" t="s">
        <v>41</v>
      </c>
      <c r="E11716">
        <f t="shared" si="551"/>
        <v>8.130081300813009E-3</v>
      </c>
      <c r="F11716">
        <v>195</v>
      </c>
      <c r="G11716">
        <f>LOG(382/(195+1))</f>
        <v>0.28980729155523272</v>
      </c>
      <c r="H11716">
        <f>0.008130081300813*0.667305949376058</f>
        <v>5.425251620943556E-3</v>
      </c>
      <c r="I11716">
        <v>5.4252516209435621E-3</v>
      </c>
    </row>
    <row r="11717" spans="1:9" x14ac:dyDescent="0.25">
      <c r="A11717">
        <v>438</v>
      </c>
      <c r="B11717" t="s">
        <v>3435</v>
      </c>
      <c r="C11717" t="s">
        <v>75</v>
      </c>
      <c r="D11717" t="s">
        <v>340</v>
      </c>
      <c r="E11717">
        <f t="shared" si="551"/>
        <v>8.130081300813009E-3</v>
      </c>
      <c r="F11717">
        <v>28</v>
      </c>
      <c r="G11717">
        <f>LOG(382/(28+1))</f>
        <v>1.1196653650127526</v>
      </c>
      <c r="H11717">
        <f>0.008130081300813*2.5781247786201</f>
        <v>2.0960364053821928E-2</v>
      </c>
      <c r="I11717">
        <v>2.0960364053821959E-2</v>
      </c>
    </row>
    <row r="11718" spans="1:9" x14ac:dyDescent="0.25">
      <c r="A11718">
        <v>438</v>
      </c>
      <c r="B11718" t="s">
        <v>3435</v>
      </c>
      <c r="C11718" t="s">
        <v>75</v>
      </c>
      <c r="D11718" t="s">
        <v>339</v>
      </c>
      <c r="E11718">
        <f t="shared" si="551"/>
        <v>8.130081300813009E-3</v>
      </c>
      <c r="F11718">
        <v>66</v>
      </c>
      <c r="G11718">
        <f>LOG(382/(66+1))</f>
        <v>0.75598856021088234</v>
      </c>
      <c r="H11718">
        <f>0.008130081300813*1.7407279892156</f>
        <v>1.4152260074923564E-2</v>
      </c>
      <c r="I11718">
        <v>1.415226007492365E-2</v>
      </c>
    </row>
    <row r="11719" spans="1:9" x14ac:dyDescent="0.25">
      <c r="A11719">
        <v>438</v>
      </c>
      <c r="B11719" t="s">
        <v>3435</v>
      </c>
      <c r="C11719" t="s">
        <v>75</v>
      </c>
      <c r="D11719" t="s">
        <v>811</v>
      </c>
      <c r="E11719">
        <f t="shared" si="551"/>
        <v>8.130081300813009E-3</v>
      </c>
      <c r="F11719">
        <v>27</v>
      </c>
      <c r="G11719">
        <f>LOG(382/(27+1))</f>
        <v>1.1349053315694895</v>
      </c>
      <c r="H11719">
        <f>0.008130081300813*2.61321609843137</f>
        <v>2.1245659336840389E-2</v>
      </c>
      <c r="I11719">
        <v>2.124565933684042E-2</v>
      </c>
    </row>
    <row r="11720" spans="1:9" x14ac:dyDescent="0.25">
      <c r="A11720">
        <v>438</v>
      </c>
      <c r="B11720" t="s">
        <v>3435</v>
      </c>
      <c r="C11720" t="s">
        <v>75</v>
      </c>
      <c r="D11720" t="s">
        <v>746</v>
      </c>
      <c r="E11720">
        <f t="shared" si="551"/>
        <v>8.130081300813009E-3</v>
      </c>
      <c r="F11720">
        <v>58</v>
      </c>
      <c r="G11720">
        <f>LOG(382/(58+1))</f>
        <v>0.81121135126956456</v>
      </c>
      <c r="H11720">
        <f>0.008130081300813*1.86788316470085</f>
        <v>1.5186041989437791E-2</v>
      </c>
      <c r="I11720">
        <v>1.518604198943785E-2</v>
      </c>
    </row>
    <row r="11721" spans="1:9" x14ac:dyDescent="0.25">
      <c r="A11721">
        <v>438</v>
      </c>
      <c r="B11721" t="s">
        <v>3435</v>
      </c>
      <c r="C11721" t="s">
        <v>75</v>
      </c>
      <c r="D11721" t="s">
        <v>307</v>
      </c>
      <c r="E11721">
        <f t="shared" si="551"/>
        <v>8.130081300813009E-3</v>
      </c>
      <c r="F11721">
        <v>67</v>
      </c>
      <c r="G11721">
        <f>LOG(382/(67+1))</f>
        <v>0.7495544502054724</v>
      </c>
      <c r="H11721">
        <f>0.008130081300813*1.72591290343046</f>
        <v>1.4031812223011857E-2</v>
      </c>
      <c r="I11721">
        <v>1.403181222301194E-2</v>
      </c>
    </row>
    <row r="11722" spans="1:9" x14ac:dyDescent="0.25">
      <c r="A11722">
        <v>438</v>
      </c>
      <c r="B11722" t="s">
        <v>3435</v>
      </c>
      <c r="C11722" t="s">
        <v>75</v>
      </c>
      <c r="D11722" t="s">
        <v>2681</v>
      </c>
      <c r="E11722">
        <f t="shared" si="551"/>
        <v>8.130081300813009E-3</v>
      </c>
      <c r="F11722">
        <v>3</v>
      </c>
      <c r="G11722">
        <f>LOG(382/(3+1))</f>
        <v>1.9800033715837464</v>
      </c>
      <c r="H11722">
        <f>0.008130081300813*4.55912624748668</f>
        <v>3.7066067052737198E-2</v>
      </c>
      <c r="I11722">
        <v>3.7066067052737267E-2</v>
      </c>
    </row>
    <row r="11723" spans="1:9" x14ac:dyDescent="0.25">
      <c r="A11723">
        <v>439</v>
      </c>
      <c r="B11723" t="s">
        <v>3455</v>
      </c>
      <c r="C11723" t="s">
        <v>75</v>
      </c>
      <c r="D11723" t="s">
        <v>112</v>
      </c>
      <c r="E11723">
        <f>2/88</f>
        <v>2.2727272727272728E-2</v>
      </c>
      <c r="F11723">
        <v>52</v>
      </c>
      <c r="G11723">
        <f>LOG(382/(52+1))</f>
        <v>0.85778749331091964</v>
      </c>
      <c r="H11723">
        <f>0.0227272727272727*1.97512869505445</f>
        <v>4.4889288523964718E-2</v>
      </c>
      <c r="I11723">
        <v>4.488928852396485E-2</v>
      </c>
    </row>
    <row r="11724" spans="1:9" x14ac:dyDescent="0.25">
      <c r="A11724">
        <v>439</v>
      </c>
      <c r="B11724" t="s">
        <v>3455</v>
      </c>
      <c r="C11724" t="s">
        <v>75</v>
      </c>
      <c r="D11724" t="s">
        <v>82</v>
      </c>
      <c r="E11724">
        <f>4/88</f>
        <v>4.5454545454545456E-2</v>
      </c>
      <c r="F11724">
        <v>92</v>
      </c>
      <c r="G11724">
        <f>LOG(382/(92+1))</f>
        <v>0.61358041435777355</v>
      </c>
      <c r="H11724">
        <f>0.0454545454545454*1.41282111545331</f>
        <v>6.4219141611514013E-2</v>
      </c>
      <c r="I11724">
        <v>6.4219141611514513E-2</v>
      </c>
    </row>
    <row r="11725" spans="1:9" x14ac:dyDescent="0.25">
      <c r="A11725">
        <v>439</v>
      </c>
      <c r="B11725" t="s">
        <v>3455</v>
      </c>
      <c r="C11725" t="s">
        <v>75</v>
      </c>
      <c r="D11725" t="s">
        <v>3362</v>
      </c>
      <c r="E11725">
        <f>2/88</f>
        <v>2.2727272727272728E-2</v>
      </c>
      <c r="F11725">
        <v>5</v>
      </c>
      <c r="G11725">
        <f>LOG(382/(5+1))</f>
        <v>1.803912112528065</v>
      </c>
      <c r="H11725">
        <f>0.0227272727272727*4.15366113937852</f>
        <v>9.4401389531329885E-2</v>
      </c>
      <c r="I11725">
        <v>9.4401389531329996E-2</v>
      </c>
    </row>
    <row r="11726" spans="1:9" x14ac:dyDescent="0.25">
      <c r="A11726">
        <v>439</v>
      </c>
      <c r="B11726" t="s">
        <v>3455</v>
      </c>
      <c r="C11726" t="s">
        <v>75</v>
      </c>
      <c r="D11726" t="s">
        <v>3456</v>
      </c>
      <c r="E11726">
        <f>2/88</f>
        <v>2.2727272727272728E-2</v>
      </c>
      <c r="F11726">
        <v>1</v>
      </c>
      <c r="G11726">
        <f>LOG(382/(1+1))</f>
        <v>2.2810333672477277</v>
      </c>
      <c r="H11726">
        <f>0.0227272727272727*5.25227342804663</f>
        <v>0.11936985063742327</v>
      </c>
      <c r="I11726">
        <v>0.11936985063742341</v>
      </c>
    </row>
    <row r="11727" spans="1:9" x14ac:dyDescent="0.25">
      <c r="A11727">
        <v>439</v>
      </c>
      <c r="B11727" t="s">
        <v>3455</v>
      </c>
      <c r="C11727" t="s">
        <v>75</v>
      </c>
      <c r="D11727" t="s">
        <v>3457</v>
      </c>
      <c r="E11727">
        <f>2/88</f>
        <v>2.2727272727272728E-2</v>
      </c>
      <c r="F11727">
        <v>1</v>
      </c>
      <c r="G11727">
        <f>LOG(382/(1+1))</f>
        <v>2.2810333672477277</v>
      </c>
      <c r="H11727">
        <f>0.0227272727272727*5.25227342804663</f>
        <v>0.11936985063742327</v>
      </c>
      <c r="I11727">
        <v>0.11936985063742341</v>
      </c>
    </row>
    <row r="11728" spans="1:9" x14ac:dyDescent="0.25">
      <c r="A11728">
        <v>439</v>
      </c>
      <c r="B11728" t="s">
        <v>3455</v>
      </c>
      <c r="C11728" t="s">
        <v>75</v>
      </c>
      <c r="D11728" t="s">
        <v>42</v>
      </c>
      <c r="E11728">
        <f>1/88</f>
        <v>1.1363636363636364E-2</v>
      </c>
      <c r="F11728">
        <v>251</v>
      </c>
      <c r="G11728">
        <f>LOG(382/(251+1))</f>
        <v>0.18066282213016463</v>
      </c>
      <c r="H11728">
        <f>0.0113636363636363*0.415991521095151</f>
        <v>4.7271763760812343E-3</v>
      </c>
      <c r="I11728">
        <v>4.7271763760812716E-3</v>
      </c>
    </row>
    <row r="11729" spans="1:9" x14ac:dyDescent="0.25">
      <c r="A11729">
        <v>439</v>
      </c>
      <c r="B11729" t="s">
        <v>3455</v>
      </c>
      <c r="C11729" t="s">
        <v>75</v>
      </c>
      <c r="D11729" t="s">
        <v>600</v>
      </c>
      <c r="E11729">
        <f>1/88</f>
        <v>1.1363636363636364E-2</v>
      </c>
      <c r="F11729">
        <v>102</v>
      </c>
      <c r="G11729">
        <f>LOG(382/(102+1))</f>
        <v>0.56922613820653656</v>
      </c>
      <c r="H11729">
        <f>0.0113636363636363*1.31069162037693</f>
        <v>1.4894222958828668E-2</v>
      </c>
      <c r="I11729">
        <v>1.489422295882886E-2</v>
      </c>
    </row>
    <row r="11730" spans="1:9" x14ac:dyDescent="0.25">
      <c r="A11730">
        <v>439</v>
      </c>
      <c r="B11730" t="s">
        <v>3455</v>
      </c>
      <c r="C11730" t="s">
        <v>75</v>
      </c>
      <c r="D11730" t="s">
        <v>674</v>
      </c>
      <c r="E11730">
        <f>1/88</f>
        <v>1.1363636363636364E-2</v>
      </c>
      <c r="F11730">
        <v>11</v>
      </c>
      <c r="G11730">
        <f>LOG(382/(11+1))</f>
        <v>1.5028821168640838</v>
      </c>
      <c r="H11730">
        <f>0.0113636363636363*3.46051395881857</f>
        <v>3.9324022259301712E-2</v>
      </c>
      <c r="I11730">
        <v>3.932402225930199E-2</v>
      </c>
    </row>
    <row r="11731" spans="1:9" x14ac:dyDescent="0.25">
      <c r="A11731">
        <v>439</v>
      </c>
      <c r="B11731" t="s">
        <v>3455</v>
      </c>
      <c r="C11731" t="s">
        <v>75</v>
      </c>
      <c r="D11731" t="s">
        <v>636</v>
      </c>
      <c r="E11731">
        <f>2/88</f>
        <v>2.2727272727272728E-2</v>
      </c>
      <c r="F11731">
        <v>31</v>
      </c>
      <c r="G11731">
        <f>LOG(382/(31+1))</f>
        <v>1.0769133845918029</v>
      </c>
      <c r="H11731">
        <f>0.0227272727272727*2.47968470580684</f>
        <v>5.635647058651902E-2</v>
      </c>
      <c r="I11731">
        <v>5.635647058651929E-2</v>
      </c>
    </row>
    <row r="11732" spans="1:9" x14ac:dyDescent="0.25">
      <c r="A11732">
        <v>439</v>
      </c>
      <c r="B11732" t="s">
        <v>3455</v>
      </c>
      <c r="C11732" t="s">
        <v>75</v>
      </c>
      <c r="D11732" t="s">
        <v>637</v>
      </c>
      <c r="E11732">
        <f t="shared" ref="E11732:E11740" si="552">1/88</f>
        <v>1.1363636363636364E-2</v>
      </c>
      <c r="F11732">
        <v>29</v>
      </c>
      <c r="G11732">
        <f>LOG(382/(29+1))</f>
        <v>1.1049421081920463</v>
      </c>
      <c r="H11732">
        <f>0.0113636363636363*2.54422322694442</f>
        <v>2.89116275789137E-2</v>
      </c>
      <c r="I11732">
        <v>2.891162757891386E-2</v>
      </c>
    </row>
    <row r="11733" spans="1:9" x14ac:dyDescent="0.25">
      <c r="A11733">
        <v>439</v>
      </c>
      <c r="B11733" t="s">
        <v>3455</v>
      </c>
      <c r="C11733" t="s">
        <v>75</v>
      </c>
      <c r="D11733" t="s">
        <v>70</v>
      </c>
      <c r="E11733">
        <f t="shared" si="552"/>
        <v>1.1363636363636364E-2</v>
      </c>
      <c r="F11733">
        <v>44</v>
      </c>
      <c r="G11733">
        <f>LOG(382/(44+1))</f>
        <v>0.92885084913636506</v>
      </c>
      <c r="H11733">
        <f>0.0113636363636363*2.13875811883625</f>
        <v>2.4304069532229976E-2</v>
      </c>
      <c r="I11733">
        <v>2.4304069532230171E-2</v>
      </c>
    </row>
    <row r="11734" spans="1:9" x14ac:dyDescent="0.25">
      <c r="A11734">
        <v>439</v>
      </c>
      <c r="B11734" t="s">
        <v>3455</v>
      </c>
      <c r="C11734" t="s">
        <v>75</v>
      </c>
      <c r="D11734" t="s">
        <v>19</v>
      </c>
      <c r="E11734">
        <f t="shared" si="552"/>
        <v>1.1363636363636364E-2</v>
      </c>
      <c r="F11734">
        <v>220</v>
      </c>
      <c r="G11734">
        <f>LOG(382/(220+1))</f>
        <v>0.23767108922659805</v>
      </c>
      <c r="H11734">
        <f>0.0113636363636363*0.547257907088822</f>
        <v>6.2188398532820339E-3</v>
      </c>
      <c r="I11734">
        <v>6.2188398532820729E-3</v>
      </c>
    </row>
    <row r="11735" spans="1:9" x14ac:dyDescent="0.25">
      <c r="A11735">
        <v>439</v>
      </c>
      <c r="B11735" t="s">
        <v>3455</v>
      </c>
      <c r="C11735" t="s">
        <v>75</v>
      </c>
      <c r="D11735" t="s">
        <v>44</v>
      </c>
      <c r="E11735">
        <f t="shared" si="552"/>
        <v>1.1363636363636364E-2</v>
      </c>
      <c r="F11735">
        <v>151</v>
      </c>
      <c r="G11735">
        <f>LOG(382/(151+1))</f>
        <v>0.40021977496693617</v>
      </c>
      <c r="H11735">
        <f>0.0113636363636363*0.921540087760298</f>
        <v>1.047204645182151E-2</v>
      </c>
      <c r="I11735">
        <v>1.0472046451821581E-2</v>
      </c>
    </row>
    <row r="11736" spans="1:9" x14ac:dyDescent="0.25">
      <c r="A11736">
        <v>439</v>
      </c>
      <c r="B11736" t="s">
        <v>3455</v>
      </c>
      <c r="C11736" t="s">
        <v>75</v>
      </c>
      <c r="D11736" t="s">
        <v>22</v>
      </c>
      <c r="E11736">
        <f t="shared" si="552"/>
        <v>1.1363636363636364E-2</v>
      </c>
      <c r="F11736">
        <v>259</v>
      </c>
      <c r="G11736">
        <f>LOG(382/(259+1))</f>
        <v>0.16709001494089079</v>
      </c>
      <c r="H11736">
        <f>0.0113636363636363*0.384738977591047</f>
        <v>4.3720338362618731E-3</v>
      </c>
      <c r="I11736">
        <v>4.3720338362619026E-3</v>
      </c>
    </row>
    <row r="11737" spans="1:9" x14ac:dyDescent="0.25">
      <c r="A11737">
        <v>439</v>
      </c>
      <c r="B11737" t="s">
        <v>3455</v>
      </c>
      <c r="C11737" t="s">
        <v>75</v>
      </c>
      <c r="D11737" t="s">
        <v>23</v>
      </c>
      <c r="E11737">
        <f t="shared" si="552"/>
        <v>1.1363636363636364E-2</v>
      </c>
      <c r="F11737">
        <v>275</v>
      </c>
      <c r="G11737">
        <f>LOG(382/(275+1))</f>
        <v>0.14115428084649101</v>
      </c>
      <c r="H11737">
        <f>0.0113636363636363*0.325019742889425</f>
        <v>3.6934061691979905E-3</v>
      </c>
      <c r="I11737">
        <v>3.693406169198013E-3</v>
      </c>
    </row>
    <row r="11738" spans="1:9" x14ac:dyDescent="0.25">
      <c r="A11738">
        <v>439</v>
      </c>
      <c r="B11738" t="s">
        <v>3455</v>
      </c>
      <c r="C11738" t="s">
        <v>75</v>
      </c>
      <c r="D11738" t="s">
        <v>3458</v>
      </c>
      <c r="E11738">
        <f t="shared" si="552"/>
        <v>1.1363636363636364E-2</v>
      </c>
      <c r="F11738">
        <v>1</v>
      </c>
      <c r="G11738">
        <f>LOG(382/(1+1))</f>
        <v>2.2810333672477277</v>
      </c>
      <c r="H11738">
        <f>0.0113636363636363*5.25227342804663</f>
        <v>5.968492531871137E-2</v>
      </c>
      <c r="I11738">
        <v>5.9684925318711703E-2</v>
      </c>
    </row>
    <row r="11739" spans="1:9" x14ac:dyDescent="0.25">
      <c r="A11739">
        <v>439</v>
      </c>
      <c r="B11739" t="s">
        <v>3455</v>
      </c>
      <c r="C11739" t="s">
        <v>75</v>
      </c>
      <c r="D11739" t="s">
        <v>105</v>
      </c>
      <c r="E11739">
        <f t="shared" si="552"/>
        <v>1.1363636363636364E-2</v>
      </c>
      <c r="F11739">
        <v>122</v>
      </c>
      <c r="G11739">
        <f>LOG(382/(122+1))</f>
        <v>0.49215825147231079</v>
      </c>
      <c r="H11739">
        <f>0.0113636363636363*1.13323625323415</f>
        <v>1.2877684695842542E-2</v>
      </c>
      <c r="I11739">
        <v>1.28776846958427E-2</v>
      </c>
    </row>
    <row r="11740" spans="1:9" x14ac:dyDescent="0.25">
      <c r="A11740">
        <v>439</v>
      </c>
      <c r="B11740" t="s">
        <v>3455</v>
      </c>
      <c r="C11740" t="s">
        <v>75</v>
      </c>
      <c r="D11740" t="s">
        <v>1537</v>
      </c>
      <c r="E11740">
        <f t="shared" si="552"/>
        <v>1.1363636363636364E-2</v>
      </c>
      <c r="F11740">
        <v>80</v>
      </c>
      <c r="G11740">
        <f>LOG(382/(80+1))</f>
        <v>0.67357834403305894</v>
      </c>
      <c r="H11740">
        <f>0.0113636363636363*1.55097145393413</f>
        <v>1.762467561288774E-2</v>
      </c>
      <c r="I11740">
        <v>1.762467561288791E-2</v>
      </c>
    </row>
    <row r="11741" spans="1:9" x14ac:dyDescent="0.25">
      <c r="A11741">
        <v>439</v>
      </c>
      <c r="B11741" t="s">
        <v>3455</v>
      </c>
      <c r="C11741" t="s">
        <v>75</v>
      </c>
      <c r="D11741" t="s">
        <v>3014</v>
      </c>
      <c r="E11741">
        <f>2/88</f>
        <v>2.2727272727272728E-2</v>
      </c>
      <c r="F11741">
        <v>11</v>
      </c>
      <c r="G11741">
        <f>LOG(382/(11+1))</f>
        <v>1.5028821168640838</v>
      </c>
      <c r="H11741">
        <f>0.0227272727272727*3.46051395881857</f>
        <v>7.8648044518603771E-2</v>
      </c>
      <c r="I11741">
        <v>7.8648044518603979E-2</v>
      </c>
    </row>
    <row r="11742" spans="1:9" x14ac:dyDescent="0.25">
      <c r="A11742">
        <v>439</v>
      </c>
      <c r="B11742" t="s">
        <v>3455</v>
      </c>
      <c r="C11742" t="s">
        <v>75</v>
      </c>
      <c r="D11742" t="s">
        <v>362</v>
      </c>
      <c r="E11742">
        <f>1/88</f>
        <v>1.1363636363636364E-2</v>
      </c>
      <c r="F11742">
        <v>81</v>
      </c>
      <c r="G11742">
        <f>LOG(382/(81+1))</f>
        <v>0.66824951052799197</v>
      </c>
      <c r="H11742">
        <f>0.0113636363636363*1.53870136134232</f>
        <v>1.7485242742526264E-2</v>
      </c>
      <c r="I11742">
        <v>1.7485242742526389E-2</v>
      </c>
    </row>
    <row r="11743" spans="1:9" x14ac:dyDescent="0.25">
      <c r="A11743">
        <v>439</v>
      </c>
      <c r="B11743" t="s">
        <v>3455</v>
      </c>
      <c r="C11743" t="s">
        <v>75</v>
      </c>
      <c r="D11743" t="s">
        <v>1769</v>
      </c>
      <c r="E11743">
        <f>1/88</f>
        <v>1.1363636363636364E-2</v>
      </c>
      <c r="F11743">
        <v>84</v>
      </c>
      <c r="G11743">
        <f>LOG(382/(84+1))</f>
        <v>0.65264443719741605</v>
      </c>
      <c r="H11743">
        <f>0.0113636363636363*1.50276935211625</f>
        <v>1.707692445586638E-2</v>
      </c>
      <c r="I11743">
        <v>1.7076924455866581E-2</v>
      </c>
    </row>
    <row r="11744" spans="1:9" x14ac:dyDescent="0.25">
      <c r="A11744">
        <v>439</v>
      </c>
      <c r="B11744" t="s">
        <v>3455</v>
      </c>
      <c r="C11744" t="s">
        <v>75</v>
      </c>
      <c r="D11744" t="s">
        <v>24</v>
      </c>
      <c r="E11744">
        <f>1/88</f>
        <v>1.1363636363636364E-2</v>
      </c>
      <c r="F11744">
        <v>59</v>
      </c>
      <c r="G11744">
        <f>LOG(382/(59+1))</f>
        <v>0.80391211252806505</v>
      </c>
      <c r="H11744">
        <f>0.0113636363636363*1.85107604638447</f>
        <v>2.1034955072550678E-2</v>
      </c>
      <c r="I11744">
        <v>2.1034955072550841E-2</v>
      </c>
    </row>
    <row r="11745" spans="1:9" x14ac:dyDescent="0.25">
      <c r="A11745">
        <v>439</v>
      </c>
      <c r="B11745" t="s">
        <v>3455</v>
      </c>
      <c r="C11745" t="s">
        <v>75</v>
      </c>
      <c r="D11745" t="s">
        <v>1738</v>
      </c>
      <c r="E11745">
        <f>2/88</f>
        <v>2.2727272727272728E-2</v>
      </c>
      <c r="F11745">
        <v>24</v>
      </c>
      <c r="G11745">
        <f>LOG(382/(24+1))</f>
        <v>1.1841233542396712</v>
      </c>
      <c r="H11745">
        <f>0.0227272727272727*2.72654478373837</f>
        <v>6.1966926903144696E-2</v>
      </c>
      <c r="I11745">
        <v>6.196692690314487E-2</v>
      </c>
    </row>
    <row r="11746" spans="1:9" x14ac:dyDescent="0.25">
      <c r="A11746">
        <v>439</v>
      </c>
      <c r="B11746" t="s">
        <v>3455</v>
      </c>
      <c r="C11746" t="s">
        <v>75</v>
      </c>
      <c r="D11746" t="s">
        <v>1739</v>
      </c>
      <c r="E11746">
        <f>1/88</f>
        <v>1.1363636363636364E-2</v>
      </c>
      <c r="F11746">
        <v>30</v>
      </c>
      <c r="G11746">
        <f>LOG(382/(30+1))</f>
        <v>1.090701669077436</v>
      </c>
      <c r="H11746">
        <f>0.0113636363636363*2.51143340412142</f>
        <v>2.8539015955925069E-2</v>
      </c>
      <c r="I11746">
        <v>2.8539015955925329E-2</v>
      </c>
    </row>
    <row r="11747" spans="1:9" x14ac:dyDescent="0.25">
      <c r="A11747">
        <v>439</v>
      </c>
      <c r="B11747" t="s">
        <v>3455</v>
      </c>
      <c r="C11747" t="s">
        <v>75</v>
      </c>
      <c r="D11747" t="s">
        <v>3376</v>
      </c>
      <c r="E11747">
        <f>2/88</f>
        <v>2.2727272727272728E-2</v>
      </c>
      <c r="F11747">
        <v>21</v>
      </c>
      <c r="G11747">
        <f>LOG(382/(21+1))</f>
        <v>1.2396406820895025</v>
      </c>
      <c r="H11747">
        <f>0.0227272727272727*2.85437815524825</f>
        <v>6.4872230801096512E-2</v>
      </c>
      <c r="I11747">
        <v>6.4872230801096803E-2</v>
      </c>
    </row>
    <row r="11748" spans="1:9" x14ac:dyDescent="0.25">
      <c r="A11748">
        <v>439</v>
      </c>
      <c r="B11748" t="s">
        <v>3455</v>
      </c>
      <c r="C11748" t="s">
        <v>75</v>
      </c>
      <c r="D11748" t="s">
        <v>3451</v>
      </c>
      <c r="E11748">
        <f>2/88</f>
        <v>2.2727272727272728E-2</v>
      </c>
      <c r="F11748">
        <v>5</v>
      </c>
      <c r="G11748">
        <f>LOG(382/(5+1))</f>
        <v>1.803912112528065</v>
      </c>
      <c r="H11748">
        <f>0.0227272727272727*4.15366113937852</f>
        <v>9.4401389531329885E-2</v>
      </c>
      <c r="I11748">
        <v>9.4401389531329996E-2</v>
      </c>
    </row>
    <row r="11749" spans="1:9" x14ac:dyDescent="0.25">
      <c r="A11749">
        <v>439</v>
      </c>
      <c r="B11749" t="s">
        <v>3455</v>
      </c>
      <c r="C11749" t="s">
        <v>75</v>
      </c>
      <c r="D11749" t="s">
        <v>1921</v>
      </c>
      <c r="E11749">
        <f>2/88</f>
        <v>2.2727272727272728E-2</v>
      </c>
      <c r="F11749">
        <v>37</v>
      </c>
      <c r="G11749">
        <f>LOG(382/(37+1))</f>
        <v>1.0022797662948986</v>
      </c>
      <c r="H11749">
        <f>0.0227272727272727*2.30783444888018</f>
        <v>5.2450782929094934E-2</v>
      </c>
      <c r="I11749">
        <v>5.2450782929095212E-2</v>
      </c>
    </row>
    <row r="11750" spans="1:9" x14ac:dyDescent="0.25">
      <c r="A11750">
        <v>439</v>
      </c>
      <c r="B11750" t="s">
        <v>3455</v>
      </c>
      <c r="C11750" t="s">
        <v>75</v>
      </c>
      <c r="D11750" t="s">
        <v>937</v>
      </c>
      <c r="E11750">
        <f>1/88</f>
        <v>1.1363636363636364E-2</v>
      </c>
      <c r="F11750">
        <v>41</v>
      </c>
      <c r="G11750">
        <f>LOG(382/(41+1))</f>
        <v>0.95881407251380824</v>
      </c>
      <c r="H11750">
        <f>0.0113636363636363*2.2077509903232</f>
        <v>2.5088079435490771E-2</v>
      </c>
      <c r="I11750">
        <v>2.508807943549099E-2</v>
      </c>
    </row>
    <row r="11751" spans="1:9" x14ac:dyDescent="0.25">
      <c r="A11751">
        <v>439</v>
      </c>
      <c r="B11751" t="s">
        <v>3455</v>
      </c>
      <c r="C11751" t="s">
        <v>75</v>
      </c>
      <c r="D11751" t="s">
        <v>3459</v>
      </c>
      <c r="E11751">
        <f>1/88</f>
        <v>1.1363636363636364E-2</v>
      </c>
      <c r="F11751">
        <v>1</v>
      </c>
      <c r="G11751">
        <f>LOG(382/(1+1))</f>
        <v>2.2810333672477277</v>
      </c>
      <c r="H11751">
        <f>0.0113636363636363*5.25227342804663</f>
        <v>5.968492531871137E-2</v>
      </c>
      <c r="I11751">
        <v>5.9684925318711703E-2</v>
      </c>
    </row>
    <row r="11752" spans="1:9" x14ac:dyDescent="0.25">
      <c r="A11752">
        <v>439</v>
      </c>
      <c r="B11752" t="s">
        <v>3455</v>
      </c>
      <c r="C11752" t="s">
        <v>75</v>
      </c>
      <c r="D11752" t="s">
        <v>772</v>
      </c>
      <c r="E11752">
        <f>2/88</f>
        <v>2.2727272727272728E-2</v>
      </c>
      <c r="F11752">
        <v>31</v>
      </c>
      <c r="G11752">
        <f>LOG(382/(31+1))</f>
        <v>1.0769133845918029</v>
      </c>
      <c r="H11752">
        <f>0.0227272727272727*2.47968470580684</f>
        <v>5.635647058651902E-2</v>
      </c>
      <c r="I11752">
        <v>5.635647058651929E-2</v>
      </c>
    </row>
    <row r="11753" spans="1:9" x14ac:dyDescent="0.25">
      <c r="A11753">
        <v>439</v>
      </c>
      <c r="B11753" t="s">
        <v>3455</v>
      </c>
      <c r="C11753" t="s">
        <v>75</v>
      </c>
      <c r="D11753" t="s">
        <v>3460</v>
      </c>
      <c r="E11753">
        <f t="shared" ref="E11753:E11758" si="553">1/88</f>
        <v>1.1363636363636364E-2</v>
      </c>
      <c r="F11753">
        <v>1</v>
      </c>
      <c r="G11753">
        <f>LOG(382/(1+1))</f>
        <v>2.2810333672477277</v>
      </c>
      <c r="H11753">
        <f>0.0113636363636363*5.25227342804663</f>
        <v>5.968492531871137E-2</v>
      </c>
      <c r="I11753">
        <v>5.9684925318711703E-2</v>
      </c>
    </row>
    <row r="11754" spans="1:9" x14ac:dyDescent="0.25">
      <c r="A11754">
        <v>439</v>
      </c>
      <c r="B11754" t="s">
        <v>3455</v>
      </c>
      <c r="C11754" t="s">
        <v>75</v>
      </c>
      <c r="D11754" t="s">
        <v>25</v>
      </c>
      <c r="E11754">
        <f t="shared" si="553"/>
        <v>1.1363636363636364E-2</v>
      </c>
      <c r="F11754">
        <v>106</v>
      </c>
      <c r="G11754">
        <f>LOG(382/(106+1))</f>
        <v>0.55267958522649907</v>
      </c>
      <c r="H11754">
        <f>0.0113636363636363*1.27259177414466</f>
        <v>1.4461270160734691E-2</v>
      </c>
      <c r="I11754">
        <v>1.446127016073488E-2</v>
      </c>
    </row>
    <row r="11755" spans="1:9" x14ac:dyDescent="0.25">
      <c r="A11755">
        <v>439</v>
      </c>
      <c r="B11755" t="s">
        <v>3455</v>
      </c>
      <c r="C11755" t="s">
        <v>75</v>
      </c>
      <c r="D11755" t="s">
        <v>3307</v>
      </c>
      <c r="E11755">
        <f t="shared" si="553"/>
        <v>1.1363636363636364E-2</v>
      </c>
      <c r="F11755">
        <v>7</v>
      </c>
      <c r="G11755">
        <f>LOG(382/(7+1))</f>
        <v>1.6789733759197651</v>
      </c>
      <c r="H11755">
        <f>0.0113636363636363*3.86597906692673</f>
        <v>4.3931580305985325E-2</v>
      </c>
      <c r="I11755">
        <v>4.3931580305985672E-2</v>
      </c>
    </row>
    <row r="11756" spans="1:9" x14ac:dyDescent="0.25">
      <c r="A11756">
        <v>439</v>
      </c>
      <c r="B11756" t="s">
        <v>3455</v>
      </c>
      <c r="C11756" t="s">
        <v>75</v>
      </c>
      <c r="D11756" t="s">
        <v>3461</v>
      </c>
      <c r="E11756">
        <f t="shared" si="553"/>
        <v>1.1363636363636364E-2</v>
      </c>
      <c r="F11756">
        <v>3</v>
      </c>
      <c r="G11756">
        <f>LOG(382/(3+1))</f>
        <v>1.9800033715837464</v>
      </c>
      <c r="H11756">
        <f>0.0113636363636363*4.55912624748668</f>
        <v>5.1808252812348347E-2</v>
      </c>
      <c r="I11756">
        <v>5.1808252812348687E-2</v>
      </c>
    </row>
    <row r="11757" spans="1:9" x14ac:dyDescent="0.25">
      <c r="A11757">
        <v>439</v>
      </c>
      <c r="B11757" t="s">
        <v>3455</v>
      </c>
      <c r="C11757" t="s">
        <v>75</v>
      </c>
      <c r="D11757" t="s">
        <v>830</v>
      </c>
      <c r="E11757">
        <f t="shared" si="553"/>
        <v>1.1363636363636364E-2</v>
      </c>
      <c r="F11757">
        <v>19</v>
      </c>
      <c r="G11757">
        <f>LOG(382/(19+1))</f>
        <v>1.2810333672477277</v>
      </c>
      <c r="H11757">
        <f>0.0113636363636363*2.94968833505258</f>
        <v>3.351918562559731E-2</v>
      </c>
      <c r="I11757">
        <v>3.3519185625597553E-2</v>
      </c>
    </row>
    <row r="11758" spans="1:9" x14ac:dyDescent="0.25">
      <c r="A11758">
        <v>439</v>
      </c>
      <c r="B11758" t="s">
        <v>3455</v>
      </c>
      <c r="C11758" t="s">
        <v>75</v>
      </c>
      <c r="D11758" t="s">
        <v>2189</v>
      </c>
      <c r="E11758">
        <f t="shared" si="553"/>
        <v>1.1363636363636364E-2</v>
      </c>
      <c r="F11758">
        <v>12</v>
      </c>
      <c r="G11758">
        <f>LOG(382/(12+1))</f>
        <v>1.468120010604872</v>
      </c>
      <c r="H11758">
        <f>0.0113636363636363*3.38047125114503</f>
        <v>3.8414446035738764E-2</v>
      </c>
      <c r="I11758">
        <v>3.8414446035739083E-2</v>
      </c>
    </row>
    <row r="11759" spans="1:9" x14ac:dyDescent="0.25">
      <c r="A11759">
        <v>439</v>
      </c>
      <c r="B11759" t="s">
        <v>3455</v>
      </c>
      <c r="C11759" t="s">
        <v>75</v>
      </c>
      <c r="D11759" t="s">
        <v>237</v>
      </c>
      <c r="E11759">
        <f>2/88</f>
        <v>2.2727272727272728E-2</v>
      </c>
      <c r="F11759">
        <v>138</v>
      </c>
      <c r="G11759">
        <f>LOG(382/(138+1))</f>
        <v>0.43904856265761361</v>
      </c>
      <c r="H11759">
        <f>0.0227272727272727*1.01094667547588</f>
        <v>2.2976060806269974E-2</v>
      </c>
      <c r="I11759">
        <v>2.2976060806270081E-2</v>
      </c>
    </row>
    <row r="11760" spans="1:9" x14ac:dyDescent="0.25">
      <c r="A11760">
        <v>439</v>
      </c>
      <c r="B11760" t="s">
        <v>3455</v>
      </c>
      <c r="C11760" t="s">
        <v>75</v>
      </c>
      <c r="D11760" t="s">
        <v>3462</v>
      </c>
      <c r="E11760">
        <f t="shared" ref="E11760:E11766" si="554">1/88</f>
        <v>1.1363636363636364E-2</v>
      </c>
      <c r="F11760">
        <v>3</v>
      </c>
      <c r="G11760">
        <f>LOG(382/(3+1))</f>
        <v>1.9800033715837464</v>
      </c>
      <c r="H11760">
        <f>0.0113636363636363*4.55912624748668</f>
        <v>5.1808252812348347E-2</v>
      </c>
      <c r="I11760">
        <v>5.1808252812348687E-2</v>
      </c>
    </row>
    <row r="11761" spans="1:9" x14ac:dyDescent="0.25">
      <c r="A11761">
        <v>439</v>
      </c>
      <c r="B11761" t="s">
        <v>3455</v>
      </c>
      <c r="C11761" t="s">
        <v>75</v>
      </c>
      <c r="D11761" t="s">
        <v>2930</v>
      </c>
      <c r="E11761">
        <f t="shared" si="554"/>
        <v>1.1363636363636364E-2</v>
      </c>
      <c r="F11761">
        <v>15</v>
      </c>
      <c r="G11761">
        <f>LOG(382/(15+1))</f>
        <v>1.3779433802557839</v>
      </c>
      <c r="H11761">
        <f>0.0113636363636363*3.17283188636679</f>
        <v>3.6054907799622414E-2</v>
      </c>
      <c r="I11761">
        <v>3.6054907799622657E-2</v>
      </c>
    </row>
    <row r="11762" spans="1:9" x14ac:dyDescent="0.25">
      <c r="A11762">
        <v>439</v>
      </c>
      <c r="B11762" t="s">
        <v>3455</v>
      </c>
      <c r="C11762" t="s">
        <v>75</v>
      </c>
      <c r="D11762" t="s">
        <v>78</v>
      </c>
      <c r="E11762">
        <f t="shared" si="554"/>
        <v>1.1363636363636364E-2</v>
      </c>
      <c r="F11762">
        <v>122</v>
      </c>
      <c r="G11762">
        <f>LOG(382/(122+1))</f>
        <v>0.49215825147231079</v>
      </c>
      <c r="H11762">
        <f>0.0113636363636363*1.13323625323415</f>
        <v>1.2877684695842542E-2</v>
      </c>
      <c r="I11762">
        <v>1.28776846958427E-2</v>
      </c>
    </row>
    <row r="11763" spans="1:9" x14ac:dyDescent="0.25">
      <c r="A11763">
        <v>439</v>
      </c>
      <c r="B11763" t="s">
        <v>3455</v>
      </c>
      <c r="C11763" t="s">
        <v>75</v>
      </c>
      <c r="D11763" t="s">
        <v>754</v>
      </c>
      <c r="E11763">
        <f t="shared" si="554"/>
        <v>1.1363636363636364E-2</v>
      </c>
      <c r="F11763">
        <v>111</v>
      </c>
      <c r="G11763">
        <f>LOG(382/(111+1))</f>
        <v>0.53284534024152708</v>
      </c>
      <c r="H11763">
        <f>0.0113636363636363*1.22692173731148</f>
        <v>1.3942292469448558E-2</v>
      </c>
      <c r="I11763">
        <v>1.394229246944865E-2</v>
      </c>
    </row>
    <row r="11764" spans="1:9" x14ac:dyDescent="0.25">
      <c r="A11764">
        <v>439</v>
      </c>
      <c r="B11764" t="s">
        <v>3455</v>
      </c>
      <c r="C11764" t="s">
        <v>75</v>
      </c>
      <c r="D11764" t="s">
        <v>3463</v>
      </c>
      <c r="E11764">
        <f t="shared" si="554"/>
        <v>1.1363636363636364E-2</v>
      </c>
      <c r="F11764">
        <v>2</v>
      </c>
      <c r="G11764">
        <f>LOG(382/(2+1))</f>
        <v>2.1049421081920463</v>
      </c>
      <c r="H11764">
        <f>0.0113636363636363*4.84680831993846</f>
        <v>5.5077367272027646E-2</v>
      </c>
      <c r="I11764">
        <v>5.5077367272028013E-2</v>
      </c>
    </row>
    <row r="11765" spans="1:9" x14ac:dyDescent="0.25">
      <c r="A11765">
        <v>439</v>
      </c>
      <c r="B11765" t="s">
        <v>3455</v>
      </c>
      <c r="C11765" t="s">
        <v>75</v>
      </c>
      <c r="D11765" t="s">
        <v>3464</v>
      </c>
      <c r="E11765">
        <f t="shared" si="554"/>
        <v>1.1363636363636364E-2</v>
      </c>
      <c r="F11765">
        <v>1</v>
      </c>
      <c r="G11765">
        <f>LOG(382/(1+1))</f>
        <v>2.2810333672477277</v>
      </c>
      <c r="H11765">
        <f>0.0113636363636363*5.25227342804663</f>
        <v>5.968492531871137E-2</v>
      </c>
      <c r="I11765">
        <v>5.9684925318711703E-2</v>
      </c>
    </row>
    <row r="11766" spans="1:9" x14ac:dyDescent="0.25">
      <c r="A11766">
        <v>439</v>
      </c>
      <c r="B11766" t="s">
        <v>3455</v>
      </c>
      <c r="C11766" t="s">
        <v>75</v>
      </c>
      <c r="D11766" t="s">
        <v>1149</v>
      </c>
      <c r="E11766">
        <f t="shared" si="554"/>
        <v>1.1363636363636364E-2</v>
      </c>
      <c r="F11766">
        <v>3</v>
      </c>
      <c r="G11766">
        <f>LOG(382/(3+1))</f>
        <v>1.9800033715837464</v>
      </c>
      <c r="H11766">
        <f>0.0113636363636363*4.55912624748668</f>
        <v>5.1808252812348347E-2</v>
      </c>
      <c r="I11766">
        <v>5.1808252812348687E-2</v>
      </c>
    </row>
    <row r="11767" spans="1:9" x14ac:dyDescent="0.25">
      <c r="A11767">
        <v>439</v>
      </c>
      <c r="B11767" t="s">
        <v>3455</v>
      </c>
      <c r="C11767" t="s">
        <v>75</v>
      </c>
      <c r="D11767" t="s">
        <v>2238</v>
      </c>
      <c r="E11767">
        <f>3/88</f>
        <v>3.4090909090909088E-2</v>
      </c>
      <c r="F11767">
        <v>68</v>
      </c>
      <c r="G11767">
        <f>LOG(382/(68+1))</f>
        <v>0.74321427217445335</v>
      </c>
      <c r="H11767">
        <f>0.034090909090909*1.71131410400931</f>
        <v>5.8340253545771777E-2</v>
      </c>
      <c r="I11767">
        <v>5.8340253545772117E-2</v>
      </c>
    </row>
    <row r="11768" spans="1:9" x14ac:dyDescent="0.25">
      <c r="A11768">
        <v>439</v>
      </c>
      <c r="B11768" t="s">
        <v>3455</v>
      </c>
      <c r="C11768" t="s">
        <v>75</v>
      </c>
      <c r="D11768" t="s">
        <v>204</v>
      </c>
      <c r="E11768">
        <f t="shared" ref="E11768:E11774" si="555">1/88</f>
        <v>1.1363636363636364E-2</v>
      </c>
      <c r="F11768">
        <v>166</v>
      </c>
      <c r="G11768">
        <f>LOG(382/(166+1))</f>
        <v>0.35934689176412549</v>
      </c>
      <c r="H11768">
        <f>0.0113636363636363*0.82742679618982</f>
        <v>9.4025772294297188E-3</v>
      </c>
      <c r="I11768">
        <v>9.4025772294297743E-3</v>
      </c>
    </row>
    <row r="11769" spans="1:9" x14ac:dyDescent="0.25">
      <c r="A11769">
        <v>439</v>
      </c>
      <c r="B11769" t="s">
        <v>3455</v>
      </c>
      <c r="C11769" t="s">
        <v>75</v>
      </c>
      <c r="D11769" t="s">
        <v>1859</v>
      </c>
      <c r="E11769">
        <f t="shared" si="555"/>
        <v>1.1363636363636364E-2</v>
      </c>
      <c r="F11769">
        <v>7</v>
      </c>
      <c r="G11769">
        <f>LOG(382/(7+1))</f>
        <v>1.6789733759197651</v>
      </c>
      <c r="H11769">
        <f>0.0113636363636363*3.86597906692673</f>
        <v>4.3931580305985325E-2</v>
      </c>
      <c r="I11769">
        <v>4.3931580305985672E-2</v>
      </c>
    </row>
    <row r="11770" spans="1:9" x14ac:dyDescent="0.25">
      <c r="A11770">
        <v>439</v>
      </c>
      <c r="B11770" t="s">
        <v>3455</v>
      </c>
      <c r="C11770" t="s">
        <v>75</v>
      </c>
      <c r="D11770" t="s">
        <v>2747</v>
      </c>
      <c r="E11770">
        <f t="shared" si="555"/>
        <v>1.1363636363636364E-2</v>
      </c>
      <c r="F11770">
        <v>2</v>
      </c>
      <c r="G11770">
        <f>LOG(382/(2+1))</f>
        <v>2.1049421081920463</v>
      </c>
      <c r="H11770">
        <f>0.0113636363636363*4.84680831993846</f>
        <v>5.5077367272027646E-2</v>
      </c>
      <c r="I11770">
        <v>5.5077367272028013E-2</v>
      </c>
    </row>
    <row r="11771" spans="1:9" x14ac:dyDescent="0.25">
      <c r="A11771">
        <v>439</v>
      </c>
      <c r="B11771" t="s">
        <v>3455</v>
      </c>
      <c r="C11771" t="s">
        <v>75</v>
      </c>
      <c r="D11771" t="s">
        <v>81</v>
      </c>
      <c r="E11771">
        <f t="shared" si="555"/>
        <v>1.1363636363636364E-2</v>
      </c>
      <c r="F11771">
        <v>114</v>
      </c>
      <c r="G11771">
        <f>LOG(382/(114+1))</f>
        <v>0.52136552255809698</v>
      </c>
      <c r="H11771">
        <f>0.0113636363636363*1.20048848024332</f>
        <v>1.364191454821947E-2</v>
      </c>
      <c r="I11771">
        <v>1.36419145482196E-2</v>
      </c>
    </row>
    <row r="11772" spans="1:9" x14ac:dyDescent="0.25">
      <c r="A11772">
        <v>439</v>
      </c>
      <c r="B11772" t="s">
        <v>3455</v>
      </c>
      <c r="C11772" t="s">
        <v>75</v>
      </c>
      <c r="D11772" t="s">
        <v>2811</v>
      </c>
      <c r="E11772">
        <f t="shared" si="555"/>
        <v>1.1363636363636364E-2</v>
      </c>
      <c r="F11772">
        <v>2</v>
      </c>
      <c r="G11772">
        <f>LOG(382/(2+1))</f>
        <v>2.1049421081920463</v>
      </c>
      <c r="H11772">
        <f>0.0113636363636363*4.84680831993846</f>
        <v>5.5077367272027646E-2</v>
      </c>
      <c r="I11772">
        <v>5.5077367272028013E-2</v>
      </c>
    </row>
    <row r="11773" spans="1:9" x14ac:dyDescent="0.25">
      <c r="A11773">
        <v>439</v>
      </c>
      <c r="B11773" t="s">
        <v>3455</v>
      </c>
      <c r="C11773" t="s">
        <v>75</v>
      </c>
      <c r="D11773" t="s">
        <v>1073</v>
      </c>
      <c r="E11773">
        <f t="shared" si="555"/>
        <v>1.1363636363636364E-2</v>
      </c>
      <c r="F11773">
        <v>25</v>
      </c>
      <c r="G11773">
        <f>LOG(382/(25+1))</f>
        <v>1.1670900149408907</v>
      </c>
      <c r="H11773">
        <f>0.0113636363636363*2.68732407058509</f>
        <v>3.0537773529375853E-2</v>
      </c>
      <c r="I11773">
        <v>3.0537773529376061E-2</v>
      </c>
    </row>
    <row r="11774" spans="1:9" x14ac:dyDescent="0.25">
      <c r="A11774">
        <v>439</v>
      </c>
      <c r="B11774" t="s">
        <v>3455</v>
      </c>
      <c r="C11774" t="s">
        <v>75</v>
      </c>
      <c r="D11774" t="s">
        <v>443</v>
      </c>
      <c r="E11774">
        <f t="shared" si="555"/>
        <v>1.1363636363636364E-2</v>
      </c>
      <c r="F11774">
        <v>3</v>
      </c>
      <c r="G11774">
        <f>LOG(382/(3+1))</f>
        <v>1.9800033715837464</v>
      </c>
      <c r="H11774">
        <f>0.0113636363636363*4.55912624748668</f>
        <v>5.1808252812348347E-2</v>
      </c>
      <c r="I11774">
        <v>5.1808252812348687E-2</v>
      </c>
    </row>
    <row r="11775" spans="1:9" x14ac:dyDescent="0.25">
      <c r="A11775">
        <v>439</v>
      </c>
      <c r="B11775" t="s">
        <v>3455</v>
      </c>
      <c r="C11775" t="s">
        <v>75</v>
      </c>
      <c r="D11775" t="s">
        <v>893</v>
      </c>
      <c r="E11775">
        <f>2/88</f>
        <v>2.2727272727272728E-2</v>
      </c>
      <c r="F11775">
        <v>2</v>
      </c>
      <c r="G11775">
        <f>LOG(382/(2+1))</f>
        <v>2.1049421081920463</v>
      </c>
      <c r="H11775">
        <f>0.0227272727272727*4.84680831993846</f>
        <v>0.11015473454405578</v>
      </c>
      <c r="I11775">
        <v>0.110154734544056</v>
      </c>
    </row>
    <row r="11776" spans="1:9" x14ac:dyDescent="0.25">
      <c r="A11776">
        <v>439</v>
      </c>
      <c r="B11776" t="s">
        <v>3455</v>
      </c>
      <c r="C11776" t="s">
        <v>75</v>
      </c>
      <c r="D11776" t="s">
        <v>1099</v>
      </c>
      <c r="E11776">
        <f t="shared" ref="E11776:E11792" si="556">1/88</f>
        <v>1.1363636363636364E-2</v>
      </c>
      <c r="F11776">
        <v>3</v>
      </c>
      <c r="G11776">
        <f>LOG(382/(3+1))</f>
        <v>1.9800033715837464</v>
      </c>
      <c r="H11776">
        <f>0.0113636363636363*4.55912624748668</f>
        <v>5.1808252812348347E-2</v>
      </c>
      <c r="I11776">
        <v>5.1808252812348687E-2</v>
      </c>
    </row>
    <row r="11777" spans="1:9" x14ac:dyDescent="0.25">
      <c r="A11777">
        <v>439</v>
      </c>
      <c r="B11777" t="s">
        <v>3455</v>
      </c>
      <c r="C11777" t="s">
        <v>75</v>
      </c>
      <c r="D11777" t="s">
        <v>1916</v>
      </c>
      <c r="E11777">
        <f t="shared" si="556"/>
        <v>1.1363636363636364E-2</v>
      </c>
      <c r="F11777">
        <v>5</v>
      </c>
      <c r="G11777">
        <f>LOG(382/(5+1))</f>
        <v>1.803912112528065</v>
      </c>
      <c r="H11777">
        <f>0.0113636363636363*4.15366113937852</f>
        <v>4.7200694765664734E-2</v>
      </c>
      <c r="I11777">
        <v>4.7200694765664998E-2</v>
      </c>
    </row>
    <row r="11778" spans="1:9" x14ac:dyDescent="0.25">
      <c r="A11778">
        <v>439</v>
      </c>
      <c r="B11778" t="s">
        <v>3455</v>
      </c>
      <c r="C11778" t="s">
        <v>75</v>
      </c>
      <c r="D11778" t="s">
        <v>3465</v>
      </c>
      <c r="E11778">
        <f t="shared" si="556"/>
        <v>1.1363636363636364E-2</v>
      </c>
      <c r="F11778">
        <v>1</v>
      </c>
      <c r="G11778">
        <f>LOG(382/(1+1))</f>
        <v>2.2810333672477277</v>
      </c>
      <c r="H11778">
        <f>0.0113636363636363*5.25227342804663</f>
        <v>5.968492531871137E-2</v>
      </c>
      <c r="I11778">
        <v>5.9684925318711703E-2</v>
      </c>
    </row>
    <row r="11779" spans="1:9" x14ac:dyDescent="0.25">
      <c r="A11779">
        <v>439</v>
      </c>
      <c r="B11779" t="s">
        <v>3455</v>
      </c>
      <c r="C11779" t="s">
        <v>75</v>
      </c>
      <c r="D11779" t="s">
        <v>3466</v>
      </c>
      <c r="E11779">
        <f t="shared" si="556"/>
        <v>1.1363636363636364E-2</v>
      </c>
      <c r="F11779">
        <v>2</v>
      </c>
      <c r="G11779">
        <f>LOG(382/(2+1))</f>
        <v>2.1049421081920463</v>
      </c>
      <c r="H11779">
        <f>0.0113636363636363*4.84680831993846</f>
        <v>5.5077367272027646E-2</v>
      </c>
      <c r="I11779">
        <v>5.5077367272028013E-2</v>
      </c>
    </row>
    <row r="11780" spans="1:9" x14ac:dyDescent="0.25">
      <c r="A11780">
        <v>439</v>
      </c>
      <c r="B11780" t="s">
        <v>3455</v>
      </c>
      <c r="C11780" t="s">
        <v>75</v>
      </c>
      <c r="D11780" t="s">
        <v>3467</v>
      </c>
      <c r="E11780">
        <f t="shared" si="556"/>
        <v>1.1363636363636364E-2</v>
      </c>
      <c r="F11780">
        <v>1</v>
      </c>
      <c r="G11780">
        <f>LOG(382/(1+1))</f>
        <v>2.2810333672477277</v>
      </c>
      <c r="H11780">
        <f>0.0113636363636363*5.25227342804663</f>
        <v>5.968492531871137E-2</v>
      </c>
      <c r="I11780">
        <v>5.9684925318711703E-2</v>
      </c>
    </row>
    <row r="11781" spans="1:9" x14ac:dyDescent="0.25">
      <c r="A11781">
        <v>439</v>
      </c>
      <c r="B11781" t="s">
        <v>3455</v>
      </c>
      <c r="C11781" t="s">
        <v>75</v>
      </c>
      <c r="D11781" t="s">
        <v>1076</v>
      </c>
      <c r="E11781">
        <f t="shared" si="556"/>
        <v>1.1363636363636364E-2</v>
      </c>
      <c r="F11781">
        <v>13</v>
      </c>
      <c r="G11781">
        <f>LOG(382/(13+1))</f>
        <v>1.4359353272334707</v>
      </c>
      <c r="H11781">
        <f>0.0113636363636363*3.30636327899131</f>
        <v>3.7572309988537403E-2</v>
      </c>
      <c r="I11781">
        <v>3.7572309988537687E-2</v>
      </c>
    </row>
    <row r="11782" spans="1:9" x14ac:dyDescent="0.25">
      <c r="A11782">
        <v>439</v>
      </c>
      <c r="B11782" t="s">
        <v>3455</v>
      </c>
      <c r="C11782" t="s">
        <v>75</v>
      </c>
      <c r="D11782" t="s">
        <v>746</v>
      </c>
      <c r="E11782">
        <f t="shared" si="556"/>
        <v>1.1363636363636364E-2</v>
      </c>
      <c r="F11782">
        <v>58</v>
      </c>
      <c r="G11782">
        <f>LOG(382/(58+1))</f>
        <v>0.81121135126956456</v>
      </c>
      <c r="H11782">
        <f>0.0113636363636363*1.86788316470085</f>
        <v>2.122594505341863E-2</v>
      </c>
      <c r="I11782">
        <v>2.1225945053418811E-2</v>
      </c>
    </row>
    <row r="11783" spans="1:9" x14ac:dyDescent="0.25">
      <c r="A11783">
        <v>439</v>
      </c>
      <c r="B11783" t="s">
        <v>3455</v>
      </c>
      <c r="C11783" t="s">
        <v>75</v>
      </c>
      <c r="D11783" t="s">
        <v>119</v>
      </c>
      <c r="E11783">
        <f t="shared" si="556"/>
        <v>1.1363636363636364E-2</v>
      </c>
      <c r="F11783">
        <v>79</v>
      </c>
      <c r="G11783">
        <f>LOG(382/(79+1))</f>
        <v>0.67897337591976514</v>
      </c>
      <c r="H11783">
        <f>0.0113636363636363*1.56339397393269</f>
        <v>1.7765840612871377E-2</v>
      </c>
      <c r="I11783">
        <v>1.7765840612871519E-2</v>
      </c>
    </row>
    <row r="11784" spans="1:9" x14ac:dyDescent="0.25">
      <c r="A11784">
        <v>439</v>
      </c>
      <c r="B11784" t="s">
        <v>3455</v>
      </c>
      <c r="C11784" t="s">
        <v>75</v>
      </c>
      <c r="D11784" t="s">
        <v>3437</v>
      </c>
      <c r="E11784">
        <f t="shared" si="556"/>
        <v>1.1363636363636364E-2</v>
      </c>
      <c r="F11784">
        <v>5</v>
      </c>
      <c r="G11784">
        <f>LOG(382/(5+1))</f>
        <v>1.803912112528065</v>
      </c>
      <c r="H11784">
        <f>0.0113636363636363*4.15366113937852</f>
        <v>4.7200694765664734E-2</v>
      </c>
      <c r="I11784">
        <v>4.7200694765664998E-2</v>
      </c>
    </row>
    <row r="11785" spans="1:9" x14ac:dyDescent="0.25">
      <c r="A11785">
        <v>439</v>
      </c>
      <c r="B11785" t="s">
        <v>3455</v>
      </c>
      <c r="C11785" t="s">
        <v>75</v>
      </c>
      <c r="D11785" t="s">
        <v>520</v>
      </c>
      <c r="E11785">
        <f t="shared" si="556"/>
        <v>1.1363636363636364E-2</v>
      </c>
      <c r="F11785">
        <v>25</v>
      </c>
      <c r="G11785">
        <f>LOG(382/(25+1))</f>
        <v>1.1670900149408907</v>
      </c>
      <c r="H11785">
        <f>0.0113636363636363*2.68732407058509</f>
        <v>3.0537773529375853E-2</v>
      </c>
      <c r="I11785">
        <v>3.0537773529376061E-2</v>
      </c>
    </row>
    <row r="11786" spans="1:9" x14ac:dyDescent="0.25">
      <c r="A11786">
        <v>439</v>
      </c>
      <c r="B11786" t="s">
        <v>3455</v>
      </c>
      <c r="C11786" t="s">
        <v>75</v>
      </c>
      <c r="D11786" t="s">
        <v>40</v>
      </c>
      <c r="E11786">
        <f t="shared" si="556"/>
        <v>1.1363636363636364E-2</v>
      </c>
      <c r="F11786">
        <v>159</v>
      </c>
      <c r="G11786">
        <f>LOG(382/(159+1))</f>
        <v>0.377943380255784</v>
      </c>
      <c r="H11786">
        <f>0.0113636363636363*0.870246793372748</f>
        <v>9.8891681065084447E-3</v>
      </c>
      <c r="I11786">
        <v>9.8891681065085037E-3</v>
      </c>
    </row>
    <row r="11787" spans="1:9" x14ac:dyDescent="0.25">
      <c r="A11787">
        <v>439</v>
      </c>
      <c r="B11787" t="s">
        <v>3455</v>
      </c>
      <c r="C11787" t="s">
        <v>75</v>
      </c>
      <c r="D11787" t="s">
        <v>41</v>
      </c>
      <c r="E11787">
        <f t="shared" si="556"/>
        <v>1.1363636363636364E-2</v>
      </c>
      <c r="F11787">
        <v>195</v>
      </c>
      <c r="G11787">
        <f>LOG(382/(195+1))</f>
        <v>0.28980729155523272</v>
      </c>
      <c r="H11787">
        <f>0.0113636363636363*0.667305949376058</f>
        <v>7.583022152000617E-3</v>
      </c>
      <c r="I11787">
        <v>7.5830221520006586E-3</v>
      </c>
    </row>
    <row r="11788" spans="1:9" x14ac:dyDescent="0.25">
      <c r="A11788">
        <v>439</v>
      </c>
      <c r="B11788" t="s">
        <v>3455</v>
      </c>
      <c r="C11788" t="s">
        <v>75</v>
      </c>
      <c r="D11788" t="s">
        <v>438</v>
      </c>
      <c r="E11788">
        <f t="shared" si="556"/>
        <v>1.1363636363636364E-2</v>
      </c>
      <c r="F11788">
        <v>37</v>
      </c>
      <c r="G11788">
        <f>LOG(382/(37+1))</f>
        <v>1.0022797662948986</v>
      </c>
      <c r="H11788">
        <f>0.0113636363636363*2.30783444888018</f>
        <v>2.6225391464547353E-2</v>
      </c>
      <c r="I11788">
        <v>2.6225391464547609E-2</v>
      </c>
    </row>
    <row r="11789" spans="1:9" x14ac:dyDescent="0.25">
      <c r="A11789">
        <v>439</v>
      </c>
      <c r="B11789" t="s">
        <v>3455</v>
      </c>
      <c r="C11789" t="s">
        <v>75</v>
      </c>
      <c r="D11789" t="s">
        <v>439</v>
      </c>
      <c r="E11789">
        <f t="shared" si="556"/>
        <v>1.1363636363636364E-2</v>
      </c>
      <c r="F11789">
        <v>28</v>
      </c>
      <c r="G11789">
        <f>LOG(382/(28+1))</f>
        <v>1.1196653650127526</v>
      </c>
      <c r="H11789">
        <f>0.0113636363636363*2.5781247786201</f>
        <v>2.9296872484319152E-2</v>
      </c>
      <c r="I11789">
        <v>2.9296872484319329E-2</v>
      </c>
    </row>
    <row r="11790" spans="1:9" x14ac:dyDescent="0.25">
      <c r="A11790">
        <v>439</v>
      </c>
      <c r="B11790" t="s">
        <v>3455</v>
      </c>
      <c r="C11790" t="s">
        <v>75</v>
      </c>
      <c r="D11790" t="s">
        <v>239</v>
      </c>
      <c r="E11790">
        <f t="shared" si="556"/>
        <v>1.1363636363636364E-2</v>
      </c>
      <c r="F11790">
        <v>40</v>
      </c>
      <c r="G11790">
        <f>LOG(382/(40+1))</f>
        <v>0.96927950619197323</v>
      </c>
      <c r="H11790">
        <f>0.0113636363636363*2.23184854190226</f>
        <v>2.5361915248889172E-2</v>
      </c>
      <c r="I11790">
        <v>2.5361915248889401E-2</v>
      </c>
    </row>
    <row r="11791" spans="1:9" x14ac:dyDescent="0.25">
      <c r="A11791">
        <v>439</v>
      </c>
      <c r="B11791" t="s">
        <v>3455</v>
      </c>
      <c r="C11791" t="s">
        <v>75</v>
      </c>
      <c r="D11791" t="s">
        <v>450</v>
      </c>
      <c r="E11791">
        <f t="shared" si="556"/>
        <v>1.1363636363636364E-2</v>
      </c>
      <c r="F11791">
        <v>17</v>
      </c>
      <c r="G11791">
        <f>LOG(382/(17+1))</f>
        <v>1.3267908578084027</v>
      </c>
      <c r="H11791">
        <f>0.0113636363636363*3.05504885071041</f>
        <v>3.4716464212618099E-2</v>
      </c>
      <c r="I11791">
        <v>3.47164642126183E-2</v>
      </c>
    </row>
    <row r="11792" spans="1:9" x14ac:dyDescent="0.25">
      <c r="A11792">
        <v>439</v>
      </c>
      <c r="B11792" t="s">
        <v>3455</v>
      </c>
      <c r="C11792" t="s">
        <v>75</v>
      </c>
      <c r="D11792" t="s">
        <v>536</v>
      </c>
      <c r="E11792">
        <f t="shared" si="556"/>
        <v>1.1363636363636364E-2</v>
      </c>
      <c r="F11792">
        <v>3</v>
      </c>
      <c r="G11792">
        <f>LOG(382/(3+1))</f>
        <v>1.9800033715837464</v>
      </c>
      <c r="H11792">
        <f>0.0113636363636363*4.55912624748668</f>
        <v>5.1808252812348347E-2</v>
      </c>
      <c r="I11792">
        <v>5.1808252812348687E-2</v>
      </c>
    </row>
    <row r="11793" spans="1:9" x14ac:dyDescent="0.25">
      <c r="A11793">
        <v>440</v>
      </c>
      <c r="B11793" t="s">
        <v>3468</v>
      </c>
      <c r="C11793" t="s">
        <v>75</v>
      </c>
      <c r="D11793" t="s">
        <v>1544</v>
      </c>
      <c r="E11793">
        <f>5/117</f>
        <v>4.2735042735042736E-2</v>
      </c>
      <c r="F11793">
        <v>19</v>
      </c>
      <c r="G11793">
        <f>LOG(382/(19+1))</f>
        <v>1.2810333672477277</v>
      </c>
      <c r="H11793">
        <f>0.0427350427350427*2.94968833505258</f>
        <v>0.12605505705352896</v>
      </c>
      <c r="I11793">
        <v>0.12605505705352929</v>
      </c>
    </row>
    <row r="11794" spans="1:9" x14ac:dyDescent="0.25">
      <c r="A11794">
        <v>440</v>
      </c>
      <c r="B11794" t="s">
        <v>3468</v>
      </c>
      <c r="C11794" t="s">
        <v>75</v>
      </c>
      <c r="D11794" t="s">
        <v>3290</v>
      </c>
      <c r="E11794">
        <f>7/117</f>
        <v>5.9829059829059832E-2</v>
      </c>
      <c r="F11794">
        <v>12</v>
      </c>
      <c r="G11794">
        <f>LOG(382/(12+1))</f>
        <v>1.468120010604872</v>
      </c>
      <c r="H11794">
        <f>0.0598290598290598*3.38047125114503</f>
        <v>0.20225041673517263</v>
      </c>
      <c r="I11794">
        <v>0.20225041673517319</v>
      </c>
    </row>
    <row r="11795" spans="1:9" x14ac:dyDescent="0.25">
      <c r="A11795">
        <v>440</v>
      </c>
      <c r="B11795" t="s">
        <v>3468</v>
      </c>
      <c r="C11795" t="s">
        <v>75</v>
      </c>
      <c r="D11795" t="s">
        <v>436</v>
      </c>
      <c r="E11795">
        <f>4/117</f>
        <v>3.4188034188034191E-2</v>
      </c>
      <c r="F11795">
        <v>20</v>
      </c>
      <c r="G11795">
        <f>LOG(382/(20+1))</f>
        <v>1.2598440681777894</v>
      </c>
      <c r="H11795">
        <f>0.0341880341880341*2.90089817088315</f>
        <v>9.9176005842158729E-2</v>
      </c>
      <c r="I11795">
        <v>9.9176005842159062E-2</v>
      </c>
    </row>
    <row r="11796" spans="1:9" x14ac:dyDescent="0.25">
      <c r="A11796">
        <v>440</v>
      </c>
      <c r="B11796" t="s">
        <v>3468</v>
      </c>
      <c r="C11796" t="s">
        <v>75</v>
      </c>
      <c r="D11796" t="s">
        <v>3469</v>
      </c>
      <c r="E11796">
        <f>3/117</f>
        <v>2.564102564102564E-2</v>
      </c>
      <c r="F11796">
        <v>1</v>
      </c>
      <c r="G11796">
        <f>LOG(382/(1+1))</f>
        <v>2.2810333672477277</v>
      </c>
      <c r="H11796">
        <f>0.0256410256410256*5.25227342804663</f>
        <v>0.13467367764222105</v>
      </c>
      <c r="I11796">
        <v>0.1346736776422213</v>
      </c>
    </row>
    <row r="11797" spans="1:9" x14ac:dyDescent="0.25">
      <c r="A11797">
        <v>440</v>
      </c>
      <c r="B11797" t="s">
        <v>3468</v>
      </c>
      <c r="C11797" t="s">
        <v>75</v>
      </c>
      <c r="D11797" t="s">
        <v>42</v>
      </c>
      <c r="E11797">
        <f>1/117</f>
        <v>8.5470085470085479E-3</v>
      </c>
      <c r="F11797">
        <v>251</v>
      </c>
      <c r="G11797">
        <f>LOG(382/(251+1))</f>
        <v>0.18066282213016463</v>
      </c>
      <c r="H11797">
        <f>0.00854700854700854*0.415991521095151</f>
        <v>3.5554830862833385E-3</v>
      </c>
      <c r="I11797">
        <v>3.5554830862833502E-3</v>
      </c>
    </row>
    <row r="11798" spans="1:9" x14ac:dyDescent="0.25">
      <c r="A11798">
        <v>440</v>
      </c>
      <c r="B11798" t="s">
        <v>3468</v>
      </c>
      <c r="C11798" t="s">
        <v>75</v>
      </c>
      <c r="D11798" t="s">
        <v>1496</v>
      </c>
      <c r="E11798">
        <f>1/117</f>
        <v>8.5470085470085479E-3</v>
      </c>
      <c r="F11798">
        <v>39</v>
      </c>
      <c r="G11798">
        <f>LOG(382/(39+1))</f>
        <v>0.9800033715837464</v>
      </c>
      <c r="H11798">
        <f>0.00854700854700854*2.25654115449263</f>
        <v>1.9286676534125028E-2</v>
      </c>
      <c r="I11798">
        <v>1.9286676534125122E-2</v>
      </c>
    </row>
    <row r="11799" spans="1:9" x14ac:dyDescent="0.25">
      <c r="A11799">
        <v>440</v>
      </c>
      <c r="B11799" t="s">
        <v>3468</v>
      </c>
      <c r="C11799" t="s">
        <v>75</v>
      </c>
      <c r="D11799" t="s">
        <v>3470</v>
      </c>
      <c r="E11799">
        <f>1/117</f>
        <v>8.5470085470085479E-3</v>
      </c>
      <c r="F11799">
        <v>1</v>
      </c>
      <c r="G11799">
        <f>LOG(382/(1+1))</f>
        <v>2.2810333672477277</v>
      </c>
      <c r="H11799">
        <f>0.00854700854700854*5.25227342804663</f>
        <v>4.4891225880740383E-2</v>
      </c>
      <c r="I11799">
        <v>4.4891225880740432E-2</v>
      </c>
    </row>
    <row r="11800" spans="1:9" x14ac:dyDescent="0.25">
      <c r="A11800">
        <v>440</v>
      </c>
      <c r="B11800" t="s">
        <v>3468</v>
      </c>
      <c r="C11800" t="s">
        <v>75</v>
      </c>
      <c r="D11800" t="s">
        <v>1117</v>
      </c>
      <c r="E11800">
        <f>1/117</f>
        <v>8.5470085470085479E-3</v>
      </c>
      <c r="F11800">
        <v>4</v>
      </c>
      <c r="G11800">
        <f>LOG(382/(4+1))</f>
        <v>1.8830933585756899</v>
      </c>
      <c r="H11800">
        <f>0.00854700854700854*4.33598269617247</f>
        <v>3.7059681163867236E-2</v>
      </c>
      <c r="I11800">
        <v>3.7059681163867313E-2</v>
      </c>
    </row>
    <row r="11801" spans="1:9" x14ac:dyDescent="0.25">
      <c r="A11801">
        <v>440</v>
      </c>
      <c r="B11801" t="s">
        <v>3468</v>
      </c>
      <c r="C11801" t="s">
        <v>75</v>
      </c>
      <c r="D11801" t="s">
        <v>3471</v>
      </c>
      <c r="E11801">
        <f>1/117</f>
        <v>8.5470085470085479E-3</v>
      </c>
      <c r="F11801">
        <v>1</v>
      </c>
      <c r="G11801">
        <f>LOG(382/(1+1))</f>
        <v>2.2810333672477277</v>
      </c>
      <c r="H11801">
        <f>0.00854700854700854*5.25227342804663</f>
        <v>4.4891225880740383E-2</v>
      </c>
      <c r="I11801">
        <v>4.4891225880740432E-2</v>
      </c>
    </row>
    <row r="11802" spans="1:9" x14ac:dyDescent="0.25">
      <c r="A11802">
        <v>440</v>
      </c>
      <c r="B11802" t="s">
        <v>3468</v>
      </c>
      <c r="C11802" t="s">
        <v>75</v>
      </c>
      <c r="D11802" t="s">
        <v>147</v>
      </c>
      <c r="E11802">
        <f>4/117</f>
        <v>3.4188034188034191E-2</v>
      </c>
      <c r="F11802">
        <v>48</v>
      </c>
      <c r="G11802">
        <f>LOG(382/(48+1))</f>
        <v>0.89186728288319506</v>
      </c>
      <c r="H11802">
        <f>0.0341880341880341*2.05360031049594</f>
        <v>7.0208557623792633E-2</v>
      </c>
      <c r="I11802">
        <v>7.0208557623793133E-2</v>
      </c>
    </row>
    <row r="11803" spans="1:9" x14ac:dyDescent="0.25">
      <c r="A11803">
        <v>440</v>
      </c>
      <c r="B11803" t="s">
        <v>3468</v>
      </c>
      <c r="C11803" t="s">
        <v>75</v>
      </c>
      <c r="D11803" t="s">
        <v>2394</v>
      </c>
      <c r="E11803">
        <f t="shared" ref="E11803:E11812" si="557">1/117</f>
        <v>8.5470085470085479E-3</v>
      </c>
      <c r="F11803">
        <v>8</v>
      </c>
      <c r="G11803">
        <f>LOG(382/(8+1))</f>
        <v>1.6278208534723839</v>
      </c>
      <c r="H11803">
        <f>0.00854700854700854*3.74819603127035</f>
        <v>3.2035863515131165E-2</v>
      </c>
      <c r="I11803">
        <v>3.2035863515131248E-2</v>
      </c>
    </row>
    <row r="11804" spans="1:9" x14ac:dyDescent="0.25">
      <c r="A11804">
        <v>440</v>
      </c>
      <c r="B11804" t="s">
        <v>3468</v>
      </c>
      <c r="C11804" t="s">
        <v>75</v>
      </c>
      <c r="D11804" t="s">
        <v>1907</v>
      </c>
      <c r="E11804">
        <f t="shared" si="557"/>
        <v>8.5470085470085479E-3</v>
      </c>
      <c r="F11804">
        <v>20</v>
      </c>
      <c r="G11804">
        <f>LOG(382/(20+1))</f>
        <v>1.2598440681777894</v>
      </c>
      <c r="H11804">
        <f>0.00854700854700854*2.90089817088315</f>
        <v>2.479400146053972E-2</v>
      </c>
      <c r="I11804">
        <v>2.4794001460539769E-2</v>
      </c>
    </row>
    <row r="11805" spans="1:9" x14ac:dyDescent="0.25">
      <c r="A11805">
        <v>440</v>
      </c>
      <c r="B11805" t="s">
        <v>3468</v>
      </c>
      <c r="C11805" t="s">
        <v>75</v>
      </c>
      <c r="D11805" t="s">
        <v>1908</v>
      </c>
      <c r="E11805">
        <f t="shared" si="557"/>
        <v>8.5470085470085479E-3</v>
      </c>
      <c r="F11805">
        <v>20</v>
      </c>
      <c r="G11805">
        <f>LOG(382/(20+1))</f>
        <v>1.2598440681777894</v>
      </c>
      <c r="H11805">
        <f>0.00854700854700854*2.90089817088315</f>
        <v>2.479400146053972E-2</v>
      </c>
      <c r="I11805">
        <v>2.4794001460539769E-2</v>
      </c>
    </row>
    <row r="11806" spans="1:9" x14ac:dyDescent="0.25">
      <c r="A11806">
        <v>440</v>
      </c>
      <c r="B11806" t="s">
        <v>3468</v>
      </c>
      <c r="C11806" t="s">
        <v>75</v>
      </c>
      <c r="D11806" t="s">
        <v>91</v>
      </c>
      <c r="E11806">
        <f t="shared" si="557"/>
        <v>8.5470085470085479E-3</v>
      </c>
      <c r="F11806">
        <v>33</v>
      </c>
      <c r="G11806">
        <f>LOG(382/(33+1))</f>
        <v>1.0505844458694535</v>
      </c>
      <c r="H11806">
        <f>0.00854700854700854*2.41906008399041</f>
        <v>2.0675727213593231E-2</v>
      </c>
      <c r="I11806">
        <v>2.067572721359328E-2</v>
      </c>
    </row>
    <row r="11807" spans="1:9" x14ac:dyDescent="0.25">
      <c r="A11807">
        <v>440</v>
      </c>
      <c r="B11807" t="s">
        <v>3468</v>
      </c>
      <c r="C11807" t="s">
        <v>75</v>
      </c>
      <c r="D11807" t="s">
        <v>3472</v>
      </c>
      <c r="E11807">
        <f t="shared" si="557"/>
        <v>8.5470085470085479E-3</v>
      </c>
      <c r="F11807">
        <v>1</v>
      </c>
      <c r="G11807">
        <f>LOG(382/(1+1))</f>
        <v>2.2810333672477277</v>
      </c>
      <c r="H11807">
        <f>0.00854700854700854*5.25227342804663</f>
        <v>4.4891225880740383E-2</v>
      </c>
      <c r="I11807">
        <v>4.4891225880740432E-2</v>
      </c>
    </row>
    <row r="11808" spans="1:9" x14ac:dyDescent="0.25">
      <c r="A11808">
        <v>440</v>
      </c>
      <c r="B11808" t="s">
        <v>3468</v>
      </c>
      <c r="C11808" t="s">
        <v>75</v>
      </c>
      <c r="D11808" t="s">
        <v>22</v>
      </c>
      <c r="E11808">
        <f t="shared" si="557"/>
        <v>8.5470085470085479E-3</v>
      </c>
      <c r="F11808">
        <v>259</v>
      </c>
      <c r="G11808">
        <f>LOG(382/(259+1))</f>
        <v>0.16709001494089079</v>
      </c>
      <c r="H11808">
        <f>0.00854700854700854*0.384738977591047</f>
        <v>3.2883673298380058E-3</v>
      </c>
      <c r="I11808">
        <v>3.2883673298380132E-3</v>
      </c>
    </row>
    <row r="11809" spans="1:9" x14ac:dyDescent="0.25">
      <c r="A11809">
        <v>440</v>
      </c>
      <c r="B11809" t="s">
        <v>3468</v>
      </c>
      <c r="C11809" t="s">
        <v>75</v>
      </c>
      <c r="D11809" t="s">
        <v>23</v>
      </c>
      <c r="E11809">
        <f t="shared" si="557"/>
        <v>8.5470085470085479E-3</v>
      </c>
      <c r="F11809">
        <v>275</v>
      </c>
      <c r="G11809">
        <f>LOG(382/(275+1))</f>
        <v>0.14115428084649101</v>
      </c>
      <c r="H11809">
        <f>0.00854700854700854*0.325019742889425</f>
        <v>2.7779465204224333E-3</v>
      </c>
      <c r="I11809">
        <v>2.7779465204224368E-3</v>
      </c>
    </row>
    <row r="11810" spans="1:9" x14ac:dyDescent="0.25">
      <c r="A11810">
        <v>440</v>
      </c>
      <c r="B11810" t="s">
        <v>3468</v>
      </c>
      <c r="C11810" t="s">
        <v>75</v>
      </c>
      <c r="D11810" t="s">
        <v>2291</v>
      </c>
      <c r="E11810">
        <f t="shared" si="557"/>
        <v>8.5470085470085479E-3</v>
      </c>
      <c r="F11810">
        <v>17</v>
      </c>
      <c r="G11810">
        <f>LOG(382/(17+1))</f>
        <v>1.3267908578084027</v>
      </c>
      <c r="H11810">
        <f>0.00854700854700854*3.05504885071041</f>
        <v>2.6111528638550489E-2</v>
      </c>
      <c r="I11810">
        <v>2.611152863855052E-2</v>
      </c>
    </row>
    <row r="11811" spans="1:9" x14ac:dyDescent="0.25">
      <c r="A11811">
        <v>440</v>
      </c>
      <c r="B11811" t="s">
        <v>3468</v>
      </c>
      <c r="C11811" t="s">
        <v>75</v>
      </c>
      <c r="D11811" t="s">
        <v>3473</v>
      </c>
      <c r="E11811">
        <f t="shared" si="557"/>
        <v>8.5470085470085479E-3</v>
      </c>
      <c r="F11811">
        <v>1</v>
      </c>
      <c r="G11811">
        <f>LOG(382/(1+1))</f>
        <v>2.2810333672477277</v>
      </c>
      <c r="H11811">
        <f>0.00854700854700854*5.25227342804663</f>
        <v>4.4891225880740383E-2</v>
      </c>
      <c r="I11811">
        <v>4.4891225880740432E-2</v>
      </c>
    </row>
    <row r="11812" spans="1:9" x14ac:dyDescent="0.25">
      <c r="A11812">
        <v>440</v>
      </c>
      <c r="B11812" t="s">
        <v>3468</v>
      </c>
      <c r="C11812" t="s">
        <v>75</v>
      </c>
      <c r="D11812" t="s">
        <v>105</v>
      </c>
      <c r="E11812">
        <f t="shared" si="557"/>
        <v>8.5470085470085479E-3</v>
      </c>
      <c r="F11812">
        <v>122</v>
      </c>
      <c r="G11812">
        <f>LOG(382/(122+1))</f>
        <v>0.49215825147231079</v>
      </c>
      <c r="H11812">
        <f>0.00854700854700854*1.13323625323415</f>
        <v>9.6857799421722138E-3</v>
      </c>
      <c r="I11812">
        <v>9.6857799421722884E-3</v>
      </c>
    </row>
    <row r="11813" spans="1:9" x14ac:dyDescent="0.25">
      <c r="A11813">
        <v>440</v>
      </c>
      <c r="B11813" t="s">
        <v>3468</v>
      </c>
      <c r="C11813" t="s">
        <v>75</v>
      </c>
      <c r="D11813" t="s">
        <v>247</v>
      </c>
      <c r="E11813">
        <f>2/117</f>
        <v>1.7094017094017096E-2</v>
      </c>
      <c r="F11813">
        <v>121</v>
      </c>
      <c r="G11813">
        <f>LOG(382/(121+1))</f>
        <v>0.49570353223696051</v>
      </c>
      <c r="H11813">
        <f>0.017094017094017*1.14139956387331</f>
        <v>1.9511103655953911E-2</v>
      </c>
      <c r="I11813">
        <v>1.9511103655954171E-2</v>
      </c>
    </row>
    <row r="11814" spans="1:9" x14ac:dyDescent="0.25">
      <c r="A11814">
        <v>440</v>
      </c>
      <c r="B11814" t="s">
        <v>3468</v>
      </c>
      <c r="C11814" t="s">
        <v>75</v>
      </c>
      <c r="D11814" t="s">
        <v>1079</v>
      </c>
      <c r="E11814">
        <f>1/117</f>
        <v>8.5470085470085479E-3</v>
      </c>
      <c r="F11814">
        <v>34</v>
      </c>
      <c r="G11814">
        <f>LOG(382/(34+1))</f>
        <v>1.037995318561433</v>
      </c>
      <c r="H11814">
        <f>0.00854700854700854*2.39007254711716</f>
        <v>2.0427970488180836E-2</v>
      </c>
      <c r="I11814">
        <v>2.0427970488180871E-2</v>
      </c>
    </row>
    <row r="11815" spans="1:9" x14ac:dyDescent="0.25">
      <c r="A11815">
        <v>440</v>
      </c>
      <c r="B11815" t="s">
        <v>3468</v>
      </c>
      <c r="C11815" t="s">
        <v>75</v>
      </c>
      <c r="D11815" t="s">
        <v>204</v>
      </c>
      <c r="E11815">
        <f>2/117</f>
        <v>1.7094017094017096E-2</v>
      </c>
      <c r="F11815">
        <v>166</v>
      </c>
      <c r="G11815">
        <f>LOG(382/(166+1))</f>
        <v>0.35934689176412549</v>
      </c>
      <c r="H11815">
        <f>0.017094017094017*0.82742679618982</f>
        <v>1.4144047798116502E-2</v>
      </c>
      <c r="I11815">
        <v>1.414404779811658E-2</v>
      </c>
    </row>
    <row r="11816" spans="1:9" x14ac:dyDescent="0.25">
      <c r="A11816">
        <v>440</v>
      </c>
      <c r="B11816" t="s">
        <v>3468</v>
      </c>
      <c r="C11816" t="s">
        <v>75</v>
      </c>
      <c r="D11816" t="s">
        <v>1769</v>
      </c>
      <c r="E11816">
        <f>3/117</f>
        <v>2.564102564102564E-2</v>
      </c>
      <c r="F11816">
        <v>84</v>
      </c>
      <c r="G11816">
        <f>LOG(382/(84+1))</f>
        <v>0.65264443719741605</v>
      </c>
      <c r="H11816">
        <f>0.0256410256410256*1.50276935211625</f>
        <v>3.8532547490160191E-2</v>
      </c>
      <c r="I11816">
        <v>3.8532547490160482E-2</v>
      </c>
    </row>
    <row r="11817" spans="1:9" x14ac:dyDescent="0.25">
      <c r="A11817">
        <v>440</v>
      </c>
      <c r="B11817" t="s">
        <v>3468</v>
      </c>
      <c r="C11817" t="s">
        <v>75</v>
      </c>
      <c r="D11817" t="s">
        <v>3474</v>
      </c>
      <c r="E11817">
        <f>1/117</f>
        <v>8.5470085470085479E-3</v>
      </c>
      <c r="F11817">
        <v>1</v>
      </c>
      <c r="G11817">
        <f>LOG(382/(1+1))</f>
        <v>2.2810333672477277</v>
      </c>
      <c r="H11817">
        <f>0.00854700854700854*5.25227342804663</f>
        <v>4.4891225880740383E-2</v>
      </c>
      <c r="I11817">
        <v>4.4891225880740432E-2</v>
      </c>
    </row>
    <row r="11818" spans="1:9" x14ac:dyDescent="0.25">
      <c r="A11818">
        <v>440</v>
      </c>
      <c r="B11818" t="s">
        <v>3468</v>
      </c>
      <c r="C11818" t="s">
        <v>75</v>
      </c>
      <c r="D11818" t="s">
        <v>1546</v>
      </c>
      <c r="E11818">
        <f>2/117</f>
        <v>1.7094017094017096E-2</v>
      </c>
      <c r="F11818">
        <v>44</v>
      </c>
      <c r="G11818">
        <f>LOG(382/(44+1))</f>
        <v>0.92885084913636506</v>
      </c>
      <c r="H11818">
        <f>0.017094017094017*2.13875811883625</f>
        <v>3.6559967843354496E-2</v>
      </c>
      <c r="I11818">
        <v>3.6559967843354788E-2</v>
      </c>
    </row>
    <row r="11819" spans="1:9" x14ac:dyDescent="0.25">
      <c r="A11819">
        <v>440</v>
      </c>
      <c r="B11819" t="s">
        <v>3468</v>
      </c>
      <c r="C11819" t="s">
        <v>75</v>
      </c>
      <c r="D11819" t="s">
        <v>3475</v>
      </c>
      <c r="E11819">
        <f>1/117</f>
        <v>8.5470085470085479E-3</v>
      </c>
      <c r="F11819">
        <v>1</v>
      </c>
      <c r="G11819">
        <f>LOG(382/(1+1))</f>
        <v>2.2810333672477277</v>
      </c>
      <c r="H11819">
        <f>0.00854700854700854*5.25227342804663</f>
        <v>4.4891225880740383E-2</v>
      </c>
      <c r="I11819">
        <v>4.4891225880740432E-2</v>
      </c>
    </row>
    <row r="11820" spans="1:9" x14ac:dyDescent="0.25">
      <c r="A11820">
        <v>440</v>
      </c>
      <c r="B11820" t="s">
        <v>3468</v>
      </c>
      <c r="C11820" t="s">
        <v>75</v>
      </c>
      <c r="D11820" t="s">
        <v>453</v>
      </c>
      <c r="E11820">
        <f>1/117</f>
        <v>8.5470085470085479E-3</v>
      </c>
      <c r="F11820">
        <v>68</v>
      </c>
      <c r="G11820">
        <f>LOG(382/(68+1))</f>
        <v>0.74321427217445335</v>
      </c>
      <c r="H11820">
        <f>0.00854700854700854*1.71131410400931</f>
        <v>1.4626616273583833E-2</v>
      </c>
      <c r="I11820">
        <v>1.4626616273583901E-2</v>
      </c>
    </row>
    <row r="11821" spans="1:9" x14ac:dyDescent="0.25">
      <c r="A11821">
        <v>440</v>
      </c>
      <c r="B11821" t="s">
        <v>3468</v>
      </c>
      <c r="C11821" t="s">
        <v>75</v>
      </c>
      <c r="D11821" t="s">
        <v>455</v>
      </c>
      <c r="E11821">
        <f>1/117</f>
        <v>8.5470085470085479E-3</v>
      </c>
      <c r="F11821">
        <v>78</v>
      </c>
      <c r="G11821">
        <f>LOG(382/(78+1))</f>
        <v>0.6844362716212673</v>
      </c>
      <c r="H11821">
        <f>0.00854700854700854*1.57597275613955</f>
        <v>1.3469852616577339E-2</v>
      </c>
      <c r="I11821">
        <v>1.346985261657738E-2</v>
      </c>
    </row>
    <row r="11822" spans="1:9" x14ac:dyDescent="0.25">
      <c r="A11822">
        <v>440</v>
      </c>
      <c r="B11822" t="s">
        <v>3468</v>
      </c>
      <c r="C11822" t="s">
        <v>75</v>
      </c>
      <c r="D11822" t="s">
        <v>3476</v>
      </c>
      <c r="E11822">
        <f>1/117</f>
        <v>8.5470085470085479E-3</v>
      </c>
      <c r="F11822">
        <v>1</v>
      </c>
      <c r="G11822">
        <f>LOG(382/(1+1))</f>
        <v>2.2810333672477277</v>
      </c>
      <c r="H11822">
        <f>0.00854700854700854*5.25227342804663</f>
        <v>4.4891225880740383E-2</v>
      </c>
      <c r="I11822">
        <v>4.4891225880740432E-2</v>
      </c>
    </row>
    <row r="11823" spans="1:9" x14ac:dyDescent="0.25">
      <c r="A11823">
        <v>440</v>
      </c>
      <c r="B11823" t="s">
        <v>3468</v>
      </c>
      <c r="C11823" t="s">
        <v>75</v>
      </c>
      <c r="D11823" t="s">
        <v>3477</v>
      </c>
      <c r="E11823">
        <f>1/117</f>
        <v>8.5470085470085479E-3</v>
      </c>
      <c r="F11823">
        <v>1</v>
      </c>
      <c r="G11823">
        <f>LOG(382/(1+1))</f>
        <v>2.2810333672477277</v>
      </c>
      <c r="H11823">
        <f>0.00854700854700854*5.25227342804663</f>
        <v>4.4891225880740383E-2</v>
      </c>
      <c r="I11823">
        <v>4.4891225880740432E-2</v>
      </c>
    </row>
    <row r="11824" spans="1:9" x14ac:dyDescent="0.25">
      <c r="A11824">
        <v>440</v>
      </c>
      <c r="B11824" t="s">
        <v>3468</v>
      </c>
      <c r="C11824" t="s">
        <v>75</v>
      </c>
      <c r="D11824" t="s">
        <v>3444</v>
      </c>
      <c r="E11824">
        <f>2/117</f>
        <v>1.7094017094017096E-2</v>
      </c>
      <c r="F11824">
        <v>10</v>
      </c>
      <c r="G11824">
        <f>LOG(382/(10+1))</f>
        <v>1.5406706777534838</v>
      </c>
      <c r="H11824">
        <f>0.017094017094017*3.5475253358082</f>
        <v>6.064145873176377E-2</v>
      </c>
      <c r="I11824">
        <v>6.0641458731764193E-2</v>
      </c>
    </row>
    <row r="11825" spans="1:9" x14ac:dyDescent="0.25">
      <c r="A11825">
        <v>440</v>
      </c>
      <c r="B11825" t="s">
        <v>3468</v>
      </c>
      <c r="C11825" t="s">
        <v>75</v>
      </c>
      <c r="D11825" t="s">
        <v>361</v>
      </c>
      <c r="E11825">
        <f t="shared" ref="E11825:E11831" si="558">1/117</f>
        <v>8.5470085470085479E-3</v>
      </c>
      <c r="F11825">
        <v>118</v>
      </c>
      <c r="G11825">
        <f>LOG(382/(118+1))</f>
        <v>0.50651640151917798</v>
      </c>
      <c r="H11825">
        <f>0.00854700854700854*1.16629711549504</f>
        <v>9.9683514144875106E-3</v>
      </c>
      <c r="I11825">
        <v>9.968351414487573E-3</v>
      </c>
    </row>
    <row r="11826" spans="1:9" x14ac:dyDescent="0.25">
      <c r="A11826">
        <v>440</v>
      </c>
      <c r="B11826" t="s">
        <v>3468</v>
      </c>
      <c r="C11826" t="s">
        <v>75</v>
      </c>
      <c r="D11826" t="s">
        <v>434</v>
      </c>
      <c r="E11826">
        <f t="shared" si="558"/>
        <v>8.5470085470085479E-3</v>
      </c>
      <c r="F11826">
        <v>97</v>
      </c>
      <c r="G11826">
        <f>LOG(382/(97+1))</f>
        <v>0.59083728721921391</v>
      </c>
      <c r="H11826">
        <f>0.00854700854700854*1.360453129936</f>
        <v>1.1627804529367512E-2</v>
      </c>
      <c r="I11826">
        <v>1.162780452936755E-2</v>
      </c>
    </row>
    <row r="11827" spans="1:9" x14ac:dyDescent="0.25">
      <c r="A11827">
        <v>440</v>
      </c>
      <c r="B11827" t="s">
        <v>3468</v>
      </c>
      <c r="C11827" t="s">
        <v>75</v>
      </c>
      <c r="D11827" t="s">
        <v>3325</v>
      </c>
      <c r="E11827">
        <f t="shared" si="558"/>
        <v>8.5470085470085479E-3</v>
      </c>
      <c r="F11827">
        <v>19</v>
      </c>
      <c r="G11827">
        <f>LOG(382/(19+1))</f>
        <v>1.2810333672477277</v>
      </c>
      <c r="H11827">
        <f>0.00854700854700854*2.94968833505258</f>
        <v>2.5211011410705787E-2</v>
      </c>
      <c r="I11827">
        <v>2.521101141070585E-2</v>
      </c>
    </row>
    <row r="11828" spans="1:9" x14ac:dyDescent="0.25">
      <c r="A11828">
        <v>440</v>
      </c>
      <c r="B11828" t="s">
        <v>3468</v>
      </c>
      <c r="C11828" t="s">
        <v>75</v>
      </c>
      <c r="D11828" t="s">
        <v>3478</v>
      </c>
      <c r="E11828">
        <f t="shared" si="558"/>
        <v>8.5470085470085479E-3</v>
      </c>
      <c r="F11828">
        <v>1</v>
      </c>
      <c r="G11828">
        <f>LOG(382/(1+1))</f>
        <v>2.2810333672477277</v>
      </c>
      <c r="H11828">
        <f>0.00854700854700854*5.25227342804663</f>
        <v>4.4891225880740383E-2</v>
      </c>
      <c r="I11828">
        <v>4.4891225880740432E-2</v>
      </c>
    </row>
    <row r="11829" spans="1:9" x14ac:dyDescent="0.25">
      <c r="A11829">
        <v>440</v>
      </c>
      <c r="B11829" t="s">
        <v>3468</v>
      </c>
      <c r="C11829" t="s">
        <v>75</v>
      </c>
      <c r="D11829" t="s">
        <v>3374</v>
      </c>
      <c r="E11829">
        <f t="shared" si="558"/>
        <v>8.5470085470085479E-3</v>
      </c>
      <c r="F11829">
        <v>6</v>
      </c>
      <c r="G11829">
        <f>LOG(382/(6+1))</f>
        <v>1.736965322897452</v>
      </c>
      <c r="H11829">
        <f>0.00854700854700854*3.99951045955126</f>
        <v>3.4183850081634673E-2</v>
      </c>
      <c r="I11829">
        <v>3.4183850081634722E-2</v>
      </c>
    </row>
    <row r="11830" spans="1:9" x14ac:dyDescent="0.25">
      <c r="A11830">
        <v>440</v>
      </c>
      <c r="B11830" t="s">
        <v>3468</v>
      </c>
      <c r="C11830" t="s">
        <v>75</v>
      </c>
      <c r="D11830" t="s">
        <v>149</v>
      </c>
      <c r="E11830">
        <f t="shared" si="558"/>
        <v>8.5470085470085479E-3</v>
      </c>
      <c r="F11830">
        <v>35</v>
      </c>
      <c r="G11830">
        <f>LOG(382/(35+1))</f>
        <v>1.0257608621444214</v>
      </c>
      <c r="H11830">
        <f>0.00854700854700854*2.36190167015046</f>
        <v>2.0187193761969726E-2</v>
      </c>
      <c r="I11830">
        <v>2.0187193761969788E-2</v>
      </c>
    </row>
    <row r="11831" spans="1:9" x14ac:dyDescent="0.25">
      <c r="A11831">
        <v>440</v>
      </c>
      <c r="B11831" t="s">
        <v>3468</v>
      </c>
      <c r="C11831" t="s">
        <v>75</v>
      </c>
      <c r="D11831" t="s">
        <v>27</v>
      </c>
      <c r="E11831">
        <f t="shared" si="558"/>
        <v>8.5470085470085479E-3</v>
      </c>
      <c r="F11831">
        <v>2</v>
      </c>
      <c r="G11831">
        <f>LOG(382/(2+1))</f>
        <v>2.1049421081920463</v>
      </c>
      <c r="H11831">
        <f>0.00854700854700854*4.84680831993846</f>
        <v>4.1425712136226117E-2</v>
      </c>
      <c r="I11831">
        <v>4.14257121362262E-2</v>
      </c>
    </row>
    <row r="11832" spans="1:9" x14ac:dyDescent="0.25">
      <c r="A11832">
        <v>440</v>
      </c>
      <c r="B11832" t="s">
        <v>3468</v>
      </c>
      <c r="C11832" t="s">
        <v>75</v>
      </c>
      <c r="D11832" t="s">
        <v>772</v>
      </c>
      <c r="E11832">
        <f>2/117</f>
        <v>1.7094017094017096E-2</v>
      </c>
      <c r="F11832">
        <v>31</v>
      </c>
      <c r="G11832">
        <f>LOG(382/(31+1))</f>
        <v>1.0769133845918029</v>
      </c>
      <c r="H11832">
        <f>0.017094017094017*2.47968470580684</f>
        <v>4.238777274883463E-2</v>
      </c>
      <c r="I11832">
        <v>4.2387772748835033E-2</v>
      </c>
    </row>
    <row r="11833" spans="1:9" x14ac:dyDescent="0.25">
      <c r="A11833">
        <v>440</v>
      </c>
      <c r="B11833" t="s">
        <v>3468</v>
      </c>
      <c r="C11833" t="s">
        <v>75</v>
      </c>
      <c r="D11833" t="s">
        <v>237</v>
      </c>
      <c r="E11833">
        <f>2/117</f>
        <v>1.7094017094017096E-2</v>
      </c>
      <c r="F11833">
        <v>138</v>
      </c>
      <c r="G11833">
        <f>LOG(382/(138+1))</f>
        <v>0.43904856265761361</v>
      </c>
      <c r="H11833">
        <f>0.017094017094017*1.01094667547588</f>
        <v>1.7281139751724347E-2</v>
      </c>
      <c r="I11833">
        <v>1.72811397517245E-2</v>
      </c>
    </row>
    <row r="11834" spans="1:9" x14ac:dyDescent="0.25">
      <c r="A11834">
        <v>440</v>
      </c>
      <c r="B11834" t="s">
        <v>3468</v>
      </c>
      <c r="C11834" t="s">
        <v>75</v>
      </c>
      <c r="D11834" t="s">
        <v>3479</v>
      </c>
      <c r="E11834">
        <f t="shared" ref="E11834:E11848" si="559">1/117</f>
        <v>8.5470085470085479E-3</v>
      </c>
      <c r="F11834">
        <v>1</v>
      </c>
      <c r="G11834">
        <f>LOG(382/(1+1))</f>
        <v>2.2810333672477277</v>
      </c>
      <c r="H11834">
        <f>0.00854700854700854*5.25227342804663</f>
        <v>4.4891225880740383E-2</v>
      </c>
      <c r="I11834">
        <v>4.4891225880740432E-2</v>
      </c>
    </row>
    <row r="11835" spans="1:9" x14ac:dyDescent="0.25">
      <c r="A11835">
        <v>440</v>
      </c>
      <c r="B11835" t="s">
        <v>3468</v>
      </c>
      <c r="C11835" t="s">
        <v>75</v>
      </c>
      <c r="D11835" t="s">
        <v>3307</v>
      </c>
      <c r="E11835">
        <f t="shared" si="559"/>
        <v>8.5470085470085479E-3</v>
      </c>
      <c r="F11835">
        <v>7</v>
      </c>
      <c r="G11835">
        <f>LOG(382/(7+1))</f>
        <v>1.6789733759197651</v>
      </c>
      <c r="H11835">
        <f>0.00854700854700854*3.86597906692673</f>
        <v>3.3042556127578858E-2</v>
      </c>
      <c r="I11835">
        <v>3.3042556127578969E-2</v>
      </c>
    </row>
    <row r="11836" spans="1:9" x14ac:dyDescent="0.25">
      <c r="A11836">
        <v>440</v>
      </c>
      <c r="B11836" t="s">
        <v>3468</v>
      </c>
      <c r="C11836" t="s">
        <v>75</v>
      </c>
      <c r="D11836" t="s">
        <v>3461</v>
      </c>
      <c r="E11836">
        <f t="shared" si="559"/>
        <v>8.5470085470085479E-3</v>
      </c>
      <c r="F11836">
        <v>3</v>
      </c>
      <c r="G11836">
        <f>LOG(382/(3+1))</f>
        <v>1.9800033715837464</v>
      </c>
      <c r="H11836">
        <f>0.00854700854700854*4.55912624748668</f>
        <v>3.8966891004159621E-2</v>
      </c>
      <c r="I11836">
        <v>3.8966891004159697E-2</v>
      </c>
    </row>
    <row r="11837" spans="1:9" x14ac:dyDescent="0.25">
      <c r="A11837">
        <v>440</v>
      </c>
      <c r="B11837" t="s">
        <v>3468</v>
      </c>
      <c r="C11837" t="s">
        <v>75</v>
      </c>
      <c r="D11837" t="s">
        <v>830</v>
      </c>
      <c r="E11837">
        <f t="shared" si="559"/>
        <v>8.5470085470085479E-3</v>
      </c>
      <c r="F11837">
        <v>19</v>
      </c>
      <c r="G11837">
        <f>LOG(382/(19+1))</f>
        <v>1.2810333672477277</v>
      </c>
      <c r="H11837">
        <f>0.00854700854700854*2.94968833505258</f>
        <v>2.5211011410705787E-2</v>
      </c>
      <c r="I11837">
        <v>2.521101141070585E-2</v>
      </c>
    </row>
    <row r="11838" spans="1:9" x14ac:dyDescent="0.25">
      <c r="A11838">
        <v>440</v>
      </c>
      <c r="B11838" t="s">
        <v>3468</v>
      </c>
      <c r="C11838" t="s">
        <v>75</v>
      </c>
      <c r="D11838" t="s">
        <v>2189</v>
      </c>
      <c r="E11838">
        <f t="shared" si="559"/>
        <v>8.5470085470085479E-3</v>
      </c>
      <c r="F11838">
        <v>12</v>
      </c>
      <c r="G11838">
        <f>LOG(382/(12+1))</f>
        <v>1.468120010604872</v>
      </c>
      <c r="H11838">
        <f>0.00854700854700854*3.38047125114503</f>
        <v>2.8892916676453221E-2</v>
      </c>
      <c r="I11838">
        <v>2.8892916676453329E-2</v>
      </c>
    </row>
    <row r="11839" spans="1:9" x14ac:dyDescent="0.25">
      <c r="A11839">
        <v>440</v>
      </c>
      <c r="B11839" t="s">
        <v>3468</v>
      </c>
      <c r="C11839" t="s">
        <v>75</v>
      </c>
      <c r="D11839" t="s">
        <v>399</v>
      </c>
      <c r="E11839">
        <f t="shared" si="559"/>
        <v>8.5470085470085479E-3</v>
      </c>
      <c r="F11839">
        <v>27</v>
      </c>
      <c r="G11839">
        <f>LOG(382/(27+1))</f>
        <v>1.1349053315694895</v>
      </c>
      <c r="H11839">
        <f>0.00854700854700854*2.61321609843137</f>
        <v>2.2335180328473227E-2</v>
      </c>
      <c r="I11839">
        <v>2.2335180328473259E-2</v>
      </c>
    </row>
    <row r="11840" spans="1:9" x14ac:dyDescent="0.25">
      <c r="A11840">
        <v>440</v>
      </c>
      <c r="B11840" t="s">
        <v>3468</v>
      </c>
      <c r="C11840" t="s">
        <v>75</v>
      </c>
      <c r="D11840" t="s">
        <v>3480</v>
      </c>
      <c r="E11840">
        <f t="shared" si="559"/>
        <v>8.5470085470085479E-3</v>
      </c>
      <c r="F11840">
        <v>2</v>
      </c>
      <c r="G11840">
        <f>LOG(382/(2+1))</f>
        <v>2.1049421081920463</v>
      </c>
      <c r="H11840">
        <f>0.00854700854700854*4.84680831993846</f>
        <v>4.1425712136226117E-2</v>
      </c>
      <c r="I11840">
        <v>4.14257121362262E-2</v>
      </c>
    </row>
    <row r="11841" spans="1:9" x14ac:dyDescent="0.25">
      <c r="A11841">
        <v>440</v>
      </c>
      <c r="B11841" t="s">
        <v>3468</v>
      </c>
      <c r="C11841" t="s">
        <v>75</v>
      </c>
      <c r="D11841" t="s">
        <v>2231</v>
      </c>
      <c r="E11841">
        <f t="shared" si="559"/>
        <v>8.5470085470085479E-3</v>
      </c>
      <c r="F11841">
        <v>23</v>
      </c>
      <c r="G11841">
        <f>LOG(382/(23+1))</f>
        <v>1.2018521212001028</v>
      </c>
      <c r="H11841">
        <f>0.00854700854700854*2.76736677825862</f>
        <v>2.3652707506483912E-2</v>
      </c>
      <c r="I11841">
        <v>2.365270750648402E-2</v>
      </c>
    </row>
    <row r="11842" spans="1:9" x14ac:dyDescent="0.25">
      <c r="A11842">
        <v>440</v>
      </c>
      <c r="B11842" t="s">
        <v>3468</v>
      </c>
      <c r="C11842" t="s">
        <v>75</v>
      </c>
      <c r="D11842" t="s">
        <v>1298</v>
      </c>
      <c r="E11842">
        <f t="shared" si="559"/>
        <v>8.5470085470085479E-3</v>
      </c>
      <c r="F11842">
        <v>4</v>
      </c>
      <c r="G11842">
        <f>LOG(382/(4+1))</f>
        <v>1.8830933585756899</v>
      </c>
      <c r="H11842">
        <f>0.00854700854700854*4.33598269617247</f>
        <v>3.7059681163867236E-2</v>
      </c>
      <c r="I11842">
        <v>3.7059681163867313E-2</v>
      </c>
    </row>
    <row r="11843" spans="1:9" x14ac:dyDescent="0.25">
      <c r="A11843">
        <v>440</v>
      </c>
      <c r="B11843" t="s">
        <v>3468</v>
      </c>
      <c r="C11843" t="s">
        <v>75</v>
      </c>
      <c r="D11843" t="s">
        <v>3481</v>
      </c>
      <c r="E11843">
        <f t="shared" si="559"/>
        <v>8.5470085470085479E-3</v>
      </c>
      <c r="F11843">
        <v>1</v>
      </c>
      <c r="G11843">
        <f>LOG(382/(1+1))</f>
        <v>2.2810333672477277</v>
      </c>
      <c r="H11843">
        <f>0.00854700854700854*5.25227342804663</f>
        <v>4.4891225880740383E-2</v>
      </c>
      <c r="I11843">
        <v>4.4891225880740432E-2</v>
      </c>
    </row>
    <row r="11844" spans="1:9" x14ac:dyDescent="0.25">
      <c r="A11844">
        <v>440</v>
      </c>
      <c r="B11844" t="s">
        <v>3468</v>
      </c>
      <c r="C11844" t="s">
        <v>75</v>
      </c>
      <c r="D11844" t="s">
        <v>3462</v>
      </c>
      <c r="E11844">
        <f t="shared" si="559"/>
        <v>8.5470085470085479E-3</v>
      </c>
      <c r="F11844">
        <v>3</v>
      </c>
      <c r="G11844">
        <f>LOG(382/(3+1))</f>
        <v>1.9800033715837464</v>
      </c>
      <c r="H11844">
        <f>0.00854700854700854*4.55912624748668</f>
        <v>3.8966891004159621E-2</v>
      </c>
      <c r="I11844">
        <v>3.8966891004159697E-2</v>
      </c>
    </row>
    <row r="11845" spans="1:9" x14ac:dyDescent="0.25">
      <c r="A11845">
        <v>440</v>
      </c>
      <c r="B11845" t="s">
        <v>3468</v>
      </c>
      <c r="C11845" t="s">
        <v>75</v>
      </c>
      <c r="D11845" t="s">
        <v>2930</v>
      </c>
      <c r="E11845">
        <f t="shared" si="559"/>
        <v>8.5470085470085479E-3</v>
      </c>
      <c r="F11845">
        <v>15</v>
      </c>
      <c r="G11845">
        <f>LOG(382/(15+1))</f>
        <v>1.3779433802557839</v>
      </c>
      <c r="H11845">
        <f>0.00854700854700854*3.17283188636679</f>
        <v>2.7118221250998182E-2</v>
      </c>
      <c r="I11845">
        <v>2.7118221250998241E-2</v>
      </c>
    </row>
    <row r="11846" spans="1:9" x14ac:dyDescent="0.25">
      <c r="A11846">
        <v>440</v>
      </c>
      <c r="B11846" t="s">
        <v>3468</v>
      </c>
      <c r="C11846" t="s">
        <v>75</v>
      </c>
      <c r="D11846" t="s">
        <v>1505</v>
      </c>
      <c r="E11846">
        <f t="shared" si="559"/>
        <v>8.5470085470085479E-3</v>
      </c>
      <c r="F11846">
        <v>6</v>
      </c>
      <c r="G11846">
        <f>LOG(382/(6+1))</f>
        <v>1.736965322897452</v>
      </c>
      <c r="H11846">
        <f>0.00854700854700854*3.99951045955126</f>
        <v>3.4183850081634673E-2</v>
      </c>
      <c r="I11846">
        <v>3.4183850081634722E-2</v>
      </c>
    </row>
    <row r="11847" spans="1:9" x14ac:dyDescent="0.25">
      <c r="A11847">
        <v>440</v>
      </c>
      <c r="B11847" t="s">
        <v>3468</v>
      </c>
      <c r="C11847" t="s">
        <v>75</v>
      </c>
      <c r="D11847" t="s">
        <v>78</v>
      </c>
      <c r="E11847">
        <f t="shared" si="559"/>
        <v>8.5470085470085479E-3</v>
      </c>
      <c r="F11847">
        <v>122</v>
      </c>
      <c r="G11847">
        <f>LOG(382/(122+1))</f>
        <v>0.49215825147231079</v>
      </c>
      <c r="H11847">
        <f>0.00854700854700854*1.13323625323415</f>
        <v>9.6857799421722138E-3</v>
      </c>
      <c r="I11847">
        <v>9.6857799421722884E-3</v>
      </c>
    </row>
    <row r="11848" spans="1:9" x14ac:dyDescent="0.25">
      <c r="A11848">
        <v>440</v>
      </c>
      <c r="B11848" t="s">
        <v>3468</v>
      </c>
      <c r="C11848" t="s">
        <v>75</v>
      </c>
      <c r="D11848" t="s">
        <v>3482</v>
      </c>
      <c r="E11848">
        <f t="shared" si="559"/>
        <v>8.5470085470085479E-3</v>
      </c>
      <c r="F11848">
        <v>1</v>
      </c>
      <c r="G11848">
        <f>LOG(382/(1+1))</f>
        <v>2.2810333672477277</v>
      </c>
      <c r="H11848">
        <f>0.00854700854700854*5.25227342804663</f>
        <v>4.4891225880740383E-2</v>
      </c>
      <c r="I11848">
        <v>4.4891225880740432E-2</v>
      </c>
    </row>
    <row r="11849" spans="1:9" x14ac:dyDescent="0.25">
      <c r="A11849">
        <v>440</v>
      </c>
      <c r="B11849" t="s">
        <v>3468</v>
      </c>
      <c r="C11849" t="s">
        <v>75</v>
      </c>
      <c r="D11849" t="s">
        <v>3310</v>
      </c>
      <c r="E11849">
        <f>2/117</f>
        <v>1.7094017094017096E-2</v>
      </c>
      <c r="F11849">
        <v>4</v>
      </c>
      <c r="G11849">
        <f>LOG(382/(4+1))</f>
        <v>1.8830933585756899</v>
      </c>
      <c r="H11849">
        <f>0.017094017094017*4.33598269617247</f>
        <v>7.4119362327734126E-2</v>
      </c>
      <c r="I11849">
        <v>7.4119362327734625E-2</v>
      </c>
    </row>
    <row r="11850" spans="1:9" x14ac:dyDescent="0.25">
      <c r="A11850">
        <v>440</v>
      </c>
      <c r="B11850" t="s">
        <v>3468</v>
      </c>
      <c r="C11850" t="s">
        <v>75</v>
      </c>
      <c r="D11850" t="s">
        <v>2238</v>
      </c>
      <c r="E11850">
        <f>2/117</f>
        <v>1.7094017094017096E-2</v>
      </c>
      <c r="F11850">
        <v>68</v>
      </c>
      <c r="G11850">
        <f>LOG(382/(68+1))</f>
        <v>0.74321427217445335</v>
      </c>
      <c r="H11850">
        <f>0.017094017094017*1.71131410400931</f>
        <v>2.9253232547167531E-2</v>
      </c>
      <c r="I11850">
        <v>2.9253232547167791E-2</v>
      </c>
    </row>
    <row r="11851" spans="1:9" x14ac:dyDescent="0.25">
      <c r="A11851">
        <v>440</v>
      </c>
      <c r="B11851" t="s">
        <v>3468</v>
      </c>
      <c r="C11851" t="s">
        <v>75</v>
      </c>
      <c r="D11851" t="s">
        <v>3483</v>
      </c>
      <c r="E11851">
        <f>1/117</f>
        <v>8.5470085470085479E-3</v>
      </c>
      <c r="F11851">
        <v>1</v>
      </c>
      <c r="G11851">
        <f>LOG(382/(1+1))</f>
        <v>2.2810333672477277</v>
      </c>
      <c r="H11851">
        <f>0.00854700854700854*5.25227342804663</f>
        <v>4.4891225880740383E-2</v>
      </c>
      <c r="I11851">
        <v>4.4891225880740432E-2</v>
      </c>
    </row>
    <row r="11852" spans="1:9" x14ac:dyDescent="0.25">
      <c r="A11852">
        <v>440</v>
      </c>
      <c r="B11852" t="s">
        <v>3468</v>
      </c>
      <c r="C11852" t="s">
        <v>75</v>
      </c>
      <c r="D11852" t="s">
        <v>24</v>
      </c>
      <c r="E11852">
        <f>1/117</f>
        <v>8.5470085470085479E-3</v>
      </c>
      <c r="F11852">
        <v>59</v>
      </c>
      <c r="G11852">
        <f>LOG(382/(59+1))</f>
        <v>0.80391211252806505</v>
      </c>
      <c r="H11852">
        <f>0.00854700854700854*1.85107604638447</f>
        <v>1.5821162789610842E-2</v>
      </c>
      <c r="I11852">
        <v>1.582116278961089E-2</v>
      </c>
    </row>
    <row r="11853" spans="1:9" x14ac:dyDescent="0.25">
      <c r="A11853">
        <v>440</v>
      </c>
      <c r="B11853" t="s">
        <v>3468</v>
      </c>
      <c r="C11853" t="s">
        <v>75</v>
      </c>
      <c r="D11853" t="s">
        <v>1738</v>
      </c>
      <c r="E11853">
        <f>1/117</f>
        <v>8.5470085470085479E-3</v>
      </c>
      <c r="F11853">
        <v>24</v>
      </c>
      <c r="G11853">
        <f>LOG(382/(24+1))</f>
        <v>1.1841233542396712</v>
      </c>
      <c r="H11853">
        <f>0.00854700854700854*2.72654478373837</f>
        <v>2.3303801570413396E-2</v>
      </c>
      <c r="I11853">
        <v>2.3303801570413459E-2</v>
      </c>
    </row>
    <row r="11854" spans="1:9" x14ac:dyDescent="0.25">
      <c r="A11854">
        <v>440</v>
      </c>
      <c r="B11854" t="s">
        <v>3468</v>
      </c>
      <c r="C11854" t="s">
        <v>75</v>
      </c>
      <c r="D11854" t="s">
        <v>1739</v>
      </c>
      <c r="E11854">
        <f>2/117</f>
        <v>1.7094017094017096E-2</v>
      </c>
      <c r="F11854">
        <v>30</v>
      </c>
      <c r="G11854">
        <f>LOG(382/(30+1))</f>
        <v>1.090701669077436</v>
      </c>
      <c r="H11854">
        <f>0.017094017094017*2.51143340412142</f>
        <v>4.2930485540536856E-2</v>
      </c>
      <c r="I11854">
        <v>4.2930485540537251E-2</v>
      </c>
    </row>
    <row r="11855" spans="1:9" x14ac:dyDescent="0.25">
      <c r="A11855">
        <v>440</v>
      </c>
      <c r="B11855" t="s">
        <v>3468</v>
      </c>
      <c r="C11855" t="s">
        <v>75</v>
      </c>
      <c r="D11855" t="s">
        <v>3335</v>
      </c>
      <c r="E11855">
        <f t="shared" ref="E11855:E11865" si="560">1/117</f>
        <v>8.5470085470085479E-3</v>
      </c>
      <c r="F11855">
        <v>16</v>
      </c>
      <c r="G11855">
        <f>LOG(382/(16+1))</f>
        <v>1.3516144415334348</v>
      </c>
      <c r="H11855">
        <f>0.00854700854700854*3.11220726455035</f>
        <v>2.6600062090173907E-2</v>
      </c>
      <c r="I11855">
        <v>2.6600062090174011E-2</v>
      </c>
    </row>
    <row r="11856" spans="1:9" x14ac:dyDescent="0.25">
      <c r="A11856">
        <v>440</v>
      </c>
      <c r="B11856" t="s">
        <v>3468</v>
      </c>
      <c r="C11856" t="s">
        <v>75</v>
      </c>
      <c r="D11856" t="s">
        <v>451</v>
      </c>
      <c r="E11856">
        <f t="shared" si="560"/>
        <v>8.5470085470085479E-3</v>
      </c>
      <c r="F11856">
        <v>15</v>
      </c>
      <c r="G11856">
        <f>LOG(382/(15+1))</f>
        <v>1.3779433802557839</v>
      </c>
      <c r="H11856">
        <f>0.00854700854700854*3.17283188636679</f>
        <v>2.7118221250998182E-2</v>
      </c>
      <c r="I11856">
        <v>2.7118221250998241E-2</v>
      </c>
    </row>
    <row r="11857" spans="1:9" x14ac:dyDescent="0.25">
      <c r="A11857">
        <v>440</v>
      </c>
      <c r="B11857" t="s">
        <v>3468</v>
      </c>
      <c r="C11857" t="s">
        <v>75</v>
      </c>
      <c r="D11857" t="s">
        <v>3484</v>
      </c>
      <c r="E11857">
        <f t="shared" si="560"/>
        <v>8.5470085470085479E-3</v>
      </c>
      <c r="F11857">
        <v>2</v>
      </c>
      <c r="G11857">
        <f>LOG(382/(2+1))</f>
        <v>2.1049421081920463</v>
      </c>
      <c r="H11857">
        <f>0.00854700854700854*4.84680831993846</f>
        <v>4.1425712136226117E-2</v>
      </c>
      <c r="I11857">
        <v>4.14257121362262E-2</v>
      </c>
    </row>
    <row r="11858" spans="1:9" x14ac:dyDescent="0.25">
      <c r="A11858">
        <v>440</v>
      </c>
      <c r="B11858" t="s">
        <v>3468</v>
      </c>
      <c r="C11858" t="s">
        <v>75</v>
      </c>
      <c r="D11858" t="s">
        <v>3485</v>
      </c>
      <c r="E11858">
        <f t="shared" si="560"/>
        <v>8.5470085470085479E-3</v>
      </c>
      <c r="F11858">
        <v>2</v>
      </c>
      <c r="G11858">
        <f>LOG(382/(2+1))</f>
        <v>2.1049421081920463</v>
      </c>
      <c r="H11858">
        <f>0.00854700854700854*4.84680831993846</f>
        <v>4.1425712136226117E-2</v>
      </c>
      <c r="I11858">
        <v>4.14257121362262E-2</v>
      </c>
    </row>
    <row r="11859" spans="1:9" x14ac:dyDescent="0.25">
      <c r="A11859">
        <v>440</v>
      </c>
      <c r="B11859" t="s">
        <v>3468</v>
      </c>
      <c r="C11859" t="s">
        <v>75</v>
      </c>
      <c r="D11859" t="s">
        <v>239</v>
      </c>
      <c r="E11859">
        <f t="shared" si="560"/>
        <v>8.5470085470085479E-3</v>
      </c>
      <c r="F11859">
        <v>40</v>
      </c>
      <c r="G11859">
        <f>LOG(382/(40+1))</f>
        <v>0.96927950619197323</v>
      </c>
      <c r="H11859">
        <f>0.00854700854700854*2.23184854190226</f>
        <v>1.9075628563267159E-2</v>
      </c>
      <c r="I11859">
        <v>1.9075628563267239E-2</v>
      </c>
    </row>
    <row r="11860" spans="1:9" x14ac:dyDescent="0.25">
      <c r="A11860">
        <v>440</v>
      </c>
      <c r="B11860" t="s">
        <v>3468</v>
      </c>
      <c r="C11860" t="s">
        <v>75</v>
      </c>
      <c r="D11860" t="s">
        <v>449</v>
      </c>
      <c r="E11860">
        <f t="shared" si="560"/>
        <v>8.5470085470085479E-3</v>
      </c>
      <c r="F11860">
        <v>9</v>
      </c>
      <c r="G11860">
        <f>LOG(382/(9+1))</f>
        <v>1.5820633629117087</v>
      </c>
      <c r="H11860">
        <f>0.00854700854700854*3.64283551561252</f>
        <v>3.1135346287286467E-2</v>
      </c>
      <c r="I11860">
        <v>3.1135346287286581E-2</v>
      </c>
    </row>
    <row r="11861" spans="1:9" x14ac:dyDescent="0.25">
      <c r="A11861">
        <v>440</v>
      </c>
      <c r="B11861" t="s">
        <v>3468</v>
      </c>
      <c r="C11861" t="s">
        <v>75</v>
      </c>
      <c r="D11861" t="s">
        <v>438</v>
      </c>
      <c r="E11861">
        <f t="shared" si="560"/>
        <v>8.5470085470085479E-3</v>
      </c>
      <c r="F11861">
        <v>37</v>
      </c>
      <c r="G11861">
        <f>LOG(382/(37+1))</f>
        <v>1.0022797662948986</v>
      </c>
      <c r="H11861">
        <f>0.00854700854700854*2.30783444888018</f>
        <v>1.972508075965964E-2</v>
      </c>
      <c r="I11861">
        <v>1.972508075965974E-2</v>
      </c>
    </row>
    <row r="11862" spans="1:9" x14ac:dyDescent="0.25">
      <c r="A11862">
        <v>440</v>
      </c>
      <c r="B11862" t="s">
        <v>3468</v>
      </c>
      <c r="C11862" t="s">
        <v>75</v>
      </c>
      <c r="D11862" t="s">
        <v>307</v>
      </c>
      <c r="E11862">
        <f t="shared" si="560"/>
        <v>8.5470085470085479E-3</v>
      </c>
      <c r="F11862">
        <v>67</v>
      </c>
      <c r="G11862">
        <f>LOG(382/(67+1))</f>
        <v>0.7495544502054724</v>
      </c>
      <c r="H11862">
        <f>0.00854700854700854*1.72591290343046</f>
        <v>1.4751392337012467E-2</v>
      </c>
      <c r="I11862">
        <v>1.475139233701255E-2</v>
      </c>
    </row>
    <row r="11863" spans="1:9" x14ac:dyDescent="0.25">
      <c r="A11863">
        <v>440</v>
      </c>
      <c r="B11863" t="s">
        <v>3468</v>
      </c>
      <c r="C11863" t="s">
        <v>75</v>
      </c>
      <c r="D11863" t="s">
        <v>3486</v>
      </c>
      <c r="E11863">
        <f t="shared" si="560"/>
        <v>8.5470085470085479E-3</v>
      </c>
      <c r="F11863">
        <v>1</v>
      </c>
      <c r="G11863">
        <f>LOG(382/(1+1))</f>
        <v>2.2810333672477277</v>
      </c>
      <c r="H11863">
        <f>0.00854700854700854*5.25227342804663</f>
        <v>4.4891225880740383E-2</v>
      </c>
      <c r="I11863">
        <v>4.4891225880740432E-2</v>
      </c>
    </row>
    <row r="11864" spans="1:9" x14ac:dyDescent="0.25">
      <c r="A11864">
        <v>440</v>
      </c>
      <c r="B11864" t="s">
        <v>3468</v>
      </c>
      <c r="C11864" t="s">
        <v>75</v>
      </c>
      <c r="D11864" t="s">
        <v>243</v>
      </c>
      <c r="E11864">
        <f t="shared" si="560"/>
        <v>8.5470085470085479E-3</v>
      </c>
      <c r="F11864">
        <v>131</v>
      </c>
      <c r="G11864">
        <f>LOG(382/(131+1))</f>
        <v>0.46148943170585888</v>
      </c>
      <c r="H11864">
        <f>0.00854700854700854*1.0626186860202</f>
        <v>9.0822109916256326E-3</v>
      </c>
      <c r="I11864">
        <v>9.0822109916256777E-3</v>
      </c>
    </row>
    <row r="11865" spans="1:9" x14ac:dyDescent="0.25">
      <c r="A11865">
        <v>440</v>
      </c>
      <c r="B11865" t="s">
        <v>3468</v>
      </c>
      <c r="C11865" t="s">
        <v>75</v>
      </c>
      <c r="D11865" t="s">
        <v>2620</v>
      </c>
      <c r="E11865">
        <f t="shared" si="560"/>
        <v>8.5470085470085479E-3</v>
      </c>
      <c r="F11865">
        <v>3</v>
      </c>
      <c r="G11865">
        <f>LOG(382/(3+1))</f>
        <v>1.9800033715837464</v>
      </c>
      <c r="H11865">
        <f>0.00854700854700854*4.55912624748668</f>
        <v>3.8966891004159621E-2</v>
      </c>
      <c r="I11865">
        <v>3.8966891004159697E-2</v>
      </c>
    </row>
    <row r="11866" spans="1:9" x14ac:dyDescent="0.25">
      <c r="A11866">
        <v>440</v>
      </c>
      <c r="B11866" t="s">
        <v>3468</v>
      </c>
      <c r="C11866" t="s">
        <v>75</v>
      </c>
      <c r="D11866" t="s">
        <v>144</v>
      </c>
      <c r="E11866">
        <f>2/117</f>
        <v>1.7094017094017096E-2</v>
      </c>
      <c r="F11866">
        <v>105</v>
      </c>
      <c r="G11866">
        <f>LOG(382/(105+1))</f>
        <v>0.55675749764693849</v>
      </c>
      <c r="H11866">
        <f>0.017094017094017*1.2819815144945</f>
        <v>2.1914213922982782E-2</v>
      </c>
      <c r="I11866">
        <v>2.1914213922983039E-2</v>
      </c>
    </row>
    <row r="11867" spans="1:9" x14ac:dyDescent="0.25">
      <c r="A11867">
        <v>440</v>
      </c>
      <c r="B11867" t="s">
        <v>3468</v>
      </c>
      <c r="C11867" t="s">
        <v>75</v>
      </c>
      <c r="D11867" t="s">
        <v>714</v>
      </c>
      <c r="E11867">
        <f t="shared" ref="E11867:E11879" si="561">1/117</f>
        <v>8.5470085470085479E-3</v>
      </c>
      <c r="F11867">
        <v>12</v>
      </c>
      <c r="G11867">
        <f>LOG(382/(12+1))</f>
        <v>1.468120010604872</v>
      </c>
      <c r="H11867">
        <f>0.00854700854700854*3.38047125114503</f>
        <v>2.8892916676453221E-2</v>
      </c>
      <c r="I11867">
        <v>2.8892916676453329E-2</v>
      </c>
    </row>
    <row r="11868" spans="1:9" x14ac:dyDescent="0.25">
      <c r="A11868">
        <v>440</v>
      </c>
      <c r="B11868" t="s">
        <v>3468</v>
      </c>
      <c r="C11868" t="s">
        <v>75</v>
      </c>
      <c r="D11868" t="s">
        <v>758</v>
      </c>
      <c r="E11868">
        <f t="shared" si="561"/>
        <v>8.5470085470085479E-3</v>
      </c>
      <c r="F11868">
        <v>26</v>
      </c>
      <c r="G11868">
        <f>LOG(382/(26+1))</f>
        <v>1.1506995987527215</v>
      </c>
      <c r="H11868">
        <f>0.00854700854700854*2.64958374260224</f>
        <v>2.2646014894036219E-2</v>
      </c>
      <c r="I11868">
        <v>2.2646014894036299E-2</v>
      </c>
    </row>
    <row r="11869" spans="1:9" x14ac:dyDescent="0.25">
      <c r="A11869">
        <v>440</v>
      </c>
      <c r="B11869" t="s">
        <v>3468</v>
      </c>
      <c r="C11869" t="s">
        <v>75</v>
      </c>
      <c r="D11869" t="s">
        <v>196</v>
      </c>
      <c r="E11869">
        <f t="shared" si="561"/>
        <v>8.5470085470085479E-3</v>
      </c>
      <c r="F11869">
        <v>33</v>
      </c>
      <c r="G11869">
        <f>LOG(382/(33+1))</f>
        <v>1.0505844458694535</v>
      </c>
      <c r="H11869">
        <f>0.00854700854700854*2.41906008399041</f>
        <v>2.0675727213593231E-2</v>
      </c>
      <c r="I11869">
        <v>2.067572721359328E-2</v>
      </c>
    </row>
    <row r="11870" spans="1:9" x14ac:dyDescent="0.25">
      <c r="A11870">
        <v>440</v>
      </c>
      <c r="B11870" t="s">
        <v>3468</v>
      </c>
      <c r="C11870" t="s">
        <v>75</v>
      </c>
      <c r="D11870" t="s">
        <v>39</v>
      </c>
      <c r="E11870">
        <f t="shared" si="561"/>
        <v>8.5470085470085479E-3</v>
      </c>
      <c r="F11870">
        <v>145</v>
      </c>
      <c r="G11870">
        <f>LOG(382/(145+1))</f>
        <v>0.41771050712727159</v>
      </c>
      <c r="H11870">
        <f>0.00854700854700854*0.961813986898238</f>
        <v>8.2206323666516E-3</v>
      </c>
      <c r="I11870">
        <v>8.2206323666516139E-3</v>
      </c>
    </row>
    <row r="11871" spans="1:9" x14ac:dyDescent="0.25">
      <c r="A11871">
        <v>440</v>
      </c>
      <c r="B11871" t="s">
        <v>3468</v>
      </c>
      <c r="C11871" t="s">
        <v>75</v>
      </c>
      <c r="D11871" t="s">
        <v>322</v>
      </c>
      <c r="E11871">
        <f t="shared" si="561"/>
        <v>8.5470085470085479E-3</v>
      </c>
      <c r="F11871">
        <v>128</v>
      </c>
      <c r="G11871">
        <f>LOG(382/(128+1))</f>
        <v>0.47147365261245977</v>
      </c>
      <c r="H11871">
        <f>0.00854700854700854*1.0856082042449</f>
        <v>9.2787026003837529E-3</v>
      </c>
      <c r="I11871">
        <v>9.2787026003837876E-3</v>
      </c>
    </row>
    <row r="11872" spans="1:9" x14ac:dyDescent="0.25">
      <c r="A11872">
        <v>440</v>
      </c>
      <c r="B11872" t="s">
        <v>3468</v>
      </c>
      <c r="C11872" t="s">
        <v>75</v>
      </c>
      <c r="D11872" t="s">
        <v>340</v>
      </c>
      <c r="E11872">
        <f t="shared" si="561"/>
        <v>8.5470085470085479E-3</v>
      </c>
      <c r="F11872">
        <v>28</v>
      </c>
      <c r="G11872">
        <f>LOG(382/(28+1))</f>
        <v>1.1196653650127526</v>
      </c>
      <c r="H11872">
        <f>0.00854700854700854*2.5781247786201</f>
        <v>2.2035254518120492E-2</v>
      </c>
      <c r="I11872">
        <v>2.203525451812053E-2</v>
      </c>
    </row>
    <row r="11873" spans="1:9" x14ac:dyDescent="0.25">
      <c r="A11873">
        <v>440</v>
      </c>
      <c r="B11873" t="s">
        <v>3468</v>
      </c>
      <c r="C11873" t="s">
        <v>75</v>
      </c>
      <c r="D11873" t="s">
        <v>133</v>
      </c>
      <c r="E11873">
        <f t="shared" si="561"/>
        <v>8.5470085470085479E-3</v>
      </c>
      <c r="F11873">
        <v>142</v>
      </c>
      <c r="G11873">
        <f>LOG(382/(142+1))</f>
        <v>0.42672732544664693</v>
      </c>
      <c r="H11873">
        <f>0.00854700854700854*0.982575978346667</f>
        <v>8.398085285014241E-3</v>
      </c>
      <c r="I11873">
        <v>8.3980852850142566E-3</v>
      </c>
    </row>
    <row r="11874" spans="1:9" x14ac:dyDescent="0.25">
      <c r="A11874">
        <v>440</v>
      </c>
      <c r="B11874" t="s">
        <v>3468</v>
      </c>
      <c r="C11874" t="s">
        <v>75</v>
      </c>
      <c r="D11874" t="s">
        <v>599</v>
      </c>
      <c r="E11874">
        <f t="shared" si="561"/>
        <v>8.5470085470085479E-3</v>
      </c>
      <c r="F11874">
        <v>28</v>
      </c>
      <c r="G11874">
        <f>LOG(382/(28+1))</f>
        <v>1.1196653650127526</v>
      </c>
      <c r="H11874">
        <f>0.00854700854700854*2.5781247786201</f>
        <v>2.2035254518120492E-2</v>
      </c>
      <c r="I11874">
        <v>2.203525451812053E-2</v>
      </c>
    </row>
    <row r="11875" spans="1:9" x14ac:dyDescent="0.25">
      <c r="A11875">
        <v>440</v>
      </c>
      <c r="B11875" t="s">
        <v>3468</v>
      </c>
      <c r="C11875" t="s">
        <v>75</v>
      </c>
      <c r="D11875" t="s">
        <v>123</v>
      </c>
      <c r="E11875">
        <f t="shared" si="561"/>
        <v>8.5470085470085479E-3</v>
      </c>
      <c r="F11875">
        <v>74</v>
      </c>
      <c r="G11875">
        <f>LOG(382/(74+1))</f>
        <v>0.7070020995200087</v>
      </c>
      <c r="H11875">
        <f>0.00854700854700854*1.62793249507026</f>
        <v>1.3913952949318449E-2</v>
      </c>
      <c r="I11875">
        <v>1.3913952949318501E-2</v>
      </c>
    </row>
    <row r="11876" spans="1:9" x14ac:dyDescent="0.25">
      <c r="A11876">
        <v>440</v>
      </c>
      <c r="B11876" t="s">
        <v>3468</v>
      </c>
      <c r="C11876" t="s">
        <v>75</v>
      </c>
      <c r="D11876" t="s">
        <v>119</v>
      </c>
      <c r="E11876">
        <f t="shared" si="561"/>
        <v>8.5470085470085479E-3</v>
      </c>
      <c r="F11876">
        <v>79</v>
      </c>
      <c r="G11876">
        <f>LOG(382/(79+1))</f>
        <v>0.67897337591976514</v>
      </c>
      <c r="H11876">
        <f>0.00854700854700854*1.56339397393269</f>
        <v>1.3362341657544347E-2</v>
      </c>
      <c r="I11876">
        <v>1.336234165754439E-2</v>
      </c>
    </row>
    <row r="11877" spans="1:9" x14ac:dyDescent="0.25">
      <c r="A11877">
        <v>440</v>
      </c>
      <c r="B11877" t="s">
        <v>3468</v>
      </c>
      <c r="C11877" t="s">
        <v>75</v>
      </c>
      <c r="D11877" t="s">
        <v>520</v>
      </c>
      <c r="E11877">
        <f t="shared" si="561"/>
        <v>8.5470085470085479E-3</v>
      </c>
      <c r="F11877">
        <v>25</v>
      </c>
      <c r="G11877">
        <f>LOG(382/(25+1))</f>
        <v>1.1670900149408907</v>
      </c>
      <c r="H11877">
        <f>0.00854700854700854*2.68732407058509</f>
        <v>2.2968581799872545E-2</v>
      </c>
      <c r="I11877">
        <v>2.296858179987259E-2</v>
      </c>
    </row>
    <row r="11878" spans="1:9" x14ac:dyDescent="0.25">
      <c r="A11878">
        <v>440</v>
      </c>
      <c r="B11878" t="s">
        <v>3468</v>
      </c>
      <c r="C11878" t="s">
        <v>75</v>
      </c>
      <c r="D11878" t="s">
        <v>201</v>
      </c>
      <c r="E11878">
        <f t="shared" si="561"/>
        <v>8.5470085470085479E-3</v>
      </c>
      <c r="F11878">
        <v>72</v>
      </c>
      <c r="G11878">
        <f>LOG(382/(72+1))</f>
        <v>0.71874050279125279</v>
      </c>
      <c r="H11878">
        <f>0.00854700854700854*1.65496116745818</f>
        <v>1.4144967243232293E-2</v>
      </c>
      <c r="I11878">
        <v>1.414496724323234E-2</v>
      </c>
    </row>
    <row r="11879" spans="1:9" x14ac:dyDescent="0.25">
      <c r="A11879">
        <v>440</v>
      </c>
      <c r="B11879" t="s">
        <v>3468</v>
      </c>
      <c r="C11879" t="s">
        <v>75</v>
      </c>
      <c r="D11879" t="s">
        <v>746</v>
      </c>
      <c r="E11879">
        <f t="shared" si="561"/>
        <v>8.5470085470085479E-3</v>
      </c>
      <c r="F11879">
        <v>58</v>
      </c>
      <c r="G11879">
        <f>LOG(382/(58+1))</f>
        <v>0.81121135126956456</v>
      </c>
      <c r="H11879">
        <f>0.00854700854700854*1.86788316470085</f>
        <v>1.5964813373511525E-2</v>
      </c>
      <c r="I11879">
        <v>1.5964813373511591E-2</v>
      </c>
    </row>
    <row r="11880" spans="1:9" x14ac:dyDescent="0.25">
      <c r="A11880">
        <v>441</v>
      </c>
      <c r="B11880" t="s">
        <v>3487</v>
      </c>
      <c r="C11880" t="s">
        <v>75</v>
      </c>
      <c r="D11880" t="s">
        <v>3488</v>
      </c>
      <c r="E11880">
        <f>1/34</f>
        <v>2.9411764705882353E-2</v>
      </c>
      <c r="F11880">
        <v>6</v>
      </c>
      <c r="G11880">
        <f>LOG(382/(6+1))</f>
        <v>1.736965322897452</v>
      </c>
      <c r="H11880">
        <f>0.0294117647058823*3.99951045955126</f>
        <v>0.11763266057503685</v>
      </c>
      <c r="I11880">
        <v>0.1176326605750371</v>
      </c>
    </row>
    <row r="11881" spans="1:9" x14ac:dyDescent="0.25">
      <c r="A11881">
        <v>441</v>
      </c>
      <c r="B11881" t="s">
        <v>3487</v>
      </c>
      <c r="C11881" t="s">
        <v>75</v>
      </c>
      <c r="D11881" t="s">
        <v>3489</v>
      </c>
      <c r="E11881">
        <f>1/34</f>
        <v>2.9411764705882353E-2</v>
      </c>
      <c r="F11881">
        <v>2</v>
      </c>
      <c r="G11881">
        <f>LOG(382/(2+1))</f>
        <v>2.1049421081920463</v>
      </c>
      <c r="H11881">
        <f>0.0294117647058823*4.84680831993846</f>
        <v>0.14255318588054269</v>
      </c>
      <c r="I11881">
        <v>0.14255318588054311</v>
      </c>
    </row>
    <row r="11882" spans="1:9" x14ac:dyDescent="0.25">
      <c r="A11882">
        <v>441</v>
      </c>
      <c r="B11882" t="s">
        <v>3487</v>
      </c>
      <c r="C11882" t="s">
        <v>75</v>
      </c>
      <c r="D11882" t="s">
        <v>408</v>
      </c>
      <c r="E11882">
        <f>1/34</f>
        <v>2.9411764705882353E-2</v>
      </c>
      <c r="F11882">
        <v>27</v>
      </c>
      <c r="G11882">
        <f>LOG(382/(27+1))</f>
        <v>1.1349053315694895</v>
      </c>
      <c r="H11882">
        <f>0.0294117647058823*2.61321609843137</f>
        <v>7.6859297012687219E-2</v>
      </c>
      <c r="I11882">
        <v>7.6859297012687386E-2</v>
      </c>
    </row>
    <row r="11883" spans="1:9" x14ac:dyDescent="0.25">
      <c r="A11883">
        <v>441</v>
      </c>
      <c r="B11883" t="s">
        <v>3487</v>
      </c>
      <c r="C11883" t="s">
        <v>75</v>
      </c>
      <c r="D11883" t="s">
        <v>1080</v>
      </c>
      <c r="E11883">
        <f>2/34</f>
        <v>5.8823529411764705E-2</v>
      </c>
      <c r="F11883">
        <v>26</v>
      </c>
      <c r="G11883">
        <f>LOG(382/(26+1))</f>
        <v>1.1506995987527215</v>
      </c>
      <c r="H11883">
        <f>0.0588235294117647*2.64958374260224</f>
        <v>0.15585786721189646</v>
      </c>
      <c r="I11883">
        <v>0.15585786721189679</v>
      </c>
    </row>
    <row r="11884" spans="1:9" x14ac:dyDescent="0.25">
      <c r="A11884">
        <v>441</v>
      </c>
      <c r="B11884" t="s">
        <v>3487</v>
      </c>
      <c r="C11884" t="s">
        <v>75</v>
      </c>
      <c r="D11884" t="s">
        <v>3490</v>
      </c>
      <c r="E11884">
        <f>1/34</f>
        <v>2.9411764705882353E-2</v>
      </c>
      <c r="F11884">
        <v>1</v>
      </c>
      <c r="G11884">
        <f>LOG(382/(1+1))</f>
        <v>2.2810333672477277</v>
      </c>
      <c r="H11884">
        <f>0.0294117647058823*5.25227342804663</f>
        <v>0.1544786302366653</v>
      </c>
      <c r="I11884">
        <v>0.15447863023666561</v>
      </c>
    </row>
    <row r="11885" spans="1:9" x14ac:dyDescent="0.25">
      <c r="A11885">
        <v>441</v>
      </c>
      <c r="B11885" t="s">
        <v>3487</v>
      </c>
      <c r="C11885" t="s">
        <v>75</v>
      </c>
      <c r="D11885" t="s">
        <v>1537</v>
      </c>
      <c r="E11885">
        <f>2/34</f>
        <v>5.8823529411764705E-2</v>
      </c>
      <c r="F11885">
        <v>80</v>
      </c>
      <c r="G11885">
        <f>LOG(382/(80+1))</f>
        <v>0.67357834403305894</v>
      </c>
      <c r="H11885">
        <f>0.0588235294117647*1.55097145393413</f>
        <v>9.1233614937301755E-2</v>
      </c>
      <c r="I11885">
        <v>9.1233614937302143E-2</v>
      </c>
    </row>
    <row r="11886" spans="1:9" x14ac:dyDescent="0.25">
      <c r="A11886">
        <v>441</v>
      </c>
      <c r="B11886" t="s">
        <v>3487</v>
      </c>
      <c r="C11886" t="s">
        <v>75</v>
      </c>
      <c r="D11886" t="s">
        <v>42</v>
      </c>
      <c r="E11886">
        <f>1/34</f>
        <v>2.9411764705882353E-2</v>
      </c>
      <c r="F11886">
        <v>251</v>
      </c>
      <c r="G11886">
        <f>LOG(382/(251+1))</f>
        <v>0.18066282213016463</v>
      </c>
      <c r="H11886">
        <f>0.0294117647058823*0.415991521095151</f>
        <v>1.2235044738092653E-2</v>
      </c>
      <c r="I11886">
        <v>1.22350447380927E-2</v>
      </c>
    </row>
    <row r="11887" spans="1:9" x14ac:dyDescent="0.25">
      <c r="A11887">
        <v>441</v>
      </c>
      <c r="B11887" t="s">
        <v>3487</v>
      </c>
      <c r="C11887" t="s">
        <v>75</v>
      </c>
      <c r="D11887" t="s">
        <v>147</v>
      </c>
      <c r="E11887">
        <f>1/34</f>
        <v>2.9411764705882353E-2</v>
      </c>
      <c r="F11887">
        <v>48</v>
      </c>
      <c r="G11887">
        <f>LOG(382/(48+1))</f>
        <v>0.89186728288319506</v>
      </c>
      <c r="H11887">
        <f>0.0294117647058823*2.05360031049594</f>
        <v>6.0400009132233423E-2</v>
      </c>
      <c r="I11887">
        <v>6.0400009132233791E-2</v>
      </c>
    </row>
    <row r="11888" spans="1:9" x14ac:dyDescent="0.25">
      <c r="A11888">
        <v>441</v>
      </c>
      <c r="B11888" t="s">
        <v>3487</v>
      </c>
      <c r="C11888" t="s">
        <v>75</v>
      </c>
      <c r="D11888" t="s">
        <v>22</v>
      </c>
      <c r="E11888">
        <f>1/34</f>
        <v>2.9411764705882353E-2</v>
      </c>
      <c r="F11888">
        <v>259</v>
      </c>
      <c r="G11888">
        <f>LOG(382/(259+1))</f>
        <v>0.16709001494089079</v>
      </c>
      <c r="H11888">
        <f>0.0294117647058823*0.384738977591047</f>
        <v>1.1315852282089598E-2</v>
      </c>
      <c r="I11888">
        <v>1.1315852282089631E-2</v>
      </c>
    </row>
    <row r="11889" spans="1:9" x14ac:dyDescent="0.25">
      <c r="A11889">
        <v>441</v>
      </c>
      <c r="B11889" t="s">
        <v>3487</v>
      </c>
      <c r="C11889" t="s">
        <v>75</v>
      </c>
      <c r="D11889" t="s">
        <v>23</v>
      </c>
      <c r="E11889">
        <f>1/34</f>
        <v>2.9411764705882353E-2</v>
      </c>
      <c r="F11889">
        <v>275</v>
      </c>
      <c r="G11889">
        <f>LOG(382/(275+1))</f>
        <v>0.14115428084649101</v>
      </c>
      <c r="H11889">
        <f>0.0294117647058823*0.325019742889425</f>
        <v>9.5594042026301302E-3</v>
      </c>
      <c r="I11889">
        <v>9.559404202630151E-3</v>
      </c>
    </row>
    <row r="11890" spans="1:9" x14ac:dyDescent="0.25">
      <c r="A11890">
        <v>441</v>
      </c>
      <c r="B11890" t="s">
        <v>3487</v>
      </c>
      <c r="C11890" t="s">
        <v>75</v>
      </c>
      <c r="D11890" t="s">
        <v>105</v>
      </c>
      <c r="E11890">
        <f>1/34</f>
        <v>2.9411764705882353E-2</v>
      </c>
      <c r="F11890">
        <v>122</v>
      </c>
      <c r="G11890">
        <f>LOG(382/(122+1))</f>
        <v>0.49215825147231079</v>
      </c>
      <c r="H11890">
        <f>0.0294117647058823*1.13323625323415</f>
        <v>3.3330478036298468E-2</v>
      </c>
      <c r="I11890">
        <v>3.3330478036298752E-2</v>
      </c>
    </row>
    <row r="11891" spans="1:9" x14ac:dyDescent="0.25">
      <c r="A11891">
        <v>441</v>
      </c>
      <c r="B11891" t="s">
        <v>3487</v>
      </c>
      <c r="C11891" t="s">
        <v>75</v>
      </c>
      <c r="D11891" t="s">
        <v>2238</v>
      </c>
      <c r="E11891">
        <f>3/34</f>
        <v>8.8235294117647065E-2</v>
      </c>
      <c r="F11891">
        <v>68</v>
      </c>
      <c r="G11891">
        <f>LOG(382/(68+1))</f>
        <v>0.74321427217445335</v>
      </c>
      <c r="H11891">
        <f>0.088235294117647*1.71131410400931</f>
        <v>0.15099830329493902</v>
      </c>
      <c r="I11891">
        <v>0.1509983032949396</v>
      </c>
    </row>
    <row r="11892" spans="1:9" x14ac:dyDescent="0.25">
      <c r="A11892">
        <v>441</v>
      </c>
      <c r="B11892" t="s">
        <v>3487</v>
      </c>
      <c r="C11892" t="s">
        <v>75</v>
      </c>
      <c r="D11892" t="s">
        <v>3195</v>
      </c>
      <c r="E11892">
        <f t="shared" ref="E11892:E11898" si="562">1/34</f>
        <v>2.9411764705882353E-2</v>
      </c>
      <c r="F11892">
        <v>3</v>
      </c>
      <c r="G11892">
        <f>LOG(382/(3+1))</f>
        <v>1.9800033715837464</v>
      </c>
      <c r="H11892">
        <f>0.0294117647058823*4.55912624748668</f>
        <v>0.13409194845549036</v>
      </c>
      <c r="I11892">
        <v>0.13409194845549069</v>
      </c>
    </row>
    <row r="11893" spans="1:9" x14ac:dyDescent="0.25">
      <c r="A11893">
        <v>441</v>
      </c>
      <c r="B11893" t="s">
        <v>3487</v>
      </c>
      <c r="C11893" t="s">
        <v>75</v>
      </c>
      <c r="D11893" t="s">
        <v>3491</v>
      </c>
      <c r="E11893">
        <f t="shared" si="562"/>
        <v>2.9411764705882353E-2</v>
      </c>
      <c r="F11893">
        <v>3</v>
      </c>
      <c r="G11893">
        <f>LOG(382/(3+1))</f>
        <v>1.9800033715837464</v>
      </c>
      <c r="H11893">
        <f>0.0294117647058823*4.55912624748668</f>
        <v>0.13409194845549036</v>
      </c>
      <c r="I11893">
        <v>0.13409194845549069</v>
      </c>
    </row>
    <row r="11894" spans="1:9" x14ac:dyDescent="0.25">
      <c r="A11894">
        <v>441</v>
      </c>
      <c r="B11894" t="s">
        <v>3487</v>
      </c>
      <c r="C11894" t="s">
        <v>75</v>
      </c>
      <c r="D11894" t="s">
        <v>362</v>
      </c>
      <c r="E11894">
        <f t="shared" si="562"/>
        <v>2.9411764705882353E-2</v>
      </c>
      <c r="F11894">
        <v>81</v>
      </c>
      <c r="G11894">
        <f>LOG(382/(81+1))</f>
        <v>0.66824951052799197</v>
      </c>
      <c r="H11894">
        <f>0.0294117647058823*1.53870136134232</f>
        <v>4.5255922392421093E-2</v>
      </c>
      <c r="I11894">
        <v>4.5255922392421231E-2</v>
      </c>
    </row>
    <row r="11895" spans="1:9" x14ac:dyDescent="0.25">
      <c r="A11895">
        <v>441</v>
      </c>
      <c r="B11895" t="s">
        <v>3487</v>
      </c>
      <c r="C11895" t="s">
        <v>75</v>
      </c>
      <c r="D11895" t="s">
        <v>3492</v>
      </c>
      <c r="E11895">
        <f t="shared" si="562"/>
        <v>2.9411764705882353E-2</v>
      </c>
      <c r="F11895">
        <v>12</v>
      </c>
      <c r="G11895">
        <f>LOG(382/(12+1))</f>
        <v>1.468120010604872</v>
      </c>
      <c r="H11895">
        <f>0.0294117647058823*3.38047125114503</f>
        <v>9.9425625033677176E-2</v>
      </c>
      <c r="I11895">
        <v>9.9425625033677606E-2</v>
      </c>
    </row>
    <row r="11896" spans="1:9" x14ac:dyDescent="0.25">
      <c r="A11896">
        <v>441</v>
      </c>
      <c r="B11896" t="s">
        <v>3487</v>
      </c>
      <c r="C11896" t="s">
        <v>75</v>
      </c>
      <c r="D11896" t="s">
        <v>126</v>
      </c>
      <c r="E11896">
        <f t="shared" si="562"/>
        <v>2.9411764705882353E-2</v>
      </c>
      <c r="F11896">
        <v>79</v>
      </c>
      <c r="G11896">
        <f>LOG(382/(79+1))</f>
        <v>0.67897337591976514</v>
      </c>
      <c r="H11896">
        <f>0.0294117647058823*1.56339397393269</f>
        <v>4.5982175703902568E-2</v>
      </c>
      <c r="I11896">
        <v>4.5982175703902763E-2</v>
      </c>
    </row>
    <row r="11897" spans="1:9" x14ac:dyDescent="0.25">
      <c r="A11897">
        <v>441</v>
      </c>
      <c r="B11897" t="s">
        <v>3487</v>
      </c>
      <c r="C11897" t="s">
        <v>75</v>
      </c>
      <c r="D11897" t="s">
        <v>204</v>
      </c>
      <c r="E11897">
        <f t="shared" si="562"/>
        <v>2.9411764705882353E-2</v>
      </c>
      <c r="F11897">
        <v>166</v>
      </c>
      <c r="G11897">
        <f>LOG(382/(166+1))</f>
        <v>0.35934689176412549</v>
      </c>
      <c r="H11897">
        <f>0.0294117647058823*0.82742679618982</f>
        <v>2.4336082240877015E-2</v>
      </c>
      <c r="I11897">
        <v>2.433608224087706E-2</v>
      </c>
    </row>
    <row r="11898" spans="1:9" x14ac:dyDescent="0.25">
      <c r="A11898">
        <v>441</v>
      </c>
      <c r="B11898" t="s">
        <v>3487</v>
      </c>
      <c r="C11898" t="s">
        <v>75</v>
      </c>
      <c r="D11898" t="s">
        <v>133</v>
      </c>
      <c r="E11898">
        <f t="shared" si="562"/>
        <v>2.9411764705882353E-2</v>
      </c>
      <c r="F11898">
        <v>142</v>
      </c>
      <c r="G11898">
        <f>LOG(382/(142+1))</f>
        <v>0.42672732544664693</v>
      </c>
      <c r="H11898">
        <f>0.0294117647058823*0.982575978346667</f>
        <v>2.8899293480784273E-2</v>
      </c>
      <c r="I11898">
        <v>2.8899293480784349E-2</v>
      </c>
    </row>
    <row r="11899" spans="1:9" x14ac:dyDescent="0.25">
      <c r="A11899">
        <v>441</v>
      </c>
      <c r="B11899" t="s">
        <v>3487</v>
      </c>
      <c r="C11899" t="s">
        <v>75</v>
      </c>
      <c r="D11899" t="s">
        <v>237</v>
      </c>
      <c r="E11899">
        <f>2/34</f>
        <v>5.8823529411764705E-2</v>
      </c>
      <c r="F11899">
        <v>138</v>
      </c>
      <c r="G11899">
        <f>LOG(382/(138+1))</f>
        <v>0.43904856265761361</v>
      </c>
      <c r="H11899">
        <f>0.0588235294117647*1.01094667547588</f>
        <v>5.9467451498581167E-2</v>
      </c>
      <c r="I11899">
        <v>5.9467451498581382E-2</v>
      </c>
    </row>
    <row r="11900" spans="1:9" x14ac:dyDescent="0.25">
      <c r="A11900">
        <v>441</v>
      </c>
      <c r="B11900" t="s">
        <v>3487</v>
      </c>
      <c r="C11900" t="s">
        <v>75</v>
      </c>
      <c r="D11900" t="s">
        <v>243</v>
      </c>
      <c r="E11900">
        <f t="shared" ref="E11900:E11908" si="563">1/34</f>
        <v>2.9411764705882353E-2</v>
      </c>
      <c r="F11900">
        <v>131</v>
      </c>
      <c r="G11900">
        <f>LOG(382/(131+1))</f>
        <v>0.46148943170585888</v>
      </c>
      <c r="H11900">
        <f>0.0294117647058823*1.0626186860202</f>
        <v>3.1253490765299943E-2</v>
      </c>
      <c r="I11900">
        <v>3.1253490765300117E-2</v>
      </c>
    </row>
    <row r="11901" spans="1:9" x14ac:dyDescent="0.25">
      <c r="A11901">
        <v>441</v>
      </c>
      <c r="B11901" t="s">
        <v>3487</v>
      </c>
      <c r="C11901" t="s">
        <v>75</v>
      </c>
      <c r="D11901" t="s">
        <v>361</v>
      </c>
      <c r="E11901">
        <f t="shared" si="563"/>
        <v>2.9411764705882353E-2</v>
      </c>
      <c r="F11901">
        <v>118</v>
      </c>
      <c r="G11901">
        <f>LOG(382/(118+1))</f>
        <v>0.50651640151917798</v>
      </c>
      <c r="H11901">
        <f>0.0294117647058823*1.16629711549504</f>
        <v>3.4302856338089348E-2</v>
      </c>
      <c r="I11901">
        <v>3.4302856338089577E-2</v>
      </c>
    </row>
    <row r="11902" spans="1:9" x14ac:dyDescent="0.25">
      <c r="A11902">
        <v>441</v>
      </c>
      <c r="B11902" t="s">
        <v>3487</v>
      </c>
      <c r="C11902" t="s">
        <v>75</v>
      </c>
      <c r="D11902" t="s">
        <v>434</v>
      </c>
      <c r="E11902">
        <f t="shared" si="563"/>
        <v>2.9411764705882353E-2</v>
      </c>
      <c r="F11902">
        <v>97</v>
      </c>
      <c r="G11902">
        <f>LOG(382/(97+1))</f>
        <v>0.59083728721921391</v>
      </c>
      <c r="H11902">
        <f>0.0294117647058823*1.360453129936</f>
        <v>4.0013327351058753E-2</v>
      </c>
      <c r="I11902">
        <v>4.0013327351058919E-2</v>
      </c>
    </row>
    <row r="11903" spans="1:9" x14ac:dyDescent="0.25">
      <c r="A11903">
        <v>441</v>
      </c>
      <c r="B11903" t="s">
        <v>3487</v>
      </c>
      <c r="C11903" t="s">
        <v>75</v>
      </c>
      <c r="D11903" t="s">
        <v>144</v>
      </c>
      <c r="E11903">
        <f t="shared" si="563"/>
        <v>2.9411764705882353E-2</v>
      </c>
      <c r="F11903">
        <v>105</v>
      </c>
      <c r="G11903">
        <f>LOG(382/(105+1))</f>
        <v>0.55675749764693849</v>
      </c>
      <c r="H11903">
        <f>0.0294117647058823*1.2819815144945</f>
        <v>3.7705338661602875E-2</v>
      </c>
      <c r="I11903">
        <v>3.7705338661603173E-2</v>
      </c>
    </row>
    <row r="11904" spans="1:9" x14ac:dyDescent="0.25">
      <c r="A11904">
        <v>441</v>
      </c>
      <c r="B11904" t="s">
        <v>3487</v>
      </c>
      <c r="C11904" t="s">
        <v>75</v>
      </c>
      <c r="D11904" t="s">
        <v>881</v>
      </c>
      <c r="E11904">
        <f t="shared" si="563"/>
        <v>2.9411764705882353E-2</v>
      </c>
      <c r="F11904">
        <v>15</v>
      </c>
      <c r="G11904">
        <f>LOG(382/(15+1))</f>
        <v>1.3779433802557839</v>
      </c>
      <c r="H11904">
        <f>0.0294117647058823*3.17283188636679</f>
        <v>9.3318584893140724E-2</v>
      </c>
      <c r="I11904">
        <v>9.3318584893141002E-2</v>
      </c>
    </row>
    <row r="11905" spans="1:9" x14ac:dyDescent="0.25">
      <c r="A11905">
        <v>441</v>
      </c>
      <c r="B11905" t="s">
        <v>3487</v>
      </c>
      <c r="C11905" t="s">
        <v>75</v>
      </c>
      <c r="D11905" t="s">
        <v>888</v>
      </c>
      <c r="E11905">
        <f t="shared" si="563"/>
        <v>2.9411764705882353E-2</v>
      </c>
      <c r="F11905">
        <v>21</v>
      </c>
      <c r="G11905">
        <f>LOG(382/(21+1))</f>
        <v>1.2396406820895025</v>
      </c>
      <c r="H11905">
        <f>0.0294117647058823*2.85437815524825</f>
        <v>8.3952298683771909E-2</v>
      </c>
      <c r="I11905">
        <v>8.3952298683772325E-2</v>
      </c>
    </row>
    <row r="11906" spans="1:9" x14ac:dyDescent="0.25">
      <c r="A11906">
        <v>441</v>
      </c>
      <c r="B11906" t="s">
        <v>3487</v>
      </c>
      <c r="C11906" t="s">
        <v>75</v>
      </c>
      <c r="D11906" t="s">
        <v>263</v>
      </c>
      <c r="E11906">
        <f t="shared" si="563"/>
        <v>2.9411764705882353E-2</v>
      </c>
      <c r="F11906">
        <v>41</v>
      </c>
      <c r="G11906">
        <f>LOG(382/(41+1))</f>
        <v>0.95881407251380824</v>
      </c>
      <c r="H11906">
        <f>0.0294117647058823*2.2077509903232</f>
        <v>6.4933852656564595E-2</v>
      </c>
      <c r="I11906">
        <v>6.4933852656564914E-2</v>
      </c>
    </row>
    <row r="11907" spans="1:9" x14ac:dyDescent="0.25">
      <c r="A11907">
        <v>441</v>
      </c>
      <c r="B11907" t="s">
        <v>3487</v>
      </c>
      <c r="C11907" t="s">
        <v>75</v>
      </c>
      <c r="D11907" t="s">
        <v>836</v>
      </c>
      <c r="E11907">
        <f t="shared" si="563"/>
        <v>2.9411764705882353E-2</v>
      </c>
      <c r="F11907">
        <v>21</v>
      </c>
      <c r="G11907">
        <f>LOG(382/(21+1))</f>
        <v>1.2396406820895025</v>
      </c>
      <c r="H11907">
        <f>0.0294117647058823*2.85437815524825</f>
        <v>8.3952298683771909E-2</v>
      </c>
      <c r="I11907">
        <v>8.3952298683772325E-2</v>
      </c>
    </row>
    <row r="11908" spans="1:9" x14ac:dyDescent="0.25">
      <c r="A11908">
        <v>441</v>
      </c>
      <c r="B11908" t="s">
        <v>3487</v>
      </c>
      <c r="C11908" t="s">
        <v>75</v>
      </c>
      <c r="D11908" t="s">
        <v>3493</v>
      </c>
      <c r="E11908">
        <f t="shared" si="563"/>
        <v>2.9411764705882353E-2</v>
      </c>
      <c r="F11908">
        <v>1</v>
      </c>
      <c r="G11908">
        <f>LOG(382/(1+1))</f>
        <v>2.2810333672477277</v>
      </c>
      <c r="H11908">
        <f>0.0294117647058823*5.25227342804663</f>
        <v>0.1544786302366653</v>
      </c>
      <c r="I11908">
        <v>0.15447863023666561</v>
      </c>
    </row>
    <row r="11909" spans="1:9" x14ac:dyDescent="0.25">
      <c r="A11909">
        <v>442</v>
      </c>
      <c r="B11909" t="s">
        <v>3494</v>
      </c>
      <c r="C11909" t="s">
        <v>75</v>
      </c>
      <c r="D11909" t="s">
        <v>147</v>
      </c>
      <c r="E11909">
        <f>6/103</f>
        <v>5.8252427184466021E-2</v>
      </c>
      <c r="F11909">
        <v>48</v>
      </c>
      <c r="G11909">
        <f>LOG(382/(48+1))</f>
        <v>0.89186728288319506</v>
      </c>
      <c r="H11909">
        <f>0.058252427184466*2.05360031049594</f>
        <v>0.1196272025531615</v>
      </c>
      <c r="I11909">
        <v>0.1196272025531621</v>
      </c>
    </row>
    <row r="11910" spans="1:9" x14ac:dyDescent="0.25">
      <c r="A11910">
        <v>442</v>
      </c>
      <c r="B11910" t="s">
        <v>3494</v>
      </c>
      <c r="C11910" t="s">
        <v>75</v>
      </c>
      <c r="D11910" t="s">
        <v>3495</v>
      </c>
      <c r="E11910">
        <f>5/103</f>
        <v>4.8543689320388349E-2</v>
      </c>
      <c r="F11910">
        <v>1</v>
      </c>
      <c r="G11910">
        <f>LOG(382/(1+1))</f>
        <v>2.2810333672477277</v>
      </c>
      <c r="H11910">
        <f>0.0485436893203883*5.25227342804663</f>
        <v>0.25496472951682642</v>
      </c>
      <c r="I11910">
        <v>0.25496472951682669</v>
      </c>
    </row>
    <row r="11911" spans="1:9" x14ac:dyDescent="0.25">
      <c r="A11911">
        <v>442</v>
      </c>
      <c r="B11911" t="s">
        <v>3494</v>
      </c>
      <c r="C11911" t="s">
        <v>75</v>
      </c>
      <c r="D11911" t="s">
        <v>670</v>
      </c>
      <c r="E11911">
        <f>5/103</f>
        <v>4.8543689320388349E-2</v>
      </c>
      <c r="F11911">
        <v>6</v>
      </c>
      <c r="G11911">
        <f>LOG(382/(6+1))</f>
        <v>1.736965322897452</v>
      </c>
      <c r="H11911">
        <f>0.0485436893203883*3.99951045955126</f>
        <v>0.1941509931820998</v>
      </c>
      <c r="I11911">
        <v>0.19415099318210011</v>
      </c>
    </row>
    <row r="11912" spans="1:9" x14ac:dyDescent="0.25">
      <c r="A11912">
        <v>442</v>
      </c>
      <c r="B11912" t="s">
        <v>3494</v>
      </c>
      <c r="C11912" t="s">
        <v>75</v>
      </c>
      <c r="D11912" t="s">
        <v>3496</v>
      </c>
      <c r="E11912">
        <f>1/103</f>
        <v>9.7087378640776691E-3</v>
      </c>
      <c r="F11912">
        <v>1</v>
      </c>
      <c r="G11912">
        <f>LOG(382/(1+1))</f>
        <v>2.2810333672477277</v>
      </c>
      <c r="H11912">
        <f>0.00970873786407766*5.25227342804663</f>
        <v>5.099294590336529E-2</v>
      </c>
      <c r="I11912">
        <v>5.0992945903365332E-2</v>
      </c>
    </row>
    <row r="11913" spans="1:9" x14ac:dyDescent="0.25">
      <c r="A11913">
        <v>442</v>
      </c>
      <c r="B11913" t="s">
        <v>3494</v>
      </c>
      <c r="C11913" t="s">
        <v>75</v>
      </c>
      <c r="D11913" t="s">
        <v>89</v>
      </c>
      <c r="E11913">
        <f>2/103</f>
        <v>1.9417475728155338E-2</v>
      </c>
      <c r="F11913">
        <v>40</v>
      </c>
      <c r="G11913">
        <f>LOG(382/(40+1))</f>
        <v>0.96927950619197323</v>
      </c>
      <c r="H11913">
        <f>0.0194174757281553*2.23184854190226</f>
        <v>4.3336864891305928E-2</v>
      </c>
      <c r="I11913">
        <v>4.3336864891306157E-2</v>
      </c>
    </row>
    <row r="11914" spans="1:9" x14ac:dyDescent="0.25">
      <c r="A11914">
        <v>442</v>
      </c>
      <c r="B11914" t="s">
        <v>3494</v>
      </c>
      <c r="C11914" t="s">
        <v>75</v>
      </c>
      <c r="D11914" t="s">
        <v>42</v>
      </c>
      <c r="E11914">
        <f t="shared" ref="E11914:E11923" si="564">1/103</f>
        <v>9.7087378640776691E-3</v>
      </c>
      <c r="F11914">
        <v>251</v>
      </c>
      <c r="G11914">
        <f>LOG(382/(251+1))</f>
        <v>0.18066282213016463</v>
      </c>
      <c r="H11914">
        <f>0.00970873786407766*0.415991521095151</f>
        <v>4.0387526319917528E-3</v>
      </c>
      <c r="I11914">
        <v>4.038752631991765E-3</v>
      </c>
    </row>
    <row r="11915" spans="1:9" x14ac:dyDescent="0.25">
      <c r="A11915">
        <v>442</v>
      </c>
      <c r="B11915" t="s">
        <v>3494</v>
      </c>
      <c r="C11915" t="s">
        <v>75</v>
      </c>
      <c r="D11915" t="s">
        <v>1496</v>
      </c>
      <c r="E11915">
        <f t="shared" si="564"/>
        <v>9.7087378640776691E-3</v>
      </c>
      <c r="F11915">
        <v>39</v>
      </c>
      <c r="G11915">
        <f>LOG(382/(39+1))</f>
        <v>0.9800033715837464</v>
      </c>
      <c r="H11915">
        <f>0.00970873786407766*2.25654115449263</f>
        <v>2.1908166548472115E-2</v>
      </c>
      <c r="I11915">
        <v>2.1908166548472219E-2</v>
      </c>
    </row>
    <row r="11916" spans="1:9" x14ac:dyDescent="0.25">
      <c r="A11916">
        <v>442</v>
      </c>
      <c r="B11916" t="s">
        <v>3494</v>
      </c>
      <c r="C11916" t="s">
        <v>75</v>
      </c>
      <c r="D11916" t="s">
        <v>1059</v>
      </c>
      <c r="E11916">
        <f t="shared" si="564"/>
        <v>9.7087378640776691E-3</v>
      </c>
      <c r="F11916">
        <v>16</v>
      </c>
      <c r="G11916">
        <f>LOG(382/(16+1))</f>
        <v>1.3516144415334348</v>
      </c>
      <c r="H11916">
        <f>0.00970873786407766*3.11220726455035</f>
        <v>3.0215604510197541E-2</v>
      </c>
      <c r="I11916">
        <v>3.0215604510197658E-2</v>
      </c>
    </row>
    <row r="11917" spans="1:9" x14ac:dyDescent="0.25">
      <c r="A11917">
        <v>442</v>
      </c>
      <c r="B11917" t="s">
        <v>3494</v>
      </c>
      <c r="C11917" t="s">
        <v>75</v>
      </c>
      <c r="D11917" t="s">
        <v>104</v>
      </c>
      <c r="E11917">
        <f t="shared" si="564"/>
        <v>9.7087378640776691E-3</v>
      </c>
      <c r="F11917">
        <v>49</v>
      </c>
      <c r="G11917">
        <f>LOG(382/(49+1))</f>
        <v>0.88309335857568994</v>
      </c>
      <c r="H11917">
        <f>0.00970873786407766*2.03339760317842</f>
        <v>1.9741724302703087E-2</v>
      </c>
      <c r="I11917">
        <v>1.9741724302703191E-2</v>
      </c>
    </row>
    <row r="11918" spans="1:9" x14ac:dyDescent="0.25">
      <c r="A11918">
        <v>442</v>
      </c>
      <c r="B11918" t="s">
        <v>3494</v>
      </c>
      <c r="C11918" t="s">
        <v>75</v>
      </c>
      <c r="D11918" t="s">
        <v>2394</v>
      </c>
      <c r="E11918">
        <f t="shared" si="564"/>
        <v>9.7087378640776691E-3</v>
      </c>
      <c r="F11918">
        <v>8</v>
      </c>
      <c r="G11918">
        <f>LOG(382/(8+1))</f>
        <v>1.6278208534723839</v>
      </c>
      <c r="H11918">
        <f>0.00970873786407766*3.74819603127035</f>
        <v>3.6390252730780059E-2</v>
      </c>
      <c r="I11918">
        <v>3.639025273078015E-2</v>
      </c>
    </row>
    <row r="11919" spans="1:9" x14ac:dyDescent="0.25">
      <c r="A11919">
        <v>442</v>
      </c>
      <c r="B11919" t="s">
        <v>3494</v>
      </c>
      <c r="C11919" t="s">
        <v>75</v>
      </c>
      <c r="D11919" t="s">
        <v>1907</v>
      </c>
      <c r="E11919">
        <f t="shared" si="564"/>
        <v>9.7087378640776691E-3</v>
      </c>
      <c r="F11919">
        <v>20</v>
      </c>
      <c r="G11919">
        <f>LOG(382/(20+1))</f>
        <v>1.2598440681777894</v>
      </c>
      <c r="H11919">
        <f>0.00970873786407766*2.90089817088315</f>
        <v>2.8164059911486867E-2</v>
      </c>
      <c r="I11919">
        <v>2.8164059911486908E-2</v>
      </c>
    </row>
    <row r="11920" spans="1:9" x14ac:dyDescent="0.25">
      <c r="A11920">
        <v>442</v>
      </c>
      <c r="B11920" t="s">
        <v>3494</v>
      </c>
      <c r="C11920" t="s">
        <v>75</v>
      </c>
      <c r="D11920" t="s">
        <v>1908</v>
      </c>
      <c r="E11920">
        <f t="shared" si="564"/>
        <v>9.7087378640776691E-3</v>
      </c>
      <c r="F11920">
        <v>20</v>
      </c>
      <c r="G11920">
        <f>LOG(382/(20+1))</f>
        <v>1.2598440681777894</v>
      </c>
      <c r="H11920">
        <f>0.00970873786407766*2.90089817088315</f>
        <v>2.8164059911486867E-2</v>
      </c>
      <c r="I11920">
        <v>2.8164059911486908E-2</v>
      </c>
    </row>
    <row r="11921" spans="1:9" x14ac:dyDescent="0.25">
      <c r="A11921">
        <v>442</v>
      </c>
      <c r="B11921" t="s">
        <v>3494</v>
      </c>
      <c r="C11921" t="s">
        <v>75</v>
      </c>
      <c r="D11921" t="s">
        <v>91</v>
      </c>
      <c r="E11921">
        <f t="shared" si="564"/>
        <v>9.7087378640776691E-3</v>
      </c>
      <c r="F11921">
        <v>33</v>
      </c>
      <c r="G11921">
        <f>LOG(382/(33+1))</f>
        <v>1.0505844458694535</v>
      </c>
      <c r="H11921">
        <f>0.00970873786407766*2.41906008399041</f>
        <v>2.3486020232916582E-2</v>
      </c>
      <c r="I11921">
        <v>2.3486020232916641E-2</v>
      </c>
    </row>
    <row r="11922" spans="1:9" x14ac:dyDescent="0.25">
      <c r="A11922">
        <v>442</v>
      </c>
      <c r="B11922" t="s">
        <v>3494</v>
      </c>
      <c r="C11922" t="s">
        <v>75</v>
      </c>
      <c r="D11922" t="s">
        <v>19</v>
      </c>
      <c r="E11922">
        <f t="shared" si="564"/>
        <v>9.7087378640776691E-3</v>
      </c>
      <c r="F11922">
        <v>220</v>
      </c>
      <c r="G11922">
        <f>LOG(382/(220+1))</f>
        <v>0.23767108922659805</v>
      </c>
      <c r="H11922">
        <f>0.00970873786407766*0.547257907088822</f>
        <v>5.3131835639691413E-3</v>
      </c>
      <c r="I11922">
        <v>5.3131835639691491E-3</v>
      </c>
    </row>
    <row r="11923" spans="1:9" x14ac:dyDescent="0.25">
      <c r="A11923">
        <v>442</v>
      </c>
      <c r="B11923" t="s">
        <v>3494</v>
      </c>
      <c r="C11923" t="s">
        <v>75</v>
      </c>
      <c r="D11923" t="s">
        <v>195</v>
      </c>
      <c r="E11923">
        <f t="shared" si="564"/>
        <v>9.7087378640776691E-3</v>
      </c>
      <c r="F11923">
        <v>55</v>
      </c>
      <c r="G11923">
        <f>LOG(382/(55+1))</f>
        <v>0.83387533590550833</v>
      </c>
      <c r="H11923">
        <f>0.00970873786407766*1.92006891787142</f>
        <v>1.8641445804576877E-2</v>
      </c>
      <c r="I11923">
        <v>1.864144580457695E-2</v>
      </c>
    </row>
    <row r="11924" spans="1:9" x14ac:dyDescent="0.25">
      <c r="A11924">
        <v>442</v>
      </c>
      <c r="B11924" t="s">
        <v>3494</v>
      </c>
      <c r="C11924" t="s">
        <v>75</v>
      </c>
      <c r="D11924" t="s">
        <v>22</v>
      </c>
      <c r="E11924">
        <f>2/103</f>
        <v>1.9417475728155338E-2</v>
      </c>
      <c r="F11924">
        <v>259</v>
      </c>
      <c r="G11924">
        <f>LOG(382/(259+1))</f>
        <v>0.16709001494089079</v>
      </c>
      <c r="H11924">
        <f>0.0194174757281553*0.384738977591047</f>
        <v>7.4706597590494415E-3</v>
      </c>
      <c r="I11924">
        <v>7.4706597590494658E-3</v>
      </c>
    </row>
    <row r="11925" spans="1:9" x14ac:dyDescent="0.25">
      <c r="A11925">
        <v>442</v>
      </c>
      <c r="B11925" t="s">
        <v>3494</v>
      </c>
      <c r="C11925" t="s">
        <v>75</v>
      </c>
      <c r="D11925" t="s">
        <v>23</v>
      </c>
      <c r="E11925">
        <f>2/103</f>
        <v>1.9417475728155338E-2</v>
      </c>
      <c r="F11925">
        <v>275</v>
      </c>
      <c r="G11925">
        <f>LOG(382/(275+1))</f>
        <v>0.14115428084649101</v>
      </c>
      <c r="H11925">
        <f>0.0194174757281553*0.325019742889425</f>
        <v>6.3110629687266858E-3</v>
      </c>
      <c r="I11925">
        <v>6.3110629687267014E-3</v>
      </c>
    </row>
    <row r="11926" spans="1:9" x14ac:dyDescent="0.25">
      <c r="A11926">
        <v>442</v>
      </c>
      <c r="B11926" t="s">
        <v>3494</v>
      </c>
      <c r="C11926" t="s">
        <v>75</v>
      </c>
      <c r="D11926" t="s">
        <v>2291</v>
      </c>
      <c r="E11926">
        <f>1/103</f>
        <v>9.7087378640776691E-3</v>
      </c>
      <c r="F11926">
        <v>17</v>
      </c>
      <c r="G11926">
        <f>LOG(382/(17+1))</f>
        <v>1.3267908578084027</v>
      </c>
      <c r="H11926">
        <f>0.00970873786407766*3.05504885071041</f>
        <v>2.9660668453499097E-2</v>
      </c>
      <c r="I11926">
        <v>2.9660668453499128E-2</v>
      </c>
    </row>
    <row r="11927" spans="1:9" x14ac:dyDescent="0.25">
      <c r="A11927">
        <v>442</v>
      </c>
      <c r="B11927" t="s">
        <v>3494</v>
      </c>
      <c r="C11927" t="s">
        <v>75</v>
      </c>
      <c r="D11927" t="s">
        <v>105</v>
      </c>
      <c r="E11927">
        <f>1/103</f>
        <v>9.7087378640776691E-3</v>
      </c>
      <c r="F11927">
        <v>122</v>
      </c>
      <c r="G11927">
        <f>LOG(382/(122+1))</f>
        <v>0.49215825147231079</v>
      </c>
      <c r="H11927">
        <f>0.00970873786407766*1.13323625323415</f>
        <v>1.1002293720719892E-2</v>
      </c>
      <c r="I11927">
        <v>1.100229372071997E-2</v>
      </c>
    </row>
    <row r="11928" spans="1:9" x14ac:dyDescent="0.25">
      <c r="A11928">
        <v>442</v>
      </c>
      <c r="B11928" t="s">
        <v>3494</v>
      </c>
      <c r="C11928" t="s">
        <v>75</v>
      </c>
      <c r="D11928" t="s">
        <v>3497</v>
      </c>
      <c r="E11928">
        <f>1/103</f>
        <v>9.7087378640776691E-3</v>
      </c>
      <c r="F11928">
        <v>1</v>
      </c>
      <c r="G11928">
        <f>LOG(382/(1+1))</f>
        <v>2.2810333672477277</v>
      </c>
      <c r="H11928">
        <f>0.00970873786407766*5.25227342804663</f>
        <v>5.099294590336529E-2</v>
      </c>
      <c r="I11928">
        <v>5.0992945903365332E-2</v>
      </c>
    </row>
    <row r="11929" spans="1:9" x14ac:dyDescent="0.25">
      <c r="A11929">
        <v>442</v>
      </c>
      <c r="B11929" t="s">
        <v>3494</v>
      </c>
      <c r="C11929" t="s">
        <v>75</v>
      </c>
      <c r="D11929" t="s">
        <v>196</v>
      </c>
      <c r="E11929">
        <f>2/103</f>
        <v>1.9417475728155338E-2</v>
      </c>
      <c r="F11929">
        <v>33</v>
      </c>
      <c r="G11929">
        <f>LOG(382/(33+1))</f>
        <v>1.0505844458694535</v>
      </c>
      <c r="H11929">
        <f>0.0194174757281553*2.41906008399041</f>
        <v>4.6972040465833108E-2</v>
      </c>
      <c r="I11929">
        <v>4.6972040465833267E-2</v>
      </c>
    </row>
    <row r="11930" spans="1:9" x14ac:dyDescent="0.25">
      <c r="A11930">
        <v>442</v>
      </c>
      <c r="B11930" t="s">
        <v>3494</v>
      </c>
      <c r="C11930" t="s">
        <v>75</v>
      </c>
      <c r="D11930" t="s">
        <v>82</v>
      </c>
      <c r="E11930">
        <f>2/103</f>
        <v>1.9417475728155338E-2</v>
      </c>
      <c r="F11930">
        <v>92</v>
      </c>
      <c r="G11930">
        <f>LOG(382/(92+1))</f>
        <v>0.61358041435777355</v>
      </c>
      <c r="H11930">
        <f>0.0194174757281553*1.41282111545331</f>
        <v>2.7433419717539941E-2</v>
      </c>
      <c r="I11930">
        <v>2.7433419717540181E-2</v>
      </c>
    </row>
    <row r="11931" spans="1:9" x14ac:dyDescent="0.25">
      <c r="A11931">
        <v>442</v>
      </c>
      <c r="B11931" t="s">
        <v>3494</v>
      </c>
      <c r="C11931" t="s">
        <v>75</v>
      </c>
      <c r="D11931" t="s">
        <v>204</v>
      </c>
      <c r="E11931">
        <f>2/103</f>
        <v>1.9417475728155338E-2</v>
      </c>
      <c r="F11931">
        <v>166</v>
      </c>
      <c r="G11931">
        <f>LOG(382/(166+1))</f>
        <v>0.35934689176412549</v>
      </c>
      <c r="H11931">
        <f>0.0194174757281553*0.82742679618982</f>
        <v>1.6066539731841131E-2</v>
      </c>
      <c r="I11931">
        <v>1.6066539731841169E-2</v>
      </c>
    </row>
    <row r="11932" spans="1:9" x14ac:dyDescent="0.25">
      <c r="A11932">
        <v>442</v>
      </c>
      <c r="B11932" t="s">
        <v>3494</v>
      </c>
      <c r="C11932" t="s">
        <v>75</v>
      </c>
      <c r="D11932" t="s">
        <v>891</v>
      </c>
      <c r="E11932">
        <f>1/103</f>
        <v>9.7087378640776691E-3</v>
      </c>
      <c r="F11932">
        <v>3</v>
      </c>
      <c r="G11932">
        <f>LOG(382/(3+1))</f>
        <v>1.9800033715837464</v>
      </c>
      <c r="H11932">
        <f>0.00970873786407766*4.55912624748668</f>
        <v>4.4263361626084227E-2</v>
      </c>
      <c r="I11932">
        <v>4.426336162608431E-2</v>
      </c>
    </row>
    <row r="11933" spans="1:9" x14ac:dyDescent="0.25">
      <c r="A11933">
        <v>442</v>
      </c>
      <c r="B11933" t="s">
        <v>3494</v>
      </c>
      <c r="C11933" t="s">
        <v>75</v>
      </c>
      <c r="D11933" t="s">
        <v>1769</v>
      </c>
      <c r="E11933">
        <f>3/103</f>
        <v>2.9126213592233011E-2</v>
      </c>
      <c r="F11933">
        <v>84</v>
      </c>
      <c r="G11933">
        <f>LOG(382/(84+1))</f>
        <v>0.65264443719741605</v>
      </c>
      <c r="H11933">
        <f>0.029126213592233*1.50276935211625</f>
        <v>4.3769981129599497E-2</v>
      </c>
      <c r="I11933">
        <v>4.3769981129599768E-2</v>
      </c>
    </row>
    <row r="11934" spans="1:9" x14ac:dyDescent="0.25">
      <c r="A11934">
        <v>442</v>
      </c>
      <c r="B11934" t="s">
        <v>3494</v>
      </c>
      <c r="C11934" t="s">
        <v>75</v>
      </c>
      <c r="D11934" t="s">
        <v>201</v>
      </c>
      <c r="E11934">
        <f>2/103</f>
        <v>1.9417475728155338E-2</v>
      </c>
      <c r="F11934">
        <v>72</v>
      </c>
      <c r="G11934">
        <f>LOG(382/(72+1))</f>
        <v>0.71874050279125279</v>
      </c>
      <c r="H11934">
        <f>0.0194174757281553*1.65496116745818</f>
        <v>3.2135168300158765E-2</v>
      </c>
      <c r="I11934">
        <v>3.213516830015891E-2</v>
      </c>
    </row>
    <row r="11935" spans="1:9" x14ac:dyDescent="0.25">
      <c r="A11935">
        <v>442</v>
      </c>
      <c r="B11935" t="s">
        <v>3494</v>
      </c>
      <c r="C11935" t="s">
        <v>75</v>
      </c>
      <c r="D11935" t="s">
        <v>225</v>
      </c>
      <c r="E11935">
        <f>2/103</f>
        <v>1.9417475728155338E-2</v>
      </c>
      <c r="F11935">
        <v>30</v>
      </c>
      <c r="G11935">
        <f>LOG(382/(30+1))</f>
        <v>1.090701669077436</v>
      </c>
      <c r="H11935">
        <f>0.0194174757281553*2.51143340412142</f>
        <v>4.8765697167406113E-2</v>
      </c>
      <c r="I11935">
        <v>4.8765697167406377E-2</v>
      </c>
    </row>
    <row r="11936" spans="1:9" x14ac:dyDescent="0.25">
      <c r="A11936">
        <v>442</v>
      </c>
      <c r="B11936" t="s">
        <v>3494</v>
      </c>
      <c r="C11936" t="s">
        <v>75</v>
      </c>
      <c r="D11936" t="s">
        <v>746</v>
      </c>
      <c r="E11936">
        <f>4/103</f>
        <v>3.8834951456310676E-2</v>
      </c>
      <c r="F11936">
        <v>58</v>
      </c>
      <c r="G11936">
        <f>LOG(382/(58+1))</f>
        <v>0.81121135126956456</v>
      </c>
      <c r="H11936">
        <f>0.0388349514563106*1.86788316470085</f>
        <v>7.2539152027217321E-2</v>
      </c>
      <c r="I11936">
        <v>7.2539152027217682E-2</v>
      </c>
    </row>
    <row r="11937" spans="1:9" x14ac:dyDescent="0.25">
      <c r="A11937">
        <v>442</v>
      </c>
      <c r="B11937" t="s">
        <v>3494</v>
      </c>
      <c r="C11937" t="s">
        <v>75</v>
      </c>
      <c r="D11937" t="s">
        <v>1079</v>
      </c>
      <c r="E11937">
        <f>1/103</f>
        <v>9.7087378640776691E-3</v>
      </c>
      <c r="F11937">
        <v>34</v>
      </c>
      <c r="G11937">
        <f>LOG(382/(34+1))</f>
        <v>1.037995318561433</v>
      </c>
      <c r="H11937">
        <f>0.00970873786407766*2.39007254711716</f>
        <v>2.3204587836088909E-2</v>
      </c>
      <c r="I11937">
        <v>2.320458783608894E-2</v>
      </c>
    </row>
    <row r="11938" spans="1:9" x14ac:dyDescent="0.25">
      <c r="A11938">
        <v>442</v>
      </c>
      <c r="B11938" t="s">
        <v>3494</v>
      </c>
      <c r="C11938" t="s">
        <v>75</v>
      </c>
      <c r="D11938" t="s">
        <v>119</v>
      </c>
      <c r="E11938">
        <f>2/103</f>
        <v>1.9417475728155338E-2</v>
      </c>
      <c r="F11938">
        <v>79</v>
      </c>
      <c r="G11938">
        <f>LOG(382/(79+1))</f>
        <v>0.67897337591976514</v>
      </c>
      <c r="H11938">
        <f>0.0194174757281553*1.56339397393269</f>
        <v>3.035716454238227E-2</v>
      </c>
      <c r="I11938">
        <v>3.0357164542382398E-2</v>
      </c>
    </row>
    <row r="11939" spans="1:9" x14ac:dyDescent="0.25">
      <c r="A11939">
        <v>442</v>
      </c>
      <c r="B11939" t="s">
        <v>3494</v>
      </c>
      <c r="C11939" t="s">
        <v>75</v>
      </c>
      <c r="D11939" t="s">
        <v>1453</v>
      </c>
      <c r="E11939">
        <f t="shared" ref="E11939:E11955" si="565">1/103</f>
        <v>9.7087378640776691E-3</v>
      </c>
      <c r="F11939">
        <v>23</v>
      </c>
      <c r="G11939">
        <f>LOG(382/(23+1))</f>
        <v>1.2018521212001028</v>
      </c>
      <c r="H11939">
        <f>0.00970873786407766*2.76736677825862</f>
        <v>2.6867638623870073E-2</v>
      </c>
      <c r="I11939">
        <v>2.6867638623870191E-2</v>
      </c>
    </row>
    <row r="11940" spans="1:9" x14ac:dyDescent="0.25">
      <c r="A11940">
        <v>442</v>
      </c>
      <c r="B11940" t="s">
        <v>3494</v>
      </c>
      <c r="C11940" t="s">
        <v>75</v>
      </c>
      <c r="D11940" t="s">
        <v>2622</v>
      </c>
      <c r="E11940">
        <f t="shared" si="565"/>
        <v>9.7087378640776691E-3</v>
      </c>
      <c r="F11940">
        <v>2</v>
      </c>
      <c r="G11940">
        <f>LOG(382/(2+1))</f>
        <v>2.1049421081920463</v>
      </c>
      <c r="H11940">
        <f>0.00970873786407766*4.84680831993846</f>
        <v>4.7056391455713158E-2</v>
      </c>
      <c r="I11940">
        <v>4.7056391455713248E-2</v>
      </c>
    </row>
    <row r="11941" spans="1:9" x14ac:dyDescent="0.25">
      <c r="A11941">
        <v>442</v>
      </c>
      <c r="B11941" t="s">
        <v>3494</v>
      </c>
      <c r="C11941" t="s">
        <v>75</v>
      </c>
      <c r="D11941" t="s">
        <v>453</v>
      </c>
      <c r="E11941">
        <f t="shared" si="565"/>
        <v>9.7087378640776691E-3</v>
      </c>
      <c r="F11941">
        <v>68</v>
      </c>
      <c r="G11941">
        <f>LOG(382/(68+1))</f>
        <v>0.74321427217445335</v>
      </c>
      <c r="H11941">
        <f>0.00970873786407766*1.71131410400931</f>
        <v>1.6614700038925324E-2</v>
      </c>
      <c r="I11941">
        <v>1.661470003892539E-2</v>
      </c>
    </row>
    <row r="11942" spans="1:9" x14ac:dyDescent="0.25">
      <c r="A11942">
        <v>442</v>
      </c>
      <c r="B11942" t="s">
        <v>3494</v>
      </c>
      <c r="C11942" t="s">
        <v>75</v>
      </c>
      <c r="D11942" t="s">
        <v>455</v>
      </c>
      <c r="E11942">
        <f t="shared" si="565"/>
        <v>9.7087378640776691E-3</v>
      </c>
      <c r="F11942">
        <v>78</v>
      </c>
      <c r="G11942">
        <f>LOG(382/(78+1))</f>
        <v>0.6844362716212673</v>
      </c>
      <c r="H11942">
        <f>0.00970873786407766*1.57597275613955</f>
        <v>1.5300706370286878E-2</v>
      </c>
      <c r="I11942">
        <v>1.530070637028693E-2</v>
      </c>
    </row>
    <row r="11943" spans="1:9" x14ac:dyDescent="0.25">
      <c r="A11943">
        <v>442</v>
      </c>
      <c r="B11943" t="s">
        <v>3494</v>
      </c>
      <c r="C11943" t="s">
        <v>75</v>
      </c>
      <c r="D11943" t="s">
        <v>456</v>
      </c>
      <c r="E11943">
        <f t="shared" si="565"/>
        <v>9.7087378640776691E-3</v>
      </c>
      <c r="F11943">
        <v>71</v>
      </c>
      <c r="G11943">
        <f>LOG(382/(71+1))</f>
        <v>0.72473086648044027</v>
      </c>
      <c r="H11943">
        <f>0.00970873786407766*1.66875448959051</f>
        <v>1.6201499898936975E-2</v>
      </c>
      <c r="I11943">
        <v>1.6201499898937079E-2</v>
      </c>
    </row>
    <row r="11944" spans="1:9" x14ac:dyDescent="0.25">
      <c r="A11944">
        <v>442</v>
      </c>
      <c r="B11944" t="s">
        <v>3494</v>
      </c>
      <c r="C11944" t="s">
        <v>75</v>
      </c>
      <c r="D11944" t="s">
        <v>3498</v>
      </c>
      <c r="E11944">
        <f t="shared" si="565"/>
        <v>9.7087378640776691E-3</v>
      </c>
      <c r="F11944">
        <v>1</v>
      </c>
      <c r="G11944">
        <f>LOG(382/(1+1))</f>
        <v>2.2810333672477277</v>
      </c>
      <c r="H11944">
        <f>0.00970873786407766*5.25227342804663</f>
        <v>5.099294590336529E-2</v>
      </c>
      <c r="I11944">
        <v>5.0992945903365332E-2</v>
      </c>
    </row>
    <row r="11945" spans="1:9" x14ac:dyDescent="0.25">
      <c r="A11945">
        <v>442</v>
      </c>
      <c r="B11945" t="s">
        <v>3494</v>
      </c>
      <c r="C11945" t="s">
        <v>75</v>
      </c>
      <c r="D11945" t="s">
        <v>183</v>
      </c>
      <c r="E11945">
        <f t="shared" si="565"/>
        <v>9.7087378640776691E-3</v>
      </c>
      <c r="F11945">
        <v>46</v>
      </c>
      <c r="G11945">
        <f>LOG(382/(46+1))</f>
        <v>0.90996550497599127</v>
      </c>
      <c r="H11945">
        <f>0.00970873786407766*2.09527300689651</f>
        <v>2.0342456377636001E-2</v>
      </c>
      <c r="I11945">
        <v>2.034245637763608E-2</v>
      </c>
    </row>
    <row r="11946" spans="1:9" x14ac:dyDescent="0.25">
      <c r="A11946">
        <v>442</v>
      </c>
      <c r="B11946" t="s">
        <v>3494</v>
      </c>
      <c r="C11946" t="s">
        <v>75</v>
      </c>
      <c r="D11946" t="s">
        <v>361</v>
      </c>
      <c r="E11946">
        <f t="shared" si="565"/>
        <v>9.7087378640776691E-3</v>
      </c>
      <c r="F11946">
        <v>118</v>
      </c>
      <c r="G11946">
        <f>LOG(382/(118+1))</f>
        <v>0.50651640151917798</v>
      </c>
      <c r="H11946">
        <f>0.00970873786407766*1.16629711549504</f>
        <v>1.132327296597125E-2</v>
      </c>
      <c r="I11946">
        <v>1.1323272965971321E-2</v>
      </c>
    </row>
    <row r="11947" spans="1:9" x14ac:dyDescent="0.25">
      <c r="A11947">
        <v>442</v>
      </c>
      <c r="B11947" t="s">
        <v>3494</v>
      </c>
      <c r="C11947" t="s">
        <v>75</v>
      </c>
      <c r="D11947" t="s">
        <v>434</v>
      </c>
      <c r="E11947">
        <f t="shared" si="565"/>
        <v>9.7087378640776691E-3</v>
      </c>
      <c r="F11947">
        <v>97</v>
      </c>
      <c r="G11947">
        <f>LOG(382/(97+1))</f>
        <v>0.59083728721921391</v>
      </c>
      <c r="H11947">
        <f>0.00970873786407766*1.360453129936</f>
        <v>1.320828281491261E-2</v>
      </c>
      <c r="I11947">
        <v>1.320828281491265E-2</v>
      </c>
    </row>
    <row r="11948" spans="1:9" x14ac:dyDescent="0.25">
      <c r="A11948">
        <v>442</v>
      </c>
      <c r="B11948" t="s">
        <v>3494</v>
      </c>
      <c r="C11948" t="s">
        <v>75</v>
      </c>
      <c r="D11948" t="s">
        <v>418</v>
      </c>
      <c r="E11948">
        <f t="shared" si="565"/>
        <v>9.7087378640776691E-3</v>
      </c>
      <c r="F11948">
        <v>11</v>
      </c>
      <c r="G11948">
        <f>LOG(382/(11+1))</f>
        <v>1.5028821168640838</v>
      </c>
      <c r="H11948">
        <f>0.00970873786407766*3.46051395881857</f>
        <v>3.3597222901151136E-2</v>
      </c>
      <c r="I11948">
        <v>3.3597222901151212E-2</v>
      </c>
    </row>
    <row r="11949" spans="1:9" x14ac:dyDescent="0.25">
      <c r="A11949">
        <v>442</v>
      </c>
      <c r="B11949" t="s">
        <v>3494</v>
      </c>
      <c r="C11949" t="s">
        <v>75</v>
      </c>
      <c r="D11949" t="s">
        <v>210</v>
      </c>
      <c r="E11949">
        <f t="shared" si="565"/>
        <v>9.7087378640776691E-3</v>
      </c>
      <c r="F11949">
        <v>9</v>
      </c>
      <c r="G11949">
        <f>LOG(382/(9+1))</f>
        <v>1.5820633629117087</v>
      </c>
      <c r="H11949">
        <f>0.00970873786407766*3.64283551561252</f>
        <v>3.5367335103034143E-2</v>
      </c>
      <c r="I11949">
        <v>3.5367335103034261E-2</v>
      </c>
    </row>
    <row r="11950" spans="1:9" x14ac:dyDescent="0.25">
      <c r="A11950">
        <v>442</v>
      </c>
      <c r="B11950" t="s">
        <v>3494</v>
      </c>
      <c r="C11950" t="s">
        <v>75</v>
      </c>
      <c r="D11950" t="s">
        <v>3499</v>
      </c>
      <c r="E11950">
        <f t="shared" si="565"/>
        <v>9.7087378640776691E-3</v>
      </c>
      <c r="F11950">
        <v>1</v>
      </c>
      <c r="G11950">
        <f>LOG(382/(1+1))</f>
        <v>2.2810333672477277</v>
      </c>
      <c r="H11950">
        <f>0.00970873786407766*5.25227342804663</f>
        <v>5.099294590336529E-2</v>
      </c>
      <c r="I11950">
        <v>5.0992945903365332E-2</v>
      </c>
    </row>
    <row r="11951" spans="1:9" x14ac:dyDescent="0.25">
      <c r="A11951">
        <v>442</v>
      </c>
      <c r="B11951" t="s">
        <v>3494</v>
      </c>
      <c r="C11951" t="s">
        <v>75</v>
      </c>
      <c r="D11951" t="s">
        <v>149</v>
      </c>
      <c r="E11951">
        <f t="shared" si="565"/>
        <v>9.7087378640776691E-3</v>
      </c>
      <c r="F11951">
        <v>35</v>
      </c>
      <c r="G11951">
        <f>LOG(382/(35+1))</f>
        <v>1.0257608621444214</v>
      </c>
      <c r="H11951">
        <f>0.00970873786407766*2.36190167015046</f>
        <v>2.2931084176218038E-2</v>
      </c>
      <c r="I11951">
        <v>2.29310841762181E-2</v>
      </c>
    </row>
    <row r="11952" spans="1:9" x14ac:dyDescent="0.25">
      <c r="A11952">
        <v>442</v>
      </c>
      <c r="B11952" t="s">
        <v>3494</v>
      </c>
      <c r="C11952" t="s">
        <v>75</v>
      </c>
      <c r="D11952" t="s">
        <v>3500</v>
      </c>
      <c r="E11952">
        <f t="shared" si="565"/>
        <v>9.7087378640776691E-3</v>
      </c>
      <c r="F11952">
        <v>1</v>
      </c>
      <c r="G11952">
        <f>LOG(382/(1+1))</f>
        <v>2.2810333672477277</v>
      </c>
      <c r="H11952">
        <f>0.00970873786407766*5.25227342804663</f>
        <v>5.099294590336529E-2</v>
      </c>
      <c r="I11952">
        <v>5.0992945903365332E-2</v>
      </c>
    </row>
    <row r="11953" spans="1:9" x14ac:dyDescent="0.25">
      <c r="A11953">
        <v>442</v>
      </c>
      <c r="B11953" t="s">
        <v>3494</v>
      </c>
      <c r="C11953" t="s">
        <v>75</v>
      </c>
      <c r="D11953" t="s">
        <v>3327</v>
      </c>
      <c r="E11953">
        <f t="shared" si="565"/>
        <v>9.7087378640776691E-3</v>
      </c>
      <c r="F11953">
        <v>21</v>
      </c>
      <c r="G11953">
        <f>LOG(382/(21+1))</f>
        <v>1.2396406820895025</v>
      </c>
      <c r="H11953">
        <f>0.00970873786407766*2.85437815524825</f>
        <v>2.7712409274254828E-2</v>
      </c>
      <c r="I11953">
        <v>2.7712409274254939E-2</v>
      </c>
    </row>
    <row r="11954" spans="1:9" x14ac:dyDescent="0.25">
      <c r="A11954">
        <v>442</v>
      </c>
      <c r="B11954" t="s">
        <v>3494</v>
      </c>
      <c r="C11954" t="s">
        <v>75</v>
      </c>
      <c r="D11954" t="s">
        <v>1591</v>
      </c>
      <c r="E11954">
        <f t="shared" si="565"/>
        <v>9.7087378640776691E-3</v>
      </c>
      <c r="F11954">
        <v>3</v>
      </c>
      <c r="G11954">
        <f>LOG(382/(3+1))</f>
        <v>1.9800033715837464</v>
      </c>
      <c r="H11954">
        <f>0.00970873786407766*4.55912624748668</f>
        <v>4.4263361626084227E-2</v>
      </c>
      <c r="I11954">
        <v>4.426336162608431E-2</v>
      </c>
    </row>
    <row r="11955" spans="1:9" x14ac:dyDescent="0.25">
      <c r="A11955">
        <v>442</v>
      </c>
      <c r="B11955" t="s">
        <v>3494</v>
      </c>
      <c r="C11955" t="s">
        <v>75</v>
      </c>
      <c r="D11955" t="s">
        <v>3501</v>
      </c>
      <c r="E11955">
        <f t="shared" si="565"/>
        <v>9.7087378640776691E-3</v>
      </c>
      <c r="F11955">
        <v>3</v>
      </c>
      <c r="G11955">
        <f>LOG(382/(3+1))</f>
        <v>1.9800033715837464</v>
      </c>
      <c r="H11955">
        <f>0.00970873786407766*4.55912624748668</f>
        <v>4.4263361626084227E-2</v>
      </c>
      <c r="I11955">
        <v>4.426336162608431E-2</v>
      </c>
    </row>
    <row r="11956" spans="1:9" x14ac:dyDescent="0.25">
      <c r="A11956">
        <v>442</v>
      </c>
      <c r="B11956" t="s">
        <v>3494</v>
      </c>
      <c r="C11956" t="s">
        <v>75</v>
      </c>
      <c r="D11956" t="s">
        <v>2238</v>
      </c>
      <c r="E11956">
        <f>3/103</f>
        <v>2.9126213592233011E-2</v>
      </c>
      <c r="F11956">
        <v>68</v>
      </c>
      <c r="G11956">
        <f>LOG(382/(68+1))</f>
        <v>0.74321427217445335</v>
      </c>
      <c r="H11956">
        <f>0.029126213592233*1.71131410400931</f>
        <v>4.9844100116776008E-2</v>
      </c>
      <c r="I11956">
        <v>4.9844100116776188E-2</v>
      </c>
    </row>
    <row r="11957" spans="1:9" x14ac:dyDescent="0.25">
      <c r="A11957">
        <v>442</v>
      </c>
      <c r="B11957" t="s">
        <v>3494</v>
      </c>
      <c r="C11957" t="s">
        <v>75</v>
      </c>
      <c r="D11957" t="s">
        <v>1762</v>
      </c>
      <c r="E11957">
        <f>1/103</f>
        <v>9.7087378640776691E-3</v>
      </c>
      <c r="F11957">
        <v>60</v>
      </c>
      <c r="G11957">
        <f>LOG(382/(60+1))</f>
        <v>0.79673352790094176</v>
      </c>
      <c r="H11957">
        <f>0.00970873786407766*1.83454674443326</f>
        <v>1.7811133441099594E-2</v>
      </c>
      <c r="I11957">
        <v>1.781113344109965E-2</v>
      </c>
    </row>
    <row r="11958" spans="1:9" x14ac:dyDescent="0.25">
      <c r="A11958">
        <v>442</v>
      </c>
      <c r="B11958" t="s">
        <v>3494</v>
      </c>
      <c r="C11958" t="s">
        <v>75</v>
      </c>
      <c r="D11958" t="s">
        <v>449</v>
      </c>
      <c r="E11958">
        <f>1/103</f>
        <v>9.7087378640776691E-3</v>
      </c>
      <c r="F11958">
        <v>9</v>
      </c>
      <c r="G11958">
        <f>LOG(382/(9+1))</f>
        <v>1.5820633629117087</v>
      </c>
      <c r="H11958">
        <f>0.00970873786407766*3.64283551561252</f>
        <v>3.5367335103034143E-2</v>
      </c>
      <c r="I11958">
        <v>3.5367335103034261E-2</v>
      </c>
    </row>
    <row r="11959" spans="1:9" x14ac:dyDescent="0.25">
      <c r="A11959">
        <v>442</v>
      </c>
      <c r="B11959" t="s">
        <v>3494</v>
      </c>
      <c r="C11959" t="s">
        <v>75</v>
      </c>
      <c r="D11959" t="s">
        <v>450</v>
      </c>
      <c r="E11959">
        <f>1/103</f>
        <v>9.7087378640776691E-3</v>
      </c>
      <c r="F11959">
        <v>17</v>
      </c>
      <c r="G11959">
        <f>LOG(382/(17+1))</f>
        <v>1.3267908578084027</v>
      </c>
      <c r="H11959">
        <f>0.00970873786407766*3.05504885071041</f>
        <v>2.9660668453499097E-2</v>
      </c>
      <c r="I11959">
        <v>2.9660668453499128E-2</v>
      </c>
    </row>
    <row r="11960" spans="1:9" x14ac:dyDescent="0.25">
      <c r="A11960">
        <v>442</v>
      </c>
      <c r="B11960" t="s">
        <v>3494</v>
      </c>
      <c r="C11960" t="s">
        <v>75</v>
      </c>
      <c r="D11960" t="s">
        <v>3502</v>
      </c>
      <c r="E11960">
        <f>1/103</f>
        <v>9.7087378640776691E-3</v>
      </c>
      <c r="F11960">
        <v>1</v>
      </c>
      <c r="G11960">
        <f>LOG(382/(1+1))</f>
        <v>2.2810333672477277</v>
      </c>
      <c r="H11960">
        <f>0.00970873786407766*5.25227342804663</f>
        <v>5.099294590336529E-2</v>
      </c>
      <c r="I11960">
        <v>5.0992945903365332E-2</v>
      </c>
    </row>
    <row r="11961" spans="1:9" x14ac:dyDescent="0.25">
      <c r="A11961">
        <v>442</v>
      </c>
      <c r="B11961" t="s">
        <v>3494</v>
      </c>
      <c r="C11961" t="s">
        <v>75</v>
      </c>
      <c r="D11961" t="s">
        <v>1446</v>
      </c>
      <c r="E11961">
        <f>1/103</f>
        <v>9.7087378640776691E-3</v>
      </c>
      <c r="F11961">
        <v>8</v>
      </c>
      <c r="G11961">
        <f>LOG(382/(8+1))</f>
        <v>1.6278208534723839</v>
      </c>
      <c r="H11961">
        <f>0.00970873786407766*3.74819603127035</f>
        <v>3.6390252730780059E-2</v>
      </c>
      <c r="I11961">
        <v>3.639025273078015E-2</v>
      </c>
    </row>
    <row r="11962" spans="1:9" x14ac:dyDescent="0.25">
      <c r="A11962">
        <v>442</v>
      </c>
      <c r="B11962" t="s">
        <v>3494</v>
      </c>
      <c r="C11962" t="s">
        <v>75</v>
      </c>
      <c r="D11962" t="s">
        <v>322</v>
      </c>
      <c r="E11962">
        <f>2/103</f>
        <v>1.9417475728155338E-2</v>
      </c>
      <c r="F11962">
        <v>128</v>
      </c>
      <c r="G11962">
        <f>LOG(382/(128+1))</f>
        <v>0.47147365261245977</v>
      </c>
      <c r="H11962">
        <f>0.0194174757281553*1.0856082042449</f>
        <v>2.1079770956211608E-2</v>
      </c>
      <c r="I11962">
        <v>2.1079770956211712E-2</v>
      </c>
    </row>
    <row r="11963" spans="1:9" x14ac:dyDescent="0.25">
      <c r="A11963">
        <v>442</v>
      </c>
      <c r="B11963" t="s">
        <v>3494</v>
      </c>
      <c r="C11963" t="s">
        <v>75</v>
      </c>
      <c r="D11963" t="s">
        <v>81</v>
      </c>
      <c r="E11963">
        <f>1/103</f>
        <v>9.7087378640776691E-3</v>
      </c>
      <c r="F11963">
        <v>114</v>
      </c>
      <c r="G11963">
        <f>LOG(382/(114+1))</f>
        <v>0.52136552255809698</v>
      </c>
      <c r="H11963">
        <f>0.00970873786407766*1.20048848024332</f>
        <v>1.1655227963527368E-2</v>
      </c>
      <c r="I11963">
        <v>1.165522796352743E-2</v>
      </c>
    </row>
    <row r="11964" spans="1:9" x14ac:dyDescent="0.25">
      <c r="A11964">
        <v>442</v>
      </c>
      <c r="B11964" t="s">
        <v>3494</v>
      </c>
      <c r="C11964" t="s">
        <v>75</v>
      </c>
      <c r="D11964" t="s">
        <v>324</v>
      </c>
      <c r="E11964">
        <f>1/103</f>
        <v>9.7087378640776691E-3</v>
      </c>
      <c r="F11964">
        <v>82</v>
      </c>
      <c r="G11964">
        <f>LOG(382/(82+1))</f>
        <v>0.66298527053563483</v>
      </c>
      <c r="H11964">
        <f>0.00970873786407766*1.52658000080997</f>
        <v>1.4821165056407461E-2</v>
      </c>
      <c r="I11964">
        <v>1.4821165056407541E-2</v>
      </c>
    </row>
    <row r="11965" spans="1:9" x14ac:dyDescent="0.25">
      <c r="A11965">
        <v>442</v>
      </c>
      <c r="B11965" t="s">
        <v>3494</v>
      </c>
      <c r="C11965" t="s">
        <v>75</v>
      </c>
      <c r="D11965" t="s">
        <v>1222</v>
      </c>
      <c r="E11965">
        <f>1/103</f>
        <v>9.7087378640776691E-3</v>
      </c>
      <c r="F11965">
        <v>56</v>
      </c>
      <c r="G11965">
        <f>LOG(382/(56+1))</f>
        <v>0.82618850723921733</v>
      </c>
      <c r="H11965">
        <f>0.00970873786407766*1.90236934077202</f>
        <v>1.8469605250213766E-2</v>
      </c>
      <c r="I11965">
        <v>1.8469605250213829E-2</v>
      </c>
    </row>
    <row r="11966" spans="1:9" x14ac:dyDescent="0.25">
      <c r="A11966">
        <v>442</v>
      </c>
      <c r="B11966" t="s">
        <v>3494</v>
      </c>
      <c r="C11966" t="s">
        <v>75</v>
      </c>
      <c r="D11966" t="s">
        <v>485</v>
      </c>
      <c r="E11966">
        <f>1/103</f>
        <v>9.7087378640776691E-3</v>
      </c>
      <c r="F11966">
        <v>74</v>
      </c>
      <c r="G11966">
        <f>LOG(382/(74+1))</f>
        <v>0.7070020995200087</v>
      </c>
      <c r="H11966">
        <f>0.00970873786407766*1.62793249507026</f>
        <v>1.5805169855051052E-2</v>
      </c>
      <c r="I11966">
        <v>1.5805169855051111E-2</v>
      </c>
    </row>
    <row r="11967" spans="1:9" x14ac:dyDescent="0.25">
      <c r="A11967">
        <v>442</v>
      </c>
      <c r="B11967" t="s">
        <v>3494</v>
      </c>
      <c r="C11967" t="s">
        <v>75</v>
      </c>
      <c r="D11967" t="s">
        <v>754</v>
      </c>
      <c r="E11967">
        <f>1/103</f>
        <v>9.7087378640776691E-3</v>
      </c>
      <c r="F11967">
        <v>111</v>
      </c>
      <c r="G11967">
        <f>LOG(382/(111+1))</f>
        <v>0.53284534024152708</v>
      </c>
      <c r="H11967">
        <f>0.00970873786407766*1.22692173731148</f>
        <v>1.1911861527295911E-2</v>
      </c>
      <c r="I11967">
        <v>1.191186152729593E-2</v>
      </c>
    </row>
    <row r="11968" spans="1:9" x14ac:dyDescent="0.25">
      <c r="A11968">
        <v>442</v>
      </c>
      <c r="B11968" t="s">
        <v>3494</v>
      </c>
      <c r="C11968" t="s">
        <v>75</v>
      </c>
      <c r="D11968" t="s">
        <v>237</v>
      </c>
      <c r="E11968">
        <f>2/103</f>
        <v>1.9417475728155338E-2</v>
      </c>
      <c r="F11968">
        <v>138</v>
      </c>
      <c r="G11968">
        <f>LOG(382/(138+1))</f>
        <v>0.43904856265761361</v>
      </c>
      <c r="H11968">
        <f>0.0194174757281553*1.01094667547588</f>
        <v>1.9630032533512191E-2</v>
      </c>
      <c r="I11968">
        <v>1.9630032533512299E-2</v>
      </c>
    </row>
    <row r="11969" spans="1:9" x14ac:dyDescent="0.25">
      <c r="A11969">
        <v>442</v>
      </c>
      <c r="B11969" t="s">
        <v>3494</v>
      </c>
      <c r="C11969" t="s">
        <v>75</v>
      </c>
      <c r="D11969" t="s">
        <v>144</v>
      </c>
      <c r="E11969">
        <f>2/103</f>
        <v>1.9417475728155338E-2</v>
      </c>
      <c r="F11969">
        <v>105</v>
      </c>
      <c r="G11969">
        <f>LOG(382/(105+1))</f>
        <v>0.55675749764693849</v>
      </c>
      <c r="H11969">
        <f>0.0194174757281553*1.2819815144945</f>
        <v>2.4892844941640725E-2</v>
      </c>
      <c r="I11969">
        <v>2.4892844941640929E-2</v>
      </c>
    </row>
    <row r="11970" spans="1:9" x14ac:dyDescent="0.25">
      <c r="A11970">
        <v>442</v>
      </c>
      <c r="B11970" t="s">
        <v>3494</v>
      </c>
      <c r="C11970" t="s">
        <v>75</v>
      </c>
      <c r="D11970" t="s">
        <v>714</v>
      </c>
      <c r="E11970">
        <f t="shared" ref="E11970:E11979" si="566">1/103</f>
        <v>9.7087378640776691E-3</v>
      </c>
      <c r="F11970">
        <v>12</v>
      </c>
      <c r="G11970">
        <f>LOG(382/(12+1))</f>
        <v>1.468120010604872</v>
      </c>
      <c r="H11970">
        <f>0.00970873786407766*3.38047125114503</f>
        <v>3.2820109234417735E-2</v>
      </c>
      <c r="I11970">
        <v>3.2820109234417853E-2</v>
      </c>
    </row>
    <row r="11971" spans="1:9" x14ac:dyDescent="0.25">
      <c r="A11971">
        <v>442</v>
      </c>
      <c r="B11971" t="s">
        <v>3494</v>
      </c>
      <c r="C11971" t="s">
        <v>75</v>
      </c>
      <c r="D11971" t="s">
        <v>3503</v>
      </c>
      <c r="E11971">
        <f t="shared" si="566"/>
        <v>9.7087378640776691E-3</v>
      </c>
      <c r="F11971">
        <v>1</v>
      </c>
      <c r="G11971">
        <f>LOG(382/(1+1))</f>
        <v>2.2810333672477277</v>
      </c>
      <c r="H11971">
        <f>0.00970873786407766*5.25227342804663</f>
        <v>5.099294590336529E-2</v>
      </c>
      <c r="I11971">
        <v>5.0992945903365332E-2</v>
      </c>
    </row>
    <row r="11972" spans="1:9" x14ac:dyDescent="0.25">
      <c r="A11972">
        <v>442</v>
      </c>
      <c r="B11972" t="s">
        <v>3494</v>
      </c>
      <c r="C11972" t="s">
        <v>75</v>
      </c>
      <c r="D11972" t="s">
        <v>758</v>
      </c>
      <c r="E11972">
        <f t="shared" si="566"/>
        <v>9.7087378640776691E-3</v>
      </c>
      <c r="F11972">
        <v>26</v>
      </c>
      <c r="G11972">
        <f>LOG(382/(26+1))</f>
        <v>1.1506995987527215</v>
      </c>
      <c r="H11972">
        <f>0.00970873786407766*2.64958374260224</f>
        <v>2.5724114005846965E-2</v>
      </c>
      <c r="I11972">
        <v>2.5724114005847051E-2</v>
      </c>
    </row>
    <row r="11973" spans="1:9" x14ac:dyDescent="0.25">
      <c r="A11973">
        <v>442</v>
      </c>
      <c r="B11973" t="s">
        <v>3494</v>
      </c>
      <c r="C11973" t="s">
        <v>75</v>
      </c>
      <c r="D11973" t="s">
        <v>247</v>
      </c>
      <c r="E11973">
        <f t="shared" si="566"/>
        <v>9.7087378640776691E-3</v>
      </c>
      <c r="F11973">
        <v>121</v>
      </c>
      <c r="G11973">
        <f>LOG(382/(121+1))</f>
        <v>0.49570353223696051</v>
      </c>
      <c r="H11973">
        <f>0.00970873786407766*1.14139956387331</f>
        <v>1.1081549163818533E-2</v>
      </c>
      <c r="I11973">
        <v>1.108154916381863E-2</v>
      </c>
    </row>
    <row r="11974" spans="1:9" x14ac:dyDescent="0.25">
      <c r="A11974">
        <v>442</v>
      </c>
      <c r="B11974" t="s">
        <v>3494</v>
      </c>
      <c r="C11974" t="s">
        <v>75</v>
      </c>
      <c r="D11974" t="s">
        <v>39</v>
      </c>
      <c r="E11974">
        <f t="shared" si="566"/>
        <v>9.7087378640776691E-3</v>
      </c>
      <c r="F11974">
        <v>145</v>
      </c>
      <c r="G11974">
        <f>LOG(382/(145+1))</f>
        <v>0.41771050712727159</v>
      </c>
      <c r="H11974">
        <f>0.00970873786407766*0.961813986898238</f>
        <v>9.3379998727984182E-3</v>
      </c>
      <c r="I11974">
        <v>9.3379998727984338E-3</v>
      </c>
    </row>
    <row r="11975" spans="1:9" x14ac:dyDescent="0.25">
      <c r="A11975">
        <v>442</v>
      </c>
      <c r="B11975" t="s">
        <v>3494</v>
      </c>
      <c r="C11975" t="s">
        <v>75</v>
      </c>
      <c r="D11975" t="s">
        <v>340</v>
      </c>
      <c r="E11975">
        <f t="shared" si="566"/>
        <v>9.7087378640776691E-3</v>
      </c>
      <c r="F11975">
        <v>28</v>
      </c>
      <c r="G11975">
        <f>LOG(382/(28+1))</f>
        <v>1.1196653650127526</v>
      </c>
      <c r="H11975">
        <f>0.00970873786407766*2.5781247786201</f>
        <v>2.5030337656505797E-2</v>
      </c>
      <c r="I11975">
        <v>2.5030337656505839E-2</v>
      </c>
    </row>
    <row r="11976" spans="1:9" x14ac:dyDescent="0.25">
      <c r="A11976">
        <v>442</v>
      </c>
      <c r="B11976" t="s">
        <v>3494</v>
      </c>
      <c r="C11976" t="s">
        <v>75</v>
      </c>
      <c r="D11976" t="s">
        <v>133</v>
      </c>
      <c r="E11976">
        <f t="shared" si="566"/>
        <v>9.7087378640776691E-3</v>
      </c>
      <c r="F11976">
        <v>142</v>
      </c>
      <c r="G11976">
        <f>LOG(382/(142+1))</f>
        <v>0.42672732544664693</v>
      </c>
      <c r="H11976">
        <f>0.00970873786407766*0.982575978346667</f>
        <v>9.5395726053074375E-3</v>
      </c>
      <c r="I11976">
        <v>9.5395726053074548E-3</v>
      </c>
    </row>
    <row r="11977" spans="1:9" x14ac:dyDescent="0.25">
      <c r="A11977">
        <v>442</v>
      </c>
      <c r="B11977" t="s">
        <v>3494</v>
      </c>
      <c r="C11977" t="s">
        <v>75</v>
      </c>
      <c r="D11977" t="s">
        <v>599</v>
      </c>
      <c r="E11977">
        <f t="shared" si="566"/>
        <v>9.7087378640776691E-3</v>
      </c>
      <c r="F11977">
        <v>28</v>
      </c>
      <c r="G11977">
        <f>LOG(382/(28+1))</f>
        <v>1.1196653650127526</v>
      </c>
      <c r="H11977">
        <f>0.00970873786407766*2.5781247786201</f>
        <v>2.5030337656505797E-2</v>
      </c>
      <c r="I11977">
        <v>2.5030337656505839E-2</v>
      </c>
    </row>
    <row r="11978" spans="1:9" x14ac:dyDescent="0.25">
      <c r="A11978">
        <v>442</v>
      </c>
      <c r="B11978" t="s">
        <v>3494</v>
      </c>
      <c r="C11978" t="s">
        <v>75</v>
      </c>
      <c r="D11978" t="s">
        <v>123</v>
      </c>
      <c r="E11978">
        <f t="shared" si="566"/>
        <v>9.7087378640776691E-3</v>
      </c>
      <c r="F11978">
        <v>74</v>
      </c>
      <c r="G11978">
        <f>LOG(382/(74+1))</f>
        <v>0.7070020995200087</v>
      </c>
      <c r="H11978">
        <f>0.00970873786407766*1.62793249507026</f>
        <v>1.5805169855051052E-2</v>
      </c>
      <c r="I11978">
        <v>1.5805169855051111E-2</v>
      </c>
    </row>
    <row r="11979" spans="1:9" x14ac:dyDescent="0.25">
      <c r="A11979">
        <v>442</v>
      </c>
      <c r="B11979" t="s">
        <v>3494</v>
      </c>
      <c r="C11979" t="s">
        <v>75</v>
      </c>
      <c r="D11979" t="s">
        <v>520</v>
      </c>
      <c r="E11979">
        <f t="shared" si="566"/>
        <v>9.7087378640776691E-3</v>
      </c>
      <c r="F11979">
        <v>25</v>
      </c>
      <c r="G11979">
        <f>LOG(382/(25+1))</f>
        <v>1.1670900149408907</v>
      </c>
      <c r="H11979">
        <f>0.00970873786407766*2.68732407058509</f>
        <v>2.609052495713677E-2</v>
      </c>
      <c r="I11979">
        <v>2.6090524957136828E-2</v>
      </c>
    </row>
    <row r="11980" spans="1:9" x14ac:dyDescent="0.25">
      <c r="A11980">
        <v>443</v>
      </c>
      <c r="B11980" t="s">
        <v>3504</v>
      </c>
      <c r="C11980" t="s">
        <v>75</v>
      </c>
      <c r="D11980" t="s">
        <v>3436</v>
      </c>
      <c r="E11980">
        <f>2/70</f>
        <v>2.8571428571428571E-2</v>
      </c>
      <c r="F11980">
        <v>10</v>
      </c>
      <c r="G11980">
        <f>LOG(382/(10+1))</f>
        <v>1.5406706777534838</v>
      </c>
      <c r="H11980">
        <f>0.0285714285714285*3.5475253358082</f>
        <v>0.1013578667373769</v>
      </c>
      <c r="I11980">
        <v>0.1013578667373773</v>
      </c>
    </row>
    <row r="11981" spans="1:9" x14ac:dyDescent="0.25">
      <c r="A11981">
        <v>443</v>
      </c>
      <c r="B11981" t="s">
        <v>3504</v>
      </c>
      <c r="C11981" t="s">
        <v>75</v>
      </c>
      <c r="D11981" t="s">
        <v>2274</v>
      </c>
      <c r="E11981">
        <f>2/70</f>
        <v>2.8571428571428571E-2</v>
      </c>
      <c r="F11981">
        <v>4</v>
      </c>
      <c r="G11981">
        <f>LOG(382/(4+1))</f>
        <v>1.8830933585756899</v>
      </c>
      <c r="H11981">
        <f>0.0285714285714285*4.33598269617247</f>
        <v>0.1238852198906417</v>
      </c>
      <c r="I11981">
        <v>0.12388521989064211</v>
      </c>
    </row>
    <row r="11982" spans="1:9" x14ac:dyDescent="0.25">
      <c r="A11982">
        <v>443</v>
      </c>
      <c r="B11982" t="s">
        <v>3504</v>
      </c>
      <c r="C11982" t="s">
        <v>75</v>
      </c>
      <c r="D11982" t="s">
        <v>3505</v>
      </c>
      <c r="E11982">
        <f>2/70</f>
        <v>2.8571428571428571E-2</v>
      </c>
      <c r="F11982">
        <v>1</v>
      </c>
      <c r="G11982">
        <f>LOG(382/(1+1))</f>
        <v>2.2810333672477277</v>
      </c>
      <c r="H11982">
        <f>0.0285714285714285*5.25227342804663</f>
        <v>0.1500649550870462</v>
      </c>
      <c r="I11982">
        <v>0.15006495508704659</v>
      </c>
    </row>
    <row r="11983" spans="1:9" x14ac:dyDescent="0.25">
      <c r="A11983">
        <v>443</v>
      </c>
      <c r="B11983" t="s">
        <v>3504</v>
      </c>
      <c r="C11983" t="s">
        <v>75</v>
      </c>
      <c r="D11983" t="s">
        <v>3506</v>
      </c>
      <c r="E11983">
        <f>2/70</f>
        <v>2.8571428571428571E-2</v>
      </c>
      <c r="F11983">
        <v>1</v>
      </c>
      <c r="G11983">
        <f>LOG(382/(1+1))</f>
        <v>2.2810333672477277</v>
      </c>
      <c r="H11983">
        <f>0.0285714285714285*5.25227342804663</f>
        <v>0.1500649550870462</v>
      </c>
      <c r="I11983">
        <v>0.15006495508704659</v>
      </c>
    </row>
    <row r="11984" spans="1:9" x14ac:dyDescent="0.25">
      <c r="A11984">
        <v>443</v>
      </c>
      <c r="B11984" t="s">
        <v>3504</v>
      </c>
      <c r="C11984" t="s">
        <v>75</v>
      </c>
      <c r="D11984" t="s">
        <v>112</v>
      </c>
      <c r="E11984">
        <f>1/70</f>
        <v>1.4285714285714285E-2</v>
      </c>
      <c r="F11984">
        <v>52</v>
      </c>
      <c r="G11984">
        <f>LOG(382/(52+1))</f>
        <v>0.85778749331091964</v>
      </c>
      <c r="H11984">
        <f>0.0142857142857142*1.97512869505445</f>
        <v>2.8216124215063403E-2</v>
      </c>
      <c r="I11984">
        <v>2.8216124215063618E-2</v>
      </c>
    </row>
    <row r="11985" spans="1:9" x14ac:dyDescent="0.25">
      <c r="A11985">
        <v>443</v>
      </c>
      <c r="B11985" t="s">
        <v>3504</v>
      </c>
      <c r="C11985" t="s">
        <v>75</v>
      </c>
      <c r="D11985" t="s">
        <v>82</v>
      </c>
      <c r="E11985">
        <f>2/70</f>
        <v>2.8571428571428571E-2</v>
      </c>
      <c r="F11985">
        <v>92</v>
      </c>
      <c r="G11985">
        <f>LOG(382/(92+1))</f>
        <v>0.61358041435777355</v>
      </c>
      <c r="H11985">
        <f>0.0285714285714285*1.41282111545331</f>
        <v>4.0366317584380182E-2</v>
      </c>
      <c r="I11985">
        <v>4.036631758438055E-2</v>
      </c>
    </row>
    <row r="11986" spans="1:9" x14ac:dyDescent="0.25">
      <c r="A11986">
        <v>443</v>
      </c>
      <c r="B11986" t="s">
        <v>3504</v>
      </c>
      <c r="C11986" t="s">
        <v>75</v>
      </c>
      <c r="D11986" t="s">
        <v>675</v>
      </c>
      <c r="E11986">
        <f t="shared" ref="E11986:E11996" si="567">1/70</f>
        <v>1.4285714285714285E-2</v>
      </c>
      <c r="F11986">
        <v>10</v>
      </c>
      <c r="G11986">
        <f>LOG(382/(10+1))</f>
        <v>1.5406706777534838</v>
      </c>
      <c r="H11986">
        <f>0.0142857142857142*3.5475253358082</f>
        <v>5.067893336868827E-2</v>
      </c>
      <c r="I11986">
        <v>5.0678933368688638E-2</v>
      </c>
    </row>
    <row r="11987" spans="1:9" x14ac:dyDescent="0.25">
      <c r="A11987">
        <v>443</v>
      </c>
      <c r="B11987" t="s">
        <v>3504</v>
      </c>
      <c r="C11987" t="s">
        <v>75</v>
      </c>
      <c r="D11987" t="s">
        <v>42</v>
      </c>
      <c r="E11987">
        <f t="shared" si="567"/>
        <v>1.4285714285714285E-2</v>
      </c>
      <c r="F11987">
        <v>251</v>
      </c>
      <c r="G11987">
        <f>LOG(382/(251+1))</f>
        <v>0.18066282213016463</v>
      </c>
      <c r="H11987">
        <f>0.0142857142857142*0.415991521095151</f>
        <v>5.942736015644978E-3</v>
      </c>
      <c r="I11987">
        <v>5.9427360156450266E-3</v>
      </c>
    </row>
    <row r="11988" spans="1:9" x14ac:dyDescent="0.25">
      <c r="A11988">
        <v>443</v>
      </c>
      <c r="B11988" t="s">
        <v>3504</v>
      </c>
      <c r="C11988" t="s">
        <v>75</v>
      </c>
      <c r="D11988" t="s">
        <v>3507</v>
      </c>
      <c r="E11988">
        <f t="shared" si="567"/>
        <v>1.4285714285714285E-2</v>
      </c>
      <c r="F11988">
        <v>1</v>
      </c>
      <c r="G11988">
        <f>LOG(382/(1+1))</f>
        <v>2.2810333672477277</v>
      </c>
      <c r="H11988">
        <f>0.0142857142857142*5.25227342804663</f>
        <v>7.5032477543522838E-2</v>
      </c>
      <c r="I11988">
        <v>7.5032477543523282E-2</v>
      </c>
    </row>
    <row r="11989" spans="1:9" x14ac:dyDescent="0.25">
      <c r="A11989">
        <v>443</v>
      </c>
      <c r="B11989" t="s">
        <v>3504</v>
      </c>
      <c r="C11989" t="s">
        <v>75</v>
      </c>
      <c r="D11989" t="s">
        <v>648</v>
      </c>
      <c r="E11989">
        <f t="shared" si="567"/>
        <v>1.4285714285714285E-2</v>
      </c>
      <c r="F11989">
        <v>4</v>
      </c>
      <c r="G11989">
        <f>LOG(382/(4+1))</f>
        <v>1.8830933585756899</v>
      </c>
      <c r="H11989">
        <f>0.0142857142857142*4.33598269617247</f>
        <v>6.1942609945320637E-2</v>
      </c>
      <c r="I11989">
        <v>6.1942609945321067E-2</v>
      </c>
    </row>
    <row r="11990" spans="1:9" x14ac:dyDescent="0.25">
      <c r="A11990">
        <v>443</v>
      </c>
      <c r="B11990" t="s">
        <v>3504</v>
      </c>
      <c r="C11990" t="s">
        <v>75</v>
      </c>
      <c r="D11990" t="s">
        <v>17</v>
      </c>
      <c r="E11990">
        <f t="shared" si="567"/>
        <v>1.4285714285714285E-2</v>
      </c>
      <c r="F11990">
        <v>169</v>
      </c>
      <c r="G11990">
        <f>LOG(382/(169+1))</f>
        <v>0.3516144415334348</v>
      </c>
      <c r="H11990">
        <f>0.0142857142857142*0.809622171556313</f>
        <v>1.1566031022232973E-2</v>
      </c>
      <c r="I11990">
        <v>1.156603102223305E-2</v>
      </c>
    </row>
    <row r="11991" spans="1:9" x14ac:dyDescent="0.25">
      <c r="A11991">
        <v>443</v>
      </c>
      <c r="B11991" t="s">
        <v>3504</v>
      </c>
      <c r="C11991" t="s">
        <v>75</v>
      </c>
      <c r="D11991" t="s">
        <v>1052</v>
      </c>
      <c r="E11991">
        <f t="shared" si="567"/>
        <v>1.4285714285714285E-2</v>
      </c>
      <c r="F11991">
        <v>4</v>
      </c>
      <c r="G11991">
        <f>LOG(382/(4+1))</f>
        <v>1.8830933585756899</v>
      </c>
      <c r="H11991">
        <f>0.0142857142857142*4.33598269617247</f>
        <v>6.1942609945320637E-2</v>
      </c>
      <c r="I11991">
        <v>6.1942609945321067E-2</v>
      </c>
    </row>
    <row r="11992" spans="1:9" x14ac:dyDescent="0.25">
      <c r="A11992">
        <v>443</v>
      </c>
      <c r="B11992" t="s">
        <v>3504</v>
      </c>
      <c r="C11992" t="s">
        <v>75</v>
      </c>
      <c r="D11992" t="s">
        <v>3508</v>
      </c>
      <c r="E11992">
        <f t="shared" si="567"/>
        <v>1.4285714285714285E-2</v>
      </c>
      <c r="F11992">
        <v>1</v>
      </c>
      <c r="G11992">
        <f>LOG(382/(1+1))</f>
        <v>2.2810333672477277</v>
      </c>
      <c r="H11992">
        <f>0.0142857142857142*5.25227342804663</f>
        <v>7.5032477543522838E-2</v>
      </c>
      <c r="I11992">
        <v>7.5032477543523282E-2</v>
      </c>
    </row>
    <row r="11993" spans="1:9" x14ac:dyDescent="0.25">
      <c r="A11993">
        <v>443</v>
      </c>
      <c r="B11993" t="s">
        <v>3504</v>
      </c>
      <c r="C11993" t="s">
        <v>75</v>
      </c>
      <c r="D11993" t="s">
        <v>22</v>
      </c>
      <c r="E11993">
        <f t="shared" si="567"/>
        <v>1.4285714285714285E-2</v>
      </c>
      <c r="F11993">
        <v>259</v>
      </c>
      <c r="G11993">
        <f>LOG(382/(259+1))</f>
        <v>0.16709001494089079</v>
      </c>
      <c r="H11993">
        <f>0.0142857142857142*0.384738977591047</f>
        <v>5.496271108443496E-3</v>
      </c>
      <c r="I11993">
        <v>5.4962711084435359E-3</v>
      </c>
    </row>
    <row r="11994" spans="1:9" x14ac:dyDescent="0.25">
      <c r="A11994">
        <v>443</v>
      </c>
      <c r="B11994" t="s">
        <v>3504</v>
      </c>
      <c r="C11994" t="s">
        <v>75</v>
      </c>
      <c r="D11994" t="s">
        <v>23</v>
      </c>
      <c r="E11994">
        <f t="shared" si="567"/>
        <v>1.4285714285714285E-2</v>
      </c>
      <c r="F11994">
        <v>275</v>
      </c>
      <c r="G11994">
        <f>LOG(382/(275+1))</f>
        <v>0.14115428084649101</v>
      </c>
      <c r="H11994">
        <f>0.0142857142857142*0.325019742889425</f>
        <v>4.6431391841346148E-3</v>
      </c>
      <c r="I11994">
        <v>4.6431391841346452E-3</v>
      </c>
    </row>
    <row r="11995" spans="1:9" x14ac:dyDescent="0.25">
      <c r="A11995">
        <v>443</v>
      </c>
      <c r="B11995" t="s">
        <v>3504</v>
      </c>
      <c r="C11995" t="s">
        <v>75</v>
      </c>
      <c r="D11995" t="s">
        <v>105</v>
      </c>
      <c r="E11995">
        <f t="shared" si="567"/>
        <v>1.4285714285714285E-2</v>
      </c>
      <c r="F11995">
        <v>122</v>
      </c>
      <c r="G11995">
        <f>LOG(382/(122+1))</f>
        <v>0.49215825147231079</v>
      </c>
      <c r="H11995">
        <f>0.0142857142857142*1.13323625323415</f>
        <v>1.6189089331916331E-2</v>
      </c>
      <c r="I11995">
        <v>1.618908933191654E-2</v>
      </c>
    </row>
    <row r="11996" spans="1:9" x14ac:dyDescent="0.25">
      <c r="A11996">
        <v>443</v>
      </c>
      <c r="B11996" t="s">
        <v>3504</v>
      </c>
      <c r="C11996" t="s">
        <v>75</v>
      </c>
      <c r="D11996" t="s">
        <v>1769</v>
      </c>
      <c r="E11996">
        <f t="shared" si="567"/>
        <v>1.4285714285714285E-2</v>
      </c>
      <c r="F11996">
        <v>84</v>
      </c>
      <c r="G11996">
        <f>LOG(382/(84+1))</f>
        <v>0.65264443719741605</v>
      </c>
      <c r="H11996">
        <f>0.0142857142857142*1.50276935211625</f>
        <v>2.1468133601660586E-2</v>
      </c>
      <c r="I11996">
        <v>2.146813360166084E-2</v>
      </c>
    </row>
    <row r="11997" spans="1:9" x14ac:dyDescent="0.25">
      <c r="A11997">
        <v>443</v>
      </c>
      <c r="B11997" t="s">
        <v>3504</v>
      </c>
      <c r="C11997" t="s">
        <v>75</v>
      </c>
      <c r="D11997" t="s">
        <v>126</v>
      </c>
      <c r="E11997">
        <f>2/70</f>
        <v>2.8571428571428571E-2</v>
      </c>
      <c r="F11997">
        <v>79</v>
      </c>
      <c r="G11997">
        <f>LOG(382/(79+1))</f>
        <v>0.67897337591976514</v>
      </c>
      <c r="H11997">
        <f>0.0285714285714285*1.56339397393269</f>
        <v>4.4668399255219607E-2</v>
      </c>
      <c r="I11997">
        <v>4.4668399255219822E-2</v>
      </c>
    </row>
    <row r="11998" spans="1:9" x14ac:dyDescent="0.25">
      <c r="A11998">
        <v>443</v>
      </c>
      <c r="B11998" t="s">
        <v>3504</v>
      </c>
      <c r="C11998" t="s">
        <v>75</v>
      </c>
      <c r="D11998" t="s">
        <v>50</v>
      </c>
      <c r="E11998">
        <f>3/70</f>
        <v>4.2857142857142858E-2</v>
      </c>
      <c r="F11998">
        <v>109</v>
      </c>
      <c r="G11998">
        <f>LOG(382/(109+1))</f>
        <v>0.54067067775348365</v>
      </c>
      <c r="H11998">
        <f>0.0428571428571428*1.24494024281415</f>
        <v>5.3354581834892077E-2</v>
      </c>
      <c r="I11998">
        <v>5.3354581834892528E-2</v>
      </c>
    </row>
    <row r="11999" spans="1:9" x14ac:dyDescent="0.25">
      <c r="A11999">
        <v>443</v>
      </c>
      <c r="B11999" t="s">
        <v>3504</v>
      </c>
      <c r="C11999" t="s">
        <v>75</v>
      </c>
      <c r="D11999" t="s">
        <v>3376</v>
      </c>
      <c r="E11999">
        <f>2/70</f>
        <v>2.8571428571428571E-2</v>
      </c>
      <c r="F11999">
        <v>21</v>
      </c>
      <c r="G11999">
        <f>LOG(382/(21+1))</f>
        <v>1.2396406820895025</v>
      </c>
      <c r="H11999">
        <f>0.0285714285714285*2.85437815524825</f>
        <v>8.155366157852123E-2</v>
      </c>
      <c r="I11999">
        <v>8.1553661578521688E-2</v>
      </c>
    </row>
    <row r="12000" spans="1:9" x14ac:dyDescent="0.25">
      <c r="A12000">
        <v>443</v>
      </c>
      <c r="B12000" t="s">
        <v>3504</v>
      </c>
      <c r="C12000" t="s">
        <v>75</v>
      </c>
      <c r="D12000" t="s">
        <v>3509</v>
      </c>
      <c r="E12000">
        <f>2/70</f>
        <v>2.8571428571428571E-2</v>
      </c>
      <c r="F12000">
        <v>3</v>
      </c>
      <c r="G12000">
        <f>LOG(382/(3+1))</f>
        <v>1.9800033715837464</v>
      </c>
      <c r="H12000">
        <f>0.0285714285714285*4.55912624748668</f>
        <v>0.13026074992819053</v>
      </c>
      <c r="I12000">
        <v>0.13026074992819101</v>
      </c>
    </row>
    <row r="12001" spans="1:9" x14ac:dyDescent="0.25">
      <c r="A12001">
        <v>443</v>
      </c>
      <c r="B12001" t="s">
        <v>3504</v>
      </c>
      <c r="C12001" t="s">
        <v>75</v>
      </c>
      <c r="D12001" t="s">
        <v>3510</v>
      </c>
      <c r="E12001">
        <f t="shared" ref="E12001:E12012" si="568">1/70</f>
        <v>1.4285714285714285E-2</v>
      </c>
      <c r="F12001">
        <v>1</v>
      </c>
      <c r="G12001">
        <f>LOG(382/(1+1))</f>
        <v>2.2810333672477277</v>
      </c>
      <c r="H12001">
        <f>0.0142857142857142*5.25227342804663</f>
        <v>7.5032477543522838E-2</v>
      </c>
      <c r="I12001">
        <v>7.5032477543523282E-2</v>
      </c>
    </row>
    <row r="12002" spans="1:9" x14ac:dyDescent="0.25">
      <c r="A12002">
        <v>443</v>
      </c>
      <c r="B12002" t="s">
        <v>3504</v>
      </c>
      <c r="C12002" t="s">
        <v>75</v>
      </c>
      <c r="D12002" t="s">
        <v>237</v>
      </c>
      <c r="E12002">
        <f t="shared" si="568"/>
        <v>1.4285714285714285E-2</v>
      </c>
      <c r="F12002">
        <v>138</v>
      </c>
      <c r="G12002">
        <f>LOG(382/(138+1))</f>
        <v>0.43904856265761361</v>
      </c>
      <c r="H12002">
        <f>0.0142857142857142*1.01094667547588</f>
        <v>1.4442095363941056E-2</v>
      </c>
      <c r="I12002">
        <v>1.444209536394119E-2</v>
      </c>
    </row>
    <row r="12003" spans="1:9" x14ac:dyDescent="0.25">
      <c r="A12003">
        <v>443</v>
      </c>
      <c r="B12003" t="s">
        <v>3504</v>
      </c>
      <c r="C12003" t="s">
        <v>75</v>
      </c>
      <c r="D12003" t="s">
        <v>3511</v>
      </c>
      <c r="E12003">
        <f t="shared" si="568"/>
        <v>1.4285714285714285E-2</v>
      </c>
      <c r="F12003">
        <v>1</v>
      </c>
      <c r="G12003">
        <f>LOG(382/(1+1))</f>
        <v>2.2810333672477277</v>
      </c>
      <c r="H12003">
        <f>0.0142857142857142*5.25227342804663</f>
        <v>7.5032477543522838E-2</v>
      </c>
      <c r="I12003">
        <v>7.5032477543523282E-2</v>
      </c>
    </row>
    <row r="12004" spans="1:9" x14ac:dyDescent="0.25">
      <c r="A12004">
        <v>443</v>
      </c>
      <c r="B12004" t="s">
        <v>3504</v>
      </c>
      <c r="C12004" t="s">
        <v>75</v>
      </c>
      <c r="D12004" t="s">
        <v>455</v>
      </c>
      <c r="E12004">
        <f t="shared" si="568"/>
        <v>1.4285714285714285E-2</v>
      </c>
      <c r="F12004">
        <v>78</v>
      </c>
      <c r="G12004">
        <f>LOG(382/(78+1))</f>
        <v>0.6844362716212673</v>
      </c>
      <c r="H12004">
        <f>0.0142857142857142*1.57597275613955</f>
        <v>2.251389651627915E-2</v>
      </c>
      <c r="I12004">
        <v>2.2513896516279341E-2</v>
      </c>
    </row>
    <row r="12005" spans="1:9" x14ac:dyDescent="0.25">
      <c r="A12005">
        <v>443</v>
      </c>
      <c r="B12005" t="s">
        <v>3504</v>
      </c>
      <c r="C12005" t="s">
        <v>75</v>
      </c>
      <c r="D12005" t="s">
        <v>456</v>
      </c>
      <c r="E12005">
        <f t="shared" si="568"/>
        <v>1.4285714285714285E-2</v>
      </c>
      <c r="F12005">
        <v>71</v>
      </c>
      <c r="G12005">
        <f>LOG(382/(71+1))</f>
        <v>0.72473086648044027</v>
      </c>
      <c r="H12005">
        <f>0.0142857142857142*1.66875448959051</f>
        <v>2.3839349851292858E-2</v>
      </c>
      <c r="I12005">
        <v>2.3839349851293139E-2</v>
      </c>
    </row>
    <row r="12006" spans="1:9" x14ac:dyDescent="0.25">
      <c r="A12006">
        <v>443</v>
      </c>
      <c r="B12006" t="s">
        <v>3504</v>
      </c>
      <c r="C12006" t="s">
        <v>75</v>
      </c>
      <c r="D12006" t="s">
        <v>3512</v>
      </c>
      <c r="E12006">
        <f t="shared" si="568"/>
        <v>1.4285714285714285E-2</v>
      </c>
      <c r="F12006">
        <v>1</v>
      </c>
      <c r="G12006">
        <f>LOG(382/(1+1))</f>
        <v>2.2810333672477277</v>
      </c>
      <c r="H12006">
        <f>0.0142857142857142*5.25227342804663</f>
        <v>7.5032477543522838E-2</v>
      </c>
      <c r="I12006">
        <v>7.5032477543523282E-2</v>
      </c>
    </row>
    <row r="12007" spans="1:9" x14ac:dyDescent="0.25">
      <c r="A12007">
        <v>443</v>
      </c>
      <c r="B12007" t="s">
        <v>3504</v>
      </c>
      <c r="C12007" t="s">
        <v>75</v>
      </c>
      <c r="D12007" t="s">
        <v>3513</v>
      </c>
      <c r="E12007">
        <f t="shared" si="568"/>
        <v>1.4285714285714285E-2</v>
      </c>
      <c r="F12007">
        <v>1</v>
      </c>
      <c r="G12007">
        <f>LOG(382/(1+1))</f>
        <v>2.2810333672477277</v>
      </c>
      <c r="H12007">
        <f>0.0142857142857142*5.25227342804663</f>
        <v>7.5032477543522838E-2</v>
      </c>
      <c r="I12007">
        <v>7.5032477543523282E-2</v>
      </c>
    </row>
    <row r="12008" spans="1:9" x14ac:dyDescent="0.25">
      <c r="A12008">
        <v>443</v>
      </c>
      <c r="B12008" t="s">
        <v>3504</v>
      </c>
      <c r="C12008" t="s">
        <v>75</v>
      </c>
      <c r="D12008" t="s">
        <v>3514</v>
      </c>
      <c r="E12008">
        <f t="shared" si="568"/>
        <v>1.4285714285714285E-2</v>
      </c>
      <c r="F12008">
        <v>1</v>
      </c>
      <c r="G12008">
        <f>LOG(382/(1+1))</f>
        <v>2.2810333672477277</v>
      </c>
      <c r="H12008">
        <f>0.0142857142857142*5.25227342804663</f>
        <v>7.5032477543522838E-2</v>
      </c>
      <c r="I12008">
        <v>7.5032477543523282E-2</v>
      </c>
    </row>
    <row r="12009" spans="1:9" x14ac:dyDescent="0.25">
      <c r="A12009">
        <v>443</v>
      </c>
      <c r="B12009" t="s">
        <v>3504</v>
      </c>
      <c r="C12009" t="s">
        <v>75</v>
      </c>
      <c r="D12009" t="s">
        <v>361</v>
      </c>
      <c r="E12009">
        <f t="shared" si="568"/>
        <v>1.4285714285714285E-2</v>
      </c>
      <c r="F12009">
        <v>118</v>
      </c>
      <c r="G12009">
        <f>LOG(382/(118+1))</f>
        <v>0.50651640151917798</v>
      </c>
      <c r="H12009">
        <f>0.0142857142857142*1.16629711549504</f>
        <v>1.6661387364214755E-2</v>
      </c>
      <c r="I12009">
        <v>1.6661387364214939E-2</v>
      </c>
    </row>
    <row r="12010" spans="1:9" x14ac:dyDescent="0.25">
      <c r="A12010">
        <v>443</v>
      </c>
      <c r="B12010" t="s">
        <v>3504</v>
      </c>
      <c r="C12010" t="s">
        <v>75</v>
      </c>
      <c r="D12010" t="s">
        <v>434</v>
      </c>
      <c r="E12010">
        <f t="shared" si="568"/>
        <v>1.4285714285714285E-2</v>
      </c>
      <c r="F12010">
        <v>97</v>
      </c>
      <c r="G12010">
        <f>LOG(382/(97+1))</f>
        <v>0.59083728721921391</v>
      </c>
      <c r="H12010">
        <f>0.0142857142857142*1.360453129936</f>
        <v>1.9435044713371312E-2</v>
      </c>
      <c r="I12010">
        <v>1.9435044713371478E-2</v>
      </c>
    </row>
    <row r="12011" spans="1:9" x14ac:dyDescent="0.25">
      <c r="A12011">
        <v>443</v>
      </c>
      <c r="B12011" t="s">
        <v>3504</v>
      </c>
      <c r="C12011" t="s">
        <v>75</v>
      </c>
      <c r="D12011" t="s">
        <v>3325</v>
      </c>
      <c r="E12011">
        <f t="shared" si="568"/>
        <v>1.4285714285714285E-2</v>
      </c>
      <c r="F12011">
        <v>19</v>
      </c>
      <c r="G12011">
        <f>LOG(382/(19+1))</f>
        <v>1.2810333672477277</v>
      </c>
      <c r="H12011">
        <f>0.0142857142857142*2.94968833505258</f>
        <v>4.2138404786465175E-2</v>
      </c>
      <c r="I12011">
        <v>4.2138404786465487E-2</v>
      </c>
    </row>
    <row r="12012" spans="1:9" x14ac:dyDescent="0.25">
      <c r="A12012">
        <v>443</v>
      </c>
      <c r="B12012" t="s">
        <v>3504</v>
      </c>
      <c r="C12012" t="s">
        <v>75</v>
      </c>
      <c r="D12012" t="s">
        <v>3401</v>
      </c>
      <c r="E12012">
        <f t="shared" si="568"/>
        <v>1.4285714285714285E-2</v>
      </c>
      <c r="F12012">
        <v>8</v>
      </c>
      <c r="G12012">
        <f>LOG(382/(8+1))</f>
        <v>1.6278208534723839</v>
      </c>
      <c r="H12012">
        <f>0.0142857142857142*3.74819603127035</f>
        <v>5.3545657589576107E-2</v>
      </c>
      <c r="I12012">
        <v>5.3545657589576509E-2</v>
      </c>
    </row>
    <row r="12013" spans="1:9" x14ac:dyDescent="0.25">
      <c r="A12013">
        <v>443</v>
      </c>
      <c r="B12013" t="s">
        <v>3504</v>
      </c>
      <c r="C12013" t="s">
        <v>75</v>
      </c>
      <c r="D12013" t="s">
        <v>1467</v>
      </c>
      <c r="E12013">
        <f>2/70</f>
        <v>2.8571428571428571E-2</v>
      </c>
      <c r="F12013">
        <v>21</v>
      </c>
      <c r="G12013">
        <f>LOG(382/(21+1))</f>
        <v>1.2396406820895025</v>
      </c>
      <c r="H12013">
        <f>0.0285714285714285*2.85437815524825</f>
        <v>8.155366157852123E-2</v>
      </c>
      <c r="I12013">
        <v>8.1553661578521688E-2</v>
      </c>
    </row>
    <row r="12014" spans="1:9" x14ac:dyDescent="0.25">
      <c r="A12014">
        <v>443</v>
      </c>
      <c r="B12014" t="s">
        <v>3504</v>
      </c>
      <c r="C12014" t="s">
        <v>75</v>
      </c>
      <c r="D12014" t="s">
        <v>149</v>
      </c>
      <c r="E12014">
        <f>2/70</f>
        <v>2.8571428571428571E-2</v>
      </c>
      <c r="F12014">
        <v>35</v>
      </c>
      <c r="G12014">
        <f>LOG(382/(35+1))</f>
        <v>1.0257608621444214</v>
      </c>
      <c r="H12014">
        <f>0.0285714285714285*2.36190167015046</f>
        <v>6.7482904861441553E-2</v>
      </c>
      <c r="I12014">
        <v>6.7482904861441859E-2</v>
      </c>
    </row>
    <row r="12015" spans="1:9" x14ac:dyDescent="0.25">
      <c r="A12015">
        <v>443</v>
      </c>
      <c r="B12015" t="s">
        <v>3504</v>
      </c>
      <c r="C12015" t="s">
        <v>75</v>
      </c>
      <c r="D12015" t="s">
        <v>1938</v>
      </c>
      <c r="E12015">
        <f>2/70</f>
        <v>2.8571428571428571E-2</v>
      </c>
      <c r="F12015">
        <v>7</v>
      </c>
      <c r="G12015">
        <f>LOG(382/(7+1))</f>
        <v>1.6789733759197651</v>
      </c>
      <c r="H12015">
        <f>0.0285714285714285*3.86597906692673</f>
        <v>0.11045654476933488</v>
      </c>
      <c r="I12015">
        <v>0.1104565447693354</v>
      </c>
    </row>
    <row r="12016" spans="1:9" x14ac:dyDescent="0.25">
      <c r="A12016">
        <v>443</v>
      </c>
      <c r="B12016" t="s">
        <v>3504</v>
      </c>
      <c r="C12016" t="s">
        <v>75</v>
      </c>
      <c r="D12016" t="s">
        <v>210</v>
      </c>
      <c r="E12016">
        <f t="shared" ref="E12016:E12036" si="569">1/70</f>
        <v>1.4285714285714285E-2</v>
      </c>
      <c r="F12016">
        <v>9</v>
      </c>
      <c r="G12016">
        <f>LOG(382/(9+1))</f>
        <v>1.5820633629117087</v>
      </c>
      <c r="H12016">
        <f>0.0142857142857142*3.64283551561252</f>
        <v>5.204050736589283E-2</v>
      </c>
      <c r="I12016">
        <v>5.2040507365893267E-2</v>
      </c>
    </row>
    <row r="12017" spans="1:9" x14ac:dyDescent="0.25">
      <c r="A12017">
        <v>443</v>
      </c>
      <c r="B12017" t="s">
        <v>3504</v>
      </c>
      <c r="C12017" t="s">
        <v>75</v>
      </c>
      <c r="D12017" t="s">
        <v>3515</v>
      </c>
      <c r="E12017">
        <f t="shared" si="569"/>
        <v>1.4285714285714285E-2</v>
      </c>
      <c r="F12017">
        <v>1</v>
      </c>
      <c r="G12017">
        <f>LOG(382/(1+1))</f>
        <v>2.2810333672477277</v>
      </c>
      <c r="H12017">
        <f>0.0142857142857142*5.25227342804663</f>
        <v>7.5032477543522838E-2</v>
      </c>
      <c r="I12017">
        <v>7.5032477543523282E-2</v>
      </c>
    </row>
    <row r="12018" spans="1:9" x14ac:dyDescent="0.25">
      <c r="A12018">
        <v>443</v>
      </c>
      <c r="B12018" t="s">
        <v>3504</v>
      </c>
      <c r="C12018" t="s">
        <v>75</v>
      </c>
      <c r="D12018" t="s">
        <v>3327</v>
      </c>
      <c r="E12018">
        <f t="shared" si="569"/>
        <v>1.4285714285714285E-2</v>
      </c>
      <c r="F12018">
        <v>21</v>
      </c>
      <c r="G12018">
        <f>LOG(382/(21+1))</f>
        <v>1.2396406820895025</v>
      </c>
      <c r="H12018">
        <f>0.0142857142857142*2.85437815524825</f>
        <v>4.077683078926047E-2</v>
      </c>
      <c r="I12018">
        <v>4.0776830789260837E-2</v>
      </c>
    </row>
    <row r="12019" spans="1:9" x14ac:dyDescent="0.25">
      <c r="A12019">
        <v>443</v>
      </c>
      <c r="B12019" t="s">
        <v>3504</v>
      </c>
      <c r="C12019" t="s">
        <v>75</v>
      </c>
      <c r="D12019" t="s">
        <v>322</v>
      </c>
      <c r="E12019">
        <f t="shared" si="569"/>
        <v>1.4285714285714285E-2</v>
      </c>
      <c r="F12019">
        <v>128</v>
      </c>
      <c r="G12019">
        <f>LOG(382/(128+1))</f>
        <v>0.47147365261245977</v>
      </c>
      <c r="H12019">
        <f>0.0142857142857142*1.0856082042449</f>
        <v>1.5508688632069908E-2</v>
      </c>
      <c r="I12019">
        <v>1.550868863207004E-2</v>
      </c>
    </row>
    <row r="12020" spans="1:9" x14ac:dyDescent="0.25">
      <c r="A12020">
        <v>443</v>
      </c>
      <c r="B12020" t="s">
        <v>3504</v>
      </c>
      <c r="C12020" t="s">
        <v>75</v>
      </c>
      <c r="D12020" t="s">
        <v>324</v>
      </c>
      <c r="E12020">
        <f t="shared" si="569"/>
        <v>1.4285714285714285E-2</v>
      </c>
      <c r="F12020">
        <v>82</v>
      </c>
      <c r="G12020">
        <f>LOG(382/(82+1))</f>
        <v>0.66298527053563483</v>
      </c>
      <c r="H12020">
        <f>0.0142857142857142*1.52658000080997</f>
        <v>2.1808285725856583E-2</v>
      </c>
      <c r="I12020">
        <v>2.1808285725856819E-2</v>
      </c>
    </row>
    <row r="12021" spans="1:9" x14ac:dyDescent="0.25">
      <c r="A12021">
        <v>443</v>
      </c>
      <c r="B12021" t="s">
        <v>3504</v>
      </c>
      <c r="C12021" t="s">
        <v>75</v>
      </c>
      <c r="D12021" t="s">
        <v>1222</v>
      </c>
      <c r="E12021">
        <f t="shared" si="569"/>
        <v>1.4285714285714285E-2</v>
      </c>
      <c r="F12021">
        <v>56</v>
      </c>
      <c r="G12021">
        <f>LOG(382/(56+1))</f>
        <v>0.82618850723921733</v>
      </c>
      <c r="H12021">
        <f>0.0142857142857142*1.90236934077202</f>
        <v>2.7176704868171551E-2</v>
      </c>
      <c r="I12021">
        <v>2.717670486817178E-2</v>
      </c>
    </row>
    <row r="12022" spans="1:9" x14ac:dyDescent="0.25">
      <c r="A12022">
        <v>443</v>
      </c>
      <c r="B12022" t="s">
        <v>3504</v>
      </c>
      <c r="C12022" t="s">
        <v>75</v>
      </c>
      <c r="D12022" t="s">
        <v>485</v>
      </c>
      <c r="E12022">
        <f t="shared" si="569"/>
        <v>1.4285714285714285E-2</v>
      </c>
      <c r="F12022">
        <v>74</v>
      </c>
      <c r="G12022">
        <f>LOG(382/(74+1))</f>
        <v>0.7070020995200087</v>
      </c>
      <c r="H12022">
        <f>0.0142857142857142*1.62793249507026</f>
        <v>2.3256178501003574E-2</v>
      </c>
      <c r="I12022">
        <v>2.3256178501003779E-2</v>
      </c>
    </row>
    <row r="12023" spans="1:9" x14ac:dyDescent="0.25">
      <c r="A12023">
        <v>443</v>
      </c>
      <c r="B12023" t="s">
        <v>3504</v>
      </c>
      <c r="C12023" t="s">
        <v>75</v>
      </c>
      <c r="D12023" t="s">
        <v>78</v>
      </c>
      <c r="E12023">
        <f t="shared" si="569"/>
        <v>1.4285714285714285E-2</v>
      </c>
      <c r="F12023">
        <v>122</v>
      </c>
      <c r="G12023">
        <f>LOG(382/(122+1))</f>
        <v>0.49215825147231079</v>
      </c>
      <c r="H12023">
        <f>0.0142857142857142*1.13323625323415</f>
        <v>1.6189089331916331E-2</v>
      </c>
      <c r="I12023">
        <v>1.618908933191654E-2</v>
      </c>
    </row>
    <row r="12024" spans="1:9" x14ac:dyDescent="0.25">
      <c r="A12024">
        <v>443</v>
      </c>
      <c r="B12024" t="s">
        <v>3504</v>
      </c>
      <c r="C12024" t="s">
        <v>75</v>
      </c>
      <c r="D12024" t="s">
        <v>98</v>
      </c>
      <c r="E12024">
        <f t="shared" si="569"/>
        <v>1.4285714285714285E-2</v>
      </c>
      <c r="F12024">
        <v>56</v>
      </c>
      <c r="G12024">
        <f>LOG(382/(56+1))</f>
        <v>0.82618850723921733</v>
      </c>
      <c r="H12024">
        <f>0.0142857142857142*1.90236934077202</f>
        <v>2.7176704868171551E-2</v>
      </c>
      <c r="I12024">
        <v>2.717670486817178E-2</v>
      </c>
    </row>
    <row r="12025" spans="1:9" x14ac:dyDescent="0.25">
      <c r="A12025">
        <v>443</v>
      </c>
      <c r="B12025" t="s">
        <v>3504</v>
      </c>
      <c r="C12025" t="s">
        <v>75</v>
      </c>
      <c r="D12025" t="s">
        <v>2238</v>
      </c>
      <c r="E12025">
        <f t="shared" si="569"/>
        <v>1.4285714285714285E-2</v>
      </c>
      <c r="F12025">
        <v>68</v>
      </c>
      <c r="G12025">
        <f>LOG(382/(68+1))</f>
        <v>0.74321427217445335</v>
      </c>
      <c r="H12025">
        <f>0.0142857142857142*1.71131410400931</f>
        <v>2.4447344342989997E-2</v>
      </c>
      <c r="I12025">
        <v>2.4447344342990229E-2</v>
      </c>
    </row>
    <row r="12026" spans="1:9" x14ac:dyDescent="0.25">
      <c r="A12026">
        <v>443</v>
      </c>
      <c r="B12026" t="s">
        <v>3504</v>
      </c>
      <c r="C12026" t="s">
        <v>75</v>
      </c>
      <c r="D12026" t="s">
        <v>2178</v>
      </c>
      <c r="E12026">
        <f t="shared" si="569"/>
        <v>1.4285714285714285E-2</v>
      </c>
      <c r="F12026">
        <v>11</v>
      </c>
      <c r="G12026">
        <f>LOG(382/(11+1))</f>
        <v>1.5028821168640838</v>
      </c>
      <c r="H12026">
        <f>0.0142857142857142*3.46051395881857</f>
        <v>4.9435913697407845E-2</v>
      </c>
      <c r="I12026">
        <v>4.9435913697408213E-2</v>
      </c>
    </row>
    <row r="12027" spans="1:9" x14ac:dyDescent="0.25">
      <c r="A12027">
        <v>443</v>
      </c>
      <c r="B12027" t="s">
        <v>3504</v>
      </c>
      <c r="C12027" t="s">
        <v>75</v>
      </c>
      <c r="D12027" t="s">
        <v>1730</v>
      </c>
      <c r="E12027">
        <f t="shared" si="569"/>
        <v>1.4285714285714285E-2</v>
      </c>
      <c r="F12027">
        <v>35</v>
      </c>
      <c r="G12027">
        <f>LOG(382/(35+1))</f>
        <v>1.0257608621444214</v>
      </c>
      <c r="H12027">
        <f>0.0142857142857142*2.36190167015046</f>
        <v>3.3741452430720659E-2</v>
      </c>
      <c r="I12027">
        <v>3.3741452430720929E-2</v>
      </c>
    </row>
    <row r="12028" spans="1:9" x14ac:dyDescent="0.25">
      <c r="A12028">
        <v>443</v>
      </c>
      <c r="B12028" t="s">
        <v>3504</v>
      </c>
      <c r="C12028" t="s">
        <v>75</v>
      </c>
      <c r="D12028" t="s">
        <v>1665</v>
      </c>
      <c r="E12028">
        <f t="shared" si="569"/>
        <v>1.4285714285714285E-2</v>
      </c>
      <c r="F12028">
        <v>17</v>
      </c>
      <c r="G12028">
        <f>LOG(382/(17+1))</f>
        <v>1.3267908578084027</v>
      </c>
      <c r="H12028">
        <f>0.0142857142857142*3.05504885071041</f>
        <v>4.3643555010148452E-2</v>
      </c>
      <c r="I12028">
        <v>4.3643555010148723E-2</v>
      </c>
    </row>
    <row r="12029" spans="1:9" x14ac:dyDescent="0.25">
      <c r="A12029">
        <v>443</v>
      </c>
      <c r="B12029" t="s">
        <v>3504</v>
      </c>
      <c r="C12029" t="s">
        <v>75</v>
      </c>
      <c r="D12029" t="s">
        <v>1550</v>
      </c>
      <c r="E12029">
        <f t="shared" si="569"/>
        <v>1.4285714285714285E-2</v>
      </c>
      <c r="F12029">
        <v>16</v>
      </c>
      <c r="G12029">
        <f>LOG(382/(16+1))</f>
        <v>1.3516144415334348</v>
      </c>
      <c r="H12029">
        <f>0.0142857142857142*3.11220726455035</f>
        <v>4.4460103779290445E-2</v>
      </c>
      <c r="I12029">
        <v>4.4460103779290841E-2</v>
      </c>
    </row>
    <row r="12030" spans="1:9" x14ac:dyDescent="0.25">
      <c r="A12030">
        <v>443</v>
      </c>
      <c r="B12030" t="s">
        <v>3504</v>
      </c>
      <c r="C12030" t="s">
        <v>75</v>
      </c>
      <c r="D12030" t="s">
        <v>1551</v>
      </c>
      <c r="E12030">
        <f t="shared" si="569"/>
        <v>1.4285714285714285E-2</v>
      </c>
      <c r="F12030">
        <v>15</v>
      </c>
      <c r="G12030">
        <f>LOG(382/(15+1))</f>
        <v>1.3779433802557839</v>
      </c>
      <c r="H12030">
        <f>0.0142857142857142*3.17283188636679</f>
        <v>4.532616980523959E-2</v>
      </c>
      <c r="I12030">
        <v>4.5326169805239923E-2</v>
      </c>
    </row>
    <row r="12031" spans="1:9" x14ac:dyDescent="0.25">
      <c r="A12031">
        <v>443</v>
      </c>
      <c r="B12031" t="s">
        <v>3504</v>
      </c>
      <c r="C12031" t="s">
        <v>75</v>
      </c>
      <c r="D12031" t="s">
        <v>247</v>
      </c>
      <c r="E12031">
        <f t="shared" si="569"/>
        <v>1.4285714285714285E-2</v>
      </c>
      <c r="F12031">
        <v>121</v>
      </c>
      <c r="G12031">
        <f>LOG(382/(121+1))</f>
        <v>0.49570353223696051</v>
      </c>
      <c r="H12031">
        <f>0.0142857142857142*1.14139956387331</f>
        <v>1.6305708055332904E-2</v>
      </c>
      <c r="I12031">
        <v>1.6305708055333129E-2</v>
      </c>
    </row>
    <row r="12032" spans="1:9" x14ac:dyDescent="0.25">
      <c r="A12032">
        <v>443</v>
      </c>
      <c r="B12032" t="s">
        <v>3504</v>
      </c>
      <c r="C12032" t="s">
        <v>75</v>
      </c>
      <c r="D12032" t="s">
        <v>89</v>
      </c>
      <c r="E12032">
        <f t="shared" si="569"/>
        <v>1.4285714285714285E-2</v>
      </c>
      <c r="F12032">
        <v>40</v>
      </c>
      <c r="G12032">
        <f>LOG(382/(40+1))</f>
        <v>0.96927950619197323</v>
      </c>
      <c r="H12032">
        <f>0.0142857142857142*2.23184854190226</f>
        <v>3.1883550598603518E-2</v>
      </c>
      <c r="I12032">
        <v>3.1883550598603823E-2</v>
      </c>
    </row>
    <row r="12033" spans="1:9" x14ac:dyDescent="0.25">
      <c r="A12033">
        <v>443</v>
      </c>
      <c r="B12033" t="s">
        <v>3504</v>
      </c>
      <c r="C12033" t="s">
        <v>75</v>
      </c>
      <c r="D12033" t="s">
        <v>133</v>
      </c>
      <c r="E12033">
        <f t="shared" si="569"/>
        <v>1.4285714285714285E-2</v>
      </c>
      <c r="F12033">
        <v>142</v>
      </c>
      <c r="G12033">
        <f>LOG(382/(142+1))</f>
        <v>0.42672732544664693</v>
      </c>
      <c r="H12033">
        <f>0.0142857142857142*0.982575978346667</f>
        <v>1.4036799690666587E-2</v>
      </c>
      <c r="I12033">
        <v>1.4036799690666679E-2</v>
      </c>
    </row>
    <row r="12034" spans="1:9" x14ac:dyDescent="0.25">
      <c r="A12034">
        <v>443</v>
      </c>
      <c r="B12034" t="s">
        <v>3504</v>
      </c>
      <c r="C12034" t="s">
        <v>75</v>
      </c>
      <c r="D12034" t="s">
        <v>1762</v>
      </c>
      <c r="E12034">
        <f t="shared" si="569"/>
        <v>1.4285714285714285E-2</v>
      </c>
      <c r="F12034">
        <v>60</v>
      </c>
      <c r="G12034">
        <f>LOG(382/(60+1))</f>
        <v>0.79673352790094176</v>
      </c>
      <c r="H12034">
        <f>0.0142857142857142*1.83454674443326</f>
        <v>2.62078106347607E-2</v>
      </c>
      <c r="I12034">
        <v>2.6207810634760909E-2</v>
      </c>
    </row>
    <row r="12035" spans="1:9" x14ac:dyDescent="0.25">
      <c r="A12035">
        <v>443</v>
      </c>
      <c r="B12035" t="s">
        <v>3504</v>
      </c>
      <c r="C12035" t="s">
        <v>75</v>
      </c>
      <c r="D12035" t="s">
        <v>19</v>
      </c>
      <c r="E12035">
        <f t="shared" si="569"/>
        <v>1.4285714285714285E-2</v>
      </c>
      <c r="F12035">
        <v>220</v>
      </c>
      <c r="G12035">
        <f>LOG(382/(220+1))</f>
        <v>0.23767108922659805</v>
      </c>
      <c r="H12035">
        <f>0.0142857142857142*0.547257907088822</f>
        <v>7.8179701012688393E-3</v>
      </c>
      <c r="I12035">
        <v>7.8179701012688913E-3</v>
      </c>
    </row>
    <row r="12036" spans="1:9" x14ac:dyDescent="0.25">
      <c r="A12036">
        <v>443</v>
      </c>
      <c r="B12036" t="s">
        <v>3504</v>
      </c>
      <c r="C12036" t="s">
        <v>75</v>
      </c>
      <c r="D12036" t="s">
        <v>44</v>
      </c>
      <c r="E12036">
        <f t="shared" si="569"/>
        <v>1.4285714285714285E-2</v>
      </c>
      <c r="F12036">
        <v>151</v>
      </c>
      <c r="G12036">
        <f>LOG(382/(151+1))</f>
        <v>0.40021977496693617</v>
      </c>
      <c r="H12036">
        <f>0.0142857142857142*0.921540087760298</f>
        <v>1.3164858396575607E-2</v>
      </c>
      <c r="I12036">
        <v>1.3164858396575701E-2</v>
      </c>
    </row>
    <row r="12037" spans="1:9" x14ac:dyDescent="0.25">
      <c r="A12037">
        <v>444</v>
      </c>
      <c r="B12037" t="s">
        <v>3516</v>
      </c>
      <c r="C12037" t="s">
        <v>75</v>
      </c>
      <c r="D12037" t="s">
        <v>3436</v>
      </c>
      <c r="E12037">
        <f>2/60</f>
        <v>3.3333333333333333E-2</v>
      </c>
      <c r="F12037">
        <v>10</v>
      </c>
      <c r="G12037">
        <f>LOG(382/(10+1))</f>
        <v>1.5406706777534838</v>
      </c>
      <c r="H12037">
        <f>0.0333333333333333*3.5475253358082</f>
        <v>0.11825084452693987</v>
      </c>
      <c r="I12037">
        <v>0.11825084452694019</v>
      </c>
    </row>
    <row r="12038" spans="1:9" x14ac:dyDescent="0.25">
      <c r="A12038">
        <v>444</v>
      </c>
      <c r="B12038" t="s">
        <v>3516</v>
      </c>
      <c r="C12038" t="s">
        <v>75</v>
      </c>
      <c r="D12038" t="s">
        <v>3517</v>
      </c>
      <c r="E12038">
        <f>2/60</f>
        <v>3.3333333333333333E-2</v>
      </c>
      <c r="F12038">
        <v>1</v>
      </c>
      <c r="G12038">
        <f>LOG(382/(1+1))</f>
        <v>2.2810333672477277</v>
      </c>
      <c r="H12038">
        <f>0.0333333333333333*5.25227342804663</f>
        <v>0.17507578093488749</v>
      </c>
      <c r="I12038">
        <v>0.17507578093488771</v>
      </c>
    </row>
    <row r="12039" spans="1:9" x14ac:dyDescent="0.25">
      <c r="A12039">
        <v>444</v>
      </c>
      <c r="B12039" t="s">
        <v>3516</v>
      </c>
      <c r="C12039" t="s">
        <v>75</v>
      </c>
      <c r="D12039" t="s">
        <v>3518</v>
      </c>
      <c r="E12039">
        <f>2/60</f>
        <v>3.3333333333333333E-2</v>
      </c>
      <c r="F12039">
        <v>1</v>
      </c>
      <c r="G12039">
        <f>LOG(382/(1+1))</f>
        <v>2.2810333672477277</v>
      </c>
      <c r="H12039">
        <f>0.0333333333333333*5.25227342804663</f>
        <v>0.17507578093488749</v>
      </c>
      <c r="I12039">
        <v>0.17507578093488771</v>
      </c>
    </row>
    <row r="12040" spans="1:9" x14ac:dyDescent="0.25">
      <c r="A12040">
        <v>444</v>
      </c>
      <c r="B12040" t="s">
        <v>3516</v>
      </c>
      <c r="C12040" t="s">
        <v>75</v>
      </c>
      <c r="D12040" t="s">
        <v>112</v>
      </c>
      <c r="E12040">
        <f t="shared" ref="E12040:E12048" si="570">1/60</f>
        <v>1.6666666666666666E-2</v>
      </c>
      <c r="F12040">
        <v>52</v>
      </c>
      <c r="G12040">
        <f>LOG(382/(52+1))</f>
        <v>0.85778749331091964</v>
      </c>
      <c r="H12040">
        <f>0.0166666666666666*1.97512869505445</f>
        <v>3.2918811584240704E-2</v>
      </c>
      <c r="I12040">
        <v>3.2918811584240891E-2</v>
      </c>
    </row>
    <row r="12041" spans="1:9" x14ac:dyDescent="0.25">
      <c r="A12041">
        <v>444</v>
      </c>
      <c r="B12041" t="s">
        <v>3516</v>
      </c>
      <c r="C12041" t="s">
        <v>75</v>
      </c>
      <c r="D12041" t="s">
        <v>82</v>
      </c>
      <c r="E12041">
        <f t="shared" si="570"/>
        <v>1.6666666666666666E-2</v>
      </c>
      <c r="F12041">
        <v>92</v>
      </c>
      <c r="G12041">
        <f>LOG(382/(92+1))</f>
        <v>0.61358041435777355</v>
      </c>
      <c r="H12041">
        <f>0.0166666666666666*1.41282111545331</f>
        <v>2.3547018590888404E-2</v>
      </c>
      <c r="I12041">
        <v>2.354701859088865E-2</v>
      </c>
    </row>
    <row r="12042" spans="1:9" x14ac:dyDescent="0.25">
      <c r="A12042">
        <v>444</v>
      </c>
      <c r="B12042" t="s">
        <v>3516</v>
      </c>
      <c r="C12042" t="s">
        <v>75</v>
      </c>
      <c r="D12042" t="s">
        <v>42</v>
      </c>
      <c r="E12042">
        <f t="shared" si="570"/>
        <v>1.6666666666666666E-2</v>
      </c>
      <c r="F12042">
        <v>251</v>
      </c>
      <c r="G12042">
        <f>LOG(382/(251+1))</f>
        <v>0.18066282213016463</v>
      </c>
      <c r="H12042">
        <f>0.0166666666666666*0.415991521095151</f>
        <v>6.9331920182524884E-3</v>
      </c>
      <c r="I12042">
        <v>6.9331920182525309E-3</v>
      </c>
    </row>
    <row r="12043" spans="1:9" x14ac:dyDescent="0.25">
      <c r="A12043">
        <v>444</v>
      </c>
      <c r="B12043" t="s">
        <v>3516</v>
      </c>
      <c r="C12043" t="s">
        <v>75</v>
      </c>
      <c r="D12043" t="s">
        <v>1496</v>
      </c>
      <c r="E12043">
        <f t="shared" si="570"/>
        <v>1.6666666666666666E-2</v>
      </c>
      <c r="F12043">
        <v>39</v>
      </c>
      <c r="G12043">
        <f>LOG(382/(39+1))</f>
        <v>0.9800033715837464</v>
      </c>
      <c r="H12043">
        <f>0.0166666666666666*2.25654115449263</f>
        <v>3.7609019241543688E-2</v>
      </c>
      <c r="I12043">
        <v>3.7609019241543987E-2</v>
      </c>
    </row>
    <row r="12044" spans="1:9" x14ac:dyDescent="0.25">
      <c r="A12044">
        <v>444</v>
      </c>
      <c r="B12044" t="s">
        <v>3516</v>
      </c>
      <c r="C12044" t="s">
        <v>75</v>
      </c>
      <c r="D12044" t="s">
        <v>2710</v>
      </c>
      <c r="E12044">
        <f t="shared" si="570"/>
        <v>1.6666666666666666E-2</v>
      </c>
      <c r="F12044">
        <v>5</v>
      </c>
      <c r="G12044">
        <f>LOG(382/(5+1))</f>
        <v>1.803912112528065</v>
      </c>
      <c r="H12044">
        <f>0.0166666666666666*4.15366113937852</f>
        <v>6.9227685656308394E-2</v>
      </c>
      <c r="I12044">
        <v>6.9227685656308657E-2</v>
      </c>
    </row>
    <row r="12045" spans="1:9" x14ac:dyDescent="0.25">
      <c r="A12045">
        <v>444</v>
      </c>
      <c r="B12045" t="s">
        <v>3516</v>
      </c>
      <c r="C12045" t="s">
        <v>75</v>
      </c>
      <c r="D12045" t="s">
        <v>552</v>
      </c>
      <c r="E12045">
        <f t="shared" si="570"/>
        <v>1.6666666666666666E-2</v>
      </c>
      <c r="F12045">
        <v>14</v>
      </c>
      <c r="G12045">
        <f>LOG(382/(14+1))</f>
        <v>1.4059721038560276</v>
      </c>
      <c r="H12045">
        <f>0.0166666666666666*3.23737040750436</f>
        <v>5.3956173458405782E-2</v>
      </c>
      <c r="I12045">
        <v>5.3956173458406087E-2</v>
      </c>
    </row>
    <row r="12046" spans="1:9" x14ac:dyDescent="0.25">
      <c r="A12046">
        <v>444</v>
      </c>
      <c r="B12046" t="s">
        <v>3516</v>
      </c>
      <c r="C12046" t="s">
        <v>75</v>
      </c>
      <c r="D12046" t="s">
        <v>920</v>
      </c>
      <c r="E12046">
        <f t="shared" si="570"/>
        <v>1.6666666666666666E-2</v>
      </c>
      <c r="F12046">
        <v>30</v>
      </c>
      <c r="G12046">
        <f>LOG(382/(30+1))</f>
        <v>1.090701669077436</v>
      </c>
      <c r="H12046">
        <f>0.0166666666666666*2.51143340412142</f>
        <v>4.1857223402023504E-2</v>
      </c>
      <c r="I12046">
        <v>4.1857223402023823E-2</v>
      </c>
    </row>
    <row r="12047" spans="1:9" x14ac:dyDescent="0.25">
      <c r="A12047">
        <v>444</v>
      </c>
      <c r="B12047" t="s">
        <v>3516</v>
      </c>
      <c r="C12047" t="s">
        <v>75</v>
      </c>
      <c r="D12047" t="s">
        <v>17</v>
      </c>
      <c r="E12047">
        <f t="shared" si="570"/>
        <v>1.6666666666666666E-2</v>
      </c>
      <c r="F12047">
        <v>169</v>
      </c>
      <c r="G12047">
        <f>LOG(382/(169+1))</f>
        <v>0.3516144415334348</v>
      </c>
      <c r="H12047">
        <f>0.0166666666666666*0.809622171556313</f>
        <v>1.3493702859271831E-2</v>
      </c>
      <c r="I12047">
        <v>1.349370285927189E-2</v>
      </c>
    </row>
    <row r="12048" spans="1:9" x14ac:dyDescent="0.25">
      <c r="A12048">
        <v>444</v>
      </c>
      <c r="B12048" t="s">
        <v>3516</v>
      </c>
      <c r="C12048" t="s">
        <v>75</v>
      </c>
      <c r="D12048" t="s">
        <v>3519</v>
      </c>
      <c r="E12048">
        <f t="shared" si="570"/>
        <v>1.6666666666666666E-2</v>
      </c>
      <c r="F12048">
        <v>1</v>
      </c>
      <c r="G12048">
        <f>LOG(382/(1+1))</f>
        <v>2.2810333672477277</v>
      </c>
      <c r="H12048">
        <f>0.0166666666666666*5.25227342804663</f>
        <v>8.753789046744348E-2</v>
      </c>
      <c r="I12048">
        <v>8.7537890467443827E-2</v>
      </c>
    </row>
    <row r="12049" spans="1:9" x14ac:dyDescent="0.25">
      <c r="A12049">
        <v>444</v>
      </c>
      <c r="B12049" t="s">
        <v>3516</v>
      </c>
      <c r="C12049" t="s">
        <v>75</v>
      </c>
      <c r="D12049" t="s">
        <v>44</v>
      </c>
      <c r="E12049">
        <f>2/60</f>
        <v>3.3333333333333333E-2</v>
      </c>
      <c r="F12049">
        <v>151</v>
      </c>
      <c r="G12049">
        <f>LOG(382/(151+1))</f>
        <v>0.40021977496693617</v>
      </c>
      <c r="H12049">
        <f>0.0333333333333333*0.921540087760298</f>
        <v>3.0718002925343237E-2</v>
      </c>
      <c r="I12049">
        <v>3.0718002925343289E-2</v>
      </c>
    </row>
    <row r="12050" spans="1:9" x14ac:dyDescent="0.25">
      <c r="A12050">
        <v>444</v>
      </c>
      <c r="B12050" t="s">
        <v>3516</v>
      </c>
      <c r="C12050" t="s">
        <v>75</v>
      </c>
      <c r="D12050" t="s">
        <v>22</v>
      </c>
      <c r="E12050">
        <f>1/60</f>
        <v>1.6666666666666666E-2</v>
      </c>
      <c r="F12050">
        <v>259</v>
      </c>
      <c r="G12050">
        <f>LOG(382/(259+1))</f>
        <v>0.16709001494089079</v>
      </c>
      <c r="H12050">
        <f>0.0166666666666666*0.384738977591047</f>
        <v>6.412316293184092E-3</v>
      </c>
      <c r="I12050">
        <v>6.4123162931841249E-3</v>
      </c>
    </row>
    <row r="12051" spans="1:9" x14ac:dyDescent="0.25">
      <c r="A12051">
        <v>444</v>
      </c>
      <c r="B12051" t="s">
        <v>3516</v>
      </c>
      <c r="C12051" t="s">
        <v>75</v>
      </c>
      <c r="D12051" t="s">
        <v>23</v>
      </c>
      <c r="E12051">
        <f>1/60</f>
        <v>1.6666666666666666E-2</v>
      </c>
      <c r="F12051">
        <v>275</v>
      </c>
      <c r="G12051">
        <f>LOG(382/(275+1))</f>
        <v>0.14115428084649101</v>
      </c>
      <c r="H12051">
        <f>0.0166666666666666*0.325019742889425</f>
        <v>5.416995714823728E-3</v>
      </c>
      <c r="I12051">
        <v>5.4169957148237522E-3</v>
      </c>
    </row>
    <row r="12052" spans="1:9" x14ac:dyDescent="0.25">
      <c r="A12052">
        <v>444</v>
      </c>
      <c r="B12052" t="s">
        <v>3516</v>
      </c>
      <c r="C12052" t="s">
        <v>75</v>
      </c>
      <c r="D12052" t="s">
        <v>3520</v>
      </c>
      <c r="E12052">
        <f>1/60</f>
        <v>1.6666666666666666E-2</v>
      </c>
      <c r="F12052">
        <v>8</v>
      </c>
      <c r="G12052">
        <f>LOG(382/(8+1))</f>
        <v>1.6278208534723839</v>
      </c>
      <c r="H12052">
        <f>0.0166666666666666*3.74819603127035</f>
        <v>6.2469933854505583E-2</v>
      </c>
      <c r="I12052">
        <v>6.246993385450593E-2</v>
      </c>
    </row>
    <row r="12053" spans="1:9" x14ac:dyDescent="0.25">
      <c r="A12053">
        <v>444</v>
      </c>
      <c r="B12053" t="s">
        <v>3516</v>
      </c>
      <c r="C12053" t="s">
        <v>75</v>
      </c>
      <c r="D12053" t="s">
        <v>105</v>
      </c>
      <c r="E12053">
        <f>1/60</f>
        <v>1.6666666666666666E-2</v>
      </c>
      <c r="F12053">
        <v>122</v>
      </c>
      <c r="G12053">
        <f>LOG(382/(122+1))</f>
        <v>0.49215825147231079</v>
      </c>
      <c r="H12053">
        <f>0.0166666666666666*1.13323625323415</f>
        <v>1.8887270887235758E-2</v>
      </c>
      <c r="I12053">
        <v>1.8887270887235959E-2</v>
      </c>
    </row>
    <row r="12054" spans="1:9" x14ac:dyDescent="0.25">
      <c r="A12054">
        <v>444</v>
      </c>
      <c r="B12054" t="s">
        <v>3516</v>
      </c>
      <c r="C12054" t="s">
        <v>75</v>
      </c>
      <c r="D12054" t="s">
        <v>1769</v>
      </c>
      <c r="E12054">
        <f>1/60</f>
        <v>1.6666666666666666E-2</v>
      </c>
      <c r="F12054">
        <v>84</v>
      </c>
      <c r="G12054">
        <f>LOG(382/(84+1))</f>
        <v>0.65264443719741605</v>
      </c>
      <c r="H12054">
        <f>0.0166666666666666*1.50276935211625</f>
        <v>2.5046155868604068E-2</v>
      </c>
      <c r="I12054">
        <v>2.5046155868604311E-2</v>
      </c>
    </row>
    <row r="12055" spans="1:9" x14ac:dyDescent="0.25">
      <c r="A12055">
        <v>444</v>
      </c>
      <c r="B12055" t="s">
        <v>3516</v>
      </c>
      <c r="C12055" t="s">
        <v>75</v>
      </c>
      <c r="D12055" t="s">
        <v>126</v>
      </c>
      <c r="E12055">
        <f>2/60</f>
        <v>3.3333333333333333E-2</v>
      </c>
      <c r="F12055">
        <v>79</v>
      </c>
      <c r="G12055">
        <f>LOG(382/(79+1))</f>
        <v>0.67897337591976514</v>
      </c>
      <c r="H12055">
        <f>0.0333333333333333*1.56339397393269</f>
        <v>5.2113132464422951E-2</v>
      </c>
      <c r="I12055">
        <v>5.2113132464423118E-2</v>
      </c>
    </row>
    <row r="12056" spans="1:9" x14ac:dyDescent="0.25">
      <c r="A12056">
        <v>444</v>
      </c>
      <c r="B12056" t="s">
        <v>3516</v>
      </c>
      <c r="C12056" t="s">
        <v>75</v>
      </c>
      <c r="D12056" t="s">
        <v>50</v>
      </c>
      <c r="E12056">
        <f>3/60</f>
        <v>0.05</v>
      </c>
      <c r="F12056">
        <v>109</v>
      </c>
      <c r="G12056">
        <f>LOG(382/(109+1))</f>
        <v>0.54067067775348365</v>
      </c>
      <c r="H12056">
        <f>0.05*1.24494024281415</f>
        <v>6.2247012140707506E-2</v>
      </c>
      <c r="I12056">
        <v>6.224701214070795E-2</v>
      </c>
    </row>
    <row r="12057" spans="1:9" x14ac:dyDescent="0.25">
      <c r="A12057">
        <v>444</v>
      </c>
      <c r="B12057" t="s">
        <v>3516</v>
      </c>
      <c r="C12057" t="s">
        <v>75</v>
      </c>
      <c r="D12057" t="s">
        <v>1546</v>
      </c>
      <c r="E12057">
        <f t="shared" ref="E12057:E12089" si="571">1/60</f>
        <v>1.6666666666666666E-2</v>
      </c>
      <c r="F12057">
        <v>44</v>
      </c>
      <c r="G12057">
        <f>LOG(382/(44+1))</f>
        <v>0.92885084913636506</v>
      </c>
      <c r="H12057">
        <f>0.0166666666666666*2.13875811883625</f>
        <v>3.5645968647270689E-2</v>
      </c>
      <c r="I12057">
        <v>3.5645968647270918E-2</v>
      </c>
    </row>
    <row r="12058" spans="1:9" x14ac:dyDescent="0.25">
      <c r="A12058">
        <v>444</v>
      </c>
      <c r="B12058" t="s">
        <v>3516</v>
      </c>
      <c r="C12058" t="s">
        <v>75</v>
      </c>
      <c r="D12058" t="s">
        <v>3521</v>
      </c>
      <c r="E12058">
        <f t="shared" si="571"/>
        <v>1.6666666666666666E-2</v>
      </c>
      <c r="F12058">
        <v>1</v>
      </c>
      <c r="G12058">
        <f>LOG(382/(1+1))</f>
        <v>2.2810333672477277</v>
      </c>
      <c r="H12058">
        <f>0.0166666666666666*5.25227342804663</f>
        <v>8.753789046744348E-2</v>
      </c>
      <c r="I12058">
        <v>8.7537890467443827E-2</v>
      </c>
    </row>
    <row r="12059" spans="1:9" x14ac:dyDescent="0.25">
      <c r="A12059">
        <v>444</v>
      </c>
      <c r="B12059" t="s">
        <v>3516</v>
      </c>
      <c r="C12059" t="s">
        <v>75</v>
      </c>
      <c r="D12059" t="s">
        <v>1453</v>
      </c>
      <c r="E12059">
        <f t="shared" si="571"/>
        <v>1.6666666666666666E-2</v>
      </c>
      <c r="F12059">
        <v>23</v>
      </c>
      <c r="G12059">
        <f>LOG(382/(23+1))</f>
        <v>1.2018521212001028</v>
      </c>
      <c r="H12059">
        <f>0.0166666666666666*2.76736677825862</f>
        <v>4.6122779637643489E-2</v>
      </c>
      <c r="I12059">
        <v>4.6122779637643822E-2</v>
      </c>
    </row>
    <row r="12060" spans="1:9" x14ac:dyDescent="0.25">
      <c r="A12060">
        <v>444</v>
      </c>
      <c r="B12060" t="s">
        <v>3516</v>
      </c>
      <c r="C12060" t="s">
        <v>75</v>
      </c>
      <c r="D12060" t="s">
        <v>201</v>
      </c>
      <c r="E12060">
        <f t="shared" si="571"/>
        <v>1.6666666666666666E-2</v>
      </c>
      <c r="F12060">
        <v>72</v>
      </c>
      <c r="G12060">
        <f>LOG(382/(72+1))</f>
        <v>0.71874050279125279</v>
      </c>
      <c r="H12060">
        <f>0.0166666666666666*1.65496116745818</f>
        <v>2.758268612430289E-2</v>
      </c>
      <c r="I12060">
        <v>2.758268612430306E-2</v>
      </c>
    </row>
    <row r="12061" spans="1:9" x14ac:dyDescent="0.25">
      <c r="A12061">
        <v>444</v>
      </c>
      <c r="B12061" t="s">
        <v>3516</v>
      </c>
      <c r="C12061" t="s">
        <v>75</v>
      </c>
      <c r="D12061" t="s">
        <v>3522</v>
      </c>
      <c r="E12061">
        <f t="shared" si="571"/>
        <v>1.6666666666666666E-2</v>
      </c>
      <c r="F12061">
        <v>1</v>
      </c>
      <c r="G12061">
        <f>LOG(382/(1+1))</f>
        <v>2.2810333672477277</v>
      </c>
      <c r="H12061">
        <f>0.0166666666666666*5.25227342804663</f>
        <v>8.753789046744348E-2</v>
      </c>
      <c r="I12061">
        <v>8.7537890467443827E-2</v>
      </c>
    </row>
    <row r="12062" spans="1:9" x14ac:dyDescent="0.25">
      <c r="A12062">
        <v>444</v>
      </c>
      <c r="B12062" t="s">
        <v>3516</v>
      </c>
      <c r="C12062" t="s">
        <v>75</v>
      </c>
      <c r="D12062" t="s">
        <v>453</v>
      </c>
      <c r="E12062">
        <f t="shared" si="571"/>
        <v>1.6666666666666666E-2</v>
      </c>
      <c r="F12062">
        <v>68</v>
      </c>
      <c r="G12062">
        <f>LOG(382/(68+1))</f>
        <v>0.74321427217445335</v>
      </c>
      <c r="H12062">
        <f>0.0166666666666666*1.71131410400931</f>
        <v>2.8521901733488387E-2</v>
      </c>
      <c r="I12062">
        <v>2.8521901733488599E-2</v>
      </c>
    </row>
    <row r="12063" spans="1:9" x14ac:dyDescent="0.25">
      <c r="A12063">
        <v>444</v>
      </c>
      <c r="B12063" t="s">
        <v>3516</v>
      </c>
      <c r="C12063" t="s">
        <v>75</v>
      </c>
      <c r="D12063" t="s">
        <v>3523</v>
      </c>
      <c r="E12063">
        <f t="shared" si="571"/>
        <v>1.6666666666666666E-2</v>
      </c>
      <c r="F12063">
        <v>2</v>
      </c>
      <c r="G12063">
        <f>LOG(382/(2+1))</f>
        <v>2.1049421081920463</v>
      </c>
      <c r="H12063">
        <f>0.0166666666666666*4.84680831993846</f>
        <v>8.0780138665640683E-2</v>
      </c>
      <c r="I12063">
        <v>8.0780138665641085E-2</v>
      </c>
    </row>
    <row r="12064" spans="1:9" x14ac:dyDescent="0.25">
      <c r="A12064">
        <v>444</v>
      </c>
      <c r="B12064" t="s">
        <v>3516</v>
      </c>
      <c r="C12064" t="s">
        <v>75</v>
      </c>
      <c r="D12064" t="s">
        <v>3524</v>
      </c>
      <c r="E12064">
        <f t="shared" si="571"/>
        <v>1.6666666666666666E-2</v>
      </c>
      <c r="F12064">
        <v>1</v>
      </c>
      <c r="G12064">
        <f>LOG(382/(1+1))</f>
        <v>2.2810333672477277</v>
      </c>
      <c r="H12064">
        <f>0.0166666666666666*5.25227342804663</f>
        <v>8.753789046744348E-2</v>
      </c>
      <c r="I12064">
        <v>8.7537890467443827E-2</v>
      </c>
    </row>
    <row r="12065" spans="1:9" x14ac:dyDescent="0.25">
      <c r="A12065">
        <v>444</v>
      </c>
      <c r="B12065" t="s">
        <v>3516</v>
      </c>
      <c r="C12065" t="s">
        <v>75</v>
      </c>
      <c r="D12065" t="s">
        <v>3525</v>
      </c>
      <c r="E12065">
        <f t="shared" si="571"/>
        <v>1.6666666666666666E-2</v>
      </c>
      <c r="F12065">
        <v>1</v>
      </c>
      <c r="G12065">
        <f>LOG(382/(1+1))</f>
        <v>2.2810333672477277</v>
      </c>
      <c r="H12065">
        <f>0.0166666666666666*5.25227342804663</f>
        <v>8.753789046744348E-2</v>
      </c>
      <c r="I12065">
        <v>8.7537890467443827E-2</v>
      </c>
    </row>
    <row r="12066" spans="1:9" x14ac:dyDescent="0.25">
      <c r="A12066">
        <v>444</v>
      </c>
      <c r="B12066" t="s">
        <v>3516</v>
      </c>
      <c r="C12066" t="s">
        <v>75</v>
      </c>
      <c r="D12066" t="s">
        <v>2241</v>
      </c>
      <c r="E12066">
        <f t="shared" si="571"/>
        <v>1.6666666666666666E-2</v>
      </c>
      <c r="F12066">
        <v>12</v>
      </c>
      <c r="G12066">
        <f>LOG(382/(12+1))</f>
        <v>1.468120010604872</v>
      </c>
      <c r="H12066">
        <f>0.0166666666666666*3.38047125114503</f>
        <v>5.634118751908361E-2</v>
      </c>
      <c r="I12066">
        <v>5.6341187519083978E-2</v>
      </c>
    </row>
    <row r="12067" spans="1:9" x14ac:dyDescent="0.25">
      <c r="A12067">
        <v>444</v>
      </c>
      <c r="B12067" t="s">
        <v>3516</v>
      </c>
      <c r="C12067" t="s">
        <v>75</v>
      </c>
      <c r="D12067" t="s">
        <v>149</v>
      </c>
      <c r="E12067">
        <f t="shared" si="571"/>
        <v>1.6666666666666666E-2</v>
      </c>
      <c r="F12067">
        <v>35</v>
      </c>
      <c r="G12067">
        <f>LOG(382/(35+1))</f>
        <v>1.0257608621444214</v>
      </c>
      <c r="H12067">
        <f>0.0166666666666666*2.36190167015046</f>
        <v>3.9365027835840845E-2</v>
      </c>
      <c r="I12067">
        <v>3.9365027835841081E-2</v>
      </c>
    </row>
    <row r="12068" spans="1:9" x14ac:dyDescent="0.25">
      <c r="A12068">
        <v>444</v>
      </c>
      <c r="B12068" t="s">
        <v>3516</v>
      </c>
      <c r="C12068" t="s">
        <v>75</v>
      </c>
      <c r="D12068" t="s">
        <v>3526</v>
      </c>
      <c r="E12068">
        <f t="shared" si="571"/>
        <v>1.6666666666666666E-2</v>
      </c>
      <c r="F12068">
        <v>1</v>
      </c>
      <c r="G12068">
        <f>LOG(382/(1+1))</f>
        <v>2.2810333672477277</v>
      </c>
      <c r="H12068">
        <f>0.0166666666666666*5.25227342804663</f>
        <v>8.753789046744348E-2</v>
      </c>
      <c r="I12068">
        <v>8.7537890467443827E-2</v>
      </c>
    </row>
    <row r="12069" spans="1:9" x14ac:dyDescent="0.25">
      <c r="A12069">
        <v>444</v>
      </c>
      <c r="B12069" t="s">
        <v>3516</v>
      </c>
      <c r="C12069" t="s">
        <v>75</v>
      </c>
      <c r="D12069" t="s">
        <v>3444</v>
      </c>
      <c r="E12069">
        <f t="shared" si="571"/>
        <v>1.6666666666666666E-2</v>
      </c>
      <c r="F12069">
        <v>10</v>
      </c>
      <c r="G12069">
        <f>LOG(382/(10+1))</f>
        <v>1.5406706777534838</v>
      </c>
      <c r="H12069">
        <f>0.0166666666666666*3.5475253358082</f>
        <v>5.9125422263469771E-2</v>
      </c>
      <c r="I12069">
        <v>5.9125422263470083E-2</v>
      </c>
    </row>
    <row r="12070" spans="1:9" x14ac:dyDescent="0.25">
      <c r="A12070">
        <v>444</v>
      </c>
      <c r="B12070" t="s">
        <v>3516</v>
      </c>
      <c r="C12070" t="s">
        <v>75</v>
      </c>
      <c r="D12070" t="s">
        <v>2238</v>
      </c>
      <c r="E12070">
        <f t="shared" si="571"/>
        <v>1.6666666666666666E-2</v>
      </c>
      <c r="F12070">
        <v>68</v>
      </c>
      <c r="G12070">
        <f>LOG(382/(68+1))</f>
        <v>0.74321427217445335</v>
      </c>
      <c r="H12070">
        <f>0.0166666666666666*1.71131410400931</f>
        <v>2.8521901733488387E-2</v>
      </c>
      <c r="I12070">
        <v>2.8521901733488599E-2</v>
      </c>
    </row>
    <row r="12071" spans="1:9" x14ac:dyDescent="0.25">
      <c r="A12071">
        <v>444</v>
      </c>
      <c r="B12071" t="s">
        <v>3516</v>
      </c>
      <c r="C12071" t="s">
        <v>75</v>
      </c>
      <c r="D12071" t="s">
        <v>2178</v>
      </c>
      <c r="E12071">
        <f t="shared" si="571"/>
        <v>1.6666666666666666E-2</v>
      </c>
      <c r="F12071">
        <v>11</v>
      </c>
      <c r="G12071">
        <f>LOG(382/(11+1))</f>
        <v>1.5028821168640838</v>
      </c>
      <c r="H12071">
        <f>0.0166666666666666*3.46051395881857</f>
        <v>5.7675232646975938E-2</v>
      </c>
      <c r="I12071">
        <v>5.767523264697625E-2</v>
      </c>
    </row>
    <row r="12072" spans="1:9" x14ac:dyDescent="0.25">
      <c r="A12072">
        <v>444</v>
      </c>
      <c r="B12072" t="s">
        <v>3516</v>
      </c>
      <c r="C12072" t="s">
        <v>75</v>
      </c>
      <c r="D12072" t="s">
        <v>3376</v>
      </c>
      <c r="E12072">
        <f t="shared" si="571"/>
        <v>1.6666666666666666E-2</v>
      </c>
      <c r="F12072">
        <v>21</v>
      </c>
      <c r="G12072">
        <f>LOG(382/(21+1))</f>
        <v>1.2396406820895025</v>
      </c>
      <c r="H12072">
        <f>0.0166666666666666*2.85437815524825</f>
        <v>4.7572969254137308E-2</v>
      </c>
      <c r="I12072">
        <v>4.7572969254137662E-2</v>
      </c>
    </row>
    <row r="12073" spans="1:9" x14ac:dyDescent="0.25">
      <c r="A12073">
        <v>444</v>
      </c>
      <c r="B12073" t="s">
        <v>3516</v>
      </c>
      <c r="C12073" t="s">
        <v>75</v>
      </c>
      <c r="D12073" t="s">
        <v>3509</v>
      </c>
      <c r="E12073">
        <f t="shared" si="571"/>
        <v>1.6666666666666666E-2</v>
      </c>
      <c r="F12073">
        <v>3</v>
      </c>
      <c r="G12073">
        <f>LOG(382/(3+1))</f>
        <v>1.9800033715837464</v>
      </c>
      <c r="H12073">
        <f>0.0166666666666666*4.55912624748668</f>
        <v>7.5985437458111038E-2</v>
      </c>
      <c r="I12073">
        <v>7.5985437458111413E-2</v>
      </c>
    </row>
    <row r="12074" spans="1:9" x14ac:dyDescent="0.25">
      <c r="A12074">
        <v>444</v>
      </c>
      <c r="B12074" t="s">
        <v>3516</v>
      </c>
      <c r="C12074" t="s">
        <v>75</v>
      </c>
      <c r="D12074" t="s">
        <v>1730</v>
      </c>
      <c r="E12074">
        <f t="shared" si="571"/>
        <v>1.6666666666666666E-2</v>
      </c>
      <c r="F12074">
        <v>35</v>
      </c>
      <c r="G12074">
        <f>LOG(382/(35+1))</f>
        <v>1.0257608621444214</v>
      </c>
      <c r="H12074">
        <f>0.0166666666666666*2.36190167015046</f>
        <v>3.9365027835840845E-2</v>
      </c>
      <c r="I12074">
        <v>3.9365027835841081E-2</v>
      </c>
    </row>
    <row r="12075" spans="1:9" x14ac:dyDescent="0.25">
      <c r="A12075">
        <v>444</v>
      </c>
      <c r="B12075" t="s">
        <v>3516</v>
      </c>
      <c r="C12075" t="s">
        <v>75</v>
      </c>
      <c r="D12075" t="s">
        <v>1665</v>
      </c>
      <c r="E12075">
        <f t="shared" si="571"/>
        <v>1.6666666666666666E-2</v>
      </c>
      <c r="F12075">
        <v>17</v>
      </c>
      <c r="G12075">
        <f>LOG(382/(17+1))</f>
        <v>1.3267908578084027</v>
      </c>
      <c r="H12075">
        <f>0.0166666666666666*3.05504885071041</f>
        <v>5.0917480845173294E-2</v>
      </c>
      <c r="I12075">
        <v>5.0917480845173502E-2</v>
      </c>
    </row>
    <row r="12076" spans="1:9" x14ac:dyDescent="0.25">
      <c r="A12076">
        <v>444</v>
      </c>
      <c r="B12076" t="s">
        <v>3516</v>
      </c>
      <c r="C12076" t="s">
        <v>75</v>
      </c>
      <c r="D12076" t="s">
        <v>1550</v>
      </c>
      <c r="E12076">
        <f t="shared" si="571"/>
        <v>1.6666666666666666E-2</v>
      </c>
      <c r="F12076">
        <v>16</v>
      </c>
      <c r="G12076">
        <f>LOG(382/(16+1))</f>
        <v>1.3516144415334348</v>
      </c>
      <c r="H12076">
        <f>0.0166666666666666*3.11220726455035</f>
        <v>5.1870121075838958E-2</v>
      </c>
      <c r="I12076">
        <v>5.1870121075839319E-2</v>
      </c>
    </row>
    <row r="12077" spans="1:9" x14ac:dyDescent="0.25">
      <c r="A12077">
        <v>444</v>
      </c>
      <c r="B12077" t="s">
        <v>3516</v>
      </c>
      <c r="C12077" t="s">
        <v>75</v>
      </c>
      <c r="D12077" t="s">
        <v>1551</v>
      </c>
      <c r="E12077">
        <f t="shared" si="571"/>
        <v>1.6666666666666666E-2</v>
      </c>
      <c r="F12077">
        <v>15</v>
      </c>
      <c r="G12077">
        <f>LOG(382/(15+1))</f>
        <v>1.3779433802557839</v>
      </c>
      <c r="H12077">
        <f>0.0166666666666666*3.17283188636679</f>
        <v>5.2880531439446293E-2</v>
      </c>
      <c r="I12077">
        <v>5.2880531439446571E-2</v>
      </c>
    </row>
    <row r="12078" spans="1:9" x14ac:dyDescent="0.25">
      <c r="A12078">
        <v>444</v>
      </c>
      <c r="B12078" t="s">
        <v>3516</v>
      </c>
      <c r="C12078" t="s">
        <v>75</v>
      </c>
      <c r="D12078" t="s">
        <v>322</v>
      </c>
      <c r="E12078">
        <f t="shared" si="571"/>
        <v>1.6666666666666666E-2</v>
      </c>
      <c r="F12078">
        <v>128</v>
      </c>
      <c r="G12078">
        <f>LOG(382/(128+1))</f>
        <v>0.47147365261245977</v>
      </c>
      <c r="H12078">
        <f>0.0166666666666666*1.0856082042449</f>
        <v>1.8093470070748262E-2</v>
      </c>
      <c r="I12078">
        <v>1.809347007074839E-2</v>
      </c>
    </row>
    <row r="12079" spans="1:9" x14ac:dyDescent="0.25">
      <c r="A12079">
        <v>444</v>
      </c>
      <c r="B12079" t="s">
        <v>3516</v>
      </c>
      <c r="C12079" t="s">
        <v>75</v>
      </c>
      <c r="D12079" t="s">
        <v>2762</v>
      </c>
      <c r="E12079">
        <f t="shared" si="571"/>
        <v>1.6666666666666666E-2</v>
      </c>
      <c r="F12079">
        <v>2</v>
      </c>
      <c r="G12079">
        <f>LOG(382/(2+1))</f>
        <v>2.1049421081920463</v>
      </c>
      <c r="H12079">
        <f>0.0166666666666666*4.84680831993846</f>
        <v>8.0780138665640683E-2</v>
      </c>
      <c r="I12079">
        <v>8.0780138665641085E-2</v>
      </c>
    </row>
    <row r="12080" spans="1:9" x14ac:dyDescent="0.25">
      <c r="A12080">
        <v>444</v>
      </c>
      <c r="B12080" t="s">
        <v>3516</v>
      </c>
      <c r="C12080" t="s">
        <v>75</v>
      </c>
      <c r="D12080" t="s">
        <v>1222</v>
      </c>
      <c r="E12080">
        <f t="shared" si="571"/>
        <v>1.6666666666666666E-2</v>
      </c>
      <c r="F12080">
        <v>56</v>
      </c>
      <c r="G12080">
        <f>LOG(382/(56+1))</f>
        <v>0.82618850723921733</v>
      </c>
      <c r="H12080">
        <f>0.0166666666666666*1.90236934077202</f>
        <v>3.170615567953354E-2</v>
      </c>
      <c r="I12080">
        <v>3.1706155679533748E-2</v>
      </c>
    </row>
    <row r="12081" spans="1:9" x14ac:dyDescent="0.25">
      <c r="A12081">
        <v>444</v>
      </c>
      <c r="B12081" t="s">
        <v>3516</v>
      </c>
      <c r="C12081" t="s">
        <v>75</v>
      </c>
      <c r="D12081" t="s">
        <v>485</v>
      </c>
      <c r="E12081">
        <f t="shared" si="571"/>
        <v>1.6666666666666666E-2</v>
      </c>
      <c r="F12081">
        <v>74</v>
      </c>
      <c r="G12081">
        <f>LOG(382/(74+1))</f>
        <v>0.7070020995200087</v>
      </c>
      <c r="H12081">
        <f>0.0166666666666666*1.62793249507026</f>
        <v>2.7132208251170895E-2</v>
      </c>
      <c r="I12081">
        <v>2.7132208251171078E-2</v>
      </c>
    </row>
    <row r="12082" spans="1:9" x14ac:dyDescent="0.25">
      <c r="A12082">
        <v>444</v>
      </c>
      <c r="B12082" t="s">
        <v>3516</v>
      </c>
      <c r="C12082" t="s">
        <v>75</v>
      </c>
      <c r="D12082" t="s">
        <v>78</v>
      </c>
      <c r="E12082">
        <f t="shared" si="571"/>
        <v>1.6666666666666666E-2</v>
      </c>
      <c r="F12082">
        <v>122</v>
      </c>
      <c r="G12082">
        <f>LOG(382/(122+1))</f>
        <v>0.49215825147231079</v>
      </c>
      <c r="H12082">
        <f>0.0166666666666666*1.13323625323415</f>
        <v>1.8887270887235758E-2</v>
      </c>
      <c r="I12082">
        <v>1.8887270887235959E-2</v>
      </c>
    </row>
    <row r="12083" spans="1:9" x14ac:dyDescent="0.25">
      <c r="A12083">
        <v>444</v>
      </c>
      <c r="B12083" t="s">
        <v>3516</v>
      </c>
      <c r="C12083" t="s">
        <v>75</v>
      </c>
      <c r="D12083" t="s">
        <v>98</v>
      </c>
      <c r="E12083">
        <f t="shared" si="571"/>
        <v>1.6666666666666666E-2</v>
      </c>
      <c r="F12083">
        <v>56</v>
      </c>
      <c r="G12083">
        <f>LOG(382/(56+1))</f>
        <v>0.82618850723921733</v>
      </c>
      <c r="H12083">
        <f>0.0166666666666666*1.90236934077202</f>
        <v>3.170615567953354E-2</v>
      </c>
      <c r="I12083">
        <v>3.1706155679533748E-2</v>
      </c>
    </row>
    <row r="12084" spans="1:9" x14ac:dyDescent="0.25">
      <c r="A12084">
        <v>444</v>
      </c>
      <c r="B12084" t="s">
        <v>3516</v>
      </c>
      <c r="C12084" t="s">
        <v>75</v>
      </c>
      <c r="D12084" t="s">
        <v>754</v>
      </c>
      <c r="E12084">
        <f t="shared" si="571"/>
        <v>1.6666666666666666E-2</v>
      </c>
      <c r="F12084">
        <v>111</v>
      </c>
      <c r="G12084">
        <f>LOG(382/(111+1))</f>
        <v>0.53284534024152708</v>
      </c>
      <c r="H12084">
        <f>0.0166666666666666*1.22692173731148</f>
        <v>2.0448695621857919E-2</v>
      </c>
      <c r="I12084">
        <v>2.0448695621858009E-2</v>
      </c>
    </row>
    <row r="12085" spans="1:9" x14ac:dyDescent="0.25">
      <c r="A12085">
        <v>444</v>
      </c>
      <c r="B12085" t="s">
        <v>3516</v>
      </c>
      <c r="C12085" t="s">
        <v>75</v>
      </c>
      <c r="D12085" t="s">
        <v>247</v>
      </c>
      <c r="E12085">
        <f t="shared" si="571"/>
        <v>1.6666666666666666E-2</v>
      </c>
      <c r="F12085">
        <v>121</v>
      </c>
      <c r="G12085">
        <f>LOG(382/(121+1))</f>
        <v>0.49570353223696051</v>
      </c>
      <c r="H12085">
        <f>0.0166666666666666*1.14139956387331</f>
        <v>1.9023326064555094E-2</v>
      </c>
      <c r="I12085">
        <v>1.9023326064555309E-2</v>
      </c>
    </row>
    <row r="12086" spans="1:9" x14ac:dyDescent="0.25">
      <c r="A12086">
        <v>444</v>
      </c>
      <c r="B12086" t="s">
        <v>3516</v>
      </c>
      <c r="C12086" t="s">
        <v>75</v>
      </c>
      <c r="D12086" t="s">
        <v>89</v>
      </c>
      <c r="E12086">
        <f t="shared" si="571"/>
        <v>1.6666666666666666E-2</v>
      </c>
      <c r="F12086">
        <v>40</v>
      </c>
      <c r="G12086">
        <f>LOG(382/(40+1))</f>
        <v>0.96927950619197323</v>
      </c>
      <c r="H12086">
        <f>0.0166666666666666*2.23184854190226</f>
        <v>3.7197475698370848E-2</v>
      </c>
      <c r="I12086">
        <v>3.7197475698371119E-2</v>
      </c>
    </row>
    <row r="12087" spans="1:9" x14ac:dyDescent="0.25">
      <c r="A12087">
        <v>444</v>
      </c>
      <c r="B12087" t="s">
        <v>3516</v>
      </c>
      <c r="C12087" t="s">
        <v>75</v>
      </c>
      <c r="D12087" t="s">
        <v>133</v>
      </c>
      <c r="E12087">
        <f t="shared" si="571"/>
        <v>1.6666666666666666E-2</v>
      </c>
      <c r="F12087">
        <v>142</v>
      </c>
      <c r="G12087">
        <f>LOG(382/(142+1))</f>
        <v>0.42672732544664693</v>
      </c>
      <c r="H12087">
        <f>0.0166666666666666*0.982575978346667</f>
        <v>1.637626630577772E-2</v>
      </c>
      <c r="I12087">
        <v>1.6376266305777799E-2</v>
      </c>
    </row>
    <row r="12088" spans="1:9" x14ac:dyDescent="0.25">
      <c r="A12088">
        <v>444</v>
      </c>
      <c r="B12088" t="s">
        <v>3516</v>
      </c>
      <c r="C12088" t="s">
        <v>75</v>
      </c>
      <c r="D12088" t="s">
        <v>1762</v>
      </c>
      <c r="E12088">
        <f t="shared" si="571"/>
        <v>1.6666666666666666E-2</v>
      </c>
      <c r="F12088">
        <v>60</v>
      </c>
      <c r="G12088">
        <f>LOG(382/(60+1))</f>
        <v>0.79673352790094176</v>
      </c>
      <c r="H12088">
        <f>0.0166666666666666*1.83454674443326</f>
        <v>3.0575779073887543E-2</v>
      </c>
      <c r="I12088">
        <v>3.057577907388773E-2</v>
      </c>
    </row>
    <row r="12089" spans="1:9" x14ac:dyDescent="0.25">
      <c r="A12089">
        <v>444</v>
      </c>
      <c r="B12089" t="s">
        <v>3516</v>
      </c>
      <c r="C12089" t="s">
        <v>75</v>
      </c>
      <c r="D12089" t="s">
        <v>19</v>
      </c>
      <c r="E12089">
        <f t="shared" si="571"/>
        <v>1.6666666666666666E-2</v>
      </c>
      <c r="F12089">
        <v>220</v>
      </c>
      <c r="G12089">
        <f>LOG(382/(220+1))</f>
        <v>0.23767108922659805</v>
      </c>
      <c r="H12089">
        <f>0.0166666666666666*0.547257907088822</f>
        <v>9.1209651181469974E-3</v>
      </c>
      <c r="I12089">
        <v>9.120965118147039E-3</v>
      </c>
    </row>
    <row r="12090" spans="1:9" x14ac:dyDescent="0.25">
      <c r="A12090">
        <v>445</v>
      </c>
      <c r="B12090" t="s">
        <v>3527</v>
      </c>
      <c r="C12090" t="s">
        <v>75</v>
      </c>
      <c r="D12090" t="s">
        <v>3528</v>
      </c>
      <c r="E12090">
        <f>6/131</f>
        <v>4.5801526717557252E-2</v>
      </c>
      <c r="F12090">
        <v>1</v>
      </c>
      <c r="G12090">
        <f>LOG(382/(1+1))</f>
        <v>2.2810333672477277</v>
      </c>
      <c r="H12090">
        <f>0.0458015267175572*5.25227342804663</f>
        <v>0.24056214174259349</v>
      </c>
      <c r="I12090">
        <v>0.24056214174259369</v>
      </c>
    </row>
    <row r="12091" spans="1:9" x14ac:dyDescent="0.25">
      <c r="A12091">
        <v>445</v>
      </c>
      <c r="B12091" t="s">
        <v>3527</v>
      </c>
      <c r="C12091" t="s">
        <v>75</v>
      </c>
      <c r="D12091" t="s">
        <v>871</v>
      </c>
      <c r="E12091">
        <f>6/131</f>
        <v>4.5801526717557252E-2</v>
      </c>
      <c r="F12091">
        <v>9</v>
      </c>
      <c r="G12091">
        <f>LOG(382/(9+1))</f>
        <v>1.5820633629117087</v>
      </c>
      <c r="H12091">
        <f>0.0458015267175572*3.64283551561252</f>
        <v>0.1668474281959931</v>
      </c>
      <c r="I12091">
        <v>0.16684742819599371</v>
      </c>
    </row>
    <row r="12092" spans="1:9" x14ac:dyDescent="0.25">
      <c r="A12092">
        <v>445</v>
      </c>
      <c r="B12092" t="s">
        <v>3527</v>
      </c>
      <c r="C12092" t="s">
        <v>75</v>
      </c>
      <c r="D12092" t="s">
        <v>872</v>
      </c>
      <c r="E12092">
        <f>6/131</f>
        <v>4.5801526717557252E-2</v>
      </c>
      <c r="F12092">
        <v>9</v>
      </c>
      <c r="G12092">
        <f>LOG(382/(9+1))</f>
        <v>1.5820633629117087</v>
      </c>
      <c r="H12092">
        <f>0.0458015267175572*3.64283551561252</f>
        <v>0.1668474281959931</v>
      </c>
      <c r="I12092">
        <v>0.16684742819599371</v>
      </c>
    </row>
    <row r="12093" spans="1:9" x14ac:dyDescent="0.25">
      <c r="A12093">
        <v>445</v>
      </c>
      <c r="B12093" t="s">
        <v>3527</v>
      </c>
      <c r="C12093" t="s">
        <v>75</v>
      </c>
      <c r="D12093" t="s">
        <v>2231</v>
      </c>
      <c r="E12093">
        <f>5/131</f>
        <v>3.8167938931297711E-2</v>
      </c>
      <c r="F12093">
        <v>23</v>
      </c>
      <c r="G12093">
        <f>LOG(382/(23+1))</f>
        <v>1.2018521212001028</v>
      </c>
      <c r="H12093">
        <f>0.0381679389312977*2.76736677825862</f>
        <v>0.10562468619307708</v>
      </c>
      <c r="I12093">
        <v>0.10562468619307749</v>
      </c>
    </row>
    <row r="12094" spans="1:9" x14ac:dyDescent="0.25">
      <c r="A12094">
        <v>445</v>
      </c>
      <c r="B12094" t="s">
        <v>3527</v>
      </c>
      <c r="C12094" t="s">
        <v>75</v>
      </c>
      <c r="D12094" t="s">
        <v>1537</v>
      </c>
      <c r="E12094">
        <f>4/131</f>
        <v>3.0534351145038167E-2</v>
      </c>
      <c r="F12094">
        <v>80</v>
      </c>
      <c r="G12094">
        <f>LOG(382/(80+1))</f>
        <v>0.67357834403305894</v>
      </c>
      <c r="H12094">
        <f>0.0305343511450381*1.55097145393413</f>
        <v>4.7357906990355012E-2</v>
      </c>
      <c r="I12094">
        <v>4.735790699035531E-2</v>
      </c>
    </row>
    <row r="12095" spans="1:9" x14ac:dyDescent="0.25">
      <c r="A12095">
        <v>445</v>
      </c>
      <c r="B12095" t="s">
        <v>3527</v>
      </c>
      <c r="C12095" t="s">
        <v>75</v>
      </c>
      <c r="D12095" t="s">
        <v>42</v>
      </c>
      <c r="E12095">
        <f>2/131</f>
        <v>1.5267175572519083E-2</v>
      </c>
      <c r="F12095">
        <v>251</v>
      </c>
      <c r="G12095">
        <f>LOG(382/(251+1))</f>
        <v>0.18066282213016463</v>
      </c>
      <c r="H12095">
        <f>0.015267175572519*0.415991521095151</f>
        <v>6.3510155892389109E-3</v>
      </c>
      <c r="I12095">
        <v>6.3510155892389586E-3</v>
      </c>
    </row>
    <row r="12096" spans="1:9" x14ac:dyDescent="0.25">
      <c r="A12096">
        <v>445</v>
      </c>
      <c r="B12096" t="s">
        <v>3527</v>
      </c>
      <c r="C12096" t="s">
        <v>75</v>
      </c>
      <c r="D12096" t="s">
        <v>636</v>
      </c>
      <c r="E12096">
        <f>1/131</f>
        <v>7.6335877862595417E-3</v>
      </c>
      <c r="F12096">
        <v>31</v>
      </c>
      <c r="G12096">
        <f>LOG(382/(31+1))</f>
        <v>1.0769133845918029</v>
      </c>
      <c r="H12096">
        <f>0.00763358778625954*2.47968470580684</f>
        <v>1.8928890884021672E-2</v>
      </c>
      <c r="I12096">
        <v>1.8928890884021742E-2</v>
      </c>
    </row>
    <row r="12097" spans="1:9" x14ac:dyDescent="0.25">
      <c r="A12097">
        <v>445</v>
      </c>
      <c r="B12097" t="s">
        <v>3527</v>
      </c>
      <c r="C12097" t="s">
        <v>75</v>
      </c>
      <c r="D12097" t="s">
        <v>637</v>
      </c>
      <c r="E12097">
        <f>1/131</f>
        <v>7.6335877862595417E-3</v>
      </c>
      <c r="F12097">
        <v>29</v>
      </c>
      <c r="G12097">
        <f>LOG(382/(29+1))</f>
        <v>1.1049421081920463</v>
      </c>
      <c r="H12097">
        <f>0.00763358778625954*2.54422322694442</f>
        <v>1.9421551350720757E-2</v>
      </c>
      <c r="I12097">
        <v>1.942155135072076E-2</v>
      </c>
    </row>
    <row r="12098" spans="1:9" x14ac:dyDescent="0.25">
      <c r="A12098">
        <v>445</v>
      </c>
      <c r="B12098" t="s">
        <v>3527</v>
      </c>
      <c r="C12098" t="s">
        <v>75</v>
      </c>
      <c r="D12098" t="s">
        <v>3529</v>
      </c>
      <c r="E12098">
        <f>1/131</f>
        <v>7.6335877862595417E-3</v>
      </c>
      <c r="F12098">
        <v>1</v>
      </c>
      <c r="G12098">
        <f>LOG(382/(1+1))</f>
        <v>2.2810333672477277</v>
      </c>
      <c r="H12098">
        <f>0.00763358778625954*5.25227342804663</f>
        <v>4.0093690290432277E-2</v>
      </c>
      <c r="I12098">
        <v>4.0093690290432291E-2</v>
      </c>
    </row>
    <row r="12099" spans="1:9" x14ac:dyDescent="0.25">
      <c r="A12099">
        <v>445</v>
      </c>
      <c r="B12099" t="s">
        <v>3527</v>
      </c>
      <c r="C12099" t="s">
        <v>75</v>
      </c>
      <c r="D12099" t="s">
        <v>44</v>
      </c>
      <c r="E12099">
        <f>2/131</f>
        <v>1.5267175572519083E-2</v>
      </c>
      <c r="F12099">
        <v>151</v>
      </c>
      <c r="G12099">
        <f>LOG(382/(151+1))</f>
        <v>0.40021977496693617</v>
      </c>
      <c r="H12099">
        <f>0.015267175572519*0.921540087760298</f>
        <v>1.4069314316951038E-2</v>
      </c>
      <c r="I12099">
        <v>1.4069314316951119E-2</v>
      </c>
    </row>
    <row r="12100" spans="1:9" x14ac:dyDescent="0.25">
      <c r="A12100">
        <v>445</v>
      </c>
      <c r="B12100" t="s">
        <v>3527</v>
      </c>
      <c r="C12100" t="s">
        <v>75</v>
      </c>
      <c r="D12100" t="s">
        <v>3530</v>
      </c>
      <c r="E12100">
        <f>1/131</f>
        <v>7.6335877862595417E-3</v>
      </c>
      <c r="F12100">
        <v>2</v>
      </c>
      <c r="G12100">
        <f>LOG(382/(2+1))</f>
        <v>2.1049421081920463</v>
      </c>
      <c r="H12100">
        <f>0.00763358778625954*4.84680831993846</f>
        <v>3.6998536793423346E-2</v>
      </c>
      <c r="I12100">
        <v>3.6998536793423388E-2</v>
      </c>
    </row>
    <row r="12101" spans="1:9" x14ac:dyDescent="0.25">
      <c r="A12101">
        <v>445</v>
      </c>
      <c r="B12101" t="s">
        <v>3527</v>
      </c>
      <c r="C12101" t="s">
        <v>75</v>
      </c>
      <c r="D12101" t="s">
        <v>23</v>
      </c>
      <c r="E12101">
        <f>1/131</f>
        <v>7.6335877862595417E-3</v>
      </c>
      <c r="F12101">
        <v>275</v>
      </c>
      <c r="G12101">
        <f>LOG(382/(275+1))</f>
        <v>0.14115428084649101</v>
      </c>
      <c r="H12101">
        <f>0.00763358778625954*0.325019742889425</f>
        <v>2.4810667396139305E-3</v>
      </c>
      <c r="I12101">
        <v>2.4810667396139318E-3</v>
      </c>
    </row>
    <row r="12102" spans="1:9" x14ac:dyDescent="0.25">
      <c r="A12102">
        <v>445</v>
      </c>
      <c r="B12102" t="s">
        <v>3527</v>
      </c>
      <c r="C12102" t="s">
        <v>75</v>
      </c>
      <c r="D12102" t="s">
        <v>24</v>
      </c>
      <c r="E12102">
        <f>4/131</f>
        <v>3.0534351145038167E-2</v>
      </c>
      <c r="F12102">
        <v>59</v>
      </c>
      <c r="G12102">
        <f>LOG(382/(59+1))</f>
        <v>0.80391211252806505</v>
      </c>
      <c r="H12102">
        <f>0.0305343511450381*1.85107604638447</f>
        <v>5.6521405996472242E-2</v>
      </c>
      <c r="I12102">
        <v>5.6521405996472499E-2</v>
      </c>
    </row>
    <row r="12103" spans="1:9" x14ac:dyDescent="0.25">
      <c r="A12103">
        <v>445</v>
      </c>
      <c r="B12103" t="s">
        <v>3527</v>
      </c>
      <c r="C12103" t="s">
        <v>75</v>
      </c>
      <c r="D12103" t="s">
        <v>3531</v>
      </c>
      <c r="E12103">
        <f>1/131</f>
        <v>7.6335877862595417E-3</v>
      </c>
      <c r="F12103">
        <v>1</v>
      </c>
      <c r="G12103">
        <f>LOG(382/(1+1))</f>
        <v>2.2810333672477277</v>
      </c>
      <c r="H12103">
        <f>0.00763358778625954*5.25227342804663</f>
        <v>4.0093690290432277E-2</v>
      </c>
      <c r="I12103">
        <v>4.0093690290432291E-2</v>
      </c>
    </row>
    <row r="12104" spans="1:9" x14ac:dyDescent="0.25">
      <c r="A12104">
        <v>445</v>
      </c>
      <c r="B12104" t="s">
        <v>3527</v>
      </c>
      <c r="C12104" t="s">
        <v>75</v>
      </c>
      <c r="D12104" t="s">
        <v>1762</v>
      </c>
      <c r="E12104">
        <f>3/131</f>
        <v>2.2900763358778626E-2</v>
      </c>
      <c r="F12104">
        <v>60</v>
      </c>
      <c r="G12104">
        <f>LOG(382/(60+1))</f>
        <v>0.79673352790094176</v>
      </c>
      <c r="H12104">
        <f>0.0229007633587786*1.83454674443326</f>
        <v>4.2012520864883773E-2</v>
      </c>
      <c r="I12104">
        <v>4.2012520864883912E-2</v>
      </c>
    </row>
    <row r="12105" spans="1:9" x14ac:dyDescent="0.25">
      <c r="A12105">
        <v>445</v>
      </c>
      <c r="B12105" t="s">
        <v>3527</v>
      </c>
      <c r="C12105" t="s">
        <v>75</v>
      </c>
      <c r="D12105" t="s">
        <v>1763</v>
      </c>
      <c r="E12105">
        <f>2/131</f>
        <v>1.5267175572519083E-2</v>
      </c>
      <c r="F12105">
        <v>9</v>
      </c>
      <c r="G12105">
        <f>LOG(382/(9+1))</f>
        <v>1.5820633629117087</v>
      </c>
      <c r="H12105">
        <f>0.015267175572519*3.64283551561252</f>
        <v>5.5615809398664125E-2</v>
      </c>
      <c r="I12105">
        <v>5.5615809398664569E-2</v>
      </c>
    </row>
    <row r="12106" spans="1:9" x14ac:dyDescent="0.25">
      <c r="A12106">
        <v>445</v>
      </c>
      <c r="B12106" t="s">
        <v>3527</v>
      </c>
      <c r="C12106" t="s">
        <v>75</v>
      </c>
      <c r="D12106" t="s">
        <v>204</v>
      </c>
      <c r="E12106">
        <f>2/131</f>
        <v>1.5267175572519083E-2</v>
      </c>
      <c r="F12106">
        <v>166</v>
      </c>
      <c r="G12106">
        <f>LOG(382/(166+1))</f>
        <v>0.35934689176412549</v>
      </c>
      <c r="H12106">
        <f>0.015267175572519*0.82742679618982</f>
        <v>1.2632470170836876E-2</v>
      </c>
      <c r="I12106">
        <v>1.263247017083695E-2</v>
      </c>
    </row>
    <row r="12107" spans="1:9" x14ac:dyDescent="0.25">
      <c r="A12107">
        <v>445</v>
      </c>
      <c r="B12107" t="s">
        <v>3527</v>
      </c>
      <c r="C12107" t="s">
        <v>75</v>
      </c>
      <c r="D12107" t="s">
        <v>78</v>
      </c>
      <c r="E12107">
        <f>2/131</f>
        <v>1.5267175572519083E-2</v>
      </c>
      <c r="F12107">
        <v>122</v>
      </c>
      <c r="G12107">
        <f>LOG(382/(122+1))</f>
        <v>0.49215825147231079</v>
      </c>
      <c r="H12107">
        <f>0.015267175572519*1.13323625323415</f>
        <v>1.7301316843269372E-2</v>
      </c>
      <c r="I12107">
        <v>1.730131684326958E-2</v>
      </c>
    </row>
    <row r="12108" spans="1:9" x14ac:dyDescent="0.25">
      <c r="A12108">
        <v>445</v>
      </c>
      <c r="B12108" t="s">
        <v>3527</v>
      </c>
      <c r="C12108" t="s">
        <v>75</v>
      </c>
      <c r="D12108" t="s">
        <v>3432</v>
      </c>
      <c r="E12108">
        <f>1/131</f>
        <v>7.6335877862595417E-3</v>
      </c>
      <c r="F12108">
        <v>8</v>
      </c>
      <c r="G12108">
        <f>LOG(382/(8+1))</f>
        <v>1.6278208534723839</v>
      </c>
      <c r="H12108">
        <f>0.00763358778625954*3.74819603127035</f>
        <v>2.8612183444811826E-2</v>
      </c>
      <c r="I12108">
        <v>2.8612183444811871E-2</v>
      </c>
    </row>
    <row r="12109" spans="1:9" x14ac:dyDescent="0.25">
      <c r="A12109">
        <v>445</v>
      </c>
      <c r="B12109" t="s">
        <v>3527</v>
      </c>
      <c r="C12109" t="s">
        <v>75</v>
      </c>
      <c r="D12109" t="s">
        <v>3532</v>
      </c>
      <c r="E12109">
        <f>1/131</f>
        <v>7.6335877862595417E-3</v>
      </c>
      <c r="F12109">
        <v>1</v>
      </c>
      <c r="G12109">
        <f>LOG(382/(1+1))</f>
        <v>2.2810333672477277</v>
      </c>
      <c r="H12109">
        <f>0.00763358778625954*5.25227342804663</f>
        <v>4.0093690290432277E-2</v>
      </c>
      <c r="I12109">
        <v>4.0093690290432291E-2</v>
      </c>
    </row>
    <row r="12110" spans="1:9" x14ac:dyDescent="0.25">
      <c r="A12110">
        <v>445</v>
      </c>
      <c r="B12110" t="s">
        <v>3527</v>
      </c>
      <c r="C12110" t="s">
        <v>75</v>
      </c>
      <c r="D12110" t="s">
        <v>3533</v>
      </c>
      <c r="E12110">
        <f>1/131</f>
        <v>7.6335877862595417E-3</v>
      </c>
      <c r="F12110">
        <v>1</v>
      </c>
      <c r="G12110">
        <f>LOG(382/(1+1))</f>
        <v>2.2810333672477277</v>
      </c>
      <c r="H12110">
        <f>0.00763358778625954*5.25227342804663</f>
        <v>4.0093690290432277E-2</v>
      </c>
      <c r="I12110">
        <v>4.0093690290432291E-2</v>
      </c>
    </row>
    <row r="12111" spans="1:9" x14ac:dyDescent="0.25">
      <c r="A12111">
        <v>445</v>
      </c>
      <c r="B12111" t="s">
        <v>3527</v>
      </c>
      <c r="C12111" t="s">
        <v>75</v>
      </c>
      <c r="D12111" t="s">
        <v>237</v>
      </c>
      <c r="E12111">
        <f>1/131</f>
        <v>7.6335877862595417E-3</v>
      </c>
      <c r="F12111">
        <v>138</v>
      </c>
      <c r="G12111">
        <f>LOG(382/(138+1))</f>
        <v>0.43904856265761361</v>
      </c>
      <c r="H12111">
        <f>0.00763358778625954*1.01094667547588</f>
        <v>7.7171501944723643E-3</v>
      </c>
      <c r="I12111">
        <v>7.7171501944723921E-3</v>
      </c>
    </row>
    <row r="12112" spans="1:9" x14ac:dyDescent="0.25">
      <c r="A12112">
        <v>445</v>
      </c>
      <c r="B12112" t="s">
        <v>3527</v>
      </c>
      <c r="C12112" t="s">
        <v>75</v>
      </c>
      <c r="D12112" t="s">
        <v>3324</v>
      </c>
      <c r="E12112">
        <f>4/131</f>
        <v>3.0534351145038167E-2</v>
      </c>
      <c r="F12112">
        <v>8</v>
      </c>
      <c r="G12112">
        <f>LOG(382/(8+1))</f>
        <v>1.6278208534723839</v>
      </c>
      <c r="H12112">
        <f>0.0305343511450381*3.74819603127035</f>
        <v>0.11444873377924708</v>
      </c>
      <c r="I12112">
        <v>0.1144487337792475</v>
      </c>
    </row>
    <row r="12113" spans="1:9" x14ac:dyDescent="0.25">
      <c r="A12113">
        <v>445</v>
      </c>
      <c r="B12113" t="s">
        <v>3527</v>
      </c>
      <c r="C12113" t="s">
        <v>75</v>
      </c>
      <c r="D12113" t="s">
        <v>2238</v>
      </c>
      <c r="E12113">
        <f>1/131</f>
        <v>7.6335877862595417E-3</v>
      </c>
      <c r="F12113">
        <v>68</v>
      </c>
      <c r="G12113">
        <f>LOG(382/(68+1))</f>
        <v>0.74321427217445335</v>
      </c>
      <c r="H12113">
        <f>0.00763358778625954*1.71131410400931</f>
        <v>1.3063466442819157E-2</v>
      </c>
      <c r="I12113">
        <v>1.3063466442819201E-2</v>
      </c>
    </row>
    <row r="12114" spans="1:9" x14ac:dyDescent="0.25">
      <c r="A12114">
        <v>445</v>
      </c>
      <c r="B12114" t="s">
        <v>3527</v>
      </c>
      <c r="C12114" t="s">
        <v>75</v>
      </c>
      <c r="D12114" t="s">
        <v>3534</v>
      </c>
      <c r="E12114">
        <f>1/131</f>
        <v>7.6335877862595417E-3</v>
      </c>
      <c r="F12114">
        <v>1</v>
      </c>
      <c r="G12114">
        <f>LOG(382/(1+1))</f>
        <v>2.2810333672477277</v>
      </c>
      <c r="H12114">
        <f>0.00763358778625954*5.25227342804663</f>
        <v>4.0093690290432277E-2</v>
      </c>
      <c r="I12114">
        <v>4.0093690290432291E-2</v>
      </c>
    </row>
    <row r="12115" spans="1:9" x14ac:dyDescent="0.25">
      <c r="A12115">
        <v>445</v>
      </c>
      <c r="B12115" t="s">
        <v>3527</v>
      </c>
      <c r="C12115" t="s">
        <v>75</v>
      </c>
      <c r="D12115" t="s">
        <v>362</v>
      </c>
      <c r="E12115">
        <f>2/131</f>
        <v>1.5267175572519083E-2</v>
      </c>
      <c r="F12115">
        <v>81</v>
      </c>
      <c r="G12115">
        <f>LOG(382/(81+1))</f>
        <v>0.66824951052799197</v>
      </c>
      <c r="H12115">
        <f>0.015267175572519*1.53870136134232</f>
        <v>2.3491623837287198E-2</v>
      </c>
      <c r="I12115">
        <v>2.3491623837287361E-2</v>
      </c>
    </row>
    <row r="12116" spans="1:9" x14ac:dyDescent="0.25">
      <c r="A12116">
        <v>445</v>
      </c>
      <c r="B12116" t="s">
        <v>3527</v>
      </c>
      <c r="C12116" t="s">
        <v>75</v>
      </c>
      <c r="D12116" t="s">
        <v>3535</v>
      </c>
      <c r="E12116">
        <f>1/131</f>
        <v>7.6335877862595417E-3</v>
      </c>
      <c r="F12116">
        <v>1</v>
      </c>
      <c r="G12116">
        <f>LOG(382/(1+1))</f>
        <v>2.2810333672477277</v>
      </c>
      <c r="H12116">
        <f>0.00763358778625954*5.25227342804663</f>
        <v>4.0093690290432277E-2</v>
      </c>
      <c r="I12116">
        <v>4.0093690290432291E-2</v>
      </c>
    </row>
    <row r="12117" spans="1:9" x14ac:dyDescent="0.25">
      <c r="A12117">
        <v>445</v>
      </c>
      <c r="B12117" t="s">
        <v>3527</v>
      </c>
      <c r="C12117" t="s">
        <v>75</v>
      </c>
      <c r="D12117" t="s">
        <v>1730</v>
      </c>
      <c r="E12117">
        <f>2/131</f>
        <v>1.5267175572519083E-2</v>
      </c>
      <c r="F12117">
        <v>35</v>
      </c>
      <c r="G12117">
        <f>LOG(382/(35+1))</f>
        <v>1.0257608621444214</v>
      </c>
      <c r="H12117">
        <f>0.015267175572519*2.36190167015046</f>
        <v>3.6059567483212936E-2</v>
      </c>
      <c r="I12117">
        <v>3.6059567483213213E-2</v>
      </c>
    </row>
    <row r="12118" spans="1:9" x14ac:dyDescent="0.25">
      <c r="A12118">
        <v>445</v>
      </c>
      <c r="B12118" t="s">
        <v>3527</v>
      </c>
      <c r="C12118" t="s">
        <v>75</v>
      </c>
      <c r="D12118" t="s">
        <v>1261</v>
      </c>
      <c r="E12118">
        <f>1/131</f>
        <v>7.6335877862595417E-3</v>
      </c>
      <c r="F12118">
        <v>12</v>
      </c>
      <c r="G12118">
        <f>LOG(382/(12+1))</f>
        <v>1.468120010604872</v>
      </c>
      <c r="H12118">
        <f>0.00763358778625954*3.38047125114503</f>
        <v>2.5805124054542206E-2</v>
      </c>
      <c r="I12118">
        <v>2.5805124054542279E-2</v>
      </c>
    </row>
    <row r="12119" spans="1:9" x14ac:dyDescent="0.25">
      <c r="A12119">
        <v>445</v>
      </c>
      <c r="B12119" t="s">
        <v>3527</v>
      </c>
      <c r="C12119" t="s">
        <v>75</v>
      </c>
      <c r="D12119" t="s">
        <v>937</v>
      </c>
      <c r="E12119">
        <f>2/131</f>
        <v>1.5267175572519083E-2</v>
      </c>
      <c r="F12119">
        <v>41</v>
      </c>
      <c r="G12119">
        <f>LOG(382/(41+1))</f>
        <v>0.95881407251380824</v>
      </c>
      <c r="H12119">
        <f>0.015267175572519*2.2077509903232</f>
        <v>3.3706121989666993E-2</v>
      </c>
      <c r="I12119">
        <v>3.3706121989667277E-2</v>
      </c>
    </row>
    <row r="12120" spans="1:9" x14ac:dyDescent="0.25">
      <c r="A12120">
        <v>445</v>
      </c>
      <c r="B12120" t="s">
        <v>3527</v>
      </c>
      <c r="C12120" t="s">
        <v>75</v>
      </c>
      <c r="D12120" t="s">
        <v>3536</v>
      </c>
      <c r="E12120">
        <f>1/131</f>
        <v>7.6335877862595417E-3</v>
      </c>
      <c r="F12120">
        <v>1</v>
      </c>
      <c r="G12120">
        <f>LOG(382/(1+1))</f>
        <v>2.2810333672477277</v>
      </c>
      <c r="H12120">
        <f>0.00763358778625954*5.25227342804663</f>
        <v>4.0093690290432277E-2</v>
      </c>
      <c r="I12120">
        <v>4.0093690290432291E-2</v>
      </c>
    </row>
    <row r="12121" spans="1:9" x14ac:dyDescent="0.25">
      <c r="A12121">
        <v>445</v>
      </c>
      <c r="B12121" t="s">
        <v>3527</v>
      </c>
      <c r="C12121" t="s">
        <v>75</v>
      </c>
      <c r="D12121" t="s">
        <v>3537</v>
      </c>
      <c r="E12121">
        <f>2/131</f>
        <v>1.5267175572519083E-2</v>
      </c>
      <c r="F12121">
        <v>10</v>
      </c>
      <c r="G12121">
        <f>LOG(382/(10+1))</f>
        <v>1.5406706777534838</v>
      </c>
      <c r="H12121">
        <f>0.015267175572519*3.5475253358082</f>
        <v>5.4160692149743214E-2</v>
      </c>
      <c r="I12121">
        <v>5.4160692149743582E-2</v>
      </c>
    </row>
    <row r="12122" spans="1:9" x14ac:dyDescent="0.25">
      <c r="A12122">
        <v>445</v>
      </c>
      <c r="B12122" t="s">
        <v>3527</v>
      </c>
      <c r="C12122" t="s">
        <v>75</v>
      </c>
      <c r="D12122" t="s">
        <v>126</v>
      </c>
      <c r="E12122">
        <f>2/131</f>
        <v>1.5267175572519083E-2</v>
      </c>
      <c r="F12122">
        <v>79</v>
      </c>
      <c r="G12122">
        <f>LOG(382/(79+1))</f>
        <v>0.67897337591976514</v>
      </c>
      <c r="H12122">
        <f>0.015267175572519*1.56339397393269</f>
        <v>2.3868610289048572E-2</v>
      </c>
      <c r="I12122">
        <v>2.3868610289048759E-2</v>
      </c>
    </row>
    <row r="12123" spans="1:9" x14ac:dyDescent="0.25">
      <c r="A12123">
        <v>445</v>
      </c>
      <c r="B12123" t="s">
        <v>3527</v>
      </c>
      <c r="C12123" t="s">
        <v>75</v>
      </c>
      <c r="D12123" t="s">
        <v>1548</v>
      </c>
      <c r="E12123">
        <f>1/131</f>
        <v>7.6335877862595417E-3</v>
      </c>
      <c r="F12123">
        <v>6</v>
      </c>
      <c r="G12123">
        <f>LOG(382/(6+1))</f>
        <v>1.736965322897452</v>
      </c>
      <c r="H12123">
        <f>0.00763358778625954*3.99951045955126</f>
        <v>3.0530614195047778E-2</v>
      </c>
      <c r="I12123">
        <v>3.0530614195047798E-2</v>
      </c>
    </row>
    <row r="12124" spans="1:9" x14ac:dyDescent="0.25">
      <c r="A12124">
        <v>445</v>
      </c>
      <c r="B12124" t="s">
        <v>3527</v>
      </c>
      <c r="C12124" t="s">
        <v>75</v>
      </c>
      <c r="D12124" t="s">
        <v>1769</v>
      </c>
      <c r="E12124">
        <f>2/131</f>
        <v>1.5267175572519083E-2</v>
      </c>
      <c r="F12124">
        <v>84</v>
      </c>
      <c r="G12124">
        <f>LOG(382/(84+1))</f>
        <v>0.65264443719741605</v>
      </c>
      <c r="H12124">
        <f>0.015267175572519*1.50276935211625</f>
        <v>2.2943043543759416E-2</v>
      </c>
      <c r="I12124">
        <v>2.2943043543759679E-2</v>
      </c>
    </row>
    <row r="12125" spans="1:9" x14ac:dyDescent="0.25">
      <c r="A12125">
        <v>445</v>
      </c>
      <c r="B12125" t="s">
        <v>3527</v>
      </c>
      <c r="C12125" t="s">
        <v>75</v>
      </c>
      <c r="D12125" t="s">
        <v>3420</v>
      </c>
      <c r="E12125">
        <f>2/131</f>
        <v>1.5267175572519083E-2</v>
      </c>
      <c r="F12125">
        <v>12</v>
      </c>
      <c r="G12125">
        <f>LOG(382/(12+1))</f>
        <v>1.468120010604872</v>
      </c>
      <c r="H12125">
        <f>0.015267175572519*3.38047125114503</f>
        <v>5.1610248109084149E-2</v>
      </c>
      <c r="I12125">
        <v>5.1610248109084558E-2</v>
      </c>
    </row>
    <row r="12126" spans="1:9" x14ac:dyDescent="0.25">
      <c r="A12126">
        <v>445</v>
      </c>
      <c r="B12126" t="s">
        <v>3527</v>
      </c>
      <c r="C12126" t="s">
        <v>75</v>
      </c>
      <c r="D12126" t="s">
        <v>3538</v>
      </c>
      <c r="E12126">
        <f>1/131</f>
        <v>7.6335877862595417E-3</v>
      </c>
      <c r="F12126">
        <v>3</v>
      </c>
      <c r="G12126">
        <f>LOG(382/(3+1))</f>
        <v>1.9800033715837464</v>
      </c>
      <c r="H12126">
        <f>0.00763358778625954*4.55912624748668</f>
        <v>3.480249043882961E-2</v>
      </c>
      <c r="I12126">
        <v>3.4802490438829652E-2</v>
      </c>
    </row>
    <row r="12127" spans="1:9" x14ac:dyDescent="0.25">
      <c r="A12127">
        <v>445</v>
      </c>
      <c r="B12127" t="s">
        <v>3527</v>
      </c>
      <c r="C12127" t="s">
        <v>75</v>
      </c>
      <c r="D12127" t="s">
        <v>3539</v>
      </c>
      <c r="E12127">
        <f>1/131</f>
        <v>7.6335877862595417E-3</v>
      </c>
      <c r="F12127">
        <v>1</v>
      </c>
      <c r="G12127">
        <f>LOG(382/(1+1))</f>
        <v>2.2810333672477277</v>
      </c>
      <c r="H12127">
        <f>0.00763358778625954*5.25227342804663</f>
        <v>4.0093690290432277E-2</v>
      </c>
      <c r="I12127">
        <v>4.0093690290432291E-2</v>
      </c>
    </row>
    <row r="12128" spans="1:9" x14ac:dyDescent="0.25">
      <c r="A12128">
        <v>445</v>
      </c>
      <c r="B12128" t="s">
        <v>3527</v>
      </c>
      <c r="C12128" t="s">
        <v>75</v>
      </c>
      <c r="D12128" t="s">
        <v>3540</v>
      </c>
      <c r="E12128">
        <f>1/131</f>
        <v>7.6335877862595417E-3</v>
      </c>
      <c r="F12128">
        <v>1</v>
      </c>
      <c r="G12128">
        <f>LOG(382/(1+1))</f>
        <v>2.2810333672477277</v>
      </c>
      <c r="H12128">
        <f>0.00763358778625954*5.25227342804663</f>
        <v>4.0093690290432277E-2</v>
      </c>
      <c r="I12128">
        <v>4.0093690290432291E-2</v>
      </c>
    </row>
    <row r="12129" spans="1:9" x14ac:dyDescent="0.25">
      <c r="A12129">
        <v>445</v>
      </c>
      <c r="B12129" t="s">
        <v>3527</v>
      </c>
      <c r="C12129" t="s">
        <v>75</v>
      </c>
      <c r="D12129" t="s">
        <v>1738</v>
      </c>
      <c r="E12129">
        <f>1/131</f>
        <v>7.6335877862595417E-3</v>
      </c>
      <c r="F12129">
        <v>24</v>
      </c>
      <c r="G12129">
        <f>LOG(382/(24+1))</f>
        <v>1.1841233542396712</v>
      </c>
      <c r="H12129">
        <f>0.00763358778625954*2.72654478373837</f>
        <v>2.0813318959834879E-2</v>
      </c>
      <c r="I12129">
        <v>2.0813318959834921E-2</v>
      </c>
    </row>
    <row r="12130" spans="1:9" x14ac:dyDescent="0.25">
      <c r="A12130">
        <v>445</v>
      </c>
      <c r="B12130" t="s">
        <v>3527</v>
      </c>
      <c r="C12130" t="s">
        <v>75</v>
      </c>
      <c r="D12130" t="s">
        <v>1739</v>
      </c>
      <c r="E12130">
        <f>2/131</f>
        <v>1.5267175572519083E-2</v>
      </c>
      <c r="F12130">
        <v>30</v>
      </c>
      <c r="G12130">
        <f>LOG(382/(30+1))</f>
        <v>1.090701669077436</v>
      </c>
      <c r="H12130">
        <f>0.015267175572519*2.51143340412142</f>
        <v>3.8342494719410786E-2</v>
      </c>
      <c r="I12130">
        <v>3.8342494719411133E-2</v>
      </c>
    </row>
    <row r="12131" spans="1:9" x14ac:dyDescent="0.25">
      <c r="A12131">
        <v>445</v>
      </c>
      <c r="B12131" t="s">
        <v>3527</v>
      </c>
      <c r="C12131" t="s">
        <v>75</v>
      </c>
      <c r="D12131" t="s">
        <v>3541</v>
      </c>
      <c r="E12131">
        <f t="shared" ref="E12131:E12141" si="572">1/131</f>
        <v>7.6335877862595417E-3</v>
      </c>
      <c r="F12131">
        <v>1</v>
      </c>
      <c r="G12131">
        <f>LOG(382/(1+1))</f>
        <v>2.2810333672477277</v>
      </c>
      <c r="H12131">
        <f>0.00763358778625954*5.25227342804663</f>
        <v>4.0093690290432277E-2</v>
      </c>
      <c r="I12131">
        <v>4.0093690290432291E-2</v>
      </c>
    </row>
    <row r="12132" spans="1:9" x14ac:dyDescent="0.25">
      <c r="A12132">
        <v>445</v>
      </c>
      <c r="B12132" t="s">
        <v>3527</v>
      </c>
      <c r="C12132" t="s">
        <v>75</v>
      </c>
      <c r="D12132" t="s">
        <v>1549</v>
      </c>
      <c r="E12132">
        <f t="shared" si="572"/>
        <v>7.6335877862595417E-3</v>
      </c>
      <c r="F12132">
        <v>5</v>
      </c>
      <c r="G12132">
        <f>LOG(382/(5+1))</f>
        <v>1.803912112528065</v>
      </c>
      <c r="H12132">
        <f>0.00763358778625954*4.15366113937852</f>
        <v>3.1707336941820756E-2</v>
      </c>
      <c r="I12132">
        <v>3.1707336941820763E-2</v>
      </c>
    </row>
    <row r="12133" spans="1:9" x14ac:dyDescent="0.25">
      <c r="A12133">
        <v>445</v>
      </c>
      <c r="B12133" t="s">
        <v>3527</v>
      </c>
      <c r="C12133" t="s">
        <v>75</v>
      </c>
      <c r="D12133" t="s">
        <v>3542</v>
      </c>
      <c r="E12133">
        <f t="shared" si="572"/>
        <v>7.6335877862595417E-3</v>
      </c>
      <c r="F12133">
        <v>2</v>
      </c>
      <c r="G12133">
        <f>LOG(382/(2+1))</f>
        <v>2.1049421081920463</v>
      </c>
      <c r="H12133">
        <f>0.00763358778625954*4.84680831993846</f>
        <v>3.6998536793423346E-2</v>
      </c>
      <c r="I12133">
        <v>3.6998536793423388E-2</v>
      </c>
    </row>
    <row r="12134" spans="1:9" x14ac:dyDescent="0.25">
      <c r="A12134">
        <v>445</v>
      </c>
      <c r="B12134" t="s">
        <v>3527</v>
      </c>
      <c r="C12134" t="s">
        <v>75</v>
      </c>
      <c r="D12134" t="s">
        <v>1733</v>
      </c>
      <c r="E12134">
        <f t="shared" si="572"/>
        <v>7.6335877862595417E-3</v>
      </c>
      <c r="F12134">
        <v>19</v>
      </c>
      <c r="G12134">
        <f>LOG(382/(19+1))</f>
        <v>1.2810333672477277</v>
      </c>
      <c r="H12134">
        <f>0.00763358778625954*2.94968833505258</f>
        <v>2.2516704847729611E-2</v>
      </c>
      <c r="I12134">
        <v>2.2516704847729649E-2</v>
      </c>
    </row>
    <row r="12135" spans="1:9" x14ac:dyDescent="0.25">
      <c r="A12135">
        <v>445</v>
      </c>
      <c r="B12135" t="s">
        <v>3527</v>
      </c>
      <c r="C12135" t="s">
        <v>75</v>
      </c>
      <c r="D12135" t="s">
        <v>1003</v>
      </c>
      <c r="E12135">
        <f t="shared" si="572"/>
        <v>7.6335877862595417E-3</v>
      </c>
      <c r="F12135">
        <v>3</v>
      </c>
      <c r="G12135">
        <f>LOG(382/(3+1))</f>
        <v>1.9800033715837464</v>
      </c>
      <c r="H12135">
        <f>0.00763358778625954*4.55912624748668</f>
        <v>3.480249043882961E-2</v>
      </c>
      <c r="I12135">
        <v>3.4802490438829652E-2</v>
      </c>
    </row>
    <row r="12136" spans="1:9" x14ac:dyDescent="0.25">
      <c r="A12136">
        <v>445</v>
      </c>
      <c r="B12136" t="s">
        <v>3527</v>
      </c>
      <c r="C12136" t="s">
        <v>75</v>
      </c>
      <c r="D12136" t="s">
        <v>3412</v>
      </c>
      <c r="E12136">
        <f t="shared" si="572"/>
        <v>7.6335877862595417E-3</v>
      </c>
      <c r="F12136">
        <v>4</v>
      </c>
      <c r="G12136">
        <f>LOG(382/(4+1))</f>
        <v>1.8830933585756899</v>
      </c>
      <c r="H12136">
        <f>0.00763358778625954*4.33598269617247</f>
        <v>3.3099104550934878E-2</v>
      </c>
      <c r="I12136">
        <v>3.309910455093492E-2</v>
      </c>
    </row>
    <row r="12137" spans="1:9" x14ac:dyDescent="0.25">
      <c r="A12137">
        <v>445</v>
      </c>
      <c r="B12137" t="s">
        <v>3527</v>
      </c>
      <c r="C12137" t="s">
        <v>75</v>
      </c>
      <c r="D12137" t="s">
        <v>3543</v>
      </c>
      <c r="E12137">
        <f t="shared" si="572"/>
        <v>7.6335877862595417E-3</v>
      </c>
      <c r="F12137">
        <v>1</v>
      </c>
      <c r="G12137">
        <f>LOG(382/(1+1))</f>
        <v>2.2810333672477277</v>
      </c>
      <c r="H12137">
        <f>0.00763358778625954*5.25227342804663</f>
        <v>4.0093690290432277E-2</v>
      </c>
      <c r="I12137">
        <v>4.0093690290432291E-2</v>
      </c>
    </row>
    <row r="12138" spans="1:9" x14ac:dyDescent="0.25">
      <c r="A12138">
        <v>445</v>
      </c>
      <c r="B12138" t="s">
        <v>3527</v>
      </c>
      <c r="C12138" t="s">
        <v>75</v>
      </c>
      <c r="D12138" t="s">
        <v>3544</v>
      </c>
      <c r="E12138">
        <f t="shared" si="572"/>
        <v>7.6335877862595417E-3</v>
      </c>
      <c r="F12138">
        <v>1</v>
      </c>
      <c r="G12138">
        <f>LOG(382/(1+1))</f>
        <v>2.2810333672477277</v>
      </c>
      <c r="H12138">
        <f>0.00763358778625954*5.25227342804663</f>
        <v>4.0093690290432277E-2</v>
      </c>
      <c r="I12138">
        <v>4.0093690290432291E-2</v>
      </c>
    </row>
    <row r="12139" spans="1:9" x14ac:dyDescent="0.25">
      <c r="A12139">
        <v>445</v>
      </c>
      <c r="B12139" t="s">
        <v>3527</v>
      </c>
      <c r="C12139" t="s">
        <v>75</v>
      </c>
      <c r="D12139" t="s">
        <v>884</v>
      </c>
      <c r="E12139">
        <f t="shared" si="572"/>
        <v>7.6335877862595417E-3</v>
      </c>
      <c r="F12139">
        <v>6</v>
      </c>
      <c r="G12139">
        <f>LOG(382/(6+1))</f>
        <v>1.736965322897452</v>
      </c>
      <c r="H12139">
        <f>0.00763358778625954*3.99951045955126</f>
        <v>3.0530614195047778E-2</v>
      </c>
      <c r="I12139">
        <v>3.0530614195047798E-2</v>
      </c>
    </row>
    <row r="12140" spans="1:9" x14ac:dyDescent="0.25">
      <c r="A12140">
        <v>445</v>
      </c>
      <c r="B12140" t="s">
        <v>3527</v>
      </c>
      <c r="C12140" t="s">
        <v>75</v>
      </c>
      <c r="D12140" t="s">
        <v>3545</v>
      </c>
      <c r="E12140">
        <f t="shared" si="572"/>
        <v>7.6335877862595417E-3</v>
      </c>
      <c r="F12140">
        <v>1</v>
      </c>
      <c r="G12140">
        <f>LOG(382/(1+1))</f>
        <v>2.2810333672477277</v>
      </c>
      <c r="H12140">
        <f>0.00763358778625954*5.25227342804663</f>
        <v>4.0093690290432277E-2</v>
      </c>
      <c r="I12140">
        <v>4.0093690290432291E-2</v>
      </c>
    </row>
    <row r="12141" spans="1:9" x14ac:dyDescent="0.25">
      <c r="A12141">
        <v>445</v>
      </c>
      <c r="B12141" t="s">
        <v>3527</v>
      </c>
      <c r="C12141" t="s">
        <v>75</v>
      </c>
      <c r="D12141" t="s">
        <v>65</v>
      </c>
      <c r="E12141">
        <f t="shared" si="572"/>
        <v>7.6335877862595417E-3</v>
      </c>
      <c r="F12141">
        <v>32</v>
      </c>
      <c r="G12141">
        <f>LOG(382/(32+1))</f>
        <v>1.0635494230338212</v>
      </c>
      <c r="H12141">
        <f>0.00763358778625954*2.44891304714009</f>
        <v>1.8693992726260225E-2</v>
      </c>
      <c r="I12141">
        <v>1.869399272626027E-2</v>
      </c>
    </row>
    <row r="12142" spans="1:9" x14ac:dyDescent="0.25">
      <c r="A12142">
        <v>445</v>
      </c>
      <c r="B12142" t="s">
        <v>3527</v>
      </c>
      <c r="C12142" t="s">
        <v>75</v>
      </c>
      <c r="D12142" t="s">
        <v>40</v>
      </c>
      <c r="E12142">
        <f>2/131</f>
        <v>1.5267175572519083E-2</v>
      </c>
      <c r="F12142">
        <v>159</v>
      </c>
      <c r="G12142">
        <f>LOG(382/(159+1))</f>
        <v>0.377943380255784</v>
      </c>
      <c r="H12142">
        <f>0.015267175572519*0.870246793372748</f>
        <v>1.3286210585843408E-2</v>
      </c>
      <c r="I12142">
        <v>1.328621058584349E-2</v>
      </c>
    </row>
    <row r="12143" spans="1:9" x14ac:dyDescent="0.25">
      <c r="A12143">
        <v>445</v>
      </c>
      <c r="B12143" t="s">
        <v>3527</v>
      </c>
      <c r="C12143" t="s">
        <v>75</v>
      </c>
      <c r="D12143" t="s">
        <v>41</v>
      </c>
      <c r="E12143">
        <f>2/131</f>
        <v>1.5267175572519083E-2</v>
      </c>
      <c r="F12143">
        <v>195</v>
      </c>
      <c r="G12143">
        <f>LOG(382/(195+1))</f>
        <v>0.28980729155523272</v>
      </c>
      <c r="H12143">
        <f>0.015267175572519*0.667305949376058</f>
        <v>1.0187877089710754E-2</v>
      </c>
      <c r="I12143">
        <v>1.018787708971081E-2</v>
      </c>
    </row>
    <row r="12144" spans="1:9" x14ac:dyDescent="0.25">
      <c r="A12144">
        <v>445</v>
      </c>
      <c r="B12144" t="s">
        <v>3527</v>
      </c>
      <c r="C12144" t="s">
        <v>75</v>
      </c>
      <c r="D12144" t="s">
        <v>3546</v>
      </c>
      <c r="E12144">
        <f>1/131</f>
        <v>7.6335877862595417E-3</v>
      </c>
      <c r="F12144">
        <v>1</v>
      </c>
      <c r="G12144">
        <f>LOG(382/(1+1))</f>
        <v>2.2810333672477277</v>
      </c>
      <c r="H12144">
        <f>0.00763358778625954*5.25227342804663</f>
        <v>4.0093690290432277E-2</v>
      </c>
      <c r="I12144">
        <v>4.0093690290432291E-2</v>
      </c>
    </row>
    <row r="12145" spans="1:9" x14ac:dyDescent="0.25">
      <c r="A12145">
        <v>445</v>
      </c>
      <c r="B12145" t="s">
        <v>3527</v>
      </c>
      <c r="C12145" t="s">
        <v>75</v>
      </c>
      <c r="D12145" t="s">
        <v>76</v>
      </c>
      <c r="E12145">
        <f>2/131</f>
        <v>1.5267175572519083E-2</v>
      </c>
      <c r="F12145">
        <v>140</v>
      </c>
      <c r="G12145">
        <f>LOG(382/(140+1))</f>
        <v>0.43284425025632883</v>
      </c>
      <c r="H12145">
        <f>0.015267175572519*0.996660718228407</f>
        <v>1.5216194171425976E-2</v>
      </c>
      <c r="I12145">
        <v>1.521619417142606E-2</v>
      </c>
    </row>
    <row r="12146" spans="1:9" x14ac:dyDescent="0.25">
      <c r="A12146">
        <v>445</v>
      </c>
      <c r="B12146" t="s">
        <v>3527</v>
      </c>
      <c r="C12146" t="s">
        <v>75</v>
      </c>
      <c r="D12146" t="s">
        <v>77</v>
      </c>
      <c r="E12146">
        <f>2/131</f>
        <v>1.5267175572519083E-2</v>
      </c>
      <c r="F12146">
        <v>148</v>
      </c>
      <c r="G12146">
        <f>LOG(382/(148+1))</f>
        <v>0.40887709449943471</v>
      </c>
      <c r="H12146">
        <f>0.015267175572519*0.941474302661116</f>
        <v>1.4373653475742149E-2</v>
      </c>
      <c r="I12146">
        <v>1.437365347574223E-2</v>
      </c>
    </row>
    <row r="12147" spans="1:9" x14ac:dyDescent="0.25">
      <c r="A12147">
        <v>445</v>
      </c>
      <c r="B12147" t="s">
        <v>3527</v>
      </c>
      <c r="C12147" t="s">
        <v>75</v>
      </c>
      <c r="D12147" t="s">
        <v>3050</v>
      </c>
      <c r="E12147">
        <f t="shared" ref="E12147:E12155" si="573">1/131</f>
        <v>7.6335877862595417E-3</v>
      </c>
      <c r="F12147">
        <v>3</v>
      </c>
      <c r="G12147">
        <f>LOG(382/(3+1))</f>
        <v>1.9800033715837464</v>
      </c>
      <c r="H12147">
        <f>0.00763358778625954*4.55912624748668</f>
        <v>3.480249043882961E-2</v>
      </c>
      <c r="I12147">
        <v>3.4802490438829652E-2</v>
      </c>
    </row>
    <row r="12148" spans="1:9" x14ac:dyDescent="0.25">
      <c r="A12148">
        <v>445</v>
      </c>
      <c r="B12148" t="s">
        <v>3527</v>
      </c>
      <c r="C12148" t="s">
        <v>75</v>
      </c>
      <c r="D12148" t="s">
        <v>754</v>
      </c>
      <c r="E12148">
        <f t="shared" si="573"/>
        <v>7.6335877862595417E-3</v>
      </c>
      <c r="F12148">
        <v>111</v>
      </c>
      <c r="G12148">
        <f>LOG(382/(111+1))</f>
        <v>0.53284534024152708</v>
      </c>
      <c r="H12148">
        <f>0.00763358778625954*1.22692173731148</f>
        <v>9.3658147886372493E-3</v>
      </c>
      <c r="I12148">
        <v>9.3658147886372563E-3</v>
      </c>
    </row>
    <row r="12149" spans="1:9" x14ac:dyDescent="0.25">
      <c r="A12149">
        <v>445</v>
      </c>
      <c r="B12149" t="s">
        <v>3527</v>
      </c>
      <c r="C12149" t="s">
        <v>75</v>
      </c>
      <c r="D12149" t="s">
        <v>239</v>
      </c>
      <c r="E12149">
        <f t="shared" si="573"/>
        <v>7.6335877862595417E-3</v>
      </c>
      <c r="F12149">
        <v>40</v>
      </c>
      <c r="G12149">
        <f>LOG(382/(40+1))</f>
        <v>0.96927950619197323</v>
      </c>
      <c r="H12149">
        <f>0.00763358778625954*2.23184854190226</f>
        <v>1.7037011770246253E-2</v>
      </c>
      <c r="I12149">
        <v>1.7037011770246319E-2</v>
      </c>
    </row>
    <row r="12150" spans="1:9" x14ac:dyDescent="0.25">
      <c r="A12150">
        <v>445</v>
      </c>
      <c r="B12150" t="s">
        <v>3527</v>
      </c>
      <c r="C12150" t="s">
        <v>75</v>
      </c>
      <c r="D12150" t="s">
        <v>448</v>
      </c>
      <c r="E12150">
        <f t="shared" si="573"/>
        <v>7.6335877862595417E-3</v>
      </c>
      <c r="F12150">
        <v>19</v>
      </c>
      <c r="G12150">
        <f>LOG(382/(19+1))</f>
        <v>1.2810333672477277</v>
      </c>
      <c r="H12150">
        <f>0.00763358778625954*2.94968833505258</f>
        <v>2.2516704847729611E-2</v>
      </c>
      <c r="I12150">
        <v>2.2516704847729649E-2</v>
      </c>
    </row>
    <row r="12151" spans="1:9" x14ac:dyDescent="0.25">
      <c r="A12151">
        <v>445</v>
      </c>
      <c r="B12151" t="s">
        <v>3527</v>
      </c>
      <c r="C12151" t="s">
        <v>75</v>
      </c>
      <c r="D12151" t="s">
        <v>746</v>
      </c>
      <c r="E12151">
        <f t="shared" si="573"/>
        <v>7.6335877862595417E-3</v>
      </c>
      <c r="F12151">
        <v>58</v>
      </c>
      <c r="G12151">
        <f>LOG(382/(58+1))</f>
        <v>0.81121135126956456</v>
      </c>
      <c r="H12151">
        <f>0.00763358778625954*1.86788316470085</f>
        <v>1.4258650112220226E-2</v>
      </c>
      <c r="I12151">
        <v>1.4258650112220271E-2</v>
      </c>
    </row>
    <row r="12152" spans="1:9" x14ac:dyDescent="0.25">
      <c r="A12152">
        <v>445</v>
      </c>
      <c r="B12152" t="s">
        <v>3527</v>
      </c>
      <c r="C12152" t="s">
        <v>75</v>
      </c>
      <c r="D12152" t="s">
        <v>1079</v>
      </c>
      <c r="E12152">
        <f t="shared" si="573"/>
        <v>7.6335877862595417E-3</v>
      </c>
      <c r="F12152">
        <v>34</v>
      </c>
      <c r="G12152">
        <f>LOG(382/(34+1))</f>
        <v>1.037995318561433</v>
      </c>
      <c r="H12152">
        <f>0.00763358778625954*2.39007254711716</f>
        <v>1.8244828603947782E-2</v>
      </c>
      <c r="I12152">
        <v>1.8244828603947799E-2</v>
      </c>
    </row>
    <row r="12153" spans="1:9" x14ac:dyDescent="0.25">
      <c r="A12153">
        <v>445</v>
      </c>
      <c r="B12153" t="s">
        <v>3527</v>
      </c>
      <c r="C12153" t="s">
        <v>75</v>
      </c>
      <c r="D12153" t="s">
        <v>119</v>
      </c>
      <c r="E12153">
        <f t="shared" si="573"/>
        <v>7.6335877862595417E-3</v>
      </c>
      <c r="F12153">
        <v>79</v>
      </c>
      <c r="G12153">
        <f>LOG(382/(79+1))</f>
        <v>0.67897337591976514</v>
      </c>
      <c r="H12153">
        <f>0.00763358778625954*1.56339397393269</f>
        <v>1.1934305144524348E-2</v>
      </c>
      <c r="I12153">
        <v>1.193430514452438E-2</v>
      </c>
    </row>
    <row r="12154" spans="1:9" x14ac:dyDescent="0.25">
      <c r="A12154">
        <v>445</v>
      </c>
      <c r="B12154" t="s">
        <v>3527</v>
      </c>
      <c r="C12154" t="s">
        <v>75</v>
      </c>
      <c r="D12154" t="s">
        <v>3547</v>
      </c>
      <c r="E12154">
        <f t="shared" si="573"/>
        <v>7.6335877862595417E-3</v>
      </c>
      <c r="F12154">
        <v>1</v>
      </c>
      <c r="G12154">
        <f>LOG(382/(1+1))</f>
        <v>2.2810333672477277</v>
      </c>
      <c r="H12154">
        <f>0.00763358778625954*5.25227342804663</f>
        <v>4.0093690290432277E-2</v>
      </c>
      <c r="I12154">
        <v>4.0093690290432291E-2</v>
      </c>
    </row>
    <row r="12155" spans="1:9" x14ac:dyDescent="0.25">
      <c r="A12155">
        <v>445</v>
      </c>
      <c r="B12155" t="s">
        <v>3527</v>
      </c>
      <c r="C12155" t="s">
        <v>75</v>
      </c>
      <c r="D12155" t="s">
        <v>3548</v>
      </c>
      <c r="E12155">
        <f t="shared" si="573"/>
        <v>7.6335877862595417E-3</v>
      </c>
      <c r="F12155">
        <v>1</v>
      </c>
      <c r="G12155">
        <f>LOG(382/(1+1))</f>
        <v>2.2810333672477277</v>
      </c>
      <c r="H12155">
        <f>0.00763358778625954*5.25227342804663</f>
        <v>4.0093690290432277E-2</v>
      </c>
      <c r="I12155">
        <v>4.0093690290432291E-2</v>
      </c>
    </row>
    <row r="12156" spans="1:9" x14ac:dyDescent="0.25">
      <c r="A12156">
        <v>445</v>
      </c>
      <c r="B12156" t="s">
        <v>3527</v>
      </c>
      <c r="C12156" t="s">
        <v>75</v>
      </c>
      <c r="D12156" t="s">
        <v>133</v>
      </c>
      <c r="E12156">
        <f>2/131</f>
        <v>1.5267175572519083E-2</v>
      </c>
      <c r="F12156">
        <v>142</v>
      </c>
      <c r="G12156">
        <f>LOG(382/(142+1))</f>
        <v>0.42672732544664693</v>
      </c>
      <c r="H12156">
        <f>0.015267175572519*0.982575978346667</f>
        <v>1.5001159974758193E-2</v>
      </c>
      <c r="I12156">
        <v>1.500115997475829E-2</v>
      </c>
    </row>
    <row r="12157" spans="1:9" x14ac:dyDescent="0.25">
      <c r="A12157">
        <v>445</v>
      </c>
      <c r="B12157" t="s">
        <v>3527</v>
      </c>
      <c r="C12157" t="s">
        <v>75</v>
      </c>
      <c r="D12157" t="s">
        <v>331</v>
      </c>
      <c r="E12157">
        <f t="shared" ref="E12157:E12172" si="574">1/131</f>
        <v>7.6335877862595417E-3</v>
      </c>
      <c r="F12157">
        <v>130</v>
      </c>
      <c r="G12157">
        <f>LOG(382/(130+1))</f>
        <v>0.46479206725594452</v>
      </c>
      <c r="H12157">
        <f>0.00763358778625954*1.07022328540542</f>
        <v>8.1696434000413723E-3</v>
      </c>
      <c r="I12157">
        <v>8.1696434000414018E-3</v>
      </c>
    </row>
    <row r="12158" spans="1:9" x14ac:dyDescent="0.25">
      <c r="A12158">
        <v>445</v>
      </c>
      <c r="B12158" t="s">
        <v>3527</v>
      </c>
      <c r="C12158" t="s">
        <v>75</v>
      </c>
      <c r="D12158" t="s">
        <v>361</v>
      </c>
      <c r="E12158">
        <f t="shared" si="574"/>
        <v>7.6335877862595417E-3</v>
      </c>
      <c r="F12158">
        <v>118</v>
      </c>
      <c r="G12158">
        <f>LOG(382/(118+1))</f>
        <v>0.50651640151917798</v>
      </c>
      <c r="H12158">
        <f>0.00763358778625954*1.16629711549504</f>
        <v>8.9030314159926679E-3</v>
      </c>
      <c r="I12158">
        <v>8.9030314159927165E-3</v>
      </c>
    </row>
    <row r="12159" spans="1:9" x14ac:dyDescent="0.25">
      <c r="A12159">
        <v>445</v>
      </c>
      <c r="B12159" t="s">
        <v>3527</v>
      </c>
      <c r="C12159" t="s">
        <v>75</v>
      </c>
      <c r="D12159" t="s">
        <v>3549</v>
      </c>
      <c r="E12159">
        <f t="shared" si="574"/>
        <v>7.6335877862595417E-3</v>
      </c>
      <c r="F12159">
        <v>1</v>
      </c>
      <c r="G12159">
        <f>LOG(382/(1+1))</f>
        <v>2.2810333672477277</v>
      </c>
      <c r="H12159">
        <f>0.00763358778625954*5.25227342804663</f>
        <v>4.0093690290432277E-2</v>
      </c>
      <c r="I12159">
        <v>4.0093690290432291E-2</v>
      </c>
    </row>
    <row r="12160" spans="1:9" x14ac:dyDescent="0.25">
      <c r="A12160">
        <v>445</v>
      </c>
      <c r="B12160" t="s">
        <v>3527</v>
      </c>
      <c r="C12160" t="s">
        <v>75</v>
      </c>
      <c r="D12160" t="s">
        <v>310</v>
      </c>
      <c r="E12160">
        <f t="shared" si="574"/>
        <v>7.6335877862595417E-3</v>
      </c>
      <c r="F12160">
        <v>50</v>
      </c>
      <c r="G12160">
        <f>LOG(382/(50+1))</f>
        <v>0.87449318681377242</v>
      </c>
      <c r="H12160">
        <f>0.00763358778625954*2.01359497588224</f>
        <v>1.5370954014368238E-2</v>
      </c>
      <c r="I12160">
        <v>1.537095401436832E-2</v>
      </c>
    </row>
    <row r="12161" spans="1:9" x14ac:dyDescent="0.25">
      <c r="A12161">
        <v>445</v>
      </c>
      <c r="B12161" t="s">
        <v>3527</v>
      </c>
      <c r="C12161" t="s">
        <v>75</v>
      </c>
      <c r="D12161" t="s">
        <v>3374</v>
      </c>
      <c r="E12161">
        <f t="shared" si="574"/>
        <v>7.6335877862595417E-3</v>
      </c>
      <c r="F12161">
        <v>6</v>
      </c>
      <c r="G12161">
        <f>LOG(382/(6+1))</f>
        <v>1.736965322897452</v>
      </c>
      <c r="H12161">
        <f>0.00763358778625954*3.99951045955126</f>
        <v>3.0530614195047778E-2</v>
      </c>
      <c r="I12161">
        <v>3.0530614195047798E-2</v>
      </c>
    </row>
    <row r="12162" spans="1:9" x14ac:dyDescent="0.25">
      <c r="A12162">
        <v>445</v>
      </c>
      <c r="B12162" t="s">
        <v>3527</v>
      </c>
      <c r="C12162" t="s">
        <v>75</v>
      </c>
      <c r="D12162" t="s">
        <v>3550</v>
      </c>
      <c r="E12162">
        <f t="shared" si="574"/>
        <v>7.6335877862595417E-3</v>
      </c>
      <c r="F12162">
        <v>1</v>
      </c>
      <c r="G12162">
        <f>LOG(382/(1+1))</f>
        <v>2.2810333672477277</v>
      </c>
      <c r="H12162">
        <f>0.00763358778625954*5.25227342804663</f>
        <v>4.0093690290432277E-2</v>
      </c>
      <c r="I12162">
        <v>4.0093690290432291E-2</v>
      </c>
    </row>
    <row r="12163" spans="1:9" x14ac:dyDescent="0.25">
      <c r="A12163">
        <v>445</v>
      </c>
      <c r="B12163" t="s">
        <v>3527</v>
      </c>
      <c r="C12163" t="s">
        <v>75</v>
      </c>
      <c r="D12163" t="s">
        <v>214</v>
      </c>
      <c r="E12163">
        <f t="shared" si="574"/>
        <v>7.6335877862595417E-3</v>
      </c>
      <c r="F12163">
        <v>68</v>
      </c>
      <c r="G12163">
        <f>LOG(382/(68+1))</f>
        <v>0.74321427217445335</v>
      </c>
      <c r="H12163">
        <f>0.00763358778625954*1.71131410400931</f>
        <v>1.3063466442819157E-2</v>
      </c>
      <c r="I12163">
        <v>1.3063466442819201E-2</v>
      </c>
    </row>
    <row r="12164" spans="1:9" x14ac:dyDescent="0.25">
      <c r="A12164">
        <v>445</v>
      </c>
      <c r="B12164" t="s">
        <v>3527</v>
      </c>
      <c r="C12164" t="s">
        <v>75</v>
      </c>
      <c r="D12164" t="s">
        <v>453</v>
      </c>
      <c r="E12164">
        <f t="shared" si="574"/>
        <v>7.6335877862595417E-3</v>
      </c>
      <c r="F12164">
        <v>68</v>
      </c>
      <c r="G12164">
        <f>LOG(382/(68+1))</f>
        <v>0.74321427217445335</v>
      </c>
      <c r="H12164">
        <f>0.00763358778625954*1.71131410400931</f>
        <v>1.3063466442819157E-2</v>
      </c>
      <c r="I12164">
        <v>1.3063466442819201E-2</v>
      </c>
    </row>
    <row r="12165" spans="1:9" x14ac:dyDescent="0.25">
      <c r="A12165">
        <v>445</v>
      </c>
      <c r="B12165" t="s">
        <v>3527</v>
      </c>
      <c r="C12165" t="s">
        <v>75</v>
      </c>
      <c r="D12165" t="s">
        <v>770</v>
      </c>
      <c r="E12165">
        <f t="shared" si="574"/>
        <v>7.6335877862595417E-3</v>
      </c>
      <c r="F12165">
        <v>47</v>
      </c>
      <c r="G12165">
        <f>LOG(382/(47+1))</f>
        <v>0.90082212553612151</v>
      </c>
      <c r="H12165">
        <f>0.00763358778625954*2.07421959769868</f>
        <v>1.5833737387012822E-2</v>
      </c>
      <c r="I12165">
        <v>1.583373738701286E-2</v>
      </c>
    </row>
    <row r="12166" spans="1:9" x14ac:dyDescent="0.25">
      <c r="A12166">
        <v>445</v>
      </c>
      <c r="B12166" t="s">
        <v>3527</v>
      </c>
      <c r="C12166" t="s">
        <v>75</v>
      </c>
      <c r="D12166" t="s">
        <v>243</v>
      </c>
      <c r="E12166">
        <f t="shared" si="574"/>
        <v>7.6335877862595417E-3</v>
      </c>
      <c r="F12166">
        <v>131</v>
      </c>
      <c r="G12166">
        <f>LOG(382/(131+1))</f>
        <v>0.46148943170585888</v>
      </c>
      <c r="H12166">
        <f>0.00763358778625954*1.0626186860202</f>
        <v>8.1115930230549593E-3</v>
      </c>
      <c r="I12166">
        <v>8.111593023054994E-3</v>
      </c>
    </row>
    <row r="12167" spans="1:9" x14ac:dyDescent="0.25">
      <c r="A12167">
        <v>445</v>
      </c>
      <c r="B12167" t="s">
        <v>3527</v>
      </c>
      <c r="C12167" t="s">
        <v>75</v>
      </c>
      <c r="D12167" t="s">
        <v>307</v>
      </c>
      <c r="E12167">
        <f t="shared" si="574"/>
        <v>7.6335877862595417E-3</v>
      </c>
      <c r="F12167">
        <v>67</v>
      </c>
      <c r="G12167">
        <f>LOG(382/(67+1))</f>
        <v>0.7495544502054724</v>
      </c>
      <c r="H12167">
        <f>0.00763358778625954*1.72591290343046</f>
        <v>1.3174907659774502E-2</v>
      </c>
      <c r="I12167">
        <v>1.317490765977457E-2</v>
      </c>
    </row>
    <row r="12168" spans="1:9" x14ac:dyDescent="0.25">
      <c r="A12168">
        <v>445</v>
      </c>
      <c r="B12168" t="s">
        <v>3527</v>
      </c>
      <c r="C12168" t="s">
        <v>75</v>
      </c>
      <c r="D12168" t="s">
        <v>455</v>
      </c>
      <c r="E12168">
        <f t="shared" si="574"/>
        <v>7.6335877862595417E-3</v>
      </c>
      <c r="F12168">
        <v>78</v>
      </c>
      <c r="G12168">
        <f>LOG(382/(78+1))</f>
        <v>0.6844362716212673</v>
      </c>
      <c r="H12168">
        <f>0.00763358778625954*1.57597275613955</f>
        <v>1.2030326382744653E-2</v>
      </c>
      <c r="I12168">
        <v>1.2030326382744681E-2</v>
      </c>
    </row>
    <row r="12169" spans="1:9" x14ac:dyDescent="0.25">
      <c r="A12169">
        <v>445</v>
      </c>
      <c r="B12169" t="s">
        <v>3527</v>
      </c>
      <c r="C12169" t="s">
        <v>75</v>
      </c>
      <c r="D12169" t="s">
        <v>1779</v>
      </c>
      <c r="E12169">
        <f t="shared" si="574"/>
        <v>7.6335877862595417E-3</v>
      </c>
      <c r="F12169">
        <v>41</v>
      </c>
      <c r="G12169">
        <f>LOG(382/(41+1))</f>
        <v>0.95881407251380824</v>
      </c>
      <c r="H12169">
        <f>0.00763358778625954*2.2077509903232</f>
        <v>1.6853060994833587E-2</v>
      </c>
      <c r="I12169">
        <v>1.6853060994833639E-2</v>
      </c>
    </row>
    <row r="12170" spans="1:9" x14ac:dyDescent="0.25">
      <c r="A12170">
        <v>445</v>
      </c>
      <c r="B12170" t="s">
        <v>3527</v>
      </c>
      <c r="C12170" t="s">
        <v>75</v>
      </c>
      <c r="D12170" t="s">
        <v>3551</v>
      </c>
      <c r="E12170">
        <f t="shared" si="574"/>
        <v>7.6335877862595417E-3</v>
      </c>
      <c r="F12170">
        <v>1</v>
      </c>
      <c r="G12170">
        <f>LOG(382/(1+1))</f>
        <v>2.2810333672477277</v>
      </c>
      <c r="H12170">
        <f>0.00763358778625954*5.25227342804663</f>
        <v>4.0093690290432277E-2</v>
      </c>
      <c r="I12170">
        <v>4.0093690290432291E-2</v>
      </c>
    </row>
    <row r="12171" spans="1:9" x14ac:dyDescent="0.25">
      <c r="A12171">
        <v>445</v>
      </c>
      <c r="B12171" t="s">
        <v>3527</v>
      </c>
      <c r="C12171" t="s">
        <v>75</v>
      </c>
      <c r="D12171" t="s">
        <v>236</v>
      </c>
      <c r="E12171">
        <f t="shared" si="574"/>
        <v>7.6335877862595417E-3</v>
      </c>
      <c r="F12171">
        <v>87</v>
      </c>
      <c r="G12171">
        <f>LOG(382/(87+1))</f>
        <v>0.63758069076154011</v>
      </c>
      <c r="H12171">
        <f>0.00763358778625954*1.46808379412836</f>
        <v>1.1206746520063813E-2</v>
      </c>
      <c r="I12171">
        <v>1.1206746520063879E-2</v>
      </c>
    </row>
    <row r="12172" spans="1:9" x14ac:dyDescent="0.25">
      <c r="A12172">
        <v>445</v>
      </c>
      <c r="B12172" t="s">
        <v>3527</v>
      </c>
      <c r="C12172" t="s">
        <v>75</v>
      </c>
      <c r="D12172" t="s">
        <v>939</v>
      </c>
      <c r="E12172">
        <f t="shared" si="574"/>
        <v>7.6335877862595417E-3</v>
      </c>
      <c r="F12172">
        <v>35</v>
      </c>
      <c r="G12172">
        <f>LOG(382/(35+1))</f>
        <v>1.0257608621444214</v>
      </c>
      <c r="H12172">
        <f>0.00763358778625954*2.36190167015046</f>
        <v>1.8029783741606561E-2</v>
      </c>
      <c r="I12172">
        <v>1.80297837416066E-2</v>
      </c>
    </row>
    <row r="12173" spans="1:9" x14ac:dyDescent="0.25">
      <c r="A12173">
        <v>446</v>
      </c>
      <c r="B12173" t="s">
        <v>3552</v>
      </c>
      <c r="C12173" t="s">
        <v>75</v>
      </c>
      <c r="D12173" t="s">
        <v>3553</v>
      </c>
      <c r="E12173">
        <f>2/65</f>
        <v>3.0769230769230771E-2</v>
      </c>
      <c r="F12173">
        <v>2</v>
      </c>
      <c r="G12173">
        <f>LOG(382/(2+1))</f>
        <v>2.1049421081920463</v>
      </c>
      <c r="H12173">
        <f>0.0307692307692307*4.84680831993846</f>
        <v>0.14913256369041383</v>
      </c>
      <c r="I12173">
        <v>0.1491325636904143</v>
      </c>
    </row>
    <row r="12174" spans="1:9" x14ac:dyDescent="0.25">
      <c r="A12174">
        <v>446</v>
      </c>
      <c r="B12174" t="s">
        <v>3552</v>
      </c>
      <c r="C12174" t="s">
        <v>75</v>
      </c>
      <c r="D12174" t="s">
        <v>3554</v>
      </c>
      <c r="E12174">
        <f>2/65</f>
        <v>3.0769230769230771E-2</v>
      </c>
      <c r="F12174">
        <v>2</v>
      </c>
      <c r="G12174">
        <f>LOG(382/(2+1))</f>
        <v>2.1049421081920463</v>
      </c>
      <c r="H12174">
        <f>0.0307692307692307*4.84680831993846</f>
        <v>0.14913256369041383</v>
      </c>
      <c r="I12174">
        <v>0.1491325636904143</v>
      </c>
    </row>
    <row r="12175" spans="1:9" x14ac:dyDescent="0.25">
      <c r="A12175">
        <v>446</v>
      </c>
      <c r="B12175" t="s">
        <v>3552</v>
      </c>
      <c r="C12175" t="s">
        <v>75</v>
      </c>
      <c r="D12175" t="s">
        <v>1537</v>
      </c>
      <c r="E12175">
        <f>1/65</f>
        <v>1.5384615384615385E-2</v>
      </c>
      <c r="F12175">
        <v>80</v>
      </c>
      <c r="G12175">
        <f>LOG(382/(80+1))</f>
        <v>0.67357834403305894</v>
      </c>
      <c r="H12175">
        <f>0.0153846153846153*1.55097145393413</f>
        <v>2.3861099291294176E-2</v>
      </c>
      <c r="I12175">
        <v>2.3861099291294409E-2</v>
      </c>
    </row>
    <row r="12176" spans="1:9" x14ac:dyDescent="0.25">
      <c r="A12176">
        <v>446</v>
      </c>
      <c r="B12176" t="s">
        <v>3552</v>
      </c>
      <c r="C12176" t="s">
        <v>75</v>
      </c>
      <c r="D12176" t="s">
        <v>42</v>
      </c>
      <c r="E12176">
        <f>1/65</f>
        <v>1.5384615384615385E-2</v>
      </c>
      <c r="F12176">
        <v>251</v>
      </c>
      <c r="G12176">
        <f>LOG(382/(251+1))</f>
        <v>0.18066282213016463</v>
      </c>
      <c r="H12176">
        <f>0.0153846153846153*0.415991521095151</f>
        <v>6.3998695553099802E-3</v>
      </c>
      <c r="I12176">
        <v>6.3998695553100287E-3</v>
      </c>
    </row>
    <row r="12177" spans="1:9" x14ac:dyDescent="0.25">
      <c r="A12177">
        <v>446</v>
      </c>
      <c r="B12177" t="s">
        <v>3552</v>
      </c>
      <c r="C12177" t="s">
        <v>75</v>
      </c>
      <c r="D12177" t="s">
        <v>1496</v>
      </c>
      <c r="E12177">
        <f>1/65</f>
        <v>1.5384615384615385E-2</v>
      </c>
      <c r="F12177">
        <v>39</v>
      </c>
      <c r="G12177">
        <f>LOG(382/(39+1))</f>
        <v>0.9800033715837464</v>
      </c>
      <c r="H12177">
        <f>0.0153846153846153*2.25654115449263</f>
        <v>3.471601776142489E-2</v>
      </c>
      <c r="I12177">
        <v>3.4716017761425223E-2</v>
      </c>
    </row>
    <row r="12178" spans="1:9" x14ac:dyDescent="0.25">
      <c r="A12178">
        <v>446</v>
      </c>
      <c r="B12178" t="s">
        <v>3552</v>
      </c>
      <c r="C12178" t="s">
        <v>75</v>
      </c>
      <c r="D12178" t="s">
        <v>674</v>
      </c>
      <c r="E12178">
        <f>1/65</f>
        <v>1.5384615384615385E-2</v>
      </c>
      <c r="F12178">
        <v>11</v>
      </c>
      <c r="G12178">
        <f>LOG(382/(11+1))</f>
        <v>1.5028821168640838</v>
      </c>
      <c r="H12178">
        <f>0.0153846153846153*3.46051395881857</f>
        <v>5.3238676289516174E-2</v>
      </c>
      <c r="I12178">
        <v>5.3238676289516541E-2</v>
      </c>
    </row>
    <row r="12179" spans="1:9" x14ac:dyDescent="0.25">
      <c r="A12179">
        <v>446</v>
      </c>
      <c r="B12179" t="s">
        <v>3552</v>
      </c>
      <c r="C12179" t="s">
        <v>75</v>
      </c>
      <c r="D12179" t="s">
        <v>636</v>
      </c>
      <c r="E12179">
        <f>2/65</f>
        <v>3.0769230769230771E-2</v>
      </c>
      <c r="F12179">
        <v>31</v>
      </c>
      <c r="G12179">
        <f>LOG(382/(31+1))</f>
        <v>1.0769133845918029</v>
      </c>
      <c r="H12179">
        <f>0.0307692307692307*2.47968470580684</f>
        <v>7.62979909479026E-2</v>
      </c>
      <c r="I12179">
        <v>7.6297990947903044E-2</v>
      </c>
    </row>
    <row r="12180" spans="1:9" x14ac:dyDescent="0.25">
      <c r="A12180">
        <v>446</v>
      </c>
      <c r="B12180" t="s">
        <v>3552</v>
      </c>
      <c r="C12180" t="s">
        <v>75</v>
      </c>
      <c r="D12180" t="s">
        <v>637</v>
      </c>
      <c r="E12180">
        <f>2/65</f>
        <v>3.0769230769230771E-2</v>
      </c>
      <c r="F12180">
        <v>29</v>
      </c>
      <c r="G12180">
        <f>LOG(382/(29+1))</f>
        <v>1.1049421081920463</v>
      </c>
      <c r="H12180">
        <f>0.0307692307692307*2.54422322694442</f>
        <v>7.8283791598289673E-2</v>
      </c>
      <c r="I12180">
        <v>7.828379159828984E-2</v>
      </c>
    </row>
    <row r="12181" spans="1:9" x14ac:dyDescent="0.25">
      <c r="A12181">
        <v>446</v>
      </c>
      <c r="B12181" t="s">
        <v>3552</v>
      </c>
      <c r="C12181" t="s">
        <v>75</v>
      </c>
      <c r="D12181" t="s">
        <v>19</v>
      </c>
      <c r="E12181">
        <f>2/65</f>
        <v>3.0769230769230771E-2</v>
      </c>
      <c r="F12181">
        <v>220</v>
      </c>
      <c r="G12181">
        <f>LOG(382/(220+1))</f>
        <v>0.23767108922659805</v>
      </c>
      <c r="H12181">
        <f>0.0307692307692307*0.547257907088822</f>
        <v>1.683870483350218E-2</v>
      </c>
      <c r="I12181">
        <v>1.6838704833502229E-2</v>
      </c>
    </row>
    <row r="12182" spans="1:9" x14ac:dyDescent="0.25">
      <c r="A12182">
        <v>446</v>
      </c>
      <c r="B12182" t="s">
        <v>3552</v>
      </c>
      <c r="C12182" t="s">
        <v>75</v>
      </c>
      <c r="D12182" t="s">
        <v>44</v>
      </c>
      <c r="E12182">
        <f>2/65</f>
        <v>3.0769230769230771E-2</v>
      </c>
      <c r="F12182">
        <v>151</v>
      </c>
      <c r="G12182">
        <f>LOG(382/(151+1))</f>
        <v>0.40021977496693617</v>
      </c>
      <c r="H12182">
        <f>0.0307692307692307*0.921540087760298</f>
        <v>2.8355079623393724E-2</v>
      </c>
      <c r="I12182">
        <v>2.8355079623393811E-2</v>
      </c>
    </row>
    <row r="12183" spans="1:9" x14ac:dyDescent="0.25">
      <c r="A12183">
        <v>446</v>
      </c>
      <c r="B12183" t="s">
        <v>3552</v>
      </c>
      <c r="C12183" t="s">
        <v>75</v>
      </c>
      <c r="D12183" t="s">
        <v>371</v>
      </c>
      <c r="E12183">
        <f t="shared" ref="E12183:E12188" si="575">1/65</f>
        <v>1.5384615384615385E-2</v>
      </c>
      <c r="F12183">
        <v>3</v>
      </c>
      <c r="G12183">
        <f>LOG(382/(3+1))</f>
        <v>1.9800033715837464</v>
      </c>
      <c r="H12183">
        <f>0.0153846153846153*4.55912624748668</f>
        <v>7.0140403807486998E-2</v>
      </c>
      <c r="I12183">
        <v>7.0140403807487456E-2</v>
      </c>
    </row>
    <row r="12184" spans="1:9" x14ac:dyDescent="0.25">
      <c r="A12184">
        <v>446</v>
      </c>
      <c r="B12184" t="s">
        <v>3552</v>
      </c>
      <c r="C12184" t="s">
        <v>75</v>
      </c>
      <c r="D12184" t="s">
        <v>23</v>
      </c>
      <c r="E12184">
        <f t="shared" si="575"/>
        <v>1.5384615384615385E-2</v>
      </c>
      <c r="F12184">
        <v>275</v>
      </c>
      <c r="G12184">
        <f>LOG(382/(275+1))</f>
        <v>0.14115428084649101</v>
      </c>
      <c r="H12184">
        <f>0.0153846153846153*0.325019742889425</f>
        <v>5.0003037367603569E-3</v>
      </c>
      <c r="I12184">
        <v>5.0003037367603873E-3</v>
      </c>
    </row>
    <row r="12185" spans="1:9" x14ac:dyDescent="0.25">
      <c r="A12185">
        <v>446</v>
      </c>
      <c r="B12185" t="s">
        <v>3552</v>
      </c>
      <c r="C12185" t="s">
        <v>75</v>
      </c>
      <c r="D12185" t="s">
        <v>1785</v>
      </c>
      <c r="E12185">
        <f t="shared" si="575"/>
        <v>1.5384615384615385E-2</v>
      </c>
      <c r="F12185">
        <v>21</v>
      </c>
      <c r="G12185">
        <f>LOG(382/(21+1))</f>
        <v>1.2396406820895025</v>
      </c>
      <c r="H12185">
        <f>0.0153846153846153*2.85437815524825</f>
        <v>4.3913510080742069E-2</v>
      </c>
      <c r="I12185">
        <v>4.391351008074245E-2</v>
      </c>
    </row>
    <row r="12186" spans="1:9" x14ac:dyDescent="0.25">
      <c r="A12186">
        <v>446</v>
      </c>
      <c r="B12186" t="s">
        <v>3552</v>
      </c>
      <c r="C12186" t="s">
        <v>75</v>
      </c>
      <c r="D12186" t="s">
        <v>3555</v>
      </c>
      <c r="E12186">
        <f t="shared" si="575"/>
        <v>1.5384615384615385E-2</v>
      </c>
      <c r="F12186">
        <v>1</v>
      </c>
      <c r="G12186">
        <f>LOG(382/(1+1))</f>
        <v>2.2810333672477277</v>
      </c>
      <c r="H12186">
        <f>0.0153846153846153*5.25227342804663</f>
        <v>8.0804206585332328E-2</v>
      </c>
      <c r="I12186">
        <v>8.0804206585332772E-2</v>
      </c>
    </row>
    <row r="12187" spans="1:9" x14ac:dyDescent="0.25">
      <c r="A12187">
        <v>446</v>
      </c>
      <c r="B12187" t="s">
        <v>3552</v>
      </c>
      <c r="C12187" t="s">
        <v>75</v>
      </c>
      <c r="D12187" t="s">
        <v>204</v>
      </c>
      <c r="E12187">
        <f t="shared" si="575"/>
        <v>1.5384615384615385E-2</v>
      </c>
      <c r="F12187">
        <v>166</v>
      </c>
      <c r="G12187">
        <f>LOG(382/(166+1))</f>
        <v>0.35934689176412549</v>
      </c>
      <c r="H12187">
        <f>0.0153846153846153*0.82742679618982</f>
        <v>1.2729643018304853E-2</v>
      </c>
      <c r="I12187">
        <v>1.2729643018304921E-2</v>
      </c>
    </row>
    <row r="12188" spans="1:9" x14ac:dyDescent="0.25">
      <c r="A12188">
        <v>446</v>
      </c>
      <c r="B12188" t="s">
        <v>3552</v>
      </c>
      <c r="C12188" t="s">
        <v>75</v>
      </c>
      <c r="D12188" t="s">
        <v>3556</v>
      </c>
      <c r="E12188">
        <f t="shared" si="575"/>
        <v>1.5384615384615385E-2</v>
      </c>
      <c r="F12188">
        <v>1</v>
      </c>
      <c r="G12188">
        <f>LOG(382/(1+1))</f>
        <v>2.2810333672477277</v>
      </c>
      <c r="H12188">
        <f>0.0153846153846153*5.25227342804663</f>
        <v>8.0804206585332328E-2</v>
      </c>
      <c r="I12188">
        <v>8.0804206585332772E-2</v>
      </c>
    </row>
    <row r="12189" spans="1:9" x14ac:dyDescent="0.25">
      <c r="A12189">
        <v>446</v>
      </c>
      <c r="B12189" t="s">
        <v>3552</v>
      </c>
      <c r="C12189" t="s">
        <v>75</v>
      </c>
      <c r="D12189" t="s">
        <v>24</v>
      </c>
      <c r="E12189">
        <f>2/65</f>
        <v>3.0769230769230771E-2</v>
      </c>
      <c r="F12189">
        <v>59</v>
      </c>
      <c r="G12189">
        <f>LOG(382/(59+1))</f>
        <v>0.80391211252806505</v>
      </c>
      <c r="H12189">
        <f>0.0307692307692307*1.85107604638447</f>
        <v>5.6956186042598951E-2</v>
      </c>
      <c r="I12189">
        <v>5.6956186042599208E-2</v>
      </c>
    </row>
    <row r="12190" spans="1:9" x14ac:dyDescent="0.25">
      <c r="A12190">
        <v>446</v>
      </c>
      <c r="B12190" t="s">
        <v>3552</v>
      </c>
      <c r="C12190" t="s">
        <v>75</v>
      </c>
      <c r="D12190" t="s">
        <v>1762</v>
      </c>
      <c r="E12190">
        <f>2/65</f>
        <v>3.0769230769230771E-2</v>
      </c>
      <c r="F12190">
        <v>60</v>
      </c>
      <c r="G12190">
        <f>LOG(382/(60+1))</f>
        <v>0.79673352790094176</v>
      </c>
      <c r="H12190">
        <f>0.0307692307692307*1.83454674443326</f>
        <v>5.6447592136407876E-2</v>
      </c>
      <c r="I12190">
        <v>5.6447592136408133E-2</v>
      </c>
    </row>
    <row r="12191" spans="1:9" x14ac:dyDescent="0.25">
      <c r="A12191">
        <v>446</v>
      </c>
      <c r="B12191" t="s">
        <v>3552</v>
      </c>
      <c r="C12191" t="s">
        <v>75</v>
      </c>
      <c r="D12191" t="s">
        <v>929</v>
      </c>
      <c r="E12191">
        <f>1/65</f>
        <v>1.5384615384615385E-2</v>
      </c>
      <c r="F12191">
        <v>32</v>
      </c>
      <c r="G12191">
        <f>LOG(382/(32+1))</f>
        <v>1.0635494230338212</v>
      </c>
      <c r="H12191">
        <f>0.0153846153846153*2.44891304714009</f>
        <v>3.7675585340616567E-2</v>
      </c>
      <c r="I12191">
        <v>3.7675585340616852E-2</v>
      </c>
    </row>
    <row r="12192" spans="1:9" x14ac:dyDescent="0.25">
      <c r="A12192">
        <v>446</v>
      </c>
      <c r="B12192" t="s">
        <v>3552</v>
      </c>
      <c r="C12192" t="s">
        <v>75</v>
      </c>
      <c r="D12192" t="s">
        <v>78</v>
      </c>
      <c r="E12192">
        <f>2/65</f>
        <v>3.0769230769230771E-2</v>
      </c>
      <c r="F12192">
        <v>122</v>
      </c>
      <c r="G12192">
        <f>LOG(382/(122+1))</f>
        <v>0.49215825147231079</v>
      </c>
      <c r="H12192">
        <f>0.0307692307692307*1.13323625323415</f>
        <v>3.4868807791819924E-2</v>
      </c>
      <c r="I12192">
        <v>3.4868807791820243E-2</v>
      </c>
    </row>
    <row r="12193" spans="1:9" x14ac:dyDescent="0.25">
      <c r="A12193">
        <v>446</v>
      </c>
      <c r="B12193" t="s">
        <v>3552</v>
      </c>
      <c r="C12193" t="s">
        <v>75</v>
      </c>
      <c r="D12193" t="s">
        <v>754</v>
      </c>
      <c r="E12193">
        <f>2/65</f>
        <v>3.0769230769230771E-2</v>
      </c>
      <c r="F12193">
        <v>111</v>
      </c>
      <c r="G12193">
        <f>LOG(382/(111+1))</f>
        <v>0.53284534024152708</v>
      </c>
      <c r="H12193">
        <f>0.0307692307692307*1.22692173731148</f>
        <v>3.7751438071122377E-2</v>
      </c>
      <c r="I12193">
        <v>3.7751438071122488E-2</v>
      </c>
    </row>
    <row r="12194" spans="1:9" x14ac:dyDescent="0.25">
      <c r="A12194">
        <v>446</v>
      </c>
      <c r="B12194" t="s">
        <v>3552</v>
      </c>
      <c r="C12194" t="s">
        <v>75</v>
      </c>
      <c r="D12194" t="s">
        <v>767</v>
      </c>
      <c r="E12194">
        <f t="shared" ref="E12194:E12202" si="576">1/65</f>
        <v>1.5384615384615385E-2</v>
      </c>
      <c r="F12194">
        <v>47</v>
      </c>
      <c r="G12194">
        <f>LOG(382/(47+1))</f>
        <v>0.90082212553612151</v>
      </c>
      <c r="H12194">
        <f>0.0153846153846153*2.07421959769868</f>
        <v>3.1911070733825674E-2</v>
      </c>
      <c r="I12194">
        <v>3.1911070733825909E-2</v>
      </c>
    </row>
    <row r="12195" spans="1:9" x14ac:dyDescent="0.25">
      <c r="A12195">
        <v>446</v>
      </c>
      <c r="B12195" t="s">
        <v>3552</v>
      </c>
      <c r="C12195" t="s">
        <v>75</v>
      </c>
      <c r="D12195" t="s">
        <v>3557</v>
      </c>
      <c r="E12195">
        <f t="shared" si="576"/>
        <v>1.5384615384615385E-2</v>
      </c>
      <c r="F12195">
        <v>1</v>
      </c>
      <c r="G12195">
        <f>LOG(382/(1+1))</f>
        <v>2.2810333672477277</v>
      </c>
      <c r="H12195">
        <f>0.0153846153846153*5.25227342804663</f>
        <v>8.0804206585332328E-2</v>
      </c>
      <c r="I12195">
        <v>8.0804206585332772E-2</v>
      </c>
    </row>
    <row r="12196" spans="1:9" x14ac:dyDescent="0.25">
      <c r="A12196">
        <v>446</v>
      </c>
      <c r="B12196" t="s">
        <v>3552</v>
      </c>
      <c r="C12196" t="s">
        <v>75</v>
      </c>
      <c r="D12196" t="s">
        <v>3558</v>
      </c>
      <c r="E12196">
        <f t="shared" si="576"/>
        <v>1.5384615384615385E-2</v>
      </c>
      <c r="F12196">
        <v>1</v>
      </c>
      <c r="G12196">
        <f>LOG(382/(1+1))</f>
        <v>2.2810333672477277</v>
      </c>
      <c r="H12196">
        <f>0.0153846153846153*5.25227342804663</f>
        <v>8.0804206585332328E-2</v>
      </c>
      <c r="I12196">
        <v>8.0804206585332772E-2</v>
      </c>
    </row>
    <row r="12197" spans="1:9" x14ac:dyDescent="0.25">
      <c r="A12197">
        <v>446</v>
      </c>
      <c r="B12197" t="s">
        <v>3552</v>
      </c>
      <c r="C12197" t="s">
        <v>75</v>
      </c>
      <c r="D12197" t="s">
        <v>243</v>
      </c>
      <c r="E12197">
        <f t="shared" si="576"/>
        <v>1.5384615384615385E-2</v>
      </c>
      <c r="F12197">
        <v>131</v>
      </c>
      <c r="G12197">
        <f>LOG(382/(131+1))</f>
        <v>0.46148943170585888</v>
      </c>
      <c r="H12197">
        <f>0.0153846153846153*1.0626186860202</f>
        <v>1.6347979784926064E-2</v>
      </c>
      <c r="I12197">
        <v>1.634797978492622E-2</v>
      </c>
    </row>
    <row r="12198" spans="1:9" x14ac:dyDescent="0.25">
      <c r="A12198">
        <v>446</v>
      </c>
      <c r="B12198" t="s">
        <v>3552</v>
      </c>
      <c r="C12198" t="s">
        <v>75</v>
      </c>
      <c r="D12198" t="s">
        <v>453</v>
      </c>
      <c r="E12198">
        <f t="shared" si="576"/>
        <v>1.5384615384615385E-2</v>
      </c>
      <c r="F12198">
        <v>68</v>
      </c>
      <c r="G12198">
        <f>LOG(382/(68+1))</f>
        <v>0.74321427217445335</v>
      </c>
      <c r="H12198">
        <f>0.0153846153846153*1.71131410400931</f>
        <v>2.6327909292450779E-2</v>
      </c>
      <c r="I12198">
        <v>2.6327909292451011E-2</v>
      </c>
    </row>
    <row r="12199" spans="1:9" x14ac:dyDescent="0.25">
      <c r="A12199">
        <v>446</v>
      </c>
      <c r="B12199" t="s">
        <v>3552</v>
      </c>
      <c r="C12199" t="s">
        <v>75</v>
      </c>
      <c r="D12199" t="s">
        <v>455</v>
      </c>
      <c r="E12199">
        <f t="shared" si="576"/>
        <v>1.5384615384615385E-2</v>
      </c>
      <c r="F12199">
        <v>78</v>
      </c>
      <c r="G12199">
        <f>LOG(382/(78+1))</f>
        <v>0.6844362716212673</v>
      </c>
      <c r="H12199">
        <f>0.0153846153846153*1.57597275613955</f>
        <v>2.4245734709839099E-2</v>
      </c>
      <c r="I12199">
        <v>2.4245734709839289E-2</v>
      </c>
    </row>
    <row r="12200" spans="1:9" x14ac:dyDescent="0.25">
      <c r="A12200">
        <v>446</v>
      </c>
      <c r="B12200" t="s">
        <v>3552</v>
      </c>
      <c r="C12200" t="s">
        <v>75</v>
      </c>
      <c r="D12200" t="s">
        <v>456</v>
      </c>
      <c r="E12200">
        <f t="shared" si="576"/>
        <v>1.5384615384615385E-2</v>
      </c>
      <c r="F12200">
        <v>71</v>
      </c>
      <c r="G12200">
        <f>LOG(382/(71+1))</f>
        <v>0.72473086648044027</v>
      </c>
      <c r="H12200">
        <f>0.0153846153846153*1.66875448959051</f>
        <v>2.5673145993700013E-2</v>
      </c>
      <c r="I12200">
        <v>2.5673145993700301E-2</v>
      </c>
    </row>
    <row r="12201" spans="1:9" x14ac:dyDescent="0.25">
      <c r="A12201">
        <v>446</v>
      </c>
      <c r="B12201" t="s">
        <v>3552</v>
      </c>
      <c r="C12201" t="s">
        <v>75</v>
      </c>
      <c r="D12201" t="s">
        <v>1779</v>
      </c>
      <c r="E12201">
        <f t="shared" si="576"/>
        <v>1.5384615384615385E-2</v>
      </c>
      <c r="F12201">
        <v>41</v>
      </c>
      <c r="G12201">
        <f>LOG(382/(41+1))</f>
        <v>0.95881407251380824</v>
      </c>
      <c r="H12201">
        <f>0.0153846153846153*2.2077509903232</f>
        <v>3.3965399851125969E-2</v>
      </c>
      <c r="I12201">
        <v>3.396539985112626E-2</v>
      </c>
    </row>
    <row r="12202" spans="1:9" x14ac:dyDescent="0.25">
      <c r="A12202">
        <v>446</v>
      </c>
      <c r="B12202" t="s">
        <v>3552</v>
      </c>
      <c r="C12202" t="s">
        <v>75</v>
      </c>
      <c r="D12202" t="s">
        <v>3559</v>
      </c>
      <c r="E12202">
        <f t="shared" si="576"/>
        <v>1.5384615384615385E-2</v>
      </c>
      <c r="F12202">
        <v>1</v>
      </c>
      <c r="G12202">
        <f>LOG(382/(1+1))</f>
        <v>2.2810333672477277</v>
      </c>
      <c r="H12202">
        <f>0.0153846153846153*5.25227342804663</f>
        <v>8.0804206585332328E-2</v>
      </c>
      <c r="I12202">
        <v>8.0804206585332772E-2</v>
      </c>
    </row>
    <row r="12203" spans="1:9" x14ac:dyDescent="0.25">
      <c r="A12203">
        <v>446</v>
      </c>
      <c r="B12203" t="s">
        <v>3552</v>
      </c>
      <c r="C12203" t="s">
        <v>75</v>
      </c>
      <c r="D12203" t="s">
        <v>676</v>
      </c>
      <c r="E12203">
        <f>2/65</f>
        <v>3.0769230769230771E-2</v>
      </c>
      <c r="F12203">
        <v>20</v>
      </c>
      <c r="G12203">
        <f>LOG(382/(20+1))</f>
        <v>1.2598440681777894</v>
      </c>
      <c r="H12203">
        <f>0.0307692307692307*2.90089817088315</f>
        <v>8.9258405257942888E-2</v>
      </c>
      <c r="I12203">
        <v>8.9258405257943152E-2</v>
      </c>
    </row>
    <row r="12204" spans="1:9" x14ac:dyDescent="0.25">
      <c r="A12204">
        <v>446</v>
      </c>
      <c r="B12204" t="s">
        <v>3552</v>
      </c>
      <c r="C12204" t="s">
        <v>75</v>
      </c>
      <c r="D12204" t="s">
        <v>361</v>
      </c>
      <c r="E12204">
        <f>2/65</f>
        <v>3.0769230769230771E-2</v>
      </c>
      <c r="F12204">
        <v>118</v>
      </c>
      <c r="G12204">
        <f>LOG(382/(118+1))</f>
        <v>0.50651640151917798</v>
      </c>
      <c r="H12204">
        <f>0.0307692307692307*1.16629711549504</f>
        <v>3.5886065092154994E-2</v>
      </c>
      <c r="I12204">
        <v>3.5886065092155257E-2</v>
      </c>
    </row>
    <row r="12205" spans="1:9" x14ac:dyDescent="0.25">
      <c r="A12205">
        <v>446</v>
      </c>
      <c r="B12205" t="s">
        <v>3552</v>
      </c>
      <c r="C12205" t="s">
        <v>75</v>
      </c>
      <c r="D12205" t="s">
        <v>434</v>
      </c>
      <c r="E12205">
        <f t="shared" ref="E12205:E12218" si="577">1/65</f>
        <v>1.5384615384615385E-2</v>
      </c>
      <c r="F12205">
        <v>97</v>
      </c>
      <c r="G12205">
        <f>LOG(382/(97+1))</f>
        <v>0.59083728721921391</v>
      </c>
      <c r="H12205">
        <f>0.0153846153846153*1.360453129936</f>
        <v>2.0930048152861425E-2</v>
      </c>
      <c r="I12205">
        <v>2.0930048152861591E-2</v>
      </c>
    </row>
    <row r="12206" spans="1:9" x14ac:dyDescent="0.25">
      <c r="A12206">
        <v>446</v>
      </c>
      <c r="B12206" t="s">
        <v>3552</v>
      </c>
      <c r="C12206" t="s">
        <v>75</v>
      </c>
      <c r="D12206" t="s">
        <v>310</v>
      </c>
      <c r="E12206">
        <f t="shared" si="577"/>
        <v>1.5384615384615385E-2</v>
      </c>
      <c r="F12206">
        <v>50</v>
      </c>
      <c r="G12206">
        <f>LOG(382/(50+1))</f>
        <v>0.87449318681377242</v>
      </c>
      <c r="H12206">
        <f>0.0153846153846153*2.01359497588224</f>
        <v>3.0978384244341982E-2</v>
      </c>
      <c r="I12206">
        <v>3.0978384244342301E-2</v>
      </c>
    </row>
    <row r="12207" spans="1:9" x14ac:dyDescent="0.25">
      <c r="A12207">
        <v>446</v>
      </c>
      <c r="B12207" t="s">
        <v>3552</v>
      </c>
      <c r="C12207" t="s">
        <v>75</v>
      </c>
      <c r="D12207" t="s">
        <v>2035</v>
      </c>
      <c r="E12207">
        <f t="shared" si="577"/>
        <v>1.5384615384615385E-2</v>
      </c>
      <c r="F12207">
        <v>13</v>
      </c>
      <c r="G12207">
        <f>LOG(382/(13+1))</f>
        <v>1.4359353272334707</v>
      </c>
      <c r="H12207">
        <f>0.0153846153846153*3.30636327899131</f>
        <v>5.08671273690968E-2</v>
      </c>
      <c r="I12207">
        <v>5.0867127369097181E-2</v>
      </c>
    </row>
    <row r="12208" spans="1:9" x14ac:dyDescent="0.25">
      <c r="A12208">
        <v>446</v>
      </c>
      <c r="B12208" t="s">
        <v>3552</v>
      </c>
      <c r="C12208" t="s">
        <v>75</v>
      </c>
      <c r="D12208" t="s">
        <v>322</v>
      </c>
      <c r="E12208">
        <f t="shared" si="577"/>
        <v>1.5384615384615385E-2</v>
      </c>
      <c r="F12208">
        <v>128</v>
      </c>
      <c r="G12208">
        <f>LOG(382/(128+1))</f>
        <v>0.47147365261245977</v>
      </c>
      <c r="H12208">
        <f>0.0153846153846153*1.0856082042449</f>
        <v>1.6701664680690679E-2</v>
      </c>
      <c r="I12208">
        <v>1.6701664680690821E-2</v>
      </c>
    </row>
    <row r="12209" spans="1:9" x14ac:dyDescent="0.25">
      <c r="A12209">
        <v>446</v>
      </c>
      <c r="B12209" t="s">
        <v>3552</v>
      </c>
      <c r="C12209" t="s">
        <v>75</v>
      </c>
      <c r="D12209" t="s">
        <v>324</v>
      </c>
      <c r="E12209">
        <f t="shared" si="577"/>
        <v>1.5384615384615385E-2</v>
      </c>
      <c r="F12209">
        <v>82</v>
      </c>
      <c r="G12209">
        <f>LOG(382/(82+1))</f>
        <v>0.66298527053563483</v>
      </c>
      <c r="H12209">
        <f>0.0153846153846153*1.52658000080997</f>
        <v>2.3485846166307101E-2</v>
      </c>
      <c r="I12209">
        <v>2.3485846166307341E-2</v>
      </c>
    </row>
    <row r="12210" spans="1:9" x14ac:dyDescent="0.25">
      <c r="A12210">
        <v>446</v>
      </c>
      <c r="B12210" t="s">
        <v>3552</v>
      </c>
      <c r="C12210" t="s">
        <v>75</v>
      </c>
      <c r="D12210" t="s">
        <v>1222</v>
      </c>
      <c r="E12210">
        <f t="shared" si="577"/>
        <v>1.5384615384615385E-2</v>
      </c>
      <c r="F12210">
        <v>56</v>
      </c>
      <c r="G12210">
        <f>LOG(382/(56+1))</f>
        <v>0.82618850723921733</v>
      </c>
      <c r="H12210">
        <f>0.0153846153846153*1.90236934077202</f>
        <v>2.9267220627261684E-2</v>
      </c>
      <c r="I12210">
        <v>2.926722062726193E-2</v>
      </c>
    </row>
    <row r="12211" spans="1:9" x14ac:dyDescent="0.25">
      <c r="A12211">
        <v>446</v>
      </c>
      <c r="B12211" t="s">
        <v>3552</v>
      </c>
      <c r="C12211" t="s">
        <v>75</v>
      </c>
      <c r="D12211" t="s">
        <v>485</v>
      </c>
      <c r="E12211">
        <f t="shared" si="577"/>
        <v>1.5384615384615385E-2</v>
      </c>
      <c r="F12211">
        <v>74</v>
      </c>
      <c r="G12211">
        <f>LOG(382/(74+1))</f>
        <v>0.7070020995200087</v>
      </c>
      <c r="H12211">
        <f>0.0153846153846153*1.62793249507026</f>
        <v>2.5045115308773094E-2</v>
      </c>
      <c r="I12211">
        <v>2.5045115308773309E-2</v>
      </c>
    </row>
    <row r="12212" spans="1:9" x14ac:dyDescent="0.25">
      <c r="A12212">
        <v>446</v>
      </c>
      <c r="B12212" t="s">
        <v>3552</v>
      </c>
      <c r="C12212" t="s">
        <v>75</v>
      </c>
      <c r="D12212" t="s">
        <v>98</v>
      </c>
      <c r="E12212">
        <f t="shared" si="577"/>
        <v>1.5384615384615385E-2</v>
      </c>
      <c r="F12212">
        <v>56</v>
      </c>
      <c r="G12212">
        <f>LOG(382/(56+1))</f>
        <v>0.82618850723921733</v>
      </c>
      <c r="H12212">
        <f>0.0153846153846153*1.90236934077202</f>
        <v>2.9267220627261684E-2</v>
      </c>
      <c r="I12212">
        <v>2.926722062726193E-2</v>
      </c>
    </row>
    <row r="12213" spans="1:9" x14ac:dyDescent="0.25">
      <c r="A12213">
        <v>446</v>
      </c>
      <c r="B12213" t="s">
        <v>3552</v>
      </c>
      <c r="C12213" t="s">
        <v>75</v>
      </c>
      <c r="D12213" t="s">
        <v>50</v>
      </c>
      <c r="E12213">
        <f t="shared" si="577"/>
        <v>1.5384615384615385E-2</v>
      </c>
      <c r="F12213">
        <v>109</v>
      </c>
      <c r="G12213">
        <f>LOG(382/(109+1))</f>
        <v>0.54067067775348365</v>
      </c>
      <c r="H12213">
        <f>0.0153846153846153*1.24494024281415</f>
        <v>1.915292681252528E-2</v>
      </c>
      <c r="I12213">
        <v>1.915292681252552E-2</v>
      </c>
    </row>
    <row r="12214" spans="1:9" x14ac:dyDescent="0.25">
      <c r="A12214">
        <v>446</v>
      </c>
      <c r="B12214" t="s">
        <v>3552</v>
      </c>
      <c r="C12214" t="s">
        <v>75</v>
      </c>
      <c r="D12214" t="s">
        <v>2238</v>
      </c>
      <c r="E12214">
        <f t="shared" si="577"/>
        <v>1.5384615384615385E-2</v>
      </c>
      <c r="F12214">
        <v>68</v>
      </c>
      <c r="G12214">
        <f>LOG(382/(68+1))</f>
        <v>0.74321427217445335</v>
      </c>
      <c r="H12214">
        <f>0.0153846153846153*1.71131410400931</f>
        <v>2.6327909292450779E-2</v>
      </c>
      <c r="I12214">
        <v>2.6327909292451011E-2</v>
      </c>
    </row>
    <row r="12215" spans="1:9" x14ac:dyDescent="0.25">
      <c r="A12215">
        <v>446</v>
      </c>
      <c r="B12215" t="s">
        <v>3552</v>
      </c>
      <c r="C12215" t="s">
        <v>75</v>
      </c>
      <c r="D12215" t="s">
        <v>2178</v>
      </c>
      <c r="E12215">
        <f t="shared" si="577"/>
        <v>1.5384615384615385E-2</v>
      </c>
      <c r="F12215">
        <v>11</v>
      </c>
      <c r="G12215">
        <f>LOG(382/(11+1))</f>
        <v>1.5028821168640838</v>
      </c>
      <c r="H12215">
        <f>0.0153846153846153*3.46051395881857</f>
        <v>5.3238676289516174E-2</v>
      </c>
      <c r="I12215">
        <v>5.3238676289516541E-2</v>
      </c>
    </row>
    <row r="12216" spans="1:9" x14ac:dyDescent="0.25">
      <c r="A12216">
        <v>446</v>
      </c>
      <c r="B12216" t="s">
        <v>3552</v>
      </c>
      <c r="C12216" t="s">
        <v>75</v>
      </c>
      <c r="D12216" t="s">
        <v>1730</v>
      </c>
      <c r="E12216">
        <f t="shared" si="577"/>
        <v>1.5384615384615385E-2</v>
      </c>
      <c r="F12216">
        <v>35</v>
      </c>
      <c r="G12216">
        <f>LOG(382/(35+1))</f>
        <v>1.0257608621444214</v>
      </c>
      <c r="H12216">
        <f>0.0153846153846153*2.36190167015046</f>
        <v>3.6336948771545342E-2</v>
      </c>
      <c r="I12216">
        <v>3.6336948771545613E-2</v>
      </c>
    </row>
    <row r="12217" spans="1:9" x14ac:dyDescent="0.25">
      <c r="A12217">
        <v>446</v>
      </c>
      <c r="B12217" t="s">
        <v>3552</v>
      </c>
      <c r="C12217" t="s">
        <v>75</v>
      </c>
      <c r="D12217" t="s">
        <v>1261</v>
      </c>
      <c r="E12217">
        <f t="shared" si="577"/>
        <v>1.5384615384615385E-2</v>
      </c>
      <c r="F12217">
        <v>12</v>
      </c>
      <c r="G12217">
        <f>LOG(382/(12+1))</f>
        <v>1.468120010604872</v>
      </c>
      <c r="H12217">
        <f>0.0153846153846153*3.38047125114503</f>
        <v>5.2007250017615567E-2</v>
      </c>
      <c r="I12217">
        <v>5.2007250017615983E-2</v>
      </c>
    </row>
    <row r="12218" spans="1:9" x14ac:dyDescent="0.25">
      <c r="A12218">
        <v>446</v>
      </c>
      <c r="B12218" t="s">
        <v>3552</v>
      </c>
      <c r="C12218" t="s">
        <v>75</v>
      </c>
      <c r="D12218" t="s">
        <v>3376</v>
      </c>
      <c r="E12218">
        <f t="shared" si="577"/>
        <v>1.5384615384615385E-2</v>
      </c>
      <c r="F12218">
        <v>21</v>
      </c>
      <c r="G12218">
        <f>LOG(382/(21+1))</f>
        <v>1.2396406820895025</v>
      </c>
      <c r="H12218">
        <f>0.0153846153846153*2.85437815524825</f>
        <v>4.3913510080742069E-2</v>
      </c>
      <c r="I12218">
        <v>4.391351008074245E-2</v>
      </c>
    </row>
    <row r="12219" spans="1:9" x14ac:dyDescent="0.25">
      <c r="A12219">
        <v>446</v>
      </c>
      <c r="B12219" t="s">
        <v>3552</v>
      </c>
      <c r="C12219" t="s">
        <v>75</v>
      </c>
      <c r="D12219" t="s">
        <v>1739</v>
      </c>
      <c r="E12219">
        <f>2/65</f>
        <v>3.0769230769230771E-2</v>
      </c>
      <c r="F12219">
        <v>30</v>
      </c>
      <c r="G12219">
        <f>LOG(382/(30+1))</f>
        <v>1.090701669077436</v>
      </c>
      <c r="H12219">
        <f>0.0307692307692307*2.51143340412142</f>
        <v>7.7274873972966604E-2</v>
      </c>
      <c r="I12219">
        <v>7.7274873972967048E-2</v>
      </c>
    </row>
    <row r="12220" spans="1:9" x14ac:dyDescent="0.25">
      <c r="A12220">
        <v>446</v>
      </c>
      <c r="B12220" t="s">
        <v>3552</v>
      </c>
      <c r="C12220" t="s">
        <v>75</v>
      </c>
      <c r="D12220" t="s">
        <v>1738</v>
      </c>
      <c r="E12220">
        <f>1/65</f>
        <v>1.5384615384615385E-2</v>
      </c>
      <c r="F12220">
        <v>24</v>
      </c>
      <c r="G12220">
        <f>LOG(382/(24+1))</f>
        <v>1.1841233542396712</v>
      </c>
      <c r="H12220">
        <f>0.0153846153846153*2.72654478373837</f>
        <v>4.1946842826743921E-2</v>
      </c>
      <c r="I12220">
        <v>4.194684282674422E-2</v>
      </c>
    </row>
    <row r="12221" spans="1:9" x14ac:dyDescent="0.25">
      <c r="A12221">
        <v>446</v>
      </c>
      <c r="B12221" t="s">
        <v>3552</v>
      </c>
      <c r="C12221" t="s">
        <v>75</v>
      </c>
      <c r="D12221" t="s">
        <v>247</v>
      </c>
      <c r="E12221">
        <f>1/65</f>
        <v>1.5384615384615385E-2</v>
      </c>
      <c r="F12221">
        <v>121</v>
      </c>
      <c r="G12221">
        <f>LOG(382/(121+1))</f>
        <v>0.49570353223696051</v>
      </c>
      <c r="H12221">
        <f>0.0153846153846153*1.14139956387331</f>
        <v>1.7559993290358521E-2</v>
      </c>
      <c r="I12221">
        <v>1.755999329035875E-2</v>
      </c>
    </row>
    <row r="12222" spans="1:9" x14ac:dyDescent="0.25">
      <c r="A12222">
        <v>446</v>
      </c>
      <c r="B12222" t="s">
        <v>3552</v>
      </c>
      <c r="C12222" t="s">
        <v>75</v>
      </c>
      <c r="D12222" t="s">
        <v>89</v>
      </c>
      <c r="E12222">
        <f>1/65</f>
        <v>1.5384615384615385E-2</v>
      </c>
      <c r="F12222">
        <v>40</v>
      </c>
      <c r="G12222">
        <f>LOG(382/(40+1))</f>
        <v>0.96927950619197323</v>
      </c>
      <c r="H12222">
        <f>0.0153846153846153*2.23184854190226</f>
        <v>3.4336131413880734E-2</v>
      </c>
      <c r="I12222">
        <v>3.4336131413881039E-2</v>
      </c>
    </row>
    <row r="12223" spans="1:9" x14ac:dyDescent="0.25">
      <c r="A12223">
        <v>446</v>
      </c>
      <c r="B12223" t="s">
        <v>3552</v>
      </c>
      <c r="C12223" t="s">
        <v>75</v>
      </c>
      <c r="D12223" t="s">
        <v>133</v>
      </c>
      <c r="E12223">
        <f>1/65</f>
        <v>1.5384615384615385E-2</v>
      </c>
      <c r="F12223">
        <v>142</v>
      </c>
      <c r="G12223">
        <f>LOG(382/(142+1))</f>
        <v>0.42672732544664693</v>
      </c>
      <c r="H12223">
        <f>0.0153846153846153*0.982575978346667</f>
        <v>1.5116553513025563E-2</v>
      </c>
      <c r="I12223">
        <v>1.511655351302566E-2</v>
      </c>
    </row>
    <row r="12224" spans="1:9" x14ac:dyDescent="0.25">
      <c r="A12224">
        <v>446</v>
      </c>
      <c r="B12224" t="s">
        <v>3552</v>
      </c>
      <c r="C12224" t="s">
        <v>75</v>
      </c>
      <c r="D12224" t="s">
        <v>126</v>
      </c>
      <c r="E12224">
        <f>1/65</f>
        <v>1.5384615384615385E-2</v>
      </c>
      <c r="F12224">
        <v>79</v>
      </c>
      <c r="G12224">
        <f>LOG(382/(79+1))</f>
        <v>0.67897337591976514</v>
      </c>
      <c r="H12224">
        <f>0.0153846153846153*1.56339397393269</f>
        <v>2.4052214983579717E-2</v>
      </c>
      <c r="I12224">
        <v>2.40522149835799E-2</v>
      </c>
    </row>
    <row r="12225" spans="1:9" x14ac:dyDescent="0.25">
      <c r="A12225">
        <v>447</v>
      </c>
      <c r="B12225" t="s">
        <v>3560</v>
      </c>
      <c r="C12225" t="s">
        <v>75</v>
      </c>
      <c r="D12225" t="s">
        <v>3561</v>
      </c>
      <c r="E12225">
        <f>2/71</f>
        <v>2.8169014084507043E-2</v>
      </c>
      <c r="F12225">
        <v>1</v>
      </c>
      <c r="G12225">
        <f>LOG(382/(1+1))</f>
        <v>2.2810333672477277</v>
      </c>
      <c r="H12225">
        <f>0.028169014084507*5.25227342804663</f>
        <v>0.14795136417032739</v>
      </c>
      <c r="I12225">
        <v>0.14795136417032759</v>
      </c>
    </row>
    <row r="12226" spans="1:9" x14ac:dyDescent="0.25">
      <c r="A12226">
        <v>447</v>
      </c>
      <c r="B12226" t="s">
        <v>3560</v>
      </c>
      <c r="C12226" t="s">
        <v>75</v>
      </c>
      <c r="D12226" t="s">
        <v>3057</v>
      </c>
      <c r="E12226">
        <f>2/71</f>
        <v>2.8169014084507043E-2</v>
      </c>
      <c r="F12226">
        <v>7</v>
      </c>
      <c r="G12226">
        <f>LOG(382/(7+1))</f>
        <v>1.6789733759197651</v>
      </c>
      <c r="H12226">
        <f>0.028169014084507*3.86597906692673</f>
        <v>0.1089008187866683</v>
      </c>
      <c r="I12226">
        <v>0.1089008187866687</v>
      </c>
    </row>
    <row r="12227" spans="1:9" x14ac:dyDescent="0.25">
      <c r="A12227">
        <v>447</v>
      </c>
      <c r="B12227" t="s">
        <v>3560</v>
      </c>
      <c r="C12227" t="s">
        <v>75</v>
      </c>
      <c r="D12227" t="s">
        <v>1224</v>
      </c>
      <c r="E12227">
        <f>2/71</f>
        <v>2.8169014084507043E-2</v>
      </c>
      <c r="F12227">
        <v>11</v>
      </c>
      <c r="G12227">
        <f>LOG(382/(11+1))</f>
        <v>1.5028821168640838</v>
      </c>
      <c r="H12227">
        <f>0.028169014084507*3.46051395881857</f>
        <v>9.7479266445593377E-2</v>
      </c>
      <c r="I12227">
        <v>9.7479266445593668E-2</v>
      </c>
    </row>
    <row r="12228" spans="1:9" x14ac:dyDescent="0.25">
      <c r="A12228">
        <v>447</v>
      </c>
      <c r="B12228" t="s">
        <v>3560</v>
      </c>
      <c r="C12228" t="s">
        <v>75</v>
      </c>
      <c r="D12228" t="s">
        <v>2257</v>
      </c>
      <c r="E12228">
        <f>2/71</f>
        <v>2.8169014084507043E-2</v>
      </c>
      <c r="F12228">
        <v>11</v>
      </c>
      <c r="G12228">
        <f>LOG(382/(11+1))</f>
        <v>1.5028821168640838</v>
      </c>
      <c r="H12228">
        <f>0.028169014084507*3.46051395881857</f>
        <v>9.7479266445593377E-2</v>
      </c>
      <c r="I12228">
        <v>9.7479266445593668E-2</v>
      </c>
    </row>
    <row r="12229" spans="1:9" x14ac:dyDescent="0.25">
      <c r="A12229">
        <v>447</v>
      </c>
      <c r="B12229" t="s">
        <v>3560</v>
      </c>
      <c r="C12229" t="s">
        <v>75</v>
      </c>
      <c r="D12229" t="s">
        <v>247</v>
      </c>
      <c r="E12229">
        <f t="shared" ref="E12229:E12243" si="578">1/71</f>
        <v>1.4084507042253521E-2</v>
      </c>
      <c r="F12229">
        <v>121</v>
      </c>
      <c r="G12229">
        <f>LOG(382/(121+1))</f>
        <v>0.49570353223696051</v>
      </c>
      <c r="H12229">
        <f>0.0140845070422535*1.14139956387331</f>
        <v>1.6076050195398709E-2</v>
      </c>
      <c r="I12229">
        <v>1.6076050195398851E-2</v>
      </c>
    </row>
    <row r="12230" spans="1:9" x14ac:dyDescent="0.25">
      <c r="A12230">
        <v>447</v>
      </c>
      <c r="B12230" t="s">
        <v>3560</v>
      </c>
      <c r="C12230" t="s">
        <v>75</v>
      </c>
      <c r="D12230" t="s">
        <v>89</v>
      </c>
      <c r="E12230">
        <f t="shared" si="578"/>
        <v>1.4084507042253521E-2</v>
      </c>
      <c r="F12230">
        <v>40</v>
      </c>
      <c r="G12230">
        <f>LOG(382/(40+1))</f>
        <v>0.96927950619197323</v>
      </c>
      <c r="H12230">
        <f>0.0140845070422535*2.23184854190226</f>
        <v>3.1434486505665583E-2</v>
      </c>
      <c r="I12230">
        <v>3.1434486505665743E-2</v>
      </c>
    </row>
    <row r="12231" spans="1:9" x14ac:dyDescent="0.25">
      <c r="A12231">
        <v>447</v>
      </c>
      <c r="B12231" t="s">
        <v>3560</v>
      </c>
      <c r="C12231" t="s">
        <v>75</v>
      </c>
      <c r="D12231" t="s">
        <v>42</v>
      </c>
      <c r="E12231">
        <f t="shared" si="578"/>
        <v>1.4084507042253521E-2</v>
      </c>
      <c r="F12231">
        <v>251</v>
      </c>
      <c r="G12231">
        <f>LOG(382/(251+1))</f>
        <v>0.18066282213016463</v>
      </c>
      <c r="H12231">
        <f>0.0140845070422535*0.415991521095151</f>
        <v>5.8590355083823998E-3</v>
      </c>
      <c r="I12231">
        <v>5.8590355083824206E-3</v>
      </c>
    </row>
    <row r="12232" spans="1:9" x14ac:dyDescent="0.25">
      <c r="A12232">
        <v>447</v>
      </c>
      <c r="B12232" t="s">
        <v>3560</v>
      </c>
      <c r="C12232" t="s">
        <v>75</v>
      </c>
      <c r="D12232" t="s">
        <v>1496</v>
      </c>
      <c r="E12232">
        <f t="shared" si="578"/>
        <v>1.4084507042253521E-2</v>
      </c>
      <c r="F12232">
        <v>39</v>
      </c>
      <c r="G12232">
        <f>LOG(382/(39+1))</f>
        <v>0.9800033715837464</v>
      </c>
      <c r="H12232">
        <f>0.0140845070422535*2.25654115449263</f>
        <v>3.1782269781586291E-2</v>
      </c>
      <c r="I12232">
        <v>3.1782269781586457E-2</v>
      </c>
    </row>
    <row r="12233" spans="1:9" x14ac:dyDescent="0.25">
      <c r="A12233">
        <v>447</v>
      </c>
      <c r="B12233" t="s">
        <v>3560</v>
      </c>
      <c r="C12233" t="s">
        <v>75</v>
      </c>
      <c r="D12233" t="s">
        <v>3562</v>
      </c>
      <c r="E12233">
        <f t="shared" si="578"/>
        <v>1.4084507042253521E-2</v>
      </c>
      <c r="F12233">
        <v>2</v>
      </c>
      <c r="G12233">
        <f>LOG(382/(2+1))</f>
        <v>2.1049421081920463</v>
      </c>
      <c r="H12233">
        <f>0.0140845070422535*4.84680831993846</f>
        <v>6.8264905914626098E-2</v>
      </c>
      <c r="I12233">
        <v>6.8264905914626278E-2</v>
      </c>
    </row>
    <row r="12234" spans="1:9" x14ac:dyDescent="0.25">
      <c r="A12234">
        <v>447</v>
      </c>
      <c r="B12234" t="s">
        <v>3560</v>
      </c>
      <c r="C12234" t="s">
        <v>75</v>
      </c>
      <c r="D12234" t="s">
        <v>3563</v>
      </c>
      <c r="E12234">
        <f t="shared" si="578"/>
        <v>1.4084507042253521E-2</v>
      </c>
      <c r="F12234">
        <v>2</v>
      </c>
      <c r="G12234">
        <f>LOG(382/(2+1))</f>
        <v>2.1049421081920463</v>
      </c>
      <c r="H12234">
        <f>0.0140845070422535*4.84680831993846</f>
        <v>6.8264905914626098E-2</v>
      </c>
      <c r="I12234">
        <v>6.8264905914626278E-2</v>
      </c>
    </row>
    <row r="12235" spans="1:9" x14ac:dyDescent="0.25">
      <c r="A12235">
        <v>447</v>
      </c>
      <c r="B12235" t="s">
        <v>3560</v>
      </c>
      <c r="C12235" t="s">
        <v>75</v>
      </c>
      <c r="D12235" t="s">
        <v>3241</v>
      </c>
      <c r="E12235">
        <f t="shared" si="578"/>
        <v>1.4084507042253521E-2</v>
      </c>
      <c r="F12235">
        <v>9</v>
      </c>
      <c r="G12235">
        <f>LOG(382/(9+1))</f>
        <v>1.5820633629117087</v>
      </c>
      <c r="H12235">
        <f>0.0140845070422535*3.64283551561252</f>
        <v>5.13075424734157E-2</v>
      </c>
      <c r="I12235">
        <v>5.1307542473415908E-2</v>
      </c>
    </row>
    <row r="12236" spans="1:9" x14ac:dyDescent="0.25">
      <c r="A12236">
        <v>447</v>
      </c>
      <c r="B12236" t="s">
        <v>3560</v>
      </c>
      <c r="C12236" t="s">
        <v>75</v>
      </c>
      <c r="D12236" t="s">
        <v>3564</v>
      </c>
      <c r="E12236">
        <f t="shared" si="578"/>
        <v>1.4084507042253521E-2</v>
      </c>
      <c r="F12236">
        <v>1</v>
      </c>
      <c r="G12236">
        <f>LOG(382/(1+1))</f>
        <v>2.2810333672477277</v>
      </c>
      <c r="H12236">
        <f>0.0140845070422535*5.25227342804663</f>
        <v>7.3975682085163696E-2</v>
      </c>
      <c r="I12236">
        <v>7.3975682085163807E-2</v>
      </c>
    </row>
    <row r="12237" spans="1:9" x14ac:dyDescent="0.25">
      <c r="A12237">
        <v>447</v>
      </c>
      <c r="B12237" t="s">
        <v>3560</v>
      </c>
      <c r="C12237" t="s">
        <v>75</v>
      </c>
      <c r="D12237" t="s">
        <v>920</v>
      </c>
      <c r="E12237">
        <f t="shared" si="578"/>
        <v>1.4084507042253521E-2</v>
      </c>
      <c r="F12237">
        <v>30</v>
      </c>
      <c r="G12237">
        <f>LOG(382/(30+1))</f>
        <v>1.090701669077436</v>
      </c>
      <c r="H12237">
        <f>0.0140845070422535*2.51143340412142</f>
        <v>3.5372301466498821E-2</v>
      </c>
      <c r="I12237">
        <v>3.5372301466499001E-2</v>
      </c>
    </row>
    <row r="12238" spans="1:9" x14ac:dyDescent="0.25">
      <c r="A12238">
        <v>447</v>
      </c>
      <c r="B12238" t="s">
        <v>3560</v>
      </c>
      <c r="C12238" t="s">
        <v>75</v>
      </c>
      <c r="D12238" t="s">
        <v>19</v>
      </c>
      <c r="E12238">
        <f t="shared" si="578"/>
        <v>1.4084507042253521E-2</v>
      </c>
      <c r="F12238">
        <v>220</v>
      </c>
      <c r="G12238">
        <f>LOG(382/(220+1))</f>
        <v>0.23767108922659805</v>
      </c>
      <c r="H12238">
        <f>0.0140845070422535*0.547257907088822</f>
        <v>7.7078578463214264E-3</v>
      </c>
      <c r="I12238">
        <v>7.707857846321442E-3</v>
      </c>
    </row>
    <row r="12239" spans="1:9" x14ac:dyDescent="0.25">
      <c r="A12239">
        <v>447</v>
      </c>
      <c r="B12239" t="s">
        <v>3560</v>
      </c>
      <c r="C12239" t="s">
        <v>75</v>
      </c>
      <c r="D12239" t="s">
        <v>3565</v>
      </c>
      <c r="E12239">
        <f t="shared" si="578"/>
        <v>1.4084507042253521E-2</v>
      </c>
      <c r="F12239">
        <v>1</v>
      </c>
      <c r="G12239">
        <f>LOG(382/(1+1))</f>
        <v>2.2810333672477277</v>
      </c>
      <c r="H12239">
        <f>0.0140845070422535*5.25227342804663</f>
        <v>7.3975682085163696E-2</v>
      </c>
      <c r="I12239">
        <v>7.3975682085163807E-2</v>
      </c>
    </row>
    <row r="12240" spans="1:9" x14ac:dyDescent="0.25">
      <c r="A12240">
        <v>447</v>
      </c>
      <c r="B12240" t="s">
        <v>3560</v>
      </c>
      <c r="C12240" t="s">
        <v>75</v>
      </c>
      <c r="D12240" t="s">
        <v>22</v>
      </c>
      <c r="E12240">
        <f t="shared" si="578"/>
        <v>1.4084507042253521E-2</v>
      </c>
      <c r="F12240">
        <v>259</v>
      </c>
      <c r="G12240">
        <f>LOG(382/(259+1))</f>
        <v>0.16709001494089079</v>
      </c>
      <c r="H12240">
        <f>0.0140845070422535*0.384738977591047</f>
        <v>5.4188588393105138E-3</v>
      </c>
      <c r="I12240">
        <v>5.4188588393105294E-3</v>
      </c>
    </row>
    <row r="12241" spans="1:9" x14ac:dyDescent="0.25">
      <c r="A12241">
        <v>447</v>
      </c>
      <c r="B12241" t="s">
        <v>3560</v>
      </c>
      <c r="C12241" t="s">
        <v>75</v>
      </c>
      <c r="D12241" t="s">
        <v>23</v>
      </c>
      <c r="E12241">
        <f t="shared" si="578"/>
        <v>1.4084507042253521E-2</v>
      </c>
      <c r="F12241">
        <v>275</v>
      </c>
      <c r="G12241">
        <f>LOG(382/(275+1))</f>
        <v>0.14115428084649101</v>
      </c>
      <c r="H12241">
        <f>0.0140845070422535*0.325019742889425</f>
        <v>4.5777428575975287E-3</v>
      </c>
      <c r="I12241">
        <v>4.5777428575975374E-3</v>
      </c>
    </row>
    <row r="12242" spans="1:9" x14ac:dyDescent="0.25">
      <c r="A12242">
        <v>447</v>
      </c>
      <c r="B12242" t="s">
        <v>3560</v>
      </c>
      <c r="C12242" t="s">
        <v>75</v>
      </c>
      <c r="D12242" t="s">
        <v>3520</v>
      </c>
      <c r="E12242">
        <f t="shared" si="578"/>
        <v>1.4084507042253521E-2</v>
      </c>
      <c r="F12242">
        <v>8</v>
      </c>
      <c r="G12242">
        <f>LOG(382/(8+1))</f>
        <v>1.6278208534723839</v>
      </c>
      <c r="H12242">
        <f>0.0140845070422535*3.74819603127035</f>
        <v>5.2791493398173864E-2</v>
      </c>
      <c r="I12242">
        <v>5.2791493398174023E-2</v>
      </c>
    </row>
    <row r="12243" spans="1:9" x14ac:dyDescent="0.25">
      <c r="A12243">
        <v>447</v>
      </c>
      <c r="B12243" t="s">
        <v>3560</v>
      </c>
      <c r="C12243" t="s">
        <v>75</v>
      </c>
      <c r="D12243" t="s">
        <v>105</v>
      </c>
      <c r="E12243">
        <f t="shared" si="578"/>
        <v>1.4084507042253521E-2</v>
      </c>
      <c r="F12243">
        <v>122</v>
      </c>
      <c r="G12243">
        <f>LOG(382/(122+1))</f>
        <v>0.49215825147231079</v>
      </c>
      <c r="H12243">
        <f>0.0140845070422535*1.13323625323415</f>
        <v>1.5961073989213356E-2</v>
      </c>
      <c r="I12243">
        <v>1.5961073989213492E-2</v>
      </c>
    </row>
    <row r="12244" spans="1:9" x14ac:dyDescent="0.25">
      <c r="A12244">
        <v>447</v>
      </c>
      <c r="B12244" t="s">
        <v>3560</v>
      </c>
      <c r="C12244" t="s">
        <v>75</v>
      </c>
      <c r="D12244" t="s">
        <v>78</v>
      </c>
      <c r="E12244">
        <f>3/71</f>
        <v>4.2253521126760563E-2</v>
      </c>
      <c r="F12244">
        <v>122</v>
      </c>
      <c r="G12244">
        <f>LOG(382/(122+1))</f>
        <v>0.49215825147231079</v>
      </c>
      <c r="H12244">
        <f>0.0422535211267605*1.13323625323415</f>
        <v>4.7883221967640069E-2</v>
      </c>
      <c r="I12244">
        <v>4.7883221967640457E-2</v>
      </c>
    </row>
    <row r="12245" spans="1:9" x14ac:dyDescent="0.25">
      <c r="A12245">
        <v>447</v>
      </c>
      <c r="B12245" t="s">
        <v>3560</v>
      </c>
      <c r="C12245" t="s">
        <v>75</v>
      </c>
      <c r="D12245" t="s">
        <v>754</v>
      </c>
      <c r="E12245">
        <f>3/71</f>
        <v>4.2253521126760563E-2</v>
      </c>
      <c r="F12245">
        <v>111</v>
      </c>
      <c r="G12245">
        <f>LOG(382/(111+1))</f>
        <v>0.53284534024152708</v>
      </c>
      <c r="H12245">
        <f>0.0422535211267605*1.22692173731148</f>
        <v>5.1841763548372319E-2</v>
      </c>
      <c r="I12245">
        <v>5.1841763548372423E-2</v>
      </c>
    </row>
    <row r="12246" spans="1:9" x14ac:dyDescent="0.25">
      <c r="A12246">
        <v>447</v>
      </c>
      <c r="B12246" t="s">
        <v>3560</v>
      </c>
      <c r="C12246" t="s">
        <v>75</v>
      </c>
      <c r="D12246" t="s">
        <v>2238</v>
      </c>
      <c r="E12246">
        <f>2/71</f>
        <v>2.8169014084507043E-2</v>
      </c>
      <c r="F12246">
        <v>68</v>
      </c>
      <c r="G12246">
        <f>LOG(382/(68+1))</f>
        <v>0.74321427217445335</v>
      </c>
      <c r="H12246">
        <f>0.028169014084507*1.71131410400931</f>
        <v>4.8206031098853734E-2</v>
      </c>
      <c r="I12246">
        <v>4.820603109885397E-2</v>
      </c>
    </row>
    <row r="12247" spans="1:9" x14ac:dyDescent="0.25">
      <c r="A12247">
        <v>447</v>
      </c>
      <c r="B12247" t="s">
        <v>3560</v>
      </c>
      <c r="C12247" t="s">
        <v>75</v>
      </c>
      <c r="D12247" t="s">
        <v>1125</v>
      </c>
      <c r="E12247">
        <f>1/71</f>
        <v>1.4084507042253521E-2</v>
      </c>
      <c r="F12247">
        <v>19</v>
      </c>
      <c r="G12247">
        <f>LOG(382/(19+1))</f>
        <v>1.2810333672477277</v>
      </c>
      <c r="H12247">
        <f>0.0140845070422535*2.94968833505258</f>
        <v>4.1544906127501065E-2</v>
      </c>
      <c r="I12247">
        <v>4.154490612750119E-2</v>
      </c>
    </row>
    <row r="12248" spans="1:9" x14ac:dyDescent="0.25">
      <c r="A12248">
        <v>447</v>
      </c>
      <c r="B12248" t="s">
        <v>3560</v>
      </c>
      <c r="C12248" t="s">
        <v>75</v>
      </c>
      <c r="D12248" t="s">
        <v>1080</v>
      </c>
      <c r="E12248">
        <f>3/71</f>
        <v>4.2253521126760563E-2</v>
      </c>
      <c r="F12248">
        <v>26</v>
      </c>
      <c r="G12248">
        <f>LOG(382/(26+1))</f>
        <v>1.1506995987527215</v>
      </c>
      <c r="H12248">
        <f>0.0422535211267605*2.64958374260224</f>
        <v>0.1119542426451649</v>
      </c>
      <c r="I12248">
        <v>0.11195424264516531</v>
      </c>
    </row>
    <row r="12249" spans="1:9" x14ac:dyDescent="0.25">
      <c r="A12249">
        <v>447</v>
      </c>
      <c r="B12249" t="s">
        <v>3560</v>
      </c>
      <c r="C12249" t="s">
        <v>75</v>
      </c>
      <c r="D12249" t="s">
        <v>3566</v>
      </c>
      <c r="E12249">
        <f>1/71</f>
        <v>1.4084507042253521E-2</v>
      </c>
      <c r="F12249">
        <v>1</v>
      </c>
      <c r="G12249">
        <f>LOG(382/(1+1))</f>
        <v>2.2810333672477277</v>
      </c>
      <c r="H12249">
        <f>0.0140845070422535*5.25227342804663</f>
        <v>7.3975682085163696E-2</v>
      </c>
      <c r="I12249">
        <v>7.3975682085163807E-2</v>
      </c>
    </row>
    <row r="12250" spans="1:9" x14ac:dyDescent="0.25">
      <c r="A12250">
        <v>447</v>
      </c>
      <c r="B12250" t="s">
        <v>3560</v>
      </c>
      <c r="C12250" t="s">
        <v>75</v>
      </c>
      <c r="D12250" t="s">
        <v>1769</v>
      </c>
      <c r="E12250">
        <f>2/71</f>
        <v>2.8169014084507043E-2</v>
      </c>
      <c r="F12250">
        <v>84</v>
      </c>
      <c r="G12250">
        <f>LOG(382/(84+1))</f>
        <v>0.65264443719741605</v>
      </c>
      <c r="H12250">
        <f>0.028169014084507*1.50276935211625</f>
        <v>4.2331531045528108E-2</v>
      </c>
      <c r="I12250">
        <v>4.233153104552842E-2</v>
      </c>
    </row>
    <row r="12251" spans="1:9" x14ac:dyDescent="0.25">
      <c r="A12251">
        <v>447</v>
      </c>
      <c r="B12251" t="s">
        <v>3560</v>
      </c>
      <c r="C12251" t="s">
        <v>75</v>
      </c>
      <c r="D12251" t="s">
        <v>3567</v>
      </c>
      <c r="E12251">
        <f>1/71</f>
        <v>1.4084507042253521E-2</v>
      </c>
      <c r="F12251">
        <v>1</v>
      </c>
      <c r="G12251">
        <f>LOG(382/(1+1))</f>
        <v>2.2810333672477277</v>
      </c>
      <c r="H12251">
        <f>0.0140845070422535*5.25227342804663</f>
        <v>7.3975682085163696E-2</v>
      </c>
      <c r="I12251">
        <v>7.3975682085163807E-2</v>
      </c>
    </row>
    <row r="12252" spans="1:9" x14ac:dyDescent="0.25">
      <c r="A12252">
        <v>447</v>
      </c>
      <c r="B12252" t="s">
        <v>3560</v>
      </c>
      <c r="C12252" t="s">
        <v>75</v>
      </c>
      <c r="D12252" t="s">
        <v>243</v>
      </c>
      <c r="E12252">
        <f>1/71</f>
        <v>1.4084507042253521E-2</v>
      </c>
      <c r="F12252">
        <v>131</v>
      </c>
      <c r="G12252">
        <f>LOG(382/(131+1))</f>
        <v>0.46148943170585888</v>
      </c>
      <c r="H12252">
        <f>0.0140845070422535*1.0626186860202</f>
        <v>1.4966460366481669E-2</v>
      </c>
      <c r="I12252">
        <v>1.496646036648175E-2</v>
      </c>
    </row>
    <row r="12253" spans="1:9" x14ac:dyDescent="0.25">
      <c r="A12253">
        <v>447</v>
      </c>
      <c r="B12253" t="s">
        <v>3560</v>
      </c>
      <c r="C12253" t="s">
        <v>75</v>
      </c>
      <c r="D12253" t="s">
        <v>453</v>
      </c>
      <c r="E12253">
        <f>1/71</f>
        <v>1.4084507042253521E-2</v>
      </c>
      <c r="F12253">
        <v>68</v>
      </c>
      <c r="G12253">
        <f>LOG(382/(68+1))</f>
        <v>0.74321427217445335</v>
      </c>
      <c r="H12253">
        <f>0.0140845070422535*1.71131410400931</f>
        <v>2.4103015549426867E-2</v>
      </c>
      <c r="I12253">
        <v>2.4103015549426988E-2</v>
      </c>
    </row>
    <row r="12254" spans="1:9" x14ac:dyDescent="0.25">
      <c r="A12254">
        <v>447</v>
      </c>
      <c r="B12254" t="s">
        <v>3560</v>
      </c>
      <c r="C12254" t="s">
        <v>75</v>
      </c>
      <c r="D12254" t="s">
        <v>183</v>
      </c>
      <c r="E12254">
        <f>2/71</f>
        <v>2.8169014084507043E-2</v>
      </c>
      <c r="F12254">
        <v>46</v>
      </c>
      <c r="G12254">
        <f>LOG(382/(46+1))</f>
        <v>0.90996550497599127</v>
      </c>
      <c r="H12254">
        <f>0.028169014084507*2.09527300689651</f>
        <v>5.9021774842155129E-2</v>
      </c>
      <c r="I12254">
        <v>5.9021774842155393E-2</v>
      </c>
    </row>
    <row r="12255" spans="1:9" x14ac:dyDescent="0.25">
      <c r="A12255">
        <v>447</v>
      </c>
      <c r="B12255" t="s">
        <v>3560</v>
      </c>
      <c r="C12255" t="s">
        <v>75</v>
      </c>
      <c r="D12255" t="s">
        <v>3568</v>
      </c>
      <c r="E12255">
        <f>1/71</f>
        <v>1.4084507042253521E-2</v>
      </c>
      <c r="F12255">
        <v>1</v>
      </c>
      <c r="G12255">
        <f>LOG(382/(1+1))</f>
        <v>2.2810333672477277</v>
      </c>
      <c r="H12255">
        <f>0.0140845070422535*5.25227342804663</f>
        <v>7.3975682085163696E-2</v>
      </c>
      <c r="I12255">
        <v>7.3975682085163807E-2</v>
      </c>
    </row>
    <row r="12256" spans="1:9" x14ac:dyDescent="0.25">
      <c r="A12256">
        <v>447</v>
      </c>
      <c r="B12256" t="s">
        <v>3560</v>
      </c>
      <c r="C12256" t="s">
        <v>75</v>
      </c>
      <c r="D12256" t="s">
        <v>456</v>
      </c>
      <c r="E12256">
        <f>1/71</f>
        <v>1.4084507042253521E-2</v>
      </c>
      <c r="F12256">
        <v>71</v>
      </c>
      <c r="G12256">
        <f>LOG(382/(71+1))</f>
        <v>0.72473086648044027</v>
      </c>
      <c r="H12256">
        <f>0.0140845070422535*1.66875448959051</f>
        <v>2.3503584360429684E-2</v>
      </c>
      <c r="I12256">
        <v>2.3503584360429861E-2</v>
      </c>
    </row>
    <row r="12257" spans="1:9" x14ac:dyDescent="0.25">
      <c r="A12257">
        <v>447</v>
      </c>
      <c r="B12257" t="s">
        <v>3560</v>
      </c>
      <c r="C12257" t="s">
        <v>75</v>
      </c>
      <c r="D12257" t="s">
        <v>1779</v>
      </c>
      <c r="E12257">
        <f>1/71</f>
        <v>1.4084507042253521E-2</v>
      </c>
      <c r="F12257">
        <v>41</v>
      </c>
      <c r="G12257">
        <f>LOG(382/(41+1))</f>
        <v>0.95881407251380824</v>
      </c>
      <c r="H12257">
        <f>0.0140845070422535*2.2077509903232</f>
        <v>3.1095084370749253E-2</v>
      </c>
      <c r="I12257">
        <v>3.1095084370749392E-2</v>
      </c>
    </row>
    <row r="12258" spans="1:9" x14ac:dyDescent="0.25">
      <c r="A12258">
        <v>447</v>
      </c>
      <c r="B12258" t="s">
        <v>3560</v>
      </c>
      <c r="C12258" t="s">
        <v>75</v>
      </c>
      <c r="D12258" t="s">
        <v>3569</v>
      </c>
      <c r="E12258">
        <f>1/71</f>
        <v>1.4084507042253521E-2</v>
      </c>
      <c r="F12258">
        <v>1</v>
      </c>
      <c r="G12258">
        <f>LOG(382/(1+1))</f>
        <v>2.2810333672477277</v>
      </c>
      <c r="H12258">
        <f>0.0140845070422535*5.25227342804663</f>
        <v>7.3975682085163696E-2</v>
      </c>
      <c r="I12258">
        <v>7.3975682085163807E-2</v>
      </c>
    </row>
    <row r="12259" spans="1:9" x14ac:dyDescent="0.25">
      <c r="A12259">
        <v>447</v>
      </c>
      <c r="B12259" t="s">
        <v>3560</v>
      </c>
      <c r="C12259" t="s">
        <v>75</v>
      </c>
      <c r="D12259" t="s">
        <v>361</v>
      </c>
      <c r="E12259">
        <f>2/71</f>
        <v>2.8169014084507043E-2</v>
      </c>
      <c r="F12259">
        <v>118</v>
      </c>
      <c r="G12259">
        <f>LOG(382/(118+1))</f>
        <v>0.50651640151917798</v>
      </c>
      <c r="H12259">
        <f>0.028169014084507*1.16629711549504</f>
        <v>3.2853439873099667E-2</v>
      </c>
      <c r="I12259">
        <v>3.2853439873099882E-2</v>
      </c>
    </row>
    <row r="12260" spans="1:9" x14ac:dyDescent="0.25">
      <c r="A12260">
        <v>447</v>
      </c>
      <c r="B12260" t="s">
        <v>3560</v>
      </c>
      <c r="C12260" t="s">
        <v>75</v>
      </c>
      <c r="D12260" t="s">
        <v>434</v>
      </c>
      <c r="E12260">
        <f t="shared" ref="E12260:E12271" si="579">1/71</f>
        <v>1.4084507042253521E-2</v>
      </c>
      <c r="F12260">
        <v>97</v>
      </c>
      <c r="G12260">
        <f>LOG(382/(97+1))</f>
        <v>0.59083728721921391</v>
      </c>
      <c r="H12260">
        <f>0.0140845070422535*1.360453129936</f>
        <v>1.9161311689239409E-2</v>
      </c>
      <c r="I12260">
        <v>1.9161311689239478E-2</v>
      </c>
    </row>
    <row r="12261" spans="1:9" x14ac:dyDescent="0.25">
      <c r="A12261">
        <v>447</v>
      </c>
      <c r="B12261" t="s">
        <v>3560</v>
      </c>
      <c r="C12261" t="s">
        <v>75</v>
      </c>
      <c r="D12261" t="s">
        <v>3325</v>
      </c>
      <c r="E12261">
        <f t="shared" si="579"/>
        <v>1.4084507042253521E-2</v>
      </c>
      <c r="F12261">
        <v>19</v>
      </c>
      <c r="G12261">
        <f>LOG(382/(19+1))</f>
        <v>1.2810333672477277</v>
      </c>
      <c r="H12261">
        <f>0.0140845070422535*2.94968833505258</f>
        <v>4.1544906127501065E-2</v>
      </c>
      <c r="I12261">
        <v>4.154490612750119E-2</v>
      </c>
    </row>
    <row r="12262" spans="1:9" x14ac:dyDescent="0.25">
      <c r="A12262">
        <v>447</v>
      </c>
      <c r="B12262" t="s">
        <v>3560</v>
      </c>
      <c r="C12262" t="s">
        <v>75</v>
      </c>
      <c r="D12262" t="s">
        <v>3327</v>
      </c>
      <c r="E12262">
        <f t="shared" si="579"/>
        <v>1.4084507042253521E-2</v>
      </c>
      <c r="F12262">
        <v>21</v>
      </c>
      <c r="G12262">
        <f>LOG(382/(21+1))</f>
        <v>1.2396406820895025</v>
      </c>
      <c r="H12262">
        <f>0.0140845070422535*2.85437815524825</f>
        <v>4.0202509228848535E-2</v>
      </c>
      <c r="I12262">
        <v>4.0202509228848722E-2</v>
      </c>
    </row>
    <row r="12263" spans="1:9" x14ac:dyDescent="0.25">
      <c r="A12263">
        <v>447</v>
      </c>
      <c r="B12263" t="s">
        <v>3560</v>
      </c>
      <c r="C12263" t="s">
        <v>75</v>
      </c>
      <c r="D12263" t="s">
        <v>2035</v>
      </c>
      <c r="E12263">
        <f t="shared" si="579"/>
        <v>1.4084507042253521E-2</v>
      </c>
      <c r="F12263">
        <v>13</v>
      </c>
      <c r="G12263">
        <f>LOG(382/(13+1))</f>
        <v>1.4359353272334707</v>
      </c>
      <c r="H12263">
        <f>0.0140845070422535*3.30636327899131</f>
        <v>4.6568496887201487E-2</v>
      </c>
      <c r="I12263">
        <v>4.6568496887201639E-2</v>
      </c>
    </row>
    <row r="12264" spans="1:9" x14ac:dyDescent="0.25">
      <c r="A12264">
        <v>447</v>
      </c>
      <c r="B12264" t="s">
        <v>3560</v>
      </c>
      <c r="C12264" t="s">
        <v>75</v>
      </c>
      <c r="D12264" t="s">
        <v>3570</v>
      </c>
      <c r="E12264">
        <f t="shared" si="579"/>
        <v>1.4084507042253521E-2</v>
      </c>
      <c r="F12264">
        <v>1</v>
      </c>
      <c r="G12264">
        <f>LOG(382/(1+1))</f>
        <v>2.2810333672477277</v>
      </c>
      <c r="H12264">
        <f>0.0140845070422535*5.25227342804663</f>
        <v>7.3975682085163696E-2</v>
      </c>
      <c r="I12264">
        <v>7.3975682085163807E-2</v>
      </c>
    </row>
    <row r="12265" spans="1:9" x14ac:dyDescent="0.25">
      <c r="A12265">
        <v>447</v>
      </c>
      <c r="B12265" t="s">
        <v>3560</v>
      </c>
      <c r="C12265" t="s">
        <v>75</v>
      </c>
      <c r="D12265" t="s">
        <v>322</v>
      </c>
      <c r="E12265">
        <f t="shared" si="579"/>
        <v>1.4084507042253521E-2</v>
      </c>
      <c r="F12265">
        <v>128</v>
      </c>
      <c r="G12265">
        <f>LOG(382/(128+1))</f>
        <v>0.47147365261245977</v>
      </c>
      <c r="H12265">
        <f>0.0140845070422535*1.0856082042449</f>
        <v>1.529025639781547E-2</v>
      </c>
      <c r="I12265">
        <v>1.529025639781554E-2</v>
      </c>
    </row>
    <row r="12266" spans="1:9" x14ac:dyDescent="0.25">
      <c r="A12266">
        <v>447</v>
      </c>
      <c r="B12266" t="s">
        <v>3560</v>
      </c>
      <c r="C12266" t="s">
        <v>75</v>
      </c>
      <c r="D12266" t="s">
        <v>324</v>
      </c>
      <c r="E12266">
        <f t="shared" si="579"/>
        <v>1.4084507042253521E-2</v>
      </c>
      <c r="F12266">
        <v>82</v>
      </c>
      <c r="G12266">
        <f>LOG(382/(82+1))</f>
        <v>0.66298527053563483</v>
      </c>
      <c r="H12266">
        <f>0.0140845070422535*1.52658000080997</f>
        <v>2.1501126771971375E-2</v>
      </c>
      <c r="I12266">
        <v>2.150112677197151E-2</v>
      </c>
    </row>
    <row r="12267" spans="1:9" x14ac:dyDescent="0.25">
      <c r="A12267">
        <v>447</v>
      </c>
      <c r="B12267" t="s">
        <v>3560</v>
      </c>
      <c r="C12267" t="s">
        <v>75</v>
      </c>
      <c r="D12267" t="s">
        <v>1222</v>
      </c>
      <c r="E12267">
        <f t="shared" si="579"/>
        <v>1.4084507042253521E-2</v>
      </c>
      <c r="F12267">
        <v>56</v>
      </c>
      <c r="G12267">
        <f>LOG(382/(56+1))</f>
        <v>0.82618850723921733</v>
      </c>
      <c r="H12267">
        <f>0.0140845070422535*1.90236934077202</f>
        <v>2.6793934377070665E-2</v>
      </c>
      <c r="I12267">
        <v>2.6793934377070779E-2</v>
      </c>
    </row>
    <row r="12268" spans="1:9" x14ac:dyDescent="0.25">
      <c r="A12268">
        <v>447</v>
      </c>
      <c r="B12268" t="s">
        <v>3560</v>
      </c>
      <c r="C12268" t="s">
        <v>75</v>
      </c>
      <c r="D12268" t="s">
        <v>485</v>
      </c>
      <c r="E12268">
        <f t="shared" si="579"/>
        <v>1.4084507042253521E-2</v>
      </c>
      <c r="F12268">
        <v>74</v>
      </c>
      <c r="G12268">
        <f>LOG(382/(74+1))</f>
        <v>0.7070020995200087</v>
      </c>
      <c r="H12268">
        <f>0.0140845070422535*1.62793249507026</f>
        <v>2.292862669113039E-2</v>
      </c>
      <c r="I12268">
        <v>2.292862669113049E-2</v>
      </c>
    </row>
    <row r="12269" spans="1:9" x14ac:dyDescent="0.25">
      <c r="A12269">
        <v>447</v>
      </c>
      <c r="B12269" t="s">
        <v>3560</v>
      </c>
      <c r="C12269" t="s">
        <v>75</v>
      </c>
      <c r="D12269" t="s">
        <v>98</v>
      </c>
      <c r="E12269">
        <f t="shared" si="579"/>
        <v>1.4084507042253521E-2</v>
      </c>
      <c r="F12269">
        <v>56</v>
      </c>
      <c r="G12269">
        <f>LOG(382/(56+1))</f>
        <v>0.82618850723921733</v>
      </c>
      <c r="H12269">
        <f>0.0140845070422535*1.90236934077202</f>
        <v>2.6793934377070665E-2</v>
      </c>
      <c r="I12269">
        <v>2.6793934377070779E-2</v>
      </c>
    </row>
    <row r="12270" spans="1:9" x14ac:dyDescent="0.25">
      <c r="A12270">
        <v>447</v>
      </c>
      <c r="B12270" t="s">
        <v>3560</v>
      </c>
      <c r="C12270" t="s">
        <v>75</v>
      </c>
      <c r="D12270" t="s">
        <v>50</v>
      </c>
      <c r="E12270">
        <f t="shared" si="579"/>
        <v>1.4084507042253521E-2</v>
      </c>
      <c r="F12270">
        <v>109</v>
      </c>
      <c r="G12270">
        <f>LOG(382/(109+1))</f>
        <v>0.54067067775348365</v>
      </c>
      <c r="H12270">
        <f>0.0140845070422535*1.24494024281415</f>
        <v>1.7534369617100681E-2</v>
      </c>
      <c r="I12270">
        <v>1.753436961710083E-2</v>
      </c>
    </row>
    <row r="12271" spans="1:9" x14ac:dyDescent="0.25">
      <c r="A12271">
        <v>447</v>
      </c>
      <c r="B12271" t="s">
        <v>3560</v>
      </c>
      <c r="C12271" t="s">
        <v>75</v>
      </c>
      <c r="D12271" t="s">
        <v>2178</v>
      </c>
      <c r="E12271">
        <f t="shared" si="579"/>
        <v>1.4084507042253521E-2</v>
      </c>
      <c r="F12271">
        <v>11</v>
      </c>
      <c r="G12271">
        <f>LOG(382/(11+1))</f>
        <v>1.5028821168640838</v>
      </c>
      <c r="H12271">
        <f>0.0140845070422535*3.46051395881857</f>
        <v>4.8739633222796688E-2</v>
      </c>
      <c r="I12271">
        <v>4.8739633222796827E-2</v>
      </c>
    </row>
    <row r="12272" spans="1:9" x14ac:dyDescent="0.25">
      <c r="A12272">
        <v>447</v>
      </c>
      <c r="B12272" t="s">
        <v>3560</v>
      </c>
      <c r="C12272" t="s">
        <v>75</v>
      </c>
      <c r="D12272" t="s">
        <v>44</v>
      </c>
      <c r="E12272">
        <f>2/71</f>
        <v>2.8169014084507043E-2</v>
      </c>
      <c r="F12272">
        <v>151</v>
      </c>
      <c r="G12272">
        <f>LOG(382/(151+1))</f>
        <v>0.40021977496693617</v>
      </c>
      <c r="H12272">
        <f>0.028169014084507*0.921540087760298</f>
        <v>2.5958875711557652E-2</v>
      </c>
      <c r="I12272">
        <v>2.5958875711557711E-2</v>
      </c>
    </row>
    <row r="12273" spans="1:9" x14ac:dyDescent="0.25">
      <c r="A12273">
        <v>447</v>
      </c>
      <c r="B12273" t="s">
        <v>3560</v>
      </c>
      <c r="C12273" t="s">
        <v>75</v>
      </c>
      <c r="D12273" t="s">
        <v>1738</v>
      </c>
      <c r="E12273">
        <f>1/71</f>
        <v>1.4084507042253521E-2</v>
      </c>
      <c r="F12273">
        <v>24</v>
      </c>
      <c r="G12273">
        <f>LOG(382/(24+1))</f>
        <v>1.1841233542396712</v>
      </c>
      <c r="H12273">
        <f>0.0140845070422535*2.72654478373837</f>
        <v>3.8402039207582617E-2</v>
      </c>
      <c r="I12273">
        <v>3.8402039207582728E-2</v>
      </c>
    </row>
    <row r="12274" spans="1:9" x14ac:dyDescent="0.25">
      <c r="A12274">
        <v>447</v>
      </c>
      <c r="B12274" t="s">
        <v>3560</v>
      </c>
      <c r="C12274" t="s">
        <v>75</v>
      </c>
      <c r="D12274" t="s">
        <v>1739</v>
      </c>
      <c r="E12274">
        <f>2/71</f>
        <v>2.8169014084507043E-2</v>
      </c>
      <c r="F12274">
        <v>30</v>
      </c>
      <c r="G12274">
        <f>LOG(382/(30+1))</f>
        <v>1.090701669077436</v>
      </c>
      <c r="H12274">
        <f>0.028169014084507*2.51143340412142</f>
        <v>7.0744602932997641E-2</v>
      </c>
      <c r="I12274">
        <v>7.0744602932998002E-2</v>
      </c>
    </row>
    <row r="12275" spans="1:9" x14ac:dyDescent="0.25">
      <c r="A12275">
        <v>447</v>
      </c>
      <c r="B12275" t="s">
        <v>3560</v>
      </c>
      <c r="C12275" t="s">
        <v>75</v>
      </c>
      <c r="D12275" t="s">
        <v>3335</v>
      </c>
      <c r="E12275">
        <f>1/71</f>
        <v>1.4084507042253521E-2</v>
      </c>
      <c r="F12275">
        <v>16</v>
      </c>
      <c r="G12275">
        <f>LOG(382/(16+1))</f>
        <v>1.3516144415334348</v>
      </c>
      <c r="H12275">
        <f>0.0140845070422535*3.11220726455035</f>
        <v>4.3833905134511908E-2</v>
      </c>
      <c r="I12275">
        <v>4.3833905134512102E-2</v>
      </c>
    </row>
    <row r="12276" spans="1:9" x14ac:dyDescent="0.25">
      <c r="A12276">
        <v>447</v>
      </c>
      <c r="B12276" t="s">
        <v>3560</v>
      </c>
      <c r="C12276" t="s">
        <v>75</v>
      </c>
      <c r="D12276" t="s">
        <v>746</v>
      </c>
      <c r="E12276">
        <f>1/71</f>
        <v>1.4084507042253521E-2</v>
      </c>
      <c r="F12276">
        <v>58</v>
      </c>
      <c r="G12276">
        <f>LOG(382/(58+1))</f>
        <v>0.81121135126956456</v>
      </c>
      <c r="H12276">
        <f>0.0140845070422535*1.86788316470085</f>
        <v>2.6308213587335878E-2</v>
      </c>
      <c r="I12276">
        <v>2.6308213587336E-2</v>
      </c>
    </row>
    <row r="12277" spans="1:9" x14ac:dyDescent="0.25">
      <c r="A12277">
        <v>447</v>
      </c>
      <c r="B12277" t="s">
        <v>3560</v>
      </c>
      <c r="C12277" t="s">
        <v>75</v>
      </c>
      <c r="D12277" t="s">
        <v>133</v>
      </c>
      <c r="E12277">
        <f>1/71</f>
        <v>1.4084507042253521E-2</v>
      </c>
      <c r="F12277">
        <v>142</v>
      </c>
      <c r="G12277">
        <f>LOG(382/(142+1))</f>
        <v>0.42672732544664693</v>
      </c>
      <c r="H12277">
        <f>0.0140845070422535*0.982575978346667</f>
        <v>1.3839098286572754E-2</v>
      </c>
      <c r="I12277">
        <v>1.3839098286572789E-2</v>
      </c>
    </row>
    <row r="12278" spans="1:9" x14ac:dyDescent="0.25">
      <c r="A12278">
        <v>447</v>
      </c>
      <c r="B12278" t="s">
        <v>3560</v>
      </c>
      <c r="C12278" t="s">
        <v>75</v>
      </c>
      <c r="D12278" t="s">
        <v>126</v>
      </c>
      <c r="E12278">
        <f>1/71</f>
        <v>1.4084507042253521E-2</v>
      </c>
      <c r="F12278">
        <v>79</v>
      </c>
      <c r="G12278">
        <f>LOG(382/(79+1))</f>
        <v>0.67897337591976514</v>
      </c>
      <c r="H12278">
        <f>0.0140845070422535*1.56339397393269</f>
        <v>2.2019633435671659E-2</v>
      </c>
      <c r="I12278">
        <v>2.2019633435671739E-2</v>
      </c>
    </row>
    <row r="12279" spans="1:9" x14ac:dyDescent="0.25">
      <c r="A12279">
        <v>447</v>
      </c>
      <c r="B12279" t="s">
        <v>3560</v>
      </c>
      <c r="C12279" t="s">
        <v>75</v>
      </c>
      <c r="D12279" t="s">
        <v>201</v>
      </c>
      <c r="E12279">
        <f>1/71</f>
        <v>1.4084507042253521E-2</v>
      </c>
      <c r="F12279">
        <v>72</v>
      </c>
      <c r="G12279">
        <f>LOG(382/(72+1))</f>
        <v>0.71874050279125279</v>
      </c>
      <c r="H12279">
        <f>0.0140845070422535*1.65496116745818</f>
        <v>2.3309312217720809E-2</v>
      </c>
      <c r="I12279">
        <v>2.3309312217720899E-2</v>
      </c>
    </row>
    <row r="12280" spans="1:9" x14ac:dyDescent="0.25">
      <c r="A12280">
        <v>448</v>
      </c>
      <c r="B12280" t="s">
        <v>3571</v>
      </c>
      <c r="C12280" t="s">
        <v>75</v>
      </c>
      <c r="D12280" t="s">
        <v>456</v>
      </c>
      <c r="E12280">
        <f t="shared" ref="E12280:E12295" si="580">1/42</f>
        <v>2.3809523809523808E-2</v>
      </c>
      <c r="F12280">
        <v>71</v>
      </c>
      <c r="G12280">
        <f>LOG(382/(71+1))</f>
        <v>0.72473086648044027</v>
      </c>
      <c r="H12280">
        <f>0.0238095238095238*1.66875448959051</f>
        <v>3.9732249752154988E-2</v>
      </c>
      <c r="I12280">
        <v>3.9732249752155231E-2</v>
      </c>
    </row>
    <row r="12281" spans="1:9" x14ac:dyDescent="0.25">
      <c r="A12281">
        <v>448</v>
      </c>
      <c r="B12281" t="s">
        <v>3571</v>
      </c>
      <c r="C12281" t="s">
        <v>75</v>
      </c>
      <c r="D12281" t="s">
        <v>3572</v>
      </c>
      <c r="E12281">
        <f t="shared" si="580"/>
        <v>2.3809523809523808E-2</v>
      </c>
      <c r="F12281">
        <v>2</v>
      </c>
      <c r="G12281">
        <f>LOG(382/(2+1))</f>
        <v>2.1049421081920463</v>
      </c>
      <c r="H12281">
        <f>0.0238095238095238*4.84680831993846</f>
        <v>0.11540019809377282</v>
      </c>
      <c r="I12281">
        <v>0.115400198093773</v>
      </c>
    </row>
    <row r="12282" spans="1:9" x14ac:dyDescent="0.25">
      <c r="A12282">
        <v>448</v>
      </c>
      <c r="B12282" t="s">
        <v>3571</v>
      </c>
      <c r="C12282" t="s">
        <v>75</v>
      </c>
      <c r="D12282" t="s">
        <v>3573</v>
      </c>
      <c r="E12282">
        <f t="shared" si="580"/>
        <v>2.3809523809523808E-2</v>
      </c>
      <c r="F12282">
        <v>3</v>
      </c>
      <c r="G12282">
        <f>LOG(382/(3+1))</f>
        <v>1.9800033715837464</v>
      </c>
      <c r="H12282">
        <f>0.0238095238095238*4.55912624748668</f>
        <v>0.108550624940159</v>
      </c>
      <c r="I12282">
        <v>0.1085506249401591</v>
      </c>
    </row>
    <row r="12283" spans="1:9" x14ac:dyDescent="0.25">
      <c r="A12283">
        <v>448</v>
      </c>
      <c r="B12283" t="s">
        <v>3571</v>
      </c>
      <c r="C12283" t="s">
        <v>75</v>
      </c>
      <c r="D12283" t="s">
        <v>361</v>
      </c>
      <c r="E12283">
        <f t="shared" si="580"/>
        <v>2.3809523809523808E-2</v>
      </c>
      <c r="F12283">
        <v>118</v>
      </c>
      <c r="G12283">
        <f>LOG(382/(118+1))</f>
        <v>0.50651640151917798</v>
      </c>
      <c r="H12283">
        <f>0.0238095238095238*1.16629711549504</f>
        <v>2.7768978940358083E-2</v>
      </c>
      <c r="I12283">
        <v>2.7768978940358239E-2</v>
      </c>
    </row>
    <row r="12284" spans="1:9" x14ac:dyDescent="0.25">
      <c r="A12284">
        <v>448</v>
      </c>
      <c r="B12284" t="s">
        <v>3571</v>
      </c>
      <c r="C12284" t="s">
        <v>75</v>
      </c>
      <c r="D12284" t="s">
        <v>434</v>
      </c>
      <c r="E12284">
        <f t="shared" si="580"/>
        <v>2.3809523809523808E-2</v>
      </c>
      <c r="F12284">
        <v>97</v>
      </c>
      <c r="G12284">
        <f>LOG(382/(97+1))</f>
        <v>0.59083728721921391</v>
      </c>
      <c r="H12284">
        <f>0.0238095238095238*1.360453129936</f>
        <v>3.2391741188952369E-2</v>
      </c>
      <c r="I12284">
        <v>3.2391741188952453E-2</v>
      </c>
    </row>
    <row r="12285" spans="1:9" x14ac:dyDescent="0.25">
      <c r="A12285">
        <v>448</v>
      </c>
      <c r="B12285" t="s">
        <v>3571</v>
      </c>
      <c r="C12285" t="s">
        <v>75</v>
      </c>
      <c r="D12285" t="s">
        <v>3325</v>
      </c>
      <c r="E12285">
        <f t="shared" si="580"/>
        <v>2.3809523809523808E-2</v>
      </c>
      <c r="F12285">
        <v>19</v>
      </c>
      <c r="G12285">
        <f>LOG(382/(19+1))</f>
        <v>1.2810333672477277</v>
      </c>
      <c r="H12285">
        <f>0.0238095238095238*2.94968833505258</f>
        <v>7.0230674644109023E-2</v>
      </c>
      <c r="I12285">
        <v>7.0230674644109148E-2</v>
      </c>
    </row>
    <row r="12286" spans="1:9" x14ac:dyDescent="0.25">
      <c r="A12286">
        <v>448</v>
      </c>
      <c r="B12286" t="s">
        <v>3571</v>
      </c>
      <c r="C12286" t="s">
        <v>75</v>
      </c>
      <c r="D12286" t="s">
        <v>3327</v>
      </c>
      <c r="E12286">
        <f t="shared" si="580"/>
        <v>2.3809523809523808E-2</v>
      </c>
      <c r="F12286">
        <v>21</v>
      </c>
      <c r="G12286">
        <f>LOG(382/(21+1))</f>
        <v>1.2396406820895025</v>
      </c>
      <c r="H12286">
        <f>0.0238095238095238*2.85437815524825</f>
        <v>6.7961384648767831E-2</v>
      </c>
      <c r="I12286">
        <v>6.7961384648768067E-2</v>
      </c>
    </row>
    <row r="12287" spans="1:9" x14ac:dyDescent="0.25">
      <c r="A12287">
        <v>448</v>
      </c>
      <c r="B12287" t="s">
        <v>3571</v>
      </c>
      <c r="C12287" t="s">
        <v>75</v>
      </c>
      <c r="D12287" t="s">
        <v>3574</v>
      </c>
      <c r="E12287">
        <f t="shared" si="580"/>
        <v>2.3809523809523808E-2</v>
      </c>
      <c r="F12287">
        <v>3</v>
      </c>
      <c r="G12287">
        <f>LOG(382/(3+1))</f>
        <v>1.9800033715837464</v>
      </c>
      <c r="H12287">
        <f>0.0238095238095238*4.55912624748668</f>
        <v>0.108550624940159</v>
      </c>
      <c r="I12287">
        <v>0.1085506249401591</v>
      </c>
    </row>
    <row r="12288" spans="1:9" x14ac:dyDescent="0.25">
      <c r="A12288">
        <v>448</v>
      </c>
      <c r="B12288" t="s">
        <v>3571</v>
      </c>
      <c r="C12288" t="s">
        <v>75</v>
      </c>
      <c r="D12288" t="s">
        <v>149</v>
      </c>
      <c r="E12288">
        <f t="shared" si="580"/>
        <v>2.3809523809523808E-2</v>
      </c>
      <c r="F12288">
        <v>35</v>
      </c>
      <c r="G12288">
        <f>LOG(382/(35+1))</f>
        <v>1.0257608621444214</v>
      </c>
      <c r="H12288">
        <f>0.0238095238095238*2.36190167015046</f>
        <v>5.623575405120141E-2</v>
      </c>
      <c r="I12288">
        <v>5.6235754051201542E-2</v>
      </c>
    </row>
    <row r="12289" spans="1:9" x14ac:dyDescent="0.25">
      <c r="A12289">
        <v>448</v>
      </c>
      <c r="B12289" t="s">
        <v>3571</v>
      </c>
      <c r="C12289" t="s">
        <v>75</v>
      </c>
      <c r="D12289" t="s">
        <v>2242</v>
      </c>
      <c r="E12289">
        <f t="shared" si="580"/>
        <v>2.3809523809523808E-2</v>
      </c>
      <c r="F12289">
        <v>18</v>
      </c>
      <c r="G12289">
        <f>LOG(382/(18+1))</f>
        <v>1.3033097619588798</v>
      </c>
      <c r="H12289">
        <f>0.0238095238095238*3.00098162944013</f>
        <v>7.1451943558098308E-2</v>
      </c>
      <c r="I12289">
        <v>7.1451943558098432E-2</v>
      </c>
    </row>
    <row r="12290" spans="1:9" x14ac:dyDescent="0.25">
      <c r="A12290">
        <v>448</v>
      </c>
      <c r="B12290" t="s">
        <v>3571</v>
      </c>
      <c r="C12290" t="s">
        <v>75</v>
      </c>
      <c r="D12290" t="s">
        <v>214</v>
      </c>
      <c r="E12290">
        <f t="shared" si="580"/>
        <v>2.3809523809523808E-2</v>
      </c>
      <c r="F12290">
        <v>68</v>
      </c>
      <c r="G12290">
        <f>LOG(382/(68+1))</f>
        <v>0.74321427217445335</v>
      </c>
      <c r="H12290">
        <f>0.0238095238095238*1.71131410400931</f>
        <v>4.0745573904983561E-2</v>
      </c>
      <c r="I12290">
        <v>4.0745573904983713E-2</v>
      </c>
    </row>
    <row r="12291" spans="1:9" x14ac:dyDescent="0.25">
      <c r="A12291">
        <v>448</v>
      </c>
      <c r="B12291" t="s">
        <v>3571</v>
      </c>
      <c r="C12291" t="s">
        <v>75</v>
      </c>
      <c r="D12291" t="s">
        <v>3444</v>
      </c>
      <c r="E12291">
        <f t="shared" si="580"/>
        <v>2.3809523809523808E-2</v>
      </c>
      <c r="F12291">
        <v>10</v>
      </c>
      <c r="G12291">
        <f>LOG(382/(10+1))</f>
        <v>1.5406706777534838</v>
      </c>
      <c r="H12291">
        <f>0.0238095238095238*3.5475253358082</f>
        <v>8.4464888947814259E-2</v>
      </c>
      <c r="I12291">
        <v>8.4464888947814384E-2</v>
      </c>
    </row>
    <row r="12292" spans="1:9" x14ac:dyDescent="0.25">
      <c r="A12292">
        <v>448</v>
      </c>
      <c r="B12292" t="s">
        <v>3571</v>
      </c>
      <c r="C12292" t="s">
        <v>75</v>
      </c>
      <c r="D12292" t="s">
        <v>322</v>
      </c>
      <c r="E12292">
        <f t="shared" si="580"/>
        <v>2.3809523809523808E-2</v>
      </c>
      <c r="F12292">
        <v>128</v>
      </c>
      <c r="G12292">
        <f>LOG(382/(128+1))</f>
        <v>0.47147365261245977</v>
      </c>
      <c r="H12292">
        <f>0.0238095238095238*1.0856082042449</f>
        <v>2.5847814386783324E-2</v>
      </c>
      <c r="I12292">
        <v>2.5847814386783411E-2</v>
      </c>
    </row>
    <row r="12293" spans="1:9" x14ac:dyDescent="0.25">
      <c r="A12293">
        <v>448</v>
      </c>
      <c r="B12293" t="s">
        <v>3571</v>
      </c>
      <c r="C12293" t="s">
        <v>75</v>
      </c>
      <c r="D12293" t="s">
        <v>324</v>
      </c>
      <c r="E12293">
        <f t="shared" si="580"/>
        <v>2.3809523809523808E-2</v>
      </c>
      <c r="F12293">
        <v>82</v>
      </c>
      <c r="G12293">
        <f>LOG(382/(82+1))</f>
        <v>0.66298527053563483</v>
      </c>
      <c r="H12293">
        <f>0.0238095238095238*1.52658000080997</f>
        <v>3.6347142876427846E-2</v>
      </c>
      <c r="I12293">
        <v>3.6347142876428033E-2</v>
      </c>
    </row>
    <row r="12294" spans="1:9" x14ac:dyDescent="0.25">
      <c r="A12294">
        <v>448</v>
      </c>
      <c r="B12294" t="s">
        <v>3571</v>
      </c>
      <c r="C12294" t="s">
        <v>75</v>
      </c>
      <c r="D12294" t="s">
        <v>1222</v>
      </c>
      <c r="E12294">
        <f t="shared" si="580"/>
        <v>2.3809523809523808E-2</v>
      </c>
      <c r="F12294">
        <v>56</v>
      </c>
      <c r="G12294">
        <f>LOG(382/(56+1))</f>
        <v>0.82618850723921733</v>
      </c>
      <c r="H12294">
        <f>0.0238095238095238*1.90236934077202</f>
        <v>4.5294508113619507E-2</v>
      </c>
      <c r="I12294">
        <v>4.5294508113619639E-2</v>
      </c>
    </row>
    <row r="12295" spans="1:9" x14ac:dyDescent="0.25">
      <c r="A12295">
        <v>448</v>
      </c>
      <c r="B12295" t="s">
        <v>3571</v>
      </c>
      <c r="C12295" t="s">
        <v>75</v>
      </c>
      <c r="D12295" t="s">
        <v>485</v>
      </c>
      <c r="E12295">
        <f t="shared" si="580"/>
        <v>2.3809523809523808E-2</v>
      </c>
      <c r="F12295">
        <v>74</v>
      </c>
      <c r="G12295">
        <f>LOG(382/(74+1))</f>
        <v>0.7070020995200087</v>
      </c>
      <c r="H12295">
        <f>0.0238095238095238*1.62793249507026</f>
        <v>3.8760297501672848E-2</v>
      </c>
      <c r="I12295">
        <v>3.8760297501672973E-2</v>
      </c>
    </row>
    <row r="12296" spans="1:9" x14ac:dyDescent="0.25">
      <c r="A12296">
        <v>448</v>
      </c>
      <c r="B12296" t="s">
        <v>3571</v>
      </c>
      <c r="C12296" t="s">
        <v>75</v>
      </c>
      <c r="D12296" t="s">
        <v>78</v>
      </c>
      <c r="E12296">
        <f>2/42</f>
        <v>4.7619047619047616E-2</v>
      </c>
      <c r="F12296">
        <v>122</v>
      </c>
      <c r="G12296">
        <f>LOG(382/(122+1))</f>
        <v>0.49215825147231079</v>
      </c>
      <c r="H12296">
        <f>0.0476190476190476*1.13323625323415</f>
        <v>5.3963631106388077E-2</v>
      </c>
      <c r="I12296">
        <v>5.3963631106388452E-2</v>
      </c>
    </row>
    <row r="12297" spans="1:9" x14ac:dyDescent="0.25">
      <c r="A12297">
        <v>448</v>
      </c>
      <c r="B12297" t="s">
        <v>3571</v>
      </c>
      <c r="C12297" t="s">
        <v>75</v>
      </c>
      <c r="D12297" t="s">
        <v>98</v>
      </c>
      <c r="E12297">
        <f>1/42</f>
        <v>2.3809523809523808E-2</v>
      </c>
      <c r="F12297">
        <v>56</v>
      </c>
      <c r="G12297">
        <f>LOG(382/(56+1))</f>
        <v>0.82618850723921733</v>
      </c>
      <c r="H12297">
        <f>0.0238095238095238*1.90236934077202</f>
        <v>4.5294508113619507E-2</v>
      </c>
      <c r="I12297">
        <v>4.5294508113619639E-2</v>
      </c>
    </row>
    <row r="12298" spans="1:9" x14ac:dyDescent="0.25">
      <c r="A12298">
        <v>448</v>
      </c>
      <c r="B12298" t="s">
        <v>3571</v>
      </c>
      <c r="C12298" t="s">
        <v>75</v>
      </c>
      <c r="D12298" t="s">
        <v>50</v>
      </c>
      <c r="E12298">
        <f>2/42</f>
        <v>4.7619047619047616E-2</v>
      </c>
      <c r="F12298">
        <v>109</v>
      </c>
      <c r="G12298">
        <f>LOG(382/(109+1))</f>
        <v>0.54067067775348365</v>
      </c>
      <c r="H12298">
        <f>0.0476190476190476*1.24494024281415</f>
        <v>5.9282868705435698E-2</v>
      </c>
      <c r="I12298">
        <v>5.9282868705436143E-2</v>
      </c>
    </row>
    <row r="12299" spans="1:9" x14ac:dyDescent="0.25">
      <c r="A12299">
        <v>448</v>
      </c>
      <c r="B12299" t="s">
        <v>3571</v>
      </c>
      <c r="C12299" t="s">
        <v>75</v>
      </c>
      <c r="D12299" t="s">
        <v>754</v>
      </c>
      <c r="E12299">
        <f>2/42</f>
        <v>4.7619047619047616E-2</v>
      </c>
      <c r="F12299">
        <v>111</v>
      </c>
      <c r="G12299">
        <f>LOG(382/(111+1))</f>
        <v>0.53284534024152708</v>
      </c>
      <c r="H12299">
        <f>0.0476190476190476*1.22692173731148</f>
        <v>5.842484463387998E-2</v>
      </c>
      <c r="I12299">
        <v>5.8424844633880028E-2</v>
      </c>
    </row>
    <row r="12300" spans="1:9" x14ac:dyDescent="0.25">
      <c r="A12300">
        <v>448</v>
      </c>
      <c r="B12300" t="s">
        <v>3571</v>
      </c>
      <c r="C12300" t="s">
        <v>75</v>
      </c>
      <c r="D12300" t="s">
        <v>2238</v>
      </c>
      <c r="E12300">
        <f>1/42</f>
        <v>2.3809523809523808E-2</v>
      </c>
      <c r="F12300">
        <v>68</v>
      </c>
      <c r="G12300">
        <f>LOG(382/(68+1))</f>
        <v>0.74321427217445335</v>
      </c>
      <c r="H12300">
        <f>0.0238095238095238*1.71131410400931</f>
        <v>4.0745573904983561E-2</v>
      </c>
      <c r="I12300">
        <v>4.0745573904983713E-2</v>
      </c>
    </row>
    <row r="12301" spans="1:9" x14ac:dyDescent="0.25">
      <c r="A12301">
        <v>448</v>
      </c>
      <c r="B12301" t="s">
        <v>3571</v>
      </c>
      <c r="C12301" t="s">
        <v>75</v>
      </c>
      <c r="D12301" t="s">
        <v>2178</v>
      </c>
      <c r="E12301">
        <f>1/42</f>
        <v>2.3809523809523808E-2</v>
      </c>
      <c r="F12301">
        <v>11</v>
      </c>
      <c r="G12301">
        <f>LOG(382/(11+1))</f>
        <v>1.5028821168640838</v>
      </c>
      <c r="H12301">
        <f>0.0238095238095238*3.46051395881857</f>
        <v>8.2393189495680211E-2</v>
      </c>
      <c r="I12301">
        <v>8.239318949568035E-2</v>
      </c>
    </row>
    <row r="12302" spans="1:9" x14ac:dyDescent="0.25">
      <c r="A12302">
        <v>448</v>
      </c>
      <c r="B12302" t="s">
        <v>3571</v>
      </c>
      <c r="C12302" t="s">
        <v>75</v>
      </c>
      <c r="D12302" t="s">
        <v>3575</v>
      </c>
      <c r="E12302">
        <f>2/42</f>
        <v>4.7619047619047616E-2</v>
      </c>
      <c r="F12302">
        <v>5</v>
      </c>
      <c r="G12302">
        <f>LOG(382/(5+1))</f>
        <v>1.803912112528065</v>
      </c>
      <c r="H12302">
        <f>0.0476190476190476*4.15366113937852</f>
        <v>0.19779338758945325</v>
      </c>
      <c r="I12302">
        <v>0.19779338758945331</v>
      </c>
    </row>
    <row r="12303" spans="1:9" x14ac:dyDescent="0.25">
      <c r="A12303">
        <v>448</v>
      </c>
      <c r="B12303" t="s">
        <v>3571</v>
      </c>
      <c r="C12303" t="s">
        <v>75</v>
      </c>
      <c r="D12303" t="s">
        <v>1732</v>
      </c>
      <c r="E12303">
        <f>1/42</f>
        <v>2.3809523809523808E-2</v>
      </c>
      <c r="F12303">
        <v>16</v>
      </c>
      <c r="G12303">
        <f>LOG(382/(16+1))</f>
        <v>1.3516144415334348</v>
      </c>
      <c r="H12303">
        <f>0.0238095238095238*3.11220726455035</f>
        <v>7.410017296548449E-2</v>
      </c>
      <c r="I12303">
        <v>7.410017296548474E-2</v>
      </c>
    </row>
    <row r="12304" spans="1:9" x14ac:dyDescent="0.25">
      <c r="A12304">
        <v>448</v>
      </c>
      <c r="B12304" t="s">
        <v>3571</v>
      </c>
      <c r="C12304" t="s">
        <v>75</v>
      </c>
      <c r="D12304" t="s">
        <v>1733</v>
      </c>
      <c r="E12304">
        <f>1/42</f>
        <v>2.3809523809523808E-2</v>
      </c>
      <c r="F12304">
        <v>19</v>
      </c>
      <c r="G12304">
        <f>LOG(382/(19+1))</f>
        <v>1.2810333672477277</v>
      </c>
      <c r="H12304">
        <f>0.0238095238095238*2.94968833505258</f>
        <v>7.0230674644109023E-2</v>
      </c>
      <c r="I12304">
        <v>7.0230674644109148E-2</v>
      </c>
    </row>
    <row r="12305" spans="1:9" x14ac:dyDescent="0.25">
      <c r="A12305">
        <v>448</v>
      </c>
      <c r="B12305" t="s">
        <v>3571</v>
      </c>
      <c r="C12305" t="s">
        <v>75</v>
      </c>
      <c r="D12305" t="s">
        <v>20</v>
      </c>
      <c r="E12305">
        <f>1/42</f>
        <v>2.3809523809523808E-2</v>
      </c>
      <c r="F12305">
        <v>19</v>
      </c>
      <c r="G12305">
        <f>LOG(382/(19+1))</f>
        <v>1.2810333672477277</v>
      </c>
      <c r="H12305">
        <f>0.0238095238095238*2.94968833505258</f>
        <v>7.0230674644109023E-2</v>
      </c>
      <c r="I12305">
        <v>7.0230674644109148E-2</v>
      </c>
    </row>
    <row r="12306" spans="1:9" x14ac:dyDescent="0.25">
      <c r="A12306">
        <v>448</v>
      </c>
      <c r="B12306" t="s">
        <v>3571</v>
      </c>
      <c r="C12306" t="s">
        <v>75</v>
      </c>
      <c r="D12306" t="s">
        <v>1738</v>
      </c>
      <c r="E12306">
        <f>1/42</f>
        <v>2.3809523809523808E-2</v>
      </c>
      <c r="F12306">
        <v>24</v>
      </c>
      <c r="G12306">
        <f>LOG(382/(24+1))</f>
        <v>1.1841233542396712</v>
      </c>
      <c r="H12306">
        <f>0.0238095238095238*2.72654478373837</f>
        <v>6.4917732946151635E-2</v>
      </c>
      <c r="I12306">
        <v>6.491773294615176E-2</v>
      </c>
    </row>
    <row r="12307" spans="1:9" x14ac:dyDescent="0.25">
      <c r="A12307">
        <v>448</v>
      </c>
      <c r="B12307" t="s">
        <v>3571</v>
      </c>
      <c r="C12307" t="s">
        <v>75</v>
      </c>
      <c r="D12307" t="s">
        <v>1739</v>
      </c>
      <c r="E12307">
        <f>2/42</f>
        <v>4.7619047619047616E-2</v>
      </c>
      <c r="F12307">
        <v>30</v>
      </c>
      <c r="G12307">
        <f>LOG(382/(30+1))</f>
        <v>1.090701669077436</v>
      </c>
      <c r="H12307">
        <f>0.0476190476190476*2.51143340412142</f>
        <v>0.11959206686292473</v>
      </c>
      <c r="I12307">
        <v>0.1195920668629252</v>
      </c>
    </row>
    <row r="12308" spans="1:9" x14ac:dyDescent="0.25">
      <c r="A12308">
        <v>448</v>
      </c>
      <c r="B12308" t="s">
        <v>3571</v>
      </c>
      <c r="C12308" t="s">
        <v>75</v>
      </c>
      <c r="D12308" t="s">
        <v>3335</v>
      </c>
      <c r="E12308">
        <f t="shared" ref="E12308:E12316" si="581">1/42</f>
        <v>2.3809523809523808E-2</v>
      </c>
      <c r="F12308">
        <v>16</v>
      </c>
      <c r="G12308">
        <f>LOG(382/(16+1))</f>
        <v>1.3516144415334348</v>
      </c>
      <c r="H12308">
        <f>0.0238095238095238*3.11220726455035</f>
        <v>7.410017296548449E-2</v>
      </c>
      <c r="I12308">
        <v>7.410017296548474E-2</v>
      </c>
    </row>
    <row r="12309" spans="1:9" x14ac:dyDescent="0.25">
      <c r="A12309">
        <v>448</v>
      </c>
      <c r="B12309" t="s">
        <v>3571</v>
      </c>
      <c r="C12309" t="s">
        <v>75</v>
      </c>
      <c r="D12309" t="s">
        <v>3436</v>
      </c>
      <c r="E12309">
        <f t="shared" si="581"/>
        <v>2.3809523809523808E-2</v>
      </c>
      <c r="F12309">
        <v>10</v>
      </c>
      <c r="G12309">
        <f>LOG(382/(10+1))</f>
        <v>1.5406706777534838</v>
      </c>
      <c r="H12309">
        <f>0.0238095238095238*3.5475253358082</f>
        <v>8.4464888947814259E-2</v>
      </c>
      <c r="I12309">
        <v>8.4464888947814384E-2</v>
      </c>
    </row>
    <row r="12310" spans="1:9" x14ac:dyDescent="0.25">
      <c r="A12310">
        <v>448</v>
      </c>
      <c r="B12310" t="s">
        <v>3571</v>
      </c>
      <c r="C12310" t="s">
        <v>75</v>
      </c>
      <c r="D12310" t="s">
        <v>3576</v>
      </c>
      <c r="E12310">
        <f t="shared" si="581"/>
        <v>2.3809523809523808E-2</v>
      </c>
      <c r="F12310">
        <v>3</v>
      </c>
      <c r="G12310">
        <f>LOG(382/(3+1))</f>
        <v>1.9800033715837464</v>
      </c>
      <c r="H12310">
        <f>0.0238095238095238*4.55912624748668</f>
        <v>0.108550624940159</v>
      </c>
      <c r="I12310">
        <v>0.1085506249401591</v>
      </c>
    </row>
    <row r="12311" spans="1:9" x14ac:dyDescent="0.25">
      <c r="A12311">
        <v>448</v>
      </c>
      <c r="B12311" t="s">
        <v>3571</v>
      </c>
      <c r="C12311" t="s">
        <v>75</v>
      </c>
      <c r="D12311" t="s">
        <v>3577</v>
      </c>
      <c r="E12311">
        <f t="shared" si="581"/>
        <v>2.3809523809523808E-2</v>
      </c>
      <c r="F12311">
        <v>2</v>
      </c>
      <c r="G12311">
        <f>LOG(382/(2+1))</f>
        <v>2.1049421081920463</v>
      </c>
      <c r="H12311">
        <f>0.0238095238095238*4.84680831993846</f>
        <v>0.11540019809377282</v>
      </c>
      <c r="I12311">
        <v>0.115400198093773</v>
      </c>
    </row>
    <row r="12312" spans="1:9" x14ac:dyDescent="0.25">
      <c r="A12312">
        <v>448</v>
      </c>
      <c r="B12312" t="s">
        <v>3571</v>
      </c>
      <c r="C12312" t="s">
        <v>75</v>
      </c>
      <c r="D12312" t="s">
        <v>1082</v>
      </c>
      <c r="E12312">
        <f t="shared" si="581"/>
        <v>2.3809523809523808E-2</v>
      </c>
      <c r="F12312">
        <v>8</v>
      </c>
      <c r="G12312">
        <f>LOG(382/(8+1))</f>
        <v>1.6278208534723839</v>
      </c>
      <c r="H12312">
        <f>0.0238095238095238*3.74819603127035</f>
        <v>8.9242762649294011E-2</v>
      </c>
      <c r="I12312">
        <v>8.9242762649294177E-2</v>
      </c>
    </row>
    <row r="12313" spans="1:9" x14ac:dyDescent="0.25">
      <c r="A12313">
        <v>448</v>
      </c>
      <c r="B12313" t="s">
        <v>3571</v>
      </c>
      <c r="C12313" t="s">
        <v>75</v>
      </c>
      <c r="D12313" t="s">
        <v>746</v>
      </c>
      <c r="E12313">
        <f t="shared" si="581"/>
        <v>2.3809523809523808E-2</v>
      </c>
      <c r="F12313">
        <v>58</v>
      </c>
      <c r="G12313">
        <f>LOG(382/(58+1))</f>
        <v>0.81121135126956456</v>
      </c>
      <c r="H12313">
        <f>0.0238095238095238*1.86788316470085</f>
        <v>4.4473408683353553E-2</v>
      </c>
      <c r="I12313">
        <v>4.4473408683353699E-2</v>
      </c>
    </row>
    <row r="12314" spans="1:9" x14ac:dyDescent="0.25">
      <c r="A12314">
        <v>448</v>
      </c>
      <c r="B12314" t="s">
        <v>3571</v>
      </c>
      <c r="C12314" t="s">
        <v>75</v>
      </c>
      <c r="D12314" t="s">
        <v>133</v>
      </c>
      <c r="E12314">
        <f t="shared" si="581"/>
        <v>2.3809523809523808E-2</v>
      </c>
      <c r="F12314">
        <v>142</v>
      </c>
      <c r="G12314">
        <f>LOG(382/(142+1))</f>
        <v>0.42672732544664693</v>
      </c>
      <c r="H12314">
        <f>0.0238095238095238*0.982575978346667</f>
        <v>2.3394666151111111E-2</v>
      </c>
      <c r="I12314">
        <v>2.3394666151111139E-2</v>
      </c>
    </row>
    <row r="12315" spans="1:9" x14ac:dyDescent="0.25">
      <c r="A12315">
        <v>448</v>
      </c>
      <c r="B12315" t="s">
        <v>3571</v>
      </c>
      <c r="C12315" t="s">
        <v>75</v>
      </c>
      <c r="D12315" t="s">
        <v>1762</v>
      </c>
      <c r="E12315">
        <f t="shared" si="581"/>
        <v>2.3809523809523808E-2</v>
      </c>
      <c r="F12315">
        <v>60</v>
      </c>
      <c r="G12315">
        <f>LOG(382/(60+1))</f>
        <v>0.79673352790094176</v>
      </c>
      <c r="H12315">
        <f>0.0238095238095238*1.83454674443326</f>
        <v>4.3679684391268077E-2</v>
      </c>
      <c r="I12315">
        <v>4.3679684391268188E-2</v>
      </c>
    </row>
    <row r="12316" spans="1:9" x14ac:dyDescent="0.25">
      <c r="A12316">
        <v>448</v>
      </c>
      <c r="B12316" t="s">
        <v>3571</v>
      </c>
      <c r="C12316" t="s">
        <v>75</v>
      </c>
      <c r="D12316" t="s">
        <v>126</v>
      </c>
      <c r="E12316">
        <f t="shared" si="581"/>
        <v>2.3809523809523808E-2</v>
      </c>
      <c r="F12316">
        <v>79</v>
      </c>
      <c r="G12316">
        <f>LOG(382/(79+1))</f>
        <v>0.67897337591976514</v>
      </c>
      <c r="H12316">
        <f>0.0238095238095238*1.56339397393269</f>
        <v>3.7223666046016415E-2</v>
      </c>
      <c r="I12316">
        <v>3.7223666046016513E-2</v>
      </c>
    </row>
    <row r="12317" spans="1:9" x14ac:dyDescent="0.25">
      <c r="A12317">
        <v>449</v>
      </c>
      <c r="B12317" t="s">
        <v>3578</v>
      </c>
      <c r="C12317" t="s">
        <v>75</v>
      </c>
      <c r="D12317" t="s">
        <v>3436</v>
      </c>
      <c r="E12317">
        <f>2/82</f>
        <v>2.4390243902439025E-2</v>
      </c>
      <c r="F12317">
        <v>10</v>
      </c>
      <c r="G12317">
        <f>LOG(382/(10+1))</f>
        <v>1.5406706777534838</v>
      </c>
      <c r="H12317">
        <f>0.024390243902439*3.5475253358082</f>
        <v>8.6525008190443828E-2</v>
      </c>
      <c r="I12317">
        <v>8.6525008190444022E-2</v>
      </c>
    </row>
    <row r="12318" spans="1:9" x14ac:dyDescent="0.25">
      <c r="A12318">
        <v>449</v>
      </c>
      <c r="B12318" t="s">
        <v>3578</v>
      </c>
      <c r="C12318" t="s">
        <v>75</v>
      </c>
      <c r="D12318" t="s">
        <v>3575</v>
      </c>
      <c r="E12318">
        <f>3/82</f>
        <v>3.6585365853658534E-2</v>
      </c>
      <c r="F12318">
        <v>5</v>
      </c>
      <c r="G12318">
        <f>LOG(382/(5+1))</f>
        <v>1.803912112528065</v>
      </c>
      <c r="H12318">
        <f>0.0365853658536585*4.15366113937852</f>
        <v>0.15196321241628716</v>
      </c>
      <c r="I12318">
        <v>0.1519632124162873</v>
      </c>
    </row>
    <row r="12319" spans="1:9" x14ac:dyDescent="0.25">
      <c r="A12319">
        <v>449</v>
      </c>
      <c r="B12319" t="s">
        <v>3578</v>
      </c>
      <c r="C12319" t="s">
        <v>75</v>
      </c>
      <c r="D12319" t="s">
        <v>3576</v>
      </c>
      <c r="E12319">
        <f>2/82</f>
        <v>2.4390243902439025E-2</v>
      </c>
      <c r="F12319">
        <v>3</v>
      </c>
      <c r="G12319">
        <f>LOG(382/(3+1))</f>
        <v>1.9800033715837464</v>
      </c>
      <c r="H12319">
        <f>0.024390243902439*4.55912624748668</f>
        <v>0.11119820115821161</v>
      </c>
      <c r="I12319">
        <v>0.1111982011582118</v>
      </c>
    </row>
    <row r="12320" spans="1:9" x14ac:dyDescent="0.25">
      <c r="A12320">
        <v>449</v>
      </c>
      <c r="B12320" t="s">
        <v>3578</v>
      </c>
      <c r="C12320" t="s">
        <v>75</v>
      </c>
      <c r="D12320" t="s">
        <v>3579</v>
      </c>
      <c r="E12320">
        <f>1/82</f>
        <v>1.2195121951219513E-2</v>
      </c>
      <c r="F12320">
        <v>1</v>
      </c>
      <c r="G12320">
        <f>LOG(382/(1+1))</f>
        <v>2.2810333672477277</v>
      </c>
      <c r="H12320">
        <f>0.0121951219512195*5.25227342804663</f>
        <v>6.4052114976178354E-2</v>
      </c>
      <c r="I12320">
        <v>6.4052114976178409E-2</v>
      </c>
    </row>
    <row r="12321" spans="1:9" x14ac:dyDescent="0.25">
      <c r="A12321">
        <v>449</v>
      </c>
      <c r="B12321" t="s">
        <v>3578</v>
      </c>
      <c r="C12321" t="s">
        <v>75</v>
      </c>
      <c r="D12321" t="s">
        <v>1082</v>
      </c>
      <c r="E12321">
        <f>2/82</f>
        <v>2.4390243902439025E-2</v>
      </c>
      <c r="F12321">
        <v>8</v>
      </c>
      <c r="G12321">
        <f>LOG(382/(8+1))</f>
        <v>1.6278208534723839</v>
      </c>
      <c r="H12321">
        <f>0.024390243902439*3.74819603127035</f>
        <v>9.1419415396837719E-2</v>
      </c>
      <c r="I12321">
        <v>9.1419415396837941E-2</v>
      </c>
    </row>
    <row r="12322" spans="1:9" x14ac:dyDescent="0.25">
      <c r="A12322">
        <v>449</v>
      </c>
      <c r="B12322" t="s">
        <v>3578</v>
      </c>
      <c r="C12322" t="s">
        <v>75</v>
      </c>
      <c r="D12322" t="s">
        <v>3580</v>
      </c>
      <c r="E12322">
        <f>1/82</f>
        <v>1.2195121951219513E-2</v>
      </c>
      <c r="F12322">
        <v>1</v>
      </c>
      <c r="G12322">
        <f>LOG(382/(1+1))</f>
        <v>2.2810333672477277</v>
      </c>
      <c r="H12322">
        <f>0.0121951219512195*5.25227342804663</f>
        <v>6.4052114976178354E-2</v>
      </c>
      <c r="I12322">
        <v>6.4052114976178409E-2</v>
      </c>
    </row>
    <row r="12323" spans="1:9" x14ac:dyDescent="0.25">
      <c r="A12323">
        <v>449</v>
      </c>
      <c r="B12323" t="s">
        <v>3578</v>
      </c>
      <c r="C12323" t="s">
        <v>75</v>
      </c>
      <c r="D12323" t="s">
        <v>82</v>
      </c>
      <c r="E12323">
        <f>1/82</f>
        <v>1.2195121951219513E-2</v>
      </c>
      <c r="F12323">
        <v>92</v>
      </c>
      <c r="G12323">
        <f>LOG(382/(92+1))</f>
        <v>0.61358041435777355</v>
      </c>
      <c r="H12323">
        <f>0.0121951219512195*1.41282111545331</f>
        <v>1.722952579821108E-2</v>
      </c>
      <c r="I12323">
        <v>1.7229525798211211E-2</v>
      </c>
    </row>
    <row r="12324" spans="1:9" x14ac:dyDescent="0.25">
      <c r="A12324">
        <v>449</v>
      </c>
      <c r="B12324" t="s">
        <v>3578</v>
      </c>
      <c r="C12324" t="s">
        <v>75</v>
      </c>
      <c r="D12324" t="s">
        <v>42</v>
      </c>
      <c r="E12324">
        <f>1/82</f>
        <v>1.2195121951219513E-2</v>
      </c>
      <c r="F12324">
        <v>251</v>
      </c>
      <c r="G12324">
        <f>LOG(382/(251+1))</f>
        <v>0.18066282213016463</v>
      </c>
      <c r="H12324">
        <f>0.0121951219512195*0.415991521095151</f>
        <v>5.0730673304286659E-3</v>
      </c>
      <c r="I12324">
        <v>5.0730673304286806E-3</v>
      </c>
    </row>
    <row r="12325" spans="1:9" x14ac:dyDescent="0.25">
      <c r="A12325">
        <v>449</v>
      </c>
      <c r="B12325" t="s">
        <v>3578</v>
      </c>
      <c r="C12325" t="s">
        <v>75</v>
      </c>
      <c r="D12325" t="s">
        <v>600</v>
      </c>
      <c r="E12325">
        <f>2/82</f>
        <v>2.4390243902439025E-2</v>
      </c>
      <c r="F12325">
        <v>102</v>
      </c>
      <c r="G12325">
        <f>LOG(382/(102+1))</f>
        <v>0.56922613820653656</v>
      </c>
      <c r="H12325">
        <f>0.024390243902439*1.31069162037693</f>
        <v>3.1968088301876314E-2</v>
      </c>
      <c r="I12325">
        <v>3.1968088301876571E-2</v>
      </c>
    </row>
    <row r="12326" spans="1:9" x14ac:dyDescent="0.25">
      <c r="A12326">
        <v>449</v>
      </c>
      <c r="B12326" t="s">
        <v>3578</v>
      </c>
      <c r="C12326" t="s">
        <v>75</v>
      </c>
      <c r="D12326" t="s">
        <v>3581</v>
      </c>
      <c r="E12326">
        <f>1/82</f>
        <v>1.2195121951219513E-2</v>
      </c>
      <c r="F12326">
        <v>1</v>
      </c>
      <c r="G12326">
        <f>LOG(382/(1+1))</f>
        <v>2.2810333672477277</v>
      </c>
      <c r="H12326">
        <f>0.0121951219512195*5.25227342804663</f>
        <v>6.4052114976178354E-2</v>
      </c>
      <c r="I12326">
        <v>6.4052114976178409E-2</v>
      </c>
    </row>
    <row r="12327" spans="1:9" x14ac:dyDescent="0.25">
      <c r="A12327">
        <v>449</v>
      </c>
      <c r="B12327" t="s">
        <v>3578</v>
      </c>
      <c r="C12327" t="s">
        <v>75</v>
      </c>
      <c r="D12327" t="s">
        <v>70</v>
      </c>
      <c r="E12327">
        <f>1/82</f>
        <v>1.2195121951219513E-2</v>
      </c>
      <c r="F12327">
        <v>44</v>
      </c>
      <c r="G12327">
        <f>LOG(382/(44+1))</f>
        <v>0.92885084913636506</v>
      </c>
      <c r="H12327">
        <f>0.0121951219512195*2.13875811883625</f>
        <v>2.6082416083368875E-2</v>
      </c>
      <c r="I12327">
        <v>2.6082416083368969E-2</v>
      </c>
    </row>
    <row r="12328" spans="1:9" x14ac:dyDescent="0.25">
      <c r="A12328">
        <v>449</v>
      </c>
      <c r="B12328" t="s">
        <v>3578</v>
      </c>
      <c r="C12328" t="s">
        <v>75</v>
      </c>
      <c r="D12328" t="s">
        <v>15</v>
      </c>
      <c r="E12328">
        <f>1/82</f>
        <v>1.2195121951219513E-2</v>
      </c>
      <c r="F12328">
        <v>112</v>
      </c>
      <c r="G12328">
        <f>LOG(382/(112+1))</f>
        <v>0.52898491942828896</v>
      </c>
      <c r="H12328">
        <f>0.0121951219512195*1.21803278989423</f>
        <v>1.4854058413344255E-2</v>
      </c>
      <c r="I12328">
        <v>1.4854058413344331E-2</v>
      </c>
    </row>
    <row r="12329" spans="1:9" x14ac:dyDescent="0.25">
      <c r="A12329">
        <v>449</v>
      </c>
      <c r="B12329" t="s">
        <v>3578</v>
      </c>
      <c r="C12329" t="s">
        <v>75</v>
      </c>
      <c r="D12329" t="s">
        <v>3582</v>
      </c>
      <c r="E12329">
        <f>2/82</f>
        <v>2.4390243902439025E-2</v>
      </c>
      <c r="F12329">
        <v>1</v>
      </c>
      <c r="G12329">
        <f>LOG(382/(1+1))</f>
        <v>2.2810333672477277</v>
      </c>
      <c r="H12329">
        <f>0.024390243902439*5.25227342804663</f>
        <v>0.12810422995235671</v>
      </c>
      <c r="I12329">
        <v>0.12810422995235679</v>
      </c>
    </row>
    <row r="12330" spans="1:9" x14ac:dyDescent="0.25">
      <c r="A12330">
        <v>449</v>
      </c>
      <c r="B12330" t="s">
        <v>3578</v>
      </c>
      <c r="C12330" t="s">
        <v>75</v>
      </c>
      <c r="D12330" t="s">
        <v>1984</v>
      </c>
      <c r="E12330">
        <f>2/82</f>
        <v>2.4390243902439025E-2</v>
      </c>
      <c r="F12330">
        <v>7</v>
      </c>
      <c r="G12330">
        <f>LOG(382/(7+1))</f>
        <v>1.6789733759197651</v>
      </c>
      <c r="H12330">
        <f>0.024390243902439*3.86597906692673</f>
        <v>9.4292172364066507E-2</v>
      </c>
      <c r="I12330">
        <v>9.4292172364066812E-2</v>
      </c>
    </row>
    <row r="12331" spans="1:9" x14ac:dyDescent="0.25">
      <c r="A12331">
        <v>449</v>
      </c>
      <c r="B12331" t="s">
        <v>3578</v>
      </c>
      <c r="C12331" t="s">
        <v>75</v>
      </c>
      <c r="D12331" t="s">
        <v>3583</v>
      </c>
      <c r="E12331">
        <f>1/82</f>
        <v>1.2195121951219513E-2</v>
      </c>
      <c r="F12331">
        <v>1</v>
      </c>
      <c r="G12331">
        <f>LOG(382/(1+1))</f>
        <v>2.2810333672477277</v>
      </c>
      <c r="H12331">
        <f>0.0121951219512195*5.25227342804663</f>
        <v>6.4052114976178354E-2</v>
      </c>
      <c r="I12331">
        <v>6.4052114976178409E-2</v>
      </c>
    </row>
    <row r="12332" spans="1:9" x14ac:dyDescent="0.25">
      <c r="A12332">
        <v>449</v>
      </c>
      <c r="B12332" t="s">
        <v>3578</v>
      </c>
      <c r="C12332" t="s">
        <v>75</v>
      </c>
      <c r="D12332" t="s">
        <v>17</v>
      </c>
      <c r="E12332">
        <f>1/82</f>
        <v>1.2195121951219513E-2</v>
      </c>
      <c r="F12332">
        <v>169</v>
      </c>
      <c r="G12332">
        <f>LOG(382/(169+1))</f>
        <v>0.3516144415334348</v>
      </c>
      <c r="H12332">
        <f>0.0121951219512195*0.809622171556313</f>
        <v>9.8734411165403921E-3</v>
      </c>
      <c r="I12332">
        <v>9.8734411165404077E-3</v>
      </c>
    </row>
    <row r="12333" spans="1:9" x14ac:dyDescent="0.25">
      <c r="A12333">
        <v>449</v>
      </c>
      <c r="B12333" t="s">
        <v>3578</v>
      </c>
      <c r="C12333" t="s">
        <v>75</v>
      </c>
      <c r="D12333" t="s">
        <v>920</v>
      </c>
      <c r="E12333">
        <f>2/82</f>
        <v>2.4390243902439025E-2</v>
      </c>
      <c r="F12333">
        <v>30</v>
      </c>
      <c r="G12333">
        <f>LOG(382/(30+1))</f>
        <v>1.090701669077436</v>
      </c>
      <c r="H12333">
        <f>0.024390243902439*2.51143340412142</f>
        <v>6.1254473271254092E-2</v>
      </c>
      <c r="I12333">
        <v>6.125447327125437E-2</v>
      </c>
    </row>
    <row r="12334" spans="1:9" x14ac:dyDescent="0.25">
      <c r="A12334">
        <v>449</v>
      </c>
      <c r="B12334" t="s">
        <v>3578</v>
      </c>
      <c r="C12334" t="s">
        <v>75</v>
      </c>
      <c r="D12334" t="s">
        <v>19</v>
      </c>
      <c r="E12334">
        <f>2/82</f>
        <v>2.4390243902439025E-2</v>
      </c>
      <c r="F12334">
        <v>220</v>
      </c>
      <c r="G12334">
        <f>LOG(382/(220+1))</f>
        <v>0.23767108922659805</v>
      </c>
      <c r="H12334">
        <f>0.024390243902439*0.547257907088822</f>
        <v>1.3347753831434672E-2</v>
      </c>
      <c r="I12334">
        <v>1.3347753831434691E-2</v>
      </c>
    </row>
    <row r="12335" spans="1:9" x14ac:dyDescent="0.25">
      <c r="A12335">
        <v>449</v>
      </c>
      <c r="B12335" t="s">
        <v>3578</v>
      </c>
      <c r="C12335" t="s">
        <v>75</v>
      </c>
      <c r="D12335" t="s">
        <v>44</v>
      </c>
      <c r="E12335">
        <f>1/82</f>
        <v>1.2195121951219513E-2</v>
      </c>
      <c r="F12335">
        <v>151</v>
      </c>
      <c r="G12335">
        <f>LOG(382/(151+1))</f>
        <v>0.40021977496693617</v>
      </c>
      <c r="H12335">
        <f>0.0121951219512195*0.921540087760298</f>
        <v>1.1238293753174356E-2</v>
      </c>
      <c r="I12335">
        <v>1.123829375317438E-2</v>
      </c>
    </row>
    <row r="12336" spans="1:9" x14ac:dyDescent="0.25">
      <c r="A12336">
        <v>449</v>
      </c>
      <c r="B12336" t="s">
        <v>3578</v>
      </c>
      <c r="C12336" t="s">
        <v>75</v>
      </c>
      <c r="D12336" t="s">
        <v>22</v>
      </c>
      <c r="E12336">
        <f>2/82</f>
        <v>2.4390243902439025E-2</v>
      </c>
      <c r="F12336">
        <v>259</v>
      </c>
      <c r="G12336">
        <f>LOG(382/(259+1))</f>
        <v>0.16709001494089079</v>
      </c>
      <c r="H12336">
        <f>0.024390243902439*0.384738977591047</f>
        <v>9.383877502220651E-3</v>
      </c>
      <c r="I12336">
        <v>9.3838775022206718E-3</v>
      </c>
    </row>
    <row r="12337" spans="1:9" x14ac:dyDescent="0.25">
      <c r="A12337">
        <v>449</v>
      </c>
      <c r="B12337" t="s">
        <v>3578</v>
      </c>
      <c r="C12337" t="s">
        <v>75</v>
      </c>
      <c r="D12337" t="s">
        <v>23</v>
      </c>
      <c r="E12337">
        <f>2/82</f>
        <v>2.4390243902439025E-2</v>
      </c>
      <c r="F12337">
        <v>275</v>
      </c>
      <c r="G12337">
        <f>LOG(382/(275+1))</f>
        <v>0.14115428084649101</v>
      </c>
      <c r="H12337">
        <f>0.024390243902439*0.325019742889425</f>
        <v>7.9273108021810888E-3</v>
      </c>
      <c r="I12337">
        <v>7.927310802181101E-3</v>
      </c>
    </row>
    <row r="12338" spans="1:9" x14ac:dyDescent="0.25">
      <c r="A12338">
        <v>449</v>
      </c>
      <c r="B12338" t="s">
        <v>3578</v>
      </c>
      <c r="C12338" t="s">
        <v>75</v>
      </c>
      <c r="D12338" t="s">
        <v>1785</v>
      </c>
      <c r="E12338">
        <f>2/82</f>
        <v>2.4390243902439025E-2</v>
      </c>
      <c r="F12338">
        <v>21</v>
      </c>
      <c r="G12338">
        <f>LOG(382/(21+1))</f>
        <v>1.2396406820895025</v>
      </c>
      <c r="H12338">
        <f>0.024390243902439*2.85437815524825</f>
        <v>6.9618979396298714E-2</v>
      </c>
      <c r="I12338">
        <v>6.9618979396299005E-2</v>
      </c>
    </row>
    <row r="12339" spans="1:9" x14ac:dyDescent="0.25">
      <c r="A12339">
        <v>449</v>
      </c>
      <c r="B12339" t="s">
        <v>3578</v>
      </c>
      <c r="C12339" t="s">
        <v>75</v>
      </c>
      <c r="D12339" t="s">
        <v>3584</v>
      </c>
      <c r="E12339">
        <f t="shared" ref="E12339:E12364" si="582">1/82</f>
        <v>1.2195121951219513E-2</v>
      </c>
      <c r="F12339">
        <v>1</v>
      </c>
      <c r="G12339">
        <f>LOG(382/(1+1))</f>
        <v>2.2810333672477277</v>
      </c>
      <c r="H12339">
        <f>0.0121951219512195*5.25227342804663</f>
        <v>6.4052114976178354E-2</v>
      </c>
      <c r="I12339">
        <v>6.4052114976178409E-2</v>
      </c>
    </row>
    <row r="12340" spans="1:9" x14ac:dyDescent="0.25">
      <c r="A12340">
        <v>449</v>
      </c>
      <c r="B12340" t="s">
        <v>3578</v>
      </c>
      <c r="C12340" t="s">
        <v>75</v>
      </c>
      <c r="D12340" t="s">
        <v>243</v>
      </c>
      <c r="E12340">
        <f t="shared" si="582"/>
        <v>1.2195121951219513E-2</v>
      </c>
      <c r="F12340">
        <v>131</v>
      </c>
      <c r="G12340">
        <f>LOG(382/(131+1))</f>
        <v>0.46148943170585888</v>
      </c>
      <c r="H12340">
        <f>0.0121951219512195*1.0626186860202</f>
        <v>1.2958764463660963E-2</v>
      </c>
      <c r="I12340">
        <v>1.2958764463661031E-2</v>
      </c>
    </row>
    <row r="12341" spans="1:9" x14ac:dyDescent="0.25">
      <c r="A12341">
        <v>449</v>
      </c>
      <c r="B12341" t="s">
        <v>3578</v>
      </c>
      <c r="C12341" t="s">
        <v>75</v>
      </c>
      <c r="D12341" t="s">
        <v>453</v>
      </c>
      <c r="E12341">
        <f t="shared" si="582"/>
        <v>1.2195121951219513E-2</v>
      </c>
      <c r="F12341">
        <v>68</v>
      </c>
      <c r="G12341">
        <f>LOG(382/(68+1))</f>
        <v>0.74321427217445335</v>
      </c>
      <c r="H12341">
        <f>0.0121951219512195*1.71131410400931</f>
        <v>2.086968419523547E-2</v>
      </c>
      <c r="I12341">
        <v>2.086968419523556E-2</v>
      </c>
    </row>
    <row r="12342" spans="1:9" x14ac:dyDescent="0.25">
      <c r="A12342">
        <v>449</v>
      </c>
      <c r="B12342" t="s">
        <v>3578</v>
      </c>
      <c r="C12342" t="s">
        <v>75</v>
      </c>
      <c r="D12342" t="s">
        <v>1905</v>
      </c>
      <c r="E12342">
        <f t="shared" si="582"/>
        <v>1.2195121951219513E-2</v>
      </c>
      <c r="F12342">
        <v>24</v>
      </c>
      <c r="G12342">
        <f>LOG(382/(24+1))</f>
        <v>1.1841233542396712</v>
      </c>
      <c r="H12342">
        <f>0.0121951219512195*2.72654478373837</f>
        <v>3.3250546143150816E-2</v>
      </c>
      <c r="I12342">
        <v>3.3250546143150907E-2</v>
      </c>
    </row>
    <row r="12343" spans="1:9" x14ac:dyDescent="0.25">
      <c r="A12343">
        <v>449</v>
      </c>
      <c r="B12343" t="s">
        <v>3578</v>
      </c>
      <c r="C12343" t="s">
        <v>75</v>
      </c>
      <c r="D12343" t="s">
        <v>3585</v>
      </c>
      <c r="E12343">
        <f t="shared" si="582"/>
        <v>1.2195121951219513E-2</v>
      </c>
      <c r="F12343">
        <v>1</v>
      </c>
      <c r="G12343">
        <f>LOG(382/(1+1))</f>
        <v>2.2810333672477277</v>
      </c>
      <c r="H12343">
        <f>0.0121951219512195*5.25227342804663</f>
        <v>6.4052114976178354E-2</v>
      </c>
      <c r="I12343">
        <v>6.4052114976178409E-2</v>
      </c>
    </row>
    <row r="12344" spans="1:9" x14ac:dyDescent="0.25">
      <c r="A12344">
        <v>449</v>
      </c>
      <c r="B12344" t="s">
        <v>3578</v>
      </c>
      <c r="C12344" t="s">
        <v>75</v>
      </c>
      <c r="D12344" t="s">
        <v>3586</v>
      </c>
      <c r="E12344">
        <f t="shared" si="582"/>
        <v>1.2195121951219513E-2</v>
      </c>
      <c r="F12344">
        <v>1</v>
      </c>
      <c r="G12344">
        <f>LOG(382/(1+1))</f>
        <v>2.2810333672477277</v>
      </c>
      <c r="H12344">
        <f>0.0121951219512195*5.25227342804663</f>
        <v>6.4052114976178354E-2</v>
      </c>
      <c r="I12344">
        <v>6.4052114976178409E-2</v>
      </c>
    </row>
    <row r="12345" spans="1:9" x14ac:dyDescent="0.25">
      <c r="A12345">
        <v>449</v>
      </c>
      <c r="B12345" t="s">
        <v>3578</v>
      </c>
      <c r="C12345" t="s">
        <v>75</v>
      </c>
      <c r="D12345" t="s">
        <v>3587</v>
      </c>
      <c r="E12345">
        <f t="shared" si="582"/>
        <v>1.2195121951219513E-2</v>
      </c>
      <c r="F12345">
        <v>1</v>
      </c>
      <c r="G12345">
        <f>LOG(382/(1+1))</f>
        <v>2.2810333672477277</v>
      </c>
      <c r="H12345">
        <f>0.0121951219512195*5.25227342804663</f>
        <v>6.4052114976178354E-2</v>
      </c>
      <c r="I12345">
        <v>6.4052114976178409E-2</v>
      </c>
    </row>
    <row r="12346" spans="1:9" x14ac:dyDescent="0.25">
      <c r="A12346">
        <v>449</v>
      </c>
      <c r="B12346" t="s">
        <v>3578</v>
      </c>
      <c r="C12346" t="s">
        <v>75</v>
      </c>
      <c r="D12346" t="s">
        <v>3588</v>
      </c>
      <c r="E12346">
        <f t="shared" si="582"/>
        <v>1.2195121951219513E-2</v>
      </c>
      <c r="F12346">
        <v>1</v>
      </c>
      <c r="G12346">
        <f>LOG(382/(1+1))</f>
        <v>2.2810333672477277</v>
      </c>
      <c r="H12346">
        <f>0.0121951219512195*5.25227342804663</f>
        <v>6.4052114976178354E-2</v>
      </c>
      <c r="I12346">
        <v>6.4052114976178409E-2</v>
      </c>
    </row>
    <row r="12347" spans="1:9" x14ac:dyDescent="0.25">
      <c r="A12347">
        <v>449</v>
      </c>
      <c r="B12347" t="s">
        <v>3578</v>
      </c>
      <c r="C12347" t="s">
        <v>75</v>
      </c>
      <c r="D12347" t="s">
        <v>2506</v>
      </c>
      <c r="E12347">
        <f t="shared" si="582"/>
        <v>1.2195121951219513E-2</v>
      </c>
      <c r="F12347">
        <v>4</v>
      </c>
      <c r="G12347">
        <f>LOG(382/(4+1))</f>
        <v>1.8830933585756899</v>
      </c>
      <c r="H12347">
        <f>0.0121951219512195*4.33598269617247</f>
        <v>5.2877837758200805E-2</v>
      </c>
      <c r="I12347">
        <v>5.2877837758200923E-2</v>
      </c>
    </row>
    <row r="12348" spans="1:9" x14ac:dyDescent="0.25">
      <c r="A12348">
        <v>449</v>
      </c>
      <c r="B12348" t="s">
        <v>3578</v>
      </c>
      <c r="C12348" t="s">
        <v>75</v>
      </c>
      <c r="D12348" t="s">
        <v>455</v>
      </c>
      <c r="E12348">
        <f t="shared" si="582"/>
        <v>1.2195121951219513E-2</v>
      </c>
      <c r="F12348">
        <v>78</v>
      </c>
      <c r="G12348">
        <f>LOG(382/(78+1))</f>
        <v>0.6844362716212673</v>
      </c>
      <c r="H12348">
        <f>0.0121951219512195*1.57597275613955</f>
        <v>1.9219179952921325E-2</v>
      </c>
      <c r="I12348">
        <v>1.9219179952921391E-2</v>
      </c>
    </row>
    <row r="12349" spans="1:9" x14ac:dyDescent="0.25">
      <c r="A12349">
        <v>449</v>
      </c>
      <c r="B12349" t="s">
        <v>3578</v>
      </c>
      <c r="C12349" t="s">
        <v>75</v>
      </c>
      <c r="D12349" t="s">
        <v>456</v>
      </c>
      <c r="E12349">
        <f t="shared" si="582"/>
        <v>1.2195121951219513E-2</v>
      </c>
      <c r="F12349">
        <v>71</v>
      </c>
      <c r="G12349">
        <f>LOG(382/(71+1))</f>
        <v>0.72473086648044027</v>
      </c>
      <c r="H12349">
        <f>0.0121951219512195*1.66875448959051</f>
        <v>2.035066450720132E-2</v>
      </c>
      <c r="I12349">
        <v>2.0350664507201459E-2</v>
      </c>
    </row>
    <row r="12350" spans="1:9" x14ac:dyDescent="0.25">
      <c r="A12350">
        <v>449</v>
      </c>
      <c r="B12350" t="s">
        <v>3578</v>
      </c>
      <c r="C12350" t="s">
        <v>75</v>
      </c>
      <c r="D12350" t="s">
        <v>3572</v>
      </c>
      <c r="E12350">
        <f t="shared" si="582"/>
        <v>1.2195121951219513E-2</v>
      </c>
      <c r="F12350">
        <v>2</v>
      </c>
      <c r="G12350">
        <f>LOG(382/(2+1))</f>
        <v>2.1049421081920463</v>
      </c>
      <c r="H12350">
        <f>0.0121951219512195*4.84680831993846</f>
        <v>5.9107418535834823E-2</v>
      </c>
      <c r="I12350">
        <v>5.9107418535834948E-2</v>
      </c>
    </row>
    <row r="12351" spans="1:9" x14ac:dyDescent="0.25">
      <c r="A12351">
        <v>449</v>
      </c>
      <c r="B12351" t="s">
        <v>3578</v>
      </c>
      <c r="C12351" t="s">
        <v>75</v>
      </c>
      <c r="D12351" t="s">
        <v>3573</v>
      </c>
      <c r="E12351">
        <f t="shared" si="582"/>
        <v>1.2195121951219513E-2</v>
      </c>
      <c r="F12351">
        <v>3</v>
      </c>
      <c r="G12351">
        <f>LOG(382/(3+1))</f>
        <v>1.9800033715837464</v>
      </c>
      <c r="H12351">
        <f>0.0121951219512195*4.55912624748668</f>
        <v>5.5599100579105803E-2</v>
      </c>
      <c r="I12351">
        <v>5.5599100579105908E-2</v>
      </c>
    </row>
    <row r="12352" spans="1:9" x14ac:dyDescent="0.25">
      <c r="A12352">
        <v>449</v>
      </c>
      <c r="B12352" t="s">
        <v>3578</v>
      </c>
      <c r="C12352" t="s">
        <v>75</v>
      </c>
      <c r="D12352" t="s">
        <v>361</v>
      </c>
      <c r="E12352">
        <f t="shared" si="582"/>
        <v>1.2195121951219513E-2</v>
      </c>
      <c r="F12352">
        <v>118</v>
      </c>
      <c r="G12352">
        <f>LOG(382/(118+1))</f>
        <v>0.50651640151917798</v>
      </c>
      <c r="H12352">
        <f>0.0121951219512195*1.16629711549504</f>
        <v>1.4223135554817546E-2</v>
      </c>
      <c r="I12352">
        <v>1.4223135554817631E-2</v>
      </c>
    </row>
    <row r="12353" spans="1:9" x14ac:dyDescent="0.25">
      <c r="A12353">
        <v>449</v>
      </c>
      <c r="B12353" t="s">
        <v>3578</v>
      </c>
      <c r="C12353" t="s">
        <v>75</v>
      </c>
      <c r="D12353" t="s">
        <v>434</v>
      </c>
      <c r="E12353">
        <f t="shared" si="582"/>
        <v>1.2195121951219513E-2</v>
      </c>
      <c r="F12353">
        <v>97</v>
      </c>
      <c r="G12353">
        <f>LOG(382/(97+1))</f>
        <v>0.59083728721921391</v>
      </c>
      <c r="H12353">
        <f>0.0121951219512195*1.360453129936</f>
        <v>1.6590891828487789E-2</v>
      </c>
      <c r="I12353">
        <v>1.6590891828487841E-2</v>
      </c>
    </row>
    <row r="12354" spans="1:9" x14ac:dyDescent="0.25">
      <c r="A12354">
        <v>449</v>
      </c>
      <c r="B12354" t="s">
        <v>3578</v>
      </c>
      <c r="C12354" t="s">
        <v>75</v>
      </c>
      <c r="D12354" t="s">
        <v>3325</v>
      </c>
      <c r="E12354">
        <f t="shared" si="582"/>
        <v>1.2195121951219513E-2</v>
      </c>
      <c r="F12354">
        <v>19</v>
      </c>
      <c r="G12354">
        <f>LOG(382/(19+1))</f>
        <v>1.2810333672477277</v>
      </c>
      <c r="H12354">
        <f>0.0121951219512195*2.94968833505258</f>
        <v>3.5971808964055822E-2</v>
      </c>
      <c r="I12354">
        <v>3.5971808964055912E-2</v>
      </c>
    </row>
    <row r="12355" spans="1:9" x14ac:dyDescent="0.25">
      <c r="A12355">
        <v>449</v>
      </c>
      <c r="B12355" t="s">
        <v>3578</v>
      </c>
      <c r="C12355" t="s">
        <v>75</v>
      </c>
      <c r="D12355" t="s">
        <v>3327</v>
      </c>
      <c r="E12355">
        <f t="shared" si="582"/>
        <v>1.2195121951219513E-2</v>
      </c>
      <c r="F12355">
        <v>21</v>
      </c>
      <c r="G12355">
        <f>LOG(382/(21+1))</f>
        <v>1.2396406820895025</v>
      </c>
      <c r="H12355">
        <f>0.0121951219512195*2.85437815524825</f>
        <v>3.4809489698149357E-2</v>
      </c>
      <c r="I12355">
        <v>3.4809489698149503E-2</v>
      </c>
    </row>
    <row r="12356" spans="1:9" x14ac:dyDescent="0.25">
      <c r="A12356">
        <v>449</v>
      </c>
      <c r="B12356" t="s">
        <v>3578</v>
      </c>
      <c r="C12356" t="s">
        <v>75</v>
      </c>
      <c r="D12356" t="s">
        <v>3574</v>
      </c>
      <c r="E12356">
        <f t="shared" si="582"/>
        <v>1.2195121951219513E-2</v>
      </c>
      <c r="F12356">
        <v>3</v>
      </c>
      <c r="G12356">
        <f>LOG(382/(3+1))</f>
        <v>1.9800033715837464</v>
      </c>
      <c r="H12356">
        <f>0.0121951219512195*4.55912624748668</f>
        <v>5.5599100579105803E-2</v>
      </c>
      <c r="I12356">
        <v>5.5599100579105908E-2</v>
      </c>
    </row>
    <row r="12357" spans="1:9" x14ac:dyDescent="0.25">
      <c r="A12357">
        <v>449</v>
      </c>
      <c r="B12357" t="s">
        <v>3578</v>
      </c>
      <c r="C12357" t="s">
        <v>75</v>
      </c>
      <c r="D12357" t="s">
        <v>149</v>
      </c>
      <c r="E12357">
        <f t="shared" si="582"/>
        <v>1.2195121951219513E-2</v>
      </c>
      <c r="F12357">
        <v>35</v>
      </c>
      <c r="G12357">
        <f>LOG(382/(35+1))</f>
        <v>1.0257608621444214</v>
      </c>
      <c r="H12357">
        <f>0.0121951219512195*2.36190167015046</f>
        <v>2.8803678904273874E-2</v>
      </c>
      <c r="I12357">
        <v>2.880367890427396E-2</v>
      </c>
    </row>
    <row r="12358" spans="1:9" x14ac:dyDescent="0.25">
      <c r="A12358">
        <v>449</v>
      </c>
      <c r="B12358" t="s">
        <v>3578</v>
      </c>
      <c r="C12358" t="s">
        <v>75</v>
      </c>
      <c r="D12358" t="s">
        <v>2242</v>
      </c>
      <c r="E12358">
        <f t="shared" si="582"/>
        <v>1.2195121951219513E-2</v>
      </c>
      <c r="F12358">
        <v>18</v>
      </c>
      <c r="G12358">
        <f>LOG(382/(18+1))</f>
        <v>1.3033097619588798</v>
      </c>
      <c r="H12358">
        <f>0.0121951219512195*3.00098162944013</f>
        <v>3.6597336944391795E-2</v>
      </c>
      <c r="I12358">
        <v>3.6597336944391892E-2</v>
      </c>
    </row>
    <row r="12359" spans="1:9" x14ac:dyDescent="0.25">
      <c r="A12359">
        <v>449</v>
      </c>
      <c r="B12359" t="s">
        <v>3578</v>
      </c>
      <c r="C12359" t="s">
        <v>75</v>
      </c>
      <c r="D12359" t="s">
        <v>214</v>
      </c>
      <c r="E12359">
        <f t="shared" si="582"/>
        <v>1.2195121951219513E-2</v>
      </c>
      <c r="F12359">
        <v>68</v>
      </c>
      <c r="G12359">
        <f>LOG(382/(68+1))</f>
        <v>0.74321427217445335</v>
      </c>
      <c r="H12359">
        <f>0.0121951219512195*1.71131410400931</f>
        <v>2.086968419523547E-2</v>
      </c>
      <c r="I12359">
        <v>2.086968419523556E-2</v>
      </c>
    </row>
    <row r="12360" spans="1:9" x14ac:dyDescent="0.25">
      <c r="A12360">
        <v>449</v>
      </c>
      <c r="B12360" t="s">
        <v>3578</v>
      </c>
      <c r="C12360" t="s">
        <v>75</v>
      </c>
      <c r="D12360" t="s">
        <v>3444</v>
      </c>
      <c r="E12360">
        <f t="shared" si="582"/>
        <v>1.2195121951219513E-2</v>
      </c>
      <c r="F12360">
        <v>10</v>
      </c>
      <c r="G12360">
        <f>LOG(382/(10+1))</f>
        <v>1.5406706777534838</v>
      </c>
      <c r="H12360">
        <f>0.0121951219512195*3.5475253358082</f>
        <v>4.3262504095221914E-2</v>
      </c>
      <c r="I12360">
        <v>4.3262504095222011E-2</v>
      </c>
    </row>
    <row r="12361" spans="1:9" x14ac:dyDescent="0.25">
      <c r="A12361">
        <v>449</v>
      </c>
      <c r="B12361" t="s">
        <v>3578</v>
      </c>
      <c r="C12361" t="s">
        <v>75</v>
      </c>
      <c r="D12361" t="s">
        <v>322</v>
      </c>
      <c r="E12361">
        <f t="shared" si="582"/>
        <v>1.2195121951219513E-2</v>
      </c>
      <c r="F12361">
        <v>128</v>
      </c>
      <c r="G12361">
        <f>LOG(382/(128+1))</f>
        <v>0.47147365261245977</v>
      </c>
      <c r="H12361">
        <f>0.0121951219512195*1.0856082042449</f>
        <v>1.3239124442010962E-2</v>
      </c>
      <c r="I12361">
        <v>1.3239124442011011E-2</v>
      </c>
    </row>
    <row r="12362" spans="1:9" x14ac:dyDescent="0.25">
      <c r="A12362">
        <v>449</v>
      </c>
      <c r="B12362" t="s">
        <v>3578</v>
      </c>
      <c r="C12362" t="s">
        <v>75</v>
      </c>
      <c r="D12362" t="s">
        <v>324</v>
      </c>
      <c r="E12362">
        <f t="shared" si="582"/>
        <v>1.2195121951219513E-2</v>
      </c>
      <c r="F12362">
        <v>82</v>
      </c>
      <c r="G12362">
        <f>LOG(382/(82+1))</f>
        <v>0.66298527053563483</v>
      </c>
      <c r="H12362">
        <f>0.0121951219512195*1.52658000080997</f>
        <v>1.8616829278170346E-2</v>
      </c>
      <c r="I12362">
        <v>1.861682927817045E-2</v>
      </c>
    </row>
    <row r="12363" spans="1:9" x14ac:dyDescent="0.25">
      <c r="A12363">
        <v>449</v>
      </c>
      <c r="B12363" t="s">
        <v>3578</v>
      </c>
      <c r="C12363" t="s">
        <v>75</v>
      </c>
      <c r="D12363" t="s">
        <v>1222</v>
      </c>
      <c r="E12363">
        <f t="shared" si="582"/>
        <v>1.2195121951219513E-2</v>
      </c>
      <c r="F12363">
        <v>56</v>
      </c>
      <c r="G12363">
        <f>LOG(382/(56+1))</f>
        <v>0.82618850723921733</v>
      </c>
      <c r="H12363">
        <f>0.0121951219512195*1.90236934077202</f>
        <v>2.3199626106975832E-2</v>
      </c>
      <c r="I12363">
        <v>2.3199626106975919E-2</v>
      </c>
    </row>
    <row r="12364" spans="1:9" x14ac:dyDescent="0.25">
      <c r="A12364">
        <v>449</v>
      </c>
      <c r="B12364" t="s">
        <v>3578</v>
      </c>
      <c r="C12364" t="s">
        <v>75</v>
      </c>
      <c r="D12364" t="s">
        <v>485</v>
      </c>
      <c r="E12364">
        <f t="shared" si="582"/>
        <v>1.2195121951219513E-2</v>
      </c>
      <c r="F12364">
        <v>74</v>
      </c>
      <c r="G12364">
        <f>LOG(382/(74+1))</f>
        <v>0.7070020995200087</v>
      </c>
      <c r="H12364">
        <f>0.0121951219512195*1.62793249507026</f>
        <v>1.985283530573486E-2</v>
      </c>
      <c r="I12364">
        <v>1.985283530573494E-2</v>
      </c>
    </row>
    <row r="12365" spans="1:9" x14ac:dyDescent="0.25">
      <c r="A12365">
        <v>449</v>
      </c>
      <c r="B12365" t="s">
        <v>3578</v>
      </c>
      <c r="C12365" t="s">
        <v>75</v>
      </c>
      <c r="D12365" t="s">
        <v>78</v>
      </c>
      <c r="E12365">
        <f>2/82</f>
        <v>2.4390243902439025E-2</v>
      </c>
      <c r="F12365">
        <v>122</v>
      </c>
      <c r="G12365">
        <f>LOG(382/(122+1))</f>
        <v>0.49215825147231079</v>
      </c>
      <c r="H12365">
        <f>0.024390243902439*1.13323625323415</f>
        <v>2.7639908615467047E-2</v>
      </c>
      <c r="I12365">
        <v>2.7639908615467262E-2</v>
      </c>
    </row>
    <row r="12366" spans="1:9" x14ac:dyDescent="0.25">
      <c r="A12366">
        <v>449</v>
      </c>
      <c r="B12366" t="s">
        <v>3578</v>
      </c>
      <c r="C12366" t="s">
        <v>75</v>
      </c>
      <c r="D12366" t="s">
        <v>98</v>
      </c>
      <c r="E12366">
        <f>1/82</f>
        <v>1.2195121951219513E-2</v>
      </c>
      <c r="F12366">
        <v>56</v>
      </c>
      <c r="G12366">
        <f>LOG(382/(56+1))</f>
        <v>0.82618850723921733</v>
      </c>
      <c r="H12366">
        <f>0.0121951219512195*1.90236934077202</f>
        <v>2.3199626106975832E-2</v>
      </c>
      <c r="I12366">
        <v>2.3199626106975919E-2</v>
      </c>
    </row>
    <row r="12367" spans="1:9" x14ac:dyDescent="0.25">
      <c r="A12367">
        <v>449</v>
      </c>
      <c r="B12367" t="s">
        <v>3578</v>
      </c>
      <c r="C12367" t="s">
        <v>75</v>
      </c>
      <c r="D12367" t="s">
        <v>50</v>
      </c>
      <c r="E12367">
        <f>2/82</f>
        <v>2.4390243902439025E-2</v>
      </c>
      <c r="F12367">
        <v>109</v>
      </c>
      <c r="G12367">
        <f>LOG(382/(109+1))</f>
        <v>0.54067067775348365</v>
      </c>
      <c r="H12367">
        <f>0.024390243902439*1.24494024281415</f>
        <v>3.0364396166198751E-2</v>
      </c>
      <c r="I12367">
        <v>3.0364396166199001E-2</v>
      </c>
    </row>
    <row r="12368" spans="1:9" x14ac:dyDescent="0.25">
      <c r="A12368">
        <v>449</v>
      </c>
      <c r="B12368" t="s">
        <v>3578</v>
      </c>
      <c r="C12368" t="s">
        <v>75</v>
      </c>
      <c r="D12368" t="s">
        <v>754</v>
      </c>
      <c r="E12368">
        <f>2/82</f>
        <v>2.4390243902439025E-2</v>
      </c>
      <c r="F12368">
        <v>111</v>
      </c>
      <c r="G12368">
        <f>LOG(382/(111+1))</f>
        <v>0.53284534024152708</v>
      </c>
      <c r="H12368">
        <f>0.024390243902439*1.22692173731148</f>
        <v>2.9924920422231192E-2</v>
      </c>
      <c r="I12368">
        <v>2.992492042223124E-2</v>
      </c>
    </row>
    <row r="12369" spans="1:9" x14ac:dyDescent="0.25">
      <c r="A12369">
        <v>449</v>
      </c>
      <c r="B12369" t="s">
        <v>3578</v>
      </c>
      <c r="C12369" t="s">
        <v>75</v>
      </c>
      <c r="D12369" t="s">
        <v>2238</v>
      </c>
      <c r="E12369">
        <f t="shared" ref="E12369:E12374" si="583">1/82</f>
        <v>1.2195121951219513E-2</v>
      </c>
      <c r="F12369">
        <v>68</v>
      </c>
      <c r="G12369">
        <f>LOG(382/(68+1))</f>
        <v>0.74321427217445335</v>
      </c>
      <c r="H12369">
        <f>0.0121951219512195*1.71131410400931</f>
        <v>2.086968419523547E-2</v>
      </c>
      <c r="I12369">
        <v>2.086968419523556E-2</v>
      </c>
    </row>
    <row r="12370" spans="1:9" x14ac:dyDescent="0.25">
      <c r="A12370">
        <v>449</v>
      </c>
      <c r="B12370" t="s">
        <v>3578</v>
      </c>
      <c r="C12370" t="s">
        <v>75</v>
      </c>
      <c r="D12370" t="s">
        <v>2178</v>
      </c>
      <c r="E12370">
        <f t="shared" si="583"/>
        <v>1.2195121951219513E-2</v>
      </c>
      <c r="F12370">
        <v>11</v>
      </c>
      <c r="G12370">
        <f>LOG(382/(11+1))</f>
        <v>1.5028821168640838</v>
      </c>
      <c r="H12370">
        <f>0.0121951219512195*3.46051395881857</f>
        <v>4.220138974168984E-2</v>
      </c>
      <c r="I12370">
        <v>4.2201389741689938E-2</v>
      </c>
    </row>
    <row r="12371" spans="1:9" x14ac:dyDescent="0.25">
      <c r="A12371">
        <v>449</v>
      </c>
      <c r="B12371" t="s">
        <v>3578</v>
      </c>
      <c r="C12371" t="s">
        <v>75</v>
      </c>
      <c r="D12371" t="s">
        <v>1732</v>
      </c>
      <c r="E12371">
        <f t="shared" si="583"/>
        <v>1.2195121951219513E-2</v>
      </c>
      <c r="F12371">
        <v>16</v>
      </c>
      <c r="G12371">
        <f>LOG(382/(16+1))</f>
        <v>1.3516144415334348</v>
      </c>
      <c r="H12371">
        <f>0.0121951219512195*3.11220726455035</f>
        <v>3.7953747128662764E-2</v>
      </c>
      <c r="I12371">
        <v>3.7953747128662917E-2</v>
      </c>
    </row>
    <row r="12372" spans="1:9" x14ac:dyDescent="0.25">
      <c r="A12372">
        <v>449</v>
      </c>
      <c r="B12372" t="s">
        <v>3578</v>
      </c>
      <c r="C12372" t="s">
        <v>75</v>
      </c>
      <c r="D12372" t="s">
        <v>1733</v>
      </c>
      <c r="E12372">
        <f t="shared" si="583"/>
        <v>1.2195121951219513E-2</v>
      </c>
      <c r="F12372">
        <v>19</v>
      </c>
      <c r="G12372">
        <f>LOG(382/(19+1))</f>
        <v>1.2810333672477277</v>
      </c>
      <c r="H12372">
        <f>0.0121951219512195*2.94968833505258</f>
        <v>3.5971808964055822E-2</v>
      </c>
      <c r="I12372">
        <v>3.5971808964055912E-2</v>
      </c>
    </row>
    <row r="12373" spans="1:9" x14ac:dyDescent="0.25">
      <c r="A12373">
        <v>449</v>
      </c>
      <c r="B12373" t="s">
        <v>3578</v>
      </c>
      <c r="C12373" t="s">
        <v>75</v>
      </c>
      <c r="D12373" t="s">
        <v>20</v>
      </c>
      <c r="E12373">
        <f t="shared" si="583"/>
        <v>1.2195121951219513E-2</v>
      </c>
      <c r="F12373">
        <v>19</v>
      </c>
      <c r="G12373">
        <f>LOG(382/(19+1))</f>
        <v>1.2810333672477277</v>
      </c>
      <c r="H12373">
        <f>0.0121951219512195*2.94968833505258</f>
        <v>3.5971808964055822E-2</v>
      </c>
      <c r="I12373">
        <v>3.5971808964055912E-2</v>
      </c>
    </row>
    <row r="12374" spans="1:9" x14ac:dyDescent="0.25">
      <c r="A12374">
        <v>449</v>
      </c>
      <c r="B12374" t="s">
        <v>3578</v>
      </c>
      <c r="C12374" t="s">
        <v>75</v>
      </c>
      <c r="D12374" t="s">
        <v>1738</v>
      </c>
      <c r="E12374">
        <f t="shared" si="583"/>
        <v>1.2195121951219513E-2</v>
      </c>
      <c r="F12374">
        <v>24</v>
      </c>
      <c r="G12374">
        <f>LOG(382/(24+1))</f>
        <v>1.1841233542396712</v>
      </c>
      <c r="H12374">
        <f>0.0121951219512195*2.72654478373837</f>
        <v>3.3250546143150816E-2</v>
      </c>
      <c r="I12374">
        <v>3.3250546143150907E-2</v>
      </c>
    </row>
    <row r="12375" spans="1:9" x14ac:dyDescent="0.25">
      <c r="A12375">
        <v>449</v>
      </c>
      <c r="B12375" t="s">
        <v>3578</v>
      </c>
      <c r="C12375" t="s">
        <v>75</v>
      </c>
      <c r="D12375" t="s">
        <v>1739</v>
      </c>
      <c r="E12375">
        <f>2/82</f>
        <v>2.4390243902439025E-2</v>
      </c>
      <c r="F12375">
        <v>30</v>
      </c>
      <c r="G12375">
        <f>LOG(382/(30+1))</f>
        <v>1.090701669077436</v>
      </c>
      <c r="H12375">
        <f>0.024390243902439*2.51143340412142</f>
        <v>6.1254473271254092E-2</v>
      </c>
      <c r="I12375">
        <v>6.125447327125437E-2</v>
      </c>
    </row>
    <row r="12376" spans="1:9" x14ac:dyDescent="0.25">
      <c r="A12376">
        <v>449</v>
      </c>
      <c r="B12376" t="s">
        <v>3578</v>
      </c>
      <c r="C12376" t="s">
        <v>75</v>
      </c>
      <c r="D12376" t="s">
        <v>3335</v>
      </c>
      <c r="E12376">
        <f t="shared" ref="E12376:E12381" si="584">1/82</f>
        <v>1.2195121951219513E-2</v>
      </c>
      <c r="F12376">
        <v>16</v>
      </c>
      <c r="G12376">
        <f>LOG(382/(16+1))</f>
        <v>1.3516144415334348</v>
      </c>
      <c r="H12376">
        <f>0.0121951219512195*3.11220726455035</f>
        <v>3.7953747128662764E-2</v>
      </c>
      <c r="I12376">
        <v>3.7953747128662917E-2</v>
      </c>
    </row>
    <row r="12377" spans="1:9" x14ac:dyDescent="0.25">
      <c r="A12377">
        <v>449</v>
      </c>
      <c r="B12377" t="s">
        <v>3578</v>
      </c>
      <c r="C12377" t="s">
        <v>75</v>
      </c>
      <c r="D12377" t="s">
        <v>3577</v>
      </c>
      <c r="E12377">
        <f t="shared" si="584"/>
        <v>1.2195121951219513E-2</v>
      </c>
      <c r="F12377">
        <v>2</v>
      </c>
      <c r="G12377">
        <f>LOG(382/(2+1))</f>
        <v>2.1049421081920463</v>
      </c>
      <c r="H12377">
        <f>0.0121951219512195*4.84680831993846</f>
        <v>5.9107418535834823E-2</v>
      </c>
      <c r="I12377">
        <v>5.9107418535834948E-2</v>
      </c>
    </row>
    <row r="12378" spans="1:9" x14ac:dyDescent="0.25">
      <c r="A12378">
        <v>449</v>
      </c>
      <c r="B12378" t="s">
        <v>3578</v>
      </c>
      <c r="C12378" t="s">
        <v>75</v>
      </c>
      <c r="D12378" t="s">
        <v>746</v>
      </c>
      <c r="E12378">
        <f t="shared" si="584"/>
        <v>1.2195121951219513E-2</v>
      </c>
      <c r="F12378">
        <v>58</v>
      </c>
      <c r="G12378">
        <f>LOG(382/(58+1))</f>
        <v>0.81121135126956456</v>
      </c>
      <c r="H12378">
        <f>0.0121951219512195*1.86788316470085</f>
        <v>2.2779062984156686E-2</v>
      </c>
      <c r="I12378">
        <v>2.277906298415678E-2</v>
      </c>
    </row>
    <row r="12379" spans="1:9" x14ac:dyDescent="0.25">
      <c r="A12379">
        <v>449</v>
      </c>
      <c r="B12379" t="s">
        <v>3578</v>
      </c>
      <c r="C12379" t="s">
        <v>75</v>
      </c>
      <c r="D12379" t="s">
        <v>133</v>
      </c>
      <c r="E12379">
        <f t="shared" si="584"/>
        <v>1.2195121951219513E-2</v>
      </c>
      <c r="F12379">
        <v>142</v>
      </c>
      <c r="G12379">
        <f>LOG(382/(142+1))</f>
        <v>0.42672732544664693</v>
      </c>
      <c r="H12379">
        <f>0.0121951219512195*0.982575978346667</f>
        <v>1.1982633882276415E-2</v>
      </c>
      <c r="I12379">
        <v>1.1982633882276441E-2</v>
      </c>
    </row>
    <row r="12380" spans="1:9" x14ac:dyDescent="0.25">
      <c r="A12380">
        <v>449</v>
      </c>
      <c r="B12380" t="s">
        <v>3578</v>
      </c>
      <c r="C12380" t="s">
        <v>75</v>
      </c>
      <c r="D12380" t="s">
        <v>1762</v>
      </c>
      <c r="E12380">
        <f t="shared" si="584"/>
        <v>1.2195121951219513E-2</v>
      </c>
      <c r="F12380">
        <v>60</v>
      </c>
      <c r="G12380">
        <f>LOG(382/(60+1))</f>
        <v>0.79673352790094176</v>
      </c>
      <c r="H12380">
        <f>0.0121951219512195*1.83454674443326</f>
        <v>2.2372521273576321E-2</v>
      </c>
      <c r="I12380">
        <v>2.237252127357639E-2</v>
      </c>
    </row>
    <row r="12381" spans="1:9" x14ac:dyDescent="0.25">
      <c r="A12381">
        <v>449</v>
      </c>
      <c r="B12381" t="s">
        <v>3578</v>
      </c>
      <c r="C12381" t="s">
        <v>75</v>
      </c>
      <c r="D12381" t="s">
        <v>126</v>
      </c>
      <c r="E12381">
        <f t="shared" si="584"/>
        <v>1.2195121951219513E-2</v>
      </c>
      <c r="F12381">
        <v>79</v>
      </c>
      <c r="G12381">
        <f>LOG(382/(79+1))</f>
        <v>0.67897337591976514</v>
      </c>
      <c r="H12381">
        <f>0.0121951219512195*1.56339397393269</f>
        <v>1.9065780169910836E-2</v>
      </c>
      <c r="I12381">
        <v>1.9065780169910899E-2</v>
      </c>
    </row>
    <row r="12382" spans="1:9" x14ac:dyDescent="0.25">
      <c r="A12382">
        <v>450</v>
      </c>
      <c r="B12382" t="s">
        <v>3589</v>
      </c>
      <c r="C12382" t="s">
        <v>75</v>
      </c>
      <c r="D12382" t="s">
        <v>243</v>
      </c>
      <c r="E12382">
        <f t="shared" ref="E12382:E12403" si="585">1/47</f>
        <v>2.1276595744680851E-2</v>
      </c>
      <c r="F12382">
        <v>131</v>
      </c>
      <c r="G12382">
        <f>LOG(382/(131+1))</f>
        <v>0.46148943170585888</v>
      </c>
      <c r="H12382">
        <f>0.0212765957446808*1.0626186860202</f>
        <v>2.2608908213195691E-2</v>
      </c>
      <c r="I12382">
        <v>2.260890821319584E-2</v>
      </c>
    </row>
    <row r="12383" spans="1:9" x14ac:dyDescent="0.25">
      <c r="A12383">
        <v>450</v>
      </c>
      <c r="B12383" t="s">
        <v>3589</v>
      </c>
      <c r="C12383" t="s">
        <v>75</v>
      </c>
      <c r="D12383" t="s">
        <v>453</v>
      </c>
      <c r="E12383">
        <f t="shared" si="585"/>
        <v>2.1276595744680851E-2</v>
      </c>
      <c r="F12383">
        <v>68</v>
      </c>
      <c r="G12383">
        <f>LOG(382/(68+1))</f>
        <v>0.74321427217445335</v>
      </c>
      <c r="H12383">
        <f>0.0212765957446808*1.71131410400931</f>
        <v>3.6410938383176716E-2</v>
      </c>
      <c r="I12383">
        <v>3.6410938383176931E-2</v>
      </c>
    </row>
    <row r="12384" spans="1:9" x14ac:dyDescent="0.25">
      <c r="A12384">
        <v>450</v>
      </c>
      <c r="B12384" t="s">
        <v>3589</v>
      </c>
      <c r="C12384" t="s">
        <v>75</v>
      </c>
      <c r="D12384" t="s">
        <v>455</v>
      </c>
      <c r="E12384">
        <f t="shared" si="585"/>
        <v>2.1276595744680851E-2</v>
      </c>
      <c r="F12384">
        <v>78</v>
      </c>
      <c r="G12384">
        <f>LOG(382/(78+1))</f>
        <v>0.6844362716212673</v>
      </c>
      <c r="H12384">
        <f>0.0212765957446808*1.57597275613955</f>
        <v>3.3531335237011621E-2</v>
      </c>
      <c r="I12384">
        <v>3.3531335237011781E-2</v>
      </c>
    </row>
    <row r="12385" spans="1:9" x14ac:dyDescent="0.25">
      <c r="A12385">
        <v>450</v>
      </c>
      <c r="B12385" t="s">
        <v>3589</v>
      </c>
      <c r="C12385" t="s">
        <v>75</v>
      </c>
      <c r="D12385" t="s">
        <v>456</v>
      </c>
      <c r="E12385">
        <f t="shared" si="585"/>
        <v>2.1276595744680851E-2</v>
      </c>
      <c r="F12385">
        <v>71</v>
      </c>
      <c r="G12385">
        <f>LOG(382/(71+1))</f>
        <v>0.72473086648044027</v>
      </c>
      <c r="H12385">
        <f>0.0212765957446808*1.66875448959051</f>
        <v>3.550541467213842E-2</v>
      </c>
      <c r="I12385">
        <v>3.5505414672138719E-2</v>
      </c>
    </row>
    <row r="12386" spans="1:9" x14ac:dyDescent="0.25">
      <c r="A12386">
        <v>450</v>
      </c>
      <c r="B12386" t="s">
        <v>3589</v>
      </c>
      <c r="C12386" t="s">
        <v>75</v>
      </c>
      <c r="D12386" t="s">
        <v>3590</v>
      </c>
      <c r="E12386">
        <f t="shared" si="585"/>
        <v>2.1276595744680851E-2</v>
      </c>
      <c r="F12386">
        <v>1</v>
      </c>
      <c r="G12386">
        <f>LOG(382/(1+1))</f>
        <v>2.2810333672477277</v>
      </c>
      <c r="H12386">
        <f>0.0212765957446808*5.25227342804663</f>
        <v>0.11175049846907696</v>
      </c>
      <c r="I12386">
        <v>0.1117504984690772</v>
      </c>
    </row>
    <row r="12387" spans="1:9" x14ac:dyDescent="0.25">
      <c r="A12387">
        <v>450</v>
      </c>
      <c r="B12387" t="s">
        <v>3589</v>
      </c>
      <c r="C12387" t="s">
        <v>75</v>
      </c>
      <c r="D12387" t="s">
        <v>3573</v>
      </c>
      <c r="E12387">
        <f t="shared" si="585"/>
        <v>2.1276595744680851E-2</v>
      </c>
      <c r="F12387">
        <v>3</v>
      </c>
      <c r="G12387">
        <f>LOG(382/(3+1))</f>
        <v>1.9800033715837464</v>
      </c>
      <c r="H12387">
        <f>0.0212765957446808*4.55912624748668</f>
        <v>9.7002686116737638E-2</v>
      </c>
      <c r="I12387">
        <v>9.7002686116737971E-2</v>
      </c>
    </row>
    <row r="12388" spans="1:9" x14ac:dyDescent="0.25">
      <c r="A12388">
        <v>450</v>
      </c>
      <c r="B12388" t="s">
        <v>3589</v>
      </c>
      <c r="C12388" t="s">
        <v>75</v>
      </c>
      <c r="D12388" t="s">
        <v>361</v>
      </c>
      <c r="E12388">
        <f t="shared" si="585"/>
        <v>2.1276595744680851E-2</v>
      </c>
      <c r="F12388">
        <v>118</v>
      </c>
      <c r="G12388">
        <f>LOG(382/(118+1))</f>
        <v>0.50651640151917798</v>
      </c>
      <c r="H12388">
        <f>0.0212765957446808*1.16629711549504</f>
        <v>2.4814832244575254E-2</v>
      </c>
      <c r="I12388">
        <v>2.4814832244575449E-2</v>
      </c>
    </row>
    <row r="12389" spans="1:9" x14ac:dyDescent="0.25">
      <c r="A12389">
        <v>450</v>
      </c>
      <c r="B12389" t="s">
        <v>3589</v>
      </c>
      <c r="C12389" t="s">
        <v>75</v>
      </c>
      <c r="D12389" t="s">
        <v>434</v>
      </c>
      <c r="E12389">
        <f t="shared" si="585"/>
        <v>2.1276595744680851E-2</v>
      </c>
      <c r="F12389">
        <v>97</v>
      </c>
      <c r="G12389">
        <f>LOG(382/(97+1))</f>
        <v>0.59083728721921391</v>
      </c>
      <c r="H12389">
        <f>0.0212765957446808*1.360453129936</f>
        <v>2.8945811275233973E-2</v>
      </c>
      <c r="I12389">
        <v>2.8945811275234112E-2</v>
      </c>
    </row>
    <row r="12390" spans="1:9" x14ac:dyDescent="0.25">
      <c r="A12390">
        <v>450</v>
      </c>
      <c r="B12390" t="s">
        <v>3589</v>
      </c>
      <c r="C12390" t="s">
        <v>75</v>
      </c>
      <c r="D12390" t="s">
        <v>3325</v>
      </c>
      <c r="E12390">
        <f t="shared" si="585"/>
        <v>2.1276595744680851E-2</v>
      </c>
      <c r="F12390">
        <v>19</v>
      </c>
      <c r="G12390">
        <f>LOG(382/(19+1))</f>
        <v>1.2810333672477277</v>
      </c>
      <c r="H12390">
        <f>0.0212765957446808*2.94968833505258</f>
        <v>6.2759326277714314E-2</v>
      </c>
      <c r="I12390">
        <v>6.2759326277714564E-2</v>
      </c>
    </row>
    <row r="12391" spans="1:9" x14ac:dyDescent="0.25">
      <c r="A12391">
        <v>450</v>
      </c>
      <c r="B12391" t="s">
        <v>3589</v>
      </c>
      <c r="C12391" t="s">
        <v>75</v>
      </c>
      <c r="D12391" t="s">
        <v>3327</v>
      </c>
      <c r="E12391">
        <f t="shared" si="585"/>
        <v>2.1276595744680851E-2</v>
      </c>
      <c r="F12391">
        <v>21</v>
      </c>
      <c r="G12391">
        <f>LOG(382/(21+1))</f>
        <v>1.2396406820895025</v>
      </c>
      <c r="H12391">
        <f>0.0212765957446808*2.85437815524825</f>
        <v>6.0731450111664739E-2</v>
      </c>
      <c r="I12391">
        <v>6.0731450111665093E-2</v>
      </c>
    </row>
    <row r="12392" spans="1:9" x14ac:dyDescent="0.25">
      <c r="A12392">
        <v>450</v>
      </c>
      <c r="B12392" t="s">
        <v>3589</v>
      </c>
      <c r="C12392" t="s">
        <v>75</v>
      </c>
      <c r="D12392" t="s">
        <v>2241</v>
      </c>
      <c r="E12392">
        <f t="shared" si="585"/>
        <v>2.1276595744680851E-2</v>
      </c>
      <c r="F12392">
        <v>12</v>
      </c>
      <c r="G12392">
        <f>LOG(382/(12+1))</f>
        <v>1.468120010604872</v>
      </c>
      <c r="H12392">
        <f>0.0212765957446808*3.38047125114503</f>
        <v>7.1924920237128126E-2</v>
      </c>
      <c r="I12392">
        <v>7.1924920237128473E-2</v>
      </c>
    </row>
    <row r="12393" spans="1:9" x14ac:dyDescent="0.25">
      <c r="A12393">
        <v>450</v>
      </c>
      <c r="B12393" t="s">
        <v>3589</v>
      </c>
      <c r="C12393" t="s">
        <v>75</v>
      </c>
      <c r="D12393" t="s">
        <v>149</v>
      </c>
      <c r="E12393">
        <f t="shared" si="585"/>
        <v>2.1276595744680851E-2</v>
      </c>
      <c r="F12393">
        <v>35</v>
      </c>
      <c r="G12393">
        <f>LOG(382/(35+1))</f>
        <v>1.0257608621444214</v>
      </c>
      <c r="H12393">
        <f>0.0212765957446808*2.36190167015046</f>
        <v>5.0253227024477751E-2</v>
      </c>
      <c r="I12393">
        <v>5.0253227024477973E-2</v>
      </c>
    </row>
    <row r="12394" spans="1:9" x14ac:dyDescent="0.25">
      <c r="A12394">
        <v>450</v>
      </c>
      <c r="B12394" t="s">
        <v>3589</v>
      </c>
      <c r="C12394" t="s">
        <v>75</v>
      </c>
      <c r="D12394" t="s">
        <v>1938</v>
      </c>
      <c r="E12394">
        <f t="shared" si="585"/>
        <v>2.1276595744680851E-2</v>
      </c>
      <c r="F12394">
        <v>7</v>
      </c>
      <c r="G12394">
        <f>LOG(382/(7+1))</f>
        <v>1.6789733759197651</v>
      </c>
      <c r="H12394">
        <f>0.0212765957446808*3.86597906692673</f>
        <v>8.2254873764398315E-2</v>
      </c>
      <c r="I12394">
        <v>8.2254873764398703E-2</v>
      </c>
    </row>
    <row r="12395" spans="1:9" x14ac:dyDescent="0.25">
      <c r="A12395">
        <v>450</v>
      </c>
      <c r="B12395" t="s">
        <v>3589</v>
      </c>
      <c r="C12395" t="s">
        <v>75</v>
      </c>
      <c r="D12395" t="s">
        <v>214</v>
      </c>
      <c r="E12395">
        <f t="shared" si="585"/>
        <v>2.1276595744680851E-2</v>
      </c>
      <c r="F12395">
        <v>68</v>
      </c>
      <c r="G12395">
        <f>LOG(382/(68+1))</f>
        <v>0.74321427217445335</v>
      </c>
      <c r="H12395">
        <f>0.0212765957446808*1.71131410400931</f>
        <v>3.6410938383176716E-2</v>
      </c>
      <c r="I12395">
        <v>3.6410938383176931E-2</v>
      </c>
    </row>
    <row r="12396" spans="1:9" x14ac:dyDescent="0.25">
      <c r="A12396">
        <v>450</v>
      </c>
      <c r="B12396" t="s">
        <v>3589</v>
      </c>
      <c r="C12396" t="s">
        <v>75</v>
      </c>
      <c r="D12396" t="s">
        <v>3444</v>
      </c>
      <c r="E12396">
        <f t="shared" si="585"/>
        <v>2.1276595744680851E-2</v>
      </c>
      <c r="F12396">
        <v>10</v>
      </c>
      <c r="G12396">
        <f>LOG(382/(10+1))</f>
        <v>1.5406706777534838</v>
      </c>
      <c r="H12396">
        <f>0.0212765957446808*3.5475253358082</f>
        <v>7.5479262464004077E-2</v>
      </c>
      <c r="I12396">
        <v>7.5479262464004354E-2</v>
      </c>
    </row>
    <row r="12397" spans="1:9" x14ac:dyDescent="0.25">
      <c r="A12397">
        <v>450</v>
      </c>
      <c r="B12397" t="s">
        <v>3589</v>
      </c>
      <c r="C12397" t="s">
        <v>75</v>
      </c>
      <c r="D12397" t="s">
        <v>836</v>
      </c>
      <c r="E12397">
        <f t="shared" si="585"/>
        <v>2.1276595744680851E-2</v>
      </c>
      <c r="F12397">
        <v>21</v>
      </c>
      <c r="G12397">
        <f>LOG(382/(21+1))</f>
        <v>1.2396406820895025</v>
      </c>
      <c r="H12397">
        <f>0.0212765957446808*2.85437815524825</f>
        <v>6.0731450111664739E-2</v>
      </c>
      <c r="I12397">
        <v>6.0731450111665093E-2</v>
      </c>
    </row>
    <row r="12398" spans="1:9" x14ac:dyDescent="0.25">
      <c r="A12398">
        <v>450</v>
      </c>
      <c r="B12398" t="s">
        <v>3589</v>
      </c>
      <c r="C12398" t="s">
        <v>75</v>
      </c>
      <c r="D12398" t="s">
        <v>3591</v>
      </c>
      <c r="E12398">
        <f t="shared" si="585"/>
        <v>2.1276595744680851E-2</v>
      </c>
      <c r="F12398">
        <v>1</v>
      </c>
      <c r="G12398">
        <f>LOG(382/(1+1))</f>
        <v>2.2810333672477277</v>
      </c>
      <c r="H12398">
        <f>0.0212765957446808*5.25227342804663</f>
        <v>0.11175049846907696</v>
      </c>
      <c r="I12398">
        <v>0.1117504984690772</v>
      </c>
    </row>
    <row r="12399" spans="1:9" x14ac:dyDescent="0.25">
      <c r="A12399">
        <v>450</v>
      </c>
      <c r="B12399" t="s">
        <v>3589</v>
      </c>
      <c r="C12399" t="s">
        <v>75</v>
      </c>
      <c r="D12399" t="s">
        <v>838</v>
      </c>
      <c r="E12399">
        <f t="shared" si="585"/>
        <v>2.1276595744680851E-2</v>
      </c>
      <c r="F12399">
        <v>10</v>
      </c>
      <c r="G12399">
        <f>LOG(382/(10+1))</f>
        <v>1.5406706777534838</v>
      </c>
      <c r="H12399">
        <f>0.0212765957446808*3.5475253358082</f>
        <v>7.5479262464004077E-2</v>
      </c>
      <c r="I12399">
        <v>7.5479262464004354E-2</v>
      </c>
    </row>
    <row r="12400" spans="1:9" x14ac:dyDescent="0.25">
      <c r="A12400">
        <v>450</v>
      </c>
      <c r="B12400" t="s">
        <v>3589</v>
      </c>
      <c r="C12400" t="s">
        <v>75</v>
      </c>
      <c r="D12400" t="s">
        <v>322</v>
      </c>
      <c r="E12400">
        <f t="shared" si="585"/>
        <v>2.1276595744680851E-2</v>
      </c>
      <c r="F12400">
        <v>128</v>
      </c>
      <c r="G12400">
        <f>LOG(382/(128+1))</f>
        <v>0.47147365261245977</v>
      </c>
      <c r="H12400">
        <f>0.0212765957446808*1.0856082042449</f>
        <v>2.3098046898827603E-2</v>
      </c>
      <c r="I12400">
        <v>2.3098046898827721E-2</v>
      </c>
    </row>
    <row r="12401" spans="1:9" x14ac:dyDescent="0.25">
      <c r="A12401">
        <v>450</v>
      </c>
      <c r="B12401" t="s">
        <v>3589</v>
      </c>
      <c r="C12401" t="s">
        <v>75</v>
      </c>
      <c r="D12401" t="s">
        <v>324</v>
      </c>
      <c r="E12401">
        <f t="shared" si="585"/>
        <v>2.1276595744680851E-2</v>
      </c>
      <c r="F12401">
        <v>82</v>
      </c>
      <c r="G12401">
        <f>LOG(382/(82+1))</f>
        <v>0.66298527053563483</v>
      </c>
      <c r="H12401">
        <f>0.0212765957446808*1.52658000080997</f>
        <v>3.2480425549148213E-2</v>
      </c>
      <c r="I12401">
        <v>3.2480425549148449E-2</v>
      </c>
    </row>
    <row r="12402" spans="1:9" x14ac:dyDescent="0.25">
      <c r="A12402">
        <v>450</v>
      </c>
      <c r="B12402" t="s">
        <v>3589</v>
      </c>
      <c r="C12402" t="s">
        <v>75</v>
      </c>
      <c r="D12402" t="s">
        <v>1222</v>
      </c>
      <c r="E12402">
        <f t="shared" si="585"/>
        <v>2.1276595744680851E-2</v>
      </c>
      <c r="F12402">
        <v>56</v>
      </c>
      <c r="G12402">
        <f>LOG(382/(56+1))</f>
        <v>0.82618850723921733</v>
      </c>
      <c r="H12402">
        <f>0.0212765957446808*1.90236934077202</f>
        <v>4.0475943420681178E-2</v>
      </c>
      <c r="I12402">
        <v>4.0475943420681379E-2</v>
      </c>
    </row>
    <row r="12403" spans="1:9" x14ac:dyDescent="0.25">
      <c r="A12403">
        <v>450</v>
      </c>
      <c r="B12403" t="s">
        <v>3589</v>
      </c>
      <c r="C12403" t="s">
        <v>75</v>
      </c>
      <c r="D12403" t="s">
        <v>485</v>
      </c>
      <c r="E12403">
        <f t="shared" si="585"/>
        <v>2.1276595744680851E-2</v>
      </c>
      <c r="F12403">
        <v>74</v>
      </c>
      <c r="G12403">
        <f>LOG(382/(74+1))</f>
        <v>0.7070020995200087</v>
      </c>
      <c r="H12403">
        <f>0.0212765957446808*1.62793249507026</f>
        <v>3.4636861597239492E-2</v>
      </c>
      <c r="I12403">
        <v>3.4636861597239672E-2</v>
      </c>
    </row>
    <row r="12404" spans="1:9" x14ac:dyDescent="0.25">
      <c r="A12404">
        <v>450</v>
      </c>
      <c r="B12404" t="s">
        <v>3589</v>
      </c>
      <c r="C12404" t="s">
        <v>75</v>
      </c>
      <c r="D12404" t="s">
        <v>78</v>
      </c>
      <c r="E12404">
        <f>2/47</f>
        <v>4.2553191489361701E-2</v>
      </c>
      <c r="F12404">
        <v>122</v>
      </c>
      <c r="G12404">
        <f>LOG(382/(122+1))</f>
        <v>0.49215825147231079</v>
      </c>
      <c r="H12404">
        <f>0.0425531914893617*1.13323625323415</f>
        <v>4.8222819286559575E-2</v>
      </c>
      <c r="I12404">
        <v>4.8222819286559887E-2</v>
      </c>
    </row>
    <row r="12405" spans="1:9" x14ac:dyDescent="0.25">
      <c r="A12405">
        <v>450</v>
      </c>
      <c r="B12405" t="s">
        <v>3589</v>
      </c>
      <c r="C12405" t="s">
        <v>75</v>
      </c>
      <c r="D12405" t="s">
        <v>98</v>
      </c>
      <c r="E12405">
        <f>1/47</f>
        <v>2.1276595744680851E-2</v>
      </c>
      <c r="F12405">
        <v>56</v>
      </c>
      <c r="G12405">
        <f>LOG(382/(56+1))</f>
        <v>0.82618850723921733</v>
      </c>
      <c r="H12405">
        <f>0.0212765957446808*1.90236934077202</f>
        <v>4.0475943420681178E-2</v>
      </c>
      <c r="I12405">
        <v>4.0475943420681379E-2</v>
      </c>
    </row>
    <row r="12406" spans="1:9" x14ac:dyDescent="0.25">
      <c r="A12406">
        <v>450</v>
      </c>
      <c r="B12406" t="s">
        <v>3589</v>
      </c>
      <c r="C12406" t="s">
        <v>75</v>
      </c>
      <c r="D12406" t="s">
        <v>50</v>
      </c>
      <c r="E12406">
        <f>3/47</f>
        <v>6.3829787234042548E-2</v>
      </c>
      <c r="F12406">
        <v>109</v>
      </c>
      <c r="G12406">
        <f>LOG(382/(109+1))</f>
        <v>0.54067067775348365</v>
      </c>
      <c r="H12406">
        <f>0.0638297872340425*1.24494024281415</f>
        <v>7.9464270817924412E-2</v>
      </c>
      <c r="I12406">
        <v>7.9464270817925037E-2</v>
      </c>
    </row>
    <row r="12407" spans="1:9" x14ac:dyDescent="0.25">
      <c r="A12407">
        <v>450</v>
      </c>
      <c r="B12407" t="s">
        <v>3589</v>
      </c>
      <c r="C12407" t="s">
        <v>75</v>
      </c>
      <c r="D12407" t="s">
        <v>754</v>
      </c>
      <c r="E12407">
        <f>2/47</f>
        <v>4.2553191489361701E-2</v>
      </c>
      <c r="F12407">
        <v>111</v>
      </c>
      <c r="G12407">
        <f>LOG(382/(111+1))</f>
        <v>0.53284534024152708</v>
      </c>
      <c r="H12407">
        <f>0.0425531914893617*1.22692173731148</f>
        <v>5.2209435630275747E-2</v>
      </c>
      <c r="I12407">
        <v>5.2209435630275768E-2</v>
      </c>
    </row>
    <row r="12408" spans="1:9" x14ac:dyDescent="0.25">
      <c r="A12408">
        <v>450</v>
      </c>
      <c r="B12408" t="s">
        <v>3589</v>
      </c>
      <c r="C12408" t="s">
        <v>75</v>
      </c>
      <c r="D12408" t="s">
        <v>2238</v>
      </c>
      <c r="E12408">
        <f t="shared" ref="E12408:E12414" si="586">1/47</f>
        <v>2.1276595744680851E-2</v>
      </c>
      <c r="F12408">
        <v>68</v>
      </c>
      <c r="G12408">
        <f>LOG(382/(68+1))</f>
        <v>0.74321427217445335</v>
      </c>
      <c r="H12408">
        <f>0.0212765957446808*1.71131410400931</f>
        <v>3.6410938383176716E-2</v>
      </c>
      <c r="I12408">
        <v>3.6410938383176931E-2</v>
      </c>
    </row>
    <row r="12409" spans="1:9" x14ac:dyDescent="0.25">
      <c r="A12409">
        <v>450</v>
      </c>
      <c r="B12409" t="s">
        <v>3589</v>
      </c>
      <c r="C12409" t="s">
        <v>75</v>
      </c>
      <c r="D12409" t="s">
        <v>2178</v>
      </c>
      <c r="E12409">
        <f t="shared" si="586"/>
        <v>2.1276595744680851E-2</v>
      </c>
      <c r="F12409">
        <v>11</v>
      </c>
      <c r="G12409">
        <f>LOG(382/(11+1))</f>
        <v>1.5028821168640838</v>
      </c>
      <c r="H12409">
        <f>0.0212765957446808*3.46051395881857</f>
        <v>7.3627956570607694E-2</v>
      </c>
      <c r="I12409">
        <v>7.3627956570607972E-2</v>
      </c>
    </row>
    <row r="12410" spans="1:9" x14ac:dyDescent="0.25">
      <c r="A12410">
        <v>450</v>
      </c>
      <c r="B12410" t="s">
        <v>3589</v>
      </c>
      <c r="C12410" t="s">
        <v>75</v>
      </c>
      <c r="D12410" t="s">
        <v>3575</v>
      </c>
      <c r="E12410">
        <f t="shared" si="586"/>
        <v>2.1276595744680851E-2</v>
      </c>
      <c r="F12410">
        <v>5</v>
      </c>
      <c r="G12410">
        <f>LOG(382/(5+1))</f>
        <v>1.803912112528065</v>
      </c>
      <c r="H12410">
        <f>0.0212765957446808*4.15366113937852</f>
        <v>8.8375768922947018E-2</v>
      </c>
      <c r="I12410">
        <v>8.8375768922947226E-2</v>
      </c>
    </row>
    <row r="12411" spans="1:9" x14ac:dyDescent="0.25">
      <c r="A12411">
        <v>450</v>
      </c>
      <c r="B12411" t="s">
        <v>3589</v>
      </c>
      <c r="C12411" t="s">
        <v>75</v>
      </c>
      <c r="D12411" t="s">
        <v>1732</v>
      </c>
      <c r="E12411">
        <f t="shared" si="586"/>
        <v>2.1276595744680851E-2</v>
      </c>
      <c r="F12411">
        <v>16</v>
      </c>
      <c r="G12411">
        <f>LOG(382/(16+1))</f>
        <v>1.3516144415334348</v>
      </c>
      <c r="H12411">
        <f>0.0212765957446808*3.11220726455035</f>
        <v>6.6217175841496639E-2</v>
      </c>
      <c r="I12411">
        <v>6.6217175841497E-2</v>
      </c>
    </row>
    <row r="12412" spans="1:9" x14ac:dyDescent="0.25">
      <c r="A12412">
        <v>450</v>
      </c>
      <c r="B12412" t="s">
        <v>3589</v>
      </c>
      <c r="C12412" t="s">
        <v>75</v>
      </c>
      <c r="D12412" t="s">
        <v>1733</v>
      </c>
      <c r="E12412">
        <f t="shared" si="586"/>
        <v>2.1276595744680851E-2</v>
      </c>
      <c r="F12412">
        <v>19</v>
      </c>
      <c r="G12412">
        <f>LOG(382/(19+1))</f>
        <v>1.2810333672477277</v>
      </c>
      <c r="H12412">
        <f>0.0212765957446808*2.94968833505258</f>
        <v>6.2759326277714314E-2</v>
      </c>
      <c r="I12412">
        <v>6.2759326277714564E-2</v>
      </c>
    </row>
    <row r="12413" spans="1:9" x14ac:dyDescent="0.25">
      <c r="A12413">
        <v>450</v>
      </c>
      <c r="B12413" t="s">
        <v>3589</v>
      </c>
      <c r="C12413" t="s">
        <v>75</v>
      </c>
      <c r="D12413" t="s">
        <v>20</v>
      </c>
      <c r="E12413">
        <f t="shared" si="586"/>
        <v>2.1276595744680851E-2</v>
      </c>
      <c r="F12413">
        <v>19</v>
      </c>
      <c r="G12413">
        <f>LOG(382/(19+1))</f>
        <v>1.2810333672477277</v>
      </c>
      <c r="H12413">
        <f>0.0212765957446808*2.94968833505258</f>
        <v>6.2759326277714314E-2</v>
      </c>
      <c r="I12413">
        <v>6.2759326277714564E-2</v>
      </c>
    </row>
    <row r="12414" spans="1:9" x14ac:dyDescent="0.25">
      <c r="A12414">
        <v>450</v>
      </c>
      <c r="B12414" t="s">
        <v>3589</v>
      </c>
      <c r="C12414" t="s">
        <v>75</v>
      </c>
      <c r="D12414" t="s">
        <v>1738</v>
      </c>
      <c r="E12414">
        <f t="shared" si="586"/>
        <v>2.1276595744680851E-2</v>
      </c>
      <c r="F12414">
        <v>24</v>
      </c>
      <c r="G12414">
        <f>LOG(382/(24+1))</f>
        <v>1.1841233542396712</v>
      </c>
      <c r="H12414">
        <f>0.0212765957446808*2.72654478373837</f>
        <v>5.8011591143369429E-2</v>
      </c>
      <c r="I12414">
        <v>5.8011591143369658E-2</v>
      </c>
    </row>
    <row r="12415" spans="1:9" x14ac:dyDescent="0.25">
      <c r="A12415">
        <v>450</v>
      </c>
      <c r="B12415" t="s">
        <v>3589</v>
      </c>
      <c r="C12415" t="s">
        <v>75</v>
      </c>
      <c r="D12415" t="s">
        <v>1739</v>
      </c>
      <c r="E12415">
        <f>2/47</f>
        <v>4.2553191489361701E-2</v>
      </c>
      <c r="F12415">
        <v>30</v>
      </c>
      <c r="G12415">
        <f>LOG(382/(30+1))</f>
        <v>1.090701669077436</v>
      </c>
      <c r="H12415">
        <f>0.0425531914893617*2.51143340412142</f>
        <v>0.10686950655835831</v>
      </c>
      <c r="I12415">
        <v>0.1068695065583587</v>
      </c>
    </row>
    <row r="12416" spans="1:9" x14ac:dyDescent="0.25">
      <c r="A12416">
        <v>450</v>
      </c>
      <c r="B12416" t="s">
        <v>3589</v>
      </c>
      <c r="C12416" t="s">
        <v>75</v>
      </c>
      <c r="D12416" t="s">
        <v>3335</v>
      </c>
      <c r="E12416">
        <f>1/47</f>
        <v>2.1276595744680851E-2</v>
      </c>
      <c r="F12416">
        <v>16</v>
      </c>
      <c r="G12416">
        <f>LOG(382/(16+1))</f>
        <v>1.3516144415334348</v>
      </c>
      <c r="H12416">
        <f>0.0212765957446808*3.11220726455035</f>
        <v>6.6217175841496639E-2</v>
      </c>
      <c r="I12416">
        <v>6.6217175841497E-2</v>
      </c>
    </row>
    <row r="12417" spans="1:9" x14ac:dyDescent="0.25">
      <c r="A12417">
        <v>450</v>
      </c>
      <c r="B12417" t="s">
        <v>3589</v>
      </c>
      <c r="C12417" t="s">
        <v>75</v>
      </c>
      <c r="D12417" t="s">
        <v>3436</v>
      </c>
      <c r="E12417">
        <f>1/47</f>
        <v>2.1276595744680851E-2</v>
      </c>
      <c r="F12417">
        <v>10</v>
      </c>
      <c r="G12417">
        <f>LOG(382/(10+1))</f>
        <v>1.5406706777534838</v>
      </c>
      <c r="H12417">
        <f>0.0212765957446808*3.5475253358082</f>
        <v>7.5479262464004077E-2</v>
      </c>
      <c r="I12417">
        <v>7.5479262464004354E-2</v>
      </c>
    </row>
    <row r="12418" spans="1:9" x14ac:dyDescent="0.25">
      <c r="A12418">
        <v>450</v>
      </c>
      <c r="B12418" t="s">
        <v>3589</v>
      </c>
      <c r="C12418" t="s">
        <v>75</v>
      </c>
      <c r="D12418" t="s">
        <v>3592</v>
      </c>
      <c r="E12418">
        <f>1/47</f>
        <v>2.1276595744680851E-2</v>
      </c>
      <c r="F12418">
        <v>1</v>
      </c>
      <c r="G12418">
        <f>LOG(382/(1+1))</f>
        <v>2.2810333672477277</v>
      </c>
      <c r="H12418">
        <f>0.0212765957446808*5.25227342804663</f>
        <v>0.11175049846907696</v>
      </c>
      <c r="I12418">
        <v>0.1117504984690772</v>
      </c>
    </row>
    <row r="12419" spans="1:9" x14ac:dyDescent="0.25">
      <c r="A12419">
        <v>450</v>
      </c>
      <c r="B12419" t="s">
        <v>3589</v>
      </c>
      <c r="C12419" t="s">
        <v>75</v>
      </c>
      <c r="D12419" t="s">
        <v>126</v>
      </c>
      <c r="E12419">
        <f>2/47</f>
        <v>4.2553191489361701E-2</v>
      </c>
      <c r="F12419">
        <v>79</v>
      </c>
      <c r="G12419">
        <f>LOG(382/(79+1))</f>
        <v>0.67897337591976514</v>
      </c>
      <c r="H12419">
        <f>0.0425531914893617*1.56339397393269</f>
        <v>6.6527403146071917E-2</v>
      </c>
      <c r="I12419">
        <v>6.652740314607207E-2</v>
      </c>
    </row>
    <row r="12420" spans="1:9" x14ac:dyDescent="0.25">
      <c r="A12420">
        <v>450</v>
      </c>
      <c r="B12420" t="s">
        <v>3589</v>
      </c>
      <c r="C12420" t="s">
        <v>75</v>
      </c>
      <c r="D12420" t="s">
        <v>746</v>
      </c>
      <c r="E12420">
        <f>1/47</f>
        <v>2.1276595744680851E-2</v>
      </c>
      <c r="F12420">
        <v>58</v>
      </c>
      <c r="G12420">
        <f>LOG(382/(58+1))</f>
        <v>0.81121135126956456</v>
      </c>
      <c r="H12420">
        <f>0.0212765957446808*1.86788316470085</f>
        <v>3.9742194993635009E-2</v>
      </c>
      <c r="I12420">
        <v>3.9742194993635217E-2</v>
      </c>
    </row>
    <row r="12421" spans="1:9" x14ac:dyDescent="0.25">
      <c r="A12421">
        <v>450</v>
      </c>
      <c r="B12421" t="s">
        <v>3589</v>
      </c>
      <c r="C12421" t="s">
        <v>75</v>
      </c>
      <c r="D12421" t="s">
        <v>133</v>
      </c>
      <c r="E12421">
        <f>1/47</f>
        <v>2.1276595744680851E-2</v>
      </c>
      <c r="F12421">
        <v>142</v>
      </c>
      <c r="G12421">
        <f>LOG(382/(142+1))</f>
        <v>0.42672732544664693</v>
      </c>
      <c r="H12421">
        <f>0.0212765957446808*0.982575978346667</f>
        <v>2.0905871879716268E-2</v>
      </c>
      <c r="I12421">
        <v>2.0905871879716341E-2</v>
      </c>
    </row>
    <row r="12422" spans="1:9" x14ac:dyDescent="0.25">
      <c r="A12422">
        <v>450</v>
      </c>
      <c r="B12422" t="s">
        <v>3589</v>
      </c>
      <c r="C12422" t="s">
        <v>75</v>
      </c>
      <c r="D12422" t="s">
        <v>1762</v>
      </c>
      <c r="E12422">
        <f>1/47</f>
        <v>2.1276595744680851E-2</v>
      </c>
      <c r="F12422">
        <v>60</v>
      </c>
      <c r="G12422">
        <f>LOG(382/(60+1))</f>
        <v>0.79673352790094176</v>
      </c>
      <c r="H12422">
        <f>0.0212765957446808*1.83454674443326</f>
        <v>3.9032909456026714E-2</v>
      </c>
      <c r="I12422">
        <v>3.9032909456026887E-2</v>
      </c>
    </row>
    <row r="12423" spans="1:9" x14ac:dyDescent="0.25">
      <c r="A12423">
        <v>451</v>
      </c>
      <c r="B12423" t="s">
        <v>3593</v>
      </c>
      <c r="C12423" t="s">
        <v>75</v>
      </c>
      <c r="D12423" t="s">
        <v>3594</v>
      </c>
      <c r="E12423">
        <f>2/70</f>
        <v>2.8571428571428571E-2</v>
      </c>
      <c r="F12423">
        <v>1</v>
      </c>
      <c r="G12423">
        <f>LOG(382/(1+1))</f>
        <v>2.2810333672477277</v>
      </c>
      <c r="H12423">
        <f>0.0285714285714285*5.25227342804663</f>
        <v>0.1500649550870462</v>
      </c>
      <c r="I12423">
        <v>0.15006495508704659</v>
      </c>
    </row>
    <row r="12424" spans="1:9" x14ac:dyDescent="0.25">
      <c r="A12424">
        <v>451</v>
      </c>
      <c r="B12424" t="s">
        <v>3593</v>
      </c>
      <c r="C12424" t="s">
        <v>75</v>
      </c>
      <c r="D12424" t="s">
        <v>2577</v>
      </c>
      <c r="E12424">
        <f>2/70</f>
        <v>2.8571428571428571E-2</v>
      </c>
      <c r="F12424">
        <v>2</v>
      </c>
      <c r="G12424">
        <f>LOG(382/(2+1))</f>
        <v>2.1049421081920463</v>
      </c>
      <c r="H12424">
        <f>0.0285714285714285*4.84680831993846</f>
        <v>0.1384802377125271</v>
      </c>
      <c r="I12424">
        <v>0.1384802377125276</v>
      </c>
    </row>
    <row r="12425" spans="1:9" x14ac:dyDescent="0.25">
      <c r="A12425">
        <v>451</v>
      </c>
      <c r="B12425" t="s">
        <v>3593</v>
      </c>
      <c r="C12425" t="s">
        <v>75</v>
      </c>
      <c r="D12425" t="s">
        <v>44</v>
      </c>
      <c r="E12425">
        <f>2/70</f>
        <v>2.8571428571428571E-2</v>
      </c>
      <c r="F12425">
        <v>151</v>
      </c>
      <c r="G12425">
        <f>LOG(382/(151+1))</f>
        <v>0.40021977496693617</v>
      </c>
      <c r="H12425">
        <f>0.0285714285714285*0.921540087760298</f>
        <v>2.6329716793151308E-2</v>
      </c>
      <c r="I12425">
        <v>2.6329716793151391E-2</v>
      </c>
    </row>
    <row r="12426" spans="1:9" x14ac:dyDescent="0.25">
      <c r="A12426">
        <v>451</v>
      </c>
      <c r="B12426" t="s">
        <v>3593</v>
      </c>
      <c r="C12426" t="s">
        <v>75</v>
      </c>
      <c r="D12426" t="s">
        <v>1537</v>
      </c>
      <c r="E12426">
        <f>3/70</f>
        <v>4.2857142857142858E-2</v>
      </c>
      <c r="F12426">
        <v>80</v>
      </c>
      <c r="G12426">
        <f>LOG(382/(80+1))</f>
        <v>0.67357834403305894</v>
      </c>
      <c r="H12426">
        <f>0.0428571428571428*1.55097145393413</f>
        <v>6.6470205168605481E-2</v>
      </c>
      <c r="I12426">
        <v>6.6470205168605842E-2</v>
      </c>
    </row>
    <row r="12427" spans="1:9" x14ac:dyDescent="0.25">
      <c r="A12427">
        <v>451</v>
      </c>
      <c r="B12427" t="s">
        <v>3593</v>
      </c>
      <c r="C12427" t="s">
        <v>75</v>
      </c>
      <c r="D12427" t="s">
        <v>42</v>
      </c>
      <c r="E12427">
        <f t="shared" ref="E12427:E12437" si="587">1/70</f>
        <v>1.4285714285714285E-2</v>
      </c>
      <c r="F12427">
        <v>251</v>
      </c>
      <c r="G12427">
        <f>LOG(382/(251+1))</f>
        <v>0.18066282213016463</v>
      </c>
      <c r="H12427">
        <f>0.0142857142857142*0.415991521095151</f>
        <v>5.942736015644978E-3</v>
      </c>
      <c r="I12427">
        <v>5.9427360156450266E-3</v>
      </c>
    </row>
    <row r="12428" spans="1:9" x14ac:dyDescent="0.25">
      <c r="A12428">
        <v>451</v>
      </c>
      <c r="B12428" t="s">
        <v>3593</v>
      </c>
      <c r="C12428" t="s">
        <v>75</v>
      </c>
      <c r="D12428" t="s">
        <v>3595</v>
      </c>
      <c r="E12428">
        <f t="shared" si="587"/>
        <v>1.4285714285714285E-2</v>
      </c>
      <c r="F12428">
        <v>1</v>
      </c>
      <c r="G12428">
        <f>LOG(382/(1+1))</f>
        <v>2.2810333672477277</v>
      </c>
      <c r="H12428">
        <f>0.0142857142857142*5.25227342804663</f>
        <v>7.5032477543522838E-2</v>
      </c>
      <c r="I12428">
        <v>7.5032477543523282E-2</v>
      </c>
    </row>
    <row r="12429" spans="1:9" x14ac:dyDescent="0.25">
      <c r="A12429">
        <v>451</v>
      </c>
      <c r="B12429" t="s">
        <v>3593</v>
      </c>
      <c r="C12429" t="s">
        <v>75</v>
      </c>
      <c r="D12429" t="s">
        <v>2308</v>
      </c>
      <c r="E12429">
        <f t="shared" si="587"/>
        <v>1.4285714285714285E-2</v>
      </c>
      <c r="F12429">
        <v>3</v>
      </c>
      <c r="G12429">
        <f>LOG(382/(3+1))</f>
        <v>1.9800033715837464</v>
      </c>
      <c r="H12429">
        <f>0.0142857142857142*4.55912624748668</f>
        <v>6.5130374964095045E-2</v>
      </c>
      <c r="I12429">
        <v>6.5130374964095489E-2</v>
      </c>
    </row>
    <row r="12430" spans="1:9" x14ac:dyDescent="0.25">
      <c r="A12430">
        <v>451</v>
      </c>
      <c r="B12430" t="s">
        <v>3593</v>
      </c>
      <c r="C12430" t="s">
        <v>75</v>
      </c>
      <c r="D12430" t="s">
        <v>170</v>
      </c>
      <c r="E12430">
        <f t="shared" si="587"/>
        <v>1.4285714285714285E-2</v>
      </c>
      <c r="F12430">
        <v>2</v>
      </c>
      <c r="G12430">
        <f>LOG(382/(2+1))</f>
        <v>2.1049421081920463</v>
      </c>
      <c r="H12430">
        <f>0.0142857142857142*4.84680831993846</f>
        <v>6.92401188562633E-2</v>
      </c>
      <c r="I12430">
        <v>6.9240118856263785E-2</v>
      </c>
    </row>
    <row r="12431" spans="1:9" x14ac:dyDescent="0.25">
      <c r="A12431">
        <v>451</v>
      </c>
      <c r="B12431" t="s">
        <v>3593</v>
      </c>
      <c r="C12431" t="s">
        <v>75</v>
      </c>
      <c r="D12431" t="s">
        <v>17</v>
      </c>
      <c r="E12431">
        <f t="shared" si="587"/>
        <v>1.4285714285714285E-2</v>
      </c>
      <c r="F12431">
        <v>169</v>
      </c>
      <c r="G12431">
        <f>LOG(382/(169+1))</f>
        <v>0.3516144415334348</v>
      </c>
      <c r="H12431">
        <f>0.0142857142857142*0.809622171556313</f>
        <v>1.1566031022232973E-2</v>
      </c>
      <c r="I12431">
        <v>1.156603102223305E-2</v>
      </c>
    </row>
    <row r="12432" spans="1:9" x14ac:dyDescent="0.25">
      <c r="A12432">
        <v>451</v>
      </c>
      <c r="B12432" t="s">
        <v>3593</v>
      </c>
      <c r="C12432" t="s">
        <v>75</v>
      </c>
      <c r="D12432" t="s">
        <v>573</v>
      </c>
      <c r="E12432">
        <f t="shared" si="587"/>
        <v>1.4285714285714285E-2</v>
      </c>
      <c r="F12432">
        <v>14</v>
      </c>
      <c r="G12432">
        <f>LOG(382/(14+1))</f>
        <v>1.4059721038560276</v>
      </c>
      <c r="H12432">
        <f>0.0142857142857142*3.23737040750436</f>
        <v>4.6248148678633437E-2</v>
      </c>
      <c r="I12432">
        <v>4.6248148678633791E-2</v>
      </c>
    </row>
    <row r="12433" spans="1:9" x14ac:dyDescent="0.25">
      <c r="A12433">
        <v>451</v>
      </c>
      <c r="B12433" t="s">
        <v>3593</v>
      </c>
      <c r="C12433" t="s">
        <v>75</v>
      </c>
      <c r="D12433" t="s">
        <v>3596</v>
      </c>
      <c r="E12433">
        <f t="shared" si="587"/>
        <v>1.4285714285714285E-2</v>
      </c>
      <c r="F12433">
        <v>1</v>
      </c>
      <c r="G12433">
        <f>LOG(382/(1+1))</f>
        <v>2.2810333672477277</v>
      </c>
      <c r="H12433">
        <f>0.0142857142857142*5.25227342804663</f>
        <v>7.5032477543522838E-2</v>
      </c>
      <c r="I12433">
        <v>7.5032477543523282E-2</v>
      </c>
    </row>
    <row r="12434" spans="1:9" x14ac:dyDescent="0.25">
      <c r="A12434">
        <v>451</v>
      </c>
      <c r="B12434" t="s">
        <v>3593</v>
      </c>
      <c r="C12434" t="s">
        <v>75</v>
      </c>
      <c r="D12434" t="s">
        <v>22</v>
      </c>
      <c r="E12434">
        <f t="shared" si="587"/>
        <v>1.4285714285714285E-2</v>
      </c>
      <c r="F12434">
        <v>259</v>
      </c>
      <c r="G12434">
        <f>LOG(382/(259+1))</f>
        <v>0.16709001494089079</v>
      </c>
      <c r="H12434">
        <f>0.0142857142857142*0.384738977591047</f>
        <v>5.496271108443496E-3</v>
      </c>
      <c r="I12434">
        <v>5.4962711084435359E-3</v>
      </c>
    </row>
    <row r="12435" spans="1:9" x14ac:dyDescent="0.25">
      <c r="A12435">
        <v>451</v>
      </c>
      <c r="B12435" t="s">
        <v>3593</v>
      </c>
      <c r="C12435" t="s">
        <v>75</v>
      </c>
      <c r="D12435" t="s">
        <v>23</v>
      </c>
      <c r="E12435">
        <f t="shared" si="587"/>
        <v>1.4285714285714285E-2</v>
      </c>
      <c r="F12435">
        <v>275</v>
      </c>
      <c r="G12435">
        <f>LOG(382/(275+1))</f>
        <v>0.14115428084649101</v>
      </c>
      <c r="H12435">
        <f>0.0142857142857142*0.325019742889425</f>
        <v>4.6431391841346148E-3</v>
      </c>
      <c r="I12435">
        <v>4.6431391841346452E-3</v>
      </c>
    </row>
    <row r="12436" spans="1:9" x14ac:dyDescent="0.25">
      <c r="A12436">
        <v>451</v>
      </c>
      <c r="B12436" t="s">
        <v>3593</v>
      </c>
      <c r="C12436" t="s">
        <v>75</v>
      </c>
      <c r="D12436" t="s">
        <v>3597</v>
      </c>
      <c r="E12436">
        <f t="shared" si="587"/>
        <v>1.4285714285714285E-2</v>
      </c>
      <c r="F12436">
        <v>1</v>
      </c>
      <c r="G12436">
        <f>LOG(382/(1+1))</f>
        <v>2.2810333672477277</v>
      </c>
      <c r="H12436">
        <f>0.0142857142857142*5.25227342804663</f>
        <v>7.5032477543522838E-2</v>
      </c>
      <c r="I12436">
        <v>7.5032477543523282E-2</v>
      </c>
    </row>
    <row r="12437" spans="1:9" x14ac:dyDescent="0.25">
      <c r="A12437">
        <v>451</v>
      </c>
      <c r="B12437" t="s">
        <v>3593</v>
      </c>
      <c r="C12437" t="s">
        <v>75</v>
      </c>
      <c r="D12437" t="s">
        <v>204</v>
      </c>
      <c r="E12437">
        <f t="shared" si="587"/>
        <v>1.4285714285714285E-2</v>
      </c>
      <c r="F12437">
        <v>166</v>
      </c>
      <c r="G12437">
        <f>LOG(382/(166+1))</f>
        <v>0.35934689176412549</v>
      </c>
      <c r="H12437">
        <f>0.0142857142857142*0.82742679618982</f>
        <v>1.1820382802711643E-2</v>
      </c>
      <c r="I12437">
        <v>1.1820382802711721E-2</v>
      </c>
    </row>
    <row r="12438" spans="1:9" x14ac:dyDescent="0.25">
      <c r="A12438">
        <v>451</v>
      </c>
      <c r="B12438" t="s">
        <v>3593</v>
      </c>
      <c r="C12438" t="s">
        <v>75</v>
      </c>
      <c r="D12438" t="s">
        <v>78</v>
      </c>
      <c r="E12438">
        <f>2/70</f>
        <v>2.8571428571428571E-2</v>
      </c>
      <c r="F12438">
        <v>122</v>
      </c>
      <c r="G12438">
        <f>LOG(382/(122+1))</f>
        <v>0.49215825147231079</v>
      </c>
      <c r="H12438">
        <f>0.0285714285714285*1.13323625323415</f>
        <v>3.2378178663832781E-2</v>
      </c>
      <c r="I12438">
        <v>3.2378178663833072E-2</v>
      </c>
    </row>
    <row r="12439" spans="1:9" x14ac:dyDescent="0.25">
      <c r="A12439">
        <v>451</v>
      </c>
      <c r="B12439" t="s">
        <v>3593</v>
      </c>
      <c r="C12439" t="s">
        <v>75</v>
      </c>
      <c r="D12439" t="s">
        <v>754</v>
      </c>
      <c r="E12439">
        <f t="shared" ref="E12439:E12464" si="588">1/70</f>
        <v>1.4285714285714285E-2</v>
      </c>
      <c r="F12439">
        <v>111</v>
      </c>
      <c r="G12439">
        <f>LOG(382/(111+1))</f>
        <v>0.53284534024152708</v>
      </c>
      <c r="H12439">
        <f>0.0142857142857142*1.22692173731148</f>
        <v>1.7527453390163896E-2</v>
      </c>
      <c r="I12439">
        <v>1.7527453390164011E-2</v>
      </c>
    </row>
    <row r="12440" spans="1:9" x14ac:dyDescent="0.25">
      <c r="A12440">
        <v>451</v>
      </c>
      <c r="B12440" t="s">
        <v>3593</v>
      </c>
      <c r="C12440" t="s">
        <v>75</v>
      </c>
      <c r="D12440" t="s">
        <v>76</v>
      </c>
      <c r="E12440">
        <f t="shared" si="588"/>
        <v>1.4285714285714285E-2</v>
      </c>
      <c r="F12440">
        <v>140</v>
      </c>
      <c r="G12440">
        <f>LOG(382/(140+1))</f>
        <v>0.43284425025632883</v>
      </c>
      <c r="H12440">
        <f>0.0142857142857142*0.996660718228407</f>
        <v>1.4238010260405729E-2</v>
      </c>
      <c r="I12440">
        <v>1.423801026040581E-2</v>
      </c>
    </row>
    <row r="12441" spans="1:9" x14ac:dyDescent="0.25">
      <c r="A12441">
        <v>451</v>
      </c>
      <c r="B12441" t="s">
        <v>3593</v>
      </c>
      <c r="C12441" t="s">
        <v>75</v>
      </c>
      <c r="D12441" t="s">
        <v>1608</v>
      </c>
      <c r="E12441">
        <f t="shared" si="588"/>
        <v>1.4285714285714285E-2</v>
      </c>
      <c r="F12441">
        <v>13</v>
      </c>
      <c r="G12441">
        <f>LOG(382/(13+1))</f>
        <v>1.4359353272334707</v>
      </c>
      <c r="H12441">
        <f>0.0142857142857142*3.30636327899131</f>
        <v>4.7233761128447009E-2</v>
      </c>
      <c r="I12441">
        <v>4.7233761128447377E-2</v>
      </c>
    </row>
    <row r="12442" spans="1:9" x14ac:dyDescent="0.25">
      <c r="A12442">
        <v>451</v>
      </c>
      <c r="B12442" t="s">
        <v>3593</v>
      </c>
      <c r="C12442" t="s">
        <v>75</v>
      </c>
      <c r="D12442" t="s">
        <v>3598</v>
      </c>
      <c r="E12442">
        <f t="shared" si="588"/>
        <v>1.4285714285714285E-2</v>
      </c>
      <c r="F12442">
        <v>1</v>
      </c>
      <c r="G12442">
        <f>LOG(382/(1+1))</f>
        <v>2.2810333672477277</v>
      </c>
      <c r="H12442">
        <f>0.0142857142857142*5.25227342804663</f>
        <v>7.5032477543522838E-2</v>
      </c>
      <c r="I12442">
        <v>7.5032477543523282E-2</v>
      </c>
    </row>
    <row r="12443" spans="1:9" x14ac:dyDescent="0.25">
      <c r="A12443">
        <v>451</v>
      </c>
      <c r="B12443" t="s">
        <v>3593</v>
      </c>
      <c r="C12443" t="s">
        <v>75</v>
      </c>
      <c r="D12443" t="s">
        <v>3599</v>
      </c>
      <c r="E12443">
        <f t="shared" si="588"/>
        <v>1.4285714285714285E-2</v>
      </c>
      <c r="F12443">
        <v>1</v>
      </c>
      <c r="G12443">
        <f>LOG(382/(1+1))</f>
        <v>2.2810333672477277</v>
      </c>
      <c r="H12443">
        <f>0.0142857142857142*5.25227342804663</f>
        <v>7.5032477543522838E-2</v>
      </c>
      <c r="I12443">
        <v>7.5032477543523282E-2</v>
      </c>
    </row>
    <row r="12444" spans="1:9" x14ac:dyDescent="0.25">
      <c r="A12444">
        <v>451</v>
      </c>
      <c r="B12444" t="s">
        <v>3593</v>
      </c>
      <c r="C12444" t="s">
        <v>75</v>
      </c>
      <c r="D12444" t="s">
        <v>2238</v>
      </c>
      <c r="E12444">
        <f t="shared" si="588"/>
        <v>1.4285714285714285E-2</v>
      </c>
      <c r="F12444">
        <v>68</v>
      </c>
      <c r="G12444">
        <f>LOG(382/(68+1))</f>
        <v>0.74321427217445335</v>
      </c>
      <c r="H12444">
        <f>0.0142857142857142*1.71131410400931</f>
        <v>2.4447344342989997E-2</v>
      </c>
      <c r="I12444">
        <v>2.4447344342990229E-2</v>
      </c>
    </row>
    <row r="12445" spans="1:9" x14ac:dyDescent="0.25">
      <c r="A12445">
        <v>451</v>
      </c>
      <c r="B12445" t="s">
        <v>3593</v>
      </c>
      <c r="C12445" t="s">
        <v>75</v>
      </c>
      <c r="D12445" t="s">
        <v>362</v>
      </c>
      <c r="E12445">
        <f t="shared" si="588"/>
        <v>1.4285714285714285E-2</v>
      </c>
      <c r="F12445">
        <v>81</v>
      </c>
      <c r="G12445">
        <f>LOG(382/(81+1))</f>
        <v>0.66824951052799197</v>
      </c>
      <c r="H12445">
        <f>0.0142857142857142*1.53870136134232</f>
        <v>2.1981448019175866E-2</v>
      </c>
      <c r="I12445">
        <v>2.1981448019176029E-2</v>
      </c>
    </row>
    <row r="12446" spans="1:9" x14ac:dyDescent="0.25">
      <c r="A12446">
        <v>451</v>
      </c>
      <c r="B12446" t="s">
        <v>3593</v>
      </c>
      <c r="C12446" t="s">
        <v>75</v>
      </c>
      <c r="D12446" t="s">
        <v>1808</v>
      </c>
      <c r="E12446">
        <f t="shared" si="588"/>
        <v>1.4285714285714285E-2</v>
      </c>
      <c r="F12446">
        <v>10</v>
      </c>
      <c r="G12446">
        <f>LOG(382/(10+1))</f>
        <v>1.5406706777534838</v>
      </c>
      <c r="H12446">
        <f>0.0142857142857142*3.5475253358082</f>
        <v>5.067893336868827E-2</v>
      </c>
      <c r="I12446">
        <v>5.0678933368688638E-2</v>
      </c>
    </row>
    <row r="12447" spans="1:9" x14ac:dyDescent="0.25">
      <c r="A12447">
        <v>451</v>
      </c>
      <c r="B12447" t="s">
        <v>3593</v>
      </c>
      <c r="C12447" t="s">
        <v>75</v>
      </c>
      <c r="D12447" t="s">
        <v>3600</v>
      </c>
      <c r="E12447">
        <f t="shared" si="588"/>
        <v>1.4285714285714285E-2</v>
      </c>
      <c r="F12447">
        <v>1</v>
      </c>
      <c r="G12447">
        <f>LOG(382/(1+1))</f>
        <v>2.2810333672477277</v>
      </c>
      <c r="H12447">
        <f>0.0142857142857142*5.25227342804663</f>
        <v>7.5032477543522838E-2</v>
      </c>
      <c r="I12447">
        <v>7.5032477543523282E-2</v>
      </c>
    </row>
    <row r="12448" spans="1:9" x14ac:dyDescent="0.25">
      <c r="A12448">
        <v>451</v>
      </c>
      <c r="B12448" t="s">
        <v>3593</v>
      </c>
      <c r="C12448" t="s">
        <v>75</v>
      </c>
      <c r="D12448" t="s">
        <v>1739</v>
      </c>
      <c r="E12448">
        <f t="shared" si="588"/>
        <v>1.4285714285714285E-2</v>
      </c>
      <c r="F12448">
        <v>30</v>
      </c>
      <c r="G12448">
        <f>LOG(382/(30+1))</f>
        <v>1.090701669077436</v>
      </c>
      <c r="H12448">
        <f>0.0142857142857142*2.51143340412142</f>
        <v>3.5877620058877215E-2</v>
      </c>
      <c r="I12448">
        <v>3.5877620058877548E-2</v>
      </c>
    </row>
    <row r="12449" spans="1:9" x14ac:dyDescent="0.25">
      <c r="A12449">
        <v>451</v>
      </c>
      <c r="B12449" t="s">
        <v>3593</v>
      </c>
      <c r="C12449" t="s">
        <v>75</v>
      </c>
      <c r="D12449" t="s">
        <v>3601</v>
      </c>
      <c r="E12449">
        <f t="shared" si="588"/>
        <v>1.4285714285714285E-2</v>
      </c>
      <c r="F12449">
        <v>2</v>
      </c>
      <c r="G12449">
        <f>LOG(382/(2+1))</f>
        <v>2.1049421081920463</v>
      </c>
      <c r="H12449">
        <f>0.0142857142857142*4.84680831993846</f>
        <v>6.92401188562633E-2</v>
      </c>
      <c r="I12449">
        <v>6.9240118856263785E-2</v>
      </c>
    </row>
    <row r="12450" spans="1:9" x14ac:dyDescent="0.25">
      <c r="A12450">
        <v>451</v>
      </c>
      <c r="B12450" t="s">
        <v>3593</v>
      </c>
      <c r="C12450" t="s">
        <v>75</v>
      </c>
      <c r="D12450" t="s">
        <v>3602</v>
      </c>
      <c r="E12450">
        <f t="shared" si="588"/>
        <v>1.4285714285714285E-2</v>
      </c>
      <c r="F12450">
        <v>1</v>
      </c>
      <c r="G12450">
        <f>LOG(382/(1+1))</f>
        <v>2.2810333672477277</v>
      </c>
      <c r="H12450">
        <f>0.0142857142857142*5.25227342804663</f>
        <v>7.5032477543522838E-2</v>
      </c>
      <c r="I12450">
        <v>7.5032477543523282E-2</v>
      </c>
    </row>
    <row r="12451" spans="1:9" x14ac:dyDescent="0.25">
      <c r="A12451">
        <v>451</v>
      </c>
      <c r="B12451" t="s">
        <v>3593</v>
      </c>
      <c r="C12451" t="s">
        <v>75</v>
      </c>
      <c r="D12451" t="s">
        <v>338</v>
      </c>
      <c r="E12451">
        <f t="shared" si="588"/>
        <v>1.4285714285714285E-2</v>
      </c>
      <c r="F12451">
        <v>54</v>
      </c>
      <c r="G12451">
        <f>LOG(382/(54+1))</f>
        <v>0.84170067341746491</v>
      </c>
      <c r="H12451">
        <f>0.0142857142857142*1.9380874233741</f>
        <v>2.7686963191058404E-2</v>
      </c>
      <c r="I12451">
        <v>2.7686963191058629E-2</v>
      </c>
    </row>
    <row r="12452" spans="1:9" x14ac:dyDescent="0.25">
      <c r="A12452">
        <v>451</v>
      </c>
      <c r="B12452" t="s">
        <v>3593</v>
      </c>
      <c r="C12452" t="s">
        <v>75</v>
      </c>
      <c r="D12452" t="s">
        <v>1740</v>
      </c>
      <c r="E12452">
        <f t="shared" si="588"/>
        <v>1.4285714285714285E-2</v>
      </c>
      <c r="F12452">
        <v>5</v>
      </c>
      <c r="G12452">
        <f>LOG(382/(5+1))</f>
        <v>1.803912112528065</v>
      </c>
      <c r="H12452">
        <f>0.0142857142857142*4.15366113937852</f>
        <v>5.9338016276835645E-2</v>
      </c>
      <c r="I12452">
        <v>5.9338016276835999E-2</v>
      </c>
    </row>
    <row r="12453" spans="1:9" x14ac:dyDescent="0.25">
      <c r="A12453">
        <v>451</v>
      </c>
      <c r="B12453" t="s">
        <v>3593</v>
      </c>
      <c r="C12453" t="s">
        <v>75</v>
      </c>
      <c r="D12453" t="s">
        <v>2051</v>
      </c>
      <c r="E12453">
        <f t="shared" si="588"/>
        <v>1.4285714285714285E-2</v>
      </c>
      <c r="F12453">
        <v>2</v>
      </c>
      <c r="G12453">
        <f>LOG(382/(2+1))</f>
        <v>2.1049421081920463</v>
      </c>
      <c r="H12453">
        <f>0.0142857142857142*4.84680831993846</f>
        <v>6.92401188562633E-2</v>
      </c>
      <c r="I12453">
        <v>6.9240118856263785E-2</v>
      </c>
    </row>
    <row r="12454" spans="1:9" x14ac:dyDescent="0.25">
      <c r="A12454">
        <v>451</v>
      </c>
      <c r="B12454" t="s">
        <v>3593</v>
      </c>
      <c r="C12454" t="s">
        <v>75</v>
      </c>
      <c r="D12454" t="s">
        <v>3376</v>
      </c>
      <c r="E12454">
        <f t="shared" si="588"/>
        <v>1.4285714285714285E-2</v>
      </c>
      <c r="F12454">
        <v>21</v>
      </c>
      <c r="G12454">
        <f>LOG(382/(21+1))</f>
        <v>1.2396406820895025</v>
      </c>
      <c r="H12454">
        <f>0.0142857142857142*2.85437815524825</f>
        <v>4.077683078926047E-2</v>
      </c>
      <c r="I12454">
        <v>4.0776830789260837E-2</v>
      </c>
    </row>
    <row r="12455" spans="1:9" x14ac:dyDescent="0.25">
      <c r="A12455">
        <v>451</v>
      </c>
      <c r="B12455" t="s">
        <v>3593</v>
      </c>
      <c r="C12455" t="s">
        <v>75</v>
      </c>
      <c r="D12455" t="s">
        <v>3603</v>
      </c>
      <c r="E12455">
        <f t="shared" si="588"/>
        <v>1.4285714285714285E-2</v>
      </c>
      <c r="F12455">
        <v>3</v>
      </c>
      <c r="G12455">
        <f>LOG(382/(3+1))</f>
        <v>1.9800033715837464</v>
      </c>
      <c r="H12455">
        <f>0.0142857142857142*4.55912624748668</f>
        <v>6.5130374964095045E-2</v>
      </c>
      <c r="I12455">
        <v>6.5130374964095489E-2</v>
      </c>
    </row>
    <row r="12456" spans="1:9" x14ac:dyDescent="0.25">
      <c r="A12456">
        <v>451</v>
      </c>
      <c r="B12456" t="s">
        <v>3593</v>
      </c>
      <c r="C12456" t="s">
        <v>75</v>
      </c>
      <c r="D12456" t="s">
        <v>3381</v>
      </c>
      <c r="E12456">
        <f t="shared" si="588"/>
        <v>1.4285714285714285E-2</v>
      </c>
      <c r="F12456">
        <v>6</v>
      </c>
      <c r="G12456">
        <f>LOG(382/(6+1))</f>
        <v>1.736965322897452</v>
      </c>
      <c r="H12456">
        <f>0.0142857142857142*3.99951045955126</f>
        <v>5.7135863707874802E-2</v>
      </c>
      <c r="I12456">
        <v>5.713586370787517E-2</v>
      </c>
    </row>
    <row r="12457" spans="1:9" x14ac:dyDescent="0.25">
      <c r="A12457">
        <v>451</v>
      </c>
      <c r="B12457" t="s">
        <v>3593</v>
      </c>
      <c r="C12457" t="s">
        <v>75</v>
      </c>
      <c r="D12457" t="s">
        <v>1921</v>
      </c>
      <c r="E12457">
        <f t="shared" si="588"/>
        <v>1.4285714285714285E-2</v>
      </c>
      <c r="F12457">
        <v>37</v>
      </c>
      <c r="G12457">
        <f>LOG(382/(37+1))</f>
        <v>1.0022797662948986</v>
      </c>
      <c r="H12457">
        <f>0.0142857142857142*2.30783444888018</f>
        <v>3.2969063555430944E-2</v>
      </c>
      <c r="I12457">
        <v>3.296906355543127E-2</v>
      </c>
    </row>
    <row r="12458" spans="1:9" x14ac:dyDescent="0.25">
      <c r="A12458">
        <v>451</v>
      </c>
      <c r="B12458" t="s">
        <v>3593</v>
      </c>
      <c r="C12458" t="s">
        <v>75</v>
      </c>
      <c r="D12458" t="s">
        <v>1742</v>
      </c>
      <c r="E12458">
        <f t="shared" si="588"/>
        <v>1.4285714285714285E-2</v>
      </c>
      <c r="F12458">
        <v>7</v>
      </c>
      <c r="G12458">
        <f>LOG(382/(7+1))</f>
        <v>1.6789733759197651</v>
      </c>
      <c r="H12458">
        <f>0.0142857142857142*3.86597906692673</f>
        <v>5.5228272384667244E-2</v>
      </c>
      <c r="I12458">
        <v>5.5228272384667702E-2</v>
      </c>
    </row>
    <row r="12459" spans="1:9" x14ac:dyDescent="0.25">
      <c r="A12459">
        <v>451</v>
      </c>
      <c r="B12459" t="s">
        <v>3593</v>
      </c>
      <c r="C12459" t="s">
        <v>75</v>
      </c>
      <c r="D12459" t="s">
        <v>3604</v>
      </c>
      <c r="E12459">
        <f t="shared" si="588"/>
        <v>1.4285714285714285E-2</v>
      </c>
      <c r="F12459">
        <v>1</v>
      </c>
      <c r="G12459">
        <f>LOG(382/(1+1))</f>
        <v>2.2810333672477277</v>
      </c>
      <c r="H12459">
        <f>0.0142857142857142*5.25227342804663</f>
        <v>7.5032477543522838E-2</v>
      </c>
      <c r="I12459">
        <v>7.5032477543523282E-2</v>
      </c>
    </row>
    <row r="12460" spans="1:9" x14ac:dyDescent="0.25">
      <c r="A12460">
        <v>451</v>
      </c>
      <c r="B12460" t="s">
        <v>3593</v>
      </c>
      <c r="C12460" t="s">
        <v>75</v>
      </c>
      <c r="D12460" t="s">
        <v>3605</v>
      </c>
      <c r="E12460">
        <f t="shared" si="588"/>
        <v>1.4285714285714285E-2</v>
      </c>
      <c r="F12460">
        <v>1</v>
      </c>
      <c r="G12460">
        <f>LOG(382/(1+1))</f>
        <v>2.2810333672477277</v>
      </c>
      <c r="H12460">
        <f>0.0142857142857142*5.25227342804663</f>
        <v>7.5032477543522838E-2</v>
      </c>
      <c r="I12460">
        <v>7.5032477543523282E-2</v>
      </c>
    </row>
    <row r="12461" spans="1:9" x14ac:dyDescent="0.25">
      <c r="A12461">
        <v>451</v>
      </c>
      <c r="B12461" t="s">
        <v>3593</v>
      </c>
      <c r="C12461" t="s">
        <v>75</v>
      </c>
      <c r="D12461" t="s">
        <v>937</v>
      </c>
      <c r="E12461">
        <f t="shared" si="588"/>
        <v>1.4285714285714285E-2</v>
      </c>
      <c r="F12461">
        <v>41</v>
      </c>
      <c r="G12461">
        <f>LOG(382/(41+1))</f>
        <v>0.95881407251380824</v>
      </c>
      <c r="H12461">
        <f>0.0142857142857142*2.2077509903232</f>
        <v>3.1539299861759816E-2</v>
      </c>
      <c r="I12461">
        <v>3.1539299861760101E-2</v>
      </c>
    </row>
    <row r="12462" spans="1:9" x14ac:dyDescent="0.25">
      <c r="A12462">
        <v>451</v>
      </c>
      <c r="B12462" t="s">
        <v>3593</v>
      </c>
      <c r="C12462" t="s">
        <v>75</v>
      </c>
      <c r="D12462" t="s">
        <v>239</v>
      </c>
      <c r="E12462">
        <f t="shared" si="588"/>
        <v>1.4285714285714285E-2</v>
      </c>
      <c r="F12462">
        <v>40</v>
      </c>
      <c r="G12462">
        <f>LOG(382/(40+1))</f>
        <v>0.96927950619197323</v>
      </c>
      <c r="H12462">
        <f>0.0142857142857142*2.23184854190226</f>
        <v>3.1883550598603518E-2</v>
      </c>
      <c r="I12462">
        <v>3.1883550598603823E-2</v>
      </c>
    </row>
    <row r="12463" spans="1:9" x14ac:dyDescent="0.25">
      <c r="A12463">
        <v>451</v>
      </c>
      <c r="B12463" t="s">
        <v>3593</v>
      </c>
      <c r="C12463" t="s">
        <v>75</v>
      </c>
      <c r="D12463" t="s">
        <v>3606</v>
      </c>
      <c r="E12463">
        <f t="shared" si="588"/>
        <v>1.4285714285714285E-2</v>
      </c>
      <c r="F12463">
        <v>1</v>
      </c>
      <c r="G12463">
        <f>LOG(382/(1+1))</f>
        <v>2.2810333672477277</v>
      </c>
      <c r="H12463">
        <f>0.0142857142857142*5.25227342804663</f>
        <v>7.5032477543522838E-2</v>
      </c>
      <c r="I12463">
        <v>7.5032477543523282E-2</v>
      </c>
    </row>
    <row r="12464" spans="1:9" x14ac:dyDescent="0.25">
      <c r="A12464">
        <v>451</v>
      </c>
      <c r="B12464" t="s">
        <v>3593</v>
      </c>
      <c r="C12464" t="s">
        <v>75</v>
      </c>
      <c r="D12464" t="s">
        <v>3607</v>
      </c>
      <c r="E12464">
        <f t="shared" si="588"/>
        <v>1.4285714285714285E-2</v>
      </c>
      <c r="F12464">
        <v>1</v>
      </c>
      <c r="G12464">
        <f>LOG(382/(1+1))</f>
        <v>2.2810333672477277</v>
      </c>
      <c r="H12464">
        <f>0.0142857142857142*5.25227342804663</f>
        <v>7.5032477543522838E-2</v>
      </c>
      <c r="I12464">
        <v>7.5032477543523282E-2</v>
      </c>
    </row>
    <row r="12465" spans="1:9" x14ac:dyDescent="0.25">
      <c r="A12465">
        <v>451</v>
      </c>
      <c r="B12465" t="s">
        <v>3593</v>
      </c>
      <c r="C12465" t="s">
        <v>75</v>
      </c>
      <c r="D12465" t="s">
        <v>3608</v>
      </c>
      <c r="E12465">
        <f>2/70</f>
        <v>2.8571428571428571E-2</v>
      </c>
      <c r="F12465">
        <v>1</v>
      </c>
      <c r="G12465">
        <f>LOG(382/(1+1))</f>
        <v>2.2810333672477277</v>
      </c>
      <c r="H12465">
        <f>0.0285714285714285*5.25227342804663</f>
        <v>0.1500649550870462</v>
      </c>
      <c r="I12465">
        <v>0.15006495508704659</v>
      </c>
    </row>
    <row r="12466" spans="1:9" x14ac:dyDescent="0.25">
      <c r="A12466">
        <v>451</v>
      </c>
      <c r="B12466" t="s">
        <v>3593</v>
      </c>
      <c r="C12466" t="s">
        <v>75</v>
      </c>
      <c r="D12466" t="s">
        <v>3609</v>
      </c>
      <c r="E12466">
        <f t="shared" ref="E12466:E12485" si="589">1/70</f>
        <v>1.4285714285714285E-2</v>
      </c>
      <c r="F12466">
        <v>1</v>
      </c>
      <c r="G12466">
        <f>LOG(382/(1+1))</f>
        <v>2.2810333672477277</v>
      </c>
      <c r="H12466">
        <f>0.0142857142857142*5.25227342804663</f>
        <v>7.5032477543522838E-2</v>
      </c>
      <c r="I12466">
        <v>7.5032477543523282E-2</v>
      </c>
    </row>
    <row r="12467" spans="1:9" x14ac:dyDescent="0.25">
      <c r="A12467">
        <v>451</v>
      </c>
      <c r="B12467" t="s">
        <v>3593</v>
      </c>
      <c r="C12467" t="s">
        <v>75</v>
      </c>
      <c r="D12467" t="s">
        <v>3610</v>
      </c>
      <c r="E12467">
        <f t="shared" si="589"/>
        <v>1.4285714285714285E-2</v>
      </c>
      <c r="F12467">
        <v>1</v>
      </c>
      <c r="G12467">
        <f>LOG(382/(1+1))</f>
        <v>2.2810333672477277</v>
      </c>
      <c r="H12467">
        <f>0.0142857142857142*5.25227342804663</f>
        <v>7.5032477543522838E-2</v>
      </c>
      <c r="I12467">
        <v>7.5032477543523282E-2</v>
      </c>
    </row>
    <row r="12468" spans="1:9" x14ac:dyDescent="0.25">
      <c r="A12468">
        <v>451</v>
      </c>
      <c r="B12468" t="s">
        <v>3593</v>
      </c>
      <c r="C12468" t="s">
        <v>75</v>
      </c>
      <c r="D12468" t="s">
        <v>830</v>
      </c>
      <c r="E12468">
        <f t="shared" si="589"/>
        <v>1.4285714285714285E-2</v>
      </c>
      <c r="F12468">
        <v>19</v>
      </c>
      <c r="G12468">
        <f>LOG(382/(19+1))</f>
        <v>1.2810333672477277</v>
      </c>
      <c r="H12468">
        <f>0.0142857142857142*2.94968833505258</f>
        <v>4.2138404786465175E-2</v>
      </c>
      <c r="I12468">
        <v>4.2138404786465487E-2</v>
      </c>
    </row>
    <row r="12469" spans="1:9" x14ac:dyDescent="0.25">
      <c r="A12469">
        <v>451</v>
      </c>
      <c r="B12469" t="s">
        <v>3593</v>
      </c>
      <c r="C12469" t="s">
        <v>75</v>
      </c>
      <c r="D12469" t="s">
        <v>399</v>
      </c>
      <c r="E12469">
        <f t="shared" si="589"/>
        <v>1.4285714285714285E-2</v>
      </c>
      <c r="F12469">
        <v>27</v>
      </c>
      <c r="G12469">
        <f>LOG(382/(27+1))</f>
        <v>1.1349053315694895</v>
      </c>
      <c r="H12469">
        <f>0.0142857142857142*2.61321609843137</f>
        <v>3.7331658549019348E-2</v>
      </c>
      <c r="I12469">
        <v>3.7331658549019577E-2</v>
      </c>
    </row>
    <row r="12470" spans="1:9" x14ac:dyDescent="0.25">
      <c r="A12470">
        <v>451</v>
      </c>
      <c r="B12470" t="s">
        <v>3593</v>
      </c>
      <c r="C12470" t="s">
        <v>75</v>
      </c>
      <c r="D12470" t="s">
        <v>3611</v>
      </c>
      <c r="E12470">
        <f t="shared" si="589"/>
        <v>1.4285714285714285E-2</v>
      </c>
      <c r="F12470">
        <v>1</v>
      </c>
      <c r="G12470">
        <f>LOG(382/(1+1))</f>
        <v>2.2810333672477277</v>
      </c>
      <c r="H12470">
        <f>0.0142857142857142*5.25227342804663</f>
        <v>7.5032477543522838E-2</v>
      </c>
      <c r="I12470">
        <v>7.5032477543523282E-2</v>
      </c>
    </row>
    <row r="12471" spans="1:9" x14ac:dyDescent="0.25">
      <c r="A12471">
        <v>451</v>
      </c>
      <c r="B12471" t="s">
        <v>3593</v>
      </c>
      <c r="C12471" t="s">
        <v>75</v>
      </c>
      <c r="D12471" t="s">
        <v>772</v>
      </c>
      <c r="E12471">
        <f t="shared" si="589"/>
        <v>1.4285714285714285E-2</v>
      </c>
      <c r="F12471">
        <v>31</v>
      </c>
      <c r="G12471">
        <f>LOG(382/(31+1))</f>
        <v>1.0769133845918029</v>
      </c>
      <c r="H12471">
        <f>0.0142857142857142*2.47968470580684</f>
        <v>3.5424067225811789E-2</v>
      </c>
      <c r="I12471">
        <v>3.5424067225812123E-2</v>
      </c>
    </row>
    <row r="12472" spans="1:9" x14ac:dyDescent="0.25">
      <c r="A12472">
        <v>451</v>
      </c>
      <c r="B12472" t="s">
        <v>3593</v>
      </c>
      <c r="C12472" t="s">
        <v>75</v>
      </c>
      <c r="D12472" t="s">
        <v>3612</v>
      </c>
      <c r="E12472">
        <f t="shared" si="589"/>
        <v>1.4285714285714285E-2</v>
      </c>
      <c r="F12472">
        <v>1</v>
      </c>
      <c r="G12472">
        <f>LOG(382/(1+1))</f>
        <v>2.2810333672477277</v>
      </c>
      <c r="H12472">
        <f>0.0142857142857142*5.25227342804663</f>
        <v>7.5032477543522838E-2</v>
      </c>
      <c r="I12472">
        <v>7.5032477543523282E-2</v>
      </c>
    </row>
    <row r="12473" spans="1:9" x14ac:dyDescent="0.25">
      <c r="A12473">
        <v>451</v>
      </c>
      <c r="B12473" t="s">
        <v>3593</v>
      </c>
      <c r="C12473" t="s">
        <v>75</v>
      </c>
      <c r="D12473" t="s">
        <v>3613</v>
      </c>
      <c r="E12473">
        <f t="shared" si="589"/>
        <v>1.4285714285714285E-2</v>
      </c>
      <c r="F12473">
        <v>1</v>
      </c>
      <c r="G12473">
        <f>LOG(382/(1+1))</f>
        <v>2.2810333672477277</v>
      </c>
      <c r="H12473">
        <f>0.0142857142857142*5.25227342804663</f>
        <v>7.5032477543522838E-2</v>
      </c>
      <c r="I12473">
        <v>7.5032477543523282E-2</v>
      </c>
    </row>
    <row r="12474" spans="1:9" x14ac:dyDescent="0.25">
      <c r="A12474">
        <v>451</v>
      </c>
      <c r="B12474" t="s">
        <v>3593</v>
      </c>
      <c r="C12474" t="s">
        <v>75</v>
      </c>
      <c r="D12474" t="s">
        <v>361</v>
      </c>
      <c r="E12474">
        <f t="shared" si="589"/>
        <v>1.4285714285714285E-2</v>
      </c>
      <c r="F12474">
        <v>118</v>
      </c>
      <c r="G12474">
        <f>LOG(382/(118+1))</f>
        <v>0.50651640151917798</v>
      </c>
      <c r="H12474">
        <f>0.0142857142857142*1.16629711549504</f>
        <v>1.6661387364214755E-2</v>
      </c>
      <c r="I12474">
        <v>1.6661387364214939E-2</v>
      </c>
    </row>
    <row r="12475" spans="1:9" x14ac:dyDescent="0.25">
      <c r="A12475">
        <v>451</v>
      </c>
      <c r="B12475" t="s">
        <v>3593</v>
      </c>
      <c r="C12475" t="s">
        <v>75</v>
      </c>
      <c r="D12475" t="s">
        <v>434</v>
      </c>
      <c r="E12475">
        <f t="shared" si="589"/>
        <v>1.4285714285714285E-2</v>
      </c>
      <c r="F12475">
        <v>97</v>
      </c>
      <c r="G12475">
        <f>LOG(382/(97+1))</f>
        <v>0.59083728721921391</v>
      </c>
      <c r="H12475">
        <f>0.0142857142857142*1.360453129936</f>
        <v>1.9435044713371312E-2</v>
      </c>
      <c r="I12475">
        <v>1.9435044713371478E-2</v>
      </c>
    </row>
    <row r="12476" spans="1:9" x14ac:dyDescent="0.25">
      <c r="A12476">
        <v>451</v>
      </c>
      <c r="B12476" t="s">
        <v>3593</v>
      </c>
      <c r="C12476" t="s">
        <v>75</v>
      </c>
      <c r="D12476" t="s">
        <v>3614</v>
      </c>
      <c r="E12476">
        <f t="shared" si="589"/>
        <v>1.4285714285714285E-2</v>
      </c>
      <c r="F12476">
        <v>1</v>
      </c>
      <c r="G12476">
        <f>LOG(382/(1+1))</f>
        <v>2.2810333672477277</v>
      </c>
      <c r="H12476">
        <f>0.0142857142857142*5.25227342804663</f>
        <v>7.5032477543522838E-2</v>
      </c>
      <c r="I12476">
        <v>7.5032477543523282E-2</v>
      </c>
    </row>
    <row r="12477" spans="1:9" x14ac:dyDescent="0.25">
      <c r="A12477">
        <v>451</v>
      </c>
      <c r="B12477" t="s">
        <v>3593</v>
      </c>
      <c r="C12477" t="s">
        <v>75</v>
      </c>
      <c r="D12477" t="s">
        <v>436</v>
      </c>
      <c r="E12477">
        <f t="shared" si="589"/>
        <v>1.4285714285714285E-2</v>
      </c>
      <c r="F12477">
        <v>20</v>
      </c>
      <c r="G12477">
        <f>LOG(382/(20+1))</f>
        <v>1.2598440681777894</v>
      </c>
      <c r="H12477">
        <f>0.0142857142857142*2.90089817088315</f>
        <v>4.1441402441187609E-2</v>
      </c>
      <c r="I12477">
        <v>4.1441402441187887E-2</v>
      </c>
    </row>
    <row r="12478" spans="1:9" x14ac:dyDescent="0.25">
      <c r="A12478">
        <v>451</v>
      </c>
      <c r="B12478" t="s">
        <v>3593</v>
      </c>
      <c r="C12478" t="s">
        <v>75</v>
      </c>
      <c r="D12478" t="s">
        <v>1171</v>
      </c>
      <c r="E12478">
        <f t="shared" si="589"/>
        <v>1.4285714285714285E-2</v>
      </c>
      <c r="F12478">
        <v>4</v>
      </c>
      <c r="G12478">
        <f>LOG(382/(4+1))</f>
        <v>1.8830933585756899</v>
      </c>
      <c r="H12478">
        <f>0.0142857142857142*4.33598269617247</f>
        <v>6.1942609945320637E-2</v>
      </c>
      <c r="I12478">
        <v>6.1942609945321067E-2</v>
      </c>
    </row>
    <row r="12479" spans="1:9" x14ac:dyDescent="0.25">
      <c r="A12479">
        <v>451</v>
      </c>
      <c r="B12479" t="s">
        <v>3593</v>
      </c>
      <c r="C12479" t="s">
        <v>75</v>
      </c>
      <c r="D12479" t="s">
        <v>1727</v>
      </c>
      <c r="E12479">
        <f t="shared" si="589"/>
        <v>1.4285714285714285E-2</v>
      </c>
      <c r="F12479">
        <v>27</v>
      </c>
      <c r="G12479">
        <f>LOG(382/(27+1))</f>
        <v>1.1349053315694895</v>
      </c>
      <c r="H12479">
        <f>0.0142857142857142*2.61321609843137</f>
        <v>3.7331658549019348E-2</v>
      </c>
      <c r="I12479">
        <v>3.7331658549019577E-2</v>
      </c>
    </row>
    <row r="12480" spans="1:9" x14ac:dyDescent="0.25">
      <c r="A12480">
        <v>451</v>
      </c>
      <c r="B12480" t="s">
        <v>3593</v>
      </c>
      <c r="C12480" t="s">
        <v>75</v>
      </c>
      <c r="D12480" t="s">
        <v>770</v>
      </c>
      <c r="E12480">
        <f t="shared" si="589"/>
        <v>1.4285714285714285E-2</v>
      </c>
      <c r="F12480">
        <v>47</v>
      </c>
      <c r="G12480">
        <f>LOG(382/(47+1))</f>
        <v>0.90082212553612151</v>
      </c>
      <c r="H12480">
        <f>0.0142857142857142*2.07421959769868</f>
        <v>2.9631708538552397E-2</v>
      </c>
      <c r="I12480">
        <v>2.9631708538552629E-2</v>
      </c>
    </row>
    <row r="12481" spans="1:9" x14ac:dyDescent="0.25">
      <c r="A12481">
        <v>451</v>
      </c>
      <c r="B12481" t="s">
        <v>3593</v>
      </c>
      <c r="C12481" t="s">
        <v>75</v>
      </c>
      <c r="D12481" t="s">
        <v>243</v>
      </c>
      <c r="E12481">
        <f t="shared" si="589"/>
        <v>1.4285714285714285E-2</v>
      </c>
      <c r="F12481">
        <v>131</v>
      </c>
      <c r="G12481">
        <f>LOG(382/(131+1))</f>
        <v>0.46148943170585888</v>
      </c>
      <c r="H12481">
        <f>0.0142857142857142*1.0626186860202</f>
        <v>1.5180266943145624E-2</v>
      </c>
      <c r="I12481">
        <v>1.5180266943145769E-2</v>
      </c>
    </row>
    <row r="12482" spans="1:9" x14ac:dyDescent="0.25">
      <c r="A12482">
        <v>451</v>
      </c>
      <c r="B12482" t="s">
        <v>3593</v>
      </c>
      <c r="C12482" t="s">
        <v>75</v>
      </c>
      <c r="D12482" t="s">
        <v>307</v>
      </c>
      <c r="E12482">
        <f t="shared" si="589"/>
        <v>1.4285714285714285E-2</v>
      </c>
      <c r="F12482">
        <v>67</v>
      </c>
      <c r="G12482">
        <f>LOG(382/(67+1))</f>
        <v>0.7495544502054724</v>
      </c>
      <c r="H12482">
        <f>0.0142857142857142*1.72591290343046</f>
        <v>2.4655898620434998E-2</v>
      </c>
      <c r="I12482">
        <v>2.4655898620435261E-2</v>
      </c>
    </row>
    <row r="12483" spans="1:9" x14ac:dyDescent="0.25">
      <c r="A12483">
        <v>451</v>
      </c>
      <c r="B12483" t="s">
        <v>3593</v>
      </c>
      <c r="C12483" t="s">
        <v>75</v>
      </c>
      <c r="D12483" t="s">
        <v>455</v>
      </c>
      <c r="E12483">
        <f t="shared" si="589"/>
        <v>1.4285714285714285E-2</v>
      </c>
      <c r="F12483">
        <v>78</v>
      </c>
      <c r="G12483">
        <f>LOG(382/(78+1))</f>
        <v>0.6844362716212673</v>
      </c>
      <c r="H12483">
        <f>0.0142857142857142*1.57597275613955</f>
        <v>2.251389651627915E-2</v>
      </c>
      <c r="I12483">
        <v>2.2513896516279341E-2</v>
      </c>
    </row>
    <row r="12484" spans="1:9" x14ac:dyDescent="0.25">
      <c r="A12484">
        <v>451</v>
      </c>
      <c r="B12484" t="s">
        <v>3593</v>
      </c>
      <c r="C12484" t="s">
        <v>75</v>
      </c>
      <c r="D12484" t="s">
        <v>1779</v>
      </c>
      <c r="E12484">
        <f t="shared" si="589"/>
        <v>1.4285714285714285E-2</v>
      </c>
      <c r="F12484">
        <v>41</v>
      </c>
      <c r="G12484">
        <f>LOG(382/(41+1))</f>
        <v>0.95881407251380824</v>
      </c>
      <c r="H12484">
        <f>0.0142857142857142*2.2077509903232</f>
        <v>3.1539299861759816E-2</v>
      </c>
      <c r="I12484">
        <v>3.1539299861760101E-2</v>
      </c>
    </row>
    <row r="12485" spans="1:9" x14ac:dyDescent="0.25">
      <c r="A12485">
        <v>451</v>
      </c>
      <c r="B12485" t="s">
        <v>3593</v>
      </c>
      <c r="C12485" t="s">
        <v>75</v>
      </c>
      <c r="D12485" t="s">
        <v>3615</v>
      </c>
      <c r="E12485">
        <f t="shared" si="589"/>
        <v>1.4285714285714285E-2</v>
      </c>
      <c r="F12485">
        <v>1</v>
      </c>
      <c r="G12485">
        <f>LOG(382/(1+1))</f>
        <v>2.2810333672477277</v>
      </c>
      <c r="H12485">
        <f>0.0142857142857142*5.25227342804663</f>
        <v>7.5032477543522838E-2</v>
      </c>
      <c r="I12485">
        <v>7.5032477543523282E-2</v>
      </c>
    </row>
    <row r="12486" spans="1:9" x14ac:dyDescent="0.25">
      <c r="A12486">
        <v>452</v>
      </c>
      <c r="B12486" t="s">
        <v>3616</v>
      </c>
      <c r="C12486" t="s">
        <v>75</v>
      </c>
      <c r="D12486" t="s">
        <v>1762</v>
      </c>
      <c r="E12486">
        <f>1/14</f>
        <v>7.1428571428571425E-2</v>
      </c>
      <c r="F12486">
        <v>60</v>
      </c>
      <c r="G12486">
        <f>LOG(382/(60+1))</f>
        <v>0.79673352790094176</v>
      </c>
      <c r="H12486">
        <f>0.0714285714285714*1.83454674443326</f>
        <v>0.13103905317380421</v>
      </c>
      <c r="I12486">
        <v>0.1310390531738046</v>
      </c>
    </row>
    <row r="12487" spans="1:9" x14ac:dyDescent="0.25">
      <c r="A12487">
        <v>452</v>
      </c>
      <c r="B12487" t="s">
        <v>3616</v>
      </c>
      <c r="C12487" t="s">
        <v>75</v>
      </c>
      <c r="D12487" t="s">
        <v>1827</v>
      </c>
      <c r="E12487">
        <f>1/14</f>
        <v>7.1428571428571425E-2</v>
      </c>
      <c r="F12487">
        <v>9</v>
      </c>
      <c r="G12487">
        <f>LOG(382/(9+1))</f>
        <v>1.5820633629117087</v>
      </c>
      <c r="H12487">
        <f>0.0714285714285714*3.64283551561252</f>
        <v>0.26020253682946559</v>
      </c>
      <c r="I12487">
        <v>0.26020253682946642</v>
      </c>
    </row>
    <row r="12488" spans="1:9" x14ac:dyDescent="0.25">
      <c r="A12488">
        <v>452</v>
      </c>
      <c r="B12488" t="s">
        <v>3616</v>
      </c>
      <c r="C12488" t="s">
        <v>75</v>
      </c>
      <c r="D12488" t="s">
        <v>3617</v>
      </c>
      <c r="E12488">
        <f>1/14</f>
        <v>7.1428571428571425E-2</v>
      </c>
      <c r="F12488">
        <v>1</v>
      </c>
      <c r="G12488">
        <f>LOG(382/(1+1))</f>
        <v>2.2810333672477277</v>
      </c>
      <c r="H12488">
        <f>0.0714285714285714*5.25227342804663</f>
        <v>0.37516238771761623</v>
      </c>
      <c r="I12488">
        <v>0.3751623877176164</v>
      </c>
    </row>
    <row r="12489" spans="1:9" x14ac:dyDescent="0.25">
      <c r="A12489">
        <v>452</v>
      </c>
      <c r="B12489" t="s">
        <v>3616</v>
      </c>
      <c r="C12489" t="s">
        <v>75</v>
      </c>
      <c r="D12489" t="s">
        <v>24</v>
      </c>
      <c r="E12489">
        <f>1/14</f>
        <v>7.1428571428571425E-2</v>
      </c>
      <c r="F12489">
        <v>59</v>
      </c>
      <c r="G12489">
        <f>LOG(382/(59+1))</f>
        <v>0.80391211252806505</v>
      </c>
      <c r="H12489">
        <f>0.0714285714285714*1.85107604638447</f>
        <v>0.13221971759889065</v>
      </c>
      <c r="I12489">
        <v>0.13221971759889101</v>
      </c>
    </row>
    <row r="12490" spans="1:9" x14ac:dyDescent="0.25">
      <c r="A12490">
        <v>452</v>
      </c>
      <c r="B12490" t="s">
        <v>3616</v>
      </c>
      <c r="C12490" t="s">
        <v>75</v>
      </c>
      <c r="D12490" t="s">
        <v>451</v>
      </c>
      <c r="E12490">
        <f>1/14</f>
        <v>7.1428571428571425E-2</v>
      </c>
      <c r="F12490">
        <v>15</v>
      </c>
      <c r="G12490">
        <f>LOG(382/(15+1))</f>
        <v>1.3779433802557839</v>
      </c>
      <c r="H12490">
        <f>0.0714285714285714*3.17283188636679</f>
        <v>0.2266308490261992</v>
      </c>
      <c r="I12490">
        <v>0.22663084902619959</v>
      </c>
    </row>
    <row r="12491" spans="1:9" x14ac:dyDescent="0.25">
      <c r="A12491">
        <v>452</v>
      </c>
      <c r="B12491" t="s">
        <v>3616</v>
      </c>
      <c r="C12491" t="s">
        <v>75</v>
      </c>
      <c r="D12491" t="s">
        <v>82</v>
      </c>
      <c r="E12491">
        <f>2/14</f>
        <v>0.14285714285714285</v>
      </c>
      <c r="F12491">
        <v>92</v>
      </c>
      <c r="G12491">
        <f>LOG(382/(92+1))</f>
        <v>0.61358041435777355</v>
      </c>
      <c r="H12491">
        <f>0.142857142857142*1.41282111545331</f>
        <v>0.2018315879219002</v>
      </c>
      <c r="I12491">
        <v>0.2018315879219027</v>
      </c>
    </row>
    <row r="12492" spans="1:9" x14ac:dyDescent="0.25">
      <c r="A12492">
        <v>452</v>
      </c>
      <c r="B12492" t="s">
        <v>3616</v>
      </c>
      <c r="C12492" t="s">
        <v>75</v>
      </c>
      <c r="D12492" t="s">
        <v>1727</v>
      </c>
      <c r="E12492">
        <f t="shared" ref="E12492:E12498" si="590">1/14</f>
        <v>7.1428571428571425E-2</v>
      </c>
      <c r="F12492">
        <v>27</v>
      </c>
      <c r="G12492">
        <f>LOG(382/(27+1))</f>
        <v>1.1349053315694895</v>
      </c>
      <c r="H12492">
        <f>0.0714285714285714*2.61321609843137</f>
        <v>0.18665829274509779</v>
      </c>
      <c r="I12492">
        <v>0.1866582927450979</v>
      </c>
    </row>
    <row r="12493" spans="1:9" x14ac:dyDescent="0.25">
      <c r="A12493">
        <v>452</v>
      </c>
      <c r="B12493" t="s">
        <v>3616</v>
      </c>
      <c r="C12493" t="s">
        <v>75</v>
      </c>
      <c r="D12493" t="s">
        <v>239</v>
      </c>
      <c r="E12493">
        <f t="shared" si="590"/>
        <v>7.1428571428571425E-2</v>
      </c>
      <c r="F12493">
        <v>40</v>
      </c>
      <c r="G12493">
        <f>LOG(382/(40+1))</f>
        <v>0.96927950619197323</v>
      </c>
      <c r="H12493">
        <f>0.0714285714285714*2.23184854190226</f>
        <v>0.1594177529930185</v>
      </c>
      <c r="I12493">
        <v>0.15941775299301911</v>
      </c>
    </row>
    <row r="12494" spans="1:9" x14ac:dyDescent="0.25">
      <c r="A12494">
        <v>452</v>
      </c>
      <c r="B12494" t="s">
        <v>3616</v>
      </c>
      <c r="C12494" t="s">
        <v>75</v>
      </c>
      <c r="D12494" t="s">
        <v>1102</v>
      </c>
      <c r="E12494">
        <f t="shared" si="590"/>
        <v>7.1428571428571425E-2</v>
      </c>
      <c r="F12494">
        <v>4</v>
      </c>
      <c r="G12494">
        <f>LOG(382/(4+1))</f>
        <v>1.8830933585756899</v>
      </c>
      <c r="H12494">
        <f>0.0714285714285714*4.33598269617247</f>
        <v>0.30971304972660491</v>
      </c>
      <c r="I12494">
        <v>0.30971304972660529</v>
      </c>
    </row>
    <row r="12495" spans="1:9" x14ac:dyDescent="0.25">
      <c r="A12495">
        <v>452</v>
      </c>
      <c r="B12495" t="s">
        <v>3616</v>
      </c>
      <c r="C12495" t="s">
        <v>75</v>
      </c>
      <c r="D12495" t="s">
        <v>767</v>
      </c>
      <c r="E12495">
        <f t="shared" si="590"/>
        <v>7.1428571428571425E-2</v>
      </c>
      <c r="F12495">
        <v>47</v>
      </c>
      <c r="G12495">
        <f>LOG(382/(47+1))</f>
        <v>0.90082212553612151</v>
      </c>
      <c r="H12495">
        <f>0.0714285714285714*2.07421959769868</f>
        <v>0.1481585426927628</v>
      </c>
      <c r="I12495">
        <v>0.14815854269276321</v>
      </c>
    </row>
    <row r="12496" spans="1:9" x14ac:dyDescent="0.25">
      <c r="A12496">
        <v>452</v>
      </c>
      <c r="B12496" t="s">
        <v>3616</v>
      </c>
      <c r="C12496" t="s">
        <v>75</v>
      </c>
      <c r="D12496" t="s">
        <v>3293</v>
      </c>
      <c r="E12496">
        <f t="shared" si="590"/>
        <v>7.1428571428571425E-2</v>
      </c>
      <c r="F12496">
        <v>6</v>
      </c>
      <c r="G12496">
        <f>LOG(382/(6+1))</f>
        <v>1.736965322897452</v>
      </c>
      <c r="H12496">
        <f>0.0714285714285714*3.99951045955126</f>
        <v>0.28567931853937562</v>
      </c>
      <c r="I12496">
        <v>0.28567931853937578</v>
      </c>
    </row>
    <row r="12497" spans="1:9" x14ac:dyDescent="0.25">
      <c r="A12497">
        <v>452</v>
      </c>
      <c r="B12497" t="s">
        <v>3616</v>
      </c>
      <c r="C12497" t="s">
        <v>75</v>
      </c>
      <c r="D12497" t="s">
        <v>770</v>
      </c>
      <c r="E12497">
        <f t="shared" si="590"/>
        <v>7.1428571428571425E-2</v>
      </c>
      <c r="F12497">
        <v>47</v>
      </c>
      <c r="G12497">
        <f>LOG(382/(47+1))</f>
        <v>0.90082212553612151</v>
      </c>
      <c r="H12497">
        <f>0.0714285714285714*2.07421959769868</f>
        <v>0.1481585426927628</v>
      </c>
      <c r="I12497">
        <v>0.14815854269276321</v>
      </c>
    </row>
    <row r="12498" spans="1:9" x14ac:dyDescent="0.25">
      <c r="A12498">
        <v>452</v>
      </c>
      <c r="B12498" t="s">
        <v>3616</v>
      </c>
      <c r="C12498" t="s">
        <v>75</v>
      </c>
      <c r="D12498" t="s">
        <v>1453</v>
      </c>
      <c r="E12498">
        <f t="shared" si="590"/>
        <v>7.1428571428571425E-2</v>
      </c>
      <c r="F12498">
        <v>23</v>
      </c>
      <c r="G12498">
        <f>LOG(382/(23+1))</f>
        <v>1.2018521212001028</v>
      </c>
      <c r="H12498">
        <f>0.0714285714285714*2.76736677825862</f>
        <v>0.19766905558990136</v>
      </c>
      <c r="I12498">
        <v>0.19766905558990211</v>
      </c>
    </row>
    <row r="12499" spans="1:9" x14ac:dyDescent="0.25">
      <c r="A12499">
        <v>453</v>
      </c>
      <c r="B12499" t="s">
        <v>3618</v>
      </c>
      <c r="C12499" t="s">
        <v>75</v>
      </c>
      <c r="D12499" t="s">
        <v>112</v>
      </c>
      <c r="E12499">
        <f t="shared" ref="E12499:E12507" si="591">1/41</f>
        <v>2.4390243902439025E-2</v>
      </c>
      <c r="F12499">
        <v>52</v>
      </c>
      <c r="G12499">
        <f>LOG(382/(52+1))</f>
        <v>0.85778749331091964</v>
      </c>
      <c r="H12499">
        <f>0.024390243902439*1.97512869505445</f>
        <v>4.8173870611084101E-2</v>
      </c>
      <c r="I12499">
        <v>4.8173870611084232E-2</v>
      </c>
    </row>
    <row r="12500" spans="1:9" x14ac:dyDescent="0.25">
      <c r="A12500">
        <v>453</v>
      </c>
      <c r="B12500" t="s">
        <v>3618</v>
      </c>
      <c r="C12500" t="s">
        <v>75</v>
      </c>
      <c r="D12500" t="s">
        <v>82</v>
      </c>
      <c r="E12500">
        <f t="shared" si="591"/>
        <v>2.4390243902439025E-2</v>
      </c>
      <c r="F12500">
        <v>92</v>
      </c>
      <c r="G12500">
        <f>LOG(382/(92+1))</f>
        <v>0.61358041435777355</v>
      </c>
      <c r="H12500">
        <f>0.024390243902439*1.41282111545331</f>
        <v>3.4459051596422159E-2</v>
      </c>
      <c r="I12500">
        <v>3.4459051596422423E-2</v>
      </c>
    </row>
    <row r="12501" spans="1:9" x14ac:dyDescent="0.25">
      <c r="A12501">
        <v>453</v>
      </c>
      <c r="B12501" t="s">
        <v>3618</v>
      </c>
      <c r="C12501" t="s">
        <v>75</v>
      </c>
      <c r="D12501" t="s">
        <v>3437</v>
      </c>
      <c r="E12501">
        <f t="shared" si="591"/>
        <v>2.4390243902439025E-2</v>
      </c>
      <c r="F12501">
        <v>5</v>
      </c>
      <c r="G12501">
        <f>LOG(382/(5+1))</f>
        <v>1.803912112528065</v>
      </c>
      <c r="H12501">
        <f>0.024390243902439*4.15366113937852</f>
        <v>0.10130880827752478</v>
      </c>
      <c r="I12501">
        <v>0.10130880827752491</v>
      </c>
    </row>
    <row r="12502" spans="1:9" x14ac:dyDescent="0.25">
      <c r="A12502">
        <v>453</v>
      </c>
      <c r="B12502" t="s">
        <v>3618</v>
      </c>
      <c r="C12502" t="s">
        <v>75</v>
      </c>
      <c r="D12502" t="s">
        <v>3619</v>
      </c>
      <c r="E12502">
        <f t="shared" si="591"/>
        <v>2.4390243902439025E-2</v>
      </c>
      <c r="F12502">
        <v>1</v>
      </c>
      <c r="G12502">
        <f>LOG(382/(1+1))</f>
        <v>2.2810333672477277</v>
      </c>
      <c r="H12502">
        <f>0.024390243902439*5.25227342804663</f>
        <v>0.12810422995235671</v>
      </c>
      <c r="I12502">
        <v>0.12810422995235679</v>
      </c>
    </row>
    <row r="12503" spans="1:9" x14ac:dyDescent="0.25">
      <c r="A12503">
        <v>453</v>
      </c>
      <c r="B12503" t="s">
        <v>3618</v>
      </c>
      <c r="C12503" t="s">
        <v>75</v>
      </c>
      <c r="D12503" t="s">
        <v>3620</v>
      </c>
      <c r="E12503">
        <f t="shared" si="591"/>
        <v>2.4390243902439025E-2</v>
      </c>
      <c r="F12503">
        <v>1</v>
      </c>
      <c r="G12503">
        <f>LOG(382/(1+1))</f>
        <v>2.2810333672477277</v>
      </c>
      <c r="H12503">
        <f>0.024390243902439*5.25227342804663</f>
        <v>0.12810422995235671</v>
      </c>
      <c r="I12503">
        <v>0.12810422995235679</v>
      </c>
    </row>
    <row r="12504" spans="1:9" x14ac:dyDescent="0.25">
      <c r="A12504">
        <v>453</v>
      </c>
      <c r="B12504" t="s">
        <v>3618</v>
      </c>
      <c r="C12504" t="s">
        <v>75</v>
      </c>
      <c r="D12504" t="s">
        <v>42</v>
      </c>
      <c r="E12504">
        <f t="shared" si="591"/>
        <v>2.4390243902439025E-2</v>
      </c>
      <c r="F12504">
        <v>251</v>
      </c>
      <c r="G12504">
        <f>LOG(382/(251+1))</f>
        <v>0.18066282213016463</v>
      </c>
      <c r="H12504">
        <f>0.024390243902439*0.415991521095151</f>
        <v>1.0146134660857332E-2</v>
      </c>
      <c r="I12504">
        <v>1.014613466085736E-2</v>
      </c>
    </row>
    <row r="12505" spans="1:9" x14ac:dyDescent="0.25">
      <c r="A12505">
        <v>453</v>
      </c>
      <c r="B12505" t="s">
        <v>3618</v>
      </c>
      <c r="C12505" t="s">
        <v>75</v>
      </c>
      <c r="D12505" t="s">
        <v>1496</v>
      </c>
      <c r="E12505">
        <f t="shared" si="591"/>
        <v>2.4390243902439025E-2</v>
      </c>
      <c r="F12505">
        <v>39</v>
      </c>
      <c r="G12505">
        <f>LOG(382/(39+1))</f>
        <v>0.9800033715837464</v>
      </c>
      <c r="H12505">
        <f>0.024390243902439*2.25654115449263</f>
        <v>5.5037589133966537E-2</v>
      </c>
      <c r="I12505">
        <v>5.5037589133966808E-2</v>
      </c>
    </row>
    <row r="12506" spans="1:9" x14ac:dyDescent="0.25">
      <c r="A12506">
        <v>453</v>
      </c>
      <c r="B12506" t="s">
        <v>3618</v>
      </c>
      <c r="C12506" t="s">
        <v>75</v>
      </c>
      <c r="D12506" t="s">
        <v>2710</v>
      </c>
      <c r="E12506">
        <f t="shared" si="591"/>
        <v>2.4390243902439025E-2</v>
      </c>
      <c r="F12506">
        <v>5</v>
      </c>
      <c r="G12506">
        <f>LOG(382/(5+1))</f>
        <v>1.803912112528065</v>
      </c>
      <c r="H12506">
        <f>0.024390243902439*4.15366113937852</f>
        <v>0.10130880827752478</v>
      </c>
      <c r="I12506">
        <v>0.10130880827752491</v>
      </c>
    </row>
    <row r="12507" spans="1:9" x14ac:dyDescent="0.25">
      <c r="A12507">
        <v>453</v>
      </c>
      <c r="B12507" t="s">
        <v>3618</v>
      </c>
      <c r="C12507" t="s">
        <v>75</v>
      </c>
      <c r="D12507" t="s">
        <v>552</v>
      </c>
      <c r="E12507">
        <f t="shared" si="591"/>
        <v>2.4390243902439025E-2</v>
      </c>
      <c r="F12507">
        <v>14</v>
      </c>
      <c r="G12507">
        <f>LOG(382/(14+1))</f>
        <v>1.4059721038560276</v>
      </c>
      <c r="H12507">
        <f>0.024390243902439*3.23737040750436</f>
        <v>7.8960253841569683E-2</v>
      </c>
      <c r="I12507">
        <v>7.8960253841569891E-2</v>
      </c>
    </row>
    <row r="12508" spans="1:9" x14ac:dyDescent="0.25">
      <c r="A12508">
        <v>453</v>
      </c>
      <c r="B12508" t="s">
        <v>3618</v>
      </c>
      <c r="C12508" t="s">
        <v>75</v>
      </c>
      <c r="D12508" t="s">
        <v>920</v>
      </c>
      <c r="E12508">
        <f>2/41</f>
        <v>4.878048780487805E-2</v>
      </c>
      <c r="F12508">
        <v>30</v>
      </c>
      <c r="G12508">
        <f>LOG(382/(30+1))</f>
        <v>1.090701669077436</v>
      </c>
      <c r="H12508">
        <f>0.048780487804878*2.51143340412142</f>
        <v>0.12250894654250818</v>
      </c>
      <c r="I12508">
        <v>0.1225089465425087</v>
      </c>
    </row>
    <row r="12509" spans="1:9" x14ac:dyDescent="0.25">
      <c r="A12509">
        <v>453</v>
      </c>
      <c r="B12509" t="s">
        <v>3618</v>
      </c>
      <c r="C12509" t="s">
        <v>75</v>
      </c>
      <c r="D12509" t="s">
        <v>17</v>
      </c>
      <c r="E12509">
        <f t="shared" ref="E12509:E12530" si="592">1/41</f>
        <v>2.4390243902439025E-2</v>
      </c>
      <c r="F12509">
        <v>169</v>
      </c>
      <c r="G12509">
        <f>LOG(382/(169+1))</f>
        <v>0.3516144415334348</v>
      </c>
      <c r="H12509">
        <f>0.024390243902439*0.809622171556313</f>
        <v>1.9746882233080784E-2</v>
      </c>
      <c r="I12509">
        <v>1.9746882233080819E-2</v>
      </c>
    </row>
    <row r="12510" spans="1:9" x14ac:dyDescent="0.25">
      <c r="A12510">
        <v>453</v>
      </c>
      <c r="B12510" t="s">
        <v>3618</v>
      </c>
      <c r="C12510" t="s">
        <v>75</v>
      </c>
      <c r="D12510" t="s">
        <v>19</v>
      </c>
      <c r="E12510">
        <f t="shared" si="592"/>
        <v>2.4390243902439025E-2</v>
      </c>
      <c r="F12510">
        <v>220</v>
      </c>
      <c r="G12510">
        <f>LOG(382/(220+1))</f>
        <v>0.23767108922659805</v>
      </c>
      <c r="H12510">
        <f>0.024390243902439*0.547257907088822</f>
        <v>1.3347753831434672E-2</v>
      </c>
      <c r="I12510">
        <v>1.3347753831434691E-2</v>
      </c>
    </row>
    <row r="12511" spans="1:9" x14ac:dyDescent="0.25">
      <c r="A12511">
        <v>453</v>
      </c>
      <c r="B12511" t="s">
        <v>3618</v>
      </c>
      <c r="C12511" t="s">
        <v>75</v>
      </c>
      <c r="D12511" t="s">
        <v>44</v>
      </c>
      <c r="E12511">
        <f t="shared" si="592"/>
        <v>2.4390243902439025E-2</v>
      </c>
      <c r="F12511">
        <v>151</v>
      </c>
      <c r="G12511">
        <f>LOG(382/(151+1))</f>
        <v>0.40021977496693617</v>
      </c>
      <c r="H12511">
        <f>0.024390243902439*0.921540087760298</f>
        <v>2.2476587506348712E-2</v>
      </c>
      <c r="I12511">
        <v>2.247658750634875E-2</v>
      </c>
    </row>
    <row r="12512" spans="1:9" x14ac:dyDescent="0.25">
      <c r="A12512">
        <v>453</v>
      </c>
      <c r="B12512" t="s">
        <v>3618</v>
      </c>
      <c r="C12512" t="s">
        <v>75</v>
      </c>
      <c r="D12512" t="s">
        <v>22</v>
      </c>
      <c r="E12512">
        <f t="shared" si="592"/>
        <v>2.4390243902439025E-2</v>
      </c>
      <c r="F12512">
        <v>259</v>
      </c>
      <c r="G12512">
        <f>LOG(382/(259+1))</f>
        <v>0.16709001494089079</v>
      </c>
      <c r="H12512">
        <f>0.024390243902439*0.384738977591047</f>
        <v>9.383877502220651E-3</v>
      </c>
      <c r="I12512">
        <v>9.3838775022206718E-3</v>
      </c>
    </row>
    <row r="12513" spans="1:9" x14ac:dyDescent="0.25">
      <c r="A12513">
        <v>453</v>
      </c>
      <c r="B12513" t="s">
        <v>3618</v>
      </c>
      <c r="C12513" t="s">
        <v>75</v>
      </c>
      <c r="D12513" t="s">
        <v>23</v>
      </c>
      <c r="E12513">
        <f t="shared" si="592"/>
        <v>2.4390243902439025E-2</v>
      </c>
      <c r="F12513">
        <v>275</v>
      </c>
      <c r="G12513">
        <f>LOG(382/(275+1))</f>
        <v>0.14115428084649101</v>
      </c>
      <c r="H12513">
        <f>0.024390243902439*0.325019742889425</f>
        <v>7.9273108021810888E-3</v>
      </c>
      <c r="I12513">
        <v>7.927310802181101E-3</v>
      </c>
    </row>
    <row r="12514" spans="1:9" x14ac:dyDescent="0.25">
      <c r="A12514">
        <v>453</v>
      </c>
      <c r="B12514" t="s">
        <v>3618</v>
      </c>
      <c r="C12514" t="s">
        <v>75</v>
      </c>
      <c r="D12514" t="s">
        <v>3520</v>
      </c>
      <c r="E12514">
        <f t="shared" si="592"/>
        <v>2.4390243902439025E-2</v>
      </c>
      <c r="F12514">
        <v>8</v>
      </c>
      <c r="G12514">
        <f>LOG(382/(8+1))</f>
        <v>1.6278208534723839</v>
      </c>
      <c r="H12514">
        <f>0.024390243902439*3.74819603127035</f>
        <v>9.1419415396837719E-2</v>
      </c>
      <c r="I12514">
        <v>9.1419415396837941E-2</v>
      </c>
    </row>
    <row r="12515" spans="1:9" x14ac:dyDescent="0.25">
      <c r="A12515">
        <v>453</v>
      </c>
      <c r="B12515" t="s">
        <v>3618</v>
      </c>
      <c r="C12515" t="s">
        <v>75</v>
      </c>
      <c r="D12515" t="s">
        <v>3621</v>
      </c>
      <c r="E12515">
        <f t="shared" si="592"/>
        <v>2.4390243902439025E-2</v>
      </c>
      <c r="F12515">
        <v>2</v>
      </c>
      <c r="G12515">
        <f>LOG(382/(2+1))</f>
        <v>2.1049421081920463</v>
      </c>
      <c r="H12515">
        <f>0.024390243902439*4.84680831993846</f>
        <v>0.11821483707166965</v>
      </c>
      <c r="I12515">
        <v>0.1182148370716699</v>
      </c>
    </row>
    <row r="12516" spans="1:9" x14ac:dyDescent="0.25">
      <c r="A12516">
        <v>453</v>
      </c>
      <c r="B12516" t="s">
        <v>3618</v>
      </c>
      <c r="C12516" t="s">
        <v>75</v>
      </c>
      <c r="D12516" t="s">
        <v>362</v>
      </c>
      <c r="E12516">
        <f t="shared" si="592"/>
        <v>2.4390243902439025E-2</v>
      </c>
      <c r="F12516">
        <v>81</v>
      </c>
      <c r="G12516">
        <f>LOG(382/(81+1))</f>
        <v>0.66824951052799197</v>
      </c>
      <c r="H12516">
        <f>0.024390243902439*1.53870136134232</f>
        <v>3.7529301496154112E-2</v>
      </c>
      <c r="I12516">
        <v>3.7529301496154202E-2</v>
      </c>
    </row>
    <row r="12517" spans="1:9" x14ac:dyDescent="0.25">
      <c r="A12517">
        <v>453</v>
      </c>
      <c r="B12517" t="s">
        <v>3618</v>
      </c>
      <c r="C12517" t="s">
        <v>75</v>
      </c>
      <c r="D12517" t="s">
        <v>1769</v>
      </c>
      <c r="E12517">
        <f t="shared" si="592"/>
        <v>2.4390243902439025E-2</v>
      </c>
      <c r="F12517">
        <v>84</v>
      </c>
      <c r="G12517">
        <f>LOG(382/(84+1))</f>
        <v>0.65264443719741605</v>
      </c>
      <c r="H12517">
        <f>0.024390243902439*1.50276935211625</f>
        <v>3.6652911027225572E-2</v>
      </c>
      <c r="I12517">
        <v>3.6652911027225829E-2</v>
      </c>
    </row>
    <row r="12518" spans="1:9" x14ac:dyDescent="0.25">
      <c r="A12518">
        <v>453</v>
      </c>
      <c r="B12518" t="s">
        <v>3618</v>
      </c>
      <c r="C12518" t="s">
        <v>75</v>
      </c>
      <c r="D12518" t="s">
        <v>126</v>
      </c>
      <c r="E12518">
        <f t="shared" si="592"/>
        <v>2.4390243902439025E-2</v>
      </c>
      <c r="F12518">
        <v>79</v>
      </c>
      <c r="G12518">
        <f>LOG(382/(79+1))</f>
        <v>0.67897337591976514</v>
      </c>
      <c r="H12518">
        <f>0.024390243902439*1.56339397393269</f>
        <v>3.8131560339821673E-2</v>
      </c>
      <c r="I12518">
        <v>3.8131560339821798E-2</v>
      </c>
    </row>
    <row r="12519" spans="1:9" x14ac:dyDescent="0.25">
      <c r="A12519">
        <v>453</v>
      </c>
      <c r="B12519" t="s">
        <v>3618</v>
      </c>
      <c r="C12519" t="s">
        <v>75</v>
      </c>
      <c r="D12519" t="s">
        <v>3622</v>
      </c>
      <c r="E12519">
        <f t="shared" si="592"/>
        <v>2.4390243902439025E-2</v>
      </c>
      <c r="F12519">
        <v>2</v>
      </c>
      <c r="G12519">
        <f>LOG(382/(2+1))</f>
        <v>2.1049421081920463</v>
      </c>
      <c r="H12519">
        <f>0.024390243902439*4.84680831993846</f>
        <v>0.11821483707166965</v>
      </c>
      <c r="I12519">
        <v>0.1182148370716699</v>
      </c>
    </row>
    <row r="12520" spans="1:9" x14ac:dyDescent="0.25">
      <c r="A12520">
        <v>453</v>
      </c>
      <c r="B12520" t="s">
        <v>3618</v>
      </c>
      <c r="C12520" t="s">
        <v>75</v>
      </c>
      <c r="D12520" t="s">
        <v>1728</v>
      </c>
      <c r="E12520">
        <f t="shared" si="592"/>
        <v>2.4390243902439025E-2</v>
      </c>
      <c r="F12520">
        <v>2</v>
      </c>
      <c r="G12520">
        <f>LOG(382/(2+1))</f>
        <v>2.1049421081920463</v>
      </c>
      <c r="H12520">
        <f>0.024390243902439*4.84680831993846</f>
        <v>0.11821483707166965</v>
      </c>
      <c r="I12520">
        <v>0.1182148370716699</v>
      </c>
    </row>
    <row r="12521" spans="1:9" x14ac:dyDescent="0.25">
      <c r="A12521">
        <v>453</v>
      </c>
      <c r="B12521" t="s">
        <v>3618</v>
      </c>
      <c r="C12521" t="s">
        <v>75</v>
      </c>
      <c r="D12521" t="s">
        <v>3014</v>
      </c>
      <c r="E12521">
        <f t="shared" si="592"/>
        <v>2.4390243902439025E-2</v>
      </c>
      <c r="F12521">
        <v>11</v>
      </c>
      <c r="G12521">
        <f>LOG(382/(11+1))</f>
        <v>1.5028821168640838</v>
      </c>
      <c r="H12521">
        <f>0.024390243902439*3.46051395881857</f>
        <v>8.4402779483379681E-2</v>
      </c>
      <c r="I12521">
        <v>8.4402779483379875E-2</v>
      </c>
    </row>
    <row r="12522" spans="1:9" x14ac:dyDescent="0.25">
      <c r="A12522">
        <v>453</v>
      </c>
      <c r="B12522" t="s">
        <v>3618</v>
      </c>
      <c r="C12522" t="s">
        <v>75</v>
      </c>
      <c r="D12522" t="s">
        <v>3403</v>
      </c>
      <c r="E12522">
        <f t="shared" si="592"/>
        <v>2.4390243902439025E-2</v>
      </c>
      <c r="F12522">
        <v>5</v>
      </c>
      <c r="G12522">
        <f>LOG(382/(5+1))</f>
        <v>1.803912112528065</v>
      </c>
      <c r="H12522">
        <f>0.024390243902439*4.15366113937852</f>
        <v>0.10130880827752478</v>
      </c>
      <c r="I12522">
        <v>0.10130880827752491</v>
      </c>
    </row>
    <row r="12523" spans="1:9" x14ac:dyDescent="0.25">
      <c r="A12523">
        <v>453</v>
      </c>
      <c r="B12523" t="s">
        <v>3618</v>
      </c>
      <c r="C12523" t="s">
        <v>75</v>
      </c>
      <c r="D12523" t="s">
        <v>3404</v>
      </c>
      <c r="E12523">
        <f t="shared" si="592"/>
        <v>2.4390243902439025E-2</v>
      </c>
      <c r="F12523">
        <v>5</v>
      </c>
      <c r="G12523">
        <f>LOG(382/(5+1))</f>
        <v>1.803912112528065</v>
      </c>
      <c r="H12523">
        <f>0.024390243902439*4.15366113937852</f>
        <v>0.10130880827752478</v>
      </c>
      <c r="I12523">
        <v>0.10130880827752491</v>
      </c>
    </row>
    <row r="12524" spans="1:9" x14ac:dyDescent="0.25">
      <c r="A12524">
        <v>453</v>
      </c>
      <c r="B12524" t="s">
        <v>3618</v>
      </c>
      <c r="C12524" t="s">
        <v>75</v>
      </c>
      <c r="D12524" t="s">
        <v>541</v>
      </c>
      <c r="E12524">
        <f t="shared" si="592"/>
        <v>2.4390243902439025E-2</v>
      </c>
      <c r="F12524">
        <v>2</v>
      </c>
      <c r="G12524">
        <f>LOG(382/(2+1))</f>
        <v>2.1049421081920463</v>
      </c>
      <c r="H12524">
        <f>0.024390243902439*4.84680831993846</f>
        <v>0.11821483707166965</v>
      </c>
      <c r="I12524">
        <v>0.1182148370716699</v>
      </c>
    </row>
    <row r="12525" spans="1:9" x14ac:dyDescent="0.25">
      <c r="A12525">
        <v>453</v>
      </c>
      <c r="B12525" t="s">
        <v>3618</v>
      </c>
      <c r="C12525" t="s">
        <v>75</v>
      </c>
      <c r="D12525" t="s">
        <v>361</v>
      </c>
      <c r="E12525">
        <f t="shared" si="592"/>
        <v>2.4390243902439025E-2</v>
      </c>
      <c r="F12525">
        <v>118</v>
      </c>
      <c r="G12525">
        <f>LOG(382/(118+1))</f>
        <v>0.50651640151917798</v>
      </c>
      <c r="H12525">
        <f>0.024390243902439*1.16629711549504</f>
        <v>2.8446271109635091E-2</v>
      </c>
      <c r="I12525">
        <v>2.8446271109635268E-2</v>
      </c>
    </row>
    <row r="12526" spans="1:9" x14ac:dyDescent="0.25">
      <c r="A12526">
        <v>453</v>
      </c>
      <c r="B12526" t="s">
        <v>3618</v>
      </c>
      <c r="C12526" t="s">
        <v>75</v>
      </c>
      <c r="D12526" t="s">
        <v>3623</v>
      </c>
      <c r="E12526">
        <f t="shared" si="592"/>
        <v>2.4390243902439025E-2</v>
      </c>
      <c r="F12526">
        <v>1</v>
      </c>
      <c r="G12526">
        <f>LOG(382/(1+1))</f>
        <v>2.2810333672477277</v>
      </c>
      <c r="H12526">
        <f>0.024390243902439*5.25227342804663</f>
        <v>0.12810422995235671</v>
      </c>
      <c r="I12526">
        <v>0.12810422995235679</v>
      </c>
    </row>
    <row r="12527" spans="1:9" x14ac:dyDescent="0.25">
      <c r="A12527">
        <v>453</v>
      </c>
      <c r="B12527" t="s">
        <v>3618</v>
      </c>
      <c r="C12527" t="s">
        <v>75</v>
      </c>
      <c r="D12527" t="s">
        <v>3624</v>
      </c>
      <c r="E12527">
        <f t="shared" si="592"/>
        <v>2.4390243902439025E-2</v>
      </c>
      <c r="F12527">
        <v>1</v>
      </c>
      <c r="G12527">
        <f>LOG(382/(1+1))</f>
        <v>2.2810333672477277</v>
      </c>
      <c r="H12527">
        <f>0.024390243902439*5.25227342804663</f>
        <v>0.12810422995235671</v>
      </c>
      <c r="I12527">
        <v>0.12810422995235679</v>
      </c>
    </row>
    <row r="12528" spans="1:9" x14ac:dyDescent="0.25">
      <c r="A12528">
        <v>453</v>
      </c>
      <c r="B12528" t="s">
        <v>3618</v>
      </c>
      <c r="C12528" t="s">
        <v>75</v>
      </c>
      <c r="D12528" t="s">
        <v>1467</v>
      </c>
      <c r="E12528">
        <f t="shared" si="592"/>
        <v>2.4390243902439025E-2</v>
      </c>
      <c r="F12528">
        <v>21</v>
      </c>
      <c r="G12528">
        <f>LOG(382/(21+1))</f>
        <v>1.2396406820895025</v>
      </c>
      <c r="H12528">
        <f>0.024390243902439*2.85437815524825</f>
        <v>6.9618979396298714E-2</v>
      </c>
      <c r="I12528">
        <v>6.9618979396299005E-2</v>
      </c>
    </row>
    <row r="12529" spans="1:9" x14ac:dyDescent="0.25">
      <c r="A12529">
        <v>453</v>
      </c>
      <c r="B12529" t="s">
        <v>3618</v>
      </c>
      <c r="C12529" t="s">
        <v>75</v>
      </c>
      <c r="D12529" t="s">
        <v>1748</v>
      </c>
      <c r="E12529">
        <f t="shared" si="592"/>
        <v>2.4390243902439025E-2</v>
      </c>
      <c r="F12529">
        <v>12</v>
      </c>
      <c r="G12529">
        <f>LOG(382/(12+1))</f>
        <v>1.468120010604872</v>
      </c>
      <c r="H12529">
        <f>0.024390243902439*3.38047125114503</f>
        <v>8.2450518320610414E-2</v>
      </c>
      <c r="I12529">
        <v>8.2450518320610705E-2</v>
      </c>
    </row>
    <row r="12530" spans="1:9" x14ac:dyDescent="0.25">
      <c r="A12530">
        <v>453</v>
      </c>
      <c r="B12530" t="s">
        <v>3618</v>
      </c>
      <c r="C12530" t="s">
        <v>75</v>
      </c>
      <c r="D12530" t="s">
        <v>214</v>
      </c>
      <c r="E12530">
        <f t="shared" si="592"/>
        <v>2.4390243902439025E-2</v>
      </c>
      <c r="F12530">
        <v>68</v>
      </c>
      <c r="G12530">
        <f>LOG(382/(68+1))</f>
        <v>0.74321427217445335</v>
      </c>
      <c r="H12530">
        <f>0.024390243902439*1.71131410400931</f>
        <v>4.1739368390470939E-2</v>
      </c>
      <c r="I12530">
        <v>4.173936839047112E-2</v>
      </c>
    </row>
    <row r="12531" spans="1:9" x14ac:dyDescent="0.25">
      <c r="A12531">
        <v>453</v>
      </c>
      <c r="B12531" t="s">
        <v>3618</v>
      </c>
      <c r="C12531" t="s">
        <v>75</v>
      </c>
      <c r="D12531" t="s">
        <v>3444</v>
      </c>
      <c r="E12531">
        <f>2/41</f>
        <v>4.878048780487805E-2</v>
      </c>
      <c r="F12531">
        <v>10</v>
      </c>
      <c r="G12531">
        <f>LOG(382/(10+1))</f>
        <v>1.5406706777534838</v>
      </c>
      <c r="H12531">
        <f>0.048780487804878*3.5475253358082</f>
        <v>0.17305001638088766</v>
      </c>
      <c r="I12531">
        <v>0.17305001638088799</v>
      </c>
    </row>
    <row r="12532" spans="1:9" x14ac:dyDescent="0.25">
      <c r="A12532">
        <v>453</v>
      </c>
      <c r="B12532" t="s">
        <v>3618</v>
      </c>
      <c r="C12532" t="s">
        <v>75</v>
      </c>
      <c r="D12532" t="s">
        <v>770</v>
      </c>
      <c r="E12532">
        <f t="shared" ref="E12532:E12537" si="593">1/41</f>
        <v>2.4390243902439025E-2</v>
      </c>
      <c r="F12532">
        <v>47</v>
      </c>
      <c r="G12532">
        <f>LOG(382/(47+1))</f>
        <v>0.90082212553612151</v>
      </c>
      <c r="H12532">
        <f>0.024390243902439*2.07421959769868</f>
        <v>5.0590721895089709E-2</v>
      </c>
      <c r="I12532">
        <v>5.0590721895089862E-2</v>
      </c>
    </row>
    <row r="12533" spans="1:9" x14ac:dyDescent="0.25">
      <c r="A12533">
        <v>453</v>
      </c>
      <c r="B12533" t="s">
        <v>3618</v>
      </c>
      <c r="C12533" t="s">
        <v>75</v>
      </c>
      <c r="D12533" t="s">
        <v>243</v>
      </c>
      <c r="E12533">
        <f t="shared" si="593"/>
        <v>2.4390243902439025E-2</v>
      </c>
      <c r="F12533">
        <v>131</v>
      </c>
      <c r="G12533">
        <f>LOG(382/(131+1))</f>
        <v>0.46148943170585888</v>
      </c>
      <c r="H12533">
        <f>0.024390243902439*1.0626186860202</f>
        <v>2.5917528927321926E-2</v>
      </c>
      <c r="I12533">
        <v>2.5917528927322051E-2</v>
      </c>
    </row>
    <row r="12534" spans="1:9" x14ac:dyDescent="0.25">
      <c r="A12534">
        <v>453</v>
      </c>
      <c r="B12534" t="s">
        <v>3618</v>
      </c>
      <c r="C12534" t="s">
        <v>75</v>
      </c>
      <c r="D12534" t="s">
        <v>307</v>
      </c>
      <c r="E12534">
        <f t="shared" si="593"/>
        <v>2.4390243902439025E-2</v>
      </c>
      <c r="F12534">
        <v>67</v>
      </c>
      <c r="G12534">
        <f>LOG(382/(67+1))</f>
        <v>0.7495544502054724</v>
      </c>
      <c r="H12534">
        <f>0.024390243902439*1.72591290343046</f>
        <v>4.209543666903557E-2</v>
      </c>
      <c r="I12534">
        <v>4.2095436669035813E-2</v>
      </c>
    </row>
    <row r="12535" spans="1:9" x14ac:dyDescent="0.25">
      <c r="A12535">
        <v>453</v>
      </c>
      <c r="B12535" t="s">
        <v>3618</v>
      </c>
      <c r="C12535" t="s">
        <v>75</v>
      </c>
      <c r="D12535" t="s">
        <v>455</v>
      </c>
      <c r="E12535">
        <f t="shared" si="593"/>
        <v>2.4390243902439025E-2</v>
      </c>
      <c r="F12535">
        <v>78</v>
      </c>
      <c r="G12535">
        <f>LOG(382/(78+1))</f>
        <v>0.6844362716212673</v>
      </c>
      <c r="H12535">
        <f>0.024390243902439*1.57597275613955</f>
        <v>3.8438359905842649E-2</v>
      </c>
      <c r="I12535">
        <v>3.8438359905842767E-2</v>
      </c>
    </row>
    <row r="12536" spans="1:9" x14ac:dyDescent="0.25">
      <c r="A12536">
        <v>453</v>
      </c>
      <c r="B12536" t="s">
        <v>3618</v>
      </c>
      <c r="C12536" t="s">
        <v>75</v>
      </c>
      <c r="D12536" t="s">
        <v>456</v>
      </c>
      <c r="E12536">
        <f t="shared" si="593"/>
        <v>2.4390243902439025E-2</v>
      </c>
      <c r="F12536">
        <v>71</v>
      </c>
      <c r="G12536">
        <f>LOG(382/(71+1))</f>
        <v>0.72473086648044027</v>
      </c>
      <c r="H12536">
        <f>0.024390243902439*1.66875448959051</f>
        <v>4.070132901440264E-2</v>
      </c>
      <c r="I12536">
        <v>4.0701329014402918E-2</v>
      </c>
    </row>
    <row r="12537" spans="1:9" x14ac:dyDescent="0.25">
      <c r="A12537">
        <v>453</v>
      </c>
      <c r="B12537" t="s">
        <v>3618</v>
      </c>
      <c r="C12537" t="s">
        <v>75</v>
      </c>
      <c r="D12537" t="s">
        <v>3625</v>
      </c>
      <c r="E12537">
        <f t="shared" si="593"/>
        <v>2.4390243902439025E-2</v>
      </c>
      <c r="F12537">
        <v>1</v>
      </c>
      <c r="G12537">
        <f>LOG(382/(1+1))</f>
        <v>2.2810333672477277</v>
      </c>
      <c r="H12537">
        <f>0.024390243902439*5.25227342804663</f>
        <v>0.12810422995235671</v>
      </c>
      <c r="I12537">
        <v>0.12810422995235679</v>
      </c>
    </row>
    <row r="12538" spans="1:9" x14ac:dyDescent="0.25">
      <c r="A12538">
        <v>454</v>
      </c>
      <c r="B12538" t="s">
        <v>3626</v>
      </c>
      <c r="C12538" t="s">
        <v>75</v>
      </c>
      <c r="D12538" t="s">
        <v>3627</v>
      </c>
      <c r="E12538">
        <f>2/70</f>
        <v>2.8571428571428571E-2</v>
      </c>
      <c r="F12538">
        <v>1</v>
      </c>
      <c r="G12538">
        <f>LOG(382/(1+1))</f>
        <v>2.2810333672477277</v>
      </c>
      <c r="H12538">
        <f>0.0285714285714285*5.25227342804663</f>
        <v>0.1500649550870462</v>
      </c>
      <c r="I12538">
        <v>0.15006495508704659</v>
      </c>
    </row>
    <row r="12539" spans="1:9" x14ac:dyDescent="0.25">
      <c r="A12539">
        <v>454</v>
      </c>
      <c r="B12539" t="s">
        <v>3626</v>
      </c>
      <c r="C12539" t="s">
        <v>75</v>
      </c>
      <c r="D12539" t="s">
        <v>3575</v>
      </c>
      <c r="E12539">
        <f>2/70</f>
        <v>2.8571428571428571E-2</v>
      </c>
      <c r="F12539">
        <v>5</v>
      </c>
      <c r="G12539">
        <f>LOG(382/(5+1))</f>
        <v>1.803912112528065</v>
      </c>
      <c r="H12539">
        <f>0.0285714285714285*4.15366113937852</f>
        <v>0.11867603255367171</v>
      </c>
      <c r="I12539">
        <v>0.118676032553672</v>
      </c>
    </row>
    <row r="12540" spans="1:9" x14ac:dyDescent="0.25">
      <c r="A12540">
        <v>454</v>
      </c>
      <c r="B12540" t="s">
        <v>3626</v>
      </c>
      <c r="C12540" t="s">
        <v>75</v>
      </c>
      <c r="D12540" t="s">
        <v>408</v>
      </c>
      <c r="E12540">
        <f>1/70</f>
        <v>1.4285714285714285E-2</v>
      </c>
      <c r="F12540">
        <v>27</v>
      </c>
      <c r="G12540">
        <f>LOG(382/(27+1))</f>
        <v>1.1349053315694895</v>
      </c>
      <c r="H12540">
        <f>0.0142857142857142*2.61321609843137</f>
        <v>3.7331658549019348E-2</v>
      </c>
      <c r="I12540">
        <v>3.7331658549019577E-2</v>
      </c>
    </row>
    <row r="12541" spans="1:9" x14ac:dyDescent="0.25">
      <c r="A12541">
        <v>454</v>
      </c>
      <c r="B12541" t="s">
        <v>3626</v>
      </c>
      <c r="C12541" t="s">
        <v>75</v>
      </c>
      <c r="D12541" t="s">
        <v>3628</v>
      </c>
      <c r="E12541">
        <f>2/70</f>
        <v>2.8571428571428571E-2</v>
      </c>
      <c r="F12541">
        <v>2</v>
      </c>
      <c r="G12541">
        <f>LOG(382/(2+1))</f>
        <v>2.1049421081920463</v>
      </c>
      <c r="H12541">
        <f>0.0285714285714285*4.84680831993846</f>
        <v>0.1384802377125271</v>
      </c>
      <c r="I12541">
        <v>0.1384802377125276</v>
      </c>
    </row>
    <row r="12542" spans="1:9" x14ac:dyDescent="0.25">
      <c r="A12542">
        <v>454</v>
      </c>
      <c r="B12542" t="s">
        <v>3626</v>
      </c>
      <c r="C12542" t="s">
        <v>75</v>
      </c>
      <c r="D12542" t="s">
        <v>42</v>
      </c>
      <c r="E12542">
        <f t="shared" ref="E12542:E12557" si="594">1/70</f>
        <v>1.4285714285714285E-2</v>
      </c>
      <c r="F12542">
        <v>251</v>
      </c>
      <c r="G12542">
        <f>LOG(382/(251+1))</f>
        <v>0.18066282213016463</v>
      </c>
      <c r="H12542">
        <f>0.0142857142857142*0.415991521095151</f>
        <v>5.942736015644978E-3</v>
      </c>
      <c r="I12542">
        <v>5.9427360156450266E-3</v>
      </c>
    </row>
    <row r="12543" spans="1:9" x14ac:dyDescent="0.25">
      <c r="A12543">
        <v>454</v>
      </c>
      <c r="B12543" t="s">
        <v>3626</v>
      </c>
      <c r="C12543" t="s">
        <v>75</v>
      </c>
      <c r="D12543" t="s">
        <v>1866</v>
      </c>
      <c r="E12543">
        <f t="shared" si="594"/>
        <v>1.4285714285714285E-2</v>
      </c>
      <c r="F12543">
        <v>18</v>
      </c>
      <c r="G12543">
        <f>LOG(382/(18+1))</f>
        <v>1.3033097619588798</v>
      </c>
      <c r="H12543">
        <f>0.0142857142857142*3.00098162944013</f>
        <v>4.2871166134858744E-2</v>
      </c>
      <c r="I12543">
        <v>4.2871166134859057E-2</v>
      </c>
    </row>
    <row r="12544" spans="1:9" x14ac:dyDescent="0.25">
      <c r="A12544">
        <v>454</v>
      </c>
      <c r="B12544" t="s">
        <v>3626</v>
      </c>
      <c r="C12544" t="s">
        <v>75</v>
      </c>
      <c r="D12544" t="s">
        <v>1867</v>
      </c>
      <c r="E12544">
        <f t="shared" si="594"/>
        <v>1.4285714285714285E-2</v>
      </c>
      <c r="F12544">
        <v>3</v>
      </c>
      <c r="G12544">
        <f>LOG(382/(3+1))</f>
        <v>1.9800033715837464</v>
      </c>
      <c r="H12544">
        <f>0.0142857142857142*4.55912624748668</f>
        <v>6.5130374964095045E-2</v>
      </c>
      <c r="I12544">
        <v>6.5130374964095489E-2</v>
      </c>
    </row>
    <row r="12545" spans="1:9" x14ac:dyDescent="0.25">
      <c r="A12545">
        <v>454</v>
      </c>
      <c r="B12545" t="s">
        <v>3626</v>
      </c>
      <c r="C12545" t="s">
        <v>75</v>
      </c>
      <c r="D12545" t="s">
        <v>70</v>
      </c>
      <c r="E12545">
        <f t="shared" si="594"/>
        <v>1.4285714285714285E-2</v>
      </c>
      <c r="F12545">
        <v>44</v>
      </c>
      <c r="G12545">
        <f>LOG(382/(44+1))</f>
        <v>0.92885084913636506</v>
      </c>
      <c r="H12545">
        <f>0.0142857142857142*2.13875811883625</f>
        <v>3.0553687411946244E-2</v>
      </c>
      <c r="I12545">
        <v>3.0553687411946501E-2</v>
      </c>
    </row>
    <row r="12546" spans="1:9" x14ac:dyDescent="0.25">
      <c r="A12546">
        <v>454</v>
      </c>
      <c r="B12546" t="s">
        <v>3626</v>
      </c>
      <c r="C12546" t="s">
        <v>75</v>
      </c>
      <c r="D12546" t="s">
        <v>19</v>
      </c>
      <c r="E12546">
        <f t="shared" si="594"/>
        <v>1.4285714285714285E-2</v>
      </c>
      <c r="F12546">
        <v>220</v>
      </c>
      <c r="G12546">
        <f>LOG(382/(220+1))</f>
        <v>0.23767108922659805</v>
      </c>
      <c r="H12546">
        <f>0.0142857142857142*0.547257907088822</f>
        <v>7.8179701012688393E-3</v>
      </c>
      <c r="I12546">
        <v>7.8179701012688913E-3</v>
      </c>
    </row>
    <row r="12547" spans="1:9" x14ac:dyDescent="0.25">
      <c r="A12547">
        <v>454</v>
      </c>
      <c r="B12547" t="s">
        <v>3626</v>
      </c>
      <c r="C12547" t="s">
        <v>75</v>
      </c>
      <c r="D12547" t="s">
        <v>44</v>
      </c>
      <c r="E12547">
        <f t="shared" si="594"/>
        <v>1.4285714285714285E-2</v>
      </c>
      <c r="F12547">
        <v>151</v>
      </c>
      <c r="G12547">
        <f>LOG(382/(151+1))</f>
        <v>0.40021977496693617</v>
      </c>
      <c r="H12547">
        <f>0.0142857142857142*0.921540087760298</f>
        <v>1.3164858396575607E-2</v>
      </c>
      <c r="I12547">
        <v>1.3164858396575701E-2</v>
      </c>
    </row>
    <row r="12548" spans="1:9" x14ac:dyDescent="0.25">
      <c r="A12548">
        <v>454</v>
      </c>
      <c r="B12548" t="s">
        <v>3626</v>
      </c>
      <c r="C12548" t="s">
        <v>75</v>
      </c>
      <c r="D12548" t="s">
        <v>22</v>
      </c>
      <c r="E12548">
        <f t="shared" si="594"/>
        <v>1.4285714285714285E-2</v>
      </c>
      <c r="F12548">
        <v>259</v>
      </c>
      <c r="G12548">
        <f>LOG(382/(259+1))</f>
        <v>0.16709001494089079</v>
      </c>
      <c r="H12548">
        <f>0.0142857142857142*0.384738977591047</f>
        <v>5.496271108443496E-3</v>
      </c>
      <c r="I12548">
        <v>5.4962711084435359E-3</v>
      </c>
    </row>
    <row r="12549" spans="1:9" x14ac:dyDescent="0.25">
      <c r="A12549">
        <v>454</v>
      </c>
      <c r="B12549" t="s">
        <v>3626</v>
      </c>
      <c r="C12549" t="s">
        <v>75</v>
      </c>
      <c r="D12549" t="s">
        <v>23</v>
      </c>
      <c r="E12549">
        <f t="shared" si="594"/>
        <v>1.4285714285714285E-2</v>
      </c>
      <c r="F12549">
        <v>275</v>
      </c>
      <c r="G12549">
        <f>LOG(382/(275+1))</f>
        <v>0.14115428084649101</v>
      </c>
      <c r="H12549">
        <f>0.0142857142857142*0.325019742889425</f>
        <v>4.6431391841346148E-3</v>
      </c>
      <c r="I12549">
        <v>4.6431391841346452E-3</v>
      </c>
    </row>
    <row r="12550" spans="1:9" x14ac:dyDescent="0.25">
      <c r="A12550">
        <v>454</v>
      </c>
      <c r="B12550" t="s">
        <v>3626</v>
      </c>
      <c r="C12550" t="s">
        <v>75</v>
      </c>
      <c r="D12550" t="s">
        <v>1785</v>
      </c>
      <c r="E12550">
        <f t="shared" si="594"/>
        <v>1.4285714285714285E-2</v>
      </c>
      <c r="F12550">
        <v>21</v>
      </c>
      <c r="G12550">
        <f>LOG(382/(21+1))</f>
        <v>1.2396406820895025</v>
      </c>
      <c r="H12550">
        <f>0.0142857142857142*2.85437815524825</f>
        <v>4.077683078926047E-2</v>
      </c>
      <c r="I12550">
        <v>4.0776830789260837E-2</v>
      </c>
    </row>
    <row r="12551" spans="1:9" x14ac:dyDescent="0.25">
      <c r="A12551">
        <v>454</v>
      </c>
      <c r="B12551" t="s">
        <v>3626</v>
      </c>
      <c r="C12551" t="s">
        <v>75</v>
      </c>
      <c r="D12551" t="s">
        <v>3621</v>
      </c>
      <c r="E12551">
        <f t="shared" si="594"/>
        <v>1.4285714285714285E-2</v>
      </c>
      <c r="F12551">
        <v>2</v>
      </c>
      <c r="G12551">
        <f>LOG(382/(2+1))</f>
        <v>2.1049421081920463</v>
      </c>
      <c r="H12551">
        <f>0.0142857142857142*4.84680831993846</f>
        <v>6.92401188562633E-2</v>
      </c>
      <c r="I12551">
        <v>6.9240118856263785E-2</v>
      </c>
    </row>
    <row r="12552" spans="1:9" x14ac:dyDescent="0.25">
      <c r="A12552">
        <v>454</v>
      </c>
      <c r="B12552" t="s">
        <v>3626</v>
      </c>
      <c r="C12552" t="s">
        <v>75</v>
      </c>
      <c r="D12552" t="s">
        <v>105</v>
      </c>
      <c r="E12552">
        <f t="shared" si="594"/>
        <v>1.4285714285714285E-2</v>
      </c>
      <c r="F12552">
        <v>122</v>
      </c>
      <c r="G12552">
        <f>LOG(382/(122+1))</f>
        <v>0.49215825147231079</v>
      </c>
      <c r="H12552">
        <f>0.0142857142857142*1.13323625323415</f>
        <v>1.6189089331916331E-2</v>
      </c>
      <c r="I12552">
        <v>1.618908933191654E-2</v>
      </c>
    </row>
    <row r="12553" spans="1:9" x14ac:dyDescent="0.25">
      <c r="A12553">
        <v>454</v>
      </c>
      <c r="B12553" t="s">
        <v>3626</v>
      </c>
      <c r="C12553" t="s">
        <v>75</v>
      </c>
      <c r="D12553" t="s">
        <v>1769</v>
      </c>
      <c r="E12553">
        <f t="shared" si="594"/>
        <v>1.4285714285714285E-2</v>
      </c>
      <c r="F12553">
        <v>84</v>
      </c>
      <c r="G12553">
        <f>LOG(382/(84+1))</f>
        <v>0.65264443719741605</v>
      </c>
      <c r="H12553">
        <f>0.0142857142857142*1.50276935211625</f>
        <v>2.1468133601660586E-2</v>
      </c>
      <c r="I12553">
        <v>2.146813360166084E-2</v>
      </c>
    </row>
    <row r="12554" spans="1:9" x14ac:dyDescent="0.25">
      <c r="A12554">
        <v>454</v>
      </c>
      <c r="B12554" t="s">
        <v>3626</v>
      </c>
      <c r="C12554" t="s">
        <v>75</v>
      </c>
      <c r="D12554" t="s">
        <v>98</v>
      </c>
      <c r="E12554">
        <f t="shared" si="594"/>
        <v>1.4285714285714285E-2</v>
      </c>
      <c r="F12554">
        <v>56</v>
      </c>
      <c r="G12554">
        <f>LOG(382/(56+1))</f>
        <v>0.82618850723921733</v>
      </c>
      <c r="H12554">
        <f>0.0142857142857142*1.90236934077202</f>
        <v>2.7176704868171551E-2</v>
      </c>
      <c r="I12554">
        <v>2.717670486817178E-2</v>
      </c>
    </row>
    <row r="12555" spans="1:9" x14ac:dyDescent="0.25">
      <c r="A12555">
        <v>454</v>
      </c>
      <c r="B12555" t="s">
        <v>3626</v>
      </c>
      <c r="C12555" t="s">
        <v>75</v>
      </c>
      <c r="D12555" t="s">
        <v>50</v>
      </c>
      <c r="E12555">
        <f t="shared" si="594"/>
        <v>1.4285714285714285E-2</v>
      </c>
      <c r="F12555">
        <v>109</v>
      </c>
      <c r="G12555">
        <f>LOG(382/(109+1))</f>
        <v>0.54067067775348365</v>
      </c>
      <c r="H12555">
        <f>0.0142857142857142*1.24494024281415</f>
        <v>1.778486061163061E-2</v>
      </c>
      <c r="I12555">
        <v>1.7784860611630839E-2</v>
      </c>
    </row>
    <row r="12556" spans="1:9" x14ac:dyDescent="0.25">
      <c r="A12556">
        <v>454</v>
      </c>
      <c r="B12556" t="s">
        <v>3626</v>
      </c>
      <c r="C12556" t="s">
        <v>75</v>
      </c>
      <c r="D12556" t="s">
        <v>1546</v>
      </c>
      <c r="E12556">
        <f t="shared" si="594"/>
        <v>1.4285714285714285E-2</v>
      </c>
      <c r="F12556">
        <v>44</v>
      </c>
      <c r="G12556">
        <f>LOG(382/(44+1))</f>
        <v>0.92885084913636506</v>
      </c>
      <c r="H12556">
        <f>0.0142857142857142*2.13875811883625</f>
        <v>3.0553687411946244E-2</v>
      </c>
      <c r="I12556">
        <v>3.0553687411946501E-2</v>
      </c>
    </row>
    <row r="12557" spans="1:9" x14ac:dyDescent="0.25">
      <c r="A12557">
        <v>454</v>
      </c>
      <c r="B12557" t="s">
        <v>3626</v>
      </c>
      <c r="C12557" t="s">
        <v>75</v>
      </c>
      <c r="D12557" t="s">
        <v>3629</v>
      </c>
      <c r="E12557">
        <f t="shared" si="594"/>
        <v>1.4285714285714285E-2</v>
      </c>
      <c r="F12557">
        <v>2</v>
      </c>
      <c r="G12557">
        <f>LOG(382/(2+1))</f>
        <v>2.1049421081920463</v>
      </c>
      <c r="H12557">
        <f>0.0142857142857142*4.84680831993846</f>
        <v>6.92401188562633E-2</v>
      </c>
      <c r="I12557">
        <v>6.9240118856263785E-2</v>
      </c>
    </row>
    <row r="12558" spans="1:9" x14ac:dyDescent="0.25">
      <c r="A12558">
        <v>454</v>
      </c>
      <c r="B12558" t="s">
        <v>3626</v>
      </c>
      <c r="C12558" t="s">
        <v>75</v>
      </c>
      <c r="D12558" t="s">
        <v>1732</v>
      </c>
      <c r="E12558">
        <f>2/70</f>
        <v>2.8571428571428571E-2</v>
      </c>
      <c r="F12558">
        <v>16</v>
      </c>
      <c r="G12558">
        <f>LOG(382/(16+1))</f>
        <v>1.3516144415334348</v>
      </c>
      <c r="H12558">
        <f>0.0285714285714285*3.11220726455035</f>
        <v>8.892020755858121E-2</v>
      </c>
      <c r="I12558">
        <v>8.8920207558581682E-2</v>
      </c>
    </row>
    <row r="12559" spans="1:9" x14ac:dyDescent="0.25">
      <c r="A12559">
        <v>454</v>
      </c>
      <c r="B12559" t="s">
        <v>3626</v>
      </c>
      <c r="C12559" t="s">
        <v>75</v>
      </c>
      <c r="D12559" t="s">
        <v>3630</v>
      </c>
      <c r="E12559">
        <f t="shared" ref="E12559:E12570" si="595">1/70</f>
        <v>1.4285714285714285E-2</v>
      </c>
      <c r="F12559">
        <v>6</v>
      </c>
      <c r="G12559">
        <f>LOG(382/(6+1))</f>
        <v>1.736965322897452</v>
      </c>
      <c r="H12559">
        <f>0.0142857142857142*3.99951045955126</f>
        <v>5.7135863707874802E-2</v>
      </c>
      <c r="I12559">
        <v>5.713586370787517E-2</v>
      </c>
    </row>
    <row r="12560" spans="1:9" x14ac:dyDescent="0.25">
      <c r="A12560">
        <v>454</v>
      </c>
      <c r="B12560" t="s">
        <v>3626</v>
      </c>
      <c r="C12560" t="s">
        <v>75</v>
      </c>
      <c r="D12560" t="s">
        <v>1730</v>
      </c>
      <c r="E12560">
        <f t="shared" si="595"/>
        <v>1.4285714285714285E-2</v>
      </c>
      <c r="F12560">
        <v>35</v>
      </c>
      <c r="G12560">
        <f>LOG(382/(35+1))</f>
        <v>1.0257608621444214</v>
      </c>
      <c r="H12560">
        <f>0.0142857142857142*2.36190167015046</f>
        <v>3.3741452430720659E-2</v>
      </c>
      <c r="I12560">
        <v>3.3741452430720929E-2</v>
      </c>
    </row>
    <row r="12561" spans="1:9" x14ac:dyDescent="0.25">
      <c r="A12561">
        <v>454</v>
      </c>
      <c r="B12561" t="s">
        <v>3626</v>
      </c>
      <c r="C12561" t="s">
        <v>75</v>
      </c>
      <c r="D12561" t="s">
        <v>1261</v>
      </c>
      <c r="E12561">
        <f t="shared" si="595"/>
        <v>1.4285714285714285E-2</v>
      </c>
      <c r="F12561">
        <v>12</v>
      </c>
      <c r="G12561">
        <f>LOG(382/(12+1))</f>
        <v>1.468120010604872</v>
      </c>
      <c r="H12561">
        <f>0.0142857142857142*3.38047125114503</f>
        <v>4.8292446444928715E-2</v>
      </c>
      <c r="I12561">
        <v>4.8292446444929117E-2</v>
      </c>
    </row>
    <row r="12562" spans="1:9" x14ac:dyDescent="0.25">
      <c r="A12562">
        <v>454</v>
      </c>
      <c r="B12562" t="s">
        <v>3626</v>
      </c>
      <c r="C12562" t="s">
        <v>75</v>
      </c>
      <c r="D12562" t="s">
        <v>1733</v>
      </c>
      <c r="E12562">
        <f t="shared" si="595"/>
        <v>1.4285714285714285E-2</v>
      </c>
      <c r="F12562">
        <v>19</v>
      </c>
      <c r="G12562">
        <f>LOG(382/(19+1))</f>
        <v>1.2810333672477277</v>
      </c>
      <c r="H12562">
        <f>0.0142857142857142*2.94968833505258</f>
        <v>4.2138404786465175E-2</v>
      </c>
      <c r="I12562">
        <v>4.2138404786465487E-2</v>
      </c>
    </row>
    <row r="12563" spans="1:9" x14ac:dyDescent="0.25">
      <c r="A12563">
        <v>454</v>
      </c>
      <c r="B12563" t="s">
        <v>3626</v>
      </c>
      <c r="C12563" t="s">
        <v>75</v>
      </c>
      <c r="D12563" t="s">
        <v>20</v>
      </c>
      <c r="E12563">
        <f t="shared" si="595"/>
        <v>1.4285714285714285E-2</v>
      </c>
      <c r="F12563">
        <v>19</v>
      </c>
      <c r="G12563">
        <f>LOG(382/(19+1))</f>
        <v>1.2810333672477277</v>
      </c>
      <c r="H12563">
        <f>0.0142857142857142*2.94968833505258</f>
        <v>4.2138404786465175E-2</v>
      </c>
      <c r="I12563">
        <v>4.2138404786465487E-2</v>
      </c>
    </row>
    <row r="12564" spans="1:9" x14ac:dyDescent="0.25">
      <c r="A12564">
        <v>454</v>
      </c>
      <c r="B12564" t="s">
        <v>3626</v>
      </c>
      <c r="C12564" t="s">
        <v>75</v>
      </c>
      <c r="D12564" t="s">
        <v>362</v>
      </c>
      <c r="E12564">
        <f t="shared" si="595"/>
        <v>1.4285714285714285E-2</v>
      </c>
      <c r="F12564">
        <v>81</v>
      </c>
      <c r="G12564">
        <f>LOG(382/(81+1))</f>
        <v>0.66824951052799197</v>
      </c>
      <c r="H12564">
        <f>0.0142857142857142*1.53870136134232</f>
        <v>2.1981448019175866E-2</v>
      </c>
      <c r="I12564">
        <v>2.1981448019176029E-2</v>
      </c>
    </row>
    <row r="12565" spans="1:9" x14ac:dyDescent="0.25">
      <c r="A12565">
        <v>454</v>
      </c>
      <c r="B12565" t="s">
        <v>3626</v>
      </c>
      <c r="C12565" t="s">
        <v>75</v>
      </c>
      <c r="D12565" t="s">
        <v>3411</v>
      </c>
      <c r="E12565">
        <f t="shared" si="595"/>
        <v>1.4285714285714285E-2</v>
      </c>
      <c r="F12565">
        <v>6</v>
      </c>
      <c r="G12565">
        <f>LOG(382/(6+1))</f>
        <v>1.736965322897452</v>
      </c>
      <c r="H12565">
        <f>0.0142857142857142*3.99951045955126</f>
        <v>5.7135863707874802E-2</v>
      </c>
      <c r="I12565">
        <v>5.713586370787517E-2</v>
      </c>
    </row>
    <row r="12566" spans="1:9" x14ac:dyDescent="0.25">
      <c r="A12566">
        <v>454</v>
      </c>
      <c r="B12566" t="s">
        <v>3626</v>
      </c>
      <c r="C12566" t="s">
        <v>75</v>
      </c>
      <c r="D12566" t="s">
        <v>3631</v>
      </c>
      <c r="E12566">
        <f t="shared" si="595"/>
        <v>1.4285714285714285E-2</v>
      </c>
      <c r="F12566">
        <v>4</v>
      </c>
      <c r="G12566">
        <f>LOG(382/(4+1))</f>
        <v>1.8830933585756899</v>
      </c>
      <c r="H12566">
        <f>0.0142857142857142*4.33598269617247</f>
        <v>6.1942609945320637E-2</v>
      </c>
      <c r="I12566">
        <v>6.1942609945321067E-2</v>
      </c>
    </row>
    <row r="12567" spans="1:9" x14ac:dyDescent="0.25">
      <c r="A12567">
        <v>454</v>
      </c>
      <c r="B12567" t="s">
        <v>3626</v>
      </c>
      <c r="C12567" t="s">
        <v>75</v>
      </c>
      <c r="D12567" t="s">
        <v>126</v>
      </c>
      <c r="E12567">
        <f t="shared" si="595"/>
        <v>1.4285714285714285E-2</v>
      </c>
      <c r="F12567">
        <v>79</v>
      </c>
      <c r="G12567">
        <f>LOG(382/(79+1))</f>
        <v>0.67897337591976514</v>
      </c>
      <c r="H12567">
        <f>0.0142857142857142*1.56339397393269</f>
        <v>2.2334199627609724E-2</v>
      </c>
      <c r="I12567">
        <v>2.2334199627609911E-2</v>
      </c>
    </row>
    <row r="12568" spans="1:9" x14ac:dyDescent="0.25">
      <c r="A12568">
        <v>454</v>
      </c>
      <c r="B12568" t="s">
        <v>3626</v>
      </c>
      <c r="C12568" t="s">
        <v>75</v>
      </c>
      <c r="D12568" t="s">
        <v>3632</v>
      </c>
      <c r="E12568">
        <f t="shared" si="595"/>
        <v>1.4285714285714285E-2</v>
      </c>
      <c r="F12568">
        <v>1</v>
      </c>
      <c r="G12568">
        <f>LOG(382/(1+1))</f>
        <v>2.2810333672477277</v>
      </c>
      <c r="H12568">
        <f>0.0142857142857142*5.25227342804663</f>
        <v>7.5032477543522838E-2</v>
      </c>
      <c r="I12568">
        <v>7.5032477543523282E-2</v>
      </c>
    </row>
    <row r="12569" spans="1:9" x14ac:dyDescent="0.25">
      <c r="A12569">
        <v>454</v>
      </c>
      <c r="B12569" t="s">
        <v>3626</v>
      </c>
      <c r="C12569" t="s">
        <v>75</v>
      </c>
      <c r="D12569" t="s">
        <v>1537</v>
      </c>
      <c r="E12569">
        <f t="shared" si="595"/>
        <v>1.4285714285714285E-2</v>
      </c>
      <c r="F12569">
        <v>80</v>
      </c>
      <c r="G12569">
        <f>LOG(382/(80+1))</f>
        <v>0.67357834403305894</v>
      </c>
      <c r="H12569">
        <f>0.0142857142857142*1.55097145393413</f>
        <v>2.2156735056201724E-2</v>
      </c>
      <c r="I12569">
        <v>2.215673505620195E-2</v>
      </c>
    </row>
    <row r="12570" spans="1:9" x14ac:dyDescent="0.25">
      <c r="A12570">
        <v>454</v>
      </c>
      <c r="B12570" t="s">
        <v>3626</v>
      </c>
      <c r="C12570" t="s">
        <v>75</v>
      </c>
      <c r="D12570" t="s">
        <v>763</v>
      </c>
      <c r="E12570">
        <f t="shared" si="595"/>
        <v>1.4285714285714285E-2</v>
      </c>
      <c r="F12570">
        <v>47</v>
      </c>
      <c r="G12570">
        <f>LOG(382/(47+1))</f>
        <v>0.90082212553612151</v>
      </c>
      <c r="H12570">
        <f>0.0142857142857142*2.07421959769868</f>
        <v>2.9631708538552397E-2</v>
      </c>
      <c r="I12570">
        <v>2.9631708538552629E-2</v>
      </c>
    </row>
    <row r="12571" spans="1:9" x14ac:dyDescent="0.25">
      <c r="A12571">
        <v>454</v>
      </c>
      <c r="B12571" t="s">
        <v>3626</v>
      </c>
      <c r="C12571" t="s">
        <v>75</v>
      </c>
      <c r="D12571" t="s">
        <v>754</v>
      </c>
      <c r="E12571">
        <f>2/70</f>
        <v>2.8571428571428571E-2</v>
      </c>
      <c r="F12571">
        <v>111</v>
      </c>
      <c r="G12571">
        <f>LOG(382/(111+1))</f>
        <v>0.53284534024152708</v>
      </c>
      <c r="H12571">
        <f>0.0285714285714285*1.22692173731148</f>
        <v>3.5054906780327917E-2</v>
      </c>
      <c r="I12571">
        <v>3.5054906780328021E-2</v>
      </c>
    </row>
    <row r="12572" spans="1:9" x14ac:dyDescent="0.25">
      <c r="A12572">
        <v>454</v>
      </c>
      <c r="B12572" t="s">
        <v>3626</v>
      </c>
      <c r="C12572" t="s">
        <v>75</v>
      </c>
      <c r="D12572" t="s">
        <v>76</v>
      </c>
      <c r="E12572">
        <f t="shared" ref="E12572:E12584" si="596">1/70</f>
        <v>1.4285714285714285E-2</v>
      </c>
      <c r="F12572">
        <v>140</v>
      </c>
      <c r="G12572">
        <f>LOG(382/(140+1))</f>
        <v>0.43284425025632883</v>
      </c>
      <c r="H12572">
        <f>0.0142857142857142*0.996660718228407</f>
        <v>1.4238010260405729E-2</v>
      </c>
      <c r="I12572">
        <v>1.423801026040581E-2</v>
      </c>
    </row>
    <row r="12573" spans="1:9" x14ac:dyDescent="0.25">
      <c r="A12573">
        <v>454</v>
      </c>
      <c r="B12573" t="s">
        <v>3626</v>
      </c>
      <c r="C12573" t="s">
        <v>75</v>
      </c>
      <c r="D12573" t="s">
        <v>1608</v>
      </c>
      <c r="E12573">
        <f t="shared" si="596"/>
        <v>1.4285714285714285E-2</v>
      </c>
      <c r="F12573">
        <v>13</v>
      </c>
      <c r="G12573">
        <f>LOG(382/(13+1))</f>
        <v>1.4359353272334707</v>
      </c>
      <c r="H12573">
        <f>0.0142857142857142*3.30636327899131</f>
        <v>4.7233761128447009E-2</v>
      </c>
      <c r="I12573">
        <v>4.7233761128447377E-2</v>
      </c>
    </row>
    <row r="12574" spans="1:9" x14ac:dyDescent="0.25">
      <c r="A12574">
        <v>454</v>
      </c>
      <c r="B12574" t="s">
        <v>3626</v>
      </c>
      <c r="C12574" t="s">
        <v>75</v>
      </c>
      <c r="D12574" t="s">
        <v>77</v>
      </c>
      <c r="E12574">
        <f t="shared" si="596"/>
        <v>1.4285714285714285E-2</v>
      </c>
      <c r="F12574">
        <v>148</v>
      </c>
      <c r="G12574">
        <f>LOG(382/(148+1))</f>
        <v>0.40887709449943471</v>
      </c>
      <c r="H12574">
        <f>0.0142857142857142*0.941474302661116</f>
        <v>1.3449632895158719E-2</v>
      </c>
      <c r="I12574">
        <v>1.3449632895158801E-2</v>
      </c>
    </row>
    <row r="12575" spans="1:9" x14ac:dyDescent="0.25">
      <c r="A12575">
        <v>454</v>
      </c>
      <c r="B12575" t="s">
        <v>3626</v>
      </c>
      <c r="C12575" t="s">
        <v>75</v>
      </c>
      <c r="D12575" t="s">
        <v>1397</v>
      </c>
      <c r="E12575">
        <f t="shared" si="596"/>
        <v>1.4285714285714285E-2</v>
      </c>
      <c r="F12575">
        <v>29</v>
      </c>
      <c r="G12575">
        <f>LOG(382/(29+1))</f>
        <v>1.1049421081920463</v>
      </c>
      <c r="H12575">
        <f>0.0142857142857142*2.54422322694442</f>
        <v>3.6346046099205782E-2</v>
      </c>
      <c r="I12575">
        <v>3.6346046099205997E-2</v>
      </c>
    </row>
    <row r="12576" spans="1:9" x14ac:dyDescent="0.25">
      <c r="A12576">
        <v>454</v>
      </c>
      <c r="B12576" t="s">
        <v>3626</v>
      </c>
      <c r="C12576" t="s">
        <v>75</v>
      </c>
      <c r="D12576" t="s">
        <v>3633</v>
      </c>
      <c r="E12576">
        <f t="shared" si="596"/>
        <v>1.4285714285714285E-2</v>
      </c>
      <c r="F12576">
        <v>6</v>
      </c>
      <c r="G12576">
        <f>LOG(382/(6+1))</f>
        <v>1.736965322897452</v>
      </c>
      <c r="H12576">
        <f>0.0142857142857142*3.99951045955126</f>
        <v>5.7135863707874802E-2</v>
      </c>
      <c r="I12576">
        <v>5.713586370787517E-2</v>
      </c>
    </row>
    <row r="12577" spans="1:9" x14ac:dyDescent="0.25">
      <c r="A12577">
        <v>454</v>
      </c>
      <c r="B12577" t="s">
        <v>3626</v>
      </c>
      <c r="C12577" t="s">
        <v>75</v>
      </c>
      <c r="D12577" t="s">
        <v>3634</v>
      </c>
      <c r="E12577">
        <f t="shared" si="596"/>
        <v>1.4285714285714285E-2</v>
      </c>
      <c r="F12577">
        <v>1</v>
      </c>
      <c r="G12577">
        <f>LOG(382/(1+1))</f>
        <v>2.2810333672477277</v>
      </c>
      <c r="H12577">
        <f>0.0142857142857142*5.25227342804663</f>
        <v>7.5032477543522838E-2</v>
      </c>
      <c r="I12577">
        <v>7.5032477543523282E-2</v>
      </c>
    </row>
    <row r="12578" spans="1:9" x14ac:dyDescent="0.25">
      <c r="A12578">
        <v>454</v>
      </c>
      <c r="B12578" t="s">
        <v>3626</v>
      </c>
      <c r="C12578" t="s">
        <v>75</v>
      </c>
      <c r="D12578" t="s">
        <v>361</v>
      </c>
      <c r="E12578">
        <f t="shared" si="596"/>
        <v>1.4285714285714285E-2</v>
      </c>
      <c r="F12578">
        <v>118</v>
      </c>
      <c r="G12578">
        <f>LOG(382/(118+1))</f>
        <v>0.50651640151917798</v>
      </c>
      <c r="H12578">
        <f>0.0142857142857142*1.16629711549504</f>
        <v>1.6661387364214755E-2</v>
      </c>
      <c r="I12578">
        <v>1.6661387364214939E-2</v>
      </c>
    </row>
    <row r="12579" spans="1:9" x14ac:dyDescent="0.25">
      <c r="A12579">
        <v>454</v>
      </c>
      <c r="B12579" t="s">
        <v>3626</v>
      </c>
      <c r="C12579" t="s">
        <v>75</v>
      </c>
      <c r="D12579" t="s">
        <v>434</v>
      </c>
      <c r="E12579">
        <f t="shared" si="596"/>
        <v>1.4285714285714285E-2</v>
      </c>
      <c r="F12579">
        <v>97</v>
      </c>
      <c r="G12579">
        <f>LOG(382/(97+1))</f>
        <v>0.59083728721921391</v>
      </c>
      <c r="H12579">
        <f>0.0142857142857142*1.360453129936</f>
        <v>1.9435044713371312E-2</v>
      </c>
      <c r="I12579">
        <v>1.9435044713371478E-2</v>
      </c>
    </row>
    <row r="12580" spans="1:9" x14ac:dyDescent="0.25">
      <c r="A12580">
        <v>454</v>
      </c>
      <c r="B12580" t="s">
        <v>3626</v>
      </c>
      <c r="C12580" t="s">
        <v>75</v>
      </c>
      <c r="D12580" t="s">
        <v>3436</v>
      </c>
      <c r="E12580">
        <f t="shared" si="596"/>
        <v>1.4285714285714285E-2</v>
      </c>
      <c r="F12580">
        <v>10</v>
      </c>
      <c r="G12580">
        <f>LOG(382/(10+1))</f>
        <v>1.5406706777534838</v>
      </c>
      <c r="H12580">
        <f>0.0142857142857142*3.5475253358082</f>
        <v>5.067893336868827E-2</v>
      </c>
      <c r="I12580">
        <v>5.0678933368688638E-2</v>
      </c>
    </row>
    <row r="12581" spans="1:9" x14ac:dyDescent="0.25">
      <c r="A12581">
        <v>454</v>
      </c>
      <c r="B12581" t="s">
        <v>3626</v>
      </c>
      <c r="C12581" t="s">
        <v>75</v>
      </c>
      <c r="D12581" t="s">
        <v>3325</v>
      </c>
      <c r="E12581">
        <f t="shared" si="596"/>
        <v>1.4285714285714285E-2</v>
      </c>
      <c r="F12581">
        <v>19</v>
      </c>
      <c r="G12581">
        <f>LOG(382/(19+1))</f>
        <v>1.2810333672477277</v>
      </c>
      <c r="H12581">
        <f>0.0142857142857142*2.94968833505258</f>
        <v>4.2138404786465175E-2</v>
      </c>
      <c r="I12581">
        <v>4.2138404786465487E-2</v>
      </c>
    </row>
    <row r="12582" spans="1:9" x14ac:dyDescent="0.25">
      <c r="A12582">
        <v>454</v>
      </c>
      <c r="B12582" t="s">
        <v>3626</v>
      </c>
      <c r="C12582" t="s">
        <v>75</v>
      </c>
      <c r="D12582" t="s">
        <v>3401</v>
      </c>
      <c r="E12582">
        <f t="shared" si="596"/>
        <v>1.4285714285714285E-2</v>
      </c>
      <c r="F12582">
        <v>8</v>
      </c>
      <c r="G12582">
        <f>LOG(382/(8+1))</f>
        <v>1.6278208534723839</v>
      </c>
      <c r="H12582">
        <f>0.0142857142857142*3.74819603127035</f>
        <v>5.3545657589576107E-2</v>
      </c>
      <c r="I12582">
        <v>5.3545657589576509E-2</v>
      </c>
    </row>
    <row r="12583" spans="1:9" x14ac:dyDescent="0.25">
      <c r="A12583">
        <v>454</v>
      </c>
      <c r="B12583" t="s">
        <v>3626</v>
      </c>
      <c r="C12583" t="s">
        <v>75</v>
      </c>
      <c r="D12583" t="s">
        <v>319</v>
      </c>
      <c r="E12583">
        <f t="shared" si="596"/>
        <v>1.4285714285714285E-2</v>
      </c>
      <c r="F12583">
        <v>2</v>
      </c>
      <c r="G12583">
        <f>LOG(382/(2+1))</f>
        <v>2.1049421081920463</v>
      </c>
      <c r="H12583">
        <f>0.0142857142857142*4.84680831993846</f>
        <v>6.92401188562633E-2</v>
      </c>
      <c r="I12583">
        <v>6.9240118856263785E-2</v>
      </c>
    </row>
    <row r="12584" spans="1:9" x14ac:dyDescent="0.25">
      <c r="A12584">
        <v>454</v>
      </c>
      <c r="B12584" t="s">
        <v>3626</v>
      </c>
      <c r="C12584" t="s">
        <v>75</v>
      </c>
      <c r="D12584" t="s">
        <v>1403</v>
      </c>
      <c r="E12584">
        <f t="shared" si="596"/>
        <v>1.4285714285714285E-2</v>
      </c>
      <c r="F12584">
        <v>10</v>
      </c>
      <c r="G12584">
        <f>LOG(382/(10+1))</f>
        <v>1.5406706777534838</v>
      </c>
      <c r="H12584">
        <f>0.0142857142857142*3.5475253358082</f>
        <v>5.067893336868827E-2</v>
      </c>
      <c r="I12584">
        <v>5.0678933368688638E-2</v>
      </c>
    </row>
    <row r="12585" spans="1:9" x14ac:dyDescent="0.25">
      <c r="A12585">
        <v>454</v>
      </c>
      <c r="B12585" t="s">
        <v>3626</v>
      </c>
      <c r="C12585" t="s">
        <v>75</v>
      </c>
      <c r="D12585" t="s">
        <v>214</v>
      </c>
      <c r="E12585">
        <f>3/70</f>
        <v>4.2857142857142858E-2</v>
      </c>
      <c r="F12585">
        <v>68</v>
      </c>
      <c r="G12585">
        <f>LOG(382/(68+1))</f>
        <v>0.74321427217445335</v>
      </c>
      <c r="H12585">
        <f>0.0428571428571428*1.71131410400931</f>
        <v>7.3342033028970341E-2</v>
      </c>
      <c r="I12585">
        <v>7.3342033028970674E-2</v>
      </c>
    </row>
    <row r="12586" spans="1:9" x14ac:dyDescent="0.25">
      <c r="A12586">
        <v>454</v>
      </c>
      <c r="B12586" t="s">
        <v>3626</v>
      </c>
      <c r="C12586" t="s">
        <v>75</v>
      </c>
      <c r="D12586" t="s">
        <v>210</v>
      </c>
      <c r="E12586">
        <f>1/70</f>
        <v>1.4285714285714285E-2</v>
      </c>
      <c r="F12586">
        <v>9</v>
      </c>
      <c r="G12586">
        <f>LOG(382/(9+1))</f>
        <v>1.5820633629117087</v>
      </c>
      <c r="H12586">
        <f>0.0142857142857142*3.64283551561252</f>
        <v>5.204050736589283E-2</v>
      </c>
      <c r="I12586">
        <v>5.2040507365893267E-2</v>
      </c>
    </row>
    <row r="12587" spans="1:9" x14ac:dyDescent="0.25">
      <c r="A12587">
        <v>454</v>
      </c>
      <c r="B12587" t="s">
        <v>3626</v>
      </c>
      <c r="C12587" t="s">
        <v>75</v>
      </c>
      <c r="D12587" t="s">
        <v>1972</v>
      </c>
      <c r="E12587">
        <f>2/70</f>
        <v>2.8571428571428571E-2</v>
      </c>
      <c r="F12587">
        <v>9</v>
      </c>
      <c r="G12587">
        <f>LOG(382/(9+1))</f>
        <v>1.5820633629117087</v>
      </c>
      <c r="H12587">
        <f>0.0285714285714285*3.64283551561252</f>
        <v>0.10408101473178603</v>
      </c>
      <c r="I12587">
        <v>0.10408101473178651</v>
      </c>
    </row>
    <row r="12588" spans="1:9" x14ac:dyDescent="0.25">
      <c r="A12588">
        <v>454</v>
      </c>
      <c r="B12588" t="s">
        <v>3626</v>
      </c>
      <c r="C12588" t="s">
        <v>75</v>
      </c>
      <c r="D12588" t="s">
        <v>3635</v>
      </c>
      <c r="E12588">
        <f t="shared" ref="E12588:E12599" si="597">1/70</f>
        <v>1.4285714285714285E-2</v>
      </c>
      <c r="F12588">
        <v>1</v>
      </c>
      <c r="G12588">
        <f>LOG(382/(1+1))</f>
        <v>2.2810333672477277</v>
      </c>
      <c r="H12588">
        <f>0.0142857142857142*5.25227342804663</f>
        <v>7.5032477543522838E-2</v>
      </c>
      <c r="I12588">
        <v>7.5032477543523282E-2</v>
      </c>
    </row>
    <row r="12589" spans="1:9" x14ac:dyDescent="0.25">
      <c r="A12589">
        <v>454</v>
      </c>
      <c r="B12589" t="s">
        <v>3626</v>
      </c>
      <c r="C12589" t="s">
        <v>75</v>
      </c>
      <c r="D12589" t="s">
        <v>3327</v>
      </c>
      <c r="E12589">
        <f t="shared" si="597"/>
        <v>1.4285714285714285E-2</v>
      </c>
      <c r="F12589">
        <v>21</v>
      </c>
      <c r="G12589">
        <f>LOG(382/(21+1))</f>
        <v>1.2396406820895025</v>
      </c>
      <c r="H12589">
        <f>0.0142857142857142*2.85437815524825</f>
        <v>4.077683078926047E-2</v>
      </c>
      <c r="I12589">
        <v>4.0776830789260837E-2</v>
      </c>
    </row>
    <row r="12590" spans="1:9" x14ac:dyDescent="0.25">
      <c r="A12590">
        <v>454</v>
      </c>
      <c r="B12590" t="s">
        <v>3626</v>
      </c>
      <c r="C12590" t="s">
        <v>75</v>
      </c>
      <c r="D12590" t="s">
        <v>3636</v>
      </c>
      <c r="E12590">
        <f t="shared" si="597"/>
        <v>1.4285714285714285E-2</v>
      </c>
      <c r="F12590">
        <v>3</v>
      </c>
      <c r="G12590">
        <f>LOG(382/(3+1))</f>
        <v>1.9800033715837464</v>
      </c>
      <c r="H12590">
        <f>0.0142857142857142*4.55912624748668</f>
        <v>6.5130374964095045E-2</v>
      </c>
      <c r="I12590">
        <v>6.5130374964095489E-2</v>
      </c>
    </row>
    <row r="12591" spans="1:9" x14ac:dyDescent="0.25">
      <c r="A12591">
        <v>454</v>
      </c>
      <c r="B12591" t="s">
        <v>3626</v>
      </c>
      <c r="C12591" t="s">
        <v>75</v>
      </c>
      <c r="D12591" t="s">
        <v>770</v>
      </c>
      <c r="E12591">
        <f t="shared" si="597"/>
        <v>1.4285714285714285E-2</v>
      </c>
      <c r="F12591">
        <v>47</v>
      </c>
      <c r="G12591">
        <f>LOG(382/(47+1))</f>
        <v>0.90082212553612151</v>
      </c>
      <c r="H12591">
        <f>0.0142857142857142*2.07421959769868</f>
        <v>2.9631708538552397E-2</v>
      </c>
      <c r="I12591">
        <v>2.9631708538552629E-2</v>
      </c>
    </row>
    <row r="12592" spans="1:9" x14ac:dyDescent="0.25">
      <c r="A12592">
        <v>454</v>
      </c>
      <c r="B12592" t="s">
        <v>3626</v>
      </c>
      <c r="C12592" t="s">
        <v>75</v>
      </c>
      <c r="D12592" t="s">
        <v>3637</v>
      </c>
      <c r="E12592">
        <f t="shared" si="597"/>
        <v>1.4285714285714285E-2</v>
      </c>
      <c r="F12592">
        <v>1</v>
      </c>
      <c r="G12592">
        <f>LOG(382/(1+1))</f>
        <v>2.2810333672477277</v>
      </c>
      <c r="H12592">
        <f>0.0142857142857142*5.25227342804663</f>
        <v>7.5032477543522838E-2</v>
      </c>
      <c r="I12592">
        <v>7.5032477543523282E-2</v>
      </c>
    </row>
    <row r="12593" spans="1:9" x14ac:dyDescent="0.25">
      <c r="A12593">
        <v>454</v>
      </c>
      <c r="B12593" t="s">
        <v>3626</v>
      </c>
      <c r="C12593" t="s">
        <v>75</v>
      </c>
      <c r="D12593" t="s">
        <v>3638</v>
      </c>
      <c r="E12593">
        <f t="shared" si="597"/>
        <v>1.4285714285714285E-2</v>
      </c>
      <c r="F12593">
        <v>1</v>
      </c>
      <c r="G12593">
        <f>LOG(382/(1+1))</f>
        <v>2.2810333672477277</v>
      </c>
      <c r="H12593">
        <f>0.0142857142857142*5.25227342804663</f>
        <v>7.5032477543522838E-2</v>
      </c>
      <c r="I12593">
        <v>7.5032477543523282E-2</v>
      </c>
    </row>
    <row r="12594" spans="1:9" x14ac:dyDescent="0.25">
      <c r="A12594">
        <v>454</v>
      </c>
      <c r="B12594" t="s">
        <v>3626</v>
      </c>
      <c r="C12594" t="s">
        <v>75</v>
      </c>
      <c r="D12594" t="s">
        <v>307</v>
      </c>
      <c r="E12594">
        <f t="shared" si="597"/>
        <v>1.4285714285714285E-2</v>
      </c>
      <c r="F12594">
        <v>67</v>
      </c>
      <c r="G12594">
        <f>LOG(382/(67+1))</f>
        <v>0.7495544502054724</v>
      </c>
      <c r="H12594">
        <f>0.0142857142857142*1.72591290343046</f>
        <v>2.4655898620434998E-2</v>
      </c>
      <c r="I12594">
        <v>2.4655898620435261E-2</v>
      </c>
    </row>
    <row r="12595" spans="1:9" x14ac:dyDescent="0.25">
      <c r="A12595">
        <v>454</v>
      </c>
      <c r="B12595" t="s">
        <v>3626</v>
      </c>
      <c r="C12595" t="s">
        <v>75</v>
      </c>
      <c r="D12595" t="s">
        <v>455</v>
      </c>
      <c r="E12595">
        <f t="shared" si="597"/>
        <v>1.4285714285714285E-2</v>
      </c>
      <c r="F12595">
        <v>78</v>
      </c>
      <c r="G12595">
        <f>LOG(382/(78+1))</f>
        <v>0.6844362716212673</v>
      </c>
      <c r="H12595">
        <f>0.0142857142857142*1.57597275613955</f>
        <v>2.251389651627915E-2</v>
      </c>
      <c r="I12595">
        <v>2.2513896516279341E-2</v>
      </c>
    </row>
    <row r="12596" spans="1:9" x14ac:dyDescent="0.25">
      <c r="A12596">
        <v>454</v>
      </c>
      <c r="B12596" t="s">
        <v>3626</v>
      </c>
      <c r="C12596" t="s">
        <v>75</v>
      </c>
      <c r="D12596" t="s">
        <v>456</v>
      </c>
      <c r="E12596">
        <f t="shared" si="597"/>
        <v>1.4285714285714285E-2</v>
      </c>
      <c r="F12596">
        <v>71</v>
      </c>
      <c r="G12596">
        <f>LOG(382/(71+1))</f>
        <v>0.72473086648044027</v>
      </c>
      <c r="H12596">
        <f>0.0142857142857142*1.66875448959051</f>
        <v>2.3839349851292858E-2</v>
      </c>
      <c r="I12596">
        <v>2.3839349851293139E-2</v>
      </c>
    </row>
    <row r="12597" spans="1:9" x14ac:dyDescent="0.25">
      <c r="A12597">
        <v>454</v>
      </c>
      <c r="B12597" t="s">
        <v>3626</v>
      </c>
      <c r="C12597" t="s">
        <v>75</v>
      </c>
      <c r="D12597" t="s">
        <v>1779</v>
      </c>
      <c r="E12597">
        <f t="shared" si="597"/>
        <v>1.4285714285714285E-2</v>
      </c>
      <c r="F12597">
        <v>41</v>
      </c>
      <c r="G12597">
        <f>LOG(382/(41+1))</f>
        <v>0.95881407251380824</v>
      </c>
      <c r="H12597">
        <f>0.0142857142857142*2.2077509903232</f>
        <v>3.1539299861759816E-2</v>
      </c>
      <c r="I12597">
        <v>3.1539299861760101E-2</v>
      </c>
    </row>
    <row r="12598" spans="1:9" x14ac:dyDescent="0.25">
      <c r="A12598">
        <v>454</v>
      </c>
      <c r="B12598" t="s">
        <v>3626</v>
      </c>
      <c r="C12598" t="s">
        <v>75</v>
      </c>
      <c r="D12598" t="s">
        <v>3639</v>
      </c>
      <c r="E12598">
        <f t="shared" si="597"/>
        <v>1.4285714285714285E-2</v>
      </c>
      <c r="F12598">
        <v>1</v>
      </c>
      <c r="G12598">
        <f>LOG(382/(1+1))</f>
        <v>2.2810333672477277</v>
      </c>
      <c r="H12598">
        <f>0.0142857142857142*5.25227342804663</f>
        <v>7.5032477543522838E-2</v>
      </c>
      <c r="I12598">
        <v>7.5032477543523282E-2</v>
      </c>
    </row>
    <row r="12599" spans="1:9" x14ac:dyDescent="0.25">
      <c r="A12599">
        <v>454</v>
      </c>
      <c r="B12599" t="s">
        <v>3626</v>
      </c>
      <c r="C12599" t="s">
        <v>75</v>
      </c>
      <c r="D12599" t="s">
        <v>3640</v>
      </c>
      <c r="E12599">
        <f t="shared" si="597"/>
        <v>1.4285714285714285E-2</v>
      </c>
      <c r="F12599">
        <v>3</v>
      </c>
      <c r="G12599">
        <f>LOG(382/(3+1))</f>
        <v>1.9800033715837464</v>
      </c>
      <c r="H12599">
        <f>0.0142857142857142*4.55912624748668</f>
        <v>6.5130374964095045E-2</v>
      </c>
      <c r="I12599">
        <v>6.5130374964095489E-2</v>
      </c>
    </row>
    <row r="12600" spans="1:9" x14ac:dyDescent="0.25">
      <c r="A12600">
        <v>455</v>
      </c>
      <c r="B12600" t="s">
        <v>3641</v>
      </c>
      <c r="C12600" t="s">
        <v>75</v>
      </c>
      <c r="D12600" t="s">
        <v>2009</v>
      </c>
      <c r="E12600">
        <f>2/41</f>
        <v>4.878048780487805E-2</v>
      </c>
      <c r="F12600">
        <v>4</v>
      </c>
      <c r="G12600">
        <f>LOG(382/(4+1))</f>
        <v>1.8830933585756899</v>
      </c>
      <c r="H12600">
        <f>0.048780487804878*4.33598269617247</f>
        <v>0.21151135103280322</v>
      </c>
      <c r="I12600">
        <v>0.21151135103280369</v>
      </c>
    </row>
    <row r="12601" spans="1:9" x14ac:dyDescent="0.25">
      <c r="A12601">
        <v>455</v>
      </c>
      <c r="B12601" t="s">
        <v>3641</v>
      </c>
      <c r="C12601" t="s">
        <v>75</v>
      </c>
      <c r="D12601" t="s">
        <v>3642</v>
      </c>
      <c r="E12601">
        <f>1/41</f>
        <v>2.4390243902439025E-2</v>
      </c>
      <c r="F12601">
        <v>1</v>
      </c>
      <c r="G12601">
        <f>LOG(382/(1+1))</f>
        <v>2.2810333672477277</v>
      </c>
      <c r="H12601">
        <f>0.024390243902439*5.25227342804663</f>
        <v>0.12810422995235671</v>
      </c>
      <c r="I12601">
        <v>0.12810422995235679</v>
      </c>
    </row>
    <row r="12602" spans="1:9" x14ac:dyDescent="0.25">
      <c r="A12602">
        <v>455</v>
      </c>
      <c r="B12602" t="s">
        <v>3641</v>
      </c>
      <c r="C12602" t="s">
        <v>75</v>
      </c>
      <c r="D12602" t="s">
        <v>920</v>
      </c>
      <c r="E12602">
        <f>4/41</f>
        <v>9.7560975609756101E-2</v>
      </c>
      <c r="F12602">
        <v>30</v>
      </c>
      <c r="G12602">
        <f>LOG(382/(30+1))</f>
        <v>1.090701669077436</v>
      </c>
      <c r="H12602">
        <f>0.0975609756097561*2.51143340412142</f>
        <v>0.24501789308501662</v>
      </c>
      <c r="I12602">
        <v>0.24501789308501751</v>
      </c>
    </row>
    <row r="12603" spans="1:9" x14ac:dyDescent="0.25">
      <c r="A12603">
        <v>455</v>
      </c>
      <c r="B12603" t="s">
        <v>3641</v>
      </c>
      <c r="C12603" t="s">
        <v>75</v>
      </c>
      <c r="D12603" t="s">
        <v>3643</v>
      </c>
      <c r="E12603">
        <f t="shared" ref="E12603:E12617" si="598">1/41</f>
        <v>2.4390243902439025E-2</v>
      </c>
      <c r="F12603">
        <v>1</v>
      </c>
      <c r="G12603">
        <f>LOG(382/(1+1))</f>
        <v>2.2810333672477277</v>
      </c>
      <c r="H12603">
        <f>0.024390243902439*5.25227342804663</f>
        <v>0.12810422995235671</v>
      </c>
      <c r="I12603">
        <v>0.12810422995235679</v>
      </c>
    </row>
    <row r="12604" spans="1:9" x14ac:dyDescent="0.25">
      <c r="A12604">
        <v>455</v>
      </c>
      <c r="B12604" t="s">
        <v>3641</v>
      </c>
      <c r="C12604" t="s">
        <v>75</v>
      </c>
      <c r="D12604" t="s">
        <v>42</v>
      </c>
      <c r="E12604">
        <f t="shared" si="598"/>
        <v>2.4390243902439025E-2</v>
      </c>
      <c r="F12604">
        <v>251</v>
      </c>
      <c r="G12604">
        <f>LOG(382/(251+1))</f>
        <v>0.18066282213016463</v>
      </c>
      <c r="H12604">
        <f>0.024390243902439*0.415991521095151</f>
        <v>1.0146134660857332E-2</v>
      </c>
      <c r="I12604">
        <v>1.014613466085736E-2</v>
      </c>
    </row>
    <row r="12605" spans="1:9" x14ac:dyDescent="0.25">
      <c r="A12605">
        <v>455</v>
      </c>
      <c r="B12605" t="s">
        <v>3641</v>
      </c>
      <c r="C12605" t="s">
        <v>75</v>
      </c>
      <c r="D12605" t="s">
        <v>1496</v>
      </c>
      <c r="E12605">
        <f t="shared" si="598"/>
        <v>2.4390243902439025E-2</v>
      </c>
      <c r="F12605">
        <v>39</v>
      </c>
      <c r="G12605">
        <f>LOG(382/(39+1))</f>
        <v>0.9800033715837464</v>
      </c>
      <c r="H12605">
        <f>0.024390243902439*2.25654115449263</f>
        <v>5.5037589133966537E-2</v>
      </c>
      <c r="I12605">
        <v>5.5037589133966808E-2</v>
      </c>
    </row>
    <row r="12606" spans="1:9" x14ac:dyDescent="0.25">
      <c r="A12606">
        <v>455</v>
      </c>
      <c r="B12606" t="s">
        <v>3641</v>
      </c>
      <c r="C12606" t="s">
        <v>75</v>
      </c>
      <c r="D12606" t="s">
        <v>3644</v>
      </c>
      <c r="E12606">
        <f t="shared" si="598"/>
        <v>2.4390243902439025E-2</v>
      </c>
      <c r="F12606">
        <v>4</v>
      </c>
      <c r="G12606">
        <f>LOG(382/(4+1))</f>
        <v>1.8830933585756899</v>
      </c>
      <c r="H12606">
        <f>0.024390243902439*4.33598269617247</f>
        <v>0.10575567551640161</v>
      </c>
      <c r="I12606">
        <v>0.1057556755164018</v>
      </c>
    </row>
    <row r="12607" spans="1:9" x14ac:dyDescent="0.25">
      <c r="A12607">
        <v>455</v>
      </c>
      <c r="B12607" t="s">
        <v>3641</v>
      </c>
      <c r="C12607" t="s">
        <v>75</v>
      </c>
      <c r="D12607" t="s">
        <v>3645</v>
      </c>
      <c r="E12607">
        <f t="shared" si="598"/>
        <v>2.4390243902439025E-2</v>
      </c>
      <c r="F12607">
        <v>1</v>
      </c>
      <c r="G12607">
        <f>LOG(382/(1+1))</f>
        <v>2.2810333672477277</v>
      </c>
      <c r="H12607">
        <f>0.024390243902439*5.25227342804663</f>
        <v>0.12810422995235671</v>
      </c>
      <c r="I12607">
        <v>0.12810422995235679</v>
      </c>
    </row>
    <row r="12608" spans="1:9" x14ac:dyDescent="0.25">
      <c r="A12608">
        <v>455</v>
      </c>
      <c r="B12608" t="s">
        <v>3641</v>
      </c>
      <c r="C12608" t="s">
        <v>75</v>
      </c>
      <c r="D12608" t="s">
        <v>552</v>
      </c>
      <c r="E12608">
        <f t="shared" si="598"/>
        <v>2.4390243902439025E-2</v>
      </c>
      <c r="F12608">
        <v>14</v>
      </c>
      <c r="G12608">
        <f>LOG(382/(14+1))</f>
        <v>1.4059721038560276</v>
      </c>
      <c r="H12608">
        <f>0.024390243902439*3.23737040750436</f>
        <v>7.8960253841569683E-2</v>
      </c>
      <c r="I12608">
        <v>7.8960253841569891E-2</v>
      </c>
    </row>
    <row r="12609" spans="1:9" x14ac:dyDescent="0.25">
      <c r="A12609">
        <v>455</v>
      </c>
      <c r="B12609" t="s">
        <v>3641</v>
      </c>
      <c r="C12609" t="s">
        <v>75</v>
      </c>
      <c r="D12609" t="s">
        <v>17</v>
      </c>
      <c r="E12609">
        <f t="shared" si="598"/>
        <v>2.4390243902439025E-2</v>
      </c>
      <c r="F12609">
        <v>169</v>
      </c>
      <c r="G12609">
        <f>LOG(382/(169+1))</f>
        <v>0.3516144415334348</v>
      </c>
      <c r="H12609">
        <f>0.024390243902439*0.809622171556313</f>
        <v>1.9746882233080784E-2</v>
      </c>
      <c r="I12609">
        <v>1.9746882233080819E-2</v>
      </c>
    </row>
    <row r="12610" spans="1:9" x14ac:dyDescent="0.25">
      <c r="A12610">
        <v>455</v>
      </c>
      <c r="B12610" t="s">
        <v>3641</v>
      </c>
      <c r="C12610" t="s">
        <v>75</v>
      </c>
      <c r="D12610" t="s">
        <v>3646</v>
      </c>
      <c r="E12610">
        <f t="shared" si="598"/>
        <v>2.4390243902439025E-2</v>
      </c>
      <c r="F12610">
        <v>1</v>
      </c>
      <c r="G12610">
        <f>LOG(382/(1+1))</f>
        <v>2.2810333672477277</v>
      </c>
      <c r="H12610">
        <f>0.024390243902439*5.25227342804663</f>
        <v>0.12810422995235671</v>
      </c>
      <c r="I12610">
        <v>0.12810422995235679</v>
      </c>
    </row>
    <row r="12611" spans="1:9" x14ac:dyDescent="0.25">
      <c r="A12611">
        <v>455</v>
      </c>
      <c r="B12611" t="s">
        <v>3641</v>
      </c>
      <c r="C12611" t="s">
        <v>75</v>
      </c>
      <c r="D12611" t="s">
        <v>44</v>
      </c>
      <c r="E12611">
        <f t="shared" si="598"/>
        <v>2.4390243902439025E-2</v>
      </c>
      <c r="F12611">
        <v>151</v>
      </c>
      <c r="G12611">
        <f>LOG(382/(151+1))</f>
        <v>0.40021977496693617</v>
      </c>
      <c r="H12611">
        <f>0.024390243902439*0.921540087760298</f>
        <v>2.2476587506348712E-2</v>
      </c>
      <c r="I12611">
        <v>2.247658750634875E-2</v>
      </c>
    </row>
    <row r="12612" spans="1:9" x14ac:dyDescent="0.25">
      <c r="A12612">
        <v>455</v>
      </c>
      <c r="B12612" t="s">
        <v>3641</v>
      </c>
      <c r="C12612" t="s">
        <v>75</v>
      </c>
      <c r="D12612" t="s">
        <v>3647</v>
      </c>
      <c r="E12612">
        <f t="shared" si="598"/>
        <v>2.4390243902439025E-2</v>
      </c>
      <c r="F12612">
        <v>1</v>
      </c>
      <c r="G12612">
        <f>LOG(382/(1+1))</f>
        <v>2.2810333672477277</v>
      </c>
      <c r="H12612">
        <f>0.024390243902439*5.25227342804663</f>
        <v>0.12810422995235671</v>
      </c>
      <c r="I12612">
        <v>0.12810422995235679</v>
      </c>
    </row>
    <row r="12613" spans="1:9" x14ac:dyDescent="0.25">
      <c r="A12613">
        <v>455</v>
      </c>
      <c r="B12613" t="s">
        <v>3641</v>
      </c>
      <c r="C12613" t="s">
        <v>75</v>
      </c>
      <c r="D12613" t="s">
        <v>3520</v>
      </c>
      <c r="E12613">
        <f t="shared" si="598"/>
        <v>2.4390243902439025E-2</v>
      </c>
      <c r="F12613">
        <v>8</v>
      </c>
      <c r="G12613">
        <f>LOG(382/(8+1))</f>
        <v>1.6278208534723839</v>
      </c>
      <c r="H12613">
        <f>0.024390243902439*3.74819603127035</f>
        <v>9.1419415396837719E-2</v>
      </c>
      <c r="I12613">
        <v>9.1419415396837941E-2</v>
      </c>
    </row>
    <row r="12614" spans="1:9" x14ac:dyDescent="0.25">
      <c r="A12614">
        <v>455</v>
      </c>
      <c r="B12614" t="s">
        <v>3641</v>
      </c>
      <c r="C12614" t="s">
        <v>75</v>
      </c>
      <c r="D12614" t="s">
        <v>1537</v>
      </c>
      <c r="E12614">
        <f t="shared" si="598"/>
        <v>2.4390243902439025E-2</v>
      </c>
      <c r="F12614">
        <v>80</v>
      </c>
      <c r="G12614">
        <f>LOG(382/(80+1))</f>
        <v>0.67357834403305894</v>
      </c>
      <c r="H12614">
        <f>0.024390243902439*1.55097145393413</f>
        <v>3.7828572047173867E-2</v>
      </c>
      <c r="I12614">
        <v>3.7828572047174061E-2</v>
      </c>
    </row>
    <row r="12615" spans="1:9" x14ac:dyDescent="0.25">
      <c r="A12615">
        <v>455</v>
      </c>
      <c r="B12615" t="s">
        <v>3641</v>
      </c>
      <c r="C12615" t="s">
        <v>75</v>
      </c>
      <c r="D12615" t="s">
        <v>105</v>
      </c>
      <c r="E12615">
        <f t="shared" si="598"/>
        <v>2.4390243902439025E-2</v>
      </c>
      <c r="F12615">
        <v>122</v>
      </c>
      <c r="G12615">
        <f>LOG(382/(122+1))</f>
        <v>0.49215825147231079</v>
      </c>
      <c r="H12615">
        <f>0.024390243902439*1.13323625323415</f>
        <v>2.7639908615467047E-2</v>
      </c>
      <c r="I12615">
        <v>2.7639908615467262E-2</v>
      </c>
    </row>
    <row r="12616" spans="1:9" x14ac:dyDescent="0.25">
      <c r="A12616">
        <v>455</v>
      </c>
      <c r="B12616" t="s">
        <v>3641</v>
      </c>
      <c r="C12616" t="s">
        <v>75</v>
      </c>
      <c r="D12616" t="s">
        <v>1769</v>
      </c>
      <c r="E12616">
        <f t="shared" si="598"/>
        <v>2.4390243902439025E-2</v>
      </c>
      <c r="F12616">
        <v>84</v>
      </c>
      <c r="G12616">
        <f>LOG(382/(84+1))</f>
        <v>0.65264443719741605</v>
      </c>
      <c r="H12616">
        <f>0.024390243902439*1.50276935211625</f>
        <v>3.6652911027225572E-2</v>
      </c>
      <c r="I12616">
        <v>3.6652911027225829E-2</v>
      </c>
    </row>
    <row r="12617" spans="1:9" x14ac:dyDescent="0.25">
      <c r="A12617">
        <v>455</v>
      </c>
      <c r="B12617" t="s">
        <v>3641</v>
      </c>
      <c r="C12617" t="s">
        <v>75</v>
      </c>
      <c r="D12617" t="s">
        <v>1740</v>
      </c>
      <c r="E12617">
        <f t="shared" si="598"/>
        <v>2.4390243902439025E-2</v>
      </c>
      <c r="F12617">
        <v>5</v>
      </c>
      <c r="G12617">
        <f>LOG(382/(5+1))</f>
        <v>1.803912112528065</v>
      </c>
      <c r="H12617">
        <f>0.024390243902439*4.15366113937852</f>
        <v>0.10130880827752478</v>
      </c>
      <c r="I12617">
        <v>0.10130880827752491</v>
      </c>
    </row>
    <row r="12618" spans="1:9" x14ac:dyDescent="0.25">
      <c r="A12618">
        <v>455</v>
      </c>
      <c r="B12618" t="s">
        <v>3641</v>
      </c>
      <c r="C12618" t="s">
        <v>75</v>
      </c>
      <c r="D12618" t="s">
        <v>3335</v>
      </c>
      <c r="E12618">
        <f>2/41</f>
        <v>4.878048780487805E-2</v>
      </c>
      <c r="F12618">
        <v>16</v>
      </c>
      <c r="G12618">
        <f>LOG(382/(16+1))</f>
        <v>1.3516144415334348</v>
      </c>
      <c r="H12618">
        <f>0.048780487804878*3.11220726455035</f>
        <v>0.15181498851465106</v>
      </c>
      <c r="I12618">
        <v>0.15181498851465169</v>
      </c>
    </row>
    <row r="12619" spans="1:9" x14ac:dyDescent="0.25">
      <c r="A12619">
        <v>455</v>
      </c>
      <c r="B12619" t="s">
        <v>3641</v>
      </c>
      <c r="C12619" t="s">
        <v>75</v>
      </c>
      <c r="D12619" t="s">
        <v>3376</v>
      </c>
      <c r="E12619">
        <f t="shared" ref="E12619:E12635" si="599">1/41</f>
        <v>2.4390243902439025E-2</v>
      </c>
      <c r="F12619">
        <v>21</v>
      </c>
      <c r="G12619">
        <f>LOG(382/(21+1))</f>
        <v>1.2396406820895025</v>
      </c>
      <c r="H12619">
        <f>0.024390243902439*2.85437815524825</f>
        <v>6.9618979396298714E-2</v>
      </c>
      <c r="I12619">
        <v>6.9618979396299005E-2</v>
      </c>
    </row>
    <row r="12620" spans="1:9" x14ac:dyDescent="0.25">
      <c r="A12620">
        <v>455</v>
      </c>
      <c r="B12620" t="s">
        <v>3641</v>
      </c>
      <c r="C12620" t="s">
        <v>75</v>
      </c>
      <c r="D12620" t="s">
        <v>3648</v>
      </c>
      <c r="E12620">
        <f t="shared" si="599"/>
        <v>2.4390243902439025E-2</v>
      </c>
      <c r="F12620">
        <v>4</v>
      </c>
      <c r="G12620">
        <f>LOG(382/(4+1))</f>
        <v>1.8830933585756899</v>
      </c>
      <c r="H12620">
        <f>0.024390243902439*4.33598269617247</f>
        <v>0.10575567551640161</v>
      </c>
      <c r="I12620">
        <v>0.1057556755164018</v>
      </c>
    </row>
    <row r="12621" spans="1:9" x14ac:dyDescent="0.25">
      <c r="A12621">
        <v>455</v>
      </c>
      <c r="B12621" t="s">
        <v>3641</v>
      </c>
      <c r="C12621" t="s">
        <v>75</v>
      </c>
      <c r="D12621" t="s">
        <v>1739</v>
      </c>
      <c r="E12621">
        <f t="shared" si="599"/>
        <v>2.4390243902439025E-2</v>
      </c>
      <c r="F12621">
        <v>30</v>
      </c>
      <c r="G12621">
        <f>LOG(382/(30+1))</f>
        <v>1.090701669077436</v>
      </c>
      <c r="H12621">
        <f>0.024390243902439*2.51143340412142</f>
        <v>6.1254473271254092E-2</v>
      </c>
      <c r="I12621">
        <v>6.125447327125437E-2</v>
      </c>
    </row>
    <row r="12622" spans="1:9" x14ac:dyDescent="0.25">
      <c r="A12622">
        <v>455</v>
      </c>
      <c r="B12622" t="s">
        <v>3641</v>
      </c>
      <c r="C12622" t="s">
        <v>75</v>
      </c>
      <c r="D12622" t="s">
        <v>361</v>
      </c>
      <c r="E12622">
        <f t="shared" si="599"/>
        <v>2.4390243902439025E-2</v>
      </c>
      <c r="F12622">
        <v>118</v>
      </c>
      <c r="G12622">
        <f>LOG(382/(118+1))</f>
        <v>0.50651640151917798</v>
      </c>
      <c r="H12622">
        <f>0.024390243902439*1.16629711549504</f>
        <v>2.8446271109635091E-2</v>
      </c>
      <c r="I12622">
        <v>2.8446271109635268E-2</v>
      </c>
    </row>
    <row r="12623" spans="1:9" x14ac:dyDescent="0.25">
      <c r="A12623">
        <v>455</v>
      </c>
      <c r="B12623" t="s">
        <v>3641</v>
      </c>
      <c r="C12623" t="s">
        <v>75</v>
      </c>
      <c r="D12623" t="s">
        <v>3649</v>
      </c>
      <c r="E12623">
        <f t="shared" si="599"/>
        <v>2.4390243902439025E-2</v>
      </c>
      <c r="F12623">
        <v>1</v>
      </c>
      <c r="G12623">
        <f>LOG(382/(1+1))</f>
        <v>2.2810333672477277</v>
      </c>
      <c r="H12623">
        <f>0.024390243902439*5.25227342804663</f>
        <v>0.12810422995235671</v>
      </c>
      <c r="I12623">
        <v>0.12810422995235679</v>
      </c>
    </row>
    <row r="12624" spans="1:9" x14ac:dyDescent="0.25">
      <c r="A12624">
        <v>455</v>
      </c>
      <c r="B12624" t="s">
        <v>3641</v>
      </c>
      <c r="C12624" t="s">
        <v>75</v>
      </c>
      <c r="D12624" t="s">
        <v>3650</v>
      </c>
      <c r="E12624">
        <f t="shared" si="599"/>
        <v>2.4390243902439025E-2</v>
      </c>
      <c r="F12624">
        <v>1</v>
      </c>
      <c r="G12624">
        <f>LOG(382/(1+1))</f>
        <v>2.2810333672477277</v>
      </c>
      <c r="H12624">
        <f>0.024390243902439*5.25227342804663</f>
        <v>0.12810422995235671</v>
      </c>
      <c r="I12624">
        <v>0.12810422995235679</v>
      </c>
    </row>
    <row r="12625" spans="1:9" x14ac:dyDescent="0.25">
      <c r="A12625">
        <v>455</v>
      </c>
      <c r="B12625" t="s">
        <v>3641</v>
      </c>
      <c r="C12625" t="s">
        <v>75</v>
      </c>
      <c r="D12625" t="s">
        <v>2241</v>
      </c>
      <c r="E12625">
        <f t="shared" si="599"/>
        <v>2.4390243902439025E-2</v>
      </c>
      <c r="F12625">
        <v>12</v>
      </c>
      <c r="G12625">
        <f>LOG(382/(12+1))</f>
        <v>1.468120010604872</v>
      </c>
      <c r="H12625">
        <f>0.024390243902439*3.38047125114503</f>
        <v>8.2450518320610414E-2</v>
      </c>
      <c r="I12625">
        <v>8.2450518320610705E-2</v>
      </c>
    </row>
    <row r="12626" spans="1:9" x14ac:dyDescent="0.25">
      <c r="A12626">
        <v>455</v>
      </c>
      <c r="B12626" t="s">
        <v>3641</v>
      </c>
      <c r="C12626" t="s">
        <v>75</v>
      </c>
      <c r="D12626" t="s">
        <v>1938</v>
      </c>
      <c r="E12626">
        <f t="shared" si="599"/>
        <v>2.4390243902439025E-2</v>
      </c>
      <c r="F12626">
        <v>7</v>
      </c>
      <c r="G12626">
        <f>LOG(382/(7+1))</f>
        <v>1.6789733759197651</v>
      </c>
      <c r="H12626">
        <f>0.024390243902439*3.86597906692673</f>
        <v>9.4292172364066507E-2</v>
      </c>
      <c r="I12626">
        <v>9.4292172364066812E-2</v>
      </c>
    </row>
    <row r="12627" spans="1:9" x14ac:dyDescent="0.25">
      <c r="A12627">
        <v>455</v>
      </c>
      <c r="B12627" t="s">
        <v>3641</v>
      </c>
      <c r="C12627" t="s">
        <v>75</v>
      </c>
      <c r="D12627" t="s">
        <v>214</v>
      </c>
      <c r="E12627">
        <f t="shared" si="599"/>
        <v>2.4390243902439025E-2</v>
      </c>
      <c r="F12627">
        <v>68</v>
      </c>
      <c r="G12627">
        <f>LOG(382/(68+1))</f>
        <v>0.74321427217445335</v>
      </c>
      <c r="H12627">
        <f>0.024390243902439*1.71131410400931</f>
        <v>4.1739368390470939E-2</v>
      </c>
      <c r="I12627">
        <v>4.173936839047112E-2</v>
      </c>
    </row>
    <row r="12628" spans="1:9" x14ac:dyDescent="0.25">
      <c r="A12628">
        <v>455</v>
      </c>
      <c r="B12628" t="s">
        <v>3641</v>
      </c>
      <c r="C12628" t="s">
        <v>75</v>
      </c>
      <c r="D12628" t="s">
        <v>3501</v>
      </c>
      <c r="E12628">
        <f t="shared" si="599"/>
        <v>2.4390243902439025E-2</v>
      </c>
      <c r="F12628">
        <v>3</v>
      </c>
      <c r="G12628">
        <f>LOG(382/(3+1))</f>
        <v>1.9800033715837464</v>
      </c>
      <c r="H12628">
        <f>0.024390243902439*4.55912624748668</f>
        <v>0.11119820115821161</v>
      </c>
      <c r="I12628">
        <v>0.1111982011582118</v>
      </c>
    </row>
    <row r="12629" spans="1:9" x14ac:dyDescent="0.25">
      <c r="A12629">
        <v>455</v>
      </c>
      <c r="B12629" t="s">
        <v>3641</v>
      </c>
      <c r="C12629" t="s">
        <v>75</v>
      </c>
      <c r="D12629" t="s">
        <v>243</v>
      </c>
      <c r="E12629">
        <f t="shared" si="599"/>
        <v>2.4390243902439025E-2</v>
      </c>
      <c r="F12629">
        <v>131</v>
      </c>
      <c r="G12629">
        <f>LOG(382/(131+1))</f>
        <v>0.46148943170585888</v>
      </c>
      <c r="H12629">
        <f>0.024390243902439*1.0626186860202</f>
        <v>2.5917528927321926E-2</v>
      </c>
      <c r="I12629">
        <v>2.5917528927322051E-2</v>
      </c>
    </row>
    <row r="12630" spans="1:9" x14ac:dyDescent="0.25">
      <c r="A12630">
        <v>455</v>
      </c>
      <c r="B12630" t="s">
        <v>3641</v>
      </c>
      <c r="C12630" t="s">
        <v>75</v>
      </c>
      <c r="D12630" t="s">
        <v>770</v>
      </c>
      <c r="E12630">
        <f t="shared" si="599"/>
        <v>2.4390243902439025E-2</v>
      </c>
      <c r="F12630">
        <v>47</v>
      </c>
      <c r="G12630">
        <f>LOG(382/(47+1))</f>
        <v>0.90082212553612151</v>
      </c>
      <c r="H12630">
        <f>0.024390243902439*2.07421959769868</f>
        <v>5.0590721895089709E-2</v>
      </c>
      <c r="I12630">
        <v>5.0590721895089862E-2</v>
      </c>
    </row>
    <row r="12631" spans="1:9" x14ac:dyDescent="0.25">
      <c r="A12631">
        <v>455</v>
      </c>
      <c r="B12631" t="s">
        <v>3641</v>
      </c>
      <c r="C12631" t="s">
        <v>75</v>
      </c>
      <c r="D12631" t="s">
        <v>307</v>
      </c>
      <c r="E12631">
        <f t="shared" si="599"/>
        <v>2.4390243902439025E-2</v>
      </c>
      <c r="F12631">
        <v>67</v>
      </c>
      <c r="G12631">
        <f>LOG(382/(67+1))</f>
        <v>0.7495544502054724</v>
      </c>
      <c r="H12631">
        <f>0.024390243902439*1.72591290343046</f>
        <v>4.209543666903557E-2</v>
      </c>
      <c r="I12631">
        <v>4.2095436669035813E-2</v>
      </c>
    </row>
    <row r="12632" spans="1:9" x14ac:dyDescent="0.25">
      <c r="A12632">
        <v>455</v>
      </c>
      <c r="B12632" t="s">
        <v>3641</v>
      </c>
      <c r="C12632" t="s">
        <v>75</v>
      </c>
      <c r="D12632" t="s">
        <v>455</v>
      </c>
      <c r="E12632">
        <f t="shared" si="599"/>
        <v>2.4390243902439025E-2</v>
      </c>
      <c r="F12632">
        <v>78</v>
      </c>
      <c r="G12632">
        <f>LOG(382/(78+1))</f>
        <v>0.6844362716212673</v>
      </c>
      <c r="H12632">
        <f>0.024390243902439*1.57597275613955</f>
        <v>3.8438359905842649E-2</v>
      </c>
      <c r="I12632">
        <v>3.8438359905842767E-2</v>
      </c>
    </row>
    <row r="12633" spans="1:9" x14ac:dyDescent="0.25">
      <c r="A12633">
        <v>455</v>
      </c>
      <c r="B12633" t="s">
        <v>3641</v>
      </c>
      <c r="C12633" t="s">
        <v>75</v>
      </c>
      <c r="D12633" t="s">
        <v>456</v>
      </c>
      <c r="E12633">
        <f t="shared" si="599"/>
        <v>2.4390243902439025E-2</v>
      </c>
      <c r="F12633">
        <v>71</v>
      </c>
      <c r="G12633">
        <f>LOG(382/(71+1))</f>
        <v>0.72473086648044027</v>
      </c>
      <c r="H12633">
        <f>0.024390243902439*1.66875448959051</f>
        <v>4.070132901440264E-2</v>
      </c>
      <c r="I12633">
        <v>4.0701329014402918E-2</v>
      </c>
    </row>
    <row r="12634" spans="1:9" x14ac:dyDescent="0.25">
      <c r="A12634">
        <v>455</v>
      </c>
      <c r="B12634" t="s">
        <v>3641</v>
      </c>
      <c r="C12634" t="s">
        <v>75</v>
      </c>
      <c r="D12634" t="s">
        <v>3651</v>
      </c>
      <c r="E12634">
        <f t="shared" si="599"/>
        <v>2.4390243902439025E-2</v>
      </c>
      <c r="F12634">
        <v>1</v>
      </c>
      <c r="G12634">
        <f>LOG(382/(1+1))</f>
        <v>2.2810333672477277</v>
      </c>
      <c r="H12634">
        <f>0.024390243902439*5.25227342804663</f>
        <v>0.12810422995235671</v>
      </c>
      <c r="I12634">
        <v>0.12810422995235679</v>
      </c>
    </row>
    <row r="12635" spans="1:9" x14ac:dyDescent="0.25">
      <c r="A12635">
        <v>455</v>
      </c>
      <c r="B12635" t="s">
        <v>3641</v>
      </c>
      <c r="C12635" t="s">
        <v>75</v>
      </c>
      <c r="D12635" t="s">
        <v>3652</v>
      </c>
      <c r="E12635">
        <f t="shared" si="599"/>
        <v>2.4390243902439025E-2</v>
      </c>
      <c r="F12635">
        <v>1</v>
      </c>
      <c r="G12635">
        <f>LOG(382/(1+1))</f>
        <v>2.2810333672477277</v>
      </c>
      <c r="H12635">
        <f>0.024390243902439*5.25227342804663</f>
        <v>0.12810422995235671</v>
      </c>
      <c r="I12635">
        <v>0.12810422995235679</v>
      </c>
    </row>
    <row r="12636" spans="1:9" x14ac:dyDescent="0.25">
      <c r="A12636">
        <v>456</v>
      </c>
      <c r="B12636" t="s">
        <v>3653</v>
      </c>
      <c r="C12636" t="s">
        <v>75</v>
      </c>
      <c r="D12636" t="s">
        <v>112</v>
      </c>
      <c r="E12636">
        <f>2/72</f>
        <v>2.7777777777777776E-2</v>
      </c>
      <c r="F12636">
        <v>52</v>
      </c>
      <c r="G12636">
        <f>LOG(382/(52+1))</f>
        <v>0.85778749331091964</v>
      </c>
      <c r="H12636">
        <f>0.0277777777777777*1.97512869505445</f>
        <v>5.4864685973734569E-2</v>
      </c>
      <c r="I12636">
        <v>5.4864685973734811E-2</v>
      </c>
    </row>
    <row r="12637" spans="1:9" x14ac:dyDescent="0.25">
      <c r="A12637">
        <v>456</v>
      </c>
      <c r="B12637" t="s">
        <v>3653</v>
      </c>
      <c r="C12637" t="s">
        <v>75</v>
      </c>
      <c r="D12637" t="s">
        <v>82</v>
      </c>
      <c r="E12637">
        <f>2/72</f>
        <v>2.7777777777777776E-2</v>
      </c>
      <c r="F12637">
        <v>92</v>
      </c>
      <c r="G12637">
        <f>LOG(382/(92+1))</f>
        <v>0.61358041435777355</v>
      </c>
      <c r="H12637">
        <f>0.0277777777777777*1.41282111545331</f>
        <v>3.9245030984814057E-2</v>
      </c>
      <c r="I12637">
        <v>3.9245030984814418E-2</v>
      </c>
    </row>
    <row r="12638" spans="1:9" x14ac:dyDescent="0.25">
      <c r="A12638">
        <v>456</v>
      </c>
      <c r="B12638" t="s">
        <v>3653</v>
      </c>
      <c r="C12638" t="s">
        <v>75</v>
      </c>
      <c r="D12638" t="s">
        <v>3437</v>
      </c>
      <c r="E12638">
        <f>3/72</f>
        <v>4.1666666666666664E-2</v>
      </c>
      <c r="F12638">
        <v>5</v>
      </c>
      <c r="G12638">
        <f>LOG(382/(5+1))</f>
        <v>1.803912112528065</v>
      </c>
      <c r="H12638">
        <f>0.0416666666666666*4.15366113937852</f>
        <v>0.17306921414077139</v>
      </c>
      <c r="I12638">
        <v>0.17306921414077159</v>
      </c>
    </row>
    <row r="12639" spans="1:9" x14ac:dyDescent="0.25">
      <c r="A12639">
        <v>456</v>
      </c>
      <c r="B12639" t="s">
        <v>3653</v>
      </c>
      <c r="C12639" t="s">
        <v>75</v>
      </c>
      <c r="D12639" t="s">
        <v>3654</v>
      </c>
      <c r="E12639">
        <f>1/72</f>
        <v>1.3888888888888888E-2</v>
      </c>
      <c r="F12639">
        <v>1</v>
      </c>
      <c r="G12639">
        <f>LOG(382/(1+1))</f>
        <v>2.2810333672477277</v>
      </c>
      <c r="H12639">
        <f>0.0138888888888888*5.25227342804663</f>
        <v>7.294824205620272E-2</v>
      </c>
      <c r="I12639">
        <v>7.2948242056203191E-2</v>
      </c>
    </row>
    <row r="12640" spans="1:9" x14ac:dyDescent="0.25">
      <c r="A12640">
        <v>456</v>
      </c>
      <c r="B12640" t="s">
        <v>3653</v>
      </c>
      <c r="C12640" t="s">
        <v>75</v>
      </c>
      <c r="D12640" t="s">
        <v>3655</v>
      </c>
      <c r="E12640">
        <f>2/72</f>
        <v>2.7777777777777776E-2</v>
      </c>
      <c r="F12640">
        <v>1</v>
      </c>
      <c r="G12640">
        <f>LOG(382/(1+1))</f>
        <v>2.2810333672477277</v>
      </c>
      <c r="H12640">
        <f>0.0277777777777777*5.25227342804663</f>
        <v>0.14589648411240597</v>
      </c>
      <c r="I12640">
        <v>0.14589648411240641</v>
      </c>
    </row>
    <row r="12641" spans="1:9" x14ac:dyDescent="0.25">
      <c r="A12641">
        <v>456</v>
      </c>
      <c r="B12641" t="s">
        <v>3653</v>
      </c>
      <c r="C12641" t="s">
        <v>75</v>
      </c>
      <c r="D12641" t="s">
        <v>42</v>
      </c>
      <c r="E12641">
        <f t="shared" ref="E12641:E12654" si="600">1/72</f>
        <v>1.3888888888888888E-2</v>
      </c>
      <c r="F12641">
        <v>251</v>
      </c>
      <c r="G12641">
        <f>LOG(382/(251+1))</f>
        <v>0.18066282213016463</v>
      </c>
      <c r="H12641">
        <f>0.0138888888888888*0.415991521095151</f>
        <v>5.7776600152103933E-3</v>
      </c>
      <c r="I12641">
        <v>5.7776600152104418E-3</v>
      </c>
    </row>
    <row r="12642" spans="1:9" x14ac:dyDescent="0.25">
      <c r="A12642">
        <v>456</v>
      </c>
      <c r="B12642" t="s">
        <v>3653</v>
      </c>
      <c r="C12642" t="s">
        <v>75</v>
      </c>
      <c r="D12642" t="s">
        <v>600</v>
      </c>
      <c r="E12642">
        <f t="shared" si="600"/>
        <v>1.3888888888888888E-2</v>
      </c>
      <c r="F12642">
        <v>102</v>
      </c>
      <c r="G12642">
        <f>LOG(382/(102+1))</f>
        <v>0.56922613820653656</v>
      </c>
      <c r="H12642">
        <f>0.0138888888888888*1.31069162037693</f>
        <v>1.82040502830128E-2</v>
      </c>
      <c r="I12642">
        <v>1.820405028301305E-2</v>
      </c>
    </row>
    <row r="12643" spans="1:9" x14ac:dyDescent="0.25">
      <c r="A12643">
        <v>456</v>
      </c>
      <c r="B12643" t="s">
        <v>3653</v>
      </c>
      <c r="C12643" t="s">
        <v>75</v>
      </c>
      <c r="D12643" t="s">
        <v>1059</v>
      </c>
      <c r="E12643">
        <f t="shared" si="600"/>
        <v>1.3888888888888888E-2</v>
      </c>
      <c r="F12643">
        <v>16</v>
      </c>
      <c r="G12643">
        <f>LOG(382/(16+1))</f>
        <v>1.3516144415334348</v>
      </c>
      <c r="H12643">
        <f>0.0138888888888888*3.11220726455035</f>
        <v>4.3225100896532358E-2</v>
      </c>
      <c r="I12643">
        <v>4.322510089653276E-2</v>
      </c>
    </row>
    <row r="12644" spans="1:9" x14ac:dyDescent="0.25">
      <c r="A12644">
        <v>456</v>
      </c>
      <c r="B12644" t="s">
        <v>3653</v>
      </c>
      <c r="C12644" t="s">
        <v>75</v>
      </c>
      <c r="D12644" t="s">
        <v>315</v>
      </c>
      <c r="E12644">
        <f t="shared" si="600"/>
        <v>1.3888888888888888E-2</v>
      </c>
      <c r="F12644">
        <v>55</v>
      </c>
      <c r="G12644">
        <f>LOG(382/(55+1))</f>
        <v>0.83387533590550833</v>
      </c>
      <c r="H12644">
        <f>0.0138888888888888*1.92006891787142</f>
        <v>2.6667623859325109E-2</v>
      </c>
      <c r="I12644">
        <v>2.6667623859325359E-2</v>
      </c>
    </row>
    <row r="12645" spans="1:9" x14ac:dyDescent="0.25">
      <c r="A12645">
        <v>456</v>
      </c>
      <c r="B12645" t="s">
        <v>3653</v>
      </c>
      <c r="C12645" t="s">
        <v>75</v>
      </c>
      <c r="D12645" t="s">
        <v>316</v>
      </c>
      <c r="E12645">
        <f t="shared" si="600"/>
        <v>1.3888888888888888E-2</v>
      </c>
      <c r="F12645">
        <v>6</v>
      </c>
      <c r="G12645">
        <f>LOG(382/(6+1))</f>
        <v>1.736965322897452</v>
      </c>
      <c r="H12645">
        <f>0.0138888888888888*3.99951045955126</f>
        <v>5.554875638265603E-2</v>
      </c>
      <c r="I12645">
        <v>5.5548756382656411E-2</v>
      </c>
    </row>
    <row r="12646" spans="1:9" x14ac:dyDescent="0.25">
      <c r="A12646">
        <v>456</v>
      </c>
      <c r="B12646" t="s">
        <v>3653</v>
      </c>
      <c r="C12646" t="s">
        <v>75</v>
      </c>
      <c r="D12646" t="s">
        <v>147</v>
      </c>
      <c r="E12646">
        <f t="shared" si="600"/>
        <v>1.3888888888888888E-2</v>
      </c>
      <c r="F12646">
        <v>48</v>
      </c>
      <c r="G12646">
        <f>LOG(382/(48+1))</f>
        <v>0.89186728288319506</v>
      </c>
      <c r="H12646">
        <f>0.0138888888888888*2.05360031049594</f>
        <v>2.852222653466565E-2</v>
      </c>
      <c r="I12646">
        <v>2.8522226534665959E-2</v>
      </c>
    </row>
    <row r="12647" spans="1:9" x14ac:dyDescent="0.25">
      <c r="A12647">
        <v>456</v>
      </c>
      <c r="B12647" t="s">
        <v>3653</v>
      </c>
      <c r="C12647" t="s">
        <v>75</v>
      </c>
      <c r="D12647" t="s">
        <v>17</v>
      </c>
      <c r="E12647">
        <f t="shared" si="600"/>
        <v>1.3888888888888888E-2</v>
      </c>
      <c r="F12647">
        <v>169</v>
      </c>
      <c r="G12647">
        <f>LOG(382/(169+1))</f>
        <v>0.3516144415334348</v>
      </c>
      <c r="H12647">
        <f>0.0138888888888888*0.809622171556313</f>
        <v>1.1244752382726497E-2</v>
      </c>
      <c r="I12647">
        <v>1.1244752382726569E-2</v>
      </c>
    </row>
    <row r="12648" spans="1:9" x14ac:dyDescent="0.25">
      <c r="A12648">
        <v>456</v>
      </c>
      <c r="B12648" t="s">
        <v>3653</v>
      </c>
      <c r="C12648" t="s">
        <v>75</v>
      </c>
      <c r="D12648" t="s">
        <v>1907</v>
      </c>
      <c r="E12648">
        <f t="shared" si="600"/>
        <v>1.3888888888888888E-2</v>
      </c>
      <c r="F12648">
        <v>20</v>
      </c>
      <c r="G12648">
        <f>LOG(382/(20+1))</f>
        <v>1.2598440681777894</v>
      </c>
      <c r="H12648">
        <f>0.0138888888888888*2.90089817088315</f>
        <v>4.0290252373376828E-2</v>
      </c>
      <c r="I12648">
        <v>4.0290252373377113E-2</v>
      </c>
    </row>
    <row r="12649" spans="1:9" x14ac:dyDescent="0.25">
      <c r="A12649">
        <v>456</v>
      </c>
      <c r="B12649" t="s">
        <v>3653</v>
      </c>
      <c r="C12649" t="s">
        <v>75</v>
      </c>
      <c r="D12649" t="s">
        <v>1908</v>
      </c>
      <c r="E12649">
        <f t="shared" si="600"/>
        <v>1.3888888888888888E-2</v>
      </c>
      <c r="F12649">
        <v>20</v>
      </c>
      <c r="G12649">
        <f>LOG(382/(20+1))</f>
        <v>1.2598440681777894</v>
      </c>
      <c r="H12649">
        <f>0.0138888888888888*2.90089817088315</f>
        <v>4.0290252373376828E-2</v>
      </c>
      <c r="I12649">
        <v>4.0290252373377113E-2</v>
      </c>
    </row>
    <row r="12650" spans="1:9" x14ac:dyDescent="0.25">
      <c r="A12650">
        <v>456</v>
      </c>
      <c r="B12650" t="s">
        <v>3653</v>
      </c>
      <c r="C12650" t="s">
        <v>75</v>
      </c>
      <c r="D12650" t="s">
        <v>91</v>
      </c>
      <c r="E12650">
        <f t="shared" si="600"/>
        <v>1.3888888888888888E-2</v>
      </c>
      <c r="F12650">
        <v>33</v>
      </c>
      <c r="G12650">
        <f>LOG(382/(33+1))</f>
        <v>1.0505844458694535</v>
      </c>
      <c r="H12650">
        <f>0.0138888888888888*2.41906008399041</f>
        <v>3.3598056722088813E-2</v>
      </c>
      <c r="I12650">
        <v>3.3598056722089077E-2</v>
      </c>
    </row>
    <row r="12651" spans="1:9" x14ac:dyDescent="0.25">
      <c r="A12651">
        <v>456</v>
      </c>
      <c r="B12651" t="s">
        <v>3653</v>
      </c>
      <c r="C12651" t="s">
        <v>75</v>
      </c>
      <c r="D12651" t="s">
        <v>19</v>
      </c>
      <c r="E12651">
        <f t="shared" si="600"/>
        <v>1.3888888888888888E-2</v>
      </c>
      <c r="F12651">
        <v>220</v>
      </c>
      <c r="G12651">
        <f>LOG(382/(220+1))</f>
        <v>0.23767108922659805</v>
      </c>
      <c r="H12651">
        <f>0.0138888888888888*0.547257907088822</f>
        <v>7.6008042651224796E-3</v>
      </c>
      <c r="I12651">
        <v>7.6008042651225334E-3</v>
      </c>
    </row>
    <row r="12652" spans="1:9" x14ac:dyDescent="0.25">
      <c r="A12652">
        <v>456</v>
      </c>
      <c r="B12652" t="s">
        <v>3653</v>
      </c>
      <c r="C12652" t="s">
        <v>75</v>
      </c>
      <c r="D12652" t="s">
        <v>195</v>
      </c>
      <c r="E12652">
        <f t="shared" si="600"/>
        <v>1.3888888888888888E-2</v>
      </c>
      <c r="F12652">
        <v>55</v>
      </c>
      <c r="G12652">
        <f>LOG(382/(55+1))</f>
        <v>0.83387533590550833</v>
      </c>
      <c r="H12652">
        <f>0.0138888888888888*1.92006891787142</f>
        <v>2.6667623859325109E-2</v>
      </c>
      <c r="I12652">
        <v>2.6667623859325359E-2</v>
      </c>
    </row>
    <row r="12653" spans="1:9" x14ac:dyDescent="0.25">
      <c r="A12653">
        <v>456</v>
      </c>
      <c r="B12653" t="s">
        <v>3653</v>
      </c>
      <c r="C12653" t="s">
        <v>75</v>
      </c>
      <c r="D12653" t="s">
        <v>3656</v>
      </c>
      <c r="E12653">
        <f t="shared" si="600"/>
        <v>1.3888888888888888E-2</v>
      </c>
      <c r="F12653">
        <v>1</v>
      </c>
      <c r="G12653">
        <f>LOG(382/(1+1))</f>
        <v>2.2810333672477277</v>
      </c>
      <c r="H12653">
        <f>0.0138888888888888*5.25227342804663</f>
        <v>7.294824205620272E-2</v>
      </c>
      <c r="I12653">
        <v>7.2948242056203191E-2</v>
      </c>
    </row>
    <row r="12654" spans="1:9" x14ac:dyDescent="0.25">
      <c r="A12654">
        <v>456</v>
      </c>
      <c r="B12654" t="s">
        <v>3653</v>
      </c>
      <c r="C12654" t="s">
        <v>75</v>
      </c>
      <c r="D12654" t="s">
        <v>2291</v>
      </c>
      <c r="E12654">
        <f t="shared" si="600"/>
        <v>1.3888888888888888E-2</v>
      </c>
      <c r="F12654">
        <v>17</v>
      </c>
      <c r="G12654">
        <f>LOG(382/(17+1))</f>
        <v>1.3267908578084027</v>
      </c>
      <c r="H12654">
        <f>0.0138888888888888*3.05504885071041</f>
        <v>4.243123403764431E-2</v>
      </c>
      <c r="I12654">
        <v>4.2431234037644587E-2</v>
      </c>
    </row>
    <row r="12655" spans="1:9" x14ac:dyDescent="0.25">
      <c r="A12655">
        <v>456</v>
      </c>
      <c r="B12655" t="s">
        <v>3653</v>
      </c>
      <c r="C12655" t="s">
        <v>75</v>
      </c>
      <c r="D12655" t="s">
        <v>1537</v>
      </c>
      <c r="E12655">
        <f>2/72</f>
        <v>2.7777777777777776E-2</v>
      </c>
      <c r="F12655">
        <v>80</v>
      </c>
      <c r="G12655">
        <f>LOG(382/(80+1))</f>
        <v>0.67357834403305894</v>
      </c>
      <c r="H12655">
        <f>0.0277777777777777*1.55097145393413</f>
        <v>4.3082540387059047E-2</v>
      </c>
      <c r="I12655">
        <v>4.3082540387059338E-2</v>
      </c>
    </row>
    <row r="12656" spans="1:9" x14ac:dyDescent="0.25">
      <c r="A12656">
        <v>456</v>
      </c>
      <c r="B12656" t="s">
        <v>3653</v>
      </c>
      <c r="C12656" t="s">
        <v>75</v>
      </c>
      <c r="D12656" t="s">
        <v>362</v>
      </c>
      <c r="E12656">
        <f>1/72</f>
        <v>1.3888888888888888E-2</v>
      </c>
      <c r="F12656">
        <v>81</v>
      </c>
      <c r="G12656">
        <f>LOG(382/(81+1))</f>
        <v>0.66824951052799197</v>
      </c>
      <c r="H12656">
        <f>0.0138888888888888*1.53870136134232</f>
        <v>2.1370852240865417E-2</v>
      </c>
      <c r="I12656">
        <v>2.137085224086558E-2</v>
      </c>
    </row>
    <row r="12657" spans="1:9" x14ac:dyDescent="0.25">
      <c r="A12657">
        <v>456</v>
      </c>
      <c r="B12657" t="s">
        <v>3653</v>
      </c>
      <c r="C12657" t="s">
        <v>75</v>
      </c>
      <c r="D12657" t="s">
        <v>1769</v>
      </c>
      <c r="E12657">
        <f>2/72</f>
        <v>2.7777777777777776E-2</v>
      </c>
      <c r="F12657">
        <v>84</v>
      </c>
      <c r="G12657">
        <f>LOG(382/(84+1))</f>
        <v>0.65264443719741605</v>
      </c>
      <c r="H12657">
        <f>0.0277777777777777*1.50276935211625</f>
        <v>4.1743593114340158E-2</v>
      </c>
      <c r="I12657">
        <v>4.1743593114340519E-2</v>
      </c>
    </row>
    <row r="12658" spans="1:9" x14ac:dyDescent="0.25">
      <c r="A12658">
        <v>456</v>
      </c>
      <c r="B12658" t="s">
        <v>3653</v>
      </c>
      <c r="C12658" t="s">
        <v>75</v>
      </c>
      <c r="D12658" t="s">
        <v>126</v>
      </c>
      <c r="E12658">
        <f t="shared" ref="E12658:E12700" si="601">1/72</f>
        <v>1.3888888888888888E-2</v>
      </c>
      <c r="F12658">
        <v>79</v>
      </c>
      <c r="G12658">
        <f>LOG(382/(79+1))</f>
        <v>0.67897337591976514</v>
      </c>
      <c r="H12658">
        <f>0.0138888888888888*1.56339397393269</f>
        <v>2.1713805193509444E-2</v>
      </c>
      <c r="I12658">
        <v>2.1713805193509631E-2</v>
      </c>
    </row>
    <row r="12659" spans="1:9" x14ac:dyDescent="0.25">
      <c r="A12659">
        <v>456</v>
      </c>
      <c r="B12659" t="s">
        <v>3653</v>
      </c>
      <c r="C12659" t="s">
        <v>75</v>
      </c>
      <c r="D12659" t="s">
        <v>2067</v>
      </c>
      <c r="E12659">
        <f t="shared" si="601"/>
        <v>1.3888888888888888E-2</v>
      </c>
      <c r="F12659">
        <v>6</v>
      </c>
      <c r="G12659">
        <f>LOG(382/(6+1))</f>
        <v>1.736965322897452</v>
      </c>
      <c r="H12659">
        <f>0.0138888888888888*3.99951045955126</f>
        <v>5.554875638265603E-2</v>
      </c>
      <c r="I12659">
        <v>5.5548756382656411E-2</v>
      </c>
    </row>
    <row r="12660" spans="1:9" x14ac:dyDescent="0.25">
      <c r="A12660">
        <v>456</v>
      </c>
      <c r="B12660" t="s">
        <v>3653</v>
      </c>
      <c r="C12660" t="s">
        <v>75</v>
      </c>
      <c r="D12660" t="s">
        <v>1546</v>
      </c>
      <c r="E12660">
        <f t="shared" si="601"/>
        <v>1.3888888888888888E-2</v>
      </c>
      <c r="F12660">
        <v>44</v>
      </c>
      <c r="G12660">
        <f>LOG(382/(44+1))</f>
        <v>0.92885084913636506</v>
      </c>
      <c r="H12660">
        <f>0.0138888888888888*2.13875811883625</f>
        <v>2.9704973872725502E-2</v>
      </c>
      <c r="I12660">
        <v>2.9704973872725769E-2</v>
      </c>
    </row>
    <row r="12661" spans="1:9" x14ac:dyDescent="0.25">
      <c r="A12661">
        <v>456</v>
      </c>
      <c r="B12661" t="s">
        <v>3653</v>
      </c>
      <c r="C12661" t="s">
        <v>75</v>
      </c>
      <c r="D12661" t="s">
        <v>3657</v>
      </c>
      <c r="E12661">
        <f t="shared" si="601"/>
        <v>1.3888888888888888E-2</v>
      </c>
      <c r="F12661">
        <v>1</v>
      </c>
      <c r="G12661">
        <f>LOG(382/(1+1))</f>
        <v>2.2810333672477277</v>
      </c>
      <c r="H12661">
        <f>0.0138888888888888*5.25227342804663</f>
        <v>7.294824205620272E-2</v>
      </c>
      <c r="I12661">
        <v>7.2948242056203191E-2</v>
      </c>
    </row>
    <row r="12662" spans="1:9" x14ac:dyDescent="0.25">
      <c r="A12662">
        <v>456</v>
      </c>
      <c r="B12662" t="s">
        <v>3653</v>
      </c>
      <c r="C12662" t="s">
        <v>75</v>
      </c>
      <c r="D12662" t="s">
        <v>3658</v>
      </c>
      <c r="E12662">
        <f t="shared" si="601"/>
        <v>1.3888888888888888E-2</v>
      </c>
      <c r="F12662">
        <v>1</v>
      </c>
      <c r="G12662">
        <f>LOG(382/(1+1))</f>
        <v>2.2810333672477277</v>
      </c>
      <c r="H12662">
        <f>0.0138888888888888*5.25227342804663</f>
        <v>7.294824205620272E-2</v>
      </c>
      <c r="I12662">
        <v>7.2948242056203191E-2</v>
      </c>
    </row>
    <row r="12663" spans="1:9" x14ac:dyDescent="0.25">
      <c r="A12663">
        <v>456</v>
      </c>
      <c r="B12663" t="s">
        <v>3653</v>
      </c>
      <c r="C12663" t="s">
        <v>75</v>
      </c>
      <c r="D12663" t="s">
        <v>3378</v>
      </c>
      <c r="E12663">
        <f t="shared" si="601"/>
        <v>1.3888888888888888E-2</v>
      </c>
      <c r="F12663">
        <v>5</v>
      </c>
      <c r="G12663">
        <f>LOG(382/(5+1))</f>
        <v>1.803912112528065</v>
      </c>
      <c r="H12663">
        <f>0.0138888888888888*4.15366113937852</f>
        <v>5.7689738046923518E-2</v>
      </c>
      <c r="I12663">
        <v>5.7689738046923893E-2</v>
      </c>
    </row>
    <row r="12664" spans="1:9" x14ac:dyDescent="0.25">
      <c r="A12664">
        <v>456</v>
      </c>
      <c r="B12664" t="s">
        <v>3653</v>
      </c>
      <c r="C12664" t="s">
        <v>75</v>
      </c>
      <c r="D12664" t="s">
        <v>3659</v>
      </c>
      <c r="E12664">
        <f t="shared" si="601"/>
        <v>1.3888888888888888E-2</v>
      </c>
      <c r="F12664">
        <v>1</v>
      </c>
      <c r="G12664">
        <f>LOG(382/(1+1))</f>
        <v>2.2810333672477277</v>
      </c>
      <c r="H12664">
        <f>0.0138888888888888*5.25227342804663</f>
        <v>7.294824205620272E-2</v>
      </c>
      <c r="I12664">
        <v>7.2948242056203191E-2</v>
      </c>
    </row>
    <row r="12665" spans="1:9" x14ac:dyDescent="0.25">
      <c r="A12665">
        <v>456</v>
      </c>
      <c r="B12665" t="s">
        <v>3653</v>
      </c>
      <c r="C12665" t="s">
        <v>75</v>
      </c>
      <c r="D12665" t="s">
        <v>3660</v>
      </c>
      <c r="E12665">
        <f t="shared" si="601"/>
        <v>1.3888888888888888E-2</v>
      </c>
      <c r="F12665">
        <v>2</v>
      </c>
      <c r="G12665">
        <f>LOG(382/(2+1))</f>
        <v>2.1049421081920463</v>
      </c>
      <c r="H12665">
        <f>0.0138888888888888*4.84680831993846</f>
        <v>6.7316782221367069E-2</v>
      </c>
      <c r="I12665">
        <v>6.7316782221367569E-2</v>
      </c>
    </row>
    <row r="12666" spans="1:9" x14ac:dyDescent="0.25">
      <c r="A12666">
        <v>456</v>
      </c>
      <c r="B12666" t="s">
        <v>3653</v>
      </c>
      <c r="C12666" t="s">
        <v>75</v>
      </c>
      <c r="D12666" t="s">
        <v>3661</v>
      </c>
      <c r="E12666">
        <f t="shared" si="601"/>
        <v>1.3888888888888888E-2</v>
      </c>
      <c r="F12666">
        <v>1</v>
      </c>
      <c r="G12666">
        <f>LOG(382/(1+1))</f>
        <v>2.2810333672477277</v>
      </c>
      <c r="H12666">
        <f>0.0138888888888888*5.25227342804663</f>
        <v>7.294824205620272E-2</v>
      </c>
      <c r="I12666">
        <v>7.2948242056203191E-2</v>
      </c>
    </row>
    <row r="12667" spans="1:9" x14ac:dyDescent="0.25">
      <c r="A12667">
        <v>456</v>
      </c>
      <c r="B12667" t="s">
        <v>3653</v>
      </c>
      <c r="C12667" t="s">
        <v>75</v>
      </c>
      <c r="D12667" t="s">
        <v>1730</v>
      </c>
      <c r="E12667">
        <f t="shared" si="601"/>
        <v>1.3888888888888888E-2</v>
      </c>
      <c r="F12667">
        <v>35</v>
      </c>
      <c r="G12667">
        <f>LOG(382/(35+1))</f>
        <v>1.0257608621444214</v>
      </c>
      <c r="H12667">
        <f>0.0138888888888888*2.36190167015046</f>
        <v>3.2804189863200627E-2</v>
      </c>
      <c r="I12667">
        <v>3.2804189863200897E-2</v>
      </c>
    </row>
    <row r="12668" spans="1:9" x14ac:dyDescent="0.25">
      <c r="A12668">
        <v>456</v>
      </c>
      <c r="B12668" t="s">
        <v>3653</v>
      </c>
      <c r="C12668" t="s">
        <v>75</v>
      </c>
      <c r="D12668" t="s">
        <v>1550</v>
      </c>
      <c r="E12668">
        <f t="shared" si="601"/>
        <v>1.3888888888888888E-2</v>
      </c>
      <c r="F12668">
        <v>16</v>
      </c>
      <c r="G12668">
        <f>LOG(382/(16+1))</f>
        <v>1.3516144415334348</v>
      </c>
      <c r="H12668">
        <f>0.0138888888888888*3.11220726455035</f>
        <v>4.3225100896532358E-2</v>
      </c>
      <c r="I12668">
        <v>4.322510089653276E-2</v>
      </c>
    </row>
    <row r="12669" spans="1:9" x14ac:dyDescent="0.25">
      <c r="A12669">
        <v>456</v>
      </c>
      <c r="B12669" t="s">
        <v>3653</v>
      </c>
      <c r="C12669" t="s">
        <v>75</v>
      </c>
      <c r="D12669" t="s">
        <v>2238</v>
      </c>
      <c r="E12669">
        <f t="shared" si="601"/>
        <v>1.3888888888888888E-2</v>
      </c>
      <c r="F12669">
        <v>68</v>
      </c>
      <c r="G12669">
        <f>LOG(382/(68+1))</f>
        <v>0.74321427217445335</v>
      </c>
      <c r="H12669">
        <f>0.0138888888888888*1.71131410400931</f>
        <v>2.3768251444573597E-2</v>
      </c>
      <c r="I12669">
        <v>2.376825144457383E-2</v>
      </c>
    </row>
    <row r="12670" spans="1:9" x14ac:dyDescent="0.25">
      <c r="A12670">
        <v>456</v>
      </c>
      <c r="B12670" t="s">
        <v>3653</v>
      </c>
      <c r="C12670" t="s">
        <v>75</v>
      </c>
      <c r="D12670" t="s">
        <v>3662</v>
      </c>
      <c r="E12670">
        <f t="shared" si="601"/>
        <v>1.3888888888888888E-2</v>
      </c>
      <c r="F12670">
        <v>3</v>
      </c>
      <c r="G12670">
        <f>LOG(382/(3+1))</f>
        <v>1.9800033715837464</v>
      </c>
      <c r="H12670">
        <f>0.0138888888888888*4.55912624748668</f>
        <v>6.3321197881759037E-2</v>
      </c>
      <c r="I12670">
        <v>6.3321197881759508E-2</v>
      </c>
    </row>
    <row r="12671" spans="1:9" x14ac:dyDescent="0.25">
      <c r="A12671">
        <v>456</v>
      </c>
      <c r="B12671" t="s">
        <v>3653</v>
      </c>
      <c r="C12671" t="s">
        <v>75</v>
      </c>
      <c r="D12671" t="s">
        <v>3014</v>
      </c>
      <c r="E12671">
        <f t="shared" si="601"/>
        <v>1.3888888888888888E-2</v>
      </c>
      <c r="F12671">
        <v>11</v>
      </c>
      <c r="G12671">
        <f>LOG(382/(11+1))</f>
        <v>1.5028821168640838</v>
      </c>
      <c r="H12671">
        <f>0.0138888888888888*3.46051395881857</f>
        <v>4.8062693872479828E-2</v>
      </c>
      <c r="I12671">
        <v>4.8062693872480203E-2</v>
      </c>
    </row>
    <row r="12672" spans="1:9" x14ac:dyDescent="0.25">
      <c r="A12672">
        <v>456</v>
      </c>
      <c r="B12672" t="s">
        <v>3653</v>
      </c>
      <c r="C12672" t="s">
        <v>75</v>
      </c>
      <c r="D12672" t="s">
        <v>1345</v>
      </c>
      <c r="E12672">
        <f t="shared" si="601"/>
        <v>1.3888888888888888E-2</v>
      </c>
      <c r="F12672">
        <v>8</v>
      </c>
      <c r="G12672">
        <f>LOG(382/(8+1))</f>
        <v>1.6278208534723839</v>
      </c>
      <c r="H12672">
        <f>0.0138888888888888*3.74819603127035</f>
        <v>5.2058278212087861E-2</v>
      </c>
      <c r="I12672">
        <v>5.205827821208827E-2</v>
      </c>
    </row>
    <row r="12673" spans="1:9" x14ac:dyDescent="0.25">
      <c r="A12673">
        <v>456</v>
      </c>
      <c r="B12673" t="s">
        <v>3653</v>
      </c>
      <c r="C12673" t="s">
        <v>75</v>
      </c>
      <c r="D12673" t="s">
        <v>3663</v>
      </c>
      <c r="E12673">
        <f t="shared" si="601"/>
        <v>1.3888888888888888E-2</v>
      </c>
      <c r="F12673">
        <v>2</v>
      </c>
      <c r="G12673">
        <f>LOG(382/(2+1))</f>
        <v>2.1049421081920463</v>
      </c>
      <c r="H12673">
        <f>0.0138888888888888*4.84680831993846</f>
        <v>6.7316782221367069E-2</v>
      </c>
      <c r="I12673">
        <v>6.7316782221367569E-2</v>
      </c>
    </row>
    <row r="12674" spans="1:9" x14ac:dyDescent="0.25">
      <c r="A12674">
        <v>456</v>
      </c>
      <c r="B12674" t="s">
        <v>3653</v>
      </c>
      <c r="C12674" t="s">
        <v>75</v>
      </c>
      <c r="D12674" t="s">
        <v>237</v>
      </c>
      <c r="E12674">
        <f t="shared" si="601"/>
        <v>1.3888888888888888E-2</v>
      </c>
      <c r="F12674">
        <v>138</v>
      </c>
      <c r="G12674">
        <f>LOG(382/(138+1))</f>
        <v>0.43904856265761361</v>
      </c>
      <c r="H12674">
        <f>0.0138888888888888*1.01094667547588</f>
        <v>1.4040926048276021E-2</v>
      </c>
      <c r="I12674">
        <v>1.404092604827616E-2</v>
      </c>
    </row>
    <row r="12675" spans="1:9" x14ac:dyDescent="0.25">
      <c r="A12675">
        <v>456</v>
      </c>
      <c r="B12675" t="s">
        <v>3653</v>
      </c>
      <c r="C12675" t="s">
        <v>75</v>
      </c>
      <c r="D12675" t="s">
        <v>3664</v>
      </c>
      <c r="E12675">
        <f t="shared" si="601"/>
        <v>1.3888888888888888E-2</v>
      </c>
      <c r="F12675">
        <v>1</v>
      </c>
      <c r="G12675">
        <f>LOG(382/(1+1))</f>
        <v>2.2810333672477277</v>
      </c>
      <c r="H12675">
        <f>0.0138888888888888*5.25227342804663</f>
        <v>7.294824205620272E-2</v>
      </c>
      <c r="I12675">
        <v>7.2948242056203191E-2</v>
      </c>
    </row>
    <row r="12676" spans="1:9" x14ac:dyDescent="0.25">
      <c r="A12676">
        <v>456</v>
      </c>
      <c r="B12676" t="s">
        <v>3653</v>
      </c>
      <c r="C12676" t="s">
        <v>75</v>
      </c>
      <c r="D12676" t="s">
        <v>3665</v>
      </c>
      <c r="E12676">
        <f t="shared" si="601"/>
        <v>1.3888888888888888E-2</v>
      </c>
      <c r="F12676">
        <v>1</v>
      </c>
      <c r="G12676">
        <f>LOG(382/(1+1))</f>
        <v>2.2810333672477277</v>
      </c>
      <c r="H12676">
        <f>0.0138888888888888*5.25227342804663</f>
        <v>7.294824205620272E-2</v>
      </c>
      <c r="I12676">
        <v>7.2948242056203191E-2</v>
      </c>
    </row>
    <row r="12677" spans="1:9" x14ac:dyDescent="0.25">
      <c r="A12677">
        <v>456</v>
      </c>
      <c r="B12677" t="s">
        <v>3653</v>
      </c>
      <c r="C12677" t="s">
        <v>75</v>
      </c>
      <c r="D12677" t="s">
        <v>3403</v>
      </c>
      <c r="E12677">
        <f t="shared" si="601"/>
        <v>1.3888888888888888E-2</v>
      </c>
      <c r="F12677">
        <v>5</v>
      </c>
      <c r="G12677">
        <f>LOG(382/(5+1))</f>
        <v>1.803912112528065</v>
      </c>
      <c r="H12677">
        <f>0.0138888888888888*4.15366113937852</f>
        <v>5.7689738046923518E-2</v>
      </c>
      <c r="I12677">
        <v>5.7689738046923893E-2</v>
      </c>
    </row>
    <row r="12678" spans="1:9" x14ac:dyDescent="0.25">
      <c r="A12678">
        <v>456</v>
      </c>
      <c r="B12678" t="s">
        <v>3653</v>
      </c>
      <c r="C12678" t="s">
        <v>75</v>
      </c>
      <c r="D12678" t="s">
        <v>3404</v>
      </c>
      <c r="E12678">
        <f t="shared" si="601"/>
        <v>1.3888888888888888E-2</v>
      </c>
      <c r="F12678">
        <v>5</v>
      </c>
      <c r="G12678">
        <f>LOG(382/(5+1))</f>
        <v>1.803912112528065</v>
      </c>
      <c r="H12678">
        <f>0.0138888888888888*4.15366113937852</f>
        <v>5.7689738046923518E-2</v>
      </c>
      <c r="I12678">
        <v>5.7689738046923893E-2</v>
      </c>
    </row>
    <row r="12679" spans="1:9" x14ac:dyDescent="0.25">
      <c r="A12679">
        <v>456</v>
      </c>
      <c r="B12679" t="s">
        <v>3653</v>
      </c>
      <c r="C12679" t="s">
        <v>75</v>
      </c>
      <c r="D12679" t="s">
        <v>3666</v>
      </c>
      <c r="E12679">
        <f t="shared" si="601"/>
        <v>1.3888888888888888E-2</v>
      </c>
      <c r="F12679">
        <v>1</v>
      </c>
      <c r="G12679">
        <f>LOG(382/(1+1))</f>
        <v>2.2810333672477277</v>
      </c>
      <c r="H12679">
        <f>0.0138888888888888*5.25227342804663</f>
        <v>7.294824205620272E-2</v>
      </c>
      <c r="I12679">
        <v>7.2948242056203191E-2</v>
      </c>
    </row>
    <row r="12680" spans="1:9" x14ac:dyDescent="0.25">
      <c r="A12680">
        <v>456</v>
      </c>
      <c r="B12680" t="s">
        <v>3653</v>
      </c>
      <c r="C12680" t="s">
        <v>75</v>
      </c>
      <c r="D12680" t="s">
        <v>204</v>
      </c>
      <c r="E12680">
        <f t="shared" si="601"/>
        <v>1.3888888888888888E-2</v>
      </c>
      <c r="F12680">
        <v>166</v>
      </c>
      <c r="G12680">
        <f>LOG(382/(166+1))</f>
        <v>0.35934689176412549</v>
      </c>
      <c r="H12680">
        <f>0.0138888888888888*0.82742679618982</f>
        <v>1.1492038835969647E-2</v>
      </c>
      <c r="I12680">
        <v>1.149203883596972E-2</v>
      </c>
    </row>
    <row r="12681" spans="1:9" x14ac:dyDescent="0.25">
      <c r="A12681">
        <v>456</v>
      </c>
      <c r="B12681" t="s">
        <v>3653</v>
      </c>
      <c r="C12681" t="s">
        <v>75</v>
      </c>
      <c r="D12681" t="s">
        <v>76</v>
      </c>
      <c r="E12681">
        <f t="shared" si="601"/>
        <v>1.3888888888888888E-2</v>
      </c>
      <c r="F12681">
        <v>140</v>
      </c>
      <c r="G12681">
        <f>LOG(382/(140+1))</f>
        <v>0.43284425025632883</v>
      </c>
      <c r="H12681">
        <f>0.0138888888888888*0.996660718228407</f>
        <v>1.3842509975394452E-2</v>
      </c>
      <c r="I12681">
        <v>1.3842509975394541E-2</v>
      </c>
    </row>
    <row r="12682" spans="1:9" x14ac:dyDescent="0.25">
      <c r="A12682">
        <v>456</v>
      </c>
      <c r="B12682" t="s">
        <v>3653</v>
      </c>
      <c r="C12682" t="s">
        <v>75</v>
      </c>
      <c r="D12682" t="s">
        <v>77</v>
      </c>
      <c r="E12682">
        <f t="shared" si="601"/>
        <v>1.3888888888888888E-2</v>
      </c>
      <c r="F12682">
        <v>148</v>
      </c>
      <c r="G12682">
        <f>LOG(382/(148+1))</f>
        <v>0.40887709449943471</v>
      </c>
      <c r="H12682">
        <f>0.0138888888888888*0.941474302661116</f>
        <v>1.3076031981404305E-2</v>
      </c>
      <c r="I12682">
        <v>1.307603198140439E-2</v>
      </c>
    </row>
    <row r="12683" spans="1:9" x14ac:dyDescent="0.25">
      <c r="A12683">
        <v>456</v>
      </c>
      <c r="B12683" t="s">
        <v>3653</v>
      </c>
      <c r="C12683" t="s">
        <v>75</v>
      </c>
      <c r="D12683" t="s">
        <v>78</v>
      </c>
      <c r="E12683">
        <f t="shared" si="601"/>
        <v>1.3888888888888888E-2</v>
      </c>
      <c r="F12683">
        <v>122</v>
      </c>
      <c r="G12683">
        <f>LOG(382/(122+1))</f>
        <v>0.49215825147231079</v>
      </c>
      <c r="H12683">
        <f>0.0138888888888888*1.13323625323415</f>
        <v>1.573939240602976E-2</v>
      </c>
      <c r="I12683">
        <v>1.5739392406029961E-2</v>
      </c>
    </row>
    <row r="12684" spans="1:9" x14ac:dyDescent="0.25">
      <c r="A12684">
        <v>456</v>
      </c>
      <c r="B12684" t="s">
        <v>3653</v>
      </c>
      <c r="C12684" t="s">
        <v>75</v>
      </c>
      <c r="D12684" t="s">
        <v>754</v>
      </c>
      <c r="E12684">
        <f t="shared" si="601"/>
        <v>1.3888888888888888E-2</v>
      </c>
      <c r="F12684">
        <v>111</v>
      </c>
      <c r="G12684">
        <f>LOG(382/(111+1))</f>
        <v>0.53284534024152708</v>
      </c>
      <c r="H12684">
        <f>0.0138888888888888*1.22692173731148</f>
        <v>1.7040579684881558E-2</v>
      </c>
      <c r="I12684">
        <v>1.7040579684881679E-2</v>
      </c>
    </row>
    <row r="12685" spans="1:9" x14ac:dyDescent="0.25">
      <c r="A12685">
        <v>456</v>
      </c>
      <c r="B12685" t="s">
        <v>3653</v>
      </c>
      <c r="C12685" t="s">
        <v>75</v>
      </c>
      <c r="D12685" t="s">
        <v>994</v>
      </c>
      <c r="E12685">
        <f t="shared" si="601"/>
        <v>1.3888888888888888E-2</v>
      </c>
      <c r="F12685">
        <v>37</v>
      </c>
      <c r="G12685">
        <f>LOG(382/(37+1))</f>
        <v>1.0022797662948986</v>
      </c>
      <c r="H12685">
        <f>0.0138888888888888*2.30783444888018</f>
        <v>3.2053256234446735E-2</v>
      </c>
      <c r="I12685">
        <v>3.2053256234447068E-2</v>
      </c>
    </row>
    <row r="12686" spans="1:9" x14ac:dyDescent="0.25">
      <c r="A12686">
        <v>456</v>
      </c>
      <c r="B12686" t="s">
        <v>3653</v>
      </c>
      <c r="C12686" t="s">
        <v>75</v>
      </c>
      <c r="D12686" t="s">
        <v>3667</v>
      </c>
      <c r="E12686">
        <f t="shared" si="601"/>
        <v>1.3888888888888888E-2</v>
      </c>
      <c r="F12686">
        <v>1</v>
      </c>
      <c r="G12686">
        <f>LOG(382/(1+1))</f>
        <v>2.2810333672477277</v>
      </c>
      <c r="H12686">
        <f>0.0138888888888888*5.25227342804663</f>
        <v>7.294824205620272E-2</v>
      </c>
      <c r="I12686">
        <v>7.2948242056203191E-2</v>
      </c>
    </row>
    <row r="12687" spans="1:9" x14ac:dyDescent="0.25">
      <c r="A12687">
        <v>456</v>
      </c>
      <c r="B12687" t="s">
        <v>3653</v>
      </c>
      <c r="C12687" t="s">
        <v>75</v>
      </c>
      <c r="D12687" t="s">
        <v>1083</v>
      </c>
      <c r="E12687">
        <f t="shared" si="601"/>
        <v>1.3888888888888888E-2</v>
      </c>
      <c r="F12687">
        <v>51</v>
      </c>
      <c r="G12687">
        <f>LOG(382/(51+1))</f>
        <v>0.86606001927690957</v>
      </c>
      <c r="H12687">
        <f>0.0138888888888888*1.99417689002514</f>
        <v>2.7696901250348988E-2</v>
      </c>
      <c r="I12687">
        <v>2.7696901250349269E-2</v>
      </c>
    </row>
    <row r="12688" spans="1:9" x14ac:dyDescent="0.25">
      <c r="A12688">
        <v>456</v>
      </c>
      <c r="B12688" t="s">
        <v>3653</v>
      </c>
      <c r="C12688" t="s">
        <v>75</v>
      </c>
      <c r="D12688" t="s">
        <v>133</v>
      </c>
      <c r="E12688">
        <f t="shared" si="601"/>
        <v>1.3888888888888888E-2</v>
      </c>
      <c r="F12688">
        <v>142</v>
      </c>
      <c r="G12688">
        <f>LOG(382/(142+1))</f>
        <v>0.42672732544664693</v>
      </c>
      <c r="H12688">
        <f>0.0138888888888888*0.982575978346667</f>
        <v>1.3646888588148064E-2</v>
      </c>
      <c r="I12688">
        <v>1.364688858814816E-2</v>
      </c>
    </row>
    <row r="12689" spans="1:9" x14ac:dyDescent="0.25">
      <c r="A12689">
        <v>456</v>
      </c>
      <c r="B12689" t="s">
        <v>3653</v>
      </c>
      <c r="C12689" t="s">
        <v>75</v>
      </c>
      <c r="D12689" t="s">
        <v>3668</v>
      </c>
      <c r="E12689">
        <f t="shared" si="601"/>
        <v>1.3888888888888888E-2</v>
      </c>
      <c r="F12689">
        <v>1</v>
      </c>
      <c r="G12689">
        <f>LOG(382/(1+1))</f>
        <v>2.2810333672477277</v>
      </c>
      <c r="H12689">
        <f>0.0138888888888888*5.25227342804663</f>
        <v>7.294824205620272E-2</v>
      </c>
      <c r="I12689">
        <v>7.2948242056203191E-2</v>
      </c>
    </row>
    <row r="12690" spans="1:9" x14ac:dyDescent="0.25">
      <c r="A12690">
        <v>456</v>
      </c>
      <c r="B12690" t="s">
        <v>3653</v>
      </c>
      <c r="C12690" t="s">
        <v>75</v>
      </c>
      <c r="D12690" t="s">
        <v>243</v>
      </c>
      <c r="E12690">
        <f t="shared" si="601"/>
        <v>1.3888888888888888E-2</v>
      </c>
      <c r="F12690">
        <v>131</v>
      </c>
      <c r="G12690">
        <f>LOG(382/(131+1))</f>
        <v>0.46148943170585888</v>
      </c>
      <c r="H12690">
        <f>0.0138888888888888*1.0626186860202</f>
        <v>1.4758592861391572E-2</v>
      </c>
      <c r="I12690">
        <v>1.4758592861391719E-2</v>
      </c>
    </row>
    <row r="12691" spans="1:9" x14ac:dyDescent="0.25">
      <c r="A12691">
        <v>456</v>
      </c>
      <c r="B12691" t="s">
        <v>3653</v>
      </c>
      <c r="C12691" t="s">
        <v>75</v>
      </c>
      <c r="D12691" t="s">
        <v>770</v>
      </c>
      <c r="E12691">
        <f t="shared" si="601"/>
        <v>1.3888888888888888E-2</v>
      </c>
      <c r="F12691">
        <v>47</v>
      </c>
      <c r="G12691">
        <f>LOG(382/(47+1))</f>
        <v>0.90082212553612151</v>
      </c>
      <c r="H12691">
        <f>0.0138888888888888*2.07421959769868</f>
        <v>2.8808605523592594E-2</v>
      </c>
      <c r="I12691">
        <v>2.880860552359283E-2</v>
      </c>
    </row>
    <row r="12692" spans="1:9" x14ac:dyDescent="0.25">
      <c r="A12692">
        <v>456</v>
      </c>
      <c r="B12692" t="s">
        <v>3653</v>
      </c>
      <c r="C12692" t="s">
        <v>75</v>
      </c>
      <c r="D12692" t="s">
        <v>307</v>
      </c>
      <c r="E12692">
        <f t="shared" si="601"/>
        <v>1.3888888888888888E-2</v>
      </c>
      <c r="F12692">
        <v>67</v>
      </c>
      <c r="G12692">
        <f>LOG(382/(67+1))</f>
        <v>0.7495544502054724</v>
      </c>
      <c r="H12692">
        <f>0.0138888888888888*1.72591290343046</f>
        <v>2.3971012547645124E-2</v>
      </c>
      <c r="I12692">
        <v>2.3971012547645391E-2</v>
      </c>
    </row>
    <row r="12693" spans="1:9" x14ac:dyDescent="0.25">
      <c r="A12693">
        <v>456</v>
      </c>
      <c r="B12693" t="s">
        <v>3653</v>
      </c>
      <c r="C12693" t="s">
        <v>75</v>
      </c>
      <c r="D12693" t="s">
        <v>455</v>
      </c>
      <c r="E12693">
        <f t="shared" si="601"/>
        <v>1.3888888888888888E-2</v>
      </c>
      <c r="F12693">
        <v>78</v>
      </c>
      <c r="G12693">
        <f>LOG(382/(78+1))</f>
        <v>0.6844362716212673</v>
      </c>
      <c r="H12693">
        <f>0.0138888888888888*1.57597275613955</f>
        <v>2.1888510501938054E-2</v>
      </c>
      <c r="I12693">
        <v>2.1888510501938241E-2</v>
      </c>
    </row>
    <row r="12694" spans="1:9" x14ac:dyDescent="0.25">
      <c r="A12694">
        <v>456</v>
      </c>
      <c r="B12694" t="s">
        <v>3653</v>
      </c>
      <c r="C12694" t="s">
        <v>75</v>
      </c>
      <c r="D12694" t="s">
        <v>456</v>
      </c>
      <c r="E12694">
        <f t="shared" si="601"/>
        <v>1.3888888888888888E-2</v>
      </c>
      <c r="F12694">
        <v>71</v>
      </c>
      <c r="G12694">
        <f>LOG(382/(71+1))</f>
        <v>0.72473086648044027</v>
      </c>
      <c r="H12694">
        <f>0.0138888888888888*1.66875448959051</f>
        <v>2.3177145688756933E-2</v>
      </c>
      <c r="I12694">
        <v>2.3177145688757221E-2</v>
      </c>
    </row>
    <row r="12695" spans="1:9" x14ac:dyDescent="0.25">
      <c r="A12695">
        <v>456</v>
      </c>
      <c r="B12695" t="s">
        <v>3653</v>
      </c>
      <c r="C12695" t="s">
        <v>75</v>
      </c>
      <c r="D12695" t="s">
        <v>81</v>
      </c>
      <c r="E12695">
        <f t="shared" si="601"/>
        <v>1.3888888888888888E-2</v>
      </c>
      <c r="F12695">
        <v>114</v>
      </c>
      <c r="G12695">
        <f>LOG(382/(114+1))</f>
        <v>0.52136552255809698</v>
      </c>
      <c r="H12695">
        <f>0.0138888888888888*1.20048848024332</f>
        <v>1.6673451114490447E-2</v>
      </c>
      <c r="I12695">
        <v>1.6673451114490621E-2</v>
      </c>
    </row>
    <row r="12696" spans="1:9" x14ac:dyDescent="0.25">
      <c r="A12696">
        <v>456</v>
      </c>
      <c r="B12696" t="s">
        <v>3653</v>
      </c>
      <c r="C12696" t="s">
        <v>75</v>
      </c>
      <c r="D12696" t="s">
        <v>458</v>
      </c>
      <c r="E12696">
        <f t="shared" si="601"/>
        <v>1.3888888888888888E-2</v>
      </c>
      <c r="F12696">
        <v>34</v>
      </c>
      <c r="G12696">
        <f>LOG(382/(34+1))</f>
        <v>1.037995318561433</v>
      </c>
      <c r="H12696">
        <f>0.0138888888888888*2.39007254711716</f>
        <v>3.3195452043293674E-2</v>
      </c>
      <c r="I12696">
        <v>3.3195452043293897E-2</v>
      </c>
    </row>
    <row r="12697" spans="1:9" x14ac:dyDescent="0.25">
      <c r="A12697">
        <v>456</v>
      </c>
      <c r="B12697" t="s">
        <v>3653</v>
      </c>
      <c r="C12697" t="s">
        <v>75</v>
      </c>
      <c r="D12697" t="s">
        <v>459</v>
      </c>
      <c r="E12697">
        <f t="shared" si="601"/>
        <v>1.3888888888888888E-2</v>
      </c>
      <c r="F12697">
        <v>14</v>
      </c>
      <c r="G12697">
        <f>LOG(382/(14+1))</f>
        <v>1.4059721038560276</v>
      </c>
      <c r="H12697">
        <f>0.0138888888888888*3.23737040750436</f>
        <v>4.4963477882004707E-2</v>
      </c>
      <c r="I12697">
        <v>4.4963477882005068E-2</v>
      </c>
    </row>
    <row r="12698" spans="1:9" x14ac:dyDescent="0.25">
      <c r="A12698">
        <v>456</v>
      </c>
      <c r="B12698" t="s">
        <v>3653</v>
      </c>
      <c r="C12698" t="s">
        <v>75</v>
      </c>
      <c r="D12698" t="s">
        <v>773</v>
      </c>
      <c r="E12698">
        <f t="shared" si="601"/>
        <v>1.3888888888888888E-2</v>
      </c>
      <c r="F12698">
        <v>10</v>
      </c>
      <c r="G12698">
        <f>LOG(382/(10+1))</f>
        <v>1.5406706777534838</v>
      </c>
      <c r="H12698">
        <f>0.0138888888888888*3.5475253358082</f>
        <v>4.927118521955802E-2</v>
      </c>
      <c r="I12698">
        <v>4.9271185219558387E-2</v>
      </c>
    </row>
    <row r="12699" spans="1:9" x14ac:dyDescent="0.25">
      <c r="A12699">
        <v>456</v>
      </c>
      <c r="B12699" t="s">
        <v>3653</v>
      </c>
      <c r="C12699" t="s">
        <v>75</v>
      </c>
      <c r="D12699" t="s">
        <v>772</v>
      </c>
      <c r="E12699">
        <f t="shared" si="601"/>
        <v>1.3888888888888888E-2</v>
      </c>
      <c r="F12699">
        <v>31</v>
      </c>
      <c r="G12699">
        <f>LOG(382/(31+1))</f>
        <v>1.0769133845918029</v>
      </c>
      <c r="H12699">
        <f>0.0138888888888888*2.47968470580684</f>
        <v>3.4440065358428112E-2</v>
      </c>
      <c r="I12699">
        <v>3.4440065358428452E-2</v>
      </c>
    </row>
    <row r="12700" spans="1:9" x14ac:dyDescent="0.25">
      <c r="A12700">
        <v>456</v>
      </c>
      <c r="B12700" t="s">
        <v>3653</v>
      </c>
      <c r="C12700" t="s">
        <v>75</v>
      </c>
      <c r="D12700" t="s">
        <v>85</v>
      </c>
      <c r="E12700">
        <f t="shared" si="601"/>
        <v>1.3888888888888888E-2</v>
      </c>
      <c r="F12700">
        <v>13</v>
      </c>
      <c r="G12700">
        <f>LOG(382/(13+1))</f>
        <v>1.4359353272334707</v>
      </c>
      <c r="H12700">
        <f>0.0138888888888888*3.30636327899131</f>
        <v>4.5921712208212347E-2</v>
      </c>
      <c r="I12700">
        <v>4.5921712208212728E-2</v>
      </c>
    </row>
    <row r="12701" spans="1:9" x14ac:dyDescent="0.25">
      <c r="A12701">
        <v>457</v>
      </c>
      <c r="B12701" t="s">
        <v>3669</v>
      </c>
      <c r="C12701" t="s">
        <v>75</v>
      </c>
      <c r="D12701" t="s">
        <v>3670</v>
      </c>
      <c r="E12701">
        <f>4/70</f>
        <v>5.7142857142857141E-2</v>
      </c>
      <c r="F12701">
        <v>1</v>
      </c>
      <c r="G12701">
        <f>LOG(382/(1+1))</f>
        <v>2.2810333672477277</v>
      </c>
      <c r="H12701">
        <f>0.0571428571428571*5.25227342804663</f>
        <v>0.30012991017409291</v>
      </c>
      <c r="I12701">
        <v>0.30012991017409307</v>
      </c>
    </row>
    <row r="12702" spans="1:9" x14ac:dyDescent="0.25">
      <c r="A12702">
        <v>457</v>
      </c>
      <c r="B12702" t="s">
        <v>3669</v>
      </c>
      <c r="C12702" t="s">
        <v>75</v>
      </c>
      <c r="D12702" t="s">
        <v>616</v>
      </c>
      <c r="E12702">
        <f>3/70</f>
        <v>4.2857142857142858E-2</v>
      </c>
      <c r="F12702">
        <v>2</v>
      </c>
      <c r="G12702">
        <f>LOG(382/(2+1))</f>
        <v>2.1049421081920463</v>
      </c>
      <c r="H12702">
        <f>0.0428571428571428*4.84680831993846</f>
        <v>0.20772035656879087</v>
      </c>
      <c r="I12702">
        <v>0.2077203565687914</v>
      </c>
    </row>
    <row r="12703" spans="1:9" x14ac:dyDescent="0.25">
      <c r="A12703">
        <v>457</v>
      </c>
      <c r="B12703" t="s">
        <v>3669</v>
      </c>
      <c r="C12703" t="s">
        <v>75</v>
      </c>
      <c r="D12703" t="s">
        <v>3057</v>
      </c>
      <c r="E12703">
        <f>4/70</f>
        <v>5.7142857142857141E-2</v>
      </c>
      <c r="F12703">
        <v>7</v>
      </c>
      <c r="G12703">
        <f>LOG(382/(7+1))</f>
        <v>1.6789733759197651</v>
      </c>
      <c r="H12703">
        <f>0.0571428571428571*3.86597906692673</f>
        <v>0.22091308953867014</v>
      </c>
      <c r="I12703">
        <v>0.22091308953867081</v>
      </c>
    </row>
    <row r="12704" spans="1:9" x14ac:dyDescent="0.25">
      <c r="A12704">
        <v>457</v>
      </c>
      <c r="B12704" t="s">
        <v>3669</v>
      </c>
      <c r="C12704" t="s">
        <v>75</v>
      </c>
      <c r="D12704" t="s">
        <v>1783</v>
      </c>
      <c r="E12704">
        <f>4/70</f>
        <v>5.7142857142857141E-2</v>
      </c>
      <c r="F12704">
        <v>3</v>
      </c>
      <c r="G12704">
        <f>LOG(382/(3+1))</f>
        <v>1.9800033715837464</v>
      </c>
      <c r="H12704">
        <f>0.0571428571428571*4.55912624748668</f>
        <v>0.26052149985638151</v>
      </c>
      <c r="I12704">
        <v>0.26052149985638201</v>
      </c>
    </row>
    <row r="12705" spans="1:9" x14ac:dyDescent="0.25">
      <c r="A12705">
        <v>457</v>
      </c>
      <c r="B12705" t="s">
        <v>3669</v>
      </c>
      <c r="C12705" t="s">
        <v>75</v>
      </c>
      <c r="D12705" t="s">
        <v>408</v>
      </c>
      <c r="E12705">
        <f>3/70</f>
        <v>4.2857142857142858E-2</v>
      </c>
      <c r="F12705">
        <v>27</v>
      </c>
      <c r="G12705">
        <f>LOG(382/(27+1))</f>
        <v>1.1349053315694895</v>
      </c>
      <c r="H12705">
        <f>0.0428571428571428*2.61321609843137</f>
        <v>0.11199497564705857</v>
      </c>
      <c r="I12705">
        <v>0.11199497564705881</v>
      </c>
    </row>
    <row r="12706" spans="1:9" x14ac:dyDescent="0.25">
      <c r="A12706">
        <v>457</v>
      </c>
      <c r="B12706" t="s">
        <v>3669</v>
      </c>
      <c r="C12706" t="s">
        <v>75</v>
      </c>
      <c r="D12706" t="s">
        <v>2257</v>
      </c>
      <c r="E12706">
        <f>4/70</f>
        <v>5.7142857142857141E-2</v>
      </c>
      <c r="F12706">
        <v>11</v>
      </c>
      <c r="G12706">
        <f>LOG(382/(11+1))</f>
        <v>1.5028821168640838</v>
      </c>
      <c r="H12706">
        <f>0.0571428571428571*3.46051395881857</f>
        <v>0.19774365478963243</v>
      </c>
      <c r="I12706">
        <v>0.19774365478963291</v>
      </c>
    </row>
    <row r="12707" spans="1:9" x14ac:dyDescent="0.25">
      <c r="A12707">
        <v>457</v>
      </c>
      <c r="B12707" t="s">
        <v>3669</v>
      </c>
      <c r="C12707" t="s">
        <v>75</v>
      </c>
      <c r="D12707" t="s">
        <v>42</v>
      </c>
      <c r="E12707">
        <f>1/70</f>
        <v>1.4285714285714285E-2</v>
      </c>
      <c r="F12707">
        <v>251</v>
      </c>
      <c r="G12707">
        <f>LOG(382/(251+1))</f>
        <v>0.18066282213016463</v>
      </c>
      <c r="H12707">
        <f>0.0142857142857142*0.415991521095151</f>
        <v>5.942736015644978E-3</v>
      </c>
      <c r="I12707">
        <v>5.9427360156450266E-3</v>
      </c>
    </row>
    <row r="12708" spans="1:9" x14ac:dyDescent="0.25">
      <c r="A12708">
        <v>457</v>
      </c>
      <c r="B12708" t="s">
        <v>3669</v>
      </c>
      <c r="C12708" t="s">
        <v>75</v>
      </c>
      <c r="D12708" t="s">
        <v>3671</v>
      </c>
      <c r="E12708">
        <f>1/70</f>
        <v>1.4285714285714285E-2</v>
      </c>
      <c r="F12708">
        <v>1</v>
      </c>
      <c r="G12708">
        <f>LOG(382/(1+1))</f>
        <v>2.2810333672477277</v>
      </c>
      <c r="H12708">
        <f>0.0142857142857142*5.25227342804663</f>
        <v>7.5032477543522838E-2</v>
      </c>
      <c r="I12708">
        <v>7.5032477543523282E-2</v>
      </c>
    </row>
    <row r="12709" spans="1:9" x14ac:dyDescent="0.25">
      <c r="A12709">
        <v>457</v>
      </c>
      <c r="B12709" t="s">
        <v>3669</v>
      </c>
      <c r="C12709" t="s">
        <v>75</v>
      </c>
      <c r="D12709" t="s">
        <v>487</v>
      </c>
      <c r="E12709">
        <f>1/70</f>
        <v>1.4285714285714285E-2</v>
      </c>
      <c r="F12709">
        <v>32</v>
      </c>
      <c r="G12709">
        <f>LOG(382/(32+1))</f>
        <v>1.0635494230338212</v>
      </c>
      <c r="H12709">
        <f>0.0142857142857142*2.44891304714009</f>
        <v>3.4984472102001077E-2</v>
      </c>
      <c r="I12709">
        <v>3.4984472102001347E-2</v>
      </c>
    </row>
    <row r="12710" spans="1:9" x14ac:dyDescent="0.25">
      <c r="A12710">
        <v>457</v>
      </c>
      <c r="B12710" t="s">
        <v>3669</v>
      </c>
      <c r="C12710" t="s">
        <v>75</v>
      </c>
      <c r="D12710" t="s">
        <v>1060</v>
      </c>
      <c r="E12710">
        <f>1/70</f>
        <v>1.4285714285714285E-2</v>
      </c>
      <c r="F12710">
        <v>15</v>
      </c>
      <c r="G12710">
        <f>LOG(382/(15+1))</f>
        <v>1.3779433802557839</v>
      </c>
      <c r="H12710">
        <f>0.0142857142857142*3.17283188636679</f>
        <v>4.532616980523959E-2</v>
      </c>
      <c r="I12710">
        <v>4.5326169805239923E-2</v>
      </c>
    </row>
    <row r="12711" spans="1:9" x14ac:dyDescent="0.25">
      <c r="A12711">
        <v>457</v>
      </c>
      <c r="B12711" t="s">
        <v>3669</v>
      </c>
      <c r="C12711" t="s">
        <v>75</v>
      </c>
      <c r="D12711" t="s">
        <v>2180</v>
      </c>
      <c r="E12711">
        <f>2/70</f>
        <v>2.8571428571428571E-2</v>
      </c>
      <c r="F12711">
        <v>7</v>
      </c>
      <c r="G12711">
        <f>LOG(382/(7+1))</f>
        <v>1.6789733759197651</v>
      </c>
      <c r="H12711">
        <f>0.0285714285714285*3.86597906692673</f>
        <v>0.11045654476933488</v>
      </c>
      <c r="I12711">
        <v>0.1104565447693354</v>
      </c>
    </row>
    <row r="12712" spans="1:9" x14ac:dyDescent="0.25">
      <c r="A12712">
        <v>457</v>
      </c>
      <c r="B12712" t="s">
        <v>3669</v>
      </c>
      <c r="C12712" t="s">
        <v>75</v>
      </c>
      <c r="D12712" t="s">
        <v>1496</v>
      </c>
      <c r="E12712">
        <f>1/70</f>
        <v>1.4285714285714285E-2</v>
      </c>
      <c r="F12712">
        <v>39</v>
      </c>
      <c r="G12712">
        <f>LOG(382/(39+1))</f>
        <v>0.9800033715837464</v>
      </c>
      <c r="H12712">
        <f>0.0142857142857142*2.25654115449263</f>
        <v>3.2236302207037382E-2</v>
      </c>
      <c r="I12712">
        <v>3.2236302207037701E-2</v>
      </c>
    </row>
    <row r="12713" spans="1:9" x14ac:dyDescent="0.25">
      <c r="A12713">
        <v>457</v>
      </c>
      <c r="B12713" t="s">
        <v>3669</v>
      </c>
      <c r="C12713" t="s">
        <v>75</v>
      </c>
      <c r="D12713" t="s">
        <v>1492</v>
      </c>
      <c r="E12713">
        <f>1/70</f>
        <v>1.4285714285714285E-2</v>
      </c>
      <c r="F12713">
        <v>8</v>
      </c>
      <c r="G12713">
        <f>LOG(382/(8+1))</f>
        <v>1.6278208534723839</v>
      </c>
      <c r="H12713">
        <f>0.0142857142857142*3.74819603127035</f>
        <v>5.3545657589576107E-2</v>
      </c>
      <c r="I12713">
        <v>5.3545657589576509E-2</v>
      </c>
    </row>
    <row r="12714" spans="1:9" x14ac:dyDescent="0.25">
      <c r="A12714">
        <v>457</v>
      </c>
      <c r="B12714" t="s">
        <v>3669</v>
      </c>
      <c r="C12714" t="s">
        <v>75</v>
      </c>
      <c r="D12714" t="s">
        <v>823</v>
      </c>
      <c r="E12714">
        <f>1/70</f>
        <v>1.4285714285714285E-2</v>
      </c>
      <c r="F12714">
        <v>45</v>
      </c>
      <c r="G12714">
        <f>LOG(382/(45+1))</f>
        <v>0.9193055312301347</v>
      </c>
      <c r="H12714">
        <f>0.0142857142857142*2.11677921211748</f>
        <v>3.0239703030249535E-2</v>
      </c>
      <c r="I12714">
        <v>3.0239703030249719E-2</v>
      </c>
    </row>
    <row r="12715" spans="1:9" x14ac:dyDescent="0.25">
      <c r="A12715">
        <v>457</v>
      </c>
      <c r="B12715" t="s">
        <v>3669</v>
      </c>
      <c r="C12715" t="s">
        <v>75</v>
      </c>
      <c r="D12715" t="s">
        <v>22</v>
      </c>
      <c r="E12715">
        <f>2/70</f>
        <v>2.8571428571428571E-2</v>
      </c>
      <c r="F12715">
        <v>259</v>
      </c>
      <c r="G12715">
        <f>LOG(382/(259+1))</f>
        <v>0.16709001494089079</v>
      </c>
      <c r="H12715">
        <f>0.0285714285714285*0.384738977591047</f>
        <v>1.099254221688703E-2</v>
      </c>
      <c r="I12715">
        <v>1.099254221688707E-2</v>
      </c>
    </row>
    <row r="12716" spans="1:9" x14ac:dyDescent="0.25">
      <c r="A12716">
        <v>457</v>
      </c>
      <c r="B12716" t="s">
        <v>3669</v>
      </c>
      <c r="C12716" t="s">
        <v>75</v>
      </c>
      <c r="D12716" t="s">
        <v>1196</v>
      </c>
      <c r="E12716">
        <f>1/70</f>
        <v>1.4285714285714285E-2</v>
      </c>
      <c r="F12716">
        <v>7</v>
      </c>
      <c r="G12716">
        <f>LOG(382/(7+1))</f>
        <v>1.6789733759197651</v>
      </c>
      <c r="H12716">
        <f>0.0142857142857142*3.86597906692673</f>
        <v>5.5228272384667244E-2</v>
      </c>
      <c r="I12716">
        <v>5.5228272384667702E-2</v>
      </c>
    </row>
    <row r="12717" spans="1:9" x14ac:dyDescent="0.25">
      <c r="A12717">
        <v>457</v>
      </c>
      <c r="B12717" t="s">
        <v>3669</v>
      </c>
      <c r="C12717" t="s">
        <v>75</v>
      </c>
      <c r="D12717" t="s">
        <v>3672</v>
      </c>
      <c r="E12717">
        <f>1/70</f>
        <v>1.4285714285714285E-2</v>
      </c>
      <c r="F12717">
        <v>1</v>
      </c>
      <c r="G12717">
        <f>LOG(382/(1+1))</f>
        <v>2.2810333672477277</v>
      </c>
      <c r="H12717">
        <f>0.0142857142857142*5.25227342804663</f>
        <v>7.5032477543522838E-2</v>
      </c>
      <c r="I12717">
        <v>7.5032477543523282E-2</v>
      </c>
    </row>
    <row r="12718" spans="1:9" x14ac:dyDescent="0.25">
      <c r="A12718">
        <v>457</v>
      </c>
      <c r="B12718" t="s">
        <v>3669</v>
      </c>
      <c r="C12718" t="s">
        <v>75</v>
      </c>
      <c r="D12718" t="s">
        <v>1491</v>
      </c>
      <c r="E12718">
        <f>1/70</f>
        <v>1.4285714285714285E-2</v>
      </c>
      <c r="F12718">
        <v>4</v>
      </c>
      <c r="G12718">
        <f>LOG(382/(4+1))</f>
        <v>1.8830933585756899</v>
      </c>
      <c r="H12718">
        <f>0.0142857142857142*4.33598269617247</f>
        <v>6.1942609945320637E-2</v>
      </c>
      <c r="I12718">
        <v>6.1942609945321067E-2</v>
      </c>
    </row>
    <row r="12719" spans="1:9" x14ac:dyDescent="0.25">
      <c r="A12719">
        <v>457</v>
      </c>
      <c r="B12719" t="s">
        <v>3669</v>
      </c>
      <c r="C12719" t="s">
        <v>75</v>
      </c>
      <c r="D12719" t="s">
        <v>19</v>
      </c>
      <c r="E12719">
        <f>1/70</f>
        <v>1.4285714285714285E-2</v>
      </c>
      <c r="F12719">
        <v>220</v>
      </c>
      <c r="G12719">
        <f>LOG(382/(220+1))</f>
        <v>0.23767108922659805</v>
      </c>
      <c r="H12719">
        <f>0.0142857142857142*0.547257907088822</f>
        <v>7.8179701012688393E-3</v>
      </c>
      <c r="I12719">
        <v>7.8179701012688913E-3</v>
      </c>
    </row>
    <row r="12720" spans="1:9" x14ac:dyDescent="0.25">
      <c r="A12720">
        <v>457</v>
      </c>
      <c r="B12720" t="s">
        <v>3669</v>
      </c>
      <c r="C12720" t="s">
        <v>75</v>
      </c>
      <c r="D12720" t="s">
        <v>23</v>
      </c>
      <c r="E12720">
        <f>2/70</f>
        <v>2.8571428571428571E-2</v>
      </c>
      <c r="F12720">
        <v>275</v>
      </c>
      <c r="G12720">
        <f>LOG(382/(275+1))</f>
        <v>0.14115428084649101</v>
      </c>
      <c r="H12720">
        <f>0.0285714285714285*0.325019742889425</f>
        <v>9.2862783682692625E-3</v>
      </c>
      <c r="I12720">
        <v>9.2862783682692903E-3</v>
      </c>
    </row>
    <row r="12721" spans="1:9" x14ac:dyDescent="0.25">
      <c r="A12721">
        <v>457</v>
      </c>
      <c r="B12721" t="s">
        <v>3669</v>
      </c>
      <c r="C12721" t="s">
        <v>75</v>
      </c>
      <c r="D12721" t="s">
        <v>3673</v>
      </c>
      <c r="E12721">
        <f t="shared" ref="E12721:E12740" si="602">1/70</f>
        <v>1.4285714285714285E-2</v>
      </c>
      <c r="F12721">
        <v>1</v>
      </c>
      <c r="G12721">
        <f>LOG(382/(1+1))</f>
        <v>2.2810333672477277</v>
      </c>
      <c r="H12721">
        <f>0.0142857142857142*5.25227342804663</f>
        <v>7.5032477543522838E-2</v>
      </c>
      <c r="I12721">
        <v>7.5032477543523282E-2</v>
      </c>
    </row>
    <row r="12722" spans="1:9" x14ac:dyDescent="0.25">
      <c r="A12722">
        <v>457</v>
      </c>
      <c r="B12722" t="s">
        <v>3669</v>
      </c>
      <c r="C12722" t="s">
        <v>75</v>
      </c>
      <c r="D12722" t="s">
        <v>2554</v>
      </c>
      <c r="E12722">
        <f t="shared" si="602"/>
        <v>1.4285714285714285E-2</v>
      </c>
      <c r="F12722">
        <v>22</v>
      </c>
      <c r="G12722">
        <f>LOG(382/(22+1))</f>
        <v>1.2203355268941158</v>
      </c>
      <c r="H12722">
        <f>0.0142857142857142*2.80992639267742</f>
        <v>4.0141805609677186E-2</v>
      </c>
      <c r="I12722">
        <v>4.0141805609677512E-2</v>
      </c>
    </row>
    <row r="12723" spans="1:9" x14ac:dyDescent="0.25">
      <c r="A12723">
        <v>457</v>
      </c>
      <c r="B12723" t="s">
        <v>3669</v>
      </c>
      <c r="C12723" t="s">
        <v>75</v>
      </c>
      <c r="D12723" t="s">
        <v>2702</v>
      </c>
      <c r="E12723">
        <f t="shared" si="602"/>
        <v>1.4285714285714285E-2</v>
      </c>
      <c r="F12723">
        <v>3</v>
      </c>
      <c r="G12723">
        <f>LOG(382/(3+1))</f>
        <v>1.9800033715837464</v>
      </c>
      <c r="H12723">
        <f>0.0142857142857142*4.55912624748668</f>
        <v>6.5130374964095045E-2</v>
      </c>
      <c r="I12723">
        <v>6.5130374964095489E-2</v>
      </c>
    </row>
    <row r="12724" spans="1:9" x14ac:dyDescent="0.25">
      <c r="A12724">
        <v>457</v>
      </c>
      <c r="B12724" t="s">
        <v>3669</v>
      </c>
      <c r="C12724" t="s">
        <v>75</v>
      </c>
      <c r="D12724" t="s">
        <v>204</v>
      </c>
      <c r="E12724">
        <f t="shared" si="602"/>
        <v>1.4285714285714285E-2</v>
      </c>
      <c r="F12724">
        <v>166</v>
      </c>
      <c r="G12724">
        <f>LOG(382/(166+1))</f>
        <v>0.35934689176412549</v>
      </c>
      <c r="H12724">
        <f>0.0142857142857142*0.82742679618982</f>
        <v>1.1820382802711643E-2</v>
      </c>
      <c r="I12724">
        <v>1.1820382802711721E-2</v>
      </c>
    </row>
    <row r="12725" spans="1:9" x14ac:dyDescent="0.25">
      <c r="A12725">
        <v>457</v>
      </c>
      <c r="B12725" t="s">
        <v>3669</v>
      </c>
      <c r="C12725" t="s">
        <v>75</v>
      </c>
      <c r="D12725" t="s">
        <v>76</v>
      </c>
      <c r="E12725">
        <f t="shared" si="602"/>
        <v>1.4285714285714285E-2</v>
      </c>
      <c r="F12725">
        <v>140</v>
      </c>
      <c r="G12725">
        <f>LOG(382/(140+1))</f>
        <v>0.43284425025632883</v>
      </c>
      <c r="H12725">
        <f>0.0142857142857142*0.996660718228407</f>
        <v>1.4238010260405729E-2</v>
      </c>
      <c r="I12725">
        <v>1.423801026040581E-2</v>
      </c>
    </row>
    <row r="12726" spans="1:9" x14ac:dyDescent="0.25">
      <c r="A12726">
        <v>457</v>
      </c>
      <c r="B12726" t="s">
        <v>3669</v>
      </c>
      <c r="C12726" t="s">
        <v>75</v>
      </c>
      <c r="D12726" t="s">
        <v>218</v>
      </c>
      <c r="E12726">
        <f t="shared" si="602"/>
        <v>1.4285714285714285E-2</v>
      </c>
      <c r="F12726">
        <v>35</v>
      </c>
      <c r="G12726">
        <f>LOG(382/(35+1))</f>
        <v>1.0257608621444214</v>
      </c>
      <c r="H12726">
        <f>0.0142857142857142*2.36190167015046</f>
        <v>3.3741452430720659E-2</v>
      </c>
      <c r="I12726">
        <v>3.3741452430720929E-2</v>
      </c>
    </row>
    <row r="12727" spans="1:9" x14ac:dyDescent="0.25">
      <c r="A12727">
        <v>457</v>
      </c>
      <c r="B12727" t="s">
        <v>3669</v>
      </c>
      <c r="C12727" t="s">
        <v>75</v>
      </c>
      <c r="D12727" t="s">
        <v>40</v>
      </c>
      <c r="E12727">
        <f t="shared" si="602"/>
        <v>1.4285714285714285E-2</v>
      </c>
      <c r="F12727">
        <v>159</v>
      </c>
      <c r="G12727">
        <f>LOG(382/(159+1))</f>
        <v>0.377943380255784</v>
      </c>
      <c r="H12727">
        <f>0.0142857142857142*0.870246793372748</f>
        <v>1.243209704818204E-2</v>
      </c>
      <c r="I12727">
        <v>1.2432097048182119E-2</v>
      </c>
    </row>
    <row r="12728" spans="1:9" x14ac:dyDescent="0.25">
      <c r="A12728">
        <v>457</v>
      </c>
      <c r="B12728" t="s">
        <v>3669</v>
      </c>
      <c r="C12728" t="s">
        <v>75</v>
      </c>
      <c r="D12728" t="s">
        <v>41</v>
      </c>
      <c r="E12728">
        <f t="shared" si="602"/>
        <v>1.4285714285714285E-2</v>
      </c>
      <c r="F12728">
        <v>195</v>
      </c>
      <c r="G12728">
        <f>LOG(382/(195+1))</f>
        <v>0.28980729155523272</v>
      </c>
      <c r="H12728">
        <f>0.0142857142857142*0.667305949376058</f>
        <v>9.5329421339436296E-3</v>
      </c>
      <c r="I12728">
        <v>9.5329421339436851E-3</v>
      </c>
    </row>
    <row r="12729" spans="1:9" x14ac:dyDescent="0.25">
      <c r="A12729">
        <v>457</v>
      </c>
      <c r="B12729" t="s">
        <v>3669</v>
      </c>
      <c r="C12729" t="s">
        <v>75</v>
      </c>
      <c r="D12729" t="s">
        <v>994</v>
      </c>
      <c r="E12729">
        <f t="shared" si="602"/>
        <v>1.4285714285714285E-2</v>
      </c>
      <c r="F12729">
        <v>37</v>
      </c>
      <c r="G12729">
        <f>LOG(382/(37+1))</f>
        <v>1.0022797662948986</v>
      </c>
      <c r="H12729">
        <f>0.0142857142857142*2.30783444888018</f>
        <v>3.2969063555430944E-2</v>
      </c>
      <c r="I12729">
        <v>3.296906355543127E-2</v>
      </c>
    </row>
    <row r="12730" spans="1:9" x14ac:dyDescent="0.25">
      <c r="A12730">
        <v>457</v>
      </c>
      <c r="B12730" t="s">
        <v>3669</v>
      </c>
      <c r="C12730" t="s">
        <v>75</v>
      </c>
      <c r="D12730" t="s">
        <v>327</v>
      </c>
      <c r="E12730">
        <f t="shared" si="602"/>
        <v>1.4285714285714285E-2</v>
      </c>
      <c r="F12730">
        <v>46</v>
      </c>
      <c r="G12730">
        <f>LOG(382/(46+1))</f>
        <v>0.90996550497599127</v>
      </c>
      <c r="H12730">
        <f>0.0142857142857142*2.09527300689651</f>
        <v>2.9932471527092823E-2</v>
      </c>
      <c r="I12730">
        <v>2.993247152709309E-2</v>
      </c>
    </row>
    <row r="12731" spans="1:9" x14ac:dyDescent="0.25">
      <c r="A12731">
        <v>457</v>
      </c>
      <c r="B12731" t="s">
        <v>3669</v>
      </c>
      <c r="C12731" t="s">
        <v>75</v>
      </c>
      <c r="D12731" t="s">
        <v>1083</v>
      </c>
      <c r="E12731">
        <f t="shared" si="602"/>
        <v>1.4285714285714285E-2</v>
      </c>
      <c r="F12731">
        <v>51</v>
      </c>
      <c r="G12731">
        <f>LOG(382/(51+1))</f>
        <v>0.86606001927690957</v>
      </c>
      <c r="H12731">
        <f>0.0142857142857142*1.99417689002514</f>
        <v>2.8488241286073256E-2</v>
      </c>
      <c r="I12731">
        <v>2.8488241286073541E-2</v>
      </c>
    </row>
    <row r="12732" spans="1:9" x14ac:dyDescent="0.25">
      <c r="A12732">
        <v>457</v>
      </c>
      <c r="B12732" t="s">
        <v>3669</v>
      </c>
      <c r="C12732" t="s">
        <v>75</v>
      </c>
      <c r="D12732" t="s">
        <v>3674</v>
      </c>
      <c r="E12732">
        <f t="shared" si="602"/>
        <v>1.4285714285714285E-2</v>
      </c>
      <c r="F12732">
        <v>1</v>
      </c>
      <c r="G12732">
        <f>LOG(382/(1+1))</f>
        <v>2.2810333672477277</v>
      </c>
      <c r="H12732">
        <f>0.0142857142857142*5.25227342804663</f>
        <v>7.5032477543522838E-2</v>
      </c>
      <c r="I12732">
        <v>7.5032477543523282E-2</v>
      </c>
    </row>
    <row r="12733" spans="1:9" x14ac:dyDescent="0.25">
      <c r="A12733">
        <v>457</v>
      </c>
      <c r="B12733" t="s">
        <v>3669</v>
      </c>
      <c r="C12733" t="s">
        <v>75</v>
      </c>
      <c r="D12733" t="s">
        <v>133</v>
      </c>
      <c r="E12733">
        <f t="shared" si="602"/>
        <v>1.4285714285714285E-2</v>
      </c>
      <c r="F12733">
        <v>142</v>
      </c>
      <c r="G12733">
        <f>LOG(382/(142+1))</f>
        <v>0.42672732544664693</v>
      </c>
      <c r="H12733">
        <f>0.0142857142857142*0.982575978346667</f>
        <v>1.4036799690666587E-2</v>
      </c>
      <c r="I12733">
        <v>1.4036799690666679E-2</v>
      </c>
    </row>
    <row r="12734" spans="1:9" x14ac:dyDescent="0.25">
      <c r="A12734">
        <v>457</v>
      </c>
      <c r="B12734" t="s">
        <v>3669</v>
      </c>
      <c r="C12734" t="s">
        <v>75</v>
      </c>
      <c r="D12734" t="s">
        <v>3675</v>
      </c>
      <c r="E12734">
        <f t="shared" si="602"/>
        <v>1.4285714285714285E-2</v>
      </c>
      <c r="F12734">
        <v>1</v>
      </c>
      <c r="G12734">
        <f>LOG(382/(1+1))</f>
        <v>2.2810333672477277</v>
      </c>
      <c r="H12734">
        <f>0.0142857142857142*5.25227342804663</f>
        <v>7.5032477543522838E-2</v>
      </c>
      <c r="I12734">
        <v>7.5032477543523282E-2</v>
      </c>
    </row>
    <row r="12735" spans="1:9" x14ac:dyDescent="0.25">
      <c r="A12735">
        <v>457</v>
      </c>
      <c r="B12735" t="s">
        <v>3669</v>
      </c>
      <c r="C12735" t="s">
        <v>75</v>
      </c>
      <c r="D12735" t="s">
        <v>331</v>
      </c>
      <c r="E12735">
        <f t="shared" si="602"/>
        <v>1.4285714285714285E-2</v>
      </c>
      <c r="F12735">
        <v>130</v>
      </c>
      <c r="G12735">
        <f>LOG(382/(130+1))</f>
        <v>0.46479206725594452</v>
      </c>
      <c r="H12735">
        <f>0.0142857142857142*1.07022328540542</f>
        <v>1.5288904077220196E-2</v>
      </c>
      <c r="I12735">
        <v>1.528890407722034E-2</v>
      </c>
    </row>
    <row r="12736" spans="1:9" x14ac:dyDescent="0.25">
      <c r="A12736">
        <v>457</v>
      </c>
      <c r="B12736" t="s">
        <v>3669</v>
      </c>
      <c r="C12736" t="s">
        <v>75</v>
      </c>
      <c r="D12736" t="s">
        <v>3676</v>
      </c>
      <c r="E12736">
        <f t="shared" si="602"/>
        <v>1.4285714285714285E-2</v>
      </c>
      <c r="F12736">
        <v>1</v>
      </c>
      <c r="G12736">
        <f>LOG(382/(1+1))</f>
        <v>2.2810333672477277</v>
      </c>
      <c r="H12736">
        <f>0.0142857142857142*5.25227342804663</f>
        <v>7.5032477543522838E-2</v>
      </c>
      <c r="I12736">
        <v>7.5032477543523282E-2</v>
      </c>
    </row>
    <row r="12737" spans="1:9" x14ac:dyDescent="0.25">
      <c r="A12737">
        <v>457</v>
      </c>
      <c r="B12737" t="s">
        <v>3669</v>
      </c>
      <c r="C12737" t="s">
        <v>75</v>
      </c>
      <c r="D12737" t="s">
        <v>3677</v>
      </c>
      <c r="E12737">
        <f t="shared" si="602"/>
        <v>1.4285714285714285E-2</v>
      </c>
      <c r="F12737">
        <v>1</v>
      </c>
      <c r="G12737">
        <f>LOG(382/(1+1))</f>
        <v>2.2810333672477277</v>
      </c>
      <c r="H12737">
        <f>0.0142857142857142*5.25227342804663</f>
        <v>7.5032477543522838E-2</v>
      </c>
      <c r="I12737">
        <v>7.5032477543523282E-2</v>
      </c>
    </row>
    <row r="12738" spans="1:9" x14ac:dyDescent="0.25">
      <c r="A12738">
        <v>457</v>
      </c>
      <c r="B12738" t="s">
        <v>3669</v>
      </c>
      <c r="C12738" t="s">
        <v>75</v>
      </c>
      <c r="D12738" t="s">
        <v>3678</v>
      </c>
      <c r="E12738">
        <f t="shared" si="602"/>
        <v>1.4285714285714285E-2</v>
      </c>
      <c r="F12738">
        <v>1</v>
      </c>
      <c r="G12738">
        <f>LOG(382/(1+1))</f>
        <v>2.2810333672477277</v>
      </c>
      <c r="H12738">
        <f>0.0142857142857142*5.25227342804663</f>
        <v>7.5032477543522838E-2</v>
      </c>
      <c r="I12738">
        <v>7.5032477543523282E-2</v>
      </c>
    </row>
    <row r="12739" spans="1:9" x14ac:dyDescent="0.25">
      <c r="A12739">
        <v>457</v>
      </c>
      <c r="B12739" t="s">
        <v>3669</v>
      </c>
      <c r="C12739" t="s">
        <v>75</v>
      </c>
      <c r="D12739" t="s">
        <v>1748</v>
      </c>
      <c r="E12739">
        <f t="shared" si="602"/>
        <v>1.4285714285714285E-2</v>
      </c>
      <c r="F12739">
        <v>12</v>
      </c>
      <c r="G12739">
        <f>LOG(382/(12+1))</f>
        <v>1.468120010604872</v>
      </c>
      <c r="H12739">
        <f>0.0142857142857142*3.38047125114503</f>
        <v>4.8292446444928715E-2</v>
      </c>
      <c r="I12739">
        <v>4.8292446444929117E-2</v>
      </c>
    </row>
    <row r="12740" spans="1:9" x14ac:dyDescent="0.25">
      <c r="A12740">
        <v>457</v>
      </c>
      <c r="B12740" t="s">
        <v>3669</v>
      </c>
      <c r="C12740" t="s">
        <v>75</v>
      </c>
      <c r="D12740" t="s">
        <v>214</v>
      </c>
      <c r="E12740">
        <f t="shared" si="602"/>
        <v>1.4285714285714285E-2</v>
      </c>
      <c r="F12740">
        <v>68</v>
      </c>
      <c r="G12740">
        <f>LOG(382/(68+1))</f>
        <v>0.74321427217445335</v>
      </c>
      <c r="H12740">
        <f>0.0142857142857142*1.71131410400931</f>
        <v>2.4447344342989997E-2</v>
      </c>
      <c r="I12740">
        <v>2.4447344342990229E-2</v>
      </c>
    </row>
    <row r="12741" spans="1:9" x14ac:dyDescent="0.25">
      <c r="A12741">
        <v>457</v>
      </c>
      <c r="B12741" t="s">
        <v>3669</v>
      </c>
      <c r="C12741" t="s">
        <v>75</v>
      </c>
      <c r="D12741" t="s">
        <v>676</v>
      </c>
      <c r="E12741">
        <f>2/70</f>
        <v>2.8571428571428571E-2</v>
      </c>
      <c r="F12741">
        <v>20</v>
      </c>
      <c r="G12741">
        <f>LOG(382/(20+1))</f>
        <v>1.2598440681777894</v>
      </c>
      <c r="H12741">
        <f>0.0285714285714285*2.90089817088315</f>
        <v>8.288280488237551E-2</v>
      </c>
      <c r="I12741">
        <v>8.2882804882375774E-2</v>
      </c>
    </row>
    <row r="12742" spans="1:9" x14ac:dyDescent="0.25">
      <c r="A12742">
        <v>457</v>
      </c>
      <c r="B12742" t="s">
        <v>3669</v>
      </c>
      <c r="C12742" t="s">
        <v>75</v>
      </c>
      <c r="D12742" t="s">
        <v>243</v>
      </c>
      <c r="E12742">
        <f t="shared" ref="E12742:E12750" si="603">1/70</f>
        <v>1.4285714285714285E-2</v>
      </c>
      <c r="F12742">
        <v>131</v>
      </c>
      <c r="G12742">
        <f>LOG(382/(131+1))</f>
        <v>0.46148943170585888</v>
      </c>
      <c r="H12742">
        <f>0.0142857142857142*1.0626186860202</f>
        <v>1.5180266943145624E-2</v>
      </c>
      <c r="I12742">
        <v>1.5180266943145769E-2</v>
      </c>
    </row>
    <row r="12743" spans="1:9" x14ac:dyDescent="0.25">
      <c r="A12743">
        <v>457</v>
      </c>
      <c r="B12743" t="s">
        <v>3669</v>
      </c>
      <c r="C12743" t="s">
        <v>75</v>
      </c>
      <c r="D12743" t="s">
        <v>770</v>
      </c>
      <c r="E12743">
        <f t="shared" si="603"/>
        <v>1.4285714285714285E-2</v>
      </c>
      <c r="F12743">
        <v>47</v>
      </c>
      <c r="G12743">
        <f>LOG(382/(47+1))</f>
        <v>0.90082212553612151</v>
      </c>
      <c r="H12743">
        <f>0.0142857142857142*2.07421959769868</f>
        <v>2.9631708538552397E-2</v>
      </c>
      <c r="I12743">
        <v>2.9631708538552629E-2</v>
      </c>
    </row>
    <row r="12744" spans="1:9" x14ac:dyDescent="0.25">
      <c r="A12744">
        <v>457</v>
      </c>
      <c r="B12744" t="s">
        <v>3669</v>
      </c>
      <c r="C12744" t="s">
        <v>75</v>
      </c>
      <c r="D12744" t="s">
        <v>307</v>
      </c>
      <c r="E12744">
        <f t="shared" si="603"/>
        <v>1.4285714285714285E-2</v>
      </c>
      <c r="F12744">
        <v>67</v>
      </c>
      <c r="G12744">
        <f>LOG(382/(67+1))</f>
        <v>0.7495544502054724</v>
      </c>
      <c r="H12744">
        <f>0.0142857142857142*1.72591290343046</f>
        <v>2.4655898620434998E-2</v>
      </c>
      <c r="I12744">
        <v>2.4655898620435261E-2</v>
      </c>
    </row>
    <row r="12745" spans="1:9" x14ac:dyDescent="0.25">
      <c r="A12745">
        <v>457</v>
      </c>
      <c r="B12745" t="s">
        <v>3669</v>
      </c>
      <c r="C12745" t="s">
        <v>75</v>
      </c>
      <c r="D12745" t="s">
        <v>455</v>
      </c>
      <c r="E12745">
        <f t="shared" si="603"/>
        <v>1.4285714285714285E-2</v>
      </c>
      <c r="F12745">
        <v>78</v>
      </c>
      <c r="G12745">
        <f>LOG(382/(78+1))</f>
        <v>0.6844362716212673</v>
      </c>
      <c r="H12745">
        <f>0.0142857142857142*1.57597275613955</f>
        <v>2.251389651627915E-2</v>
      </c>
      <c r="I12745">
        <v>2.2513896516279341E-2</v>
      </c>
    </row>
    <row r="12746" spans="1:9" x14ac:dyDescent="0.25">
      <c r="A12746">
        <v>457</v>
      </c>
      <c r="B12746" t="s">
        <v>3669</v>
      </c>
      <c r="C12746" t="s">
        <v>75</v>
      </c>
      <c r="D12746" t="s">
        <v>456</v>
      </c>
      <c r="E12746">
        <f t="shared" si="603"/>
        <v>1.4285714285714285E-2</v>
      </c>
      <c r="F12746">
        <v>71</v>
      </c>
      <c r="G12746">
        <f>LOG(382/(71+1))</f>
        <v>0.72473086648044027</v>
      </c>
      <c r="H12746">
        <f>0.0142857142857142*1.66875448959051</f>
        <v>2.3839349851292858E-2</v>
      </c>
      <c r="I12746">
        <v>2.3839349851293139E-2</v>
      </c>
    </row>
    <row r="12747" spans="1:9" x14ac:dyDescent="0.25">
      <c r="A12747">
        <v>457</v>
      </c>
      <c r="B12747" t="s">
        <v>3669</v>
      </c>
      <c r="C12747" t="s">
        <v>75</v>
      </c>
      <c r="D12747" t="s">
        <v>1779</v>
      </c>
      <c r="E12747">
        <f t="shared" si="603"/>
        <v>1.4285714285714285E-2</v>
      </c>
      <c r="F12747">
        <v>41</v>
      </c>
      <c r="G12747">
        <f>LOG(382/(41+1))</f>
        <v>0.95881407251380824</v>
      </c>
      <c r="H12747">
        <f>0.0142857142857142*2.2077509903232</f>
        <v>3.1539299861759816E-2</v>
      </c>
      <c r="I12747">
        <v>3.1539299861760101E-2</v>
      </c>
    </row>
    <row r="12748" spans="1:9" x14ac:dyDescent="0.25">
      <c r="A12748">
        <v>457</v>
      </c>
      <c r="B12748" t="s">
        <v>3669</v>
      </c>
      <c r="C12748" t="s">
        <v>75</v>
      </c>
      <c r="D12748" t="s">
        <v>3679</v>
      </c>
      <c r="E12748">
        <f t="shared" si="603"/>
        <v>1.4285714285714285E-2</v>
      </c>
      <c r="F12748">
        <v>1</v>
      </c>
      <c r="G12748">
        <f>LOG(382/(1+1))</f>
        <v>2.2810333672477277</v>
      </c>
      <c r="H12748">
        <f>0.0142857142857142*5.25227342804663</f>
        <v>7.5032477543522838E-2</v>
      </c>
      <c r="I12748">
        <v>7.5032477543523282E-2</v>
      </c>
    </row>
    <row r="12749" spans="1:9" x14ac:dyDescent="0.25">
      <c r="A12749">
        <v>457</v>
      </c>
      <c r="B12749" t="s">
        <v>3669</v>
      </c>
      <c r="C12749" t="s">
        <v>75</v>
      </c>
      <c r="D12749" t="s">
        <v>342</v>
      </c>
      <c r="E12749">
        <f t="shared" si="603"/>
        <v>1.4285714285714285E-2</v>
      </c>
      <c r="F12749">
        <v>35</v>
      </c>
      <c r="G12749">
        <f>LOG(382/(35+1))</f>
        <v>1.0257608621444214</v>
      </c>
      <c r="H12749">
        <f>0.0142857142857142*2.36190167015046</f>
        <v>3.3741452430720659E-2</v>
      </c>
      <c r="I12749">
        <v>3.3741452430720929E-2</v>
      </c>
    </row>
    <row r="12750" spans="1:9" x14ac:dyDescent="0.25">
      <c r="A12750">
        <v>457</v>
      </c>
      <c r="B12750" t="s">
        <v>3669</v>
      </c>
      <c r="C12750" t="s">
        <v>75</v>
      </c>
      <c r="D12750" t="s">
        <v>78</v>
      </c>
      <c r="E12750">
        <f t="shared" si="603"/>
        <v>1.4285714285714285E-2</v>
      </c>
      <c r="F12750">
        <v>122</v>
      </c>
      <c r="G12750">
        <f>LOG(382/(122+1))</f>
        <v>0.49215825147231079</v>
      </c>
      <c r="H12750">
        <f>0.0142857142857142*1.13323625323415</f>
        <v>1.6189089331916331E-2</v>
      </c>
      <c r="I12750">
        <v>1.618908933191654E-2</v>
      </c>
    </row>
    <row r="12751" spans="1:9" x14ac:dyDescent="0.25">
      <c r="A12751">
        <v>458</v>
      </c>
      <c r="B12751" t="s">
        <v>3680</v>
      </c>
      <c r="C12751" t="s">
        <v>75</v>
      </c>
      <c r="D12751" t="s">
        <v>112</v>
      </c>
      <c r="E12751">
        <f>2/56</f>
        <v>3.5714285714285712E-2</v>
      </c>
      <c r="F12751">
        <v>52</v>
      </c>
      <c r="G12751">
        <f>LOG(382/(52+1))</f>
        <v>0.85778749331091964</v>
      </c>
      <c r="H12751">
        <f>0.0357142857142857*1.97512869505445</f>
        <v>7.0540310537658898E-2</v>
      </c>
      <c r="I12751">
        <v>7.0540310537659037E-2</v>
      </c>
    </row>
    <row r="12752" spans="1:9" x14ac:dyDescent="0.25">
      <c r="A12752">
        <v>458</v>
      </c>
      <c r="B12752" t="s">
        <v>3680</v>
      </c>
      <c r="C12752" t="s">
        <v>75</v>
      </c>
      <c r="D12752" t="s">
        <v>3681</v>
      </c>
      <c r="E12752">
        <f t="shared" ref="E12752:E12778" si="604">1/56</f>
        <v>1.7857142857142856E-2</v>
      </c>
      <c r="F12752">
        <v>1</v>
      </c>
      <c r="G12752">
        <f>LOG(382/(1+1))</f>
        <v>2.2810333672477277</v>
      </c>
      <c r="H12752">
        <f>0.0178571428571428*5.25227342804663</f>
        <v>9.3790596929403808E-2</v>
      </c>
      <c r="I12752">
        <v>9.3790596929404099E-2</v>
      </c>
    </row>
    <row r="12753" spans="1:9" x14ac:dyDescent="0.25">
      <c r="A12753">
        <v>458</v>
      </c>
      <c r="B12753" t="s">
        <v>3680</v>
      </c>
      <c r="C12753" t="s">
        <v>75</v>
      </c>
      <c r="D12753" t="s">
        <v>42</v>
      </c>
      <c r="E12753">
        <f t="shared" si="604"/>
        <v>1.7857142857142856E-2</v>
      </c>
      <c r="F12753">
        <v>251</v>
      </c>
      <c r="G12753">
        <f>LOG(382/(251+1))</f>
        <v>0.18066282213016463</v>
      </c>
      <c r="H12753">
        <f>0.0178571428571428*0.415991521095151</f>
        <v>7.4284200195562436E-3</v>
      </c>
      <c r="I12753">
        <v>7.4284200195562826E-3</v>
      </c>
    </row>
    <row r="12754" spans="1:9" x14ac:dyDescent="0.25">
      <c r="A12754">
        <v>458</v>
      </c>
      <c r="B12754" t="s">
        <v>3680</v>
      </c>
      <c r="C12754" t="s">
        <v>75</v>
      </c>
      <c r="D12754" t="s">
        <v>1496</v>
      </c>
      <c r="E12754">
        <f t="shared" si="604"/>
        <v>1.7857142857142856E-2</v>
      </c>
      <c r="F12754">
        <v>39</v>
      </c>
      <c r="G12754">
        <f>LOG(382/(39+1))</f>
        <v>0.9800033715837464</v>
      </c>
      <c r="H12754">
        <f>0.0178571428571428*2.25654115449263</f>
        <v>4.0295377758796838E-2</v>
      </c>
      <c r="I12754">
        <v>4.0295377758797123E-2</v>
      </c>
    </row>
    <row r="12755" spans="1:9" x14ac:dyDescent="0.25">
      <c r="A12755">
        <v>458</v>
      </c>
      <c r="B12755" t="s">
        <v>3680</v>
      </c>
      <c r="C12755" t="s">
        <v>75</v>
      </c>
      <c r="D12755" t="s">
        <v>1195</v>
      </c>
      <c r="E12755">
        <f t="shared" si="604"/>
        <v>1.7857142857142856E-2</v>
      </c>
      <c r="F12755">
        <v>3</v>
      </c>
      <c r="G12755">
        <f>LOG(382/(3+1))</f>
        <v>1.9800033715837464</v>
      </c>
      <c r="H12755">
        <f>0.0178571428571428*4.55912624748668</f>
        <v>8.1412968705119035E-2</v>
      </c>
      <c r="I12755">
        <v>8.1412968705119368E-2</v>
      </c>
    </row>
    <row r="12756" spans="1:9" x14ac:dyDescent="0.25">
      <c r="A12756">
        <v>458</v>
      </c>
      <c r="B12756" t="s">
        <v>3680</v>
      </c>
      <c r="C12756" t="s">
        <v>75</v>
      </c>
      <c r="D12756" t="s">
        <v>3682</v>
      </c>
      <c r="E12756">
        <f t="shared" si="604"/>
        <v>1.7857142857142856E-2</v>
      </c>
      <c r="F12756">
        <v>1</v>
      </c>
      <c r="G12756">
        <f>LOG(382/(1+1))</f>
        <v>2.2810333672477277</v>
      </c>
      <c r="H12756">
        <f>0.0178571428571428*5.25227342804663</f>
        <v>9.3790596929403808E-2</v>
      </c>
      <c r="I12756">
        <v>9.3790596929404099E-2</v>
      </c>
    </row>
    <row r="12757" spans="1:9" x14ac:dyDescent="0.25">
      <c r="A12757">
        <v>458</v>
      </c>
      <c r="B12757" t="s">
        <v>3680</v>
      </c>
      <c r="C12757" t="s">
        <v>75</v>
      </c>
      <c r="D12757" t="s">
        <v>104</v>
      </c>
      <c r="E12757">
        <f t="shared" si="604"/>
        <v>1.7857142857142856E-2</v>
      </c>
      <c r="F12757">
        <v>49</v>
      </c>
      <c r="G12757">
        <f>LOG(382/(49+1))</f>
        <v>0.88309335857568994</v>
      </c>
      <c r="H12757">
        <f>0.0178571428571428*2.03339760317842</f>
        <v>3.6310671485328815E-2</v>
      </c>
      <c r="I12757">
        <v>3.6310671485329092E-2</v>
      </c>
    </row>
    <row r="12758" spans="1:9" x14ac:dyDescent="0.25">
      <c r="A12758">
        <v>458</v>
      </c>
      <c r="B12758" t="s">
        <v>3680</v>
      </c>
      <c r="C12758" t="s">
        <v>75</v>
      </c>
      <c r="D12758" t="s">
        <v>17</v>
      </c>
      <c r="E12758">
        <f t="shared" si="604"/>
        <v>1.7857142857142856E-2</v>
      </c>
      <c r="F12758">
        <v>169</v>
      </c>
      <c r="G12758">
        <f>LOG(382/(169+1))</f>
        <v>0.3516144415334348</v>
      </c>
      <c r="H12758">
        <f>0.0178571428571428*0.809622171556313</f>
        <v>1.4457538777791257E-2</v>
      </c>
      <c r="I12758">
        <v>1.4457538777791309E-2</v>
      </c>
    </row>
    <row r="12759" spans="1:9" x14ac:dyDescent="0.25">
      <c r="A12759">
        <v>458</v>
      </c>
      <c r="B12759" t="s">
        <v>3680</v>
      </c>
      <c r="C12759" t="s">
        <v>75</v>
      </c>
      <c r="D12759" t="s">
        <v>1907</v>
      </c>
      <c r="E12759">
        <f t="shared" si="604"/>
        <v>1.7857142857142856E-2</v>
      </c>
      <c r="F12759">
        <v>20</v>
      </c>
      <c r="G12759">
        <f>LOG(382/(20+1))</f>
        <v>1.2598440681777894</v>
      </c>
      <c r="H12759">
        <f>0.0178571428571428*2.90089817088315</f>
        <v>5.1801753051484656E-2</v>
      </c>
      <c r="I12759">
        <v>5.1801753051484857E-2</v>
      </c>
    </row>
    <row r="12760" spans="1:9" x14ac:dyDescent="0.25">
      <c r="A12760">
        <v>458</v>
      </c>
      <c r="B12760" t="s">
        <v>3680</v>
      </c>
      <c r="C12760" t="s">
        <v>75</v>
      </c>
      <c r="D12760" t="s">
        <v>1908</v>
      </c>
      <c r="E12760">
        <f t="shared" si="604"/>
        <v>1.7857142857142856E-2</v>
      </c>
      <c r="F12760">
        <v>20</v>
      </c>
      <c r="G12760">
        <f>LOG(382/(20+1))</f>
        <v>1.2598440681777894</v>
      </c>
      <c r="H12760">
        <f>0.0178571428571428*2.90089817088315</f>
        <v>5.1801753051484656E-2</v>
      </c>
      <c r="I12760">
        <v>5.1801753051484857E-2</v>
      </c>
    </row>
    <row r="12761" spans="1:9" x14ac:dyDescent="0.25">
      <c r="A12761">
        <v>458</v>
      </c>
      <c r="B12761" t="s">
        <v>3680</v>
      </c>
      <c r="C12761" t="s">
        <v>75</v>
      </c>
      <c r="D12761" t="s">
        <v>418</v>
      </c>
      <c r="E12761">
        <f t="shared" si="604"/>
        <v>1.7857142857142856E-2</v>
      </c>
      <c r="F12761">
        <v>11</v>
      </c>
      <c r="G12761">
        <f>LOG(382/(11+1))</f>
        <v>1.5028821168640838</v>
      </c>
      <c r="H12761">
        <f>0.0178571428571428*3.46051395881857</f>
        <v>6.1794892121759981E-2</v>
      </c>
      <c r="I12761">
        <v>6.1794892121760273E-2</v>
      </c>
    </row>
    <row r="12762" spans="1:9" x14ac:dyDescent="0.25">
      <c r="A12762">
        <v>458</v>
      </c>
      <c r="B12762" t="s">
        <v>3680</v>
      </c>
      <c r="C12762" t="s">
        <v>75</v>
      </c>
      <c r="D12762" t="s">
        <v>19</v>
      </c>
      <c r="E12762">
        <f t="shared" si="604"/>
        <v>1.7857142857142856E-2</v>
      </c>
      <c r="F12762">
        <v>220</v>
      </c>
      <c r="G12762">
        <f>LOG(382/(220+1))</f>
        <v>0.23767108922659805</v>
      </c>
      <c r="H12762">
        <f>0.0178571428571428*0.547257907088822</f>
        <v>9.7724626265860773E-3</v>
      </c>
      <c r="I12762">
        <v>9.7724626265861137E-3</v>
      </c>
    </row>
    <row r="12763" spans="1:9" x14ac:dyDescent="0.25">
      <c r="A12763">
        <v>458</v>
      </c>
      <c r="B12763" t="s">
        <v>3680</v>
      </c>
      <c r="C12763" t="s">
        <v>75</v>
      </c>
      <c r="D12763" t="s">
        <v>195</v>
      </c>
      <c r="E12763">
        <f t="shared" si="604"/>
        <v>1.7857142857142856E-2</v>
      </c>
      <c r="F12763">
        <v>55</v>
      </c>
      <c r="G12763">
        <f>LOG(382/(55+1))</f>
        <v>0.83387533590550833</v>
      </c>
      <c r="H12763">
        <f>0.0178571428571428*1.92006891787142</f>
        <v>3.4286944961989536E-2</v>
      </c>
      <c r="I12763">
        <v>3.4286944961989738E-2</v>
      </c>
    </row>
    <row r="12764" spans="1:9" x14ac:dyDescent="0.25">
      <c r="A12764">
        <v>458</v>
      </c>
      <c r="B12764" t="s">
        <v>3680</v>
      </c>
      <c r="C12764" t="s">
        <v>75</v>
      </c>
      <c r="D12764" t="s">
        <v>22</v>
      </c>
      <c r="E12764">
        <f t="shared" si="604"/>
        <v>1.7857142857142856E-2</v>
      </c>
      <c r="F12764">
        <v>259</v>
      </c>
      <c r="G12764">
        <f>LOG(382/(259+1))</f>
        <v>0.16709001494089079</v>
      </c>
      <c r="H12764">
        <f>0.0178571428571428*0.384738977591047</f>
        <v>6.8703388855543895E-3</v>
      </c>
      <c r="I12764">
        <v>6.8703388855544199E-3</v>
      </c>
    </row>
    <row r="12765" spans="1:9" x14ac:dyDescent="0.25">
      <c r="A12765">
        <v>458</v>
      </c>
      <c r="B12765" t="s">
        <v>3680</v>
      </c>
      <c r="C12765" t="s">
        <v>75</v>
      </c>
      <c r="D12765" t="s">
        <v>23</v>
      </c>
      <c r="E12765">
        <f t="shared" si="604"/>
        <v>1.7857142857142856E-2</v>
      </c>
      <c r="F12765">
        <v>275</v>
      </c>
      <c r="G12765">
        <f>LOG(382/(275+1))</f>
        <v>0.14115428084649101</v>
      </c>
      <c r="H12765">
        <f>0.0178571428571428*0.325019742889425</f>
        <v>5.803923980168285E-3</v>
      </c>
      <c r="I12765">
        <v>5.8039239801683058E-3</v>
      </c>
    </row>
    <row r="12766" spans="1:9" x14ac:dyDescent="0.25">
      <c r="A12766">
        <v>458</v>
      </c>
      <c r="B12766" t="s">
        <v>3680</v>
      </c>
      <c r="C12766" t="s">
        <v>75</v>
      </c>
      <c r="D12766" t="s">
        <v>2291</v>
      </c>
      <c r="E12766">
        <f t="shared" si="604"/>
        <v>1.7857142857142856E-2</v>
      </c>
      <c r="F12766">
        <v>17</v>
      </c>
      <c r="G12766">
        <f>LOG(382/(17+1))</f>
        <v>1.3267908578084027</v>
      </c>
      <c r="H12766">
        <f>0.0178571428571428*3.05504885071041</f>
        <v>5.4554443762685721E-2</v>
      </c>
      <c r="I12766">
        <v>5.4554443762685888E-2</v>
      </c>
    </row>
    <row r="12767" spans="1:9" x14ac:dyDescent="0.25">
      <c r="A12767">
        <v>458</v>
      </c>
      <c r="B12767" t="s">
        <v>3680</v>
      </c>
      <c r="C12767" t="s">
        <v>75</v>
      </c>
      <c r="D12767" t="s">
        <v>1537</v>
      </c>
      <c r="E12767">
        <f t="shared" si="604"/>
        <v>1.7857142857142856E-2</v>
      </c>
      <c r="F12767">
        <v>80</v>
      </c>
      <c r="G12767">
        <f>LOG(382/(80+1))</f>
        <v>0.67357834403305894</v>
      </c>
      <c r="H12767">
        <f>0.0178571428571428*1.55097145393413</f>
        <v>2.7695918820252234E-2</v>
      </c>
      <c r="I12767">
        <v>2.7695918820252439E-2</v>
      </c>
    </row>
    <row r="12768" spans="1:9" x14ac:dyDescent="0.25">
      <c r="A12768">
        <v>458</v>
      </c>
      <c r="B12768" t="s">
        <v>3680</v>
      </c>
      <c r="C12768" t="s">
        <v>75</v>
      </c>
      <c r="D12768" t="s">
        <v>362</v>
      </c>
      <c r="E12768">
        <f t="shared" si="604"/>
        <v>1.7857142857142856E-2</v>
      </c>
      <c r="F12768">
        <v>81</v>
      </c>
      <c r="G12768">
        <f>LOG(382/(81+1))</f>
        <v>0.66824951052799197</v>
      </c>
      <c r="H12768">
        <f>0.0178571428571428*1.53870136134232</f>
        <v>2.7476810023969914E-2</v>
      </c>
      <c r="I12768">
        <v>2.7476810023970032E-2</v>
      </c>
    </row>
    <row r="12769" spans="1:9" x14ac:dyDescent="0.25">
      <c r="A12769">
        <v>458</v>
      </c>
      <c r="B12769" t="s">
        <v>3680</v>
      </c>
      <c r="C12769" t="s">
        <v>75</v>
      </c>
      <c r="D12769" t="s">
        <v>1769</v>
      </c>
      <c r="E12769">
        <f t="shared" si="604"/>
        <v>1.7857142857142856E-2</v>
      </c>
      <c r="F12769">
        <v>84</v>
      </c>
      <c r="G12769">
        <f>LOG(382/(84+1))</f>
        <v>0.65264443719741605</v>
      </c>
      <c r="H12769">
        <f>0.0178571428571428*1.50276935211625</f>
        <v>2.6835167002075808E-2</v>
      </c>
      <c r="I12769">
        <v>2.6835167002076051E-2</v>
      </c>
    </row>
    <row r="12770" spans="1:9" x14ac:dyDescent="0.25">
      <c r="A12770">
        <v>458</v>
      </c>
      <c r="B12770" t="s">
        <v>3680</v>
      </c>
      <c r="C12770" t="s">
        <v>75</v>
      </c>
      <c r="D12770" t="s">
        <v>126</v>
      </c>
      <c r="E12770">
        <f t="shared" si="604"/>
        <v>1.7857142857142856E-2</v>
      </c>
      <c r="F12770">
        <v>79</v>
      </c>
      <c r="G12770">
        <f>LOG(382/(79+1))</f>
        <v>0.67897337591976514</v>
      </c>
      <c r="H12770">
        <f>0.0178571428571428*1.56339397393269</f>
        <v>2.7917749534512235E-2</v>
      </c>
      <c r="I12770">
        <v>2.7917749534512381E-2</v>
      </c>
    </row>
    <row r="12771" spans="1:9" x14ac:dyDescent="0.25">
      <c r="A12771">
        <v>458</v>
      </c>
      <c r="B12771" t="s">
        <v>3680</v>
      </c>
      <c r="C12771" t="s">
        <v>75</v>
      </c>
      <c r="D12771" t="s">
        <v>3622</v>
      </c>
      <c r="E12771">
        <f t="shared" si="604"/>
        <v>1.7857142857142856E-2</v>
      </c>
      <c r="F12771">
        <v>2</v>
      </c>
      <c r="G12771">
        <f>LOG(382/(2+1))</f>
        <v>2.1049421081920463</v>
      </c>
      <c r="H12771">
        <f>0.0178571428571428*4.84680831993846</f>
        <v>8.6550148570329374E-2</v>
      </c>
      <c r="I12771">
        <v>8.6550148570329735E-2</v>
      </c>
    </row>
    <row r="12772" spans="1:9" x14ac:dyDescent="0.25">
      <c r="A12772">
        <v>458</v>
      </c>
      <c r="B12772" t="s">
        <v>3680</v>
      </c>
      <c r="C12772" t="s">
        <v>75</v>
      </c>
      <c r="D12772" t="s">
        <v>1546</v>
      </c>
      <c r="E12772">
        <f t="shared" si="604"/>
        <v>1.7857142857142856E-2</v>
      </c>
      <c r="F12772">
        <v>44</v>
      </c>
      <c r="G12772">
        <f>LOG(382/(44+1))</f>
        <v>0.92885084913636506</v>
      </c>
      <c r="H12772">
        <f>0.0178571428571428*2.13875811883625</f>
        <v>3.8192109264932911E-2</v>
      </c>
      <c r="I12772">
        <v>3.8192109264933133E-2</v>
      </c>
    </row>
    <row r="12773" spans="1:9" x14ac:dyDescent="0.25">
      <c r="A12773">
        <v>458</v>
      </c>
      <c r="B12773" t="s">
        <v>3680</v>
      </c>
      <c r="C12773" t="s">
        <v>75</v>
      </c>
      <c r="D12773" t="s">
        <v>448</v>
      </c>
      <c r="E12773">
        <f t="shared" si="604"/>
        <v>1.7857142857142856E-2</v>
      </c>
      <c r="F12773">
        <v>19</v>
      </c>
      <c r="G12773">
        <f>LOG(382/(19+1))</f>
        <v>1.2810333672477277</v>
      </c>
      <c r="H12773">
        <f>0.0178571428571428*2.94968833505258</f>
        <v>5.2673005983081618E-2</v>
      </c>
      <c r="I12773">
        <v>5.2673005983081861E-2</v>
      </c>
    </row>
    <row r="12774" spans="1:9" x14ac:dyDescent="0.25">
      <c r="A12774">
        <v>458</v>
      </c>
      <c r="B12774" t="s">
        <v>3680</v>
      </c>
      <c r="C12774" t="s">
        <v>75</v>
      </c>
      <c r="D12774" t="s">
        <v>2238</v>
      </c>
      <c r="E12774">
        <f t="shared" si="604"/>
        <v>1.7857142857142856E-2</v>
      </c>
      <c r="F12774">
        <v>68</v>
      </c>
      <c r="G12774">
        <f>LOG(382/(68+1))</f>
        <v>0.74321427217445335</v>
      </c>
      <c r="H12774">
        <f>0.0178571428571428*1.71131410400931</f>
        <v>3.0559180428737582E-2</v>
      </c>
      <c r="I12774">
        <v>3.055918042873778E-2</v>
      </c>
    </row>
    <row r="12775" spans="1:9" x14ac:dyDescent="0.25">
      <c r="A12775">
        <v>458</v>
      </c>
      <c r="B12775" t="s">
        <v>3680</v>
      </c>
      <c r="C12775" t="s">
        <v>75</v>
      </c>
      <c r="D12775" t="s">
        <v>1448</v>
      </c>
      <c r="E12775">
        <f t="shared" si="604"/>
        <v>1.7857142857142856E-2</v>
      </c>
      <c r="F12775">
        <v>11</v>
      </c>
      <c r="G12775">
        <f>LOG(382/(11+1))</f>
        <v>1.5028821168640838</v>
      </c>
      <c r="H12775">
        <f>0.0178571428571428*3.46051395881857</f>
        <v>6.1794892121759981E-2</v>
      </c>
      <c r="I12775">
        <v>6.1794892121760273E-2</v>
      </c>
    </row>
    <row r="12776" spans="1:9" x14ac:dyDescent="0.25">
      <c r="A12776">
        <v>458</v>
      </c>
      <c r="B12776" t="s">
        <v>3680</v>
      </c>
      <c r="C12776" t="s">
        <v>75</v>
      </c>
      <c r="D12776" t="s">
        <v>1548</v>
      </c>
      <c r="E12776">
        <f t="shared" si="604"/>
        <v>1.7857142857142856E-2</v>
      </c>
      <c r="F12776">
        <v>6</v>
      </c>
      <c r="G12776">
        <f>LOG(382/(6+1))</f>
        <v>1.736965322897452</v>
      </c>
      <c r="H12776">
        <f>0.0178571428571428*3.99951045955126</f>
        <v>7.1419829634843709E-2</v>
      </c>
      <c r="I12776">
        <v>7.1419829634843959E-2</v>
      </c>
    </row>
    <row r="12777" spans="1:9" x14ac:dyDescent="0.25">
      <c r="A12777">
        <v>458</v>
      </c>
      <c r="B12777" t="s">
        <v>3680</v>
      </c>
      <c r="C12777" t="s">
        <v>75</v>
      </c>
      <c r="D12777" t="s">
        <v>3335</v>
      </c>
      <c r="E12777">
        <f t="shared" si="604"/>
        <v>1.7857142857142856E-2</v>
      </c>
      <c r="F12777">
        <v>16</v>
      </c>
      <c r="G12777">
        <f>LOG(382/(16+1))</f>
        <v>1.3516144415334348</v>
      </c>
      <c r="H12777">
        <f>0.0178571428571428*3.11220726455035</f>
        <v>5.5575129724113215E-2</v>
      </c>
      <c r="I12777">
        <v>5.5575129724113548E-2</v>
      </c>
    </row>
    <row r="12778" spans="1:9" x14ac:dyDescent="0.25">
      <c r="A12778">
        <v>458</v>
      </c>
      <c r="B12778" t="s">
        <v>3680</v>
      </c>
      <c r="C12778" t="s">
        <v>75</v>
      </c>
      <c r="D12778" t="s">
        <v>926</v>
      </c>
      <c r="E12778">
        <f t="shared" si="604"/>
        <v>1.7857142857142856E-2</v>
      </c>
      <c r="F12778">
        <v>4</v>
      </c>
      <c r="G12778">
        <f>LOG(382/(4+1))</f>
        <v>1.8830933585756899</v>
      </c>
      <c r="H12778">
        <f>0.0178571428571428*4.33598269617247</f>
        <v>7.7428262431651004E-2</v>
      </c>
      <c r="I12778">
        <v>7.7428262431651337E-2</v>
      </c>
    </row>
    <row r="12779" spans="1:9" x14ac:dyDescent="0.25">
      <c r="A12779">
        <v>458</v>
      </c>
      <c r="B12779" t="s">
        <v>3680</v>
      </c>
      <c r="C12779" t="s">
        <v>75</v>
      </c>
      <c r="D12779" t="s">
        <v>1739</v>
      </c>
      <c r="E12779">
        <f>2/56</f>
        <v>3.5714285714285712E-2</v>
      </c>
      <c r="F12779">
        <v>30</v>
      </c>
      <c r="G12779">
        <f>LOG(382/(30+1))</f>
        <v>1.090701669077436</v>
      </c>
      <c r="H12779">
        <f>0.0357142857142857*2.51143340412142</f>
        <v>8.9694050147193533E-2</v>
      </c>
      <c r="I12779">
        <v>8.9694050147193893E-2</v>
      </c>
    </row>
    <row r="12780" spans="1:9" x14ac:dyDescent="0.25">
      <c r="A12780">
        <v>458</v>
      </c>
      <c r="B12780" t="s">
        <v>3680</v>
      </c>
      <c r="C12780" t="s">
        <v>75</v>
      </c>
      <c r="D12780" t="s">
        <v>3381</v>
      </c>
      <c r="E12780">
        <f t="shared" ref="E12780:E12796" si="605">1/56</f>
        <v>1.7857142857142856E-2</v>
      </c>
      <c r="F12780">
        <v>6</v>
      </c>
      <c r="G12780">
        <f>LOG(382/(6+1))</f>
        <v>1.736965322897452</v>
      </c>
      <c r="H12780">
        <f>0.0178571428571428*3.99951045955126</f>
        <v>7.1419829634843709E-2</v>
      </c>
      <c r="I12780">
        <v>7.1419829634843959E-2</v>
      </c>
    </row>
    <row r="12781" spans="1:9" x14ac:dyDescent="0.25">
      <c r="A12781">
        <v>458</v>
      </c>
      <c r="B12781" t="s">
        <v>3680</v>
      </c>
      <c r="C12781" t="s">
        <v>75</v>
      </c>
      <c r="D12781" t="s">
        <v>3683</v>
      </c>
      <c r="E12781">
        <f t="shared" si="605"/>
        <v>1.7857142857142856E-2</v>
      </c>
      <c r="F12781">
        <v>1</v>
      </c>
      <c r="G12781">
        <f>LOG(382/(1+1))</f>
        <v>2.2810333672477277</v>
      </c>
      <c r="H12781">
        <f>0.0178571428571428*5.25227342804663</f>
        <v>9.3790596929403808E-2</v>
      </c>
      <c r="I12781">
        <v>9.3790596929404099E-2</v>
      </c>
    </row>
    <row r="12782" spans="1:9" x14ac:dyDescent="0.25">
      <c r="A12782">
        <v>458</v>
      </c>
      <c r="B12782" t="s">
        <v>3680</v>
      </c>
      <c r="C12782" t="s">
        <v>75</v>
      </c>
      <c r="D12782" t="s">
        <v>929</v>
      </c>
      <c r="E12782">
        <f t="shared" si="605"/>
        <v>1.7857142857142856E-2</v>
      </c>
      <c r="F12782">
        <v>32</v>
      </c>
      <c r="G12782">
        <f>LOG(382/(32+1))</f>
        <v>1.0635494230338212</v>
      </c>
      <c r="H12782">
        <f>0.0178571428571428*2.44891304714009</f>
        <v>4.3730590127501474E-2</v>
      </c>
      <c r="I12782">
        <v>4.3730590127501703E-2</v>
      </c>
    </row>
    <row r="12783" spans="1:9" x14ac:dyDescent="0.25">
      <c r="A12783">
        <v>458</v>
      </c>
      <c r="B12783" t="s">
        <v>3680</v>
      </c>
      <c r="C12783" t="s">
        <v>75</v>
      </c>
      <c r="D12783" t="s">
        <v>105</v>
      </c>
      <c r="E12783">
        <f t="shared" si="605"/>
        <v>1.7857142857142856E-2</v>
      </c>
      <c r="F12783">
        <v>122</v>
      </c>
      <c r="G12783">
        <f>LOG(382/(122+1))</f>
        <v>0.49215825147231079</v>
      </c>
      <c r="H12783">
        <f>0.0178571428571428*1.13323625323415</f>
        <v>2.0236361664895473E-2</v>
      </c>
      <c r="I12783">
        <v>2.0236361664895671E-2</v>
      </c>
    </row>
    <row r="12784" spans="1:9" x14ac:dyDescent="0.25">
      <c r="A12784">
        <v>458</v>
      </c>
      <c r="B12784" t="s">
        <v>3680</v>
      </c>
      <c r="C12784" t="s">
        <v>75</v>
      </c>
      <c r="D12784" t="s">
        <v>1730</v>
      </c>
      <c r="E12784">
        <f t="shared" si="605"/>
        <v>1.7857142857142856E-2</v>
      </c>
      <c r="F12784">
        <v>35</v>
      </c>
      <c r="G12784">
        <f>LOG(382/(35+1))</f>
        <v>1.0257608621444214</v>
      </c>
      <c r="H12784">
        <f>0.0178571428571428*2.36190167015046</f>
        <v>4.2176815538400941E-2</v>
      </c>
      <c r="I12784">
        <v>4.2176815538401163E-2</v>
      </c>
    </row>
    <row r="12785" spans="1:9" x14ac:dyDescent="0.25">
      <c r="A12785">
        <v>458</v>
      </c>
      <c r="B12785" t="s">
        <v>3680</v>
      </c>
      <c r="C12785" t="s">
        <v>75</v>
      </c>
      <c r="D12785" t="s">
        <v>3684</v>
      </c>
      <c r="E12785">
        <f t="shared" si="605"/>
        <v>1.7857142857142856E-2</v>
      </c>
      <c r="F12785">
        <v>1</v>
      </c>
      <c r="G12785">
        <f>LOG(382/(1+1))</f>
        <v>2.2810333672477277</v>
      </c>
      <c r="H12785">
        <f>0.0178571428571428*5.25227342804663</f>
        <v>9.3790596929403808E-2</v>
      </c>
      <c r="I12785">
        <v>9.3790596929404099E-2</v>
      </c>
    </row>
    <row r="12786" spans="1:9" x14ac:dyDescent="0.25">
      <c r="A12786">
        <v>458</v>
      </c>
      <c r="B12786" t="s">
        <v>3680</v>
      </c>
      <c r="C12786" t="s">
        <v>75</v>
      </c>
      <c r="D12786" t="s">
        <v>474</v>
      </c>
      <c r="E12786">
        <f t="shared" si="605"/>
        <v>1.7857142857142856E-2</v>
      </c>
      <c r="F12786">
        <v>25</v>
      </c>
      <c r="G12786">
        <f>LOG(382/(25+1))</f>
        <v>1.1670900149408907</v>
      </c>
      <c r="H12786">
        <f>0.0178571428571428*2.68732407058509</f>
        <v>4.7987929831876455E-2</v>
      </c>
      <c r="I12786">
        <v>4.7987929831876663E-2</v>
      </c>
    </row>
    <row r="12787" spans="1:9" x14ac:dyDescent="0.25">
      <c r="A12787">
        <v>458</v>
      </c>
      <c r="B12787" t="s">
        <v>3680</v>
      </c>
      <c r="C12787" t="s">
        <v>75</v>
      </c>
      <c r="D12787" t="s">
        <v>3685</v>
      </c>
      <c r="E12787">
        <f t="shared" si="605"/>
        <v>1.7857142857142856E-2</v>
      </c>
      <c r="F12787">
        <v>1</v>
      </c>
      <c r="G12787">
        <f>LOG(382/(1+1))</f>
        <v>2.2810333672477277</v>
      </c>
      <c r="H12787">
        <f>0.0178571428571428*5.25227342804663</f>
        <v>9.3790596929403808E-2</v>
      </c>
      <c r="I12787">
        <v>9.3790596929404099E-2</v>
      </c>
    </row>
    <row r="12788" spans="1:9" x14ac:dyDescent="0.25">
      <c r="A12788">
        <v>458</v>
      </c>
      <c r="B12788" t="s">
        <v>3680</v>
      </c>
      <c r="C12788" t="s">
        <v>75</v>
      </c>
      <c r="D12788" t="s">
        <v>237</v>
      </c>
      <c r="E12788">
        <f t="shared" si="605"/>
        <v>1.7857142857142856E-2</v>
      </c>
      <c r="F12788">
        <v>138</v>
      </c>
      <c r="G12788">
        <f>LOG(382/(138+1))</f>
        <v>0.43904856265761361</v>
      </c>
      <c r="H12788">
        <f>0.0178571428571428*1.01094667547588</f>
        <v>1.8052619204926373E-2</v>
      </c>
      <c r="I12788">
        <v>1.8052619204926491E-2</v>
      </c>
    </row>
    <row r="12789" spans="1:9" x14ac:dyDescent="0.25">
      <c r="A12789">
        <v>458</v>
      </c>
      <c r="B12789" t="s">
        <v>3680</v>
      </c>
      <c r="C12789" t="s">
        <v>75</v>
      </c>
      <c r="D12789" t="s">
        <v>3686</v>
      </c>
      <c r="E12789">
        <f t="shared" si="605"/>
        <v>1.7857142857142856E-2</v>
      </c>
      <c r="F12789">
        <v>1</v>
      </c>
      <c r="G12789">
        <f>LOG(382/(1+1))</f>
        <v>2.2810333672477277</v>
      </c>
      <c r="H12789">
        <f>0.0178571428571428*5.25227342804663</f>
        <v>9.3790596929403808E-2</v>
      </c>
      <c r="I12789">
        <v>9.3790596929404099E-2</v>
      </c>
    </row>
    <row r="12790" spans="1:9" x14ac:dyDescent="0.25">
      <c r="A12790">
        <v>458</v>
      </c>
      <c r="B12790" t="s">
        <v>3680</v>
      </c>
      <c r="C12790" t="s">
        <v>75</v>
      </c>
      <c r="D12790" t="s">
        <v>361</v>
      </c>
      <c r="E12790">
        <f t="shared" si="605"/>
        <v>1.7857142857142856E-2</v>
      </c>
      <c r="F12790">
        <v>118</v>
      </c>
      <c r="G12790">
        <f>LOG(382/(118+1))</f>
        <v>0.50651640151917798</v>
      </c>
      <c r="H12790">
        <f>0.0178571428571428*1.16629711549504</f>
        <v>2.0826734205268503E-2</v>
      </c>
      <c r="I12790">
        <v>2.082673420526868E-2</v>
      </c>
    </row>
    <row r="12791" spans="1:9" x14ac:dyDescent="0.25">
      <c r="A12791">
        <v>458</v>
      </c>
      <c r="B12791" t="s">
        <v>3680</v>
      </c>
      <c r="C12791" t="s">
        <v>75</v>
      </c>
      <c r="D12791" t="s">
        <v>434</v>
      </c>
      <c r="E12791">
        <f t="shared" si="605"/>
        <v>1.7857142857142856E-2</v>
      </c>
      <c r="F12791">
        <v>97</v>
      </c>
      <c r="G12791">
        <f>LOG(382/(97+1))</f>
        <v>0.59083728721921391</v>
      </c>
      <c r="H12791">
        <f>0.0178571428571428*1.360453129936</f>
        <v>2.4293805891714211E-2</v>
      </c>
      <c r="I12791">
        <v>2.4293805891714339E-2</v>
      </c>
    </row>
    <row r="12792" spans="1:9" x14ac:dyDescent="0.25">
      <c r="A12792">
        <v>458</v>
      </c>
      <c r="B12792" t="s">
        <v>3680</v>
      </c>
      <c r="C12792" t="s">
        <v>75</v>
      </c>
      <c r="D12792" t="s">
        <v>82</v>
      </c>
      <c r="E12792">
        <f t="shared" si="605"/>
        <v>1.7857142857142856E-2</v>
      </c>
      <c r="F12792">
        <v>92</v>
      </c>
      <c r="G12792">
        <f>LOG(382/(92+1))</f>
        <v>0.61358041435777355</v>
      </c>
      <c r="H12792">
        <f>0.0178571428571428*1.41282111545331</f>
        <v>2.5228948490237598E-2</v>
      </c>
      <c r="I12792">
        <v>2.5228948490237841E-2</v>
      </c>
    </row>
    <row r="12793" spans="1:9" x14ac:dyDescent="0.25">
      <c r="A12793">
        <v>458</v>
      </c>
      <c r="B12793" t="s">
        <v>3680</v>
      </c>
      <c r="C12793" t="s">
        <v>75</v>
      </c>
      <c r="D12793" t="s">
        <v>3687</v>
      </c>
      <c r="E12793">
        <f t="shared" si="605"/>
        <v>1.7857142857142856E-2</v>
      </c>
      <c r="F12793">
        <v>1</v>
      </c>
      <c r="G12793">
        <f>LOG(382/(1+1))</f>
        <v>2.2810333672477277</v>
      </c>
      <c r="H12793">
        <f>0.0178571428571428*5.25227342804663</f>
        <v>9.3790596929403808E-2</v>
      </c>
      <c r="I12793">
        <v>9.3790596929404099E-2</v>
      </c>
    </row>
    <row r="12794" spans="1:9" x14ac:dyDescent="0.25">
      <c r="A12794">
        <v>458</v>
      </c>
      <c r="B12794" t="s">
        <v>3680</v>
      </c>
      <c r="C12794" t="s">
        <v>75</v>
      </c>
      <c r="D12794" t="s">
        <v>1972</v>
      </c>
      <c r="E12794">
        <f t="shared" si="605"/>
        <v>1.7857142857142856E-2</v>
      </c>
      <c r="F12794">
        <v>9</v>
      </c>
      <c r="G12794">
        <f>LOG(382/(9+1))</f>
        <v>1.5820633629117087</v>
      </c>
      <c r="H12794">
        <f>0.0178571428571428*3.64283551561252</f>
        <v>6.5050634207366217E-2</v>
      </c>
      <c r="I12794">
        <v>6.5050634207366592E-2</v>
      </c>
    </row>
    <row r="12795" spans="1:9" x14ac:dyDescent="0.25">
      <c r="A12795">
        <v>458</v>
      </c>
      <c r="B12795" t="s">
        <v>3680</v>
      </c>
      <c r="C12795" t="s">
        <v>75</v>
      </c>
      <c r="D12795" t="s">
        <v>2242</v>
      </c>
      <c r="E12795">
        <f t="shared" si="605"/>
        <v>1.7857142857142856E-2</v>
      </c>
      <c r="F12795">
        <v>18</v>
      </c>
      <c r="G12795">
        <f>LOG(382/(18+1))</f>
        <v>1.3033097619588798</v>
      </c>
      <c r="H12795">
        <f>0.0178571428571428*3.00098162944013</f>
        <v>5.3588957668573585E-2</v>
      </c>
      <c r="I12795">
        <v>5.3588957668573828E-2</v>
      </c>
    </row>
    <row r="12796" spans="1:9" x14ac:dyDescent="0.25">
      <c r="A12796">
        <v>458</v>
      </c>
      <c r="B12796" t="s">
        <v>3680</v>
      </c>
      <c r="C12796" t="s">
        <v>75</v>
      </c>
      <c r="D12796" t="s">
        <v>214</v>
      </c>
      <c r="E12796">
        <f t="shared" si="605"/>
        <v>1.7857142857142856E-2</v>
      </c>
      <c r="F12796">
        <v>68</v>
      </c>
      <c r="G12796">
        <f>LOG(382/(68+1))</f>
        <v>0.74321427217445335</v>
      </c>
      <c r="H12796">
        <f>0.0178571428571428*1.71131410400931</f>
        <v>3.0559180428737582E-2</v>
      </c>
      <c r="I12796">
        <v>3.055918042873778E-2</v>
      </c>
    </row>
    <row r="12797" spans="1:9" x14ac:dyDescent="0.25">
      <c r="A12797">
        <v>458</v>
      </c>
      <c r="B12797" t="s">
        <v>3680</v>
      </c>
      <c r="C12797" t="s">
        <v>75</v>
      </c>
      <c r="D12797" t="s">
        <v>3444</v>
      </c>
      <c r="E12797">
        <f>2/56</f>
        <v>3.5714285714285712E-2</v>
      </c>
      <c r="F12797">
        <v>10</v>
      </c>
      <c r="G12797">
        <f>LOG(382/(10+1))</f>
        <v>1.5406706777534838</v>
      </c>
      <c r="H12797">
        <f>0.0357142857142857*3.5475253358082</f>
        <v>0.12669733342172138</v>
      </c>
      <c r="I12797">
        <v>0.1266973334217216</v>
      </c>
    </row>
    <row r="12798" spans="1:9" x14ac:dyDescent="0.25">
      <c r="A12798">
        <v>458</v>
      </c>
      <c r="B12798" t="s">
        <v>3680</v>
      </c>
      <c r="C12798" t="s">
        <v>75</v>
      </c>
      <c r="D12798" t="s">
        <v>243</v>
      </c>
      <c r="E12798">
        <f t="shared" ref="E12798:E12803" si="606">1/56</f>
        <v>1.7857142857142856E-2</v>
      </c>
      <c r="F12798">
        <v>131</v>
      </c>
      <c r="G12798">
        <f>LOG(382/(131+1))</f>
        <v>0.46148943170585888</v>
      </c>
      <c r="H12798">
        <f>0.0178571428571428*1.0626186860202</f>
        <v>1.8975333678932085E-2</v>
      </c>
      <c r="I12798">
        <v>1.897533367893222E-2</v>
      </c>
    </row>
    <row r="12799" spans="1:9" x14ac:dyDescent="0.25">
      <c r="A12799">
        <v>458</v>
      </c>
      <c r="B12799" t="s">
        <v>3680</v>
      </c>
      <c r="C12799" t="s">
        <v>75</v>
      </c>
      <c r="D12799" t="s">
        <v>770</v>
      </c>
      <c r="E12799">
        <f t="shared" si="606"/>
        <v>1.7857142857142856E-2</v>
      </c>
      <c r="F12799">
        <v>47</v>
      </c>
      <c r="G12799">
        <f>LOG(382/(47+1))</f>
        <v>0.90082212553612151</v>
      </c>
      <c r="H12799">
        <f>0.0178571428571428*2.07421959769868</f>
        <v>3.7039635673190602E-2</v>
      </c>
      <c r="I12799">
        <v>3.7039635673190789E-2</v>
      </c>
    </row>
    <row r="12800" spans="1:9" x14ac:dyDescent="0.25">
      <c r="A12800">
        <v>458</v>
      </c>
      <c r="B12800" t="s">
        <v>3680</v>
      </c>
      <c r="C12800" t="s">
        <v>75</v>
      </c>
      <c r="D12800" t="s">
        <v>307</v>
      </c>
      <c r="E12800">
        <f t="shared" si="606"/>
        <v>1.7857142857142856E-2</v>
      </c>
      <c r="F12800">
        <v>67</v>
      </c>
      <c r="G12800">
        <f>LOG(382/(67+1))</f>
        <v>0.7495544502054724</v>
      </c>
      <c r="H12800">
        <f>0.0178571428571428*1.72591290343046</f>
        <v>3.0819873275543832E-2</v>
      </c>
      <c r="I12800">
        <v>3.0819873275544071E-2</v>
      </c>
    </row>
    <row r="12801" spans="1:9" x14ac:dyDescent="0.25">
      <c r="A12801">
        <v>458</v>
      </c>
      <c r="B12801" t="s">
        <v>3680</v>
      </c>
      <c r="C12801" t="s">
        <v>75</v>
      </c>
      <c r="D12801" t="s">
        <v>455</v>
      </c>
      <c r="E12801">
        <f t="shared" si="606"/>
        <v>1.7857142857142856E-2</v>
      </c>
      <c r="F12801">
        <v>78</v>
      </c>
      <c r="G12801">
        <f>LOG(382/(78+1))</f>
        <v>0.6844362716212673</v>
      </c>
      <c r="H12801">
        <f>0.0178571428571428*1.57597275613955</f>
        <v>2.8142370645349017E-2</v>
      </c>
      <c r="I12801">
        <v>2.814237064534917E-2</v>
      </c>
    </row>
    <row r="12802" spans="1:9" x14ac:dyDescent="0.25">
      <c r="A12802">
        <v>458</v>
      </c>
      <c r="B12802" t="s">
        <v>3680</v>
      </c>
      <c r="C12802" t="s">
        <v>75</v>
      </c>
      <c r="D12802" t="s">
        <v>456</v>
      </c>
      <c r="E12802">
        <f t="shared" si="606"/>
        <v>1.7857142857142856E-2</v>
      </c>
      <c r="F12802">
        <v>71</v>
      </c>
      <c r="G12802">
        <f>LOG(382/(71+1))</f>
        <v>0.72473086648044027</v>
      </c>
      <c r="H12802">
        <f>0.0178571428571428*1.66875448959051</f>
        <v>2.9799187314116155E-2</v>
      </c>
      <c r="I12802">
        <v>2.9799187314116422E-2</v>
      </c>
    </row>
    <row r="12803" spans="1:9" x14ac:dyDescent="0.25">
      <c r="A12803">
        <v>458</v>
      </c>
      <c r="B12803" t="s">
        <v>3680</v>
      </c>
      <c r="C12803" t="s">
        <v>75</v>
      </c>
      <c r="D12803" t="s">
        <v>3688</v>
      </c>
      <c r="E12803">
        <f t="shared" si="606"/>
        <v>1.7857142857142856E-2</v>
      </c>
      <c r="F12803">
        <v>1</v>
      </c>
      <c r="G12803">
        <f>LOG(382/(1+1))</f>
        <v>2.2810333672477277</v>
      </c>
      <c r="H12803">
        <f>0.0178571428571428*5.25227342804663</f>
        <v>9.3790596929403808E-2</v>
      </c>
      <c r="I12803">
        <v>9.3790596929404099E-2</v>
      </c>
    </row>
    <row r="12804" spans="1:9" x14ac:dyDescent="0.25">
      <c r="A12804">
        <v>459</v>
      </c>
      <c r="B12804" t="s">
        <v>3689</v>
      </c>
      <c r="C12804" t="s">
        <v>75</v>
      </c>
      <c r="D12804" t="s">
        <v>3436</v>
      </c>
      <c r="E12804">
        <f>3/74</f>
        <v>4.0540540540540543E-2</v>
      </c>
      <c r="F12804">
        <v>10</v>
      </c>
      <c r="G12804">
        <f>LOG(382/(10+1))</f>
        <v>1.5406706777534838</v>
      </c>
      <c r="H12804">
        <f>0.0405405405405405*3.5475253358082</f>
        <v>0.14381859469492689</v>
      </c>
      <c r="I12804">
        <v>0.14381859469492719</v>
      </c>
    </row>
    <row r="12805" spans="1:9" x14ac:dyDescent="0.25">
      <c r="A12805">
        <v>459</v>
      </c>
      <c r="B12805" t="s">
        <v>3689</v>
      </c>
      <c r="C12805" t="s">
        <v>75</v>
      </c>
      <c r="D12805" t="s">
        <v>3690</v>
      </c>
      <c r="E12805">
        <f>4/74</f>
        <v>5.4054054054054057E-2</v>
      </c>
      <c r="F12805">
        <v>1</v>
      </c>
      <c r="G12805">
        <f>LOG(382/(1+1))</f>
        <v>2.2810333672477277</v>
      </c>
      <c r="H12805">
        <f>0.054054054054054*5.25227342804663</f>
        <v>0.28390667178630402</v>
      </c>
      <c r="I12805">
        <v>0.28390667178630441</v>
      </c>
    </row>
    <row r="12806" spans="1:9" x14ac:dyDescent="0.25">
      <c r="A12806">
        <v>459</v>
      </c>
      <c r="B12806" t="s">
        <v>3689</v>
      </c>
      <c r="C12806" t="s">
        <v>75</v>
      </c>
      <c r="D12806" t="s">
        <v>3691</v>
      </c>
      <c r="E12806">
        <f>4/74</f>
        <v>5.4054054054054057E-2</v>
      </c>
      <c r="F12806">
        <v>1</v>
      </c>
      <c r="G12806">
        <f>LOG(382/(1+1))</f>
        <v>2.2810333672477277</v>
      </c>
      <c r="H12806">
        <f>0.054054054054054*5.25227342804663</f>
        <v>0.28390667178630402</v>
      </c>
      <c r="I12806">
        <v>0.28390667178630441</v>
      </c>
    </row>
    <row r="12807" spans="1:9" x14ac:dyDescent="0.25">
      <c r="A12807">
        <v>459</v>
      </c>
      <c r="B12807" t="s">
        <v>3689</v>
      </c>
      <c r="C12807" t="s">
        <v>75</v>
      </c>
      <c r="D12807" t="s">
        <v>1287</v>
      </c>
      <c r="E12807">
        <f>5/74</f>
        <v>6.7567567567567571E-2</v>
      </c>
      <c r="F12807">
        <v>4</v>
      </c>
      <c r="G12807">
        <f>LOG(382/(4+1))</f>
        <v>1.8830933585756899</v>
      </c>
      <c r="H12807">
        <f>0.0675675675675675*4.33598269617247</f>
        <v>0.29297180379543691</v>
      </c>
      <c r="I12807">
        <v>0.29297180379543752</v>
      </c>
    </row>
    <row r="12808" spans="1:9" x14ac:dyDescent="0.25">
      <c r="A12808">
        <v>459</v>
      </c>
      <c r="B12808" t="s">
        <v>3689</v>
      </c>
      <c r="C12808" t="s">
        <v>75</v>
      </c>
      <c r="D12808" t="s">
        <v>1537</v>
      </c>
      <c r="E12808">
        <f>4/74</f>
        <v>5.4054054054054057E-2</v>
      </c>
      <c r="F12808">
        <v>80</v>
      </c>
      <c r="G12808">
        <f>LOG(382/(80+1))</f>
        <v>0.67357834403305894</v>
      </c>
      <c r="H12808">
        <f>0.054054054054054*1.55097145393413</f>
        <v>8.3836294807250189E-2</v>
      </c>
      <c r="I12808">
        <v>8.3836294807250619E-2</v>
      </c>
    </row>
    <row r="12809" spans="1:9" x14ac:dyDescent="0.25">
      <c r="A12809">
        <v>459</v>
      </c>
      <c r="B12809" t="s">
        <v>3689</v>
      </c>
      <c r="C12809" t="s">
        <v>75</v>
      </c>
      <c r="D12809" t="s">
        <v>42</v>
      </c>
      <c r="E12809">
        <f t="shared" ref="E12809:E12818" si="607">1/74</f>
        <v>1.3513513513513514E-2</v>
      </c>
      <c r="F12809">
        <v>251</v>
      </c>
      <c r="G12809">
        <f>LOG(382/(251+1))</f>
        <v>0.18066282213016463</v>
      </c>
      <c r="H12809">
        <f>0.0135135135135135*0.415991521095151</f>
        <v>5.6215070418263588E-3</v>
      </c>
      <c r="I12809">
        <v>5.621507041826377E-3</v>
      </c>
    </row>
    <row r="12810" spans="1:9" x14ac:dyDescent="0.25">
      <c r="A12810">
        <v>459</v>
      </c>
      <c r="B12810" t="s">
        <v>3689</v>
      </c>
      <c r="C12810" t="s">
        <v>75</v>
      </c>
      <c r="D12810" t="s">
        <v>600</v>
      </c>
      <c r="E12810">
        <f t="shared" si="607"/>
        <v>1.3513513513513514E-2</v>
      </c>
      <c r="F12810">
        <v>102</v>
      </c>
      <c r="G12810">
        <f>LOG(382/(102+1))</f>
        <v>0.56922613820653656</v>
      </c>
      <c r="H12810">
        <f>0.0135135135135135*1.31069162037693</f>
        <v>1.7712048924012552E-2</v>
      </c>
      <c r="I12810">
        <v>1.7712048924012701E-2</v>
      </c>
    </row>
    <row r="12811" spans="1:9" x14ac:dyDescent="0.25">
      <c r="A12811">
        <v>459</v>
      </c>
      <c r="B12811" t="s">
        <v>3689</v>
      </c>
      <c r="C12811" t="s">
        <v>75</v>
      </c>
      <c r="D12811" t="s">
        <v>1059</v>
      </c>
      <c r="E12811">
        <f t="shared" si="607"/>
        <v>1.3513513513513514E-2</v>
      </c>
      <c r="F12811">
        <v>16</v>
      </c>
      <c r="G12811">
        <f>LOG(382/(16+1))</f>
        <v>1.3516144415334348</v>
      </c>
      <c r="H12811">
        <f>0.0135135135135135*3.11220726455035</f>
        <v>4.2056854926356038E-2</v>
      </c>
      <c r="I12811">
        <v>4.2056854926356198E-2</v>
      </c>
    </row>
    <row r="12812" spans="1:9" x14ac:dyDescent="0.25">
      <c r="A12812">
        <v>459</v>
      </c>
      <c r="B12812" t="s">
        <v>3689</v>
      </c>
      <c r="C12812" t="s">
        <v>75</v>
      </c>
      <c r="D12812" t="s">
        <v>19</v>
      </c>
      <c r="E12812">
        <f t="shared" si="607"/>
        <v>1.3513513513513514E-2</v>
      </c>
      <c r="F12812">
        <v>220</v>
      </c>
      <c r="G12812">
        <f>LOG(382/(220+1))</f>
        <v>0.23767108922659805</v>
      </c>
      <c r="H12812">
        <f>0.0135135135135135*0.547257907088822</f>
        <v>7.3953771228219122E-3</v>
      </c>
      <c r="I12812">
        <v>7.3953771228219244E-3</v>
      </c>
    </row>
    <row r="12813" spans="1:9" x14ac:dyDescent="0.25">
      <c r="A12813">
        <v>459</v>
      </c>
      <c r="B12813" t="s">
        <v>3689</v>
      </c>
      <c r="C12813" t="s">
        <v>75</v>
      </c>
      <c r="D12813" t="s">
        <v>3692</v>
      </c>
      <c r="E12813">
        <f t="shared" si="607"/>
        <v>1.3513513513513514E-2</v>
      </c>
      <c r="F12813">
        <v>1</v>
      </c>
      <c r="G12813">
        <f>LOG(382/(1+1))</f>
        <v>2.2810333672477277</v>
      </c>
      <c r="H12813">
        <f>0.0135135135135135*5.25227342804663</f>
        <v>7.0976667946576005E-2</v>
      </c>
      <c r="I12813">
        <v>7.0976667946576089E-2</v>
      </c>
    </row>
    <row r="12814" spans="1:9" x14ac:dyDescent="0.25">
      <c r="A12814">
        <v>459</v>
      </c>
      <c r="B12814" t="s">
        <v>3689</v>
      </c>
      <c r="C12814" t="s">
        <v>75</v>
      </c>
      <c r="D12814" t="s">
        <v>22</v>
      </c>
      <c r="E12814">
        <f t="shared" si="607"/>
        <v>1.3513513513513514E-2</v>
      </c>
      <c r="F12814">
        <v>259</v>
      </c>
      <c r="G12814">
        <f>LOG(382/(259+1))</f>
        <v>0.16709001494089079</v>
      </c>
      <c r="H12814">
        <f>0.0135135135135135*0.384738977591047</f>
        <v>5.1991753728519814E-3</v>
      </c>
      <c r="I12814">
        <v>5.1991753728519944E-3</v>
      </c>
    </row>
    <row r="12815" spans="1:9" x14ac:dyDescent="0.25">
      <c r="A12815">
        <v>459</v>
      </c>
      <c r="B12815" t="s">
        <v>3689</v>
      </c>
      <c r="C12815" t="s">
        <v>75</v>
      </c>
      <c r="D12815" t="s">
        <v>23</v>
      </c>
      <c r="E12815">
        <f t="shared" si="607"/>
        <v>1.3513513513513514E-2</v>
      </c>
      <c r="F12815">
        <v>275</v>
      </c>
      <c r="G12815">
        <f>LOG(382/(275+1))</f>
        <v>0.14115428084649101</v>
      </c>
      <c r="H12815">
        <f>0.0135135135135135*0.325019742889425</f>
        <v>4.3921586876949281E-3</v>
      </c>
      <c r="I12815">
        <v>4.392158687694935E-3</v>
      </c>
    </row>
    <row r="12816" spans="1:9" x14ac:dyDescent="0.25">
      <c r="A12816">
        <v>459</v>
      </c>
      <c r="B12816" t="s">
        <v>3689</v>
      </c>
      <c r="C12816" t="s">
        <v>75</v>
      </c>
      <c r="D12816" t="s">
        <v>3693</v>
      </c>
      <c r="E12816">
        <f t="shared" si="607"/>
        <v>1.3513513513513514E-2</v>
      </c>
      <c r="F12816">
        <v>1</v>
      </c>
      <c r="G12816">
        <f>LOG(382/(1+1))</f>
        <v>2.2810333672477277</v>
      </c>
      <c r="H12816">
        <f>0.0135135135135135*5.25227342804663</f>
        <v>7.0976667946576005E-2</v>
      </c>
      <c r="I12816">
        <v>7.0976667946576089E-2</v>
      </c>
    </row>
    <row r="12817" spans="1:9" x14ac:dyDescent="0.25">
      <c r="A12817">
        <v>459</v>
      </c>
      <c r="B12817" t="s">
        <v>3689</v>
      </c>
      <c r="C12817" t="s">
        <v>75</v>
      </c>
      <c r="D12817" t="s">
        <v>105</v>
      </c>
      <c r="E12817">
        <f t="shared" si="607"/>
        <v>1.3513513513513514E-2</v>
      </c>
      <c r="F12817">
        <v>122</v>
      </c>
      <c r="G12817">
        <f>LOG(382/(122+1))</f>
        <v>0.49215825147231079</v>
      </c>
      <c r="H12817">
        <f>0.0135135135135135*1.13323625323415</f>
        <v>1.5314003422083094E-2</v>
      </c>
      <c r="I12817">
        <v>1.531400342208321E-2</v>
      </c>
    </row>
    <row r="12818" spans="1:9" x14ac:dyDescent="0.25">
      <c r="A12818">
        <v>459</v>
      </c>
      <c r="B12818" t="s">
        <v>3689</v>
      </c>
      <c r="C12818" t="s">
        <v>75</v>
      </c>
      <c r="D12818" t="s">
        <v>1769</v>
      </c>
      <c r="E12818">
        <f t="shared" si="607"/>
        <v>1.3513513513513514E-2</v>
      </c>
      <c r="F12818">
        <v>84</v>
      </c>
      <c r="G12818">
        <f>LOG(382/(84+1))</f>
        <v>0.65264443719741605</v>
      </c>
      <c r="H12818">
        <f>0.0135135135135135*1.50276935211625</f>
        <v>2.0307693947516872E-2</v>
      </c>
      <c r="I12818">
        <v>2.0307693947517011E-2</v>
      </c>
    </row>
    <row r="12819" spans="1:9" x14ac:dyDescent="0.25">
      <c r="A12819">
        <v>459</v>
      </c>
      <c r="B12819" t="s">
        <v>3689</v>
      </c>
      <c r="C12819" t="s">
        <v>75</v>
      </c>
      <c r="D12819" t="s">
        <v>126</v>
      </c>
      <c r="E12819">
        <f>2/74</f>
        <v>2.7027027027027029E-2</v>
      </c>
      <c r="F12819">
        <v>79</v>
      </c>
      <c r="G12819">
        <f>LOG(382/(79+1))</f>
        <v>0.67897337591976514</v>
      </c>
      <c r="H12819">
        <f>0.027027027027027*1.56339397393269</f>
        <v>4.2253891187369962E-2</v>
      </c>
      <c r="I12819">
        <v>4.22538911873701E-2</v>
      </c>
    </row>
    <row r="12820" spans="1:9" x14ac:dyDescent="0.25">
      <c r="A12820">
        <v>459</v>
      </c>
      <c r="B12820" t="s">
        <v>3689</v>
      </c>
      <c r="C12820" t="s">
        <v>75</v>
      </c>
      <c r="D12820" t="s">
        <v>50</v>
      </c>
      <c r="E12820">
        <f>3/74</f>
        <v>4.0540540540540543E-2</v>
      </c>
      <c r="F12820">
        <v>109</v>
      </c>
      <c r="G12820">
        <f>LOG(382/(109+1))</f>
        <v>0.54067067775348365</v>
      </c>
      <c r="H12820">
        <f>0.0405405405405405*1.24494024281415</f>
        <v>5.0470550384357389E-2</v>
      </c>
      <c r="I12820">
        <v>5.0470550384357799E-2</v>
      </c>
    </row>
    <row r="12821" spans="1:9" x14ac:dyDescent="0.25">
      <c r="A12821">
        <v>459</v>
      </c>
      <c r="B12821" t="s">
        <v>3689</v>
      </c>
      <c r="C12821" t="s">
        <v>75</v>
      </c>
      <c r="D12821" t="s">
        <v>1546</v>
      </c>
      <c r="E12821">
        <f>1/74</f>
        <v>1.3513513513513514E-2</v>
      </c>
      <c r="F12821">
        <v>44</v>
      </c>
      <c r="G12821">
        <f>LOG(382/(44+1))</f>
        <v>0.92885084913636506</v>
      </c>
      <c r="H12821">
        <f>0.0135135135135135*2.13875811883625</f>
        <v>2.8902136741030374E-2</v>
      </c>
      <c r="I12821">
        <v>2.8902136741030478E-2</v>
      </c>
    </row>
    <row r="12822" spans="1:9" x14ac:dyDescent="0.25">
      <c r="A12822">
        <v>459</v>
      </c>
      <c r="B12822" t="s">
        <v>3689</v>
      </c>
      <c r="C12822" t="s">
        <v>75</v>
      </c>
      <c r="D12822" t="s">
        <v>1551</v>
      </c>
      <c r="E12822">
        <f>1/74</f>
        <v>1.3513513513513514E-2</v>
      </c>
      <c r="F12822">
        <v>15</v>
      </c>
      <c r="G12822">
        <f>LOG(382/(15+1))</f>
        <v>1.3779433802557839</v>
      </c>
      <c r="H12822">
        <f>0.0135135135135135*3.17283188636679</f>
        <v>4.287610657252415E-2</v>
      </c>
      <c r="I12822">
        <v>4.2876106572524247E-2</v>
      </c>
    </row>
    <row r="12823" spans="1:9" x14ac:dyDescent="0.25">
      <c r="A12823">
        <v>459</v>
      </c>
      <c r="B12823" t="s">
        <v>3689</v>
      </c>
      <c r="C12823" t="s">
        <v>75</v>
      </c>
      <c r="D12823" t="s">
        <v>1550</v>
      </c>
      <c r="E12823">
        <f>1/74</f>
        <v>1.3513513513513514E-2</v>
      </c>
      <c r="F12823">
        <v>16</v>
      </c>
      <c r="G12823">
        <f>LOG(382/(16+1))</f>
        <v>1.3516144415334348</v>
      </c>
      <c r="H12823">
        <f>0.0135135135135135*3.11220726455035</f>
        <v>4.2056854926356038E-2</v>
      </c>
      <c r="I12823">
        <v>4.2056854926356198E-2</v>
      </c>
    </row>
    <row r="12824" spans="1:9" x14ac:dyDescent="0.25">
      <c r="A12824">
        <v>459</v>
      </c>
      <c r="B12824" t="s">
        <v>3689</v>
      </c>
      <c r="C12824" t="s">
        <v>75</v>
      </c>
      <c r="D12824" t="s">
        <v>1730</v>
      </c>
      <c r="E12824">
        <f>2/74</f>
        <v>2.7027027027027029E-2</v>
      </c>
      <c r="F12824">
        <v>35</v>
      </c>
      <c r="G12824">
        <f>LOG(382/(35+1))</f>
        <v>1.0257608621444214</v>
      </c>
      <c r="H12824">
        <f>0.027027027027027*2.36190167015046</f>
        <v>6.3835180274336698E-2</v>
      </c>
      <c r="I12824">
        <v>6.3835180274336892E-2</v>
      </c>
    </row>
    <row r="12825" spans="1:9" x14ac:dyDescent="0.25">
      <c r="A12825">
        <v>459</v>
      </c>
      <c r="B12825" t="s">
        <v>3689</v>
      </c>
      <c r="C12825" t="s">
        <v>75</v>
      </c>
      <c r="D12825" t="s">
        <v>1665</v>
      </c>
      <c r="E12825">
        <f>2/74</f>
        <v>2.7027027027027029E-2</v>
      </c>
      <c r="F12825">
        <v>17</v>
      </c>
      <c r="G12825">
        <f>LOG(382/(17+1))</f>
        <v>1.3267908578084027</v>
      </c>
      <c r="H12825">
        <f>0.027027027027027*3.05504885071041</f>
        <v>8.2568887857038031E-2</v>
      </c>
      <c r="I12825">
        <v>8.2568887857038115E-2</v>
      </c>
    </row>
    <row r="12826" spans="1:9" x14ac:dyDescent="0.25">
      <c r="A12826">
        <v>459</v>
      </c>
      <c r="B12826" t="s">
        <v>3689</v>
      </c>
      <c r="C12826" t="s">
        <v>75</v>
      </c>
      <c r="D12826" t="s">
        <v>3694</v>
      </c>
      <c r="E12826">
        <f t="shared" ref="E12826:E12836" si="608">1/74</f>
        <v>1.3513513513513514E-2</v>
      </c>
      <c r="F12826">
        <v>1</v>
      </c>
      <c r="G12826">
        <f>LOG(382/(1+1))</f>
        <v>2.2810333672477277</v>
      </c>
      <c r="H12826">
        <f>0.0135135135135135*5.25227342804663</f>
        <v>7.0976667946576005E-2</v>
      </c>
      <c r="I12826">
        <v>7.0976667946576089E-2</v>
      </c>
    </row>
    <row r="12827" spans="1:9" x14ac:dyDescent="0.25">
      <c r="A12827">
        <v>459</v>
      </c>
      <c r="B12827" t="s">
        <v>3689</v>
      </c>
      <c r="C12827" t="s">
        <v>75</v>
      </c>
      <c r="D12827" t="s">
        <v>3695</v>
      </c>
      <c r="E12827">
        <f t="shared" si="608"/>
        <v>1.3513513513513514E-2</v>
      </c>
      <c r="F12827">
        <v>1</v>
      </c>
      <c r="G12827">
        <f>LOG(382/(1+1))</f>
        <v>2.2810333672477277</v>
      </c>
      <c r="H12827">
        <f>0.0135135135135135*5.25227342804663</f>
        <v>7.0976667946576005E-2</v>
      </c>
      <c r="I12827">
        <v>7.0976667946576089E-2</v>
      </c>
    </row>
    <row r="12828" spans="1:9" x14ac:dyDescent="0.25">
      <c r="A12828">
        <v>459</v>
      </c>
      <c r="B12828" t="s">
        <v>3689</v>
      </c>
      <c r="C12828" t="s">
        <v>75</v>
      </c>
      <c r="D12828" t="s">
        <v>754</v>
      </c>
      <c r="E12828">
        <f t="shared" si="608"/>
        <v>1.3513513513513514E-2</v>
      </c>
      <c r="F12828">
        <v>111</v>
      </c>
      <c r="G12828">
        <f>LOG(382/(111+1))</f>
        <v>0.53284534024152708</v>
      </c>
      <c r="H12828">
        <f>0.0135135135135135*1.22692173731148</f>
        <v>1.6580023477182147E-2</v>
      </c>
      <c r="I12828">
        <v>1.6580023477182172E-2</v>
      </c>
    </row>
    <row r="12829" spans="1:9" x14ac:dyDescent="0.25">
      <c r="A12829">
        <v>459</v>
      </c>
      <c r="B12829" t="s">
        <v>3689</v>
      </c>
      <c r="C12829" t="s">
        <v>75</v>
      </c>
      <c r="D12829" t="s">
        <v>767</v>
      </c>
      <c r="E12829">
        <f t="shared" si="608"/>
        <v>1.3513513513513514E-2</v>
      </c>
      <c r="F12829">
        <v>47</v>
      </c>
      <c r="G12829">
        <f>LOG(382/(47+1))</f>
        <v>0.90082212553612151</v>
      </c>
      <c r="H12829">
        <f>0.0135135135135135*2.07421959769868</f>
        <v>2.8029994563495652E-2</v>
      </c>
      <c r="I12829">
        <v>2.8029994563495728E-2</v>
      </c>
    </row>
    <row r="12830" spans="1:9" x14ac:dyDescent="0.25">
      <c r="A12830">
        <v>459</v>
      </c>
      <c r="B12830" t="s">
        <v>3689</v>
      </c>
      <c r="C12830" t="s">
        <v>75</v>
      </c>
      <c r="D12830" t="s">
        <v>256</v>
      </c>
      <c r="E12830">
        <f t="shared" si="608"/>
        <v>1.3513513513513514E-2</v>
      </c>
      <c r="F12830">
        <v>28</v>
      </c>
      <c r="G12830">
        <f>LOG(382/(28+1))</f>
        <v>1.1196653650127526</v>
      </c>
      <c r="H12830">
        <f>0.0135135135135135*2.5781247786201</f>
        <v>3.4839524035406723E-2</v>
      </c>
      <c r="I12830">
        <v>3.4839524035406771E-2</v>
      </c>
    </row>
    <row r="12831" spans="1:9" x14ac:dyDescent="0.25">
      <c r="A12831">
        <v>459</v>
      </c>
      <c r="B12831" t="s">
        <v>3689</v>
      </c>
      <c r="C12831" t="s">
        <v>75</v>
      </c>
      <c r="D12831" t="s">
        <v>994</v>
      </c>
      <c r="E12831">
        <f t="shared" si="608"/>
        <v>1.3513513513513514E-2</v>
      </c>
      <c r="F12831">
        <v>37</v>
      </c>
      <c r="G12831">
        <f>LOG(382/(37+1))</f>
        <v>1.0022797662948986</v>
      </c>
      <c r="H12831">
        <f>0.0135135135135135*2.30783444888018</f>
        <v>3.1186952011894292E-2</v>
      </c>
      <c r="I12831">
        <v>3.1186952011894451E-2</v>
      </c>
    </row>
    <row r="12832" spans="1:9" x14ac:dyDescent="0.25">
      <c r="A12832">
        <v>459</v>
      </c>
      <c r="B12832" t="s">
        <v>3689</v>
      </c>
      <c r="C12832" t="s">
        <v>75</v>
      </c>
      <c r="D12832" t="s">
        <v>3696</v>
      </c>
      <c r="E12832">
        <f t="shared" si="608"/>
        <v>1.3513513513513514E-2</v>
      </c>
      <c r="F12832">
        <v>1</v>
      </c>
      <c r="G12832">
        <f>LOG(382/(1+1))</f>
        <v>2.2810333672477277</v>
      </c>
      <c r="H12832">
        <f>0.0135135135135135*5.25227342804663</f>
        <v>7.0976667946576005E-2</v>
      </c>
      <c r="I12832">
        <v>7.0976667946576089E-2</v>
      </c>
    </row>
    <row r="12833" spans="1:9" x14ac:dyDescent="0.25">
      <c r="A12833">
        <v>459</v>
      </c>
      <c r="B12833" t="s">
        <v>3689</v>
      </c>
      <c r="C12833" t="s">
        <v>75</v>
      </c>
      <c r="D12833" t="s">
        <v>327</v>
      </c>
      <c r="E12833">
        <f t="shared" si="608"/>
        <v>1.3513513513513514E-2</v>
      </c>
      <c r="F12833">
        <v>46</v>
      </c>
      <c r="G12833">
        <f>LOG(382/(46+1))</f>
        <v>0.90996550497599127</v>
      </c>
      <c r="H12833">
        <f>0.0135135135135135*2.09527300689651</f>
        <v>2.8314500093196058E-2</v>
      </c>
      <c r="I12833">
        <v>2.8314500093196169E-2</v>
      </c>
    </row>
    <row r="12834" spans="1:9" x14ac:dyDescent="0.25">
      <c r="A12834">
        <v>459</v>
      </c>
      <c r="B12834" t="s">
        <v>3689</v>
      </c>
      <c r="C12834" t="s">
        <v>75</v>
      </c>
      <c r="D12834" t="s">
        <v>2767</v>
      </c>
      <c r="E12834">
        <f t="shared" si="608"/>
        <v>1.3513513513513514E-2</v>
      </c>
      <c r="F12834">
        <v>2</v>
      </c>
      <c r="G12834">
        <f>LOG(382/(2+1))</f>
        <v>2.1049421081920463</v>
      </c>
      <c r="H12834">
        <f>0.0135135135135135*4.84680831993846</f>
        <v>6.5497409728898046E-2</v>
      </c>
      <c r="I12834">
        <v>6.5497409728898184E-2</v>
      </c>
    </row>
    <row r="12835" spans="1:9" x14ac:dyDescent="0.25">
      <c r="A12835">
        <v>459</v>
      </c>
      <c r="B12835" t="s">
        <v>3689</v>
      </c>
      <c r="C12835" t="s">
        <v>75</v>
      </c>
      <c r="D12835" t="s">
        <v>1762</v>
      </c>
      <c r="E12835">
        <f t="shared" si="608"/>
        <v>1.3513513513513514E-2</v>
      </c>
      <c r="F12835">
        <v>60</v>
      </c>
      <c r="G12835">
        <f>LOG(382/(60+1))</f>
        <v>0.79673352790094176</v>
      </c>
      <c r="H12835">
        <f>0.0135135135135135*1.83454674443326</f>
        <v>2.4791172222071056E-2</v>
      </c>
      <c r="I12835">
        <v>2.4791172222071139E-2</v>
      </c>
    </row>
    <row r="12836" spans="1:9" x14ac:dyDescent="0.25">
      <c r="A12836">
        <v>459</v>
      </c>
      <c r="B12836" t="s">
        <v>3689</v>
      </c>
      <c r="C12836" t="s">
        <v>75</v>
      </c>
      <c r="D12836" t="s">
        <v>98</v>
      </c>
      <c r="E12836">
        <f t="shared" si="608"/>
        <v>1.3513513513513514E-2</v>
      </c>
      <c r="F12836">
        <v>56</v>
      </c>
      <c r="G12836">
        <f>LOG(382/(56+1))</f>
        <v>0.82618850723921733</v>
      </c>
      <c r="H12836">
        <f>0.0135135135135135*1.90236934077202</f>
        <v>2.570769379421646E-2</v>
      </c>
      <c r="I12836">
        <v>2.5707693794216561E-2</v>
      </c>
    </row>
    <row r="12837" spans="1:9" x14ac:dyDescent="0.25">
      <c r="A12837">
        <v>459</v>
      </c>
      <c r="B12837" t="s">
        <v>3689</v>
      </c>
      <c r="C12837" t="s">
        <v>75</v>
      </c>
      <c r="D12837" t="s">
        <v>1775</v>
      </c>
      <c r="E12837">
        <f>2/74</f>
        <v>2.7027027027027029E-2</v>
      </c>
      <c r="F12837">
        <v>10</v>
      </c>
      <c r="G12837">
        <f>LOG(382/(10+1))</f>
        <v>1.5406706777534838</v>
      </c>
      <c r="H12837">
        <f>0.027027027027027*3.5475253358082</f>
        <v>9.5879063129951259E-2</v>
      </c>
      <c r="I12837">
        <v>9.5879063129951481E-2</v>
      </c>
    </row>
    <row r="12838" spans="1:9" x14ac:dyDescent="0.25">
      <c r="A12838">
        <v>459</v>
      </c>
      <c r="B12838" t="s">
        <v>3689</v>
      </c>
      <c r="C12838" t="s">
        <v>75</v>
      </c>
      <c r="D12838" t="s">
        <v>3697</v>
      </c>
      <c r="E12838">
        <f t="shared" ref="E12838:E12856" si="609">1/74</f>
        <v>1.3513513513513514E-2</v>
      </c>
      <c r="F12838">
        <v>1</v>
      </c>
      <c r="G12838">
        <f>LOG(382/(1+1))</f>
        <v>2.2810333672477277</v>
      </c>
      <c r="H12838">
        <f>0.0135135135135135*5.25227342804663</f>
        <v>7.0976667946576005E-2</v>
      </c>
      <c r="I12838">
        <v>7.0976667946576089E-2</v>
      </c>
    </row>
    <row r="12839" spans="1:9" x14ac:dyDescent="0.25">
      <c r="A12839">
        <v>459</v>
      </c>
      <c r="B12839" t="s">
        <v>3689</v>
      </c>
      <c r="C12839" t="s">
        <v>75</v>
      </c>
      <c r="D12839" t="s">
        <v>1748</v>
      </c>
      <c r="E12839">
        <f t="shared" si="609"/>
        <v>1.3513513513513514E-2</v>
      </c>
      <c r="F12839">
        <v>12</v>
      </c>
      <c r="G12839">
        <f>LOG(382/(12+1))</f>
        <v>1.468120010604872</v>
      </c>
      <c r="H12839">
        <f>0.0135135135135135*3.38047125114503</f>
        <v>4.5682043934392257E-2</v>
      </c>
      <c r="I12839">
        <v>4.5682043934392423E-2</v>
      </c>
    </row>
    <row r="12840" spans="1:9" x14ac:dyDescent="0.25">
      <c r="A12840">
        <v>459</v>
      </c>
      <c r="B12840" t="s">
        <v>3689</v>
      </c>
      <c r="C12840" t="s">
        <v>75</v>
      </c>
      <c r="D12840" t="s">
        <v>214</v>
      </c>
      <c r="E12840">
        <f t="shared" si="609"/>
        <v>1.3513513513513514E-2</v>
      </c>
      <c r="F12840">
        <v>68</v>
      </c>
      <c r="G12840">
        <f>LOG(382/(68+1))</f>
        <v>0.74321427217445335</v>
      </c>
      <c r="H12840">
        <f>0.0135135135135135*1.71131410400931</f>
        <v>2.3125866270396058E-2</v>
      </c>
      <c r="I12840">
        <v>2.3125866270396159E-2</v>
      </c>
    </row>
    <row r="12841" spans="1:9" x14ac:dyDescent="0.25">
      <c r="A12841">
        <v>459</v>
      </c>
      <c r="B12841" t="s">
        <v>3689</v>
      </c>
      <c r="C12841" t="s">
        <v>75</v>
      </c>
      <c r="D12841" t="s">
        <v>243</v>
      </c>
      <c r="E12841">
        <f t="shared" si="609"/>
        <v>1.3513513513513514E-2</v>
      </c>
      <c r="F12841">
        <v>131</v>
      </c>
      <c r="G12841">
        <f>LOG(382/(131+1))</f>
        <v>0.46148943170585888</v>
      </c>
      <c r="H12841">
        <f>0.0135135135135135*1.0626186860202</f>
        <v>1.4359711973245932E-2</v>
      </c>
      <c r="I12841">
        <v>1.4359711973246E-2</v>
      </c>
    </row>
    <row r="12842" spans="1:9" x14ac:dyDescent="0.25">
      <c r="A12842">
        <v>459</v>
      </c>
      <c r="B12842" t="s">
        <v>3689</v>
      </c>
      <c r="C12842" t="s">
        <v>75</v>
      </c>
      <c r="D12842" t="s">
        <v>770</v>
      </c>
      <c r="E12842">
        <f t="shared" si="609"/>
        <v>1.3513513513513514E-2</v>
      </c>
      <c r="F12842">
        <v>47</v>
      </c>
      <c r="G12842">
        <f>LOG(382/(47+1))</f>
        <v>0.90082212553612151</v>
      </c>
      <c r="H12842">
        <f>0.0135135135135135*2.07421959769868</f>
        <v>2.8029994563495652E-2</v>
      </c>
      <c r="I12842">
        <v>2.8029994563495728E-2</v>
      </c>
    </row>
    <row r="12843" spans="1:9" x14ac:dyDescent="0.25">
      <c r="A12843">
        <v>459</v>
      </c>
      <c r="B12843" t="s">
        <v>3689</v>
      </c>
      <c r="C12843" t="s">
        <v>75</v>
      </c>
      <c r="D12843" t="s">
        <v>307</v>
      </c>
      <c r="E12843">
        <f t="shared" si="609"/>
        <v>1.3513513513513514E-2</v>
      </c>
      <c r="F12843">
        <v>67</v>
      </c>
      <c r="G12843">
        <f>LOG(382/(67+1))</f>
        <v>0.7495544502054724</v>
      </c>
      <c r="H12843">
        <f>0.0135135135135135*1.72591290343046</f>
        <v>2.3323147343654843E-2</v>
      </c>
      <c r="I12843">
        <v>2.3323147343654978E-2</v>
      </c>
    </row>
    <row r="12844" spans="1:9" x14ac:dyDescent="0.25">
      <c r="A12844">
        <v>459</v>
      </c>
      <c r="B12844" t="s">
        <v>3689</v>
      </c>
      <c r="C12844" t="s">
        <v>75</v>
      </c>
      <c r="D12844" t="s">
        <v>455</v>
      </c>
      <c r="E12844">
        <f t="shared" si="609"/>
        <v>1.3513513513513514E-2</v>
      </c>
      <c r="F12844">
        <v>78</v>
      </c>
      <c r="G12844">
        <f>LOG(382/(78+1))</f>
        <v>0.6844362716212673</v>
      </c>
      <c r="H12844">
        <f>0.0135135135135135*1.57597275613955</f>
        <v>2.1296929137020925E-2</v>
      </c>
      <c r="I12844">
        <v>2.1296929137021001E-2</v>
      </c>
    </row>
    <row r="12845" spans="1:9" x14ac:dyDescent="0.25">
      <c r="A12845">
        <v>459</v>
      </c>
      <c r="B12845" t="s">
        <v>3689</v>
      </c>
      <c r="C12845" t="s">
        <v>75</v>
      </c>
      <c r="D12845" t="s">
        <v>456</v>
      </c>
      <c r="E12845">
        <f t="shared" si="609"/>
        <v>1.3513513513513514E-2</v>
      </c>
      <c r="F12845">
        <v>71</v>
      </c>
      <c r="G12845">
        <f>LOG(382/(71+1))</f>
        <v>0.72473086648044027</v>
      </c>
      <c r="H12845">
        <f>0.0135135135135135*1.66875448959051</f>
        <v>2.2550736345817682E-2</v>
      </c>
      <c r="I12845">
        <v>2.2550736345817831E-2</v>
      </c>
    </row>
    <row r="12846" spans="1:9" x14ac:dyDescent="0.25">
      <c r="A12846">
        <v>459</v>
      </c>
      <c r="B12846" t="s">
        <v>3689</v>
      </c>
      <c r="C12846" t="s">
        <v>75</v>
      </c>
      <c r="D12846" t="s">
        <v>81</v>
      </c>
      <c r="E12846">
        <f t="shared" si="609"/>
        <v>1.3513513513513514E-2</v>
      </c>
      <c r="F12846">
        <v>114</v>
      </c>
      <c r="G12846">
        <f>LOG(382/(114+1))</f>
        <v>0.52136552255809698</v>
      </c>
      <c r="H12846">
        <f>0.0135135135135135*1.20048848024332</f>
        <v>1.622281730058539E-2</v>
      </c>
      <c r="I12846">
        <v>1.622281730058547E-2</v>
      </c>
    </row>
    <row r="12847" spans="1:9" x14ac:dyDescent="0.25">
      <c r="A12847">
        <v>459</v>
      </c>
      <c r="B12847" t="s">
        <v>3689</v>
      </c>
      <c r="C12847" t="s">
        <v>75</v>
      </c>
      <c r="D12847" t="s">
        <v>458</v>
      </c>
      <c r="E12847">
        <f t="shared" si="609"/>
        <v>1.3513513513513514E-2</v>
      </c>
      <c r="F12847">
        <v>34</v>
      </c>
      <c r="G12847">
        <f>LOG(382/(34+1))</f>
        <v>1.037995318561433</v>
      </c>
      <c r="H12847">
        <f>0.0135135135135135*2.39007254711716</f>
        <v>3.2298277663745371E-2</v>
      </c>
      <c r="I12847">
        <v>3.2298277663745427E-2</v>
      </c>
    </row>
    <row r="12848" spans="1:9" x14ac:dyDescent="0.25">
      <c r="A12848">
        <v>459</v>
      </c>
      <c r="B12848" t="s">
        <v>3689</v>
      </c>
      <c r="C12848" t="s">
        <v>75</v>
      </c>
      <c r="D12848" t="s">
        <v>459</v>
      </c>
      <c r="E12848">
        <f t="shared" si="609"/>
        <v>1.3513513513513514E-2</v>
      </c>
      <c r="F12848">
        <v>14</v>
      </c>
      <c r="G12848">
        <f>LOG(382/(14+1))</f>
        <v>1.4059721038560276</v>
      </c>
      <c r="H12848">
        <f>0.0135135135135135*3.23737040750436</f>
        <v>4.3748248750058873E-2</v>
      </c>
      <c r="I12848">
        <v>4.3748248750058991E-2</v>
      </c>
    </row>
    <row r="12849" spans="1:9" x14ac:dyDescent="0.25">
      <c r="A12849">
        <v>459</v>
      </c>
      <c r="B12849" t="s">
        <v>3689</v>
      </c>
      <c r="C12849" t="s">
        <v>75</v>
      </c>
      <c r="D12849" t="s">
        <v>773</v>
      </c>
      <c r="E12849">
        <f t="shared" si="609"/>
        <v>1.3513513513513514E-2</v>
      </c>
      <c r="F12849">
        <v>10</v>
      </c>
      <c r="G12849">
        <f>LOG(382/(10+1))</f>
        <v>1.5406706777534838</v>
      </c>
      <c r="H12849">
        <f>0.0135135135135135*3.5475253358082</f>
        <v>4.7939531564975629E-2</v>
      </c>
      <c r="I12849">
        <v>4.793953156497574E-2</v>
      </c>
    </row>
    <row r="12850" spans="1:9" x14ac:dyDescent="0.25">
      <c r="A12850">
        <v>459</v>
      </c>
      <c r="B12850" t="s">
        <v>3689</v>
      </c>
      <c r="C12850" t="s">
        <v>75</v>
      </c>
      <c r="D12850" t="s">
        <v>772</v>
      </c>
      <c r="E12850">
        <f t="shared" si="609"/>
        <v>1.3513513513513514E-2</v>
      </c>
      <c r="F12850">
        <v>31</v>
      </c>
      <c r="G12850">
        <f>LOG(382/(31+1))</f>
        <v>1.0769133845918029</v>
      </c>
      <c r="H12850">
        <f>0.0135135135135135*2.47968470580684</f>
        <v>3.3509252781173476E-2</v>
      </c>
      <c r="I12850">
        <v>3.3509252781173643E-2</v>
      </c>
    </row>
    <row r="12851" spans="1:9" x14ac:dyDescent="0.25">
      <c r="A12851">
        <v>459</v>
      </c>
      <c r="B12851" t="s">
        <v>3689</v>
      </c>
      <c r="C12851" t="s">
        <v>75</v>
      </c>
      <c r="D12851" t="s">
        <v>85</v>
      </c>
      <c r="E12851">
        <f t="shared" si="609"/>
        <v>1.3513513513513514E-2</v>
      </c>
      <c r="F12851">
        <v>13</v>
      </c>
      <c r="G12851">
        <f>LOG(382/(13+1))</f>
        <v>1.4359353272334707</v>
      </c>
      <c r="H12851">
        <f>0.0135135135135135*3.30636327899131</f>
        <v>4.4680584851233877E-2</v>
      </c>
      <c r="I12851">
        <v>4.4680584851234009E-2</v>
      </c>
    </row>
    <row r="12852" spans="1:9" x14ac:dyDescent="0.25">
      <c r="A12852">
        <v>459</v>
      </c>
      <c r="B12852" t="s">
        <v>3689</v>
      </c>
      <c r="C12852" t="s">
        <v>75</v>
      </c>
      <c r="D12852" t="s">
        <v>342</v>
      </c>
      <c r="E12852">
        <f t="shared" si="609"/>
        <v>1.3513513513513514E-2</v>
      </c>
      <c r="F12852">
        <v>35</v>
      </c>
      <c r="G12852">
        <f>LOG(382/(35+1))</f>
        <v>1.0257608621444214</v>
      </c>
      <c r="H12852">
        <f>0.0135135135135135*2.36190167015046</f>
        <v>3.1917590137168349E-2</v>
      </c>
      <c r="I12852">
        <v>3.1917590137168453E-2</v>
      </c>
    </row>
    <row r="12853" spans="1:9" x14ac:dyDescent="0.25">
      <c r="A12853">
        <v>459</v>
      </c>
      <c r="B12853" t="s">
        <v>3689</v>
      </c>
      <c r="C12853" t="s">
        <v>75</v>
      </c>
      <c r="D12853" t="s">
        <v>78</v>
      </c>
      <c r="E12853">
        <f t="shared" si="609"/>
        <v>1.3513513513513514E-2</v>
      </c>
      <c r="F12853">
        <v>122</v>
      </c>
      <c r="G12853">
        <f>LOG(382/(122+1))</f>
        <v>0.49215825147231079</v>
      </c>
      <c r="H12853">
        <f>0.0135135135135135*1.13323625323415</f>
        <v>1.5314003422083094E-2</v>
      </c>
      <c r="I12853">
        <v>1.531400342208321E-2</v>
      </c>
    </row>
    <row r="12854" spans="1:9" x14ac:dyDescent="0.25">
      <c r="A12854">
        <v>459</v>
      </c>
      <c r="B12854" t="s">
        <v>3689</v>
      </c>
      <c r="C12854" t="s">
        <v>75</v>
      </c>
      <c r="D12854" t="s">
        <v>89</v>
      </c>
      <c r="E12854">
        <f t="shared" si="609"/>
        <v>1.3513513513513514E-2</v>
      </c>
      <c r="F12854">
        <v>40</v>
      </c>
      <c r="G12854">
        <f>LOG(382/(40+1))</f>
        <v>0.96927950619197323</v>
      </c>
      <c r="H12854">
        <f>0.0135135135135135*2.23184854190226</f>
        <v>3.0160115431111589E-2</v>
      </c>
      <c r="I12854">
        <v>3.016011543111172E-2</v>
      </c>
    </row>
    <row r="12855" spans="1:9" x14ac:dyDescent="0.25">
      <c r="A12855">
        <v>459</v>
      </c>
      <c r="B12855" t="s">
        <v>3689</v>
      </c>
      <c r="C12855" t="s">
        <v>75</v>
      </c>
      <c r="D12855" t="s">
        <v>112</v>
      </c>
      <c r="E12855">
        <f t="shared" si="609"/>
        <v>1.3513513513513514E-2</v>
      </c>
      <c r="F12855">
        <v>52</v>
      </c>
      <c r="G12855">
        <f>LOG(382/(52+1))</f>
        <v>0.85778749331091964</v>
      </c>
      <c r="H12855">
        <f>0.0135135135135135*1.97512869505445</f>
        <v>2.6690928311546597E-2</v>
      </c>
      <c r="I12855">
        <v>2.669092831154667E-2</v>
      </c>
    </row>
    <row r="12856" spans="1:9" x14ac:dyDescent="0.25">
      <c r="A12856">
        <v>459</v>
      </c>
      <c r="B12856" t="s">
        <v>3689</v>
      </c>
      <c r="C12856" t="s">
        <v>75</v>
      </c>
      <c r="D12856" t="s">
        <v>82</v>
      </c>
      <c r="E12856">
        <f t="shared" si="609"/>
        <v>1.3513513513513514E-2</v>
      </c>
      <c r="F12856">
        <v>92</v>
      </c>
      <c r="G12856">
        <f>LOG(382/(92+1))</f>
        <v>0.61358041435777355</v>
      </c>
      <c r="H12856">
        <f>0.0135135135135135*1.41282111545331</f>
        <v>1.9092177235855521E-2</v>
      </c>
      <c r="I12856">
        <v>1.909217723585567E-2</v>
      </c>
    </row>
    <row r="12857" spans="1:9" x14ac:dyDescent="0.25">
      <c r="A12857">
        <v>460</v>
      </c>
      <c r="B12857" t="s">
        <v>3698</v>
      </c>
      <c r="C12857" t="s">
        <v>75</v>
      </c>
      <c r="D12857" t="s">
        <v>147</v>
      </c>
      <c r="E12857">
        <f>5/69</f>
        <v>7.2463768115942032E-2</v>
      </c>
      <c r="F12857">
        <v>48</v>
      </c>
      <c r="G12857">
        <f>LOG(382/(48+1))</f>
        <v>0.89186728288319506</v>
      </c>
      <c r="H12857">
        <f>0.072463768115942*2.05360031049594</f>
        <v>0.14881161670260429</v>
      </c>
      <c r="I12857">
        <v>0.14881161670260501</v>
      </c>
    </row>
    <row r="12858" spans="1:9" x14ac:dyDescent="0.25">
      <c r="A12858">
        <v>460</v>
      </c>
      <c r="B12858" t="s">
        <v>3698</v>
      </c>
      <c r="C12858" t="s">
        <v>75</v>
      </c>
      <c r="D12858" t="s">
        <v>3699</v>
      </c>
      <c r="E12858">
        <f>3/69</f>
        <v>4.3478260869565216E-2</v>
      </c>
      <c r="F12858">
        <v>1</v>
      </c>
      <c r="G12858">
        <f>LOG(382/(1+1))</f>
        <v>2.2810333672477277</v>
      </c>
      <c r="H12858">
        <f>0.0434782608695652*5.25227342804663</f>
        <v>0.22835971426289686</v>
      </c>
      <c r="I12858">
        <v>0.22835971426289689</v>
      </c>
    </row>
    <row r="12859" spans="1:9" x14ac:dyDescent="0.25">
      <c r="A12859">
        <v>460</v>
      </c>
      <c r="B12859" t="s">
        <v>3698</v>
      </c>
      <c r="C12859" t="s">
        <v>75</v>
      </c>
      <c r="D12859" t="s">
        <v>1732</v>
      </c>
      <c r="E12859">
        <f>5/69</f>
        <v>7.2463768115942032E-2</v>
      </c>
      <c r="F12859">
        <v>16</v>
      </c>
      <c r="G12859">
        <f>LOG(382/(16+1))</f>
        <v>1.3516144415334348</v>
      </c>
      <c r="H12859">
        <f>0.072463768115942*3.11220726455035</f>
        <v>0.22552226554712673</v>
      </c>
      <c r="I12859">
        <v>0.22552226554712751</v>
      </c>
    </row>
    <row r="12860" spans="1:9" x14ac:dyDescent="0.25">
      <c r="A12860">
        <v>460</v>
      </c>
      <c r="B12860" t="s">
        <v>3698</v>
      </c>
      <c r="C12860" t="s">
        <v>75</v>
      </c>
      <c r="D12860" t="s">
        <v>1537</v>
      </c>
      <c r="E12860">
        <f>3/69</f>
        <v>4.3478260869565216E-2</v>
      </c>
      <c r="F12860">
        <v>80</v>
      </c>
      <c r="G12860">
        <f>LOG(382/(80+1))</f>
        <v>0.67357834403305894</v>
      </c>
      <c r="H12860">
        <f>0.0434782608695652*1.55097145393413</f>
        <v>6.743354147539693E-2</v>
      </c>
      <c r="I12860">
        <v>6.7433541475397235E-2</v>
      </c>
    </row>
    <row r="12861" spans="1:9" x14ac:dyDescent="0.25">
      <c r="A12861">
        <v>460</v>
      </c>
      <c r="B12861" t="s">
        <v>3698</v>
      </c>
      <c r="C12861" t="s">
        <v>75</v>
      </c>
      <c r="D12861" t="s">
        <v>1159</v>
      </c>
      <c r="E12861">
        <f t="shared" ref="E12861:E12873" si="610">1/69</f>
        <v>1.4492753623188406E-2</v>
      </c>
      <c r="F12861">
        <v>2</v>
      </c>
      <c r="G12861">
        <f>LOG(382/(2+1))</f>
        <v>2.1049421081920463</v>
      </c>
      <c r="H12861">
        <f>0.0144927536231884*4.84680831993846</f>
        <v>7.0243598839687796E-2</v>
      </c>
      <c r="I12861">
        <v>7.0243598839687907E-2</v>
      </c>
    </row>
    <row r="12862" spans="1:9" x14ac:dyDescent="0.25">
      <c r="A12862">
        <v>460</v>
      </c>
      <c r="B12862" t="s">
        <v>3698</v>
      </c>
      <c r="C12862" t="s">
        <v>75</v>
      </c>
      <c r="D12862" t="s">
        <v>1496</v>
      </c>
      <c r="E12862">
        <f t="shared" si="610"/>
        <v>1.4492753623188406E-2</v>
      </c>
      <c r="F12862">
        <v>39</v>
      </c>
      <c r="G12862">
        <f>LOG(382/(39+1))</f>
        <v>0.9800033715837464</v>
      </c>
      <c r="H12862">
        <f>0.0144927536231884*2.25654115449263</f>
        <v>3.2703494992646805E-2</v>
      </c>
      <c r="I12862">
        <v>3.2703494992646943E-2</v>
      </c>
    </row>
    <row r="12863" spans="1:9" x14ac:dyDescent="0.25">
      <c r="A12863">
        <v>460</v>
      </c>
      <c r="B12863" t="s">
        <v>3698</v>
      </c>
      <c r="C12863" t="s">
        <v>75</v>
      </c>
      <c r="D12863" t="s">
        <v>1059</v>
      </c>
      <c r="E12863">
        <f t="shared" si="610"/>
        <v>1.4492753623188406E-2</v>
      </c>
      <c r="F12863">
        <v>16</v>
      </c>
      <c r="G12863">
        <f>LOG(382/(16+1))</f>
        <v>1.3516144415334348</v>
      </c>
      <c r="H12863">
        <f>0.0144927536231884*3.11220726455035</f>
        <v>4.5104453109425346E-2</v>
      </c>
      <c r="I12863">
        <v>4.5104453109425492E-2</v>
      </c>
    </row>
    <row r="12864" spans="1:9" x14ac:dyDescent="0.25">
      <c r="A12864">
        <v>460</v>
      </c>
      <c r="B12864" t="s">
        <v>3698</v>
      </c>
      <c r="C12864" t="s">
        <v>75</v>
      </c>
      <c r="D12864" t="s">
        <v>17</v>
      </c>
      <c r="E12864">
        <f t="shared" si="610"/>
        <v>1.4492753623188406E-2</v>
      </c>
      <c r="F12864">
        <v>169</v>
      </c>
      <c r="G12864">
        <f>LOG(382/(169+1))</f>
        <v>0.3516144415334348</v>
      </c>
      <c r="H12864">
        <f>0.0144927536231884*0.809622171556313</f>
        <v>1.1733654660236415E-2</v>
      </c>
      <c r="I12864">
        <v>1.1733654660236429E-2</v>
      </c>
    </row>
    <row r="12865" spans="1:9" x14ac:dyDescent="0.25">
      <c r="A12865">
        <v>460</v>
      </c>
      <c r="B12865" t="s">
        <v>3698</v>
      </c>
      <c r="C12865" t="s">
        <v>75</v>
      </c>
      <c r="D12865" t="s">
        <v>1907</v>
      </c>
      <c r="E12865">
        <f t="shared" si="610"/>
        <v>1.4492753623188406E-2</v>
      </c>
      <c r="F12865">
        <v>20</v>
      </c>
      <c r="G12865">
        <f>LOG(382/(20+1))</f>
        <v>1.2598440681777894</v>
      </c>
      <c r="H12865">
        <f>0.0144927536231884*2.90089817088315</f>
        <v>4.2042002476567378E-2</v>
      </c>
      <c r="I12865">
        <v>4.2042002476567433E-2</v>
      </c>
    </row>
    <row r="12866" spans="1:9" x14ac:dyDescent="0.25">
      <c r="A12866">
        <v>460</v>
      </c>
      <c r="B12866" t="s">
        <v>3698</v>
      </c>
      <c r="C12866" t="s">
        <v>75</v>
      </c>
      <c r="D12866" t="s">
        <v>1908</v>
      </c>
      <c r="E12866">
        <f t="shared" si="610"/>
        <v>1.4492753623188406E-2</v>
      </c>
      <c r="F12866">
        <v>20</v>
      </c>
      <c r="G12866">
        <f>LOG(382/(20+1))</f>
        <v>1.2598440681777894</v>
      </c>
      <c r="H12866">
        <f>0.0144927536231884*2.90089817088315</f>
        <v>4.2042002476567378E-2</v>
      </c>
      <c r="I12866">
        <v>4.2042002476567433E-2</v>
      </c>
    </row>
    <row r="12867" spans="1:9" x14ac:dyDescent="0.25">
      <c r="A12867">
        <v>460</v>
      </c>
      <c r="B12867" t="s">
        <v>3698</v>
      </c>
      <c r="C12867" t="s">
        <v>75</v>
      </c>
      <c r="D12867" t="s">
        <v>91</v>
      </c>
      <c r="E12867">
        <f t="shared" si="610"/>
        <v>1.4492753623188406E-2</v>
      </c>
      <c r="F12867">
        <v>33</v>
      </c>
      <c r="G12867">
        <f>LOG(382/(33+1))</f>
        <v>1.0505844458694535</v>
      </c>
      <c r="H12867">
        <f>0.0144927536231884*2.41906008399041</f>
        <v>3.5058841796962455E-2</v>
      </c>
      <c r="I12867">
        <v>3.5058841796962517E-2</v>
      </c>
    </row>
    <row r="12868" spans="1:9" x14ac:dyDescent="0.25">
      <c r="A12868">
        <v>460</v>
      </c>
      <c r="B12868" t="s">
        <v>3698</v>
      </c>
      <c r="C12868" t="s">
        <v>75</v>
      </c>
      <c r="D12868" t="s">
        <v>19</v>
      </c>
      <c r="E12868">
        <f t="shared" si="610"/>
        <v>1.4492753623188406E-2</v>
      </c>
      <c r="F12868">
        <v>220</v>
      </c>
      <c r="G12868">
        <f>LOG(382/(220+1))</f>
        <v>0.23767108922659805</v>
      </c>
      <c r="H12868">
        <f>0.0144927536231884*0.547257907088822</f>
        <v>7.9312740157800269E-3</v>
      </c>
      <c r="I12868">
        <v>7.9312740157800338E-3</v>
      </c>
    </row>
    <row r="12869" spans="1:9" x14ac:dyDescent="0.25">
      <c r="A12869">
        <v>460</v>
      </c>
      <c r="B12869" t="s">
        <v>3698</v>
      </c>
      <c r="C12869" t="s">
        <v>75</v>
      </c>
      <c r="D12869" t="s">
        <v>195</v>
      </c>
      <c r="E12869">
        <f t="shared" si="610"/>
        <v>1.4492753623188406E-2</v>
      </c>
      <c r="F12869">
        <v>55</v>
      </c>
      <c r="G12869">
        <f>LOG(382/(55+1))</f>
        <v>0.83387533590550833</v>
      </c>
      <c r="H12869">
        <f>0.0144927536231884*1.92006891787142</f>
        <v>2.7827085766252455E-2</v>
      </c>
      <c r="I12869">
        <v>2.7827085766252549E-2</v>
      </c>
    </row>
    <row r="12870" spans="1:9" x14ac:dyDescent="0.25">
      <c r="A12870">
        <v>460</v>
      </c>
      <c r="B12870" t="s">
        <v>3698</v>
      </c>
      <c r="C12870" t="s">
        <v>75</v>
      </c>
      <c r="D12870" t="s">
        <v>3700</v>
      </c>
      <c r="E12870">
        <f t="shared" si="610"/>
        <v>1.4492753623188406E-2</v>
      </c>
      <c r="F12870">
        <v>1</v>
      </c>
      <c r="G12870">
        <f>LOG(382/(1+1))</f>
        <v>2.2810333672477277</v>
      </c>
      <c r="H12870">
        <f>0.0144927536231884*5.25227342804663</f>
        <v>7.6119904754298959E-2</v>
      </c>
      <c r="I12870">
        <v>7.6119904754298987E-2</v>
      </c>
    </row>
    <row r="12871" spans="1:9" x14ac:dyDescent="0.25">
      <c r="A12871">
        <v>460</v>
      </c>
      <c r="B12871" t="s">
        <v>3698</v>
      </c>
      <c r="C12871" t="s">
        <v>75</v>
      </c>
      <c r="D12871" t="s">
        <v>23</v>
      </c>
      <c r="E12871">
        <f t="shared" si="610"/>
        <v>1.4492753623188406E-2</v>
      </c>
      <c r="F12871">
        <v>275</v>
      </c>
      <c r="G12871">
        <f>LOG(382/(275+1))</f>
        <v>0.14115428084649101</v>
      </c>
      <c r="H12871">
        <f>0.0144927536231884*0.325019742889425</f>
        <v>4.710431056368476E-3</v>
      </c>
      <c r="I12871">
        <v>4.7104310563684804E-3</v>
      </c>
    </row>
    <row r="12872" spans="1:9" x14ac:dyDescent="0.25">
      <c r="A12872">
        <v>460</v>
      </c>
      <c r="B12872" t="s">
        <v>3698</v>
      </c>
      <c r="C12872" t="s">
        <v>75</v>
      </c>
      <c r="D12872" t="s">
        <v>3701</v>
      </c>
      <c r="E12872">
        <f t="shared" si="610"/>
        <v>1.4492753623188406E-2</v>
      </c>
      <c r="F12872">
        <v>1</v>
      </c>
      <c r="G12872">
        <f>LOG(382/(1+1))</f>
        <v>2.2810333672477277</v>
      </c>
      <c r="H12872">
        <f>0.0144927536231884*5.25227342804663</f>
        <v>7.6119904754298959E-2</v>
      </c>
      <c r="I12872">
        <v>7.6119904754298987E-2</v>
      </c>
    </row>
    <row r="12873" spans="1:9" x14ac:dyDescent="0.25">
      <c r="A12873">
        <v>460</v>
      </c>
      <c r="B12873" t="s">
        <v>3698</v>
      </c>
      <c r="C12873" t="s">
        <v>75</v>
      </c>
      <c r="D12873" t="s">
        <v>105</v>
      </c>
      <c r="E12873">
        <f t="shared" si="610"/>
        <v>1.4492753623188406E-2</v>
      </c>
      <c r="F12873">
        <v>122</v>
      </c>
      <c r="G12873">
        <f>LOG(382/(122+1))</f>
        <v>0.49215825147231079</v>
      </c>
      <c r="H12873">
        <f>0.0144927536231884*1.13323625323415</f>
        <v>1.6423713814987674E-2</v>
      </c>
      <c r="I12873">
        <v>1.6423713814987789E-2</v>
      </c>
    </row>
    <row r="12874" spans="1:9" x14ac:dyDescent="0.25">
      <c r="A12874">
        <v>460</v>
      </c>
      <c r="B12874" t="s">
        <v>3698</v>
      </c>
      <c r="C12874" t="s">
        <v>75</v>
      </c>
      <c r="D12874" t="s">
        <v>1769</v>
      </c>
      <c r="E12874">
        <f>3/69</f>
        <v>4.3478260869565216E-2</v>
      </c>
      <c r="F12874">
        <v>84</v>
      </c>
      <c r="G12874">
        <f>LOG(382/(84+1))</f>
        <v>0.65264443719741605</v>
      </c>
      <c r="H12874">
        <f>0.0434782608695652*1.50276935211625</f>
        <v>6.5337797918097795E-2</v>
      </c>
      <c r="I12874">
        <v>6.5337797918098212E-2</v>
      </c>
    </row>
    <row r="12875" spans="1:9" x14ac:dyDescent="0.25">
      <c r="A12875">
        <v>460</v>
      </c>
      <c r="B12875" t="s">
        <v>3698</v>
      </c>
      <c r="C12875" t="s">
        <v>75</v>
      </c>
      <c r="D12875" t="s">
        <v>3335</v>
      </c>
      <c r="E12875">
        <f>3/69</f>
        <v>4.3478260869565216E-2</v>
      </c>
      <c r="F12875">
        <v>16</v>
      </c>
      <c r="G12875">
        <f>LOG(382/(16+1))</f>
        <v>1.3516144415334348</v>
      </c>
      <c r="H12875">
        <f>0.0434782608695652*3.11220726455035</f>
        <v>0.13531335932827604</v>
      </c>
      <c r="I12875">
        <v>0.13531335932827651</v>
      </c>
    </row>
    <row r="12876" spans="1:9" x14ac:dyDescent="0.25">
      <c r="A12876">
        <v>460</v>
      </c>
      <c r="B12876" t="s">
        <v>3698</v>
      </c>
      <c r="C12876" t="s">
        <v>75</v>
      </c>
      <c r="D12876" t="s">
        <v>3648</v>
      </c>
      <c r="E12876">
        <f>3/69</f>
        <v>4.3478260869565216E-2</v>
      </c>
      <c r="F12876">
        <v>4</v>
      </c>
      <c r="G12876">
        <f>LOG(382/(4+1))</f>
        <v>1.8830933585756899</v>
      </c>
      <c r="H12876">
        <f>0.0434782608695652*4.33598269617247</f>
        <v>0.18852098679010734</v>
      </c>
      <c r="I12876">
        <v>0.18852098679010759</v>
      </c>
    </row>
    <row r="12877" spans="1:9" x14ac:dyDescent="0.25">
      <c r="A12877">
        <v>460</v>
      </c>
      <c r="B12877" t="s">
        <v>3698</v>
      </c>
      <c r="C12877" t="s">
        <v>75</v>
      </c>
      <c r="D12877" t="s">
        <v>1546</v>
      </c>
      <c r="E12877">
        <f t="shared" ref="E12877:E12907" si="611">1/69</f>
        <v>1.4492753623188406E-2</v>
      </c>
      <c r="F12877">
        <v>44</v>
      </c>
      <c r="G12877">
        <f>LOG(382/(44+1))</f>
        <v>0.92885084913636506</v>
      </c>
      <c r="H12877">
        <f>0.0144927536231884*2.13875811883625</f>
        <v>3.0996494475887669E-2</v>
      </c>
      <c r="I12877">
        <v>3.0996494475887759E-2</v>
      </c>
    </row>
    <row r="12878" spans="1:9" x14ac:dyDescent="0.25">
      <c r="A12878">
        <v>460</v>
      </c>
      <c r="B12878" t="s">
        <v>3698</v>
      </c>
      <c r="C12878" t="s">
        <v>75</v>
      </c>
      <c r="D12878" t="s">
        <v>3702</v>
      </c>
      <c r="E12878">
        <f t="shared" si="611"/>
        <v>1.4492753623188406E-2</v>
      </c>
      <c r="F12878">
        <v>1</v>
      </c>
      <c r="G12878">
        <f>LOG(382/(1+1))</f>
        <v>2.2810333672477277</v>
      </c>
      <c r="H12878">
        <f>0.0144927536231884*5.25227342804663</f>
        <v>7.6119904754298959E-2</v>
      </c>
      <c r="I12878">
        <v>7.6119904754298987E-2</v>
      </c>
    </row>
    <row r="12879" spans="1:9" x14ac:dyDescent="0.25">
      <c r="A12879">
        <v>460</v>
      </c>
      <c r="B12879" t="s">
        <v>3698</v>
      </c>
      <c r="C12879" t="s">
        <v>75</v>
      </c>
      <c r="D12879" t="s">
        <v>474</v>
      </c>
      <c r="E12879">
        <f t="shared" si="611"/>
        <v>1.4492753623188406E-2</v>
      </c>
      <c r="F12879">
        <v>25</v>
      </c>
      <c r="G12879">
        <f>LOG(382/(25+1))</f>
        <v>1.1670900149408907</v>
      </c>
      <c r="H12879">
        <f>0.0144927536231884*2.68732407058509</f>
        <v>3.8946725660653464E-2</v>
      </c>
      <c r="I12879">
        <v>3.8946725660653533E-2</v>
      </c>
    </row>
    <row r="12880" spans="1:9" x14ac:dyDescent="0.25">
      <c r="A12880">
        <v>460</v>
      </c>
      <c r="B12880" t="s">
        <v>3698</v>
      </c>
      <c r="C12880" t="s">
        <v>75</v>
      </c>
      <c r="D12880" t="s">
        <v>3703</v>
      </c>
      <c r="E12880">
        <f t="shared" si="611"/>
        <v>1.4492753623188406E-2</v>
      </c>
      <c r="F12880">
        <v>1</v>
      </c>
      <c r="G12880">
        <f>LOG(382/(1+1))</f>
        <v>2.2810333672477277</v>
      </c>
      <c r="H12880">
        <f>0.0144927536231884*5.25227342804663</f>
        <v>7.6119904754298959E-2</v>
      </c>
      <c r="I12880">
        <v>7.6119904754298987E-2</v>
      </c>
    </row>
    <row r="12881" spans="1:9" x14ac:dyDescent="0.25">
      <c r="A12881">
        <v>460</v>
      </c>
      <c r="B12881" t="s">
        <v>3698</v>
      </c>
      <c r="C12881" t="s">
        <v>75</v>
      </c>
      <c r="D12881" t="s">
        <v>362</v>
      </c>
      <c r="E12881">
        <f t="shared" si="611"/>
        <v>1.4492753623188406E-2</v>
      </c>
      <c r="F12881">
        <v>81</v>
      </c>
      <c r="G12881">
        <f>LOG(382/(81+1))</f>
        <v>0.66824951052799197</v>
      </c>
      <c r="H12881">
        <f>0.0144927536231884*1.53870136134232</f>
        <v>2.2300019729598834E-2</v>
      </c>
      <c r="I12881">
        <v>2.2300019729598872E-2</v>
      </c>
    </row>
    <row r="12882" spans="1:9" x14ac:dyDescent="0.25">
      <c r="A12882">
        <v>460</v>
      </c>
      <c r="B12882" t="s">
        <v>3698</v>
      </c>
      <c r="C12882" t="s">
        <v>75</v>
      </c>
      <c r="D12882" t="s">
        <v>2209</v>
      </c>
      <c r="E12882">
        <f t="shared" si="611"/>
        <v>1.4492753623188406E-2</v>
      </c>
      <c r="F12882">
        <v>2</v>
      </c>
      <c r="G12882">
        <f>LOG(382/(2+1))</f>
        <v>2.1049421081920463</v>
      </c>
      <c r="H12882">
        <f>0.0144927536231884*4.84680831993846</f>
        <v>7.0243598839687796E-2</v>
      </c>
      <c r="I12882">
        <v>7.0243598839687907E-2</v>
      </c>
    </row>
    <row r="12883" spans="1:9" x14ac:dyDescent="0.25">
      <c r="A12883">
        <v>460</v>
      </c>
      <c r="B12883" t="s">
        <v>3698</v>
      </c>
      <c r="C12883" t="s">
        <v>75</v>
      </c>
      <c r="D12883" t="s">
        <v>3704</v>
      </c>
      <c r="E12883">
        <f t="shared" si="611"/>
        <v>1.4492753623188406E-2</v>
      </c>
      <c r="F12883">
        <v>2</v>
      </c>
      <c r="G12883">
        <f>LOG(382/(2+1))</f>
        <v>2.1049421081920463</v>
      </c>
      <c r="H12883">
        <f>0.0144927536231884*4.84680831993846</f>
        <v>7.0243598839687796E-2</v>
      </c>
      <c r="I12883">
        <v>7.0243598839687907E-2</v>
      </c>
    </row>
    <row r="12884" spans="1:9" x14ac:dyDescent="0.25">
      <c r="A12884">
        <v>460</v>
      </c>
      <c r="B12884" t="s">
        <v>3698</v>
      </c>
      <c r="C12884" t="s">
        <v>75</v>
      </c>
      <c r="D12884" t="s">
        <v>3705</v>
      </c>
      <c r="E12884">
        <f t="shared" si="611"/>
        <v>1.4492753623188406E-2</v>
      </c>
      <c r="F12884">
        <v>1</v>
      </c>
      <c r="G12884">
        <f>LOG(382/(1+1))</f>
        <v>2.2810333672477277</v>
      </c>
      <c r="H12884">
        <f>0.0144927536231884*5.25227342804663</f>
        <v>7.6119904754298959E-2</v>
      </c>
      <c r="I12884">
        <v>7.6119904754298987E-2</v>
      </c>
    </row>
    <row r="12885" spans="1:9" x14ac:dyDescent="0.25">
      <c r="A12885">
        <v>460</v>
      </c>
      <c r="B12885" t="s">
        <v>3698</v>
      </c>
      <c r="C12885" t="s">
        <v>75</v>
      </c>
      <c r="D12885" t="s">
        <v>361</v>
      </c>
      <c r="E12885">
        <f t="shared" si="611"/>
        <v>1.4492753623188406E-2</v>
      </c>
      <c r="F12885">
        <v>118</v>
      </c>
      <c r="G12885">
        <f>LOG(382/(118+1))</f>
        <v>0.50651640151917798</v>
      </c>
      <c r="H12885">
        <f>0.0144927536231884*1.16629711549504</f>
        <v>1.6902856746304921E-2</v>
      </c>
      <c r="I12885">
        <v>1.6902856746305012E-2</v>
      </c>
    </row>
    <row r="12886" spans="1:9" x14ac:dyDescent="0.25">
      <c r="A12886">
        <v>460</v>
      </c>
      <c r="B12886" t="s">
        <v>3698</v>
      </c>
      <c r="C12886" t="s">
        <v>75</v>
      </c>
      <c r="D12886" t="s">
        <v>434</v>
      </c>
      <c r="E12886">
        <f t="shared" si="611"/>
        <v>1.4492753623188406E-2</v>
      </c>
      <c r="F12886">
        <v>97</v>
      </c>
      <c r="G12886">
        <f>LOG(382/(97+1))</f>
        <v>0.59083728721921391</v>
      </c>
      <c r="H12886">
        <f>0.0144927536231884*1.360453129936</f>
        <v>1.9716712028057966E-2</v>
      </c>
      <c r="I12886">
        <v>1.9716712028058019E-2</v>
      </c>
    </row>
    <row r="12887" spans="1:9" x14ac:dyDescent="0.25">
      <c r="A12887">
        <v>460</v>
      </c>
      <c r="B12887" t="s">
        <v>3698</v>
      </c>
      <c r="C12887" t="s">
        <v>75</v>
      </c>
      <c r="D12887" t="s">
        <v>3706</v>
      </c>
      <c r="E12887">
        <f t="shared" si="611"/>
        <v>1.4492753623188406E-2</v>
      </c>
      <c r="F12887">
        <v>1</v>
      </c>
      <c r="G12887">
        <f>LOG(382/(1+1))</f>
        <v>2.2810333672477277</v>
      </c>
      <c r="H12887">
        <f>0.0144927536231884*5.25227342804663</f>
        <v>7.6119904754298959E-2</v>
      </c>
      <c r="I12887">
        <v>7.6119904754298987E-2</v>
      </c>
    </row>
    <row r="12888" spans="1:9" x14ac:dyDescent="0.25">
      <c r="A12888">
        <v>460</v>
      </c>
      <c r="B12888" t="s">
        <v>3698</v>
      </c>
      <c r="C12888" t="s">
        <v>75</v>
      </c>
      <c r="D12888" t="s">
        <v>2242</v>
      </c>
      <c r="E12888">
        <f t="shared" si="611"/>
        <v>1.4492753623188406E-2</v>
      </c>
      <c r="F12888">
        <v>18</v>
      </c>
      <c r="G12888">
        <f>LOG(382/(18+1))</f>
        <v>1.3033097619588798</v>
      </c>
      <c r="H12888">
        <f>0.0144927536231884*3.00098162944013</f>
        <v>4.3492487383190274E-2</v>
      </c>
      <c r="I12888">
        <v>4.3492487383190358E-2</v>
      </c>
    </row>
    <row r="12889" spans="1:9" x14ac:dyDescent="0.25">
      <c r="A12889">
        <v>460</v>
      </c>
      <c r="B12889" t="s">
        <v>3698</v>
      </c>
      <c r="C12889" t="s">
        <v>75</v>
      </c>
      <c r="D12889" t="s">
        <v>214</v>
      </c>
      <c r="E12889">
        <f t="shared" si="611"/>
        <v>1.4492753623188406E-2</v>
      </c>
      <c r="F12889">
        <v>68</v>
      </c>
      <c r="G12889">
        <f>LOG(382/(68+1))</f>
        <v>0.74321427217445335</v>
      </c>
      <c r="H12889">
        <f>0.0144927536231884*1.71131410400931</f>
        <v>2.480165368129434E-2</v>
      </c>
      <c r="I12889">
        <v>2.480165368129443E-2</v>
      </c>
    </row>
    <row r="12890" spans="1:9" x14ac:dyDescent="0.25">
      <c r="A12890">
        <v>460</v>
      </c>
      <c r="B12890" t="s">
        <v>3698</v>
      </c>
      <c r="C12890" t="s">
        <v>75</v>
      </c>
      <c r="D12890" t="s">
        <v>220</v>
      </c>
      <c r="E12890">
        <f t="shared" si="611"/>
        <v>1.4492753623188406E-2</v>
      </c>
      <c r="F12890">
        <v>5</v>
      </c>
      <c r="G12890">
        <f>LOG(382/(5+1))</f>
        <v>1.803912112528065</v>
      </c>
      <c r="H12890">
        <f>0.0144927536231884*4.15366113937852</f>
        <v>6.0197987527224904E-2</v>
      </c>
      <c r="I12890">
        <v>6.0197987527224918E-2</v>
      </c>
    </row>
    <row r="12891" spans="1:9" x14ac:dyDescent="0.25">
      <c r="A12891">
        <v>460</v>
      </c>
      <c r="B12891" t="s">
        <v>3698</v>
      </c>
      <c r="C12891" t="s">
        <v>75</v>
      </c>
      <c r="D12891" t="s">
        <v>243</v>
      </c>
      <c r="E12891">
        <f t="shared" si="611"/>
        <v>1.4492753623188406E-2</v>
      </c>
      <c r="F12891">
        <v>131</v>
      </c>
      <c r="G12891">
        <f>LOG(382/(131+1))</f>
        <v>0.46148943170585888</v>
      </c>
      <c r="H12891">
        <f>0.0144927536231884*1.0626186860202</f>
        <v>1.5400270811886952E-2</v>
      </c>
      <c r="I12891">
        <v>1.540027081188702E-2</v>
      </c>
    </row>
    <row r="12892" spans="1:9" x14ac:dyDescent="0.25">
      <c r="A12892">
        <v>460</v>
      </c>
      <c r="B12892" t="s">
        <v>3698</v>
      </c>
      <c r="C12892" t="s">
        <v>75</v>
      </c>
      <c r="D12892" t="s">
        <v>770</v>
      </c>
      <c r="E12892">
        <f t="shared" si="611"/>
        <v>1.4492753623188406E-2</v>
      </c>
      <c r="F12892">
        <v>47</v>
      </c>
      <c r="G12892">
        <f>LOG(382/(47+1))</f>
        <v>0.90082212553612151</v>
      </c>
      <c r="H12892">
        <f>0.0144927536231884*2.07421959769868</f>
        <v>3.0061153589835934E-2</v>
      </c>
      <c r="I12892">
        <v>3.0061153589836E-2</v>
      </c>
    </row>
    <row r="12893" spans="1:9" x14ac:dyDescent="0.25">
      <c r="A12893">
        <v>460</v>
      </c>
      <c r="B12893" t="s">
        <v>3698</v>
      </c>
      <c r="C12893" t="s">
        <v>75</v>
      </c>
      <c r="D12893" t="s">
        <v>307</v>
      </c>
      <c r="E12893">
        <f t="shared" si="611"/>
        <v>1.4492753623188406E-2</v>
      </c>
      <c r="F12893">
        <v>67</v>
      </c>
      <c r="G12893">
        <f>LOG(382/(67+1))</f>
        <v>0.7495544502054724</v>
      </c>
      <c r="H12893">
        <f>0.0144927536231884*1.72591290343046</f>
        <v>2.5013230484499414E-2</v>
      </c>
      <c r="I12893">
        <v>2.5013230484499539E-2</v>
      </c>
    </row>
    <row r="12894" spans="1:9" x14ac:dyDescent="0.25">
      <c r="A12894">
        <v>460</v>
      </c>
      <c r="B12894" t="s">
        <v>3698</v>
      </c>
      <c r="C12894" t="s">
        <v>75</v>
      </c>
      <c r="D12894" t="s">
        <v>455</v>
      </c>
      <c r="E12894">
        <f t="shared" si="611"/>
        <v>1.4492753623188406E-2</v>
      </c>
      <c r="F12894">
        <v>78</v>
      </c>
      <c r="G12894">
        <f>LOG(382/(78+1))</f>
        <v>0.6844362716212673</v>
      </c>
      <c r="H12894">
        <f>0.0144927536231884*1.57597275613955</f>
        <v>2.2840184871587673E-2</v>
      </c>
      <c r="I12894">
        <v>2.2840184871587739E-2</v>
      </c>
    </row>
    <row r="12895" spans="1:9" x14ac:dyDescent="0.25">
      <c r="A12895">
        <v>460</v>
      </c>
      <c r="B12895" t="s">
        <v>3698</v>
      </c>
      <c r="C12895" t="s">
        <v>75</v>
      </c>
      <c r="D12895" t="s">
        <v>456</v>
      </c>
      <c r="E12895">
        <f t="shared" si="611"/>
        <v>1.4492753623188406E-2</v>
      </c>
      <c r="F12895">
        <v>71</v>
      </c>
      <c r="G12895">
        <f>LOG(382/(71+1))</f>
        <v>0.72473086648044027</v>
      </c>
      <c r="H12895">
        <f>0.0144927536231884*1.66875448959051</f>
        <v>2.4184847675224774E-2</v>
      </c>
      <c r="I12895">
        <v>2.418484767522492E-2</v>
      </c>
    </row>
    <row r="12896" spans="1:9" x14ac:dyDescent="0.25">
      <c r="A12896">
        <v>460</v>
      </c>
      <c r="B12896" t="s">
        <v>3698</v>
      </c>
      <c r="C12896" t="s">
        <v>75</v>
      </c>
      <c r="D12896" t="s">
        <v>81</v>
      </c>
      <c r="E12896">
        <f t="shared" si="611"/>
        <v>1.4492753623188406E-2</v>
      </c>
      <c r="F12896">
        <v>114</v>
      </c>
      <c r="G12896">
        <f>LOG(382/(114+1))</f>
        <v>0.52136552255809698</v>
      </c>
      <c r="H12896">
        <f>0.0144927536231884*1.20048848024332</f>
        <v>1.7398383771642312E-2</v>
      </c>
      <c r="I12896">
        <v>1.7398383771642389E-2</v>
      </c>
    </row>
    <row r="12897" spans="1:9" x14ac:dyDescent="0.25">
      <c r="A12897">
        <v>460</v>
      </c>
      <c r="B12897" t="s">
        <v>3698</v>
      </c>
      <c r="C12897" t="s">
        <v>75</v>
      </c>
      <c r="D12897" t="s">
        <v>458</v>
      </c>
      <c r="E12897">
        <f t="shared" si="611"/>
        <v>1.4492753623188406E-2</v>
      </c>
      <c r="F12897">
        <v>34</v>
      </c>
      <c r="G12897">
        <f>LOG(382/(34+1))</f>
        <v>1.037995318561433</v>
      </c>
      <c r="H12897">
        <f>0.0144927536231884*2.39007254711716</f>
        <v>3.4638732566915353E-2</v>
      </c>
      <c r="I12897">
        <v>3.4638732566915381E-2</v>
      </c>
    </row>
    <row r="12898" spans="1:9" x14ac:dyDescent="0.25">
      <c r="A12898">
        <v>460</v>
      </c>
      <c r="B12898" t="s">
        <v>3698</v>
      </c>
      <c r="C12898" t="s">
        <v>75</v>
      </c>
      <c r="D12898" t="s">
        <v>459</v>
      </c>
      <c r="E12898">
        <f t="shared" si="611"/>
        <v>1.4492753623188406E-2</v>
      </c>
      <c r="F12898">
        <v>14</v>
      </c>
      <c r="G12898">
        <f>LOG(382/(14+1))</f>
        <v>1.4059721038560276</v>
      </c>
      <c r="H12898">
        <f>0.0144927536231884*3.23737040750436</f>
        <v>4.6918411702961724E-2</v>
      </c>
      <c r="I12898">
        <v>4.6918411702961807E-2</v>
      </c>
    </row>
    <row r="12899" spans="1:9" x14ac:dyDescent="0.25">
      <c r="A12899">
        <v>460</v>
      </c>
      <c r="B12899" t="s">
        <v>3698</v>
      </c>
      <c r="C12899" t="s">
        <v>75</v>
      </c>
      <c r="D12899" t="s">
        <v>773</v>
      </c>
      <c r="E12899">
        <f t="shared" si="611"/>
        <v>1.4492753623188406E-2</v>
      </c>
      <c r="F12899">
        <v>10</v>
      </c>
      <c r="G12899">
        <f>LOG(382/(10+1))</f>
        <v>1.5406706777534838</v>
      </c>
      <c r="H12899">
        <f>0.0144927536231884*3.5475253358082</f>
        <v>5.1413410663886938E-2</v>
      </c>
      <c r="I12899">
        <v>5.1413410663887021E-2</v>
      </c>
    </row>
    <row r="12900" spans="1:9" x14ac:dyDescent="0.25">
      <c r="A12900">
        <v>460</v>
      </c>
      <c r="B12900" t="s">
        <v>3698</v>
      </c>
      <c r="C12900" t="s">
        <v>75</v>
      </c>
      <c r="D12900" t="s">
        <v>772</v>
      </c>
      <c r="E12900">
        <f t="shared" si="611"/>
        <v>1.4492753623188406E-2</v>
      </c>
      <c r="F12900">
        <v>31</v>
      </c>
      <c r="G12900">
        <f>LOG(382/(31+1))</f>
        <v>1.0769133845918029</v>
      </c>
      <c r="H12900">
        <f>0.0144927536231884*2.47968470580684</f>
        <v>3.5937459504446941E-2</v>
      </c>
      <c r="I12900">
        <v>3.5937459504447093E-2</v>
      </c>
    </row>
    <row r="12901" spans="1:9" x14ac:dyDescent="0.25">
      <c r="A12901">
        <v>460</v>
      </c>
      <c r="B12901" t="s">
        <v>3698</v>
      </c>
      <c r="C12901" t="s">
        <v>75</v>
      </c>
      <c r="D12901" t="s">
        <v>85</v>
      </c>
      <c r="E12901">
        <f t="shared" si="611"/>
        <v>1.4492753623188406E-2</v>
      </c>
      <c r="F12901">
        <v>13</v>
      </c>
      <c r="G12901">
        <f>LOG(382/(13+1))</f>
        <v>1.4359353272334707</v>
      </c>
      <c r="H12901">
        <f>0.0144927536231884*3.30636327899131</f>
        <v>4.7918308391178395E-2</v>
      </c>
      <c r="I12901">
        <v>4.7918308391178499E-2</v>
      </c>
    </row>
    <row r="12902" spans="1:9" x14ac:dyDescent="0.25">
      <c r="A12902">
        <v>460</v>
      </c>
      <c r="B12902" t="s">
        <v>3698</v>
      </c>
      <c r="C12902" t="s">
        <v>75</v>
      </c>
      <c r="D12902" t="s">
        <v>342</v>
      </c>
      <c r="E12902">
        <f t="shared" si="611"/>
        <v>1.4492753623188406E-2</v>
      </c>
      <c r="F12902">
        <v>35</v>
      </c>
      <c r="G12902">
        <f>LOG(382/(35+1))</f>
        <v>1.0257608621444214</v>
      </c>
      <c r="H12902">
        <f>0.0144927536231884*2.36190167015046</f>
        <v>3.4230458987687812E-2</v>
      </c>
      <c r="I12902">
        <v>3.4230458987687902E-2</v>
      </c>
    </row>
    <row r="12903" spans="1:9" x14ac:dyDescent="0.25">
      <c r="A12903">
        <v>460</v>
      </c>
      <c r="B12903" t="s">
        <v>3698</v>
      </c>
      <c r="C12903" t="s">
        <v>75</v>
      </c>
      <c r="D12903" t="s">
        <v>78</v>
      </c>
      <c r="E12903">
        <f t="shared" si="611"/>
        <v>1.4492753623188406E-2</v>
      </c>
      <c r="F12903">
        <v>122</v>
      </c>
      <c r="G12903">
        <f>LOG(382/(122+1))</f>
        <v>0.49215825147231079</v>
      </c>
      <c r="H12903">
        <f>0.0144927536231884*1.13323625323415</f>
        <v>1.6423713814987674E-2</v>
      </c>
      <c r="I12903">
        <v>1.6423713814987789E-2</v>
      </c>
    </row>
    <row r="12904" spans="1:9" x14ac:dyDescent="0.25">
      <c r="A12904">
        <v>460</v>
      </c>
      <c r="B12904" t="s">
        <v>3698</v>
      </c>
      <c r="C12904" t="s">
        <v>75</v>
      </c>
      <c r="D12904" t="s">
        <v>82</v>
      </c>
      <c r="E12904">
        <f t="shared" si="611"/>
        <v>1.4492753623188406E-2</v>
      </c>
      <c r="F12904">
        <v>92</v>
      </c>
      <c r="G12904">
        <f>LOG(382/(92+1))</f>
        <v>0.61358041435777355</v>
      </c>
      <c r="H12904">
        <f>0.0144927536231884*1.41282111545331</f>
        <v>2.0475668339903035E-2</v>
      </c>
      <c r="I12904">
        <v>2.0475668339903181E-2</v>
      </c>
    </row>
    <row r="12905" spans="1:9" x14ac:dyDescent="0.25">
      <c r="A12905">
        <v>460</v>
      </c>
      <c r="B12905" t="s">
        <v>3698</v>
      </c>
      <c r="C12905" t="s">
        <v>75</v>
      </c>
      <c r="D12905" t="s">
        <v>3707</v>
      </c>
      <c r="E12905">
        <f t="shared" si="611"/>
        <v>1.4492753623188406E-2</v>
      </c>
      <c r="F12905">
        <v>5</v>
      </c>
      <c r="G12905">
        <f>LOG(382/(5+1))</f>
        <v>1.803912112528065</v>
      </c>
      <c r="H12905">
        <f>0.0144927536231884*4.15366113937852</f>
        <v>6.0197987527224904E-2</v>
      </c>
      <c r="I12905">
        <v>6.0197987527224918E-2</v>
      </c>
    </row>
    <row r="12906" spans="1:9" x14ac:dyDescent="0.25">
      <c r="A12906">
        <v>460</v>
      </c>
      <c r="B12906" t="s">
        <v>3698</v>
      </c>
      <c r="C12906" t="s">
        <v>75</v>
      </c>
      <c r="D12906" t="s">
        <v>3708</v>
      </c>
      <c r="E12906">
        <f t="shared" si="611"/>
        <v>1.4492753623188406E-2</v>
      </c>
      <c r="F12906">
        <v>2</v>
      </c>
      <c r="G12906">
        <f>LOG(382/(2+1))</f>
        <v>2.1049421081920463</v>
      </c>
      <c r="H12906">
        <f>0.0144927536231884*4.84680831993846</f>
        <v>7.0243598839687796E-2</v>
      </c>
      <c r="I12906">
        <v>7.0243598839687907E-2</v>
      </c>
    </row>
    <row r="12907" spans="1:9" x14ac:dyDescent="0.25">
      <c r="A12907">
        <v>460</v>
      </c>
      <c r="B12907" t="s">
        <v>3698</v>
      </c>
      <c r="C12907" t="s">
        <v>75</v>
      </c>
      <c r="D12907" t="s">
        <v>1401</v>
      </c>
      <c r="E12907">
        <f t="shared" si="611"/>
        <v>1.4492753623188406E-2</v>
      </c>
      <c r="F12907">
        <v>16</v>
      </c>
      <c r="G12907">
        <f>LOG(382/(16+1))</f>
        <v>1.3516144415334348</v>
      </c>
      <c r="H12907">
        <f>0.0144927536231884*3.11220726455035</f>
        <v>4.5104453109425346E-2</v>
      </c>
      <c r="I12907">
        <v>4.5104453109425492E-2</v>
      </c>
    </row>
    <row r="12908" spans="1:9" x14ac:dyDescent="0.25">
      <c r="A12908">
        <v>461</v>
      </c>
      <c r="B12908" t="s">
        <v>3709</v>
      </c>
      <c r="C12908" t="s">
        <v>75</v>
      </c>
      <c r="D12908" t="s">
        <v>3710</v>
      </c>
      <c r="E12908">
        <f>6/108</f>
        <v>5.5555555555555552E-2</v>
      </c>
      <c r="F12908">
        <v>1</v>
      </c>
      <c r="G12908">
        <f>LOG(382/(1+1))</f>
        <v>2.2810333672477277</v>
      </c>
      <c r="H12908">
        <f>0.0555555555555555*5.25227342804663</f>
        <v>0.29179296822481249</v>
      </c>
      <c r="I12908">
        <v>0.29179296822481282</v>
      </c>
    </row>
    <row r="12909" spans="1:9" x14ac:dyDescent="0.25">
      <c r="A12909">
        <v>461</v>
      </c>
      <c r="B12909" t="s">
        <v>3709</v>
      </c>
      <c r="C12909" t="s">
        <v>75</v>
      </c>
      <c r="D12909" t="s">
        <v>2231</v>
      </c>
      <c r="E12909">
        <f>6/108</f>
        <v>5.5555555555555552E-2</v>
      </c>
      <c r="F12909">
        <v>23</v>
      </c>
      <c r="G12909">
        <f>LOG(382/(23+1))</f>
        <v>1.2018521212001028</v>
      </c>
      <c r="H12909">
        <f>0.0555555555555555*2.76736677825862</f>
        <v>0.15374259879214541</v>
      </c>
      <c r="I12909">
        <v>0.15374259879214611</v>
      </c>
    </row>
    <row r="12910" spans="1:9" x14ac:dyDescent="0.25">
      <c r="A12910">
        <v>461</v>
      </c>
      <c r="B12910" t="s">
        <v>3709</v>
      </c>
      <c r="C12910" t="s">
        <v>75</v>
      </c>
      <c r="D12910" t="s">
        <v>105</v>
      </c>
      <c r="E12910">
        <f>2/108</f>
        <v>1.8518518518518517E-2</v>
      </c>
      <c r="F12910">
        <v>122</v>
      </c>
      <c r="G12910">
        <f>LOG(382/(122+1))</f>
        <v>0.49215825147231079</v>
      </c>
      <c r="H12910">
        <f>0.0185185185185185*1.13323625323415</f>
        <v>2.0985856541373128E-2</v>
      </c>
      <c r="I12910">
        <v>2.0985856541373291E-2</v>
      </c>
    </row>
    <row r="12911" spans="1:9" x14ac:dyDescent="0.25">
      <c r="A12911">
        <v>461</v>
      </c>
      <c r="B12911" t="s">
        <v>3709</v>
      </c>
      <c r="C12911" t="s">
        <v>75</v>
      </c>
      <c r="D12911" t="s">
        <v>482</v>
      </c>
      <c r="E12911">
        <f>2/108</f>
        <v>1.8518518518518517E-2</v>
      </c>
      <c r="F12911">
        <v>16</v>
      </c>
      <c r="G12911">
        <f>LOG(382/(16+1))</f>
        <v>1.3516144415334348</v>
      </c>
      <c r="H12911">
        <f>0.0185185185185185*3.11220726455035</f>
        <v>5.7633467862043458E-2</v>
      </c>
      <c r="I12911">
        <v>5.7633467862043687E-2</v>
      </c>
    </row>
    <row r="12912" spans="1:9" x14ac:dyDescent="0.25">
      <c r="A12912">
        <v>461</v>
      </c>
      <c r="B12912" t="s">
        <v>3709</v>
      </c>
      <c r="C12912" t="s">
        <v>75</v>
      </c>
      <c r="D12912" t="s">
        <v>3711</v>
      </c>
      <c r="E12912">
        <f>1/108</f>
        <v>9.2592592592592587E-3</v>
      </c>
      <c r="F12912">
        <v>1</v>
      </c>
      <c r="G12912">
        <f>LOG(382/(1+1))</f>
        <v>2.2810333672477277</v>
      </c>
      <c r="H12912">
        <f>0.00925925925925925*5.25227342804663</f>
        <v>4.8632161370802084E-2</v>
      </c>
      <c r="I12912">
        <v>4.8632161370802132E-2</v>
      </c>
    </row>
    <row r="12913" spans="1:9" x14ac:dyDescent="0.25">
      <c r="A12913">
        <v>461</v>
      </c>
      <c r="B12913" t="s">
        <v>3709</v>
      </c>
      <c r="C12913" t="s">
        <v>75</v>
      </c>
      <c r="D12913" t="s">
        <v>3712</v>
      </c>
      <c r="E12913">
        <f>3/108</f>
        <v>2.7777777777777776E-2</v>
      </c>
      <c r="F12913">
        <v>3</v>
      </c>
      <c r="G12913">
        <f>LOG(382/(3+1))</f>
        <v>1.9800033715837464</v>
      </c>
      <c r="H12913">
        <f>0.0277777777777777*4.55912624748668</f>
        <v>0.12664239576351854</v>
      </c>
      <c r="I12913">
        <v>0.12664239576351899</v>
      </c>
    </row>
    <row r="12914" spans="1:9" x14ac:dyDescent="0.25">
      <c r="A12914">
        <v>461</v>
      </c>
      <c r="B12914" t="s">
        <v>3709</v>
      </c>
      <c r="C12914" t="s">
        <v>75</v>
      </c>
      <c r="D12914" t="s">
        <v>670</v>
      </c>
      <c r="E12914">
        <f>1/108</f>
        <v>9.2592592592592587E-3</v>
      </c>
      <c r="F12914">
        <v>6</v>
      </c>
      <c r="G12914">
        <f>LOG(382/(6+1))</f>
        <v>1.736965322897452</v>
      </c>
      <c r="H12914">
        <f>0.00925925925925925*3.99951045955126</f>
        <v>3.7032504255104223E-2</v>
      </c>
      <c r="I12914">
        <v>3.7032504255104272E-2</v>
      </c>
    </row>
    <row r="12915" spans="1:9" x14ac:dyDescent="0.25">
      <c r="A12915">
        <v>461</v>
      </c>
      <c r="B12915" t="s">
        <v>3709</v>
      </c>
      <c r="C12915" t="s">
        <v>75</v>
      </c>
      <c r="D12915" t="s">
        <v>3713</v>
      </c>
      <c r="E12915">
        <f>1/108</f>
        <v>9.2592592592592587E-3</v>
      </c>
      <c r="F12915">
        <v>2</v>
      </c>
      <c r="G12915">
        <f>LOG(382/(2+1))</f>
        <v>2.1049421081920463</v>
      </c>
      <c r="H12915">
        <f>0.00925925925925925*4.84680831993846</f>
        <v>4.4877854814244958E-2</v>
      </c>
      <c r="I12915">
        <v>4.4877854814245048E-2</v>
      </c>
    </row>
    <row r="12916" spans="1:9" x14ac:dyDescent="0.25">
      <c r="A12916">
        <v>461</v>
      </c>
      <c r="B12916" t="s">
        <v>3709</v>
      </c>
      <c r="C12916" t="s">
        <v>75</v>
      </c>
      <c r="D12916" t="s">
        <v>600</v>
      </c>
      <c r="E12916">
        <f>2/108</f>
        <v>1.8518518518518517E-2</v>
      </c>
      <c r="F12916">
        <v>102</v>
      </c>
      <c r="G12916">
        <f>LOG(382/(102+1))</f>
        <v>0.56922613820653656</v>
      </c>
      <c r="H12916">
        <f>0.0185185185185185*1.31069162037693</f>
        <v>2.4272067044017201E-2</v>
      </c>
      <c r="I12916">
        <v>2.4272067044017399E-2</v>
      </c>
    </row>
    <row r="12917" spans="1:9" x14ac:dyDescent="0.25">
      <c r="A12917">
        <v>461</v>
      </c>
      <c r="B12917" t="s">
        <v>3709</v>
      </c>
      <c r="C12917" t="s">
        <v>75</v>
      </c>
      <c r="D12917" t="s">
        <v>674</v>
      </c>
      <c r="E12917">
        <f>2/108</f>
        <v>1.8518518518518517E-2</v>
      </c>
      <c r="F12917">
        <v>11</v>
      </c>
      <c r="G12917">
        <f>LOG(382/(11+1))</f>
        <v>1.5028821168640838</v>
      </c>
      <c r="H12917">
        <f>0.0185185185185185*3.46051395881857</f>
        <v>6.408359182997346E-2</v>
      </c>
      <c r="I12917">
        <v>6.4083591829973613E-2</v>
      </c>
    </row>
    <row r="12918" spans="1:9" x14ac:dyDescent="0.25">
      <c r="A12918">
        <v>461</v>
      </c>
      <c r="B12918" t="s">
        <v>3709</v>
      </c>
      <c r="C12918" t="s">
        <v>75</v>
      </c>
      <c r="D12918" t="s">
        <v>636</v>
      </c>
      <c r="E12918">
        <f>4/108</f>
        <v>3.7037037037037035E-2</v>
      </c>
      <c r="F12918">
        <v>31</v>
      </c>
      <c r="G12918">
        <f>LOG(382/(31+1))</f>
        <v>1.0769133845918029</v>
      </c>
      <c r="H12918">
        <f>0.037037037037037*2.47968470580684</f>
        <v>9.1840174289142124E-2</v>
      </c>
      <c r="I12918">
        <v>9.184017428914254E-2</v>
      </c>
    </row>
    <row r="12919" spans="1:9" x14ac:dyDescent="0.25">
      <c r="A12919">
        <v>461</v>
      </c>
      <c r="B12919" t="s">
        <v>3709</v>
      </c>
      <c r="C12919" t="s">
        <v>75</v>
      </c>
      <c r="D12919" t="s">
        <v>637</v>
      </c>
      <c r="E12919">
        <f>2/108</f>
        <v>1.8518518518518517E-2</v>
      </c>
      <c r="F12919">
        <v>29</v>
      </c>
      <c r="G12919">
        <f>LOG(382/(29+1))</f>
        <v>1.1049421081920463</v>
      </c>
      <c r="H12919">
        <f>0.0185185185185185*2.54422322694442</f>
        <v>4.7115244943415138E-2</v>
      </c>
      <c r="I12919">
        <v>4.711524494341518E-2</v>
      </c>
    </row>
    <row r="12920" spans="1:9" x14ac:dyDescent="0.25">
      <c r="A12920">
        <v>461</v>
      </c>
      <c r="B12920" t="s">
        <v>3709</v>
      </c>
      <c r="C12920" t="s">
        <v>75</v>
      </c>
      <c r="D12920" t="s">
        <v>70</v>
      </c>
      <c r="E12920">
        <f>2/108</f>
        <v>1.8518518518518517E-2</v>
      </c>
      <c r="F12920">
        <v>44</v>
      </c>
      <c r="G12920">
        <f>LOG(382/(44+1))</f>
        <v>0.92885084913636506</v>
      </c>
      <c r="H12920">
        <f>0.0185185185185185*2.13875811883625</f>
        <v>3.9606631830300887E-2</v>
      </c>
      <c r="I12920">
        <v>3.9606631830301019E-2</v>
      </c>
    </row>
    <row r="12921" spans="1:9" x14ac:dyDescent="0.25">
      <c r="A12921">
        <v>461</v>
      </c>
      <c r="B12921" t="s">
        <v>3709</v>
      </c>
      <c r="C12921" t="s">
        <v>75</v>
      </c>
      <c r="D12921" t="s">
        <v>19</v>
      </c>
      <c r="E12921">
        <f>2/108</f>
        <v>1.8518518518518517E-2</v>
      </c>
      <c r="F12921">
        <v>220</v>
      </c>
      <c r="G12921">
        <f>LOG(382/(220+1))</f>
        <v>0.23767108922659805</v>
      </c>
      <c r="H12921">
        <f>0.0185185185185185*0.547257907088822</f>
        <v>1.0134405686830028E-2</v>
      </c>
      <c r="I12921">
        <v>1.013440568683004E-2</v>
      </c>
    </row>
    <row r="12922" spans="1:9" x14ac:dyDescent="0.25">
      <c r="A12922">
        <v>461</v>
      </c>
      <c r="B12922" t="s">
        <v>3709</v>
      </c>
      <c r="C12922" t="s">
        <v>75</v>
      </c>
      <c r="D12922" t="s">
        <v>44</v>
      </c>
      <c r="E12922">
        <f>3/108</f>
        <v>2.7777777777777776E-2</v>
      </c>
      <c r="F12922">
        <v>151</v>
      </c>
      <c r="G12922">
        <f>LOG(382/(151+1))</f>
        <v>0.40021977496693617</v>
      </c>
      <c r="H12922">
        <f>0.0277777777777777*0.921540087760298</f>
        <v>2.5598335771119318E-2</v>
      </c>
      <c r="I12922">
        <v>2.5598335771119411E-2</v>
      </c>
    </row>
    <row r="12923" spans="1:9" x14ac:dyDescent="0.25">
      <c r="A12923">
        <v>461</v>
      </c>
      <c r="B12923" t="s">
        <v>3709</v>
      </c>
      <c r="C12923" t="s">
        <v>75</v>
      </c>
      <c r="D12923" t="s">
        <v>22</v>
      </c>
      <c r="E12923">
        <f>2/108</f>
        <v>1.8518518518518517E-2</v>
      </c>
      <c r="F12923">
        <v>259</v>
      </c>
      <c r="G12923">
        <f>LOG(382/(259+1))</f>
        <v>0.16709001494089079</v>
      </c>
      <c r="H12923">
        <f>0.0185185185185185*0.384738977591047</f>
        <v>7.124795881315679E-3</v>
      </c>
      <c r="I12923">
        <v>7.1247958813156946E-3</v>
      </c>
    </row>
    <row r="12924" spans="1:9" x14ac:dyDescent="0.25">
      <c r="A12924">
        <v>461</v>
      </c>
      <c r="B12924" t="s">
        <v>3709</v>
      </c>
      <c r="C12924" t="s">
        <v>75</v>
      </c>
      <c r="D12924" t="s">
        <v>23</v>
      </c>
      <c r="E12924">
        <f>2/108</f>
        <v>1.8518518518518517E-2</v>
      </c>
      <c r="F12924">
        <v>275</v>
      </c>
      <c r="G12924">
        <f>LOG(382/(275+1))</f>
        <v>0.14115428084649101</v>
      </c>
      <c r="H12924">
        <f>0.0185185185185185*0.325019742889425</f>
        <v>6.0188841275819385E-3</v>
      </c>
      <c r="I12924">
        <v>6.0188841275819471E-3</v>
      </c>
    </row>
    <row r="12925" spans="1:9" x14ac:dyDescent="0.25">
      <c r="A12925">
        <v>461</v>
      </c>
      <c r="B12925" t="s">
        <v>3709</v>
      </c>
      <c r="C12925" t="s">
        <v>75</v>
      </c>
      <c r="D12925" t="s">
        <v>1785</v>
      </c>
      <c r="E12925">
        <f>2/108</f>
        <v>1.8518518518518517E-2</v>
      </c>
      <c r="F12925">
        <v>21</v>
      </c>
      <c r="G12925">
        <f>LOG(382/(21+1))</f>
        <v>1.2396406820895025</v>
      </c>
      <c r="H12925">
        <f>0.0185185185185185*2.85437815524825</f>
        <v>5.2858854726819393E-2</v>
      </c>
      <c r="I12925">
        <v>5.2858854726819622E-2</v>
      </c>
    </row>
    <row r="12926" spans="1:9" x14ac:dyDescent="0.25">
      <c r="A12926">
        <v>461</v>
      </c>
      <c r="B12926" t="s">
        <v>3709</v>
      </c>
      <c r="C12926" t="s">
        <v>75</v>
      </c>
      <c r="D12926" t="s">
        <v>1770</v>
      </c>
      <c r="E12926">
        <f>1/108</f>
        <v>9.2592592592592587E-3</v>
      </c>
      <c r="F12926">
        <v>4</v>
      </c>
      <c r="G12926">
        <f>LOG(382/(4+1))</f>
        <v>1.8830933585756899</v>
      </c>
      <c r="H12926">
        <f>0.00925925925925925*4.33598269617247</f>
        <v>4.0147987927522832E-2</v>
      </c>
      <c r="I12926">
        <v>4.0147987927522923E-2</v>
      </c>
    </row>
    <row r="12927" spans="1:9" x14ac:dyDescent="0.25">
      <c r="A12927">
        <v>461</v>
      </c>
      <c r="B12927" t="s">
        <v>3709</v>
      </c>
      <c r="C12927" t="s">
        <v>75</v>
      </c>
      <c r="D12927" t="s">
        <v>2557</v>
      </c>
      <c r="E12927">
        <f>1/108</f>
        <v>9.2592592592592587E-3</v>
      </c>
      <c r="F12927">
        <v>2</v>
      </c>
      <c r="G12927">
        <f>LOG(382/(2+1))</f>
        <v>2.1049421081920463</v>
      </c>
      <c r="H12927">
        <f>0.00925925925925925*4.84680831993846</f>
        <v>4.4877854814244958E-2</v>
      </c>
      <c r="I12927">
        <v>4.4877854814245048E-2</v>
      </c>
    </row>
    <row r="12928" spans="1:9" x14ac:dyDescent="0.25">
      <c r="A12928">
        <v>461</v>
      </c>
      <c r="B12928" t="s">
        <v>3709</v>
      </c>
      <c r="C12928" t="s">
        <v>75</v>
      </c>
      <c r="D12928" t="s">
        <v>1769</v>
      </c>
      <c r="E12928">
        <f>4/108</f>
        <v>3.7037037037037035E-2</v>
      </c>
      <c r="F12928">
        <v>84</v>
      </c>
      <c r="G12928">
        <f>LOG(382/(84+1))</f>
        <v>0.65264443719741605</v>
      </c>
      <c r="H12928">
        <f>0.037037037037037*1.50276935211625</f>
        <v>5.565812415245365E-2</v>
      </c>
      <c r="I12928">
        <v>5.5658124152454018E-2</v>
      </c>
    </row>
    <row r="12929" spans="1:9" x14ac:dyDescent="0.25">
      <c r="A12929">
        <v>461</v>
      </c>
      <c r="B12929" t="s">
        <v>3709</v>
      </c>
      <c r="C12929" t="s">
        <v>75</v>
      </c>
      <c r="D12929" t="s">
        <v>929</v>
      </c>
      <c r="E12929">
        <f>3/108</f>
        <v>2.7777777777777776E-2</v>
      </c>
      <c r="F12929">
        <v>32</v>
      </c>
      <c r="G12929">
        <f>LOG(382/(32+1))</f>
        <v>1.0635494230338212</v>
      </c>
      <c r="H12929">
        <f>0.0277777777777777*2.44891304714009</f>
        <v>6.8025362420557872E-2</v>
      </c>
      <c r="I12929">
        <v>6.8025362420558191E-2</v>
      </c>
    </row>
    <row r="12930" spans="1:9" x14ac:dyDescent="0.25">
      <c r="A12930">
        <v>461</v>
      </c>
      <c r="B12930" t="s">
        <v>3709</v>
      </c>
      <c r="C12930" t="s">
        <v>75</v>
      </c>
      <c r="D12930" t="s">
        <v>3714</v>
      </c>
      <c r="E12930">
        <f>1/108</f>
        <v>9.2592592592592587E-3</v>
      </c>
      <c r="F12930">
        <v>1</v>
      </c>
      <c r="G12930">
        <f>LOG(382/(1+1))</f>
        <v>2.2810333672477277</v>
      </c>
      <c r="H12930">
        <f>0.00925925925925925*5.25227342804663</f>
        <v>4.8632161370802084E-2</v>
      </c>
      <c r="I12930">
        <v>4.8632161370802132E-2</v>
      </c>
    </row>
    <row r="12931" spans="1:9" x14ac:dyDescent="0.25">
      <c r="A12931">
        <v>461</v>
      </c>
      <c r="B12931" t="s">
        <v>3709</v>
      </c>
      <c r="C12931" t="s">
        <v>75</v>
      </c>
      <c r="D12931" t="s">
        <v>3715</v>
      </c>
      <c r="E12931">
        <f>1/108</f>
        <v>9.2592592592592587E-3</v>
      </c>
      <c r="F12931">
        <v>2</v>
      </c>
      <c r="G12931">
        <f>LOG(382/(2+1))</f>
        <v>2.1049421081920463</v>
      </c>
      <c r="H12931">
        <f>0.00925925925925925*4.84680831993846</f>
        <v>4.4877854814244958E-2</v>
      </c>
      <c r="I12931">
        <v>4.4877854814245048E-2</v>
      </c>
    </row>
    <row r="12932" spans="1:9" x14ac:dyDescent="0.25">
      <c r="A12932">
        <v>461</v>
      </c>
      <c r="B12932" t="s">
        <v>3709</v>
      </c>
      <c r="C12932" t="s">
        <v>75</v>
      </c>
      <c r="D12932" t="s">
        <v>1076</v>
      </c>
      <c r="E12932">
        <f>3/108</f>
        <v>2.7777777777777776E-2</v>
      </c>
      <c r="F12932">
        <v>13</v>
      </c>
      <c r="G12932">
        <f>LOG(382/(13+1))</f>
        <v>1.4359353272334707</v>
      </c>
      <c r="H12932">
        <f>0.0277777777777777*3.30636327899131</f>
        <v>9.1843424416425026E-2</v>
      </c>
      <c r="I12932">
        <v>9.1843424416425457E-2</v>
      </c>
    </row>
    <row r="12933" spans="1:9" x14ac:dyDescent="0.25">
      <c r="A12933">
        <v>461</v>
      </c>
      <c r="B12933" t="s">
        <v>3709</v>
      </c>
      <c r="C12933" t="s">
        <v>75</v>
      </c>
      <c r="D12933" t="s">
        <v>2238</v>
      </c>
      <c r="E12933">
        <f>2/108</f>
        <v>1.8518518518518517E-2</v>
      </c>
      <c r="F12933">
        <v>68</v>
      </c>
      <c r="G12933">
        <f>LOG(382/(68+1))</f>
        <v>0.74321427217445335</v>
      </c>
      <c r="H12933">
        <f>0.0185185185185185*1.71131410400931</f>
        <v>3.1691001926098306E-2</v>
      </c>
      <c r="I12933">
        <v>3.1691001926098437E-2</v>
      </c>
    </row>
    <row r="12934" spans="1:9" x14ac:dyDescent="0.25">
      <c r="A12934">
        <v>461</v>
      </c>
      <c r="B12934" t="s">
        <v>3709</v>
      </c>
      <c r="C12934" t="s">
        <v>75</v>
      </c>
      <c r="D12934" t="s">
        <v>3716</v>
      </c>
      <c r="E12934">
        <f t="shared" ref="E12934:E12947" si="612">1/108</f>
        <v>9.2592592592592587E-3</v>
      </c>
      <c r="F12934">
        <v>1</v>
      </c>
      <c r="G12934">
        <f>LOG(382/(1+1))</f>
        <v>2.2810333672477277</v>
      </c>
      <c r="H12934">
        <f>0.00925925925925925*5.25227342804663</f>
        <v>4.8632161370802084E-2</v>
      </c>
      <c r="I12934">
        <v>4.8632161370802132E-2</v>
      </c>
    </row>
    <row r="12935" spans="1:9" x14ac:dyDescent="0.25">
      <c r="A12935">
        <v>461</v>
      </c>
      <c r="B12935" t="s">
        <v>3709</v>
      </c>
      <c r="C12935" t="s">
        <v>75</v>
      </c>
      <c r="D12935" t="s">
        <v>3717</v>
      </c>
      <c r="E12935">
        <f t="shared" si="612"/>
        <v>9.2592592592592587E-3</v>
      </c>
      <c r="F12935">
        <v>1</v>
      </c>
      <c r="G12935">
        <f>LOG(382/(1+1))</f>
        <v>2.2810333672477277</v>
      </c>
      <c r="H12935">
        <f>0.00925925925925925*5.25227342804663</f>
        <v>4.8632161370802084E-2</v>
      </c>
      <c r="I12935">
        <v>4.8632161370802132E-2</v>
      </c>
    </row>
    <row r="12936" spans="1:9" x14ac:dyDescent="0.25">
      <c r="A12936">
        <v>461</v>
      </c>
      <c r="B12936" t="s">
        <v>3709</v>
      </c>
      <c r="C12936" t="s">
        <v>75</v>
      </c>
      <c r="D12936" t="s">
        <v>937</v>
      </c>
      <c r="E12936">
        <f t="shared" si="612"/>
        <v>9.2592592592592587E-3</v>
      </c>
      <c r="F12936">
        <v>41</v>
      </c>
      <c r="G12936">
        <f>LOG(382/(41+1))</f>
        <v>0.95881407251380824</v>
      </c>
      <c r="H12936">
        <f>0.00925925925925925*2.2077509903232</f>
        <v>2.044213879928887E-2</v>
      </c>
      <c r="I12936">
        <v>2.044213879928895E-2</v>
      </c>
    </row>
    <row r="12937" spans="1:9" x14ac:dyDescent="0.25">
      <c r="A12937">
        <v>461</v>
      </c>
      <c r="B12937" t="s">
        <v>3709</v>
      </c>
      <c r="C12937" t="s">
        <v>75</v>
      </c>
      <c r="D12937" t="s">
        <v>1730</v>
      </c>
      <c r="E12937">
        <f t="shared" si="612"/>
        <v>9.2592592592592587E-3</v>
      </c>
      <c r="F12937">
        <v>35</v>
      </c>
      <c r="G12937">
        <f>LOG(382/(35+1))</f>
        <v>1.0257608621444214</v>
      </c>
      <c r="H12937">
        <f>0.00925925925925925*2.36190167015046</f>
        <v>2.1869459908800536E-2</v>
      </c>
      <c r="I12937">
        <v>2.1869459908800602E-2</v>
      </c>
    </row>
    <row r="12938" spans="1:9" x14ac:dyDescent="0.25">
      <c r="A12938">
        <v>461</v>
      </c>
      <c r="B12938" t="s">
        <v>3709</v>
      </c>
      <c r="C12938" t="s">
        <v>75</v>
      </c>
      <c r="D12938" t="s">
        <v>1261</v>
      </c>
      <c r="E12938">
        <f t="shared" si="612"/>
        <v>9.2592592592592587E-3</v>
      </c>
      <c r="F12938">
        <v>12</v>
      </c>
      <c r="G12938">
        <f>LOG(382/(12+1))</f>
        <v>1.468120010604872</v>
      </c>
      <c r="H12938">
        <f>0.00925925925925925*3.38047125114503</f>
        <v>3.1300659732824324E-2</v>
      </c>
      <c r="I12938">
        <v>3.1300659732824428E-2</v>
      </c>
    </row>
    <row r="12939" spans="1:9" x14ac:dyDescent="0.25">
      <c r="A12939">
        <v>461</v>
      </c>
      <c r="B12939" t="s">
        <v>3709</v>
      </c>
      <c r="C12939" t="s">
        <v>75</v>
      </c>
      <c r="D12939" t="s">
        <v>3718</v>
      </c>
      <c r="E12939">
        <f t="shared" si="612"/>
        <v>9.2592592592592587E-3</v>
      </c>
      <c r="F12939">
        <v>4</v>
      </c>
      <c r="G12939">
        <f>LOG(382/(4+1))</f>
        <v>1.8830933585756899</v>
      </c>
      <c r="H12939">
        <f>0.00925925925925925*4.33598269617247</f>
        <v>4.0147987927522832E-2</v>
      </c>
      <c r="I12939">
        <v>4.0147987927522923E-2</v>
      </c>
    </row>
    <row r="12940" spans="1:9" x14ac:dyDescent="0.25">
      <c r="A12940">
        <v>461</v>
      </c>
      <c r="B12940" t="s">
        <v>3709</v>
      </c>
      <c r="C12940" t="s">
        <v>75</v>
      </c>
      <c r="D12940" t="s">
        <v>1665</v>
      </c>
      <c r="E12940">
        <f t="shared" si="612"/>
        <v>9.2592592592592587E-3</v>
      </c>
      <c r="F12940">
        <v>17</v>
      </c>
      <c r="G12940">
        <f>LOG(382/(17+1))</f>
        <v>1.3267908578084027</v>
      </c>
      <c r="H12940">
        <f>0.00925925925925925*3.05504885071041</f>
        <v>2.8287489358429695E-2</v>
      </c>
      <c r="I12940">
        <v>2.8287489358429719E-2</v>
      </c>
    </row>
    <row r="12941" spans="1:9" x14ac:dyDescent="0.25">
      <c r="A12941">
        <v>461</v>
      </c>
      <c r="B12941" t="s">
        <v>3709</v>
      </c>
      <c r="C12941" t="s">
        <v>75</v>
      </c>
      <c r="D12941" t="s">
        <v>3719</v>
      </c>
      <c r="E12941">
        <f t="shared" si="612"/>
        <v>9.2592592592592587E-3</v>
      </c>
      <c r="F12941">
        <v>1</v>
      </c>
      <c r="G12941">
        <f>LOG(382/(1+1))</f>
        <v>2.2810333672477277</v>
      </c>
      <c r="H12941">
        <f>0.00925925925925925*5.25227342804663</f>
        <v>4.8632161370802084E-2</v>
      </c>
      <c r="I12941">
        <v>4.8632161370802132E-2</v>
      </c>
    </row>
    <row r="12942" spans="1:9" x14ac:dyDescent="0.25">
      <c r="A12942">
        <v>461</v>
      </c>
      <c r="B12942" t="s">
        <v>3709</v>
      </c>
      <c r="C12942" t="s">
        <v>75</v>
      </c>
      <c r="D12942" t="s">
        <v>3720</v>
      </c>
      <c r="E12942">
        <f t="shared" si="612"/>
        <v>9.2592592592592587E-3</v>
      </c>
      <c r="F12942">
        <v>1</v>
      </c>
      <c r="G12942">
        <f>LOG(382/(1+1))</f>
        <v>2.2810333672477277</v>
      </c>
      <c r="H12942">
        <f>0.00925925925925925*5.25227342804663</f>
        <v>4.8632161370802084E-2</v>
      </c>
      <c r="I12942">
        <v>4.8632161370802132E-2</v>
      </c>
    </row>
    <row r="12943" spans="1:9" x14ac:dyDescent="0.25">
      <c r="A12943">
        <v>461</v>
      </c>
      <c r="B12943" t="s">
        <v>3709</v>
      </c>
      <c r="C12943" t="s">
        <v>75</v>
      </c>
      <c r="D12943" t="s">
        <v>1738</v>
      </c>
      <c r="E12943">
        <f t="shared" si="612"/>
        <v>9.2592592592592587E-3</v>
      </c>
      <c r="F12943">
        <v>24</v>
      </c>
      <c r="G12943">
        <f>LOG(382/(24+1))</f>
        <v>1.1841233542396712</v>
      </c>
      <c r="H12943">
        <f>0.00925925925925925*2.72654478373837</f>
        <v>2.5245785034614509E-2</v>
      </c>
      <c r="I12943">
        <v>2.5245785034614571E-2</v>
      </c>
    </row>
    <row r="12944" spans="1:9" x14ac:dyDescent="0.25">
      <c r="A12944">
        <v>461</v>
      </c>
      <c r="B12944" t="s">
        <v>3709</v>
      </c>
      <c r="C12944" t="s">
        <v>75</v>
      </c>
      <c r="D12944" t="s">
        <v>1739</v>
      </c>
      <c r="E12944">
        <f t="shared" si="612"/>
        <v>9.2592592592592587E-3</v>
      </c>
      <c r="F12944">
        <v>30</v>
      </c>
      <c r="G12944">
        <f>LOG(382/(30+1))</f>
        <v>1.090701669077436</v>
      </c>
      <c r="H12944">
        <f>0.00925925925925925*2.51143340412142</f>
        <v>2.3254013001124237E-2</v>
      </c>
      <c r="I12944">
        <v>2.3254013001124341E-2</v>
      </c>
    </row>
    <row r="12945" spans="1:9" x14ac:dyDescent="0.25">
      <c r="A12945">
        <v>461</v>
      </c>
      <c r="B12945" t="s">
        <v>3709</v>
      </c>
      <c r="C12945" t="s">
        <v>75</v>
      </c>
      <c r="D12945" t="s">
        <v>1397</v>
      </c>
      <c r="E12945">
        <f t="shared" si="612"/>
        <v>9.2592592592592587E-3</v>
      </c>
      <c r="F12945">
        <v>29</v>
      </c>
      <c r="G12945">
        <f>LOG(382/(29+1))</f>
        <v>1.1049421081920463</v>
      </c>
      <c r="H12945">
        <f>0.00925925925925925*2.54422322694442</f>
        <v>2.3557622471707569E-2</v>
      </c>
      <c r="I12945">
        <v>2.355762247170759E-2</v>
      </c>
    </row>
    <row r="12946" spans="1:9" x14ac:dyDescent="0.25">
      <c r="A12946">
        <v>461</v>
      </c>
      <c r="B12946" t="s">
        <v>3709</v>
      </c>
      <c r="C12946" t="s">
        <v>75</v>
      </c>
      <c r="D12946" t="s">
        <v>3603</v>
      </c>
      <c r="E12946">
        <f t="shared" si="612"/>
        <v>9.2592592592592587E-3</v>
      </c>
      <c r="F12946">
        <v>3</v>
      </c>
      <c r="G12946">
        <f>LOG(382/(3+1))</f>
        <v>1.9800033715837464</v>
      </c>
      <c r="H12946">
        <f>0.00925925925925925*4.55912624748668</f>
        <v>4.2214131921172925E-2</v>
      </c>
      <c r="I12946">
        <v>4.2214131921173001E-2</v>
      </c>
    </row>
    <row r="12947" spans="1:9" x14ac:dyDescent="0.25">
      <c r="A12947">
        <v>461</v>
      </c>
      <c r="B12947" t="s">
        <v>3709</v>
      </c>
      <c r="C12947" t="s">
        <v>75</v>
      </c>
      <c r="D12947" t="s">
        <v>3721</v>
      </c>
      <c r="E12947">
        <f t="shared" si="612"/>
        <v>9.2592592592592587E-3</v>
      </c>
      <c r="F12947">
        <v>1</v>
      </c>
      <c r="G12947">
        <f>LOG(382/(1+1))</f>
        <v>2.2810333672477277</v>
      </c>
      <c r="H12947">
        <f>0.00925925925925925*5.25227342804663</f>
        <v>4.8632161370802084E-2</v>
      </c>
      <c r="I12947">
        <v>4.8632161370802132E-2</v>
      </c>
    </row>
    <row r="12948" spans="1:9" x14ac:dyDescent="0.25">
      <c r="A12948">
        <v>461</v>
      </c>
      <c r="B12948" t="s">
        <v>3709</v>
      </c>
      <c r="C12948" t="s">
        <v>75</v>
      </c>
      <c r="D12948" t="s">
        <v>772</v>
      </c>
      <c r="E12948">
        <f>2/108</f>
        <v>1.8518518518518517E-2</v>
      </c>
      <c r="F12948">
        <v>31</v>
      </c>
      <c r="G12948">
        <f>LOG(382/(31+1))</f>
        <v>1.0769133845918029</v>
      </c>
      <c r="H12948">
        <f>0.0185185185185185*2.47968470580684</f>
        <v>4.5920087144571062E-2</v>
      </c>
      <c r="I12948">
        <v>4.592008714457127E-2</v>
      </c>
    </row>
    <row r="12949" spans="1:9" x14ac:dyDescent="0.25">
      <c r="A12949">
        <v>461</v>
      </c>
      <c r="B12949" t="s">
        <v>3709</v>
      </c>
      <c r="C12949" t="s">
        <v>75</v>
      </c>
      <c r="D12949" t="s">
        <v>3334</v>
      </c>
      <c r="E12949">
        <f>1/108</f>
        <v>9.2592592592592587E-3</v>
      </c>
      <c r="F12949">
        <v>12</v>
      </c>
      <c r="G12949">
        <f>LOG(382/(12+1))</f>
        <v>1.468120010604872</v>
      </c>
      <c r="H12949">
        <f>0.00925925925925925*3.38047125114503</f>
        <v>3.1300659732824324E-2</v>
      </c>
      <c r="I12949">
        <v>3.1300659732824428E-2</v>
      </c>
    </row>
    <row r="12950" spans="1:9" x14ac:dyDescent="0.25">
      <c r="A12950">
        <v>461</v>
      </c>
      <c r="B12950" t="s">
        <v>3709</v>
      </c>
      <c r="C12950" t="s">
        <v>75</v>
      </c>
      <c r="D12950" t="s">
        <v>237</v>
      </c>
      <c r="E12950">
        <f>1/108</f>
        <v>9.2592592592592587E-3</v>
      </c>
      <c r="F12950">
        <v>138</v>
      </c>
      <c r="G12950">
        <f>LOG(382/(138+1))</f>
        <v>0.43904856265761361</v>
      </c>
      <c r="H12950">
        <f>0.00925925925925925*1.01094667547588</f>
        <v>9.3606173655173975E-3</v>
      </c>
      <c r="I12950">
        <v>9.3606173655174374E-3</v>
      </c>
    </row>
    <row r="12951" spans="1:9" x14ac:dyDescent="0.25">
      <c r="A12951">
        <v>461</v>
      </c>
      <c r="B12951" t="s">
        <v>3709</v>
      </c>
      <c r="C12951" t="s">
        <v>75</v>
      </c>
      <c r="D12951" t="s">
        <v>361</v>
      </c>
      <c r="E12951">
        <f>2/108</f>
        <v>1.8518518518518517E-2</v>
      </c>
      <c r="F12951">
        <v>118</v>
      </c>
      <c r="G12951">
        <f>LOG(382/(118+1))</f>
        <v>0.50651640151917798</v>
      </c>
      <c r="H12951">
        <f>0.0185185185185185*1.16629711549504</f>
        <v>2.1598094731389607E-2</v>
      </c>
      <c r="I12951">
        <v>2.1598094731389739E-2</v>
      </c>
    </row>
    <row r="12952" spans="1:9" x14ac:dyDescent="0.25">
      <c r="A12952">
        <v>461</v>
      </c>
      <c r="B12952" t="s">
        <v>3709</v>
      </c>
      <c r="C12952" t="s">
        <v>75</v>
      </c>
      <c r="D12952" t="s">
        <v>434</v>
      </c>
      <c r="E12952">
        <f>2/108</f>
        <v>1.8518518518518517E-2</v>
      </c>
      <c r="F12952">
        <v>97</v>
      </c>
      <c r="G12952">
        <f>LOG(382/(97+1))</f>
        <v>0.59083728721921391</v>
      </c>
      <c r="H12952">
        <f>0.0185185185185185*1.360453129936</f>
        <v>2.5193576480296274E-2</v>
      </c>
      <c r="I12952">
        <v>2.519357648029635E-2</v>
      </c>
    </row>
    <row r="12953" spans="1:9" x14ac:dyDescent="0.25">
      <c r="A12953">
        <v>461</v>
      </c>
      <c r="B12953" t="s">
        <v>3709</v>
      </c>
      <c r="C12953" t="s">
        <v>75</v>
      </c>
      <c r="D12953" t="s">
        <v>1514</v>
      </c>
      <c r="E12953">
        <f>1/108</f>
        <v>9.2592592592592587E-3</v>
      </c>
      <c r="F12953">
        <v>5</v>
      </c>
      <c r="G12953">
        <f>LOG(382/(5+1))</f>
        <v>1.803912112528065</v>
      </c>
      <c r="H12953">
        <f>0.00925925925925925*4.15366113937852</f>
        <v>3.8459825364615889E-2</v>
      </c>
      <c r="I12953">
        <v>3.8459825364615917E-2</v>
      </c>
    </row>
    <row r="12954" spans="1:9" x14ac:dyDescent="0.25">
      <c r="A12954">
        <v>461</v>
      </c>
      <c r="B12954" t="s">
        <v>3709</v>
      </c>
      <c r="C12954" t="s">
        <v>75</v>
      </c>
      <c r="D12954" t="s">
        <v>2242</v>
      </c>
      <c r="E12954">
        <f>1/108</f>
        <v>9.2592592592592587E-3</v>
      </c>
      <c r="F12954">
        <v>18</v>
      </c>
      <c r="G12954">
        <f>LOG(382/(18+1))</f>
        <v>1.3033097619588798</v>
      </c>
      <c r="H12954">
        <f>0.00925925925925925*3.00098162944013</f>
        <v>2.7786866939260437E-2</v>
      </c>
      <c r="I12954">
        <v>2.77868669392605E-2</v>
      </c>
    </row>
    <row r="12955" spans="1:9" x14ac:dyDescent="0.25">
      <c r="A12955">
        <v>461</v>
      </c>
      <c r="B12955" t="s">
        <v>3709</v>
      </c>
      <c r="C12955" t="s">
        <v>75</v>
      </c>
      <c r="D12955" t="s">
        <v>214</v>
      </c>
      <c r="E12955">
        <f>1/108</f>
        <v>9.2592592592592587E-3</v>
      </c>
      <c r="F12955">
        <v>68</v>
      </c>
      <c r="G12955">
        <f>LOG(382/(68+1))</f>
        <v>0.74321427217445335</v>
      </c>
      <c r="H12955">
        <f>0.00925925925925925*1.71131410400931</f>
        <v>1.5845500963049153E-2</v>
      </c>
      <c r="I12955">
        <v>1.5845500963049219E-2</v>
      </c>
    </row>
    <row r="12956" spans="1:9" x14ac:dyDescent="0.25">
      <c r="A12956">
        <v>461</v>
      </c>
      <c r="B12956" t="s">
        <v>3709</v>
      </c>
      <c r="C12956" t="s">
        <v>75</v>
      </c>
      <c r="D12956" t="s">
        <v>243</v>
      </c>
      <c r="E12956">
        <f>2/108</f>
        <v>1.8518518518518517E-2</v>
      </c>
      <c r="F12956">
        <v>131</v>
      </c>
      <c r="G12956">
        <f>LOG(382/(131+1))</f>
        <v>0.46148943170585888</v>
      </c>
      <c r="H12956">
        <f>0.0185185185185185*1.0626186860202</f>
        <v>1.967812381518887E-2</v>
      </c>
      <c r="I12956">
        <v>1.9678123815188971E-2</v>
      </c>
    </row>
    <row r="12957" spans="1:9" x14ac:dyDescent="0.25">
      <c r="A12957">
        <v>461</v>
      </c>
      <c r="B12957" t="s">
        <v>3709</v>
      </c>
      <c r="C12957" t="s">
        <v>75</v>
      </c>
      <c r="D12957" t="s">
        <v>453</v>
      </c>
      <c r="E12957">
        <f t="shared" ref="E12957:E12976" si="613">1/108</f>
        <v>9.2592592592592587E-3</v>
      </c>
      <c r="F12957">
        <v>68</v>
      </c>
      <c r="G12957">
        <f>LOG(382/(68+1))</f>
        <v>0.74321427217445335</v>
      </c>
      <c r="H12957">
        <f>0.00925925925925925*1.71131410400931</f>
        <v>1.5845500963049153E-2</v>
      </c>
      <c r="I12957">
        <v>1.5845500963049219E-2</v>
      </c>
    </row>
    <row r="12958" spans="1:9" x14ac:dyDescent="0.25">
      <c r="A12958">
        <v>461</v>
      </c>
      <c r="B12958" t="s">
        <v>3709</v>
      </c>
      <c r="C12958" t="s">
        <v>75</v>
      </c>
      <c r="D12958" t="s">
        <v>770</v>
      </c>
      <c r="E12958">
        <f t="shared" si="613"/>
        <v>9.2592592592592587E-3</v>
      </c>
      <c r="F12958">
        <v>47</v>
      </c>
      <c r="G12958">
        <f>LOG(382/(47+1))</f>
        <v>0.90082212553612151</v>
      </c>
      <c r="H12958">
        <f>0.00925925925925925*2.07421959769868</f>
        <v>1.9205737015728502E-2</v>
      </c>
      <c r="I12958">
        <v>1.9205737015728551E-2</v>
      </c>
    </row>
    <row r="12959" spans="1:9" x14ac:dyDescent="0.25">
      <c r="A12959">
        <v>461</v>
      </c>
      <c r="B12959" t="s">
        <v>3709</v>
      </c>
      <c r="C12959" t="s">
        <v>75</v>
      </c>
      <c r="D12959" t="s">
        <v>307</v>
      </c>
      <c r="E12959">
        <f t="shared" si="613"/>
        <v>9.2592592592592587E-3</v>
      </c>
      <c r="F12959">
        <v>67</v>
      </c>
      <c r="G12959">
        <f>LOG(382/(67+1))</f>
        <v>0.7495544502054724</v>
      </c>
      <c r="H12959">
        <f>0.00925925925925925*1.72591290343046</f>
        <v>1.5980675031763505E-2</v>
      </c>
      <c r="I12959">
        <v>1.5980675031763591E-2</v>
      </c>
    </row>
    <row r="12960" spans="1:9" x14ac:dyDescent="0.25">
      <c r="A12960">
        <v>461</v>
      </c>
      <c r="B12960" t="s">
        <v>3709</v>
      </c>
      <c r="C12960" t="s">
        <v>75</v>
      </c>
      <c r="D12960" t="s">
        <v>455</v>
      </c>
      <c r="E12960">
        <f t="shared" si="613"/>
        <v>9.2592592592592587E-3</v>
      </c>
      <c r="F12960">
        <v>78</v>
      </c>
      <c r="G12960">
        <f>LOG(382/(78+1))</f>
        <v>0.6844362716212673</v>
      </c>
      <c r="H12960">
        <f>0.00925925925925925*1.57597275613955</f>
        <v>1.4592340334625449E-2</v>
      </c>
      <c r="I12960">
        <v>1.45923403346255E-2</v>
      </c>
    </row>
    <row r="12961" spans="1:9" x14ac:dyDescent="0.25">
      <c r="A12961">
        <v>461</v>
      </c>
      <c r="B12961" t="s">
        <v>3709</v>
      </c>
      <c r="C12961" t="s">
        <v>75</v>
      </c>
      <c r="D12961" t="s">
        <v>456</v>
      </c>
      <c r="E12961">
        <f t="shared" si="613"/>
        <v>9.2592592592592587E-3</v>
      </c>
      <c r="F12961">
        <v>71</v>
      </c>
      <c r="G12961">
        <f>LOG(382/(71+1))</f>
        <v>0.72473086648044027</v>
      </c>
      <c r="H12961">
        <f>0.00925925925925925*1.66875448959051</f>
        <v>1.5451430459171373E-2</v>
      </c>
      <c r="I12961">
        <v>1.5451430459171481E-2</v>
      </c>
    </row>
    <row r="12962" spans="1:9" x14ac:dyDescent="0.25">
      <c r="A12962">
        <v>461</v>
      </c>
      <c r="B12962" t="s">
        <v>3709</v>
      </c>
      <c r="C12962" t="s">
        <v>75</v>
      </c>
      <c r="D12962" t="s">
        <v>81</v>
      </c>
      <c r="E12962">
        <f t="shared" si="613"/>
        <v>9.2592592592592587E-3</v>
      </c>
      <c r="F12962">
        <v>114</v>
      </c>
      <c r="G12962">
        <f>LOG(382/(114+1))</f>
        <v>0.52136552255809698</v>
      </c>
      <c r="H12962">
        <f>0.00925925925925925*1.20048848024332</f>
        <v>1.1115634076327026E-2</v>
      </c>
      <c r="I12962">
        <v>1.1115634076327079E-2</v>
      </c>
    </row>
    <row r="12963" spans="1:9" x14ac:dyDescent="0.25">
      <c r="A12963">
        <v>461</v>
      </c>
      <c r="B12963" t="s">
        <v>3709</v>
      </c>
      <c r="C12963" t="s">
        <v>75</v>
      </c>
      <c r="D12963" t="s">
        <v>458</v>
      </c>
      <c r="E12963">
        <f t="shared" si="613"/>
        <v>9.2592592592592587E-3</v>
      </c>
      <c r="F12963">
        <v>34</v>
      </c>
      <c r="G12963">
        <f>LOG(382/(34+1))</f>
        <v>1.037995318561433</v>
      </c>
      <c r="H12963">
        <f>0.00925925925925925*2.39007254711716</f>
        <v>2.2130301362195903E-2</v>
      </c>
      <c r="I12963">
        <v>2.2130301362195941E-2</v>
      </c>
    </row>
    <row r="12964" spans="1:9" x14ac:dyDescent="0.25">
      <c r="A12964">
        <v>461</v>
      </c>
      <c r="B12964" t="s">
        <v>3709</v>
      </c>
      <c r="C12964" t="s">
        <v>75</v>
      </c>
      <c r="D12964" t="s">
        <v>459</v>
      </c>
      <c r="E12964">
        <f t="shared" si="613"/>
        <v>9.2592592592592587E-3</v>
      </c>
      <c r="F12964">
        <v>14</v>
      </c>
      <c r="G12964">
        <f>LOG(382/(14+1))</f>
        <v>1.4059721038560276</v>
      </c>
      <c r="H12964">
        <f>0.00925925925925925*3.23737040750436</f>
        <v>2.9975651921336634E-2</v>
      </c>
      <c r="I12964">
        <v>2.9975651921336711E-2</v>
      </c>
    </row>
    <row r="12965" spans="1:9" x14ac:dyDescent="0.25">
      <c r="A12965">
        <v>461</v>
      </c>
      <c r="B12965" t="s">
        <v>3709</v>
      </c>
      <c r="C12965" t="s">
        <v>75</v>
      </c>
      <c r="D12965" t="s">
        <v>773</v>
      </c>
      <c r="E12965">
        <f t="shared" si="613"/>
        <v>9.2592592592592587E-3</v>
      </c>
      <c r="F12965">
        <v>10</v>
      </c>
      <c r="G12965">
        <f>LOG(382/(10+1))</f>
        <v>1.5406706777534838</v>
      </c>
      <c r="H12965">
        <f>0.00925925925925925*3.5475253358082</f>
        <v>3.2847456813038856E-2</v>
      </c>
      <c r="I12965">
        <v>3.2847456813038932E-2</v>
      </c>
    </row>
    <row r="12966" spans="1:9" x14ac:dyDescent="0.25">
      <c r="A12966">
        <v>461</v>
      </c>
      <c r="B12966" t="s">
        <v>3709</v>
      </c>
      <c r="C12966" t="s">
        <v>75</v>
      </c>
      <c r="D12966" t="s">
        <v>1537</v>
      </c>
      <c r="E12966">
        <f t="shared" si="613"/>
        <v>9.2592592592592587E-3</v>
      </c>
      <c r="F12966">
        <v>80</v>
      </c>
      <c r="G12966">
        <f>LOG(382/(80+1))</f>
        <v>0.67357834403305894</v>
      </c>
      <c r="H12966">
        <f>0.00925925925925925*1.55097145393413</f>
        <v>1.4360846795686374E-2</v>
      </c>
      <c r="I12966">
        <v>1.4360846795686451E-2</v>
      </c>
    </row>
    <row r="12967" spans="1:9" x14ac:dyDescent="0.25">
      <c r="A12967">
        <v>461</v>
      </c>
      <c r="B12967" t="s">
        <v>3709</v>
      </c>
      <c r="C12967" t="s">
        <v>75</v>
      </c>
      <c r="D12967" t="s">
        <v>85</v>
      </c>
      <c r="E12967">
        <f t="shared" si="613"/>
        <v>9.2592592592592587E-3</v>
      </c>
      <c r="F12967">
        <v>13</v>
      </c>
      <c r="G12967">
        <f>LOG(382/(13+1))</f>
        <v>1.4359353272334707</v>
      </c>
      <c r="H12967">
        <f>0.00925925925925925*3.30636327899131</f>
        <v>3.0614474805475064E-2</v>
      </c>
      <c r="I12967">
        <v>3.0614474805475151E-2</v>
      </c>
    </row>
    <row r="12968" spans="1:9" x14ac:dyDescent="0.25">
      <c r="A12968">
        <v>461</v>
      </c>
      <c r="B12968" t="s">
        <v>3709</v>
      </c>
      <c r="C12968" t="s">
        <v>75</v>
      </c>
      <c r="D12968" t="s">
        <v>144</v>
      </c>
      <c r="E12968">
        <f t="shared" si="613"/>
        <v>9.2592592592592587E-3</v>
      </c>
      <c r="F12968">
        <v>105</v>
      </c>
      <c r="G12968">
        <f>LOG(382/(105+1))</f>
        <v>0.55675749764693849</v>
      </c>
      <c r="H12968">
        <f>0.00925925925925925*1.2819815144945</f>
        <v>1.1870199208282394E-2</v>
      </c>
      <c r="I12968">
        <v>1.1870199208282479E-2</v>
      </c>
    </row>
    <row r="12969" spans="1:9" x14ac:dyDescent="0.25">
      <c r="A12969">
        <v>461</v>
      </c>
      <c r="B12969" t="s">
        <v>3709</v>
      </c>
      <c r="C12969" t="s">
        <v>75</v>
      </c>
      <c r="D12969" t="s">
        <v>42</v>
      </c>
      <c r="E12969">
        <f t="shared" si="613"/>
        <v>9.2592592592592587E-3</v>
      </c>
      <c r="F12969">
        <v>251</v>
      </c>
      <c r="G12969">
        <f>LOG(382/(251+1))</f>
        <v>0.18066282213016463</v>
      </c>
      <c r="H12969">
        <f>0.00925925925925925*0.415991521095151</f>
        <v>3.8517733434736165E-3</v>
      </c>
      <c r="I12969">
        <v>3.8517733434736282E-3</v>
      </c>
    </row>
    <row r="12970" spans="1:9" x14ac:dyDescent="0.25">
      <c r="A12970">
        <v>461</v>
      </c>
      <c r="B12970" t="s">
        <v>3709</v>
      </c>
      <c r="C12970" t="s">
        <v>75</v>
      </c>
      <c r="D12970" t="s">
        <v>342</v>
      </c>
      <c r="E12970">
        <f t="shared" si="613"/>
        <v>9.2592592592592587E-3</v>
      </c>
      <c r="F12970">
        <v>35</v>
      </c>
      <c r="G12970">
        <f>LOG(382/(35+1))</f>
        <v>1.0257608621444214</v>
      </c>
      <c r="H12970">
        <f>0.00925925925925925*2.36190167015046</f>
        <v>2.1869459908800536E-2</v>
      </c>
      <c r="I12970">
        <v>2.1869459908800602E-2</v>
      </c>
    </row>
    <row r="12971" spans="1:9" x14ac:dyDescent="0.25">
      <c r="A12971">
        <v>461</v>
      </c>
      <c r="B12971" t="s">
        <v>3709</v>
      </c>
      <c r="C12971" t="s">
        <v>75</v>
      </c>
      <c r="D12971" t="s">
        <v>78</v>
      </c>
      <c r="E12971">
        <f t="shared" si="613"/>
        <v>9.2592592592592587E-3</v>
      </c>
      <c r="F12971">
        <v>122</v>
      </c>
      <c r="G12971">
        <f>LOG(382/(122+1))</f>
        <v>0.49215825147231079</v>
      </c>
      <c r="H12971">
        <f>0.00925925925925925*1.13323625323415</f>
        <v>1.0492928270686564E-2</v>
      </c>
      <c r="I12971">
        <v>1.049292827068664E-2</v>
      </c>
    </row>
    <row r="12972" spans="1:9" x14ac:dyDescent="0.25">
      <c r="A12972">
        <v>461</v>
      </c>
      <c r="B12972" t="s">
        <v>3709</v>
      </c>
      <c r="C12972" t="s">
        <v>75</v>
      </c>
      <c r="D12972" t="s">
        <v>3722</v>
      </c>
      <c r="E12972">
        <f t="shared" si="613"/>
        <v>9.2592592592592587E-3</v>
      </c>
      <c r="F12972">
        <v>3</v>
      </c>
      <c r="G12972">
        <f>LOG(382/(3+1))</f>
        <v>1.9800033715837464</v>
      </c>
      <c r="H12972">
        <f>0.00925925925925925*4.55912624748668</f>
        <v>4.2214131921172925E-2</v>
      </c>
      <c r="I12972">
        <v>4.2214131921173001E-2</v>
      </c>
    </row>
    <row r="12973" spans="1:9" x14ac:dyDescent="0.25">
      <c r="A12973">
        <v>461</v>
      </c>
      <c r="B12973" t="s">
        <v>3709</v>
      </c>
      <c r="C12973" t="s">
        <v>75</v>
      </c>
      <c r="D12973" t="s">
        <v>3723</v>
      </c>
      <c r="E12973">
        <f t="shared" si="613"/>
        <v>9.2592592592592587E-3</v>
      </c>
      <c r="F12973">
        <v>2</v>
      </c>
      <c r="G12973">
        <f>LOG(382/(2+1))</f>
        <v>2.1049421081920463</v>
      </c>
      <c r="H12973">
        <f>0.00925925925925925*4.84680831993846</f>
        <v>4.4877854814244958E-2</v>
      </c>
      <c r="I12973">
        <v>4.4877854814245048E-2</v>
      </c>
    </row>
    <row r="12974" spans="1:9" x14ac:dyDescent="0.25">
      <c r="A12974">
        <v>461</v>
      </c>
      <c r="B12974" t="s">
        <v>3709</v>
      </c>
      <c r="C12974" t="s">
        <v>75</v>
      </c>
      <c r="D12974" t="s">
        <v>1224</v>
      </c>
      <c r="E12974">
        <f t="shared" si="613"/>
        <v>9.2592592592592587E-3</v>
      </c>
      <c r="F12974">
        <v>11</v>
      </c>
      <c r="G12974">
        <f>LOG(382/(11+1))</f>
        <v>1.5028821168640838</v>
      </c>
      <c r="H12974">
        <f>0.00925925925925925*3.46051395881857</f>
        <v>3.204179591498673E-2</v>
      </c>
      <c r="I12974">
        <v>3.2041795914986813E-2</v>
      </c>
    </row>
    <row r="12975" spans="1:9" x14ac:dyDescent="0.25">
      <c r="A12975">
        <v>461</v>
      </c>
      <c r="B12975" t="s">
        <v>3709</v>
      </c>
      <c r="C12975" t="s">
        <v>75</v>
      </c>
      <c r="D12975" t="s">
        <v>3724</v>
      </c>
      <c r="E12975">
        <f t="shared" si="613"/>
        <v>9.2592592592592587E-3</v>
      </c>
      <c r="F12975">
        <v>1</v>
      </c>
      <c r="G12975">
        <f>LOG(382/(1+1))</f>
        <v>2.2810333672477277</v>
      </c>
      <c r="H12975">
        <f>0.00925925925925925*5.25227342804663</f>
        <v>4.8632161370802084E-2</v>
      </c>
      <c r="I12975">
        <v>4.8632161370802132E-2</v>
      </c>
    </row>
    <row r="12976" spans="1:9" x14ac:dyDescent="0.25">
      <c r="A12976">
        <v>461</v>
      </c>
      <c r="B12976" t="s">
        <v>3709</v>
      </c>
      <c r="C12976" t="s">
        <v>75</v>
      </c>
      <c r="D12976" t="s">
        <v>3725</v>
      </c>
      <c r="E12976">
        <f t="shared" si="613"/>
        <v>9.2592592592592587E-3</v>
      </c>
      <c r="F12976">
        <v>1</v>
      </c>
      <c r="G12976">
        <f>LOG(382/(1+1))</f>
        <v>2.2810333672477277</v>
      </c>
      <c r="H12976">
        <f>0.00925925925925925*5.25227342804663</f>
        <v>4.8632161370802084E-2</v>
      </c>
      <c r="I12976">
        <v>4.8632161370802132E-2</v>
      </c>
    </row>
    <row r="12977" spans="1:9" x14ac:dyDescent="0.25">
      <c r="A12977">
        <v>462</v>
      </c>
      <c r="B12977" t="s">
        <v>3726</v>
      </c>
      <c r="C12977" t="s">
        <v>75</v>
      </c>
      <c r="D12977" t="s">
        <v>1810</v>
      </c>
      <c r="E12977">
        <f>1/69</f>
        <v>1.4492753623188406E-2</v>
      </c>
      <c r="F12977">
        <v>2</v>
      </c>
      <c r="G12977">
        <f>LOG(382/(2+1))</f>
        <v>2.1049421081920463</v>
      </c>
      <c r="H12977">
        <f>0.0144927536231884*4.84680831993846</f>
        <v>7.0243598839687796E-2</v>
      </c>
      <c r="I12977">
        <v>7.0243598839687907E-2</v>
      </c>
    </row>
    <row r="12978" spans="1:9" x14ac:dyDescent="0.25">
      <c r="A12978">
        <v>462</v>
      </c>
      <c r="B12978" t="s">
        <v>3726</v>
      </c>
      <c r="C12978" t="s">
        <v>75</v>
      </c>
      <c r="D12978" t="s">
        <v>1670</v>
      </c>
      <c r="E12978">
        <f>2/69</f>
        <v>2.8985507246376812E-2</v>
      </c>
      <c r="F12978">
        <v>2</v>
      </c>
      <c r="G12978">
        <f>LOG(382/(2+1))</f>
        <v>2.1049421081920463</v>
      </c>
      <c r="H12978">
        <f>0.0289855072463768*4.84680831993846</f>
        <v>0.14048719767937559</v>
      </c>
      <c r="I12978">
        <v>0.14048719767937581</v>
      </c>
    </row>
    <row r="12979" spans="1:9" x14ac:dyDescent="0.25">
      <c r="A12979">
        <v>462</v>
      </c>
      <c r="B12979" t="s">
        <v>3726</v>
      </c>
      <c r="C12979" t="s">
        <v>75</v>
      </c>
      <c r="D12979" t="s">
        <v>247</v>
      </c>
      <c r="E12979">
        <f t="shared" ref="E12979:E12993" si="614">1/69</f>
        <v>1.4492753623188406E-2</v>
      </c>
      <c r="F12979">
        <v>121</v>
      </c>
      <c r="G12979">
        <f>LOG(382/(121+1))</f>
        <v>0.49570353223696051</v>
      </c>
      <c r="H12979">
        <f>0.0144927536231884*1.14139956387331</f>
        <v>1.6542022664830576E-2</v>
      </c>
      <c r="I12979">
        <v>1.6542022664830711E-2</v>
      </c>
    </row>
    <row r="12980" spans="1:9" x14ac:dyDescent="0.25">
      <c r="A12980">
        <v>462</v>
      </c>
      <c r="B12980" t="s">
        <v>3726</v>
      </c>
      <c r="C12980" t="s">
        <v>75</v>
      </c>
      <c r="D12980" t="s">
        <v>39</v>
      </c>
      <c r="E12980">
        <f t="shared" si="614"/>
        <v>1.4492753623188406E-2</v>
      </c>
      <c r="F12980">
        <v>145</v>
      </c>
      <c r="G12980">
        <f>LOG(382/(145+1))</f>
        <v>0.41771050712727159</v>
      </c>
      <c r="H12980">
        <f>0.0144927536231884*0.961813986898238</f>
        <v>1.393933314345272E-2</v>
      </c>
      <c r="I12980">
        <v>1.3939333143452739E-2</v>
      </c>
    </row>
    <row r="12981" spans="1:9" x14ac:dyDescent="0.25">
      <c r="A12981">
        <v>462</v>
      </c>
      <c r="B12981" t="s">
        <v>3726</v>
      </c>
      <c r="C12981" t="s">
        <v>75</v>
      </c>
      <c r="D12981" t="s">
        <v>42</v>
      </c>
      <c r="E12981">
        <f t="shared" si="614"/>
        <v>1.4492753623188406E-2</v>
      </c>
      <c r="F12981">
        <v>251</v>
      </c>
      <c r="G12981">
        <f>LOG(382/(251+1))</f>
        <v>0.18066282213016463</v>
      </c>
      <c r="H12981">
        <f>0.0144927536231884*0.415991521095151</f>
        <v>6.0288626245674033E-3</v>
      </c>
      <c r="I12981">
        <v>6.028862624567418E-3</v>
      </c>
    </row>
    <row r="12982" spans="1:9" x14ac:dyDescent="0.25">
      <c r="A12982">
        <v>462</v>
      </c>
      <c r="B12982" t="s">
        <v>3726</v>
      </c>
      <c r="C12982" t="s">
        <v>75</v>
      </c>
      <c r="D12982" t="s">
        <v>15</v>
      </c>
      <c r="E12982">
        <f t="shared" si="614"/>
        <v>1.4492753623188406E-2</v>
      </c>
      <c r="F12982">
        <v>112</v>
      </c>
      <c r="G12982">
        <f>LOG(382/(112+1))</f>
        <v>0.52898491942828896</v>
      </c>
      <c r="H12982">
        <f>0.0144927536231884*1.21803278989423</f>
        <v>1.7652649128901878E-2</v>
      </c>
      <c r="I12982">
        <v>1.7652649128901951E-2</v>
      </c>
    </row>
    <row r="12983" spans="1:9" x14ac:dyDescent="0.25">
      <c r="A12983">
        <v>462</v>
      </c>
      <c r="B12983" t="s">
        <v>3726</v>
      </c>
      <c r="C12983" t="s">
        <v>75</v>
      </c>
      <c r="D12983" t="s">
        <v>3727</v>
      </c>
      <c r="E12983">
        <f t="shared" si="614"/>
        <v>1.4492753623188406E-2</v>
      </c>
      <c r="F12983">
        <v>1</v>
      </c>
      <c r="G12983">
        <f>LOG(382/(1+1))</f>
        <v>2.2810333672477277</v>
      </c>
      <c r="H12983">
        <f>0.0144927536231884*5.25227342804663</f>
        <v>7.6119904754298959E-2</v>
      </c>
      <c r="I12983">
        <v>7.6119904754298987E-2</v>
      </c>
    </row>
    <row r="12984" spans="1:9" x14ac:dyDescent="0.25">
      <c r="A12984">
        <v>462</v>
      </c>
      <c r="B12984" t="s">
        <v>3726</v>
      </c>
      <c r="C12984" t="s">
        <v>75</v>
      </c>
      <c r="D12984" t="s">
        <v>17</v>
      </c>
      <c r="E12984">
        <f t="shared" si="614"/>
        <v>1.4492753623188406E-2</v>
      </c>
      <c r="F12984">
        <v>169</v>
      </c>
      <c r="G12984">
        <f>LOG(382/(169+1))</f>
        <v>0.3516144415334348</v>
      </c>
      <c r="H12984">
        <f>0.0144927536231884*0.809622171556313</f>
        <v>1.1733654660236415E-2</v>
      </c>
      <c r="I12984">
        <v>1.1733654660236429E-2</v>
      </c>
    </row>
    <row r="12985" spans="1:9" x14ac:dyDescent="0.25">
      <c r="A12985">
        <v>462</v>
      </c>
      <c r="B12985" t="s">
        <v>3726</v>
      </c>
      <c r="C12985" t="s">
        <v>75</v>
      </c>
      <c r="D12985" t="s">
        <v>920</v>
      </c>
      <c r="E12985">
        <f t="shared" si="614"/>
        <v>1.4492753623188406E-2</v>
      </c>
      <c r="F12985">
        <v>30</v>
      </c>
      <c r="G12985">
        <f>LOG(382/(30+1))</f>
        <v>1.090701669077436</v>
      </c>
      <c r="H12985">
        <f>0.0144927536231884*2.51143340412142</f>
        <v>3.6397585566977093E-2</v>
      </c>
      <c r="I12985">
        <v>3.6397585566977232E-2</v>
      </c>
    </row>
    <row r="12986" spans="1:9" x14ac:dyDescent="0.25">
      <c r="A12986">
        <v>462</v>
      </c>
      <c r="B12986" t="s">
        <v>3726</v>
      </c>
      <c r="C12986" t="s">
        <v>75</v>
      </c>
      <c r="D12986" t="s">
        <v>19</v>
      </c>
      <c r="E12986">
        <f t="shared" si="614"/>
        <v>1.4492753623188406E-2</v>
      </c>
      <c r="F12986">
        <v>220</v>
      </c>
      <c r="G12986">
        <f>LOG(382/(220+1))</f>
        <v>0.23767108922659805</v>
      </c>
      <c r="H12986">
        <f>0.0144927536231884*0.547257907088822</f>
        <v>7.9312740157800269E-3</v>
      </c>
      <c r="I12986">
        <v>7.9312740157800338E-3</v>
      </c>
    </row>
    <row r="12987" spans="1:9" x14ac:dyDescent="0.25">
      <c r="A12987">
        <v>462</v>
      </c>
      <c r="B12987" t="s">
        <v>3726</v>
      </c>
      <c r="C12987" t="s">
        <v>75</v>
      </c>
      <c r="D12987" t="s">
        <v>44</v>
      </c>
      <c r="E12987">
        <f t="shared" si="614"/>
        <v>1.4492753623188406E-2</v>
      </c>
      <c r="F12987">
        <v>151</v>
      </c>
      <c r="G12987">
        <f>LOG(382/(151+1))</f>
        <v>0.40021977496693617</v>
      </c>
      <c r="H12987">
        <f>0.0144927536231884*0.921540087760298</f>
        <v>1.3355653445801417E-2</v>
      </c>
      <c r="I12987">
        <v>1.3355653445801431E-2</v>
      </c>
    </row>
    <row r="12988" spans="1:9" x14ac:dyDescent="0.25">
      <c r="A12988">
        <v>462</v>
      </c>
      <c r="B12988" t="s">
        <v>3726</v>
      </c>
      <c r="C12988" t="s">
        <v>75</v>
      </c>
      <c r="D12988" t="s">
        <v>22</v>
      </c>
      <c r="E12988">
        <f t="shared" si="614"/>
        <v>1.4492753623188406E-2</v>
      </c>
      <c r="F12988">
        <v>259</v>
      </c>
      <c r="G12988">
        <f>LOG(382/(259+1))</f>
        <v>0.16709001494089079</v>
      </c>
      <c r="H12988">
        <f>0.0144927536231884*0.384738977591047</f>
        <v>5.575927211464448E-3</v>
      </c>
      <c r="I12988">
        <v>5.5759272114644567E-3</v>
      </c>
    </row>
    <row r="12989" spans="1:9" x14ac:dyDescent="0.25">
      <c r="A12989">
        <v>462</v>
      </c>
      <c r="B12989" t="s">
        <v>3726</v>
      </c>
      <c r="C12989" t="s">
        <v>75</v>
      </c>
      <c r="D12989" t="s">
        <v>23</v>
      </c>
      <c r="E12989">
        <f t="shared" si="614"/>
        <v>1.4492753623188406E-2</v>
      </c>
      <c r="F12989">
        <v>275</v>
      </c>
      <c r="G12989">
        <f>LOG(382/(275+1))</f>
        <v>0.14115428084649101</v>
      </c>
      <c r="H12989">
        <f>0.0144927536231884*0.325019742889425</f>
        <v>4.710431056368476E-3</v>
      </c>
      <c r="I12989">
        <v>4.7104310563684804E-3</v>
      </c>
    </row>
    <row r="12990" spans="1:9" x14ac:dyDescent="0.25">
      <c r="A12990">
        <v>462</v>
      </c>
      <c r="B12990" t="s">
        <v>3726</v>
      </c>
      <c r="C12990" t="s">
        <v>75</v>
      </c>
      <c r="D12990" t="s">
        <v>3520</v>
      </c>
      <c r="E12990">
        <f t="shared" si="614"/>
        <v>1.4492753623188406E-2</v>
      </c>
      <c r="F12990">
        <v>8</v>
      </c>
      <c r="G12990">
        <f>LOG(382/(8+1))</f>
        <v>1.6278208534723839</v>
      </c>
      <c r="H12990">
        <f>0.0144927536231884*3.74819603127035</f>
        <v>5.4321681612613748E-2</v>
      </c>
      <c r="I12990">
        <v>5.4321681612613852E-2</v>
      </c>
    </row>
    <row r="12991" spans="1:9" x14ac:dyDescent="0.25">
      <c r="A12991">
        <v>462</v>
      </c>
      <c r="B12991" t="s">
        <v>3726</v>
      </c>
      <c r="C12991" t="s">
        <v>75</v>
      </c>
      <c r="D12991" t="s">
        <v>204</v>
      </c>
      <c r="E12991">
        <f t="shared" si="614"/>
        <v>1.4492753623188406E-2</v>
      </c>
      <c r="F12991">
        <v>166</v>
      </c>
      <c r="G12991">
        <f>LOG(382/(166+1))</f>
        <v>0.35934689176412549</v>
      </c>
      <c r="H12991">
        <f>0.0144927536231884*0.82742679618982</f>
        <v>1.1991692698403184E-2</v>
      </c>
      <c r="I12991">
        <v>1.1991692698403189E-2</v>
      </c>
    </row>
    <row r="12992" spans="1:9" x14ac:dyDescent="0.25">
      <c r="A12992">
        <v>462</v>
      </c>
      <c r="B12992" t="s">
        <v>3726</v>
      </c>
      <c r="C12992" t="s">
        <v>75</v>
      </c>
      <c r="D12992" t="s">
        <v>331</v>
      </c>
      <c r="E12992">
        <f t="shared" si="614"/>
        <v>1.4492753623188406E-2</v>
      </c>
      <c r="F12992">
        <v>130</v>
      </c>
      <c r="G12992">
        <f>LOG(382/(130+1))</f>
        <v>0.46479206725594452</v>
      </c>
      <c r="H12992">
        <f>0.0144927536231884*1.07022328540542</f>
        <v>1.5510482397179996E-2</v>
      </c>
      <c r="I12992">
        <v>1.551048239718005E-2</v>
      </c>
    </row>
    <row r="12993" spans="1:9" x14ac:dyDescent="0.25">
      <c r="A12993">
        <v>462</v>
      </c>
      <c r="B12993" t="s">
        <v>3726</v>
      </c>
      <c r="C12993" t="s">
        <v>75</v>
      </c>
      <c r="D12993" t="s">
        <v>363</v>
      </c>
      <c r="E12993">
        <f t="shared" si="614"/>
        <v>1.4492753623188406E-2</v>
      </c>
      <c r="F12993">
        <v>36</v>
      </c>
      <c r="G12993">
        <f>LOG(382/(36+1))</f>
        <v>1.0138616388447137</v>
      </c>
      <c r="H12993">
        <f>0.0144927536231884*2.33450269596235</f>
        <v>3.3833372405251437E-2</v>
      </c>
      <c r="I12993">
        <v>3.3833372405251458E-2</v>
      </c>
    </row>
    <row r="12994" spans="1:9" x14ac:dyDescent="0.25">
      <c r="A12994">
        <v>462</v>
      </c>
      <c r="B12994" t="s">
        <v>3726</v>
      </c>
      <c r="C12994" t="s">
        <v>75</v>
      </c>
      <c r="D12994" t="s">
        <v>237</v>
      </c>
      <c r="E12994">
        <f>3/69</f>
        <v>4.3478260869565216E-2</v>
      </c>
      <c r="F12994">
        <v>138</v>
      </c>
      <c r="G12994">
        <f>LOG(382/(138+1))</f>
        <v>0.43904856265761361</v>
      </c>
      <c r="H12994">
        <f>0.0434782608695652*1.01094667547588</f>
        <v>4.3954203281559988E-2</v>
      </c>
      <c r="I12994">
        <v>4.3954203281560147E-2</v>
      </c>
    </row>
    <row r="12995" spans="1:9" x14ac:dyDescent="0.25">
      <c r="A12995">
        <v>462</v>
      </c>
      <c r="B12995" t="s">
        <v>3726</v>
      </c>
      <c r="C12995" t="s">
        <v>75</v>
      </c>
      <c r="D12995" t="s">
        <v>133</v>
      </c>
      <c r="E12995">
        <f>1/69</f>
        <v>1.4492753623188406E-2</v>
      </c>
      <c r="F12995">
        <v>142</v>
      </c>
      <c r="G12995">
        <f>LOG(382/(142+1))</f>
        <v>0.42672732544664693</v>
      </c>
      <c r="H12995">
        <f>0.0144927536231884*0.982575978346667</f>
        <v>1.4240231570241546E-2</v>
      </c>
      <c r="I12995">
        <v>1.424023157024156E-2</v>
      </c>
    </row>
    <row r="12996" spans="1:9" x14ac:dyDescent="0.25">
      <c r="A12996">
        <v>462</v>
      </c>
      <c r="B12996" t="s">
        <v>3726</v>
      </c>
      <c r="C12996" t="s">
        <v>75</v>
      </c>
      <c r="D12996" t="s">
        <v>89</v>
      </c>
      <c r="E12996">
        <f>1/69</f>
        <v>1.4492753623188406E-2</v>
      </c>
      <c r="F12996">
        <v>40</v>
      </c>
      <c r="G12996">
        <f>LOG(382/(40+1))</f>
        <v>0.96927950619197323</v>
      </c>
      <c r="H12996">
        <f>0.0144927536231884*2.23184854190226</f>
        <v>3.2345631042061722E-2</v>
      </c>
      <c r="I12996">
        <v>3.2345631042061847E-2</v>
      </c>
    </row>
    <row r="12997" spans="1:9" x14ac:dyDescent="0.25">
      <c r="A12997">
        <v>462</v>
      </c>
      <c r="B12997" t="s">
        <v>3726</v>
      </c>
      <c r="C12997" t="s">
        <v>75</v>
      </c>
      <c r="D12997" t="s">
        <v>126</v>
      </c>
      <c r="E12997">
        <f>1/69</f>
        <v>1.4492753623188406E-2</v>
      </c>
      <c r="F12997">
        <v>79</v>
      </c>
      <c r="G12997">
        <f>LOG(382/(79+1))</f>
        <v>0.67897337591976514</v>
      </c>
      <c r="H12997">
        <f>0.0144927536231884*1.56339397393269</f>
        <v>2.2657883680183906E-2</v>
      </c>
      <c r="I12997">
        <v>2.2657883680183961E-2</v>
      </c>
    </row>
    <row r="12998" spans="1:9" x14ac:dyDescent="0.25">
      <c r="A12998">
        <v>462</v>
      </c>
      <c r="B12998" t="s">
        <v>3726</v>
      </c>
      <c r="C12998" t="s">
        <v>75</v>
      </c>
      <c r="D12998" t="s">
        <v>50</v>
      </c>
      <c r="E12998">
        <f>1/69</f>
        <v>1.4492753623188406E-2</v>
      </c>
      <c r="F12998">
        <v>109</v>
      </c>
      <c r="G12998">
        <f>LOG(382/(109+1))</f>
        <v>0.54067067775348365</v>
      </c>
      <c r="H12998">
        <f>0.0144927536231884*1.24494024281415</f>
        <v>1.8042612214697822E-2</v>
      </c>
      <c r="I12998">
        <v>1.804261221469796E-2</v>
      </c>
    </row>
    <row r="12999" spans="1:9" x14ac:dyDescent="0.25">
      <c r="A12999">
        <v>462</v>
      </c>
      <c r="B12999" t="s">
        <v>3726</v>
      </c>
      <c r="C12999" t="s">
        <v>75</v>
      </c>
      <c r="D12999" t="s">
        <v>1921</v>
      </c>
      <c r="E12999">
        <f>1/69</f>
        <v>1.4492753623188406E-2</v>
      </c>
      <c r="F12999">
        <v>37</v>
      </c>
      <c r="G12999">
        <f>LOG(382/(37+1))</f>
        <v>1.0022797662948986</v>
      </c>
      <c r="H12999">
        <f>0.0144927536231884*2.30783444888018</f>
        <v>3.344687607072723E-2</v>
      </c>
      <c r="I12999">
        <v>3.3446876070727383E-2</v>
      </c>
    </row>
    <row r="13000" spans="1:9" x14ac:dyDescent="0.25">
      <c r="A13000">
        <v>462</v>
      </c>
      <c r="B13000" t="s">
        <v>3726</v>
      </c>
      <c r="C13000" t="s">
        <v>75</v>
      </c>
      <c r="D13000" t="s">
        <v>98</v>
      </c>
      <c r="E13000">
        <f>2/69</f>
        <v>2.8985507246376812E-2</v>
      </c>
      <c r="F13000">
        <v>56</v>
      </c>
      <c r="G13000">
        <f>LOG(382/(56+1))</f>
        <v>0.82618850723921733</v>
      </c>
      <c r="H13000">
        <f>0.0289855072463768*1.90236934077202</f>
        <v>5.514114031223244E-2</v>
      </c>
      <c r="I13000">
        <v>5.5141140312232613E-2</v>
      </c>
    </row>
    <row r="13001" spans="1:9" x14ac:dyDescent="0.25">
      <c r="A13001">
        <v>462</v>
      </c>
      <c r="B13001" t="s">
        <v>3726</v>
      </c>
      <c r="C13001" t="s">
        <v>75</v>
      </c>
      <c r="D13001" t="s">
        <v>871</v>
      </c>
      <c r="E13001">
        <f>2/69</f>
        <v>2.8985507246376812E-2</v>
      </c>
      <c r="F13001">
        <v>9</v>
      </c>
      <c r="G13001">
        <f>LOG(382/(9+1))</f>
        <v>1.5820633629117087</v>
      </c>
      <c r="H13001">
        <f>0.0289855072463768*3.64283551561252</f>
        <v>0.10558943523514547</v>
      </c>
      <c r="I13001">
        <v>0.1055894352351458</v>
      </c>
    </row>
    <row r="13002" spans="1:9" x14ac:dyDescent="0.25">
      <c r="A13002">
        <v>462</v>
      </c>
      <c r="B13002" t="s">
        <v>3726</v>
      </c>
      <c r="C13002" t="s">
        <v>75</v>
      </c>
      <c r="D13002" t="s">
        <v>811</v>
      </c>
      <c r="E13002">
        <f t="shared" ref="E13002:E13007" si="615">1/69</f>
        <v>1.4492753623188406E-2</v>
      </c>
      <c r="F13002">
        <v>27</v>
      </c>
      <c r="G13002">
        <f>LOG(382/(27+1))</f>
        <v>1.1349053315694895</v>
      </c>
      <c r="H13002">
        <f>0.0144927536231884*2.61321609843137</f>
        <v>3.7872697078715496E-2</v>
      </c>
      <c r="I13002">
        <v>3.7872697078715517E-2</v>
      </c>
    </row>
    <row r="13003" spans="1:9" x14ac:dyDescent="0.25">
      <c r="A13003">
        <v>462</v>
      </c>
      <c r="B13003" t="s">
        <v>3726</v>
      </c>
      <c r="C13003" t="s">
        <v>75</v>
      </c>
      <c r="D13003" t="s">
        <v>3728</v>
      </c>
      <c r="E13003">
        <f t="shared" si="615"/>
        <v>1.4492753623188406E-2</v>
      </c>
      <c r="F13003">
        <v>1</v>
      </c>
      <c r="G13003">
        <f>LOG(382/(1+1))</f>
        <v>2.2810333672477277</v>
      </c>
      <c r="H13003">
        <f>0.0144927536231884*5.25227342804663</f>
        <v>7.6119904754298959E-2</v>
      </c>
      <c r="I13003">
        <v>7.6119904754298987E-2</v>
      </c>
    </row>
    <row r="13004" spans="1:9" x14ac:dyDescent="0.25">
      <c r="A13004">
        <v>462</v>
      </c>
      <c r="B13004" t="s">
        <v>3726</v>
      </c>
      <c r="C13004" t="s">
        <v>75</v>
      </c>
      <c r="D13004" t="s">
        <v>745</v>
      </c>
      <c r="E13004">
        <f t="shared" si="615"/>
        <v>1.4492753623188406E-2</v>
      </c>
      <c r="F13004">
        <v>3</v>
      </c>
      <c r="G13004">
        <f>LOG(382/(3+1))</f>
        <v>1.9800033715837464</v>
      </c>
      <c r="H13004">
        <f>0.0144927536231884*4.55912624748668</f>
        <v>6.6074293441835921E-2</v>
      </c>
      <c r="I13004">
        <v>6.6074293441836005E-2</v>
      </c>
    </row>
    <row r="13005" spans="1:9" x14ac:dyDescent="0.25">
      <c r="A13005">
        <v>462</v>
      </c>
      <c r="B13005" t="s">
        <v>3726</v>
      </c>
      <c r="C13005" t="s">
        <v>75</v>
      </c>
      <c r="D13005" t="s">
        <v>125</v>
      </c>
      <c r="E13005">
        <f t="shared" si="615"/>
        <v>1.4492753623188406E-2</v>
      </c>
      <c r="F13005">
        <v>9</v>
      </c>
      <c r="G13005">
        <f>LOG(382/(9+1))</f>
        <v>1.5820633629117087</v>
      </c>
      <c r="H13005">
        <f>0.0144927536231884*3.64283551561252</f>
        <v>5.2794717617572734E-2</v>
      </c>
      <c r="I13005">
        <v>5.2794717617572887E-2</v>
      </c>
    </row>
    <row r="13006" spans="1:9" x14ac:dyDescent="0.25">
      <c r="A13006">
        <v>462</v>
      </c>
      <c r="B13006" t="s">
        <v>3726</v>
      </c>
      <c r="C13006" t="s">
        <v>75</v>
      </c>
      <c r="D13006" t="s">
        <v>3729</v>
      </c>
      <c r="E13006">
        <f t="shared" si="615"/>
        <v>1.4492753623188406E-2</v>
      </c>
      <c r="F13006">
        <v>1</v>
      </c>
      <c r="G13006">
        <f>LOG(382/(1+1))</f>
        <v>2.2810333672477277</v>
      </c>
      <c r="H13006">
        <f>0.0144927536231884*5.25227342804663</f>
        <v>7.6119904754298959E-2</v>
      </c>
      <c r="I13006">
        <v>7.6119904754298987E-2</v>
      </c>
    </row>
    <row r="13007" spans="1:9" x14ac:dyDescent="0.25">
      <c r="A13007">
        <v>462</v>
      </c>
      <c r="B13007" t="s">
        <v>3726</v>
      </c>
      <c r="C13007" t="s">
        <v>75</v>
      </c>
      <c r="D13007" t="s">
        <v>816</v>
      </c>
      <c r="E13007">
        <f t="shared" si="615"/>
        <v>1.4492753623188406E-2</v>
      </c>
      <c r="F13007">
        <v>3</v>
      </c>
      <c r="G13007">
        <f>LOG(382/(3+1))</f>
        <v>1.9800033715837464</v>
      </c>
      <c r="H13007">
        <f>0.0144927536231884*4.55912624748668</f>
        <v>6.6074293441835921E-2</v>
      </c>
      <c r="I13007">
        <v>6.6074293441836005E-2</v>
      </c>
    </row>
    <row r="13008" spans="1:9" x14ac:dyDescent="0.25">
      <c r="A13008">
        <v>462</v>
      </c>
      <c r="B13008" t="s">
        <v>3726</v>
      </c>
      <c r="C13008" t="s">
        <v>75</v>
      </c>
      <c r="D13008" t="s">
        <v>3376</v>
      </c>
      <c r="E13008">
        <f>2/69</f>
        <v>2.8985507246376812E-2</v>
      </c>
      <c r="F13008">
        <v>21</v>
      </c>
      <c r="G13008">
        <f>LOG(382/(21+1))</f>
        <v>1.2396406820895025</v>
      </c>
      <c r="H13008">
        <f>0.0289855072463768*2.85437815524825</f>
        <v>8.2735598702847787E-2</v>
      </c>
      <c r="I13008">
        <v>8.2735598702848093E-2</v>
      </c>
    </row>
    <row r="13009" spans="1:9" x14ac:dyDescent="0.25">
      <c r="A13009">
        <v>462</v>
      </c>
      <c r="B13009" t="s">
        <v>3726</v>
      </c>
      <c r="C13009" t="s">
        <v>75</v>
      </c>
      <c r="D13009" t="s">
        <v>3730</v>
      </c>
      <c r="E13009">
        <f t="shared" ref="E13009:E13016" si="616">1/69</f>
        <v>1.4492753623188406E-2</v>
      </c>
      <c r="F13009">
        <v>1</v>
      </c>
      <c r="G13009">
        <f>LOG(382/(1+1))</f>
        <v>2.2810333672477277</v>
      </c>
      <c r="H13009">
        <f>0.0144927536231884*5.25227342804663</f>
        <v>7.6119904754298959E-2</v>
      </c>
      <c r="I13009">
        <v>7.6119904754298987E-2</v>
      </c>
    </row>
    <row r="13010" spans="1:9" x14ac:dyDescent="0.25">
      <c r="A13010">
        <v>462</v>
      </c>
      <c r="B13010" t="s">
        <v>3726</v>
      </c>
      <c r="C13010" t="s">
        <v>75</v>
      </c>
      <c r="D13010" t="s">
        <v>1733</v>
      </c>
      <c r="E13010">
        <f t="shared" si="616"/>
        <v>1.4492753623188406E-2</v>
      </c>
      <c r="F13010">
        <v>19</v>
      </c>
      <c r="G13010">
        <f>LOG(382/(19+1))</f>
        <v>1.2810333672477277</v>
      </c>
      <c r="H13010">
        <f>0.0144927536231884*2.94968833505258</f>
        <v>4.2749106305109842E-2</v>
      </c>
      <c r="I13010">
        <v>4.2749106305109918E-2</v>
      </c>
    </row>
    <row r="13011" spans="1:9" x14ac:dyDescent="0.25">
      <c r="A13011">
        <v>462</v>
      </c>
      <c r="B13011" t="s">
        <v>3726</v>
      </c>
      <c r="C13011" t="s">
        <v>75</v>
      </c>
      <c r="D13011" t="s">
        <v>3731</v>
      </c>
      <c r="E13011">
        <f t="shared" si="616"/>
        <v>1.4492753623188406E-2</v>
      </c>
      <c r="F13011">
        <v>7</v>
      </c>
      <c r="G13011">
        <f>LOG(382/(7+1))</f>
        <v>1.6789733759197651</v>
      </c>
      <c r="H13011">
        <f>0.0144927536231884*3.86597906692673</f>
        <v>5.6028682129372884E-2</v>
      </c>
      <c r="I13011">
        <v>5.6028682129373029E-2</v>
      </c>
    </row>
    <row r="13012" spans="1:9" x14ac:dyDescent="0.25">
      <c r="A13012">
        <v>462</v>
      </c>
      <c r="B13012" t="s">
        <v>3726</v>
      </c>
      <c r="C13012" t="s">
        <v>75</v>
      </c>
      <c r="D13012" t="s">
        <v>3732</v>
      </c>
      <c r="E13012">
        <f t="shared" si="616"/>
        <v>1.4492753623188406E-2</v>
      </c>
      <c r="F13012">
        <v>1</v>
      </c>
      <c r="G13012">
        <f>LOG(382/(1+1))</f>
        <v>2.2810333672477277</v>
      </c>
      <c r="H13012">
        <f>0.0144927536231884*5.25227342804663</f>
        <v>7.6119904754298959E-2</v>
      </c>
      <c r="I13012">
        <v>7.6119904754298987E-2</v>
      </c>
    </row>
    <row r="13013" spans="1:9" x14ac:dyDescent="0.25">
      <c r="A13013">
        <v>462</v>
      </c>
      <c r="B13013" t="s">
        <v>3726</v>
      </c>
      <c r="C13013" t="s">
        <v>75</v>
      </c>
      <c r="D13013" t="s">
        <v>1775</v>
      </c>
      <c r="E13013">
        <f t="shared" si="616"/>
        <v>1.4492753623188406E-2</v>
      </c>
      <c r="F13013">
        <v>10</v>
      </c>
      <c r="G13013">
        <f>LOG(382/(10+1))</f>
        <v>1.5406706777534838</v>
      </c>
      <c r="H13013">
        <f>0.0144927536231884*3.5475253358082</f>
        <v>5.1413410663886938E-2</v>
      </c>
      <c r="I13013">
        <v>5.1413410663887021E-2</v>
      </c>
    </row>
    <row r="13014" spans="1:9" x14ac:dyDescent="0.25">
      <c r="A13014">
        <v>462</v>
      </c>
      <c r="B13014" t="s">
        <v>3726</v>
      </c>
      <c r="C13014" t="s">
        <v>75</v>
      </c>
      <c r="D13014" t="s">
        <v>361</v>
      </c>
      <c r="E13014">
        <f t="shared" si="616"/>
        <v>1.4492753623188406E-2</v>
      </c>
      <c r="F13014">
        <v>118</v>
      </c>
      <c r="G13014">
        <f>LOG(382/(118+1))</f>
        <v>0.50651640151917798</v>
      </c>
      <c r="H13014">
        <f>0.0144927536231884*1.16629711549504</f>
        <v>1.6902856746304921E-2</v>
      </c>
      <c r="I13014">
        <v>1.6902856746305012E-2</v>
      </c>
    </row>
    <row r="13015" spans="1:9" x14ac:dyDescent="0.25">
      <c r="A13015">
        <v>462</v>
      </c>
      <c r="B13015" t="s">
        <v>3726</v>
      </c>
      <c r="C13015" t="s">
        <v>75</v>
      </c>
      <c r="D13015" t="s">
        <v>434</v>
      </c>
      <c r="E13015">
        <f t="shared" si="616"/>
        <v>1.4492753623188406E-2</v>
      </c>
      <c r="F13015">
        <v>97</v>
      </c>
      <c r="G13015">
        <f>LOG(382/(97+1))</f>
        <v>0.59083728721921391</v>
      </c>
      <c r="H13015">
        <f>0.0144927536231884*1.360453129936</f>
        <v>1.9716712028057966E-2</v>
      </c>
      <c r="I13015">
        <v>1.9716712028058019E-2</v>
      </c>
    </row>
    <row r="13016" spans="1:9" x14ac:dyDescent="0.25">
      <c r="A13016">
        <v>462</v>
      </c>
      <c r="B13016" t="s">
        <v>3726</v>
      </c>
      <c r="C13016" t="s">
        <v>75</v>
      </c>
      <c r="D13016" t="s">
        <v>3325</v>
      </c>
      <c r="E13016">
        <f t="shared" si="616"/>
        <v>1.4492753623188406E-2</v>
      </c>
      <c r="F13016">
        <v>19</v>
      </c>
      <c r="G13016">
        <f>LOG(382/(19+1))</f>
        <v>1.2810333672477277</v>
      </c>
      <c r="H13016">
        <f>0.0144927536231884*2.94968833505258</f>
        <v>4.2749106305109842E-2</v>
      </c>
      <c r="I13016">
        <v>4.2749106305109918E-2</v>
      </c>
    </row>
    <row r="13017" spans="1:9" x14ac:dyDescent="0.25">
      <c r="A13017">
        <v>462</v>
      </c>
      <c r="B13017" t="s">
        <v>3726</v>
      </c>
      <c r="C13017" t="s">
        <v>75</v>
      </c>
      <c r="D13017" t="s">
        <v>149</v>
      </c>
      <c r="E13017">
        <f>4/69</f>
        <v>5.7971014492753624E-2</v>
      </c>
      <c r="F13017">
        <v>35</v>
      </c>
      <c r="G13017">
        <f>LOG(382/(35+1))</f>
        <v>1.0257608621444214</v>
      </c>
      <c r="H13017">
        <f>0.0579710144927536*2.36190167015046</f>
        <v>0.13692183595075125</v>
      </c>
      <c r="I13017">
        <v>0.13692183595075161</v>
      </c>
    </row>
    <row r="13018" spans="1:9" x14ac:dyDescent="0.25">
      <c r="A13018">
        <v>462</v>
      </c>
      <c r="B13018" t="s">
        <v>3726</v>
      </c>
      <c r="C13018" t="s">
        <v>75</v>
      </c>
      <c r="D13018" t="s">
        <v>3401</v>
      </c>
      <c r="E13018">
        <f>1/69</f>
        <v>1.4492753623188406E-2</v>
      </c>
      <c r="F13018">
        <v>8</v>
      </c>
      <c r="G13018">
        <f>LOG(382/(8+1))</f>
        <v>1.6278208534723839</v>
      </c>
      <c r="H13018">
        <f>0.0144927536231884*3.74819603127035</f>
        <v>5.4321681612613748E-2</v>
      </c>
      <c r="I13018">
        <v>5.4321681612613852E-2</v>
      </c>
    </row>
    <row r="13019" spans="1:9" x14ac:dyDescent="0.25">
      <c r="A13019">
        <v>462</v>
      </c>
      <c r="B13019" t="s">
        <v>3726</v>
      </c>
      <c r="C13019" t="s">
        <v>75</v>
      </c>
      <c r="D13019" t="s">
        <v>672</v>
      </c>
      <c r="E13019">
        <f>1/69</f>
        <v>1.4492753623188406E-2</v>
      </c>
      <c r="F13019">
        <v>3</v>
      </c>
      <c r="G13019">
        <f>LOG(382/(3+1))</f>
        <v>1.9800033715837464</v>
      </c>
      <c r="H13019">
        <f>0.0144927536231884*4.55912624748668</f>
        <v>6.6074293441835921E-2</v>
      </c>
      <c r="I13019">
        <v>6.6074293441836005E-2</v>
      </c>
    </row>
    <row r="13020" spans="1:9" x14ac:dyDescent="0.25">
      <c r="A13020">
        <v>462</v>
      </c>
      <c r="B13020" t="s">
        <v>3726</v>
      </c>
      <c r="C13020" t="s">
        <v>75</v>
      </c>
      <c r="D13020" t="s">
        <v>1938</v>
      </c>
      <c r="E13020">
        <f>2/69</f>
        <v>2.8985507246376812E-2</v>
      </c>
      <c r="F13020">
        <v>7</v>
      </c>
      <c r="G13020">
        <f>LOG(382/(7+1))</f>
        <v>1.6789733759197651</v>
      </c>
      <c r="H13020">
        <f>0.0289855072463768*3.86597906692673</f>
        <v>0.11205736425874577</v>
      </c>
      <c r="I13020">
        <v>0.1120573642587461</v>
      </c>
    </row>
    <row r="13021" spans="1:9" x14ac:dyDescent="0.25">
      <c r="A13021">
        <v>462</v>
      </c>
      <c r="B13021" t="s">
        <v>3726</v>
      </c>
      <c r="C13021" t="s">
        <v>75</v>
      </c>
      <c r="D13021" t="s">
        <v>214</v>
      </c>
      <c r="E13021">
        <f>2/69</f>
        <v>2.8985507246376812E-2</v>
      </c>
      <c r="F13021">
        <v>68</v>
      </c>
      <c r="G13021">
        <f>LOG(382/(68+1))</f>
        <v>0.74321427217445335</v>
      </c>
      <c r="H13021">
        <f>0.0289855072463768*1.71131410400931</f>
        <v>4.9603307362588681E-2</v>
      </c>
      <c r="I13021">
        <v>4.9603307362588868E-2</v>
      </c>
    </row>
    <row r="13022" spans="1:9" x14ac:dyDescent="0.25">
      <c r="A13022">
        <v>462</v>
      </c>
      <c r="B13022" t="s">
        <v>3726</v>
      </c>
      <c r="C13022" t="s">
        <v>75</v>
      </c>
      <c r="D13022" t="s">
        <v>210</v>
      </c>
      <c r="E13022">
        <f>1/69</f>
        <v>1.4492753623188406E-2</v>
      </c>
      <c r="F13022">
        <v>9</v>
      </c>
      <c r="G13022">
        <f>LOG(382/(9+1))</f>
        <v>1.5820633629117087</v>
      </c>
      <c r="H13022">
        <f>0.0144927536231884*3.64283551561252</f>
        <v>5.2794717617572734E-2</v>
      </c>
      <c r="I13022">
        <v>5.2794717617572887E-2</v>
      </c>
    </row>
    <row r="13023" spans="1:9" x14ac:dyDescent="0.25">
      <c r="A13023">
        <v>462</v>
      </c>
      <c r="B13023" t="s">
        <v>3726</v>
      </c>
      <c r="C13023" t="s">
        <v>75</v>
      </c>
      <c r="D13023" t="s">
        <v>3327</v>
      </c>
      <c r="E13023">
        <f>1/69</f>
        <v>1.4492753623188406E-2</v>
      </c>
      <c r="F13023">
        <v>21</v>
      </c>
      <c r="G13023">
        <f>LOG(382/(21+1))</f>
        <v>1.2396406820895025</v>
      </c>
      <c r="H13023">
        <f>0.0144927536231884*2.85437815524825</f>
        <v>4.1367799351423894E-2</v>
      </c>
      <c r="I13023">
        <v>4.1367799351424053E-2</v>
      </c>
    </row>
    <row r="13024" spans="1:9" x14ac:dyDescent="0.25">
      <c r="A13024">
        <v>462</v>
      </c>
      <c r="B13024" t="s">
        <v>3726</v>
      </c>
      <c r="C13024" t="s">
        <v>75</v>
      </c>
      <c r="D13024" t="s">
        <v>3733</v>
      </c>
      <c r="E13024">
        <f>1/69</f>
        <v>1.4492753623188406E-2</v>
      </c>
      <c r="F13024">
        <v>2</v>
      </c>
      <c r="G13024">
        <f>LOG(382/(2+1))</f>
        <v>2.1049421081920463</v>
      </c>
      <c r="H13024">
        <f>0.0144927536231884*4.84680831993846</f>
        <v>7.0243598839687796E-2</v>
      </c>
      <c r="I13024">
        <v>7.0243598839687907E-2</v>
      </c>
    </row>
    <row r="13025" spans="1:9" x14ac:dyDescent="0.25">
      <c r="A13025">
        <v>462</v>
      </c>
      <c r="B13025" t="s">
        <v>3726</v>
      </c>
      <c r="C13025" t="s">
        <v>75</v>
      </c>
      <c r="D13025" t="s">
        <v>243</v>
      </c>
      <c r="E13025">
        <f>2/69</f>
        <v>2.8985507246376812E-2</v>
      </c>
      <c r="F13025">
        <v>131</v>
      </c>
      <c r="G13025">
        <f>LOG(382/(131+1))</f>
        <v>0.46148943170585888</v>
      </c>
      <c r="H13025">
        <f>0.0289855072463768*1.0626186860202</f>
        <v>3.0800541623773905E-2</v>
      </c>
      <c r="I13025">
        <v>3.080054162377404E-2</v>
      </c>
    </row>
    <row r="13026" spans="1:9" x14ac:dyDescent="0.25">
      <c r="A13026">
        <v>462</v>
      </c>
      <c r="B13026" t="s">
        <v>3726</v>
      </c>
      <c r="C13026" t="s">
        <v>75</v>
      </c>
      <c r="D13026" t="s">
        <v>453</v>
      </c>
      <c r="E13026">
        <f>1/69</f>
        <v>1.4492753623188406E-2</v>
      </c>
      <c r="F13026">
        <v>68</v>
      </c>
      <c r="G13026">
        <f>LOG(382/(68+1))</f>
        <v>0.74321427217445335</v>
      </c>
      <c r="H13026">
        <f>0.0144927536231884*1.71131410400931</f>
        <v>2.480165368129434E-2</v>
      </c>
      <c r="I13026">
        <v>2.480165368129443E-2</v>
      </c>
    </row>
    <row r="13027" spans="1:9" x14ac:dyDescent="0.25">
      <c r="A13027">
        <v>462</v>
      </c>
      <c r="B13027" t="s">
        <v>3726</v>
      </c>
      <c r="C13027" t="s">
        <v>75</v>
      </c>
      <c r="D13027" t="s">
        <v>455</v>
      </c>
      <c r="E13027">
        <f>2/69</f>
        <v>2.8985507246376812E-2</v>
      </c>
      <c r="F13027">
        <v>78</v>
      </c>
      <c r="G13027">
        <f>LOG(382/(78+1))</f>
        <v>0.6844362716212673</v>
      </c>
      <c r="H13027">
        <f>0.0289855072463768*1.57597275613955</f>
        <v>4.5680369743175346E-2</v>
      </c>
      <c r="I13027">
        <v>4.5680369743175471E-2</v>
      </c>
    </row>
    <row r="13028" spans="1:9" x14ac:dyDescent="0.25">
      <c r="A13028">
        <v>462</v>
      </c>
      <c r="B13028" t="s">
        <v>3726</v>
      </c>
      <c r="C13028" t="s">
        <v>75</v>
      </c>
      <c r="D13028" t="s">
        <v>456</v>
      </c>
      <c r="E13028">
        <f>2/69</f>
        <v>2.8985507246376812E-2</v>
      </c>
      <c r="F13028">
        <v>71</v>
      </c>
      <c r="G13028">
        <f>LOG(382/(71+1))</f>
        <v>0.72473086648044027</v>
      </c>
      <c r="H13028">
        <f>0.0289855072463768*1.66875448959051</f>
        <v>4.8369695350449549E-2</v>
      </c>
      <c r="I13028">
        <v>4.8369695350449847E-2</v>
      </c>
    </row>
    <row r="13029" spans="1:9" x14ac:dyDescent="0.25">
      <c r="A13029">
        <v>462</v>
      </c>
      <c r="B13029" t="s">
        <v>3726</v>
      </c>
      <c r="C13029" t="s">
        <v>75</v>
      </c>
      <c r="D13029" t="s">
        <v>3734</v>
      </c>
      <c r="E13029">
        <f>1/69</f>
        <v>1.4492753623188406E-2</v>
      </c>
      <c r="F13029">
        <v>1</v>
      </c>
      <c r="G13029">
        <f>LOG(382/(1+1))</f>
        <v>2.2810333672477277</v>
      </c>
      <c r="H13029">
        <f>0.0144927536231884*5.25227342804663</f>
        <v>7.6119904754298959E-2</v>
      </c>
      <c r="I13029">
        <v>7.6119904754298987E-2</v>
      </c>
    </row>
    <row r="13030" spans="1:9" x14ac:dyDescent="0.25">
      <c r="A13030">
        <v>462</v>
      </c>
      <c r="B13030" t="s">
        <v>3726</v>
      </c>
      <c r="C13030" t="s">
        <v>75</v>
      </c>
      <c r="D13030" t="s">
        <v>144</v>
      </c>
      <c r="E13030">
        <f>1/69</f>
        <v>1.4492753623188406E-2</v>
      </c>
      <c r="F13030">
        <v>105</v>
      </c>
      <c r="G13030">
        <f>LOG(382/(105+1))</f>
        <v>0.55675749764693849</v>
      </c>
      <c r="H13030">
        <f>0.0144927536231884*1.2819815144945</f>
        <v>1.8579442239050718E-2</v>
      </c>
      <c r="I13030">
        <v>1.857944223905084E-2</v>
      </c>
    </row>
    <row r="13031" spans="1:9" x14ac:dyDescent="0.25">
      <c r="A13031">
        <v>462</v>
      </c>
      <c r="B13031" t="s">
        <v>3726</v>
      </c>
      <c r="C13031" t="s">
        <v>75</v>
      </c>
      <c r="D13031" t="s">
        <v>307</v>
      </c>
      <c r="E13031">
        <f>1/69</f>
        <v>1.4492753623188406E-2</v>
      </c>
      <c r="F13031">
        <v>67</v>
      </c>
      <c r="G13031">
        <f>LOG(382/(67+1))</f>
        <v>0.7495544502054724</v>
      </c>
      <c r="H13031">
        <f>0.0144927536231884*1.72591290343046</f>
        <v>2.5013230484499414E-2</v>
      </c>
      <c r="I13031">
        <v>2.5013230484499539E-2</v>
      </c>
    </row>
    <row r="13032" spans="1:9" x14ac:dyDescent="0.25">
      <c r="A13032">
        <v>463</v>
      </c>
      <c r="B13032" t="s">
        <v>3735</v>
      </c>
      <c r="C13032" t="s">
        <v>75</v>
      </c>
      <c r="D13032" t="s">
        <v>3736</v>
      </c>
      <c r="E13032">
        <f>1/51</f>
        <v>1.9607843137254902E-2</v>
      </c>
      <c r="F13032">
        <v>1</v>
      </c>
      <c r="G13032">
        <f>LOG(382/(1+1))</f>
        <v>2.2810333672477277</v>
      </c>
      <c r="H13032">
        <f>0.0196078431372549*5.25227342804663</f>
        <v>0.10298575349111039</v>
      </c>
      <c r="I13032">
        <v>0.1029857534911104</v>
      </c>
    </row>
    <row r="13033" spans="1:9" x14ac:dyDescent="0.25">
      <c r="A13033">
        <v>463</v>
      </c>
      <c r="B13033" t="s">
        <v>3735</v>
      </c>
      <c r="C13033" t="s">
        <v>75</v>
      </c>
      <c r="D13033" t="s">
        <v>89</v>
      </c>
      <c r="E13033">
        <f>1/51</f>
        <v>1.9607843137254902E-2</v>
      </c>
      <c r="F13033">
        <v>40</v>
      </c>
      <c r="G13033">
        <f>LOG(382/(40+1))</f>
        <v>0.96927950619197323</v>
      </c>
      <c r="H13033">
        <f>0.0196078431372549*2.23184854190226</f>
        <v>4.376173611573058E-2</v>
      </c>
      <c r="I13033">
        <v>4.3761736115730733E-2</v>
      </c>
    </row>
    <row r="13034" spans="1:9" x14ac:dyDescent="0.25">
      <c r="A13034">
        <v>463</v>
      </c>
      <c r="B13034" t="s">
        <v>3735</v>
      </c>
      <c r="C13034" t="s">
        <v>75</v>
      </c>
      <c r="D13034" t="s">
        <v>126</v>
      </c>
      <c r="E13034">
        <f>2/51</f>
        <v>3.9215686274509803E-2</v>
      </c>
      <c r="F13034">
        <v>79</v>
      </c>
      <c r="G13034">
        <f>LOG(382/(79+1))</f>
        <v>0.67897337591976514</v>
      </c>
      <c r="H13034">
        <f>0.0392156862745098*1.56339397393269</f>
        <v>6.1309567605203528E-2</v>
      </c>
      <c r="I13034">
        <v>6.1309567605203667E-2</v>
      </c>
    </row>
    <row r="13035" spans="1:9" x14ac:dyDescent="0.25">
      <c r="A13035">
        <v>463</v>
      </c>
      <c r="B13035" t="s">
        <v>3735</v>
      </c>
      <c r="C13035" t="s">
        <v>75</v>
      </c>
      <c r="D13035" t="s">
        <v>50</v>
      </c>
      <c r="E13035">
        <f>3/51</f>
        <v>5.8823529411764705E-2</v>
      </c>
      <c r="F13035">
        <v>109</v>
      </c>
      <c r="G13035">
        <f>LOG(382/(109+1))</f>
        <v>0.54067067775348365</v>
      </c>
      <c r="H13035">
        <f>0.0588235294117647*1.24494024281415</f>
        <v>7.3231778989067645E-2</v>
      </c>
      <c r="I13035">
        <v>7.3231778989068172E-2</v>
      </c>
    </row>
    <row r="13036" spans="1:9" x14ac:dyDescent="0.25">
      <c r="A13036">
        <v>463</v>
      </c>
      <c r="B13036" t="s">
        <v>3735</v>
      </c>
      <c r="C13036" t="s">
        <v>75</v>
      </c>
      <c r="D13036" t="s">
        <v>1537</v>
      </c>
      <c r="E13036">
        <f>3/51</f>
        <v>5.8823529411764705E-2</v>
      </c>
      <c r="F13036">
        <v>80</v>
      </c>
      <c r="G13036">
        <f>LOG(382/(80+1))</f>
        <v>0.67357834403305894</v>
      </c>
      <c r="H13036">
        <f>0.0588235294117647*1.55097145393413</f>
        <v>9.1233614937301755E-2</v>
      </c>
      <c r="I13036">
        <v>9.1233614937302143E-2</v>
      </c>
    </row>
    <row r="13037" spans="1:9" x14ac:dyDescent="0.25">
      <c r="A13037">
        <v>463</v>
      </c>
      <c r="B13037" t="s">
        <v>3735</v>
      </c>
      <c r="C13037" t="s">
        <v>75</v>
      </c>
      <c r="D13037" t="s">
        <v>42</v>
      </c>
      <c r="E13037">
        <f t="shared" ref="E13037:E13064" si="617">1/51</f>
        <v>1.9607843137254902E-2</v>
      </c>
      <c r="F13037">
        <v>251</v>
      </c>
      <c r="G13037">
        <f>LOG(382/(251+1))</f>
        <v>0.18066282213016463</v>
      </c>
      <c r="H13037">
        <f>0.0196078431372549*0.415991521095151</f>
        <v>8.1566964920617834E-3</v>
      </c>
      <c r="I13037">
        <v>8.1566964920618008E-3</v>
      </c>
    </row>
    <row r="13038" spans="1:9" x14ac:dyDescent="0.25">
      <c r="A13038">
        <v>463</v>
      </c>
      <c r="B13038" t="s">
        <v>3735</v>
      </c>
      <c r="C13038" t="s">
        <v>75</v>
      </c>
      <c r="D13038" t="s">
        <v>3737</v>
      </c>
      <c r="E13038">
        <f t="shared" si="617"/>
        <v>1.9607843137254902E-2</v>
      </c>
      <c r="F13038">
        <v>1</v>
      </c>
      <c r="G13038">
        <f>LOG(382/(1+1))</f>
        <v>2.2810333672477277</v>
      </c>
      <c r="H13038">
        <f>0.0196078431372549*5.25227342804663</f>
        <v>0.10298575349111039</v>
      </c>
      <c r="I13038">
        <v>0.1029857534911104</v>
      </c>
    </row>
    <row r="13039" spans="1:9" x14ac:dyDescent="0.25">
      <c r="A13039">
        <v>463</v>
      </c>
      <c r="B13039" t="s">
        <v>3735</v>
      </c>
      <c r="C13039" t="s">
        <v>75</v>
      </c>
      <c r="D13039" t="s">
        <v>101</v>
      </c>
      <c r="E13039">
        <f t="shared" si="617"/>
        <v>1.9607843137254902E-2</v>
      </c>
      <c r="F13039">
        <v>7</v>
      </c>
      <c r="G13039">
        <f>LOG(382/(7+1))</f>
        <v>1.6789733759197651</v>
      </c>
      <c r="H13039">
        <f>0.0196078431372549*3.86597906692673</f>
        <v>7.5803511116210393E-2</v>
      </c>
      <c r="I13039">
        <v>7.5803511116210573E-2</v>
      </c>
    </row>
    <row r="13040" spans="1:9" x14ac:dyDescent="0.25">
      <c r="A13040">
        <v>463</v>
      </c>
      <c r="B13040" t="s">
        <v>3735</v>
      </c>
      <c r="C13040" t="s">
        <v>75</v>
      </c>
      <c r="D13040" t="s">
        <v>3049</v>
      </c>
      <c r="E13040">
        <f t="shared" si="617"/>
        <v>1.9607843137254902E-2</v>
      </c>
      <c r="F13040">
        <v>2</v>
      </c>
      <c r="G13040">
        <f>LOG(382/(2+1))</f>
        <v>2.1049421081920463</v>
      </c>
      <c r="H13040">
        <f>0.0196078431372549*4.84680831993846</f>
        <v>9.5035457253695291E-2</v>
      </c>
      <c r="I13040">
        <v>9.5035457253695402E-2</v>
      </c>
    </row>
    <row r="13041" spans="1:9" x14ac:dyDescent="0.25">
      <c r="A13041">
        <v>463</v>
      </c>
      <c r="B13041" t="s">
        <v>3735</v>
      </c>
      <c r="C13041" t="s">
        <v>75</v>
      </c>
      <c r="D13041" t="s">
        <v>44</v>
      </c>
      <c r="E13041">
        <f t="shared" si="617"/>
        <v>1.9607843137254902E-2</v>
      </c>
      <c r="F13041">
        <v>151</v>
      </c>
      <c r="G13041">
        <f>LOG(382/(151+1))</f>
        <v>0.40021977496693617</v>
      </c>
      <c r="H13041">
        <f>0.0196078431372549*0.921540087760298</f>
        <v>1.8069413485496039E-2</v>
      </c>
      <c r="I13041">
        <v>1.8069413485496049E-2</v>
      </c>
    </row>
    <row r="13042" spans="1:9" x14ac:dyDescent="0.25">
      <c r="A13042">
        <v>463</v>
      </c>
      <c r="B13042" t="s">
        <v>3735</v>
      </c>
      <c r="C13042" t="s">
        <v>75</v>
      </c>
      <c r="D13042" t="s">
        <v>22</v>
      </c>
      <c r="E13042">
        <f t="shared" si="617"/>
        <v>1.9607843137254902E-2</v>
      </c>
      <c r="F13042">
        <v>259</v>
      </c>
      <c r="G13042">
        <f>LOG(382/(259+1))</f>
        <v>0.16709001494089079</v>
      </c>
      <c r="H13042">
        <f>0.0196078431372549*0.384738977591047</f>
        <v>7.5439015213930784E-3</v>
      </c>
      <c r="I13042">
        <v>7.5439015213930889E-3</v>
      </c>
    </row>
    <row r="13043" spans="1:9" x14ac:dyDescent="0.25">
      <c r="A13043">
        <v>463</v>
      </c>
      <c r="B13043" t="s">
        <v>3735</v>
      </c>
      <c r="C13043" t="s">
        <v>75</v>
      </c>
      <c r="D13043" t="s">
        <v>23</v>
      </c>
      <c r="E13043">
        <f t="shared" si="617"/>
        <v>1.9607843137254902E-2</v>
      </c>
      <c r="F13043">
        <v>275</v>
      </c>
      <c r="G13043">
        <f>LOG(382/(275+1))</f>
        <v>0.14115428084649101</v>
      </c>
      <c r="H13043">
        <f>0.0196078431372549*0.325019742889425</f>
        <v>6.3729361350867639E-3</v>
      </c>
      <c r="I13043">
        <v>6.3729361350867673E-3</v>
      </c>
    </row>
    <row r="13044" spans="1:9" x14ac:dyDescent="0.25">
      <c r="A13044">
        <v>463</v>
      </c>
      <c r="B13044" t="s">
        <v>3735</v>
      </c>
      <c r="C13044" t="s">
        <v>75</v>
      </c>
      <c r="D13044" t="s">
        <v>105</v>
      </c>
      <c r="E13044">
        <f t="shared" si="617"/>
        <v>1.9607843137254902E-2</v>
      </c>
      <c r="F13044">
        <v>122</v>
      </c>
      <c r="G13044">
        <f>LOG(382/(122+1))</f>
        <v>0.49215825147231079</v>
      </c>
      <c r="H13044">
        <f>0.0196078431372549*1.13323625323415</f>
        <v>2.2220318690865687E-2</v>
      </c>
      <c r="I13044">
        <v>2.2220318690865829E-2</v>
      </c>
    </row>
    <row r="13045" spans="1:9" x14ac:dyDescent="0.25">
      <c r="A13045">
        <v>463</v>
      </c>
      <c r="B13045" t="s">
        <v>3735</v>
      </c>
      <c r="C13045" t="s">
        <v>75</v>
      </c>
      <c r="D13045" t="s">
        <v>1769</v>
      </c>
      <c r="E13045">
        <f t="shared" si="617"/>
        <v>1.9607843137254902E-2</v>
      </c>
      <c r="F13045">
        <v>84</v>
      </c>
      <c r="G13045">
        <f>LOG(382/(84+1))</f>
        <v>0.65264443719741605</v>
      </c>
      <c r="H13045">
        <f>0.0196078431372549*1.50276935211625</f>
        <v>2.9466065727769608E-2</v>
      </c>
      <c r="I13045">
        <v>2.9466065727769782E-2</v>
      </c>
    </row>
    <row r="13046" spans="1:9" x14ac:dyDescent="0.25">
      <c r="A13046">
        <v>463</v>
      </c>
      <c r="B13046" t="s">
        <v>3735</v>
      </c>
      <c r="C13046" t="s">
        <v>75</v>
      </c>
      <c r="D13046" t="s">
        <v>1546</v>
      </c>
      <c r="E13046">
        <f t="shared" si="617"/>
        <v>1.9607843137254902E-2</v>
      </c>
      <c r="F13046">
        <v>44</v>
      </c>
      <c r="G13046">
        <f>LOG(382/(44+1))</f>
        <v>0.92885084913636506</v>
      </c>
      <c r="H13046">
        <f>0.0196078431372549*2.13875811883625</f>
        <v>4.1936433702671569E-2</v>
      </c>
      <c r="I13046">
        <v>4.1936433702671673E-2</v>
      </c>
    </row>
    <row r="13047" spans="1:9" x14ac:dyDescent="0.25">
      <c r="A13047">
        <v>463</v>
      </c>
      <c r="B13047" t="s">
        <v>3735</v>
      </c>
      <c r="C13047" t="s">
        <v>75</v>
      </c>
      <c r="D13047" t="s">
        <v>1551</v>
      </c>
      <c r="E13047">
        <f t="shared" si="617"/>
        <v>1.9607843137254902E-2</v>
      </c>
      <c r="F13047">
        <v>15</v>
      </c>
      <c r="G13047">
        <f>LOG(382/(15+1))</f>
        <v>1.3779433802557839</v>
      </c>
      <c r="H13047">
        <f>0.0196078431372549*3.17283188636679</f>
        <v>6.2212389928760589E-2</v>
      </c>
      <c r="I13047">
        <v>6.2212389928760672E-2</v>
      </c>
    </row>
    <row r="13048" spans="1:9" x14ac:dyDescent="0.25">
      <c r="A13048">
        <v>463</v>
      </c>
      <c r="B13048" t="s">
        <v>3735</v>
      </c>
      <c r="C13048" t="s">
        <v>75</v>
      </c>
      <c r="D13048" t="s">
        <v>1550</v>
      </c>
      <c r="E13048">
        <f t="shared" si="617"/>
        <v>1.9607843137254902E-2</v>
      </c>
      <c r="F13048">
        <v>16</v>
      </c>
      <c r="G13048">
        <f>LOG(382/(16+1))</f>
        <v>1.3516144415334348</v>
      </c>
      <c r="H13048">
        <f>0.0196078431372549*3.11220726455035</f>
        <v>6.102367185392843E-2</v>
      </c>
      <c r="I13048">
        <v>6.102367185392861E-2</v>
      </c>
    </row>
    <row r="13049" spans="1:9" x14ac:dyDescent="0.25">
      <c r="A13049">
        <v>463</v>
      </c>
      <c r="B13049" t="s">
        <v>3735</v>
      </c>
      <c r="C13049" t="s">
        <v>75</v>
      </c>
      <c r="D13049" t="s">
        <v>1730</v>
      </c>
      <c r="E13049">
        <f t="shared" si="617"/>
        <v>1.9607843137254902E-2</v>
      </c>
      <c r="F13049">
        <v>35</v>
      </c>
      <c r="G13049">
        <f>LOG(382/(35+1))</f>
        <v>1.0257608621444214</v>
      </c>
      <c r="H13049">
        <f>0.0196078431372549*2.36190167015046</f>
        <v>4.6311797453930589E-2</v>
      </c>
      <c r="I13049">
        <v>4.6311797453930693E-2</v>
      </c>
    </row>
    <row r="13050" spans="1:9" x14ac:dyDescent="0.25">
      <c r="A13050">
        <v>463</v>
      </c>
      <c r="B13050" t="s">
        <v>3735</v>
      </c>
      <c r="C13050" t="s">
        <v>75</v>
      </c>
      <c r="D13050" t="s">
        <v>1665</v>
      </c>
      <c r="E13050">
        <f t="shared" si="617"/>
        <v>1.9607843137254902E-2</v>
      </c>
      <c r="F13050">
        <v>17</v>
      </c>
      <c r="G13050">
        <f>LOG(382/(17+1))</f>
        <v>1.3267908578084027</v>
      </c>
      <c r="H13050">
        <f>0.0196078431372549*3.05504885071041</f>
        <v>5.9902918641380587E-2</v>
      </c>
      <c r="I13050">
        <v>5.9902918641380587E-2</v>
      </c>
    </row>
    <row r="13051" spans="1:9" x14ac:dyDescent="0.25">
      <c r="A13051">
        <v>463</v>
      </c>
      <c r="B13051" t="s">
        <v>3735</v>
      </c>
      <c r="C13051" t="s">
        <v>75</v>
      </c>
      <c r="D13051" t="s">
        <v>1729</v>
      </c>
      <c r="E13051">
        <f t="shared" si="617"/>
        <v>1.9607843137254902E-2</v>
      </c>
      <c r="F13051">
        <v>7</v>
      </c>
      <c r="G13051">
        <f>LOG(382/(7+1))</f>
        <v>1.6789733759197651</v>
      </c>
      <c r="H13051">
        <f>0.0196078431372549*3.86597906692673</f>
        <v>7.5803511116210393E-2</v>
      </c>
      <c r="I13051">
        <v>7.5803511116210573E-2</v>
      </c>
    </row>
    <row r="13052" spans="1:9" x14ac:dyDescent="0.25">
      <c r="A13052">
        <v>463</v>
      </c>
      <c r="B13052" t="s">
        <v>3735</v>
      </c>
      <c r="C13052" t="s">
        <v>75</v>
      </c>
      <c r="D13052" t="s">
        <v>3738</v>
      </c>
      <c r="E13052">
        <f t="shared" si="617"/>
        <v>1.9607843137254902E-2</v>
      </c>
      <c r="F13052">
        <v>2</v>
      </c>
      <c r="G13052">
        <f>LOG(382/(2+1))</f>
        <v>2.1049421081920463</v>
      </c>
      <c r="H13052">
        <f>0.0196078431372549*4.84680831993846</f>
        <v>9.5035457253695291E-2</v>
      </c>
      <c r="I13052">
        <v>9.5035457253695402E-2</v>
      </c>
    </row>
    <row r="13053" spans="1:9" x14ac:dyDescent="0.25">
      <c r="A13053">
        <v>463</v>
      </c>
      <c r="B13053" t="s">
        <v>3735</v>
      </c>
      <c r="C13053" t="s">
        <v>75</v>
      </c>
      <c r="D13053" t="s">
        <v>763</v>
      </c>
      <c r="E13053">
        <f t="shared" si="617"/>
        <v>1.9607843137254902E-2</v>
      </c>
      <c r="F13053">
        <v>47</v>
      </c>
      <c r="G13053">
        <f>LOG(382/(47+1))</f>
        <v>0.90082212553612151</v>
      </c>
      <c r="H13053">
        <f>0.0196078431372549*2.07421959769868</f>
        <v>4.0670972503895689E-2</v>
      </c>
      <c r="I13053">
        <v>4.0670972503895772E-2</v>
      </c>
    </row>
    <row r="13054" spans="1:9" x14ac:dyDescent="0.25">
      <c r="A13054">
        <v>463</v>
      </c>
      <c r="B13054" t="s">
        <v>3735</v>
      </c>
      <c r="C13054" t="s">
        <v>75</v>
      </c>
      <c r="D13054" t="s">
        <v>418</v>
      </c>
      <c r="E13054">
        <f t="shared" si="617"/>
        <v>1.9607843137254902E-2</v>
      </c>
      <c r="F13054">
        <v>11</v>
      </c>
      <c r="G13054">
        <f>LOG(382/(11+1))</f>
        <v>1.5028821168640838</v>
      </c>
      <c r="H13054">
        <f>0.0196078431372549*3.46051395881857</f>
        <v>6.785321487879549E-2</v>
      </c>
      <c r="I13054">
        <v>6.7853214878795587E-2</v>
      </c>
    </row>
    <row r="13055" spans="1:9" x14ac:dyDescent="0.25">
      <c r="A13055">
        <v>463</v>
      </c>
      <c r="B13055" t="s">
        <v>3735</v>
      </c>
      <c r="C13055" t="s">
        <v>75</v>
      </c>
      <c r="D13055" t="s">
        <v>754</v>
      </c>
      <c r="E13055">
        <f t="shared" si="617"/>
        <v>1.9607843137254902E-2</v>
      </c>
      <c r="F13055">
        <v>111</v>
      </c>
      <c r="G13055">
        <f>LOG(382/(111+1))</f>
        <v>0.53284534024152708</v>
      </c>
      <c r="H13055">
        <f>0.0196078431372549*1.22692173731148</f>
        <v>2.4057288966891764E-2</v>
      </c>
      <c r="I13055">
        <v>2.4057288966891782E-2</v>
      </c>
    </row>
    <row r="13056" spans="1:9" x14ac:dyDescent="0.25">
      <c r="A13056">
        <v>463</v>
      </c>
      <c r="B13056" t="s">
        <v>3735</v>
      </c>
      <c r="C13056" t="s">
        <v>75</v>
      </c>
      <c r="D13056" t="s">
        <v>767</v>
      </c>
      <c r="E13056">
        <f t="shared" si="617"/>
        <v>1.9607843137254902E-2</v>
      </c>
      <c r="F13056">
        <v>47</v>
      </c>
      <c r="G13056">
        <f>LOG(382/(47+1))</f>
        <v>0.90082212553612151</v>
      </c>
      <c r="H13056">
        <f>0.0196078431372549*2.07421959769868</f>
        <v>4.0670972503895689E-2</v>
      </c>
      <c r="I13056">
        <v>4.0670972503895772E-2</v>
      </c>
    </row>
    <row r="13057" spans="1:9" x14ac:dyDescent="0.25">
      <c r="A13057">
        <v>463</v>
      </c>
      <c r="B13057" t="s">
        <v>3735</v>
      </c>
      <c r="C13057" t="s">
        <v>75</v>
      </c>
      <c r="D13057" t="s">
        <v>256</v>
      </c>
      <c r="E13057">
        <f t="shared" si="617"/>
        <v>1.9607843137254902E-2</v>
      </c>
      <c r="F13057">
        <v>28</v>
      </c>
      <c r="G13057">
        <f>LOG(382/(28+1))</f>
        <v>1.1196653650127526</v>
      </c>
      <c r="H13057">
        <f>0.0196078431372549*2.5781247786201</f>
        <v>5.0551466247452936E-2</v>
      </c>
      <c r="I13057">
        <v>5.0551466247452957E-2</v>
      </c>
    </row>
    <row r="13058" spans="1:9" x14ac:dyDescent="0.25">
      <c r="A13058">
        <v>463</v>
      </c>
      <c r="B13058" t="s">
        <v>3735</v>
      </c>
      <c r="C13058" t="s">
        <v>75</v>
      </c>
      <c r="D13058" t="s">
        <v>994</v>
      </c>
      <c r="E13058">
        <f t="shared" si="617"/>
        <v>1.9607843137254902E-2</v>
      </c>
      <c r="F13058">
        <v>37</v>
      </c>
      <c r="G13058">
        <f>LOG(382/(37+1))</f>
        <v>1.0022797662948986</v>
      </c>
      <c r="H13058">
        <f>0.0196078431372549*2.30783444888018</f>
        <v>4.525165586039568E-2</v>
      </c>
      <c r="I13058">
        <v>4.5251655860395867E-2</v>
      </c>
    </row>
    <row r="13059" spans="1:9" x14ac:dyDescent="0.25">
      <c r="A13059">
        <v>463</v>
      </c>
      <c r="B13059" t="s">
        <v>3735</v>
      </c>
      <c r="C13059" t="s">
        <v>75</v>
      </c>
      <c r="D13059" t="s">
        <v>327</v>
      </c>
      <c r="E13059">
        <f t="shared" si="617"/>
        <v>1.9607843137254902E-2</v>
      </c>
      <c r="F13059">
        <v>46</v>
      </c>
      <c r="G13059">
        <f>LOG(382/(46+1))</f>
        <v>0.90996550497599127</v>
      </c>
      <c r="H13059">
        <f>0.0196078431372549*2.09527300689651</f>
        <v>4.108378444895118E-2</v>
      </c>
      <c r="I13059">
        <v>4.1083784448951298E-2</v>
      </c>
    </row>
    <row r="13060" spans="1:9" x14ac:dyDescent="0.25">
      <c r="A13060">
        <v>463</v>
      </c>
      <c r="B13060" t="s">
        <v>3735</v>
      </c>
      <c r="C13060" t="s">
        <v>75</v>
      </c>
      <c r="D13060" t="s">
        <v>3739</v>
      </c>
      <c r="E13060">
        <f t="shared" si="617"/>
        <v>1.9607843137254902E-2</v>
      </c>
      <c r="F13060">
        <v>1</v>
      </c>
      <c r="G13060">
        <f>LOG(382/(1+1))</f>
        <v>2.2810333672477277</v>
      </c>
      <c r="H13060">
        <f>0.0196078431372549*5.25227342804663</f>
        <v>0.10298575349111039</v>
      </c>
      <c r="I13060">
        <v>0.1029857534911104</v>
      </c>
    </row>
    <row r="13061" spans="1:9" x14ac:dyDescent="0.25">
      <c r="A13061">
        <v>463</v>
      </c>
      <c r="B13061" t="s">
        <v>3735</v>
      </c>
      <c r="C13061" t="s">
        <v>75</v>
      </c>
      <c r="D13061" t="s">
        <v>1762</v>
      </c>
      <c r="E13061">
        <f t="shared" si="617"/>
        <v>1.9607843137254902E-2</v>
      </c>
      <c r="F13061">
        <v>60</v>
      </c>
      <c r="G13061">
        <f>LOG(382/(60+1))</f>
        <v>0.79673352790094176</v>
      </c>
      <c r="H13061">
        <f>0.0196078431372549*1.83454674443326</f>
        <v>3.5971504792809021E-2</v>
      </c>
      <c r="I13061">
        <v>3.5971504792809098E-2</v>
      </c>
    </row>
    <row r="13062" spans="1:9" x14ac:dyDescent="0.25">
      <c r="A13062">
        <v>463</v>
      </c>
      <c r="B13062" t="s">
        <v>3735</v>
      </c>
      <c r="C13062" t="s">
        <v>75</v>
      </c>
      <c r="D13062" t="s">
        <v>98</v>
      </c>
      <c r="E13062">
        <f t="shared" si="617"/>
        <v>1.9607843137254902E-2</v>
      </c>
      <c r="F13062">
        <v>56</v>
      </c>
      <c r="G13062">
        <f>LOG(382/(56+1))</f>
        <v>0.82618850723921733</v>
      </c>
      <c r="H13062">
        <f>0.0196078431372549*1.90236934077202</f>
        <v>3.7301359622980784E-2</v>
      </c>
      <c r="I13062">
        <v>3.7301359622980881E-2</v>
      </c>
    </row>
    <row r="13063" spans="1:9" x14ac:dyDescent="0.25">
      <c r="A13063">
        <v>463</v>
      </c>
      <c r="B13063" t="s">
        <v>3735</v>
      </c>
      <c r="C13063" t="s">
        <v>75</v>
      </c>
      <c r="D13063" t="s">
        <v>3740</v>
      </c>
      <c r="E13063">
        <f t="shared" si="617"/>
        <v>1.9607843137254902E-2</v>
      </c>
      <c r="F13063">
        <v>1</v>
      </c>
      <c r="G13063">
        <f>LOG(382/(1+1))</f>
        <v>2.2810333672477277</v>
      </c>
      <c r="H13063">
        <f>0.0196078431372549*5.25227342804663</f>
        <v>0.10298575349111039</v>
      </c>
      <c r="I13063">
        <v>0.1029857534911104</v>
      </c>
    </row>
    <row r="13064" spans="1:9" x14ac:dyDescent="0.25">
      <c r="A13064">
        <v>463</v>
      </c>
      <c r="B13064" t="s">
        <v>3735</v>
      </c>
      <c r="C13064" t="s">
        <v>75</v>
      </c>
      <c r="D13064" t="s">
        <v>453</v>
      </c>
      <c r="E13064">
        <f t="shared" si="617"/>
        <v>1.9607843137254902E-2</v>
      </c>
      <c r="F13064">
        <v>68</v>
      </c>
      <c r="G13064">
        <f>LOG(382/(68+1))</f>
        <v>0.74321427217445335</v>
      </c>
      <c r="H13064">
        <f>0.0196078431372549*1.71131410400931</f>
        <v>3.3555178509986475E-2</v>
      </c>
      <c r="I13064">
        <v>3.3555178509986593E-2</v>
      </c>
    </row>
    <row r="13065" spans="1:9" x14ac:dyDescent="0.25">
      <c r="A13065">
        <v>463</v>
      </c>
      <c r="B13065" t="s">
        <v>3735</v>
      </c>
      <c r="C13065" t="s">
        <v>75</v>
      </c>
      <c r="D13065" t="s">
        <v>455</v>
      </c>
      <c r="E13065">
        <f>2/51</f>
        <v>3.9215686274509803E-2</v>
      </c>
      <c r="F13065">
        <v>78</v>
      </c>
      <c r="G13065">
        <f>LOG(382/(78+1))</f>
        <v>0.6844362716212673</v>
      </c>
      <c r="H13065">
        <f>0.0392156862745098*1.57597275613955</f>
        <v>6.1802853181943139E-2</v>
      </c>
      <c r="I13065">
        <v>6.1802853181943278E-2</v>
      </c>
    </row>
    <row r="13066" spans="1:9" x14ac:dyDescent="0.25">
      <c r="A13066">
        <v>463</v>
      </c>
      <c r="B13066" t="s">
        <v>3735</v>
      </c>
      <c r="C13066" t="s">
        <v>75</v>
      </c>
      <c r="D13066" t="s">
        <v>456</v>
      </c>
      <c r="E13066">
        <f>2/51</f>
        <v>3.9215686274509803E-2</v>
      </c>
      <c r="F13066">
        <v>71</v>
      </c>
      <c r="G13066">
        <f>LOG(382/(71+1))</f>
        <v>0.72473086648044027</v>
      </c>
      <c r="H13066">
        <f>0.0392156862745098*1.66875448959051</f>
        <v>6.5441352532961169E-2</v>
      </c>
      <c r="I13066">
        <v>6.5441352532961558E-2</v>
      </c>
    </row>
    <row r="13067" spans="1:9" x14ac:dyDescent="0.25">
      <c r="A13067">
        <v>463</v>
      </c>
      <c r="B13067" t="s">
        <v>3735</v>
      </c>
      <c r="C13067" t="s">
        <v>75</v>
      </c>
      <c r="D13067" t="s">
        <v>3741</v>
      </c>
      <c r="E13067">
        <f t="shared" ref="E13067:E13075" si="618">1/51</f>
        <v>1.9607843137254902E-2</v>
      </c>
      <c r="F13067">
        <v>1</v>
      </c>
      <c r="G13067">
        <f>LOG(382/(1+1))</f>
        <v>2.2810333672477277</v>
      </c>
      <c r="H13067">
        <f>0.0196078431372549*5.25227342804663</f>
        <v>0.10298575349111039</v>
      </c>
      <c r="I13067">
        <v>0.1029857534911104</v>
      </c>
    </row>
    <row r="13068" spans="1:9" x14ac:dyDescent="0.25">
      <c r="A13068">
        <v>463</v>
      </c>
      <c r="B13068" t="s">
        <v>3735</v>
      </c>
      <c r="C13068" t="s">
        <v>75</v>
      </c>
      <c r="D13068" t="s">
        <v>361</v>
      </c>
      <c r="E13068">
        <f t="shared" si="618"/>
        <v>1.9607843137254902E-2</v>
      </c>
      <c r="F13068">
        <v>118</v>
      </c>
      <c r="G13068">
        <f>LOG(382/(118+1))</f>
        <v>0.50651640151917798</v>
      </c>
      <c r="H13068">
        <f>0.0196078431372549*1.16629711549504</f>
        <v>2.2868570892059605E-2</v>
      </c>
      <c r="I13068">
        <v>2.2868570892059719E-2</v>
      </c>
    </row>
    <row r="13069" spans="1:9" x14ac:dyDescent="0.25">
      <c r="A13069">
        <v>463</v>
      </c>
      <c r="B13069" t="s">
        <v>3735</v>
      </c>
      <c r="C13069" t="s">
        <v>75</v>
      </c>
      <c r="D13069" t="s">
        <v>434</v>
      </c>
      <c r="E13069">
        <f t="shared" si="618"/>
        <v>1.9607843137254902E-2</v>
      </c>
      <c r="F13069">
        <v>97</v>
      </c>
      <c r="G13069">
        <f>LOG(382/(97+1))</f>
        <v>0.59083728721921391</v>
      </c>
      <c r="H13069">
        <f>0.0196078431372549*1.360453129936</f>
        <v>2.667555156737255E-2</v>
      </c>
      <c r="I13069">
        <v>2.6675551567372609E-2</v>
      </c>
    </row>
    <row r="13070" spans="1:9" x14ac:dyDescent="0.25">
      <c r="A13070">
        <v>463</v>
      </c>
      <c r="B13070" t="s">
        <v>3735</v>
      </c>
      <c r="C13070" t="s">
        <v>75</v>
      </c>
      <c r="D13070" t="s">
        <v>3742</v>
      </c>
      <c r="E13070">
        <f t="shared" si="618"/>
        <v>1.9607843137254902E-2</v>
      </c>
      <c r="F13070">
        <v>1</v>
      </c>
      <c r="G13070">
        <f>LOG(382/(1+1))</f>
        <v>2.2810333672477277</v>
      </c>
      <c r="H13070">
        <f>0.0196078431372549*5.25227342804663</f>
        <v>0.10298575349111039</v>
      </c>
      <c r="I13070">
        <v>0.1029857534911104</v>
      </c>
    </row>
    <row r="13071" spans="1:9" x14ac:dyDescent="0.25">
      <c r="A13071">
        <v>463</v>
      </c>
      <c r="B13071" t="s">
        <v>3735</v>
      </c>
      <c r="C13071" t="s">
        <v>75</v>
      </c>
      <c r="D13071" t="s">
        <v>2242</v>
      </c>
      <c r="E13071">
        <f t="shared" si="618"/>
        <v>1.9607843137254902E-2</v>
      </c>
      <c r="F13071">
        <v>18</v>
      </c>
      <c r="G13071">
        <f>LOG(382/(18+1))</f>
        <v>1.3033097619588798</v>
      </c>
      <c r="H13071">
        <f>0.0196078431372549*3.00098162944013</f>
        <v>5.8842777047845692E-2</v>
      </c>
      <c r="I13071">
        <v>5.8842777047845768E-2</v>
      </c>
    </row>
    <row r="13072" spans="1:9" x14ac:dyDescent="0.25">
      <c r="A13072">
        <v>463</v>
      </c>
      <c r="B13072" t="s">
        <v>3735</v>
      </c>
      <c r="C13072" t="s">
        <v>75</v>
      </c>
      <c r="D13072" t="s">
        <v>214</v>
      </c>
      <c r="E13072">
        <f t="shared" si="618"/>
        <v>1.9607843137254902E-2</v>
      </c>
      <c r="F13072">
        <v>68</v>
      </c>
      <c r="G13072">
        <f>LOG(382/(68+1))</f>
        <v>0.74321427217445335</v>
      </c>
      <c r="H13072">
        <f>0.0196078431372549*1.71131410400931</f>
        <v>3.3555178509986475E-2</v>
      </c>
      <c r="I13072">
        <v>3.3555178509986593E-2</v>
      </c>
    </row>
    <row r="13073" spans="1:9" x14ac:dyDescent="0.25">
      <c r="A13073">
        <v>463</v>
      </c>
      <c r="B13073" t="s">
        <v>3735</v>
      </c>
      <c r="C13073" t="s">
        <v>75</v>
      </c>
      <c r="D13073" t="s">
        <v>243</v>
      </c>
      <c r="E13073">
        <f t="shared" si="618"/>
        <v>1.9607843137254902E-2</v>
      </c>
      <c r="F13073">
        <v>131</v>
      </c>
      <c r="G13073">
        <f>LOG(382/(131+1))</f>
        <v>0.46148943170585888</v>
      </c>
      <c r="H13073">
        <f>0.0196078431372549*1.0626186860202</f>
        <v>2.0835660510199999E-2</v>
      </c>
      <c r="I13073">
        <v>2.0835660510200079E-2</v>
      </c>
    </row>
    <row r="13074" spans="1:9" x14ac:dyDescent="0.25">
      <c r="A13074">
        <v>463</v>
      </c>
      <c r="B13074" t="s">
        <v>3735</v>
      </c>
      <c r="C13074" t="s">
        <v>75</v>
      </c>
      <c r="D13074" t="s">
        <v>770</v>
      </c>
      <c r="E13074">
        <f t="shared" si="618"/>
        <v>1.9607843137254902E-2</v>
      </c>
      <c r="F13074">
        <v>47</v>
      </c>
      <c r="G13074">
        <f>LOG(382/(47+1))</f>
        <v>0.90082212553612151</v>
      </c>
      <c r="H13074">
        <f>0.0196078431372549*2.07421959769868</f>
        <v>4.0670972503895689E-2</v>
      </c>
      <c r="I13074">
        <v>4.0670972503895772E-2</v>
      </c>
    </row>
    <row r="13075" spans="1:9" x14ac:dyDescent="0.25">
      <c r="A13075">
        <v>463</v>
      </c>
      <c r="B13075" t="s">
        <v>3735</v>
      </c>
      <c r="C13075" t="s">
        <v>75</v>
      </c>
      <c r="D13075" t="s">
        <v>307</v>
      </c>
      <c r="E13075">
        <f t="shared" si="618"/>
        <v>1.9607843137254902E-2</v>
      </c>
      <c r="F13075">
        <v>67</v>
      </c>
      <c r="G13075">
        <f>LOG(382/(67+1))</f>
        <v>0.7495544502054724</v>
      </c>
      <c r="H13075">
        <f>0.0196078431372549*1.72591290343046</f>
        <v>3.3841429479028629E-2</v>
      </c>
      <c r="I13075">
        <v>3.3841429479028788E-2</v>
      </c>
    </row>
    <row r="13076" spans="1:9" x14ac:dyDescent="0.25">
      <c r="A13076">
        <v>464</v>
      </c>
      <c r="B13076" t="s">
        <v>3743</v>
      </c>
      <c r="C13076" t="s">
        <v>75</v>
      </c>
      <c r="D13076" t="s">
        <v>1537</v>
      </c>
      <c r="E13076">
        <f>3/55</f>
        <v>5.4545454545454543E-2</v>
      </c>
      <c r="F13076">
        <v>80</v>
      </c>
      <c r="G13076">
        <f>LOG(382/(80+1))</f>
        <v>0.67357834403305894</v>
      </c>
      <c r="H13076">
        <f>0.0545454545454545*1.55097145393413</f>
        <v>8.4598442941861571E-2</v>
      </c>
      <c r="I13076">
        <v>8.4598442941861987E-2</v>
      </c>
    </row>
    <row r="13077" spans="1:9" x14ac:dyDescent="0.25">
      <c r="A13077">
        <v>464</v>
      </c>
      <c r="B13077" t="s">
        <v>3743</v>
      </c>
      <c r="C13077" t="s">
        <v>75</v>
      </c>
      <c r="D13077" t="s">
        <v>1827</v>
      </c>
      <c r="E13077">
        <f t="shared" ref="E13077:E13097" si="619">1/55</f>
        <v>1.8181818181818181E-2</v>
      </c>
      <c r="F13077">
        <v>9</v>
      </c>
      <c r="G13077">
        <f>LOG(382/(9+1))</f>
        <v>1.5820633629117087</v>
      </c>
      <c r="H13077">
        <f>0.0181818181818181*3.64283551561252</f>
        <v>6.6233373011136437E-2</v>
      </c>
      <c r="I13077">
        <v>6.6233373011136895E-2</v>
      </c>
    </row>
    <row r="13078" spans="1:9" x14ac:dyDescent="0.25">
      <c r="A13078">
        <v>464</v>
      </c>
      <c r="B13078" t="s">
        <v>3743</v>
      </c>
      <c r="C13078" t="s">
        <v>75</v>
      </c>
      <c r="D13078" t="s">
        <v>42</v>
      </c>
      <c r="E13078">
        <f t="shared" si="619"/>
        <v>1.8181818181818181E-2</v>
      </c>
      <c r="F13078">
        <v>251</v>
      </c>
      <c r="G13078">
        <f>LOG(382/(251+1))</f>
        <v>0.18066282213016463</v>
      </c>
      <c r="H13078">
        <f>0.0181818181818181*0.415991521095151</f>
        <v>7.5634822017299841E-3</v>
      </c>
      <c r="I13078">
        <v>7.5634822017300344E-3</v>
      </c>
    </row>
    <row r="13079" spans="1:9" x14ac:dyDescent="0.25">
      <c r="A13079">
        <v>464</v>
      </c>
      <c r="B13079" t="s">
        <v>3743</v>
      </c>
      <c r="C13079" t="s">
        <v>75</v>
      </c>
      <c r="D13079" t="s">
        <v>1496</v>
      </c>
      <c r="E13079">
        <f t="shared" si="619"/>
        <v>1.8181818181818181E-2</v>
      </c>
      <c r="F13079">
        <v>39</v>
      </c>
      <c r="G13079">
        <f>LOG(382/(39+1))</f>
        <v>0.9800033715837464</v>
      </c>
      <c r="H13079">
        <f>0.0181818181818181*2.25654115449263</f>
        <v>4.1028020990774912E-2</v>
      </c>
      <c r="I13079">
        <v>4.1028020990775252E-2</v>
      </c>
    </row>
    <row r="13080" spans="1:9" x14ac:dyDescent="0.25">
      <c r="A13080">
        <v>464</v>
      </c>
      <c r="B13080" t="s">
        <v>3743</v>
      </c>
      <c r="C13080" t="s">
        <v>75</v>
      </c>
      <c r="D13080" t="s">
        <v>1059</v>
      </c>
      <c r="E13080">
        <f t="shared" si="619"/>
        <v>1.8181818181818181E-2</v>
      </c>
      <c r="F13080">
        <v>16</v>
      </c>
      <c r="G13080">
        <f>LOG(382/(16+1))</f>
        <v>1.3516144415334348</v>
      </c>
      <c r="H13080">
        <f>0.0181818181818181*3.11220726455035</f>
        <v>5.6585586628187926E-2</v>
      </c>
      <c r="I13080">
        <v>5.6585586628188342E-2</v>
      </c>
    </row>
    <row r="13081" spans="1:9" x14ac:dyDescent="0.25">
      <c r="A13081">
        <v>464</v>
      </c>
      <c r="B13081" t="s">
        <v>3743</v>
      </c>
      <c r="C13081" t="s">
        <v>75</v>
      </c>
      <c r="D13081" t="s">
        <v>3744</v>
      </c>
      <c r="E13081">
        <f t="shared" si="619"/>
        <v>1.8181818181818181E-2</v>
      </c>
      <c r="F13081">
        <v>1</v>
      </c>
      <c r="G13081">
        <f>LOG(382/(1+1))</f>
        <v>2.2810333672477277</v>
      </c>
      <c r="H13081">
        <f>0.0181818181818181*5.25227342804663</f>
        <v>9.5495880509938305E-2</v>
      </c>
      <c r="I13081">
        <v>9.5495880509938721E-2</v>
      </c>
    </row>
    <row r="13082" spans="1:9" x14ac:dyDescent="0.25">
      <c r="A13082">
        <v>464</v>
      </c>
      <c r="B13082" t="s">
        <v>3743</v>
      </c>
      <c r="C13082" t="s">
        <v>75</v>
      </c>
      <c r="D13082" t="s">
        <v>2341</v>
      </c>
      <c r="E13082">
        <f t="shared" si="619"/>
        <v>1.8181818181818181E-2</v>
      </c>
      <c r="F13082">
        <v>2</v>
      </c>
      <c r="G13082">
        <f>LOG(382/(2+1))</f>
        <v>2.1049421081920463</v>
      </c>
      <c r="H13082">
        <f>0.0181818181818181*4.84680831993846</f>
        <v>8.8123787635244338E-2</v>
      </c>
      <c r="I13082">
        <v>8.8123787635244824E-2</v>
      </c>
    </row>
    <row r="13083" spans="1:9" x14ac:dyDescent="0.25">
      <c r="A13083">
        <v>464</v>
      </c>
      <c r="B13083" t="s">
        <v>3743</v>
      </c>
      <c r="C13083" t="s">
        <v>75</v>
      </c>
      <c r="D13083" t="s">
        <v>17</v>
      </c>
      <c r="E13083">
        <f t="shared" si="619"/>
        <v>1.8181818181818181E-2</v>
      </c>
      <c r="F13083">
        <v>169</v>
      </c>
      <c r="G13083">
        <f>LOG(382/(169+1))</f>
        <v>0.3516144415334348</v>
      </c>
      <c r="H13083">
        <f>0.0181818181818181*0.809622171556313</f>
        <v>1.4720403119205626E-2</v>
      </c>
      <c r="I13083">
        <v>1.4720403119205701E-2</v>
      </c>
    </row>
    <row r="13084" spans="1:9" x14ac:dyDescent="0.25">
      <c r="A13084">
        <v>464</v>
      </c>
      <c r="B13084" t="s">
        <v>3743</v>
      </c>
      <c r="C13084" t="s">
        <v>75</v>
      </c>
      <c r="D13084" t="s">
        <v>1907</v>
      </c>
      <c r="E13084">
        <f t="shared" si="619"/>
        <v>1.8181818181818181E-2</v>
      </c>
      <c r="F13084">
        <v>20</v>
      </c>
      <c r="G13084">
        <f>LOG(382/(20+1))</f>
        <v>1.2598440681777894</v>
      </c>
      <c r="H13084">
        <f>0.0181818181818181*2.90089817088315</f>
        <v>5.274360310696613E-2</v>
      </c>
      <c r="I13084">
        <v>5.2743603106966401E-2</v>
      </c>
    </row>
    <row r="13085" spans="1:9" x14ac:dyDescent="0.25">
      <c r="A13085">
        <v>464</v>
      </c>
      <c r="B13085" t="s">
        <v>3743</v>
      </c>
      <c r="C13085" t="s">
        <v>75</v>
      </c>
      <c r="D13085" t="s">
        <v>1908</v>
      </c>
      <c r="E13085">
        <f t="shared" si="619"/>
        <v>1.8181818181818181E-2</v>
      </c>
      <c r="F13085">
        <v>20</v>
      </c>
      <c r="G13085">
        <f>LOG(382/(20+1))</f>
        <v>1.2598440681777894</v>
      </c>
      <c r="H13085">
        <f>0.0181818181818181*2.90089817088315</f>
        <v>5.274360310696613E-2</v>
      </c>
      <c r="I13085">
        <v>5.2743603106966401E-2</v>
      </c>
    </row>
    <row r="13086" spans="1:9" x14ac:dyDescent="0.25">
      <c r="A13086">
        <v>464</v>
      </c>
      <c r="B13086" t="s">
        <v>3743</v>
      </c>
      <c r="C13086" t="s">
        <v>75</v>
      </c>
      <c r="D13086" t="s">
        <v>91</v>
      </c>
      <c r="E13086">
        <f t="shared" si="619"/>
        <v>1.8181818181818181E-2</v>
      </c>
      <c r="F13086">
        <v>33</v>
      </c>
      <c r="G13086">
        <f>LOG(382/(33+1))</f>
        <v>1.0505844458694535</v>
      </c>
      <c r="H13086">
        <f>0.0181818181818181*2.41906008399041</f>
        <v>4.3982910618007263E-2</v>
      </c>
      <c r="I13086">
        <v>4.398291061800752E-2</v>
      </c>
    </row>
    <row r="13087" spans="1:9" x14ac:dyDescent="0.25">
      <c r="A13087">
        <v>464</v>
      </c>
      <c r="B13087" t="s">
        <v>3743</v>
      </c>
      <c r="C13087" t="s">
        <v>75</v>
      </c>
      <c r="D13087" t="s">
        <v>19</v>
      </c>
      <c r="E13087">
        <f t="shared" si="619"/>
        <v>1.8181818181818181E-2</v>
      </c>
      <c r="F13087">
        <v>220</v>
      </c>
      <c r="G13087">
        <f>LOG(382/(220+1))</f>
        <v>0.23767108922659805</v>
      </c>
      <c r="H13087">
        <f>0.0181818181818181*0.547257907088822</f>
        <v>9.950143765251265E-3</v>
      </c>
      <c r="I13087">
        <v>9.9501437652513153E-3</v>
      </c>
    </row>
    <row r="13088" spans="1:9" x14ac:dyDescent="0.25">
      <c r="A13088">
        <v>464</v>
      </c>
      <c r="B13088" t="s">
        <v>3743</v>
      </c>
      <c r="C13088" t="s">
        <v>75</v>
      </c>
      <c r="D13088" t="s">
        <v>195</v>
      </c>
      <c r="E13088">
        <f t="shared" si="619"/>
        <v>1.8181818181818181E-2</v>
      </c>
      <c r="F13088">
        <v>55</v>
      </c>
      <c r="G13088">
        <f>LOG(382/(55+1))</f>
        <v>0.83387533590550833</v>
      </c>
      <c r="H13088">
        <f>0.0181818181818181*1.92006891787142</f>
        <v>3.4910343961298392E-2</v>
      </c>
      <c r="I13088">
        <v>3.4910343961298648E-2</v>
      </c>
    </row>
    <row r="13089" spans="1:9" x14ac:dyDescent="0.25">
      <c r="A13089">
        <v>464</v>
      </c>
      <c r="B13089" t="s">
        <v>3743</v>
      </c>
      <c r="C13089" t="s">
        <v>75</v>
      </c>
      <c r="D13089" t="s">
        <v>22</v>
      </c>
      <c r="E13089">
        <f t="shared" si="619"/>
        <v>1.8181818181818181E-2</v>
      </c>
      <c r="F13089">
        <v>259</v>
      </c>
      <c r="G13089">
        <f>LOG(382/(259+1))</f>
        <v>0.16709001494089079</v>
      </c>
      <c r="H13089">
        <f>0.0181818181818181*0.384738977591047</f>
        <v>6.9952541380190062E-3</v>
      </c>
      <c r="I13089">
        <v>6.9952541380190452E-3</v>
      </c>
    </row>
    <row r="13090" spans="1:9" x14ac:dyDescent="0.25">
      <c r="A13090">
        <v>464</v>
      </c>
      <c r="B13090" t="s">
        <v>3743</v>
      </c>
      <c r="C13090" t="s">
        <v>75</v>
      </c>
      <c r="D13090" t="s">
        <v>23</v>
      </c>
      <c r="E13090">
        <f t="shared" si="619"/>
        <v>1.8181818181818181E-2</v>
      </c>
      <c r="F13090">
        <v>275</v>
      </c>
      <c r="G13090">
        <f>LOG(382/(275+1))</f>
        <v>0.14115428084649101</v>
      </c>
      <c r="H13090">
        <f>0.0181818181818181*0.325019742889425</f>
        <v>5.9094498707167918E-3</v>
      </c>
      <c r="I13090">
        <v>5.9094498707168196E-3</v>
      </c>
    </row>
    <row r="13091" spans="1:9" x14ac:dyDescent="0.25">
      <c r="A13091">
        <v>464</v>
      </c>
      <c r="B13091" t="s">
        <v>3743</v>
      </c>
      <c r="C13091" t="s">
        <v>75</v>
      </c>
      <c r="D13091" t="s">
        <v>2291</v>
      </c>
      <c r="E13091">
        <f t="shared" si="619"/>
        <v>1.8181818181818181E-2</v>
      </c>
      <c r="F13091">
        <v>17</v>
      </c>
      <c r="G13091">
        <f>LOG(382/(17+1))</f>
        <v>1.3267908578084027</v>
      </c>
      <c r="H13091">
        <f>0.0181818181818181*3.05504885071041</f>
        <v>5.5546342740189027E-2</v>
      </c>
      <c r="I13091">
        <v>5.5546342740189283E-2</v>
      </c>
    </row>
    <row r="13092" spans="1:9" x14ac:dyDescent="0.25">
      <c r="A13092">
        <v>464</v>
      </c>
      <c r="B13092" t="s">
        <v>3743</v>
      </c>
      <c r="C13092" t="s">
        <v>75</v>
      </c>
      <c r="D13092" t="s">
        <v>671</v>
      </c>
      <c r="E13092">
        <f t="shared" si="619"/>
        <v>1.8181818181818181E-2</v>
      </c>
      <c r="F13092">
        <v>10</v>
      </c>
      <c r="G13092">
        <f>LOG(382/(10+1))</f>
        <v>1.5406706777534838</v>
      </c>
      <c r="H13092">
        <f>0.0181818181818181*3.5475253358082</f>
        <v>6.4500460651057898E-2</v>
      </c>
      <c r="I13092">
        <v>6.4500460651058258E-2</v>
      </c>
    </row>
    <row r="13093" spans="1:9" x14ac:dyDescent="0.25">
      <c r="A13093">
        <v>464</v>
      </c>
      <c r="B13093" t="s">
        <v>3743</v>
      </c>
      <c r="C13093" t="s">
        <v>75</v>
      </c>
      <c r="D13093" t="s">
        <v>3745</v>
      </c>
      <c r="E13093">
        <f t="shared" si="619"/>
        <v>1.8181818181818181E-2</v>
      </c>
      <c r="F13093">
        <v>1</v>
      </c>
      <c r="G13093">
        <f>LOG(382/(1+1))</f>
        <v>2.2810333672477277</v>
      </c>
      <c r="H13093">
        <f>0.0181818181818181*5.25227342804663</f>
        <v>9.5495880509938305E-2</v>
      </c>
      <c r="I13093">
        <v>9.5495880509938721E-2</v>
      </c>
    </row>
    <row r="13094" spans="1:9" x14ac:dyDescent="0.25">
      <c r="A13094">
        <v>464</v>
      </c>
      <c r="B13094" t="s">
        <v>3743</v>
      </c>
      <c r="C13094" t="s">
        <v>75</v>
      </c>
      <c r="D13094" t="s">
        <v>3746</v>
      </c>
      <c r="E13094">
        <f t="shared" si="619"/>
        <v>1.8181818181818181E-2</v>
      </c>
      <c r="F13094">
        <v>1</v>
      </c>
      <c r="G13094">
        <f>LOG(382/(1+1))</f>
        <v>2.2810333672477277</v>
      </c>
      <c r="H13094">
        <f>0.0181818181818181*5.25227342804663</f>
        <v>9.5495880509938305E-2</v>
      </c>
      <c r="I13094">
        <v>9.5495880509938721E-2</v>
      </c>
    </row>
    <row r="13095" spans="1:9" x14ac:dyDescent="0.25">
      <c r="A13095">
        <v>464</v>
      </c>
      <c r="B13095" t="s">
        <v>3743</v>
      </c>
      <c r="C13095" t="s">
        <v>75</v>
      </c>
      <c r="D13095" t="s">
        <v>826</v>
      </c>
      <c r="E13095">
        <f t="shared" si="619"/>
        <v>1.8181818181818181E-2</v>
      </c>
      <c r="F13095">
        <v>2</v>
      </c>
      <c r="G13095">
        <f>LOG(382/(2+1))</f>
        <v>2.1049421081920463</v>
      </c>
      <c r="H13095">
        <f>0.0181818181818181*4.84680831993846</f>
        <v>8.8123787635244338E-2</v>
      </c>
      <c r="I13095">
        <v>8.8123787635244824E-2</v>
      </c>
    </row>
    <row r="13096" spans="1:9" x14ac:dyDescent="0.25">
      <c r="A13096">
        <v>464</v>
      </c>
      <c r="B13096" t="s">
        <v>3743</v>
      </c>
      <c r="C13096" t="s">
        <v>75</v>
      </c>
      <c r="D13096" t="s">
        <v>38</v>
      </c>
      <c r="E13096">
        <f t="shared" si="619"/>
        <v>1.8181818181818181E-2</v>
      </c>
      <c r="F13096">
        <v>86</v>
      </c>
      <c r="G13096">
        <f>LOG(382/(86+1))</f>
        <v>0.64254411029309022</v>
      </c>
      <c r="H13096">
        <f>0.0181818181818181*1.47951248995199</f>
        <v>2.6900227090036064E-2</v>
      </c>
      <c r="I13096">
        <v>2.690022709003621E-2</v>
      </c>
    </row>
    <row r="13097" spans="1:9" x14ac:dyDescent="0.25">
      <c r="A13097">
        <v>464</v>
      </c>
      <c r="B13097" t="s">
        <v>3743</v>
      </c>
      <c r="C13097" t="s">
        <v>75</v>
      </c>
      <c r="D13097" t="s">
        <v>1770</v>
      </c>
      <c r="E13097">
        <f t="shared" si="619"/>
        <v>1.8181818181818181E-2</v>
      </c>
      <c r="F13097">
        <v>4</v>
      </c>
      <c r="G13097">
        <f>LOG(382/(4+1))</f>
        <v>1.8830933585756899</v>
      </c>
      <c r="H13097">
        <f>0.0181818181818181*4.33598269617247</f>
        <v>7.8836049021317287E-2</v>
      </c>
      <c r="I13097">
        <v>7.8836049021317717E-2</v>
      </c>
    </row>
    <row r="13098" spans="1:9" x14ac:dyDescent="0.25">
      <c r="A13098">
        <v>464</v>
      </c>
      <c r="B13098" t="s">
        <v>3743</v>
      </c>
      <c r="C13098" t="s">
        <v>75</v>
      </c>
      <c r="D13098" t="s">
        <v>3747</v>
      </c>
      <c r="E13098">
        <f>2/55</f>
        <v>3.6363636363636362E-2</v>
      </c>
      <c r="F13098">
        <v>3</v>
      </c>
      <c r="G13098">
        <f>LOG(382/(3+1))</f>
        <v>1.9800033715837464</v>
      </c>
      <c r="H13098">
        <f>0.0363636363636363*4.55912624748668</f>
        <v>0.16578640899951536</v>
      </c>
      <c r="I13098">
        <v>0.1657864089995158</v>
      </c>
    </row>
    <row r="13099" spans="1:9" x14ac:dyDescent="0.25">
      <c r="A13099">
        <v>464</v>
      </c>
      <c r="B13099" t="s">
        <v>3743</v>
      </c>
      <c r="C13099" t="s">
        <v>75</v>
      </c>
      <c r="D13099" t="s">
        <v>113</v>
      </c>
      <c r="E13099">
        <f>1/55</f>
        <v>1.8181818181818181E-2</v>
      </c>
      <c r="F13099">
        <v>8</v>
      </c>
      <c r="G13099">
        <f>LOG(382/(8+1))</f>
        <v>1.6278208534723839</v>
      </c>
      <c r="H13099">
        <f>0.0181818181818181*3.74819603127035</f>
        <v>6.8149018750369703E-2</v>
      </c>
      <c r="I13099">
        <v>6.8149018750370105E-2</v>
      </c>
    </row>
    <row r="13100" spans="1:9" x14ac:dyDescent="0.25">
      <c r="A13100">
        <v>464</v>
      </c>
      <c r="B13100" t="s">
        <v>3743</v>
      </c>
      <c r="C13100" t="s">
        <v>75</v>
      </c>
      <c r="D13100" t="s">
        <v>147</v>
      </c>
      <c r="E13100">
        <f>1/55</f>
        <v>1.8181818181818181E-2</v>
      </c>
      <c r="F13100">
        <v>48</v>
      </c>
      <c r="G13100">
        <f>LOG(382/(48+1))</f>
        <v>0.89186728288319506</v>
      </c>
      <c r="H13100">
        <f>0.0181818181818181*2.05360031049594</f>
        <v>3.7338187463562378E-2</v>
      </c>
      <c r="I13100">
        <v>3.7338187463562697E-2</v>
      </c>
    </row>
    <row r="13101" spans="1:9" x14ac:dyDescent="0.25">
      <c r="A13101">
        <v>464</v>
      </c>
      <c r="B13101" t="s">
        <v>3743</v>
      </c>
      <c r="C13101" t="s">
        <v>75</v>
      </c>
      <c r="D13101" t="s">
        <v>676</v>
      </c>
      <c r="E13101">
        <f>1/55</f>
        <v>1.8181818181818181E-2</v>
      </c>
      <c r="F13101">
        <v>20</v>
      </c>
      <c r="G13101">
        <f>LOG(382/(20+1))</f>
        <v>1.2598440681777894</v>
      </c>
      <c r="H13101">
        <f>0.0181818181818181*2.90089817088315</f>
        <v>5.274360310696613E-2</v>
      </c>
      <c r="I13101">
        <v>5.2743603106966401E-2</v>
      </c>
    </row>
    <row r="13102" spans="1:9" x14ac:dyDescent="0.25">
      <c r="A13102">
        <v>464</v>
      </c>
      <c r="B13102" t="s">
        <v>3743</v>
      </c>
      <c r="C13102" t="s">
        <v>75</v>
      </c>
      <c r="D13102" t="s">
        <v>2238</v>
      </c>
      <c r="E13102">
        <f>2/55</f>
        <v>3.6363636363636362E-2</v>
      </c>
      <c r="F13102">
        <v>68</v>
      </c>
      <c r="G13102">
        <f>LOG(382/(68+1))</f>
        <v>0.74321427217445335</v>
      </c>
      <c r="H13102">
        <f>0.0363636363636363*1.71131410400931</f>
        <v>6.2229603782156619E-2</v>
      </c>
      <c r="I13102">
        <v>6.2229603782156938E-2</v>
      </c>
    </row>
    <row r="13103" spans="1:9" x14ac:dyDescent="0.25">
      <c r="A13103">
        <v>464</v>
      </c>
      <c r="B13103" t="s">
        <v>3743</v>
      </c>
      <c r="C13103" t="s">
        <v>75</v>
      </c>
      <c r="D13103" t="s">
        <v>1769</v>
      </c>
      <c r="E13103">
        <f>4/55</f>
        <v>7.2727272727272724E-2</v>
      </c>
      <c r="F13103">
        <v>84</v>
      </c>
      <c r="G13103">
        <f>LOG(382/(84+1))</f>
        <v>0.65264443719741605</v>
      </c>
      <c r="H13103">
        <f>0.0727272727272727*1.50276935211625</f>
        <v>0.10929231651754541</v>
      </c>
      <c r="I13103">
        <v>0.1092923165175461</v>
      </c>
    </row>
    <row r="13104" spans="1:9" x14ac:dyDescent="0.25">
      <c r="A13104">
        <v>464</v>
      </c>
      <c r="B13104" t="s">
        <v>3743</v>
      </c>
      <c r="C13104" t="s">
        <v>75</v>
      </c>
      <c r="D13104" t="s">
        <v>3748</v>
      </c>
      <c r="E13104">
        <f>1/55</f>
        <v>1.8181818181818181E-2</v>
      </c>
      <c r="F13104">
        <v>1</v>
      </c>
      <c r="G13104">
        <f>LOG(382/(1+1))</f>
        <v>2.2810333672477277</v>
      </c>
      <c r="H13104">
        <f>0.0181818181818181*5.25227342804663</f>
        <v>9.5495880509938305E-2</v>
      </c>
      <c r="I13104">
        <v>9.5495880509938721E-2</v>
      </c>
    </row>
    <row r="13105" spans="1:9" x14ac:dyDescent="0.25">
      <c r="A13105">
        <v>464</v>
      </c>
      <c r="B13105" t="s">
        <v>3743</v>
      </c>
      <c r="C13105" t="s">
        <v>75</v>
      </c>
      <c r="D13105" t="s">
        <v>204</v>
      </c>
      <c r="E13105">
        <f>1/55</f>
        <v>1.8181818181818181E-2</v>
      </c>
      <c r="F13105">
        <v>166</v>
      </c>
      <c r="G13105">
        <f>LOG(382/(166+1))</f>
        <v>0.35934689176412549</v>
      </c>
      <c r="H13105">
        <f>0.0181818181818181*0.82742679618982</f>
        <v>1.5044123567087569E-2</v>
      </c>
      <c r="I13105">
        <v>1.504412356708764E-2</v>
      </c>
    </row>
    <row r="13106" spans="1:9" x14ac:dyDescent="0.25">
      <c r="A13106">
        <v>464</v>
      </c>
      <c r="B13106" t="s">
        <v>3743</v>
      </c>
      <c r="C13106" t="s">
        <v>75</v>
      </c>
      <c r="D13106" t="s">
        <v>3629</v>
      </c>
      <c r="E13106">
        <f>1/55</f>
        <v>1.8181818181818181E-2</v>
      </c>
      <c r="F13106">
        <v>2</v>
      </c>
      <c r="G13106">
        <f>LOG(382/(2+1))</f>
        <v>2.1049421081920463</v>
      </c>
      <c r="H13106">
        <f>0.0181818181818181*4.84680831993846</f>
        <v>8.8123787635244338E-2</v>
      </c>
      <c r="I13106">
        <v>8.8123787635244824E-2</v>
      </c>
    </row>
    <row r="13107" spans="1:9" x14ac:dyDescent="0.25">
      <c r="A13107">
        <v>464</v>
      </c>
      <c r="B13107" t="s">
        <v>3743</v>
      </c>
      <c r="C13107" t="s">
        <v>75</v>
      </c>
      <c r="D13107" t="s">
        <v>3335</v>
      </c>
      <c r="E13107">
        <f>2/55</f>
        <v>3.6363636363636362E-2</v>
      </c>
      <c r="F13107">
        <v>16</v>
      </c>
      <c r="G13107">
        <f>LOG(382/(16+1))</f>
        <v>1.3516144415334348</v>
      </c>
      <c r="H13107">
        <f>0.0363636363636363*3.11220726455035</f>
        <v>0.11317117325637616</v>
      </c>
      <c r="I13107">
        <v>0.1131711732563767</v>
      </c>
    </row>
    <row r="13108" spans="1:9" x14ac:dyDescent="0.25">
      <c r="A13108">
        <v>464</v>
      </c>
      <c r="B13108" t="s">
        <v>3743</v>
      </c>
      <c r="C13108" t="s">
        <v>75</v>
      </c>
      <c r="D13108" t="s">
        <v>929</v>
      </c>
      <c r="E13108">
        <f t="shared" ref="E13108:E13122" si="620">1/55</f>
        <v>1.8181818181818181E-2</v>
      </c>
      <c r="F13108">
        <v>32</v>
      </c>
      <c r="G13108">
        <f>LOG(382/(32+1))</f>
        <v>1.0635494230338212</v>
      </c>
      <c r="H13108">
        <f>0.0181818181818181*2.44891304714009</f>
        <v>4.4525691766183262E-2</v>
      </c>
      <c r="I13108">
        <v>4.4525691766183553E-2</v>
      </c>
    </row>
    <row r="13109" spans="1:9" x14ac:dyDescent="0.25">
      <c r="A13109">
        <v>464</v>
      </c>
      <c r="B13109" t="s">
        <v>3743</v>
      </c>
      <c r="C13109" t="s">
        <v>75</v>
      </c>
      <c r="D13109" t="s">
        <v>3749</v>
      </c>
      <c r="E13109">
        <f t="shared" si="620"/>
        <v>1.8181818181818181E-2</v>
      </c>
      <c r="F13109">
        <v>1</v>
      </c>
      <c r="G13109">
        <f>LOG(382/(1+1))</f>
        <v>2.2810333672477277</v>
      </c>
      <c r="H13109">
        <f>0.0181818181818181*5.25227342804663</f>
        <v>9.5495880509938305E-2</v>
      </c>
      <c r="I13109">
        <v>9.5495880509938721E-2</v>
      </c>
    </row>
    <row r="13110" spans="1:9" x14ac:dyDescent="0.25">
      <c r="A13110">
        <v>464</v>
      </c>
      <c r="B13110" t="s">
        <v>3743</v>
      </c>
      <c r="C13110" t="s">
        <v>75</v>
      </c>
      <c r="D13110" t="s">
        <v>3340</v>
      </c>
      <c r="E13110">
        <f t="shared" si="620"/>
        <v>1.8181818181818181E-2</v>
      </c>
      <c r="F13110">
        <v>4</v>
      </c>
      <c r="G13110">
        <f>LOG(382/(4+1))</f>
        <v>1.8830933585756899</v>
      </c>
      <c r="H13110">
        <f>0.0181818181818181*4.33598269617247</f>
        <v>7.8836049021317287E-2</v>
      </c>
      <c r="I13110">
        <v>7.8836049021317717E-2</v>
      </c>
    </row>
    <row r="13111" spans="1:9" x14ac:dyDescent="0.25">
      <c r="A13111">
        <v>464</v>
      </c>
      <c r="B13111" t="s">
        <v>3743</v>
      </c>
      <c r="C13111" t="s">
        <v>75</v>
      </c>
      <c r="D13111" t="s">
        <v>418</v>
      </c>
      <c r="E13111">
        <f t="shared" si="620"/>
        <v>1.8181818181818181E-2</v>
      </c>
      <c r="F13111">
        <v>11</v>
      </c>
      <c r="G13111">
        <f>LOG(382/(11+1))</f>
        <v>1.5028821168640838</v>
      </c>
      <c r="H13111">
        <f>0.0181818181818181*3.46051395881857</f>
        <v>6.2918435614882806E-2</v>
      </c>
      <c r="I13111">
        <v>6.2918435614883181E-2</v>
      </c>
    </row>
    <row r="13112" spans="1:9" x14ac:dyDescent="0.25">
      <c r="A13112">
        <v>464</v>
      </c>
      <c r="B13112" t="s">
        <v>3743</v>
      </c>
      <c r="C13112" t="s">
        <v>75</v>
      </c>
      <c r="D13112" t="s">
        <v>3014</v>
      </c>
      <c r="E13112">
        <f t="shared" si="620"/>
        <v>1.8181818181818181E-2</v>
      </c>
      <c r="F13112">
        <v>11</v>
      </c>
      <c r="G13112">
        <f>LOG(382/(11+1))</f>
        <v>1.5028821168640838</v>
      </c>
      <c r="H13112">
        <f>0.0181818181818181*3.46051395881857</f>
        <v>6.2918435614882806E-2</v>
      </c>
      <c r="I13112">
        <v>6.2918435614883181E-2</v>
      </c>
    </row>
    <row r="13113" spans="1:9" x14ac:dyDescent="0.25">
      <c r="A13113">
        <v>464</v>
      </c>
      <c r="B13113" t="s">
        <v>3743</v>
      </c>
      <c r="C13113" t="s">
        <v>75</v>
      </c>
      <c r="D13113" t="s">
        <v>3750</v>
      </c>
      <c r="E13113">
        <f t="shared" si="620"/>
        <v>1.8181818181818181E-2</v>
      </c>
      <c r="F13113">
        <v>1</v>
      </c>
      <c r="G13113">
        <f>LOG(382/(1+1))</f>
        <v>2.2810333672477277</v>
      </c>
      <c r="H13113">
        <f>0.0181818181818181*5.25227342804663</f>
        <v>9.5495880509938305E-2</v>
      </c>
      <c r="I13113">
        <v>9.5495880509938721E-2</v>
      </c>
    </row>
    <row r="13114" spans="1:9" x14ac:dyDescent="0.25">
      <c r="A13114">
        <v>464</v>
      </c>
      <c r="B13114" t="s">
        <v>3743</v>
      </c>
      <c r="C13114" t="s">
        <v>75</v>
      </c>
      <c r="D13114" t="s">
        <v>1448</v>
      </c>
      <c r="E13114">
        <f t="shared" si="620"/>
        <v>1.8181818181818181E-2</v>
      </c>
      <c r="F13114">
        <v>11</v>
      </c>
      <c r="G13114">
        <f>LOG(382/(11+1))</f>
        <v>1.5028821168640838</v>
      </c>
      <c r="H13114">
        <f>0.0181818181818181*3.46051395881857</f>
        <v>6.2918435614882806E-2</v>
      </c>
      <c r="I13114">
        <v>6.2918435614883181E-2</v>
      </c>
    </row>
    <row r="13115" spans="1:9" x14ac:dyDescent="0.25">
      <c r="A13115">
        <v>464</v>
      </c>
      <c r="B13115" t="s">
        <v>3743</v>
      </c>
      <c r="C13115" t="s">
        <v>75</v>
      </c>
      <c r="D13115" t="s">
        <v>1738</v>
      </c>
      <c r="E13115">
        <f t="shared" si="620"/>
        <v>1.8181818181818181E-2</v>
      </c>
      <c r="F13115">
        <v>24</v>
      </c>
      <c r="G13115">
        <f>LOG(382/(24+1))</f>
        <v>1.1841233542396712</v>
      </c>
      <c r="H13115">
        <f>0.0181818181818181*2.72654478373837</f>
        <v>4.9573541522515592E-2</v>
      </c>
      <c r="I13115">
        <v>4.957354152251589E-2</v>
      </c>
    </row>
    <row r="13116" spans="1:9" x14ac:dyDescent="0.25">
      <c r="A13116">
        <v>464</v>
      </c>
      <c r="B13116" t="s">
        <v>3743</v>
      </c>
      <c r="C13116" t="s">
        <v>75</v>
      </c>
      <c r="D13116" t="s">
        <v>1739</v>
      </c>
      <c r="E13116">
        <f t="shared" si="620"/>
        <v>1.8181818181818181E-2</v>
      </c>
      <c r="F13116">
        <v>30</v>
      </c>
      <c r="G13116">
        <f>LOG(382/(30+1))</f>
        <v>1.090701669077436</v>
      </c>
      <c r="H13116">
        <f>0.0181818181818181*2.51143340412142</f>
        <v>4.5662425529480161E-2</v>
      </c>
      <c r="I13116">
        <v>4.5662425529480528E-2</v>
      </c>
    </row>
    <row r="13117" spans="1:9" x14ac:dyDescent="0.25">
      <c r="A13117">
        <v>464</v>
      </c>
      <c r="B13117" t="s">
        <v>3743</v>
      </c>
      <c r="C13117" t="s">
        <v>75</v>
      </c>
      <c r="D13117" t="s">
        <v>3751</v>
      </c>
      <c r="E13117">
        <f t="shared" si="620"/>
        <v>1.8181818181818181E-2</v>
      </c>
      <c r="F13117">
        <v>1</v>
      </c>
      <c r="G13117">
        <f>LOG(382/(1+1))</f>
        <v>2.2810333672477277</v>
      </c>
      <c r="H13117">
        <f>0.0181818181818181*5.25227342804663</f>
        <v>9.5495880509938305E-2</v>
      </c>
      <c r="I13117">
        <v>9.5495880509938721E-2</v>
      </c>
    </row>
    <row r="13118" spans="1:9" x14ac:dyDescent="0.25">
      <c r="A13118">
        <v>464</v>
      </c>
      <c r="B13118" t="s">
        <v>3743</v>
      </c>
      <c r="C13118" t="s">
        <v>75</v>
      </c>
      <c r="D13118" t="s">
        <v>3718</v>
      </c>
      <c r="E13118">
        <f t="shared" si="620"/>
        <v>1.8181818181818181E-2</v>
      </c>
      <c r="F13118">
        <v>4</v>
      </c>
      <c r="G13118">
        <f>LOG(382/(4+1))</f>
        <v>1.8830933585756899</v>
      </c>
      <c r="H13118">
        <f>0.0181818181818181*4.33598269617247</f>
        <v>7.8836049021317287E-2</v>
      </c>
      <c r="I13118">
        <v>7.8836049021317717E-2</v>
      </c>
    </row>
    <row r="13119" spans="1:9" x14ac:dyDescent="0.25">
      <c r="A13119">
        <v>464</v>
      </c>
      <c r="B13119" t="s">
        <v>3743</v>
      </c>
      <c r="C13119" t="s">
        <v>75</v>
      </c>
      <c r="D13119" t="s">
        <v>3752</v>
      </c>
      <c r="E13119">
        <f t="shared" si="620"/>
        <v>1.8181818181818181E-2</v>
      </c>
      <c r="F13119">
        <v>1</v>
      </c>
      <c r="G13119">
        <f>LOG(382/(1+1))</f>
        <v>2.2810333672477277</v>
      </c>
      <c r="H13119">
        <f>0.0181818181818181*5.25227342804663</f>
        <v>9.5495880509938305E-2</v>
      </c>
      <c r="I13119">
        <v>9.5495880509938721E-2</v>
      </c>
    </row>
    <row r="13120" spans="1:9" x14ac:dyDescent="0.25">
      <c r="A13120">
        <v>464</v>
      </c>
      <c r="B13120" t="s">
        <v>3743</v>
      </c>
      <c r="C13120" t="s">
        <v>75</v>
      </c>
      <c r="D13120" t="s">
        <v>937</v>
      </c>
      <c r="E13120">
        <f t="shared" si="620"/>
        <v>1.8181818181818181E-2</v>
      </c>
      <c r="F13120">
        <v>41</v>
      </c>
      <c r="G13120">
        <f>LOG(382/(41+1))</f>
        <v>0.95881407251380824</v>
      </c>
      <c r="H13120">
        <f>0.0181818181818181*2.2077509903232</f>
        <v>4.0140927096785281E-2</v>
      </c>
      <c r="I13120">
        <v>4.0140927096785579E-2</v>
      </c>
    </row>
    <row r="13121" spans="1:9" x14ac:dyDescent="0.25">
      <c r="A13121">
        <v>464</v>
      </c>
      <c r="B13121" t="s">
        <v>3743</v>
      </c>
      <c r="C13121" t="s">
        <v>75</v>
      </c>
      <c r="D13121" t="s">
        <v>3753</v>
      </c>
      <c r="E13121">
        <f t="shared" si="620"/>
        <v>1.8181818181818181E-2</v>
      </c>
      <c r="F13121">
        <v>1</v>
      </c>
      <c r="G13121">
        <f>LOG(382/(1+1))</f>
        <v>2.2810333672477277</v>
      </c>
      <c r="H13121">
        <f>0.0181818181818181*5.25227342804663</f>
        <v>9.5495880509938305E-2</v>
      </c>
      <c r="I13121">
        <v>9.5495880509938721E-2</v>
      </c>
    </row>
    <row r="13122" spans="1:9" x14ac:dyDescent="0.25">
      <c r="A13122">
        <v>464</v>
      </c>
      <c r="B13122" t="s">
        <v>3743</v>
      </c>
      <c r="C13122" t="s">
        <v>75</v>
      </c>
      <c r="D13122" t="s">
        <v>183</v>
      </c>
      <c r="E13122">
        <f t="shared" si="620"/>
        <v>1.8181818181818181E-2</v>
      </c>
      <c r="F13122">
        <v>46</v>
      </c>
      <c r="G13122">
        <f>LOG(382/(46+1))</f>
        <v>0.90996550497599127</v>
      </c>
      <c r="H13122">
        <f>0.0181818181818181*2.09527300689651</f>
        <v>3.8095872852663651E-2</v>
      </c>
      <c r="I13122">
        <v>3.8095872852663942E-2</v>
      </c>
    </row>
    <row r="13123" spans="1:9" x14ac:dyDescent="0.25">
      <c r="A13123">
        <v>465</v>
      </c>
      <c r="B13123" t="s">
        <v>3754</v>
      </c>
      <c r="C13123" t="s">
        <v>75</v>
      </c>
      <c r="D13123" t="s">
        <v>112</v>
      </c>
      <c r="E13123">
        <f>1/58</f>
        <v>1.7241379310344827E-2</v>
      </c>
      <c r="F13123">
        <v>52</v>
      </c>
      <c r="G13123">
        <f>LOG(382/(52+1))</f>
        <v>0.85778749331091964</v>
      </c>
      <c r="H13123">
        <f>0.0172413793103448*1.97512869505445</f>
        <v>3.405394301818012E-2</v>
      </c>
      <c r="I13123">
        <v>3.4053943018180231E-2</v>
      </c>
    </row>
    <row r="13124" spans="1:9" x14ac:dyDescent="0.25">
      <c r="A13124">
        <v>465</v>
      </c>
      <c r="B13124" t="s">
        <v>3754</v>
      </c>
      <c r="C13124" t="s">
        <v>75</v>
      </c>
      <c r="D13124" t="s">
        <v>82</v>
      </c>
      <c r="E13124">
        <f>1/58</f>
        <v>1.7241379310344827E-2</v>
      </c>
      <c r="F13124">
        <v>92</v>
      </c>
      <c r="G13124">
        <f>LOG(382/(92+1))</f>
        <v>0.61358041435777355</v>
      </c>
      <c r="H13124">
        <f>0.0172413793103448*1.41282111545331</f>
        <v>2.435898474919496E-2</v>
      </c>
      <c r="I13124">
        <v>2.4358984749195161E-2</v>
      </c>
    </row>
    <row r="13125" spans="1:9" x14ac:dyDescent="0.25">
      <c r="A13125">
        <v>465</v>
      </c>
      <c r="B13125" t="s">
        <v>3754</v>
      </c>
      <c r="C13125" t="s">
        <v>75</v>
      </c>
      <c r="D13125" t="s">
        <v>126</v>
      </c>
      <c r="E13125">
        <f>1/58</f>
        <v>1.7241379310344827E-2</v>
      </c>
      <c r="F13125">
        <v>79</v>
      </c>
      <c r="G13125">
        <f>LOG(382/(79+1))</f>
        <v>0.67897337591976514</v>
      </c>
      <c r="H13125">
        <f>0.0172413793103448*1.56339397393269</f>
        <v>2.6955068516080819E-2</v>
      </c>
      <c r="I13125">
        <v>2.695506851608092E-2</v>
      </c>
    </row>
    <row r="13126" spans="1:9" x14ac:dyDescent="0.25">
      <c r="A13126">
        <v>465</v>
      </c>
      <c r="B13126" t="s">
        <v>3754</v>
      </c>
      <c r="C13126" t="s">
        <v>75</v>
      </c>
      <c r="D13126" t="s">
        <v>675</v>
      </c>
      <c r="E13126">
        <f>1/58</f>
        <v>1.7241379310344827E-2</v>
      </c>
      <c r="F13126">
        <v>10</v>
      </c>
      <c r="G13126">
        <f>LOG(382/(10+1))</f>
        <v>1.5406706777534838</v>
      </c>
      <c r="H13126">
        <f>0.0172413793103448*3.5475253358082</f>
        <v>6.1164229927727493E-2</v>
      </c>
      <c r="I13126">
        <v>6.1164229927727673E-2</v>
      </c>
    </row>
    <row r="13127" spans="1:9" x14ac:dyDescent="0.25">
      <c r="A13127">
        <v>465</v>
      </c>
      <c r="B13127" t="s">
        <v>3754</v>
      </c>
      <c r="C13127" t="s">
        <v>75</v>
      </c>
      <c r="D13127" t="s">
        <v>147</v>
      </c>
      <c r="E13127">
        <f>2/58</f>
        <v>3.4482758620689655E-2</v>
      </c>
      <c r="F13127">
        <v>48</v>
      </c>
      <c r="G13127">
        <f>LOG(382/(48+1))</f>
        <v>0.89186728288319506</v>
      </c>
      <c r="H13127">
        <f>0.0344827586206896*2.05360031049594</f>
        <v>7.0813803810204717E-2</v>
      </c>
      <c r="I13127">
        <v>7.0813803810205134E-2</v>
      </c>
    </row>
    <row r="13128" spans="1:9" x14ac:dyDescent="0.25">
      <c r="A13128">
        <v>465</v>
      </c>
      <c r="B13128" t="s">
        <v>3754</v>
      </c>
      <c r="C13128" t="s">
        <v>75</v>
      </c>
      <c r="D13128" t="s">
        <v>247</v>
      </c>
      <c r="E13128">
        <f>1/58</f>
        <v>1.7241379310344827E-2</v>
      </c>
      <c r="F13128">
        <v>121</v>
      </c>
      <c r="G13128">
        <f>LOG(382/(121+1))</f>
        <v>0.49570353223696051</v>
      </c>
      <c r="H13128">
        <f>0.0172413793103448*1.14139956387331</f>
        <v>1.9679302825401868E-2</v>
      </c>
      <c r="I13128">
        <v>1.9679302825402051E-2</v>
      </c>
    </row>
    <row r="13129" spans="1:9" x14ac:dyDescent="0.25">
      <c r="A13129">
        <v>465</v>
      </c>
      <c r="B13129" t="s">
        <v>3754</v>
      </c>
      <c r="C13129" t="s">
        <v>75</v>
      </c>
      <c r="D13129" t="s">
        <v>89</v>
      </c>
      <c r="E13129">
        <f>1/58</f>
        <v>1.7241379310344827E-2</v>
      </c>
      <c r="F13129">
        <v>40</v>
      </c>
      <c r="G13129">
        <f>LOG(382/(40+1))</f>
        <v>0.96927950619197323</v>
      </c>
      <c r="H13129">
        <f>0.0172413793103448*2.23184854190226</f>
        <v>3.8480147274176833E-2</v>
      </c>
      <c r="I13129">
        <v>3.8480147274177021E-2</v>
      </c>
    </row>
    <row r="13130" spans="1:9" x14ac:dyDescent="0.25">
      <c r="A13130">
        <v>465</v>
      </c>
      <c r="B13130" t="s">
        <v>3754</v>
      </c>
      <c r="C13130" t="s">
        <v>75</v>
      </c>
      <c r="D13130" t="s">
        <v>204</v>
      </c>
      <c r="E13130">
        <f>1/58</f>
        <v>1.7241379310344827E-2</v>
      </c>
      <c r="F13130">
        <v>166</v>
      </c>
      <c r="G13130">
        <f>LOG(382/(166+1))</f>
        <v>0.35934689176412549</v>
      </c>
      <c r="H13130">
        <f>0.0172413793103448*0.82742679618982</f>
        <v>1.4265979244652045E-2</v>
      </c>
      <c r="I13130">
        <v>1.4265979244652069E-2</v>
      </c>
    </row>
    <row r="13131" spans="1:9" x14ac:dyDescent="0.25">
      <c r="A13131">
        <v>465</v>
      </c>
      <c r="B13131" t="s">
        <v>3754</v>
      </c>
      <c r="C13131" t="s">
        <v>75</v>
      </c>
      <c r="D13131" t="s">
        <v>1769</v>
      </c>
      <c r="E13131">
        <f>2/58</f>
        <v>3.4482758620689655E-2</v>
      </c>
      <c r="F13131">
        <v>84</v>
      </c>
      <c r="G13131">
        <f>LOG(382/(84+1))</f>
        <v>0.65264443719741605</v>
      </c>
      <c r="H13131">
        <f>0.0344827586206896*1.50276935211625</f>
        <v>5.1819632831594742E-2</v>
      </c>
      <c r="I13131">
        <v>5.181963283159513E-2</v>
      </c>
    </row>
    <row r="13132" spans="1:9" x14ac:dyDescent="0.25">
      <c r="A13132">
        <v>465</v>
      </c>
      <c r="B13132" t="s">
        <v>3754</v>
      </c>
      <c r="C13132" t="s">
        <v>75</v>
      </c>
      <c r="D13132" t="s">
        <v>98</v>
      </c>
      <c r="E13132">
        <f>1/58</f>
        <v>1.7241379310344827E-2</v>
      </c>
      <c r="F13132">
        <v>56</v>
      </c>
      <c r="G13132">
        <f>LOG(382/(56+1))</f>
        <v>0.82618850723921733</v>
      </c>
      <c r="H13132">
        <f>0.0172413793103448*1.90236934077202</f>
        <v>3.2799471392620981E-2</v>
      </c>
      <c r="I13132">
        <v>3.279947139262112E-2</v>
      </c>
    </row>
    <row r="13133" spans="1:9" x14ac:dyDescent="0.25">
      <c r="A13133">
        <v>465</v>
      </c>
      <c r="B13133" t="s">
        <v>3754</v>
      </c>
      <c r="C13133" t="s">
        <v>75</v>
      </c>
      <c r="D13133" t="s">
        <v>3755</v>
      </c>
      <c r="E13133">
        <f>1/58</f>
        <v>1.7241379310344827E-2</v>
      </c>
      <c r="F13133">
        <v>2</v>
      </c>
      <c r="G13133">
        <f>LOG(382/(2+1))</f>
        <v>2.1049421081920463</v>
      </c>
      <c r="H13133">
        <f>0.0172413793103448*4.84680831993846</f>
        <v>8.3565660688594001E-2</v>
      </c>
      <c r="I13133">
        <v>8.3565660688594223E-2</v>
      </c>
    </row>
    <row r="13134" spans="1:9" x14ac:dyDescent="0.25">
      <c r="A13134">
        <v>465</v>
      </c>
      <c r="B13134" t="s">
        <v>3754</v>
      </c>
      <c r="C13134" t="s">
        <v>75</v>
      </c>
      <c r="D13134" t="s">
        <v>1546</v>
      </c>
      <c r="E13134">
        <f>1/58</f>
        <v>1.7241379310344827E-2</v>
      </c>
      <c r="F13134">
        <v>44</v>
      </c>
      <c r="G13134">
        <f>LOG(382/(44+1))</f>
        <v>0.92885084913636506</v>
      </c>
      <c r="H13134">
        <f>0.0172413793103448*2.13875811883625</f>
        <v>3.687513997993528E-2</v>
      </c>
      <c r="I13134">
        <v>3.6875139979935433E-2</v>
      </c>
    </row>
    <row r="13135" spans="1:9" x14ac:dyDescent="0.25">
      <c r="A13135">
        <v>465</v>
      </c>
      <c r="B13135" t="s">
        <v>3754</v>
      </c>
      <c r="C13135" t="s">
        <v>75</v>
      </c>
      <c r="D13135" t="s">
        <v>38</v>
      </c>
      <c r="E13135">
        <f>1/58</f>
        <v>1.7241379310344827E-2</v>
      </c>
      <c r="F13135">
        <v>86</v>
      </c>
      <c r="G13135">
        <f>LOG(382/(86+1))</f>
        <v>0.64254411029309022</v>
      </c>
      <c r="H13135">
        <f>0.0172413793103448*1.47951248995199</f>
        <v>2.5508836033654961E-2</v>
      </c>
      <c r="I13135">
        <v>2.550883603365502E-2</v>
      </c>
    </row>
    <row r="13136" spans="1:9" x14ac:dyDescent="0.25">
      <c r="A13136">
        <v>465</v>
      </c>
      <c r="B13136" t="s">
        <v>3754</v>
      </c>
      <c r="C13136" t="s">
        <v>75</v>
      </c>
      <c r="D13136" t="s">
        <v>1448</v>
      </c>
      <c r="E13136">
        <f>1/58</f>
        <v>1.7241379310344827E-2</v>
      </c>
      <c r="F13136">
        <v>11</v>
      </c>
      <c r="G13136">
        <f>LOG(382/(11+1))</f>
        <v>1.5028821168640838</v>
      </c>
      <c r="H13136">
        <f>0.0172413793103448*3.46051395881857</f>
        <v>5.9664033772733868E-2</v>
      </c>
      <c r="I13136">
        <v>5.9664033772734049E-2</v>
      </c>
    </row>
    <row r="13137" spans="1:9" x14ac:dyDescent="0.25">
      <c r="A13137">
        <v>465</v>
      </c>
      <c r="B13137" t="s">
        <v>3754</v>
      </c>
      <c r="C13137" t="s">
        <v>75</v>
      </c>
      <c r="D13137" t="s">
        <v>2231</v>
      </c>
      <c r="E13137">
        <f>3/58</f>
        <v>5.1724137931034482E-2</v>
      </c>
      <c r="F13137">
        <v>23</v>
      </c>
      <c r="G13137">
        <f>LOG(382/(23+1))</f>
        <v>1.2018521212001028</v>
      </c>
      <c r="H13137">
        <f>0.0517241379310344*2.76736677825862</f>
        <v>0.14313966094441116</v>
      </c>
      <c r="I13137">
        <v>0.14313966094441191</v>
      </c>
    </row>
    <row r="13138" spans="1:9" x14ac:dyDescent="0.25">
      <c r="A13138">
        <v>465</v>
      </c>
      <c r="B13138" t="s">
        <v>3754</v>
      </c>
      <c r="C13138" t="s">
        <v>75</v>
      </c>
      <c r="D13138" t="s">
        <v>818</v>
      </c>
      <c r="E13138">
        <f>3/58</f>
        <v>5.1724137931034482E-2</v>
      </c>
      <c r="F13138">
        <v>7</v>
      </c>
      <c r="G13138">
        <f>LOG(382/(7+1))</f>
        <v>1.6789733759197651</v>
      </c>
      <c r="H13138">
        <f>0.0517241379310344*3.86597906692673</f>
        <v>0.19996443449620985</v>
      </c>
      <c r="I13138">
        <v>0.19996443449621071</v>
      </c>
    </row>
    <row r="13139" spans="1:9" x14ac:dyDescent="0.25">
      <c r="A13139">
        <v>465</v>
      </c>
      <c r="B13139" t="s">
        <v>3754</v>
      </c>
      <c r="C13139" t="s">
        <v>75</v>
      </c>
      <c r="D13139" t="s">
        <v>2067</v>
      </c>
      <c r="E13139">
        <f>3/58</f>
        <v>5.1724137931034482E-2</v>
      </c>
      <c r="F13139">
        <v>6</v>
      </c>
      <c r="G13139">
        <f>LOG(382/(6+1))</f>
        <v>1.736965322897452</v>
      </c>
      <c r="H13139">
        <f>0.0517241379310344*3.99951045955126</f>
        <v>0.20687123066644414</v>
      </c>
      <c r="I13139">
        <v>0.20687123066644461</v>
      </c>
    </row>
    <row r="13140" spans="1:9" x14ac:dyDescent="0.25">
      <c r="A13140">
        <v>465</v>
      </c>
      <c r="B13140" t="s">
        <v>3754</v>
      </c>
      <c r="C13140" t="s">
        <v>75</v>
      </c>
      <c r="D13140" t="s">
        <v>3074</v>
      </c>
      <c r="E13140">
        <f>1/58</f>
        <v>1.7241379310344827E-2</v>
      </c>
      <c r="F13140">
        <v>4</v>
      </c>
      <c r="G13140">
        <f>LOG(382/(4+1))</f>
        <v>1.8830933585756899</v>
      </c>
      <c r="H13140">
        <f>0.0172413793103448*4.33598269617247</f>
        <v>7.4758322347801096E-2</v>
      </c>
      <c r="I13140">
        <v>7.475832234780129E-2</v>
      </c>
    </row>
    <row r="13141" spans="1:9" x14ac:dyDescent="0.25">
      <c r="A13141">
        <v>465</v>
      </c>
      <c r="B13141" t="s">
        <v>3754</v>
      </c>
      <c r="C13141" t="s">
        <v>75</v>
      </c>
      <c r="D13141" t="s">
        <v>2238</v>
      </c>
      <c r="E13141">
        <f>1/58</f>
        <v>1.7241379310344827E-2</v>
      </c>
      <c r="F13141">
        <v>68</v>
      </c>
      <c r="G13141">
        <f>LOG(382/(68+1))</f>
        <v>0.74321427217445335</v>
      </c>
      <c r="H13141">
        <f>0.0172413793103448*1.71131410400931</f>
        <v>2.9505415586367368E-2</v>
      </c>
      <c r="I13141">
        <v>2.950541558636751E-2</v>
      </c>
    </row>
    <row r="13142" spans="1:9" x14ac:dyDescent="0.25">
      <c r="A13142">
        <v>465</v>
      </c>
      <c r="B13142" t="s">
        <v>3754</v>
      </c>
      <c r="C13142" t="s">
        <v>75</v>
      </c>
      <c r="D13142" t="s">
        <v>3756</v>
      </c>
      <c r="E13142">
        <f>1/58</f>
        <v>1.7241379310344827E-2</v>
      </c>
      <c r="F13142">
        <v>1</v>
      </c>
      <c r="G13142">
        <f>LOG(382/(1+1))</f>
        <v>2.2810333672477277</v>
      </c>
      <c r="H13142">
        <f>0.0172413793103448*5.25227342804663</f>
        <v>9.0556438414596915E-2</v>
      </c>
      <c r="I13142">
        <v>9.0556438414597068E-2</v>
      </c>
    </row>
    <row r="13143" spans="1:9" x14ac:dyDescent="0.25">
      <c r="A13143">
        <v>465</v>
      </c>
      <c r="B13143" t="s">
        <v>3754</v>
      </c>
      <c r="C13143" t="s">
        <v>75</v>
      </c>
      <c r="D13143" t="s">
        <v>3420</v>
      </c>
      <c r="E13143">
        <f>1/58</f>
        <v>1.7241379310344827E-2</v>
      </c>
      <c r="F13143">
        <v>12</v>
      </c>
      <c r="G13143">
        <f>LOG(382/(12+1))</f>
        <v>1.468120010604872</v>
      </c>
      <c r="H13143">
        <f>0.0172413793103448*3.38047125114503</f>
        <v>5.8283987088707322E-2</v>
      </c>
      <c r="I13143">
        <v>5.8283987088707558E-2</v>
      </c>
    </row>
    <row r="13144" spans="1:9" x14ac:dyDescent="0.25">
      <c r="A13144">
        <v>465</v>
      </c>
      <c r="B13144" t="s">
        <v>3754</v>
      </c>
      <c r="C13144" t="s">
        <v>75</v>
      </c>
      <c r="D13144" t="s">
        <v>1730</v>
      </c>
      <c r="E13144">
        <f>2/58</f>
        <v>3.4482758620689655E-2</v>
      </c>
      <c r="F13144">
        <v>35</v>
      </c>
      <c r="G13144">
        <f>LOG(382/(35+1))</f>
        <v>1.0257608621444214</v>
      </c>
      <c r="H13144">
        <f>0.0344827586206896*2.36190167015046</f>
        <v>8.1444885177601942E-2</v>
      </c>
      <c r="I13144">
        <v>8.1444885177602233E-2</v>
      </c>
    </row>
    <row r="13145" spans="1:9" x14ac:dyDescent="0.25">
      <c r="A13145">
        <v>465</v>
      </c>
      <c r="B13145" t="s">
        <v>3754</v>
      </c>
      <c r="C13145" t="s">
        <v>75</v>
      </c>
      <c r="D13145" t="s">
        <v>3757</v>
      </c>
      <c r="E13145">
        <f t="shared" ref="E13145:E13156" si="621">1/58</f>
        <v>1.7241379310344827E-2</v>
      </c>
      <c r="F13145">
        <v>1</v>
      </c>
      <c r="G13145">
        <f>LOG(382/(1+1))</f>
        <v>2.2810333672477277</v>
      </c>
      <c r="H13145">
        <f>0.0172413793103448*5.25227342804663</f>
        <v>9.0556438414596915E-2</v>
      </c>
      <c r="I13145">
        <v>9.0556438414597068E-2</v>
      </c>
    </row>
    <row r="13146" spans="1:9" x14ac:dyDescent="0.25">
      <c r="A13146">
        <v>465</v>
      </c>
      <c r="B13146" t="s">
        <v>3754</v>
      </c>
      <c r="C13146" t="s">
        <v>75</v>
      </c>
      <c r="D13146" t="s">
        <v>1739</v>
      </c>
      <c r="E13146">
        <f t="shared" si="621"/>
        <v>1.7241379310344827E-2</v>
      </c>
      <c r="F13146">
        <v>30</v>
      </c>
      <c r="G13146">
        <f>LOG(382/(30+1))</f>
        <v>1.090701669077436</v>
      </c>
      <c r="H13146">
        <f>0.0172413793103448*2.51143340412142</f>
        <v>4.3300575933127861E-2</v>
      </c>
      <c r="I13146">
        <v>4.3300575933128083E-2</v>
      </c>
    </row>
    <row r="13147" spans="1:9" x14ac:dyDescent="0.25">
      <c r="A13147">
        <v>465</v>
      </c>
      <c r="B13147" t="s">
        <v>3754</v>
      </c>
      <c r="C13147" t="s">
        <v>75</v>
      </c>
      <c r="D13147" t="s">
        <v>3758</v>
      </c>
      <c r="E13147">
        <f t="shared" si="621"/>
        <v>1.7241379310344827E-2</v>
      </c>
      <c r="F13147">
        <v>1</v>
      </c>
      <c r="G13147">
        <f>LOG(382/(1+1))</f>
        <v>2.2810333672477277</v>
      </c>
      <c r="H13147">
        <f>0.0172413793103448*5.25227342804663</f>
        <v>9.0556438414596915E-2</v>
      </c>
      <c r="I13147">
        <v>9.0556438414597068E-2</v>
      </c>
    </row>
    <row r="13148" spans="1:9" x14ac:dyDescent="0.25">
      <c r="A13148">
        <v>465</v>
      </c>
      <c r="B13148" t="s">
        <v>3754</v>
      </c>
      <c r="C13148" t="s">
        <v>75</v>
      </c>
      <c r="D13148" t="s">
        <v>161</v>
      </c>
      <c r="E13148">
        <f t="shared" si="621"/>
        <v>1.7241379310344827E-2</v>
      </c>
      <c r="F13148">
        <v>33</v>
      </c>
      <c r="G13148">
        <f>LOG(382/(33+1))</f>
        <v>1.0505844458694535</v>
      </c>
      <c r="H13148">
        <f>0.0172413793103448*2.41906008399041</f>
        <v>4.1707932482593212E-2</v>
      </c>
      <c r="I13148">
        <v>4.1707932482593343E-2</v>
      </c>
    </row>
    <row r="13149" spans="1:9" x14ac:dyDescent="0.25">
      <c r="A13149">
        <v>465</v>
      </c>
      <c r="B13149" t="s">
        <v>3754</v>
      </c>
      <c r="C13149" t="s">
        <v>75</v>
      </c>
      <c r="D13149" t="s">
        <v>3376</v>
      </c>
      <c r="E13149">
        <f t="shared" si="621"/>
        <v>1.7241379310344827E-2</v>
      </c>
      <c r="F13149">
        <v>21</v>
      </c>
      <c r="G13149">
        <f>LOG(382/(21+1))</f>
        <v>1.2396406820895025</v>
      </c>
      <c r="H13149">
        <f>0.0172413793103448*2.85437815524825</f>
        <v>4.9213416469797329E-2</v>
      </c>
      <c r="I13149">
        <v>4.9213416469797572E-2</v>
      </c>
    </row>
    <row r="13150" spans="1:9" x14ac:dyDescent="0.25">
      <c r="A13150">
        <v>465</v>
      </c>
      <c r="B13150" t="s">
        <v>3754</v>
      </c>
      <c r="C13150" t="s">
        <v>75</v>
      </c>
      <c r="D13150" t="s">
        <v>3759</v>
      </c>
      <c r="E13150">
        <f t="shared" si="621"/>
        <v>1.7241379310344827E-2</v>
      </c>
      <c r="F13150">
        <v>1</v>
      </c>
      <c r="G13150">
        <f>LOG(382/(1+1))</f>
        <v>2.2810333672477277</v>
      </c>
      <c r="H13150">
        <f>0.0172413793103448*5.25227342804663</f>
        <v>9.0556438414596915E-2</v>
      </c>
      <c r="I13150">
        <v>9.0556438414597068E-2</v>
      </c>
    </row>
    <row r="13151" spans="1:9" x14ac:dyDescent="0.25">
      <c r="A13151">
        <v>465</v>
      </c>
      <c r="B13151" t="s">
        <v>3754</v>
      </c>
      <c r="C13151" t="s">
        <v>75</v>
      </c>
      <c r="D13151" t="s">
        <v>3378</v>
      </c>
      <c r="E13151">
        <f t="shared" si="621"/>
        <v>1.7241379310344827E-2</v>
      </c>
      <c r="F13151">
        <v>5</v>
      </c>
      <c r="G13151">
        <f>LOG(382/(5+1))</f>
        <v>1.803912112528065</v>
      </c>
      <c r="H13151">
        <f>0.0172413793103448*4.15366113937852</f>
        <v>7.1614847230664025E-2</v>
      </c>
      <c r="I13151">
        <v>7.1614847230664136E-2</v>
      </c>
    </row>
    <row r="13152" spans="1:9" x14ac:dyDescent="0.25">
      <c r="A13152">
        <v>465</v>
      </c>
      <c r="B13152" t="s">
        <v>3754</v>
      </c>
      <c r="C13152" t="s">
        <v>75</v>
      </c>
      <c r="D13152" t="s">
        <v>3760</v>
      </c>
      <c r="E13152">
        <f t="shared" si="621"/>
        <v>1.7241379310344827E-2</v>
      </c>
      <c r="F13152">
        <v>1</v>
      </c>
      <c r="G13152">
        <f>LOG(382/(1+1))</f>
        <v>2.2810333672477277</v>
      </c>
      <c r="H13152">
        <f>0.0172413793103448*5.25227342804663</f>
        <v>9.0556438414596915E-2</v>
      </c>
      <c r="I13152">
        <v>9.0556438414597068E-2</v>
      </c>
    </row>
    <row r="13153" spans="1:9" x14ac:dyDescent="0.25">
      <c r="A13153">
        <v>465</v>
      </c>
      <c r="B13153" t="s">
        <v>3754</v>
      </c>
      <c r="C13153" t="s">
        <v>75</v>
      </c>
      <c r="D13153" t="s">
        <v>361</v>
      </c>
      <c r="E13153">
        <f t="shared" si="621"/>
        <v>1.7241379310344827E-2</v>
      </c>
      <c r="F13153">
        <v>118</v>
      </c>
      <c r="G13153">
        <f>LOG(382/(118+1))</f>
        <v>0.50651640151917798</v>
      </c>
      <c r="H13153">
        <f>0.0172413793103448*1.16629711549504</f>
        <v>2.0108570956811001E-2</v>
      </c>
      <c r="I13153">
        <v>2.010857095681114E-2</v>
      </c>
    </row>
    <row r="13154" spans="1:9" x14ac:dyDescent="0.25">
      <c r="A13154">
        <v>465</v>
      </c>
      <c r="B13154" t="s">
        <v>3754</v>
      </c>
      <c r="C13154" t="s">
        <v>75</v>
      </c>
      <c r="D13154" t="s">
        <v>434</v>
      </c>
      <c r="E13154">
        <f t="shared" si="621"/>
        <v>1.7241379310344827E-2</v>
      </c>
      <c r="F13154">
        <v>97</v>
      </c>
      <c r="G13154">
        <f>LOG(382/(97+1))</f>
        <v>0.59083728721921391</v>
      </c>
      <c r="H13154">
        <f>0.0172413793103448*1.360453129936</f>
        <v>2.3456088447172379E-2</v>
      </c>
      <c r="I13154">
        <v>2.3456088447172469E-2</v>
      </c>
    </row>
    <row r="13155" spans="1:9" x14ac:dyDescent="0.25">
      <c r="A13155">
        <v>465</v>
      </c>
      <c r="B13155" t="s">
        <v>3754</v>
      </c>
      <c r="C13155" t="s">
        <v>75</v>
      </c>
      <c r="D13155" t="s">
        <v>2242</v>
      </c>
      <c r="E13155">
        <f t="shared" si="621"/>
        <v>1.7241379310344827E-2</v>
      </c>
      <c r="F13155">
        <v>18</v>
      </c>
      <c r="G13155">
        <f>LOG(382/(18+1))</f>
        <v>1.3033097619588798</v>
      </c>
      <c r="H13155">
        <f>0.0172413793103448*3.00098162944013</f>
        <v>5.1741062576553885E-2</v>
      </c>
      <c r="I13155">
        <v>5.1741062576554038E-2</v>
      </c>
    </row>
    <row r="13156" spans="1:9" x14ac:dyDescent="0.25">
      <c r="A13156">
        <v>465</v>
      </c>
      <c r="B13156" t="s">
        <v>3754</v>
      </c>
      <c r="C13156" t="s">
        <v>75</v>
      </c>
      <c r="D13156" t="s">
        <v>214</v>
      </c>
      <c r="E13156">
        <f t="shared" si="621"/>
        <v>1.7241379310344827E-2</v>
      </c>
      <c r="F13156">
        <v>68</v>
      </c>
      <c r="G13156">
        <f>LOG(382/(68+1))</f>
        <v>0.74321427217445335</v>
      </c>
      <c r="H13156">
        <f>0.0172413793103448*1.71131410400931</f>
        <v>2.9505415586367368E-2</v>
      </c>
      <c r="I13156">
        <v>2.950541558636751E-2</v>
      </c>
    </row>
    <row r="13157" spans="1:9" x14ac:dyDescent="0.25">
      <c r="A13157">
        <v>465</v>
      </c>
      <c r="B13157" t="s">
        <v>3754</v>
      </c>
      <c r="C13157" t="s">
        <v>75</v>
      </c>
      <c r="D13157" t="s">
        <v>243</v>
      </c>
      <c r="E13157">
        <f>2/58</f>
        <v>3.4482758620689655E-2</v>
      </c>
      <c r="F13157">
        <v>131</v>
      </c>
      <c r="G13157">
        <f>LOG(382/(131+1))</f>
        <v>0.46148943170585888</v>
      </c>
      <c r="H13157">
        <f>0.0344827586206896*1.0626186860202</f>
        <v>3.6642023655868911E-2</v>
      </c>
      <c r="I13157">
        <v>3.6642023655869112E-2</v>
      </c>
    </row>
    <row r="13158" spans="1:9" x14ac:dyDescent="0.25">
      <c r="A13158">
        <v>465</v>
      </c>
      <c r="B13158" t="s">
        <v>3754</v>
      </c>
      <c r="C13158" t="s">
        <v>75</v>
      </c>
      <c r="D13158" t="s">
        <v>453</v>
      </c>
      <c r="E13158">
        <f>1/58</f>
        <v>1.7241379310344827E-2</v>
      </c>
      <c r="F13158">
        <v>68</v>
      </c>
      <c r="G13158">
        <f>LOG(382/(68+1))</f>
        <v>0.74321427217445335</v>
      </c>
      <c r="H13158">
        <f>0.0172413793103448*1.71131410400931</f>
        <v>2.9505415586367368E-2</v>
      </c>
      <c r="I13158">
        <v>2.950541558636751E-2</v>
      </c>
    </row>
    <row r="13159" spans="1:9" x14ac:dyDescent="0.25">
      <c r="A13159">
        <v>465</v>
      </c>
      <c r="B13159" t="s">
        <v>3754</v>
      </c>
      <c r="C13159" t="s">
        <v>75</v>
      </c>
      <c r="D13159" t="s">
        <v>455</v>
      </c>
      <c r="E13159">
        <f>2/58</f>
        <v>3.4482758620689655E-2</v>
      </c>
      <c r="F13159">
        <v>78</v>
      </c>
      <c r="G13159">
        <f>LOG(382/(78+1))</f>
        <v>0.6844362716212673</v>
      </c>
      <c r="H13159">
        <f>0.0344827586206896*1.57597275613955</f>
        <v>5.4343888142743019E-2</v>
      </c>
      <c r="I13159">
        <v>5.4343888142743227E-2</v>
      </c>
    </row>
    <row r="13160" spans="1:9" x14ac:dyDescent="0.25">
      <c r="A13160">
        <v>465</v>
      </c>
      <c r="B13160" t="s">
        <v>3754</v>
      </c>
      <c r="C13160" t="s">
        <v>75</v>
      </c>
      <c r="D13160" t="s">
        <v>456</v>
      </c>
      <c r="E13160">
        <f>2/58</f>
        <v>3.4482758620689655E-2</v>
      </c>
      <c r="F13160">
        <v>71</v>
      </c>
      <c r="G13160">
        <f>LOG(382/(71+1))</f>
        <v>0.72473086648044027</v>
      </c>
      <c r="H13160">
        <f>0.0344827586206896*1.66875448959051</f>
        <v>5.7543258261741628E-2</v>
      </c>
      <c r="I13160">
        <v>5.7543258261742058E-2</v>
      </c>
    </row>
    <row r="13161" spans="1:9" x14ac:dyDescent="0.25">
      <c r="A13161">
        <v>465</v>
      </c>
      <c r="B13161" t="s">
        <v>3754</v>
      </c>
      <c r="C13161" t="s">
        <v>75</v>
      </c>
      <c r="D13161" t="s">
        <v>3761</v>
      </c>
      <c r="E13161">
        <f t="shared" ref="E13161:E13168" si="622">1/58</f>
        <v>1.7241379310344827E-2</v>
      </c>
      <c r="F13161">
        <v>2</v>
      </c>
      <c r="G13161">
        <f>LOG(382/(2+1))</f>
        <v>2.1049421081920463</v>
      </c>
      <c r="H13161">
        <f>0.0172413793103448*4.84680831993846</f>
        <v>8.3565660688594001E-2</v>
      </c>
      <c r="I13161">
        <v>8.3565660688594223E-2</v>
      </c>
    </row>
    <row r="13162" spans="1:9" x14ac:dyDescent="0.25">
      <c r="A13162">
        <v>465</v>
      </c>
      <c r="B13162" t="s">
        <v>3754</v>
      </c>
      <c r="C13162" t="s">
        <v>75</v>
      </c>
      <c r="D13162" t="s">
        <v>3762</v>
      </c>
      <c r="E13162">
        <f t="shared" si="622"/>
        <v>1.7241379310344827E-2</v>
      </c>
      <c r="F13162">
        <v>1</v>
      </c>
      <c r="G13162">
        <f>LOG(382/(1+1))</f>
        <v>2.2810333672477277</v>
      </c>
      <c r="H13162">
        <f>0.0172413793103448*5.25227342804663</f>
        <v>9.0556438414596915E-2</v>
      </c>
      <c r="I13162">
        <v>9.0556438414597068E-2</v>
      </c>
    </row>
    <row r="13163" spans="1:9" x14ac:dyDescent="0.25">
      <c r="A13163">
        <v>465</v>
      </c>
      <c r="B13163" t="s">
        <v>3754</v>
      </c>
      <c r="C13163" t="s">
        <v>75</v>
      </c>
      <c r="D13163" t="s">
        <v>770</v>
      </c>
      <c r="E13163">
        <f t="shared" si="622"/>
        <v>1.7241379310344827E-2</v>
      </c>
      <c r="F13163">
        <v>47</v>
      </c>
      <c r="G13163">
        <f>LOG(382/(47+1))</f>
        <v>0.90082212553612151</v>
      </c>
      <c r="H13163">
        <f>0.0172413793103448*2.07421959769868</f>
        <v>3.5762406856873735E-2</v>
      </c>
      <c r="I13163">
        <v>3.5762406856873867E-2</v>
      </c>
    </row>
    <row r="13164" spans="1:9" x14ac:dyDescent="0.25">
      <c r="A13164">
        <v>465</v>
      </c>
      <c r="B13164" t="s">
        <v>3754</v>
      </c>
      <c r="C13164" t="s">
        <v>75</v>
      </c>
      <c r="D13164" t="s">
        <v>307</v>
      </c>
      <c r="E13164">
        <f t="shared" si="622"/>
        <v>1.7241379310344827E-2</v>
      </c>
      <c r="F13164">
        <v>67</v>
      </c>
      <c r="G13164">
        <f>LOG(382/(67+1))</f>
        <v>0.7495544502054724</v>
      </c>
      <c r="H13164">
        <f>0.0172413793103448*1.72591290343046</f>
        <v>2.9757119024663058E-2</v>
      </c>
      <c r="I13164">
        <v>2.9757119024663249E-2</v>
      </c>
    </row>
    <row r="13165" spans="1:9" x14ac:dyDescent="0.25">
      <c r="A13165">
        <v>465</v>
      </c>
      <c r="B13165" t="s">
        <v>3754</v>
      </c>
      <c r="C13165" t="s">
        <v>75</v>
      </c>
      <c r="D13165" t="s">
        <v>342</v>
      </c>
      <c r="E13165">
        <f t="shared" si="622"/>
        <v>1.7241379310344827E-2</v>
      </c>
      <c r="F13165">
        <v>35</v>
      </c>
      <c r="G13165">
        <f>LOG(382/(35+1))</f>
        <v>1.0257608621444214</v>
      </c>
      <c r="H13165">
        <f>0.0172413793103448*2.36190167015046</f>
        <v>4.0722442588800971E-2</v>
      </c>
      <c r="I13165">
        <v>4.0722442588801117E-2</v>
      </c>
    </row>
    <row r="13166" spans="1:9" x14ac:dyDescent="0.25">
      <c r="A13166">
        <v>465</v>
      </c>
      <c r="B13166" t="s">
        <v>3754</v>
      </c>
      <c r="C13166" t="s">
        <v>75</v>
      </c>
      <c r="D13166" t="s">
        <v>78</v>
      </c>
      <c r="E13166">
        <f t="shared" si="622"/>
        <v>1.7241379310344827E-2</v>
      </c>
      <c r="F13166">
        <v>122</v>
      </c>
      <c r="G13166">
        <f>LOG(382/(122+1))</f>
        <v>0.49215825147231079</v>
      </c>
      <c r="H13166">
        <f>0.0172413793103448*1.13323625323415</f>
        <v>1.9538556090243932E-2</v>
      </c>
      <c r="I13166">
        <v>1.9538556090244099E-2</v>
      </c>
    </row>
    <row r="13167" spans="1:9" x14ac:dyDescent="0.25">
      <c r="A13167">
        <v>465</v>
      </c>
      <c r="B13167" t="s">
        <v>3754</v>
      </c>
      <c r="C13167" t="s">
        <v>75</v>
      </c>
      <c r="D13167" t="s">
        <v>22</v>
      </c>
      <c r="E13167">
        <f t="shared" si="622"/>
        <v>1.7241379310344827E-2</v>
      </c>
      <c r="F13167">
        <v>259</v>
      </c>
      <c r="G13167">
        <f>LOG(382/(259+1))</f>
        <v>0.16709001494089079</v>
      </c>
      <c r="H13167">
        <f>0.0172413793103448*0.384738977591047</f>
        <v>6.6334306481214897E-3</v>
      </c>
      <c r="I13167">
        <v>6.6334306481215088E-3</v>
      </c>
    </row>
    <row r="13168" spans="1:9" x14ac:dyDescent="0.25">
      <c r="A13168">
        <v>465</v>
      </c>
      <c r="B13168" t="s">
        <v>3754</v>
      </c>
      <c r="C13168" t="s">
        <v>75</v>
      </c>
      <c r="D13168" t="s">
        <v>23</v>
      </c>
      <c r="E13168">
        <f t="shared" si="622"/>
        <v>1.7241379310344827E-2</v>
      </c>
      <c r="F13168">
        <v>275</v>
      </c>
      <c r="G13168">
        <f>LOG(382/(275+1))</f>
        <v>0.14115428084649101</v>
      </c>
      <c r="H13168">
        <f>0.0172413793103448*0.325019742889425</f>
        <v>5.6037886705073182E-3</v>
      </c>
      <c r="I13168">
        <v>5.6037886705073304E-3</v>
      </c>
    </row>
    <row r="13169" spans="1:9" x14ac:dyDescent="0.25">
      <c r="A13169">
        <v>466</v>
      </c>
      <c r="B13169" t="s">
        <v>3763</v>
      </c>
      <c r="C13169" t="s">
        <v>75</v>
      </c>
      <c r="D13169" t="s">
        <v>3764</v>
      </c>
      <c r="E13169">
        <f>2/58</f>
        <v>3.4482758620689655E-2</v>
      </c>
      <c r="F13169">
        <v>1</v>
      </c>
      <c r="G13169">
        <f>LOG(382/(1+1))</f>
        <v>2.2810333672477277</v>
      </c>
      <c r="H13169">
        <f>0.0344827586206896*5.25227342804663</f>
        <v>0.18111287682919383</v>
      </c>
      <c r="I13169">
        <v>0.18111287682919411</v>
      </c>
    </row>
    <row r="13170" spans="1:9" x14ac:dyDescent="0.25">
      <c r="A13170">
        <v>466</v>
      </c>
      <c r="B13170" t="s">
        <v>3763</v>
      </c>
      <c r="C13170" t="s">
        <v>75</v>
      </c>
      <c r="D13170" t="s">
        <v>3765</v>
      </c>
      <c r="E13170">
        <f>3/58</f>
        <v>5.1724137931034482E-2</v>
      </c>
      <c r="F13170">
        <v>2</v>
      </c>
      <c r="G13170">
        <f>LOG(382/(2+1))</f>
        <v>2.1049421081920463</v>
      </c>
      <c r="H13170">
        <f>0.0517241379310344*4.84680831993846</f>
        <v>0.250696982065782</v>
      </c>
      <c r="I13170">
        <v>0.25069698206578273</v>
      </c>
    </row>
    <row r="13171" spans="1:9" x14ac:dyDescent="0.25">
      <c r="A13171">
        <v>466</v>
      </c>
      <c r="B13171" t="s">
        <v>3763</v>
      </c>
      <c r="C13171" t="s">
        <v>75</v>
      </c>
      <c r="D13171" t="s">
        <v>3766</v>
      </c>
      <c r="E13171">
        <f>2/58</f>
        <v>3.4482758620689655E-2</v>
      </c>
      <c r="F13171">
        <v>1</v>
      </c>
      <c r="G13171">
        <f>LOG(382/(1+1))</f>
        <v>2.2810333672477277</v>
      </c>
      <c r="H13171">
        <f>0.0344827586206896*5.25227342804663</f>
        <v>0.18111287682919383</v>
      </c>
      <c r="I13171">
        <v>0.18111287682919411</v>
      </c>
    </row>
    <row r="13172" spans="1:9" x14ac:dyDescent="0.25">
      <c r="A13172">
        <v>466</v>
      </c>
      <c r="B13172" t="s">
        <v>3763</v>
      </c>
      <c r="C13172" t="s">
        <v>75</v>
      </c>
      <c r="D13172" t="s">
        <v>3767</v>
      </c>
      <c r="E13172">
        <f>1/58</f>
        <v>1.7241379310344827E-2</v>
      </c>
      <c r="F13172">
        <v>1</v>
      </c>
      <c r="G13172">
        <f>LOG(382/(1+1))</f>
        <v>2.2810333672477277</v>
      </c>
      <c r="H13172">
        <f>0.0172413793103448*5.25227342804663</f>
        <v>9.0556438414596915E-2</v>
      </c>
      <c r="I13172">
        <v>9.0556438414597068E-2</v>
      </c>
    </row>
    <row r="13173" spans="1:9" x14ac:dyDescent="0.25">
      <c r="A13173">
        <v>466</v>
      </c>
      <c r="B13173" t="s">
        <v>3763</v>
      </c>
      <c r="C13173" t="s">
        <v>75</v>
      </c>
      <c r="D13173" t="s">
        <v>3768</v>
      </c>
      <c r="E13173">
        <f>1/58</f>
        <v>1.7241379310344827E-2</v>
      </c>
      <c r="F13173">
        <v>1</v>
      </c>
      <c r="G13173">
        <f>LOG(382/(1+1))</f>
        <v>2.2810333672477277</v>
      </c>
      <c r="H13173">
        <f>0.0172413793103448*5.25227342804663</f>
        <v>9.0556438414596915E-2</v>
      </c>
      <c r="I13173">
        <v>9.0556438414597068E-2</v>
      </c>
    </row>
    <row r="13174" spans="1:9" x14ac:dyDescent="0.25">
      <c r="A13174">
        <v>466</v>
      </c>
      <c r="B13174" t="s">
        <v>3763</v>
      </c>
      <c r="C13174" t="s">
        <v>75</v>
      </c>
      <c r="D13174" t="s">
        <v>1537</v>
      </c>
      <c r="E13174">
        <f>2/58</f>
        <v>3.4482758620689655E-2</v>
      </c>
      <c r="F13174">
        <v>80</v>
      </c>
      <c r="G13174">
        <f>LOG(382/(80+1))</f>
        <v>0.67357834403305894</v>
      </c>
      <c r="H13174">
        <f>0.0344827586206896*1.55097145393413</f>
        <v>5.3481774273590597E-2</v>
      </c>
      <c r="I13174">
        <v>5.348177427359091E-2</v>
      </c>
    </row>
    <row r="13175" spans="1:9" x14ac:dyDescent="0.25">
      <c r="A13175">
        <v>466</v>
      </c>
      <c r="B13175" t="s">
        <v>3763</v>
      </c>
      <c r="C13175" t="s">
        <v>75</v>
      </c>
      <c r="D13175" t="s">
        <v>42</v>
      </c>
      <c r="E13175">
        <f>1/58</f>
        <v>1.7241379310344827E-2</v>
      </c>
      <c r="F13175">
        <v>251</v>
      </c>
      <c r="G13175">
        <f>LOG(382/(251+1))</f>
        <v>0.18066282213016463</v>
      </c>
      <c r="H13175">
        <f>0.0172413793103448*0.415991521095151</f>
        <v>7.172267605088798E-3</v>
      </c>
      <c r="I13175">
        <v>7.1722676050888249E-3</v>
      </c>
    </row>
    <row r="13176" spans="1:9" x14ac:dyDescent="0.25">
      <c r="A13176">
        <v>466</v>
      </c>
      <c r="B13176" t="s">
        <v>3763</v>
      </c>
      <c r="C13176" t="s">
        <v>75</v>
      </c>
      <c r="D13176" t="s">
        <v>1496</v>
      </c>
      <c r="E13176">
        <f>1/58</f>
        <v>1.7241379310344827E-2</v>
      </c>
      <c r="F13176">
        <v>39</v>
      </c>
      <c r="G13176">
        <f>LOG(382/(39+1))</f>
        <v>0.9800033715837464</v>
      </c>
      <c r="H13176">
        <f>0.0172413793103448*2.25654115449263</f>
        <v>3.8905881974010799E-2</v>
      </c>
      <c r="I13176">
        <v>3.8905881974011007E-2</v>
      </c>
    </row>
    <row r="13177" spans="1:9" x14ac:dyDescent="0.25">
      <c r="A13177">
        <v>466</v>
      </c>
      <c r="B13177" t="s">
        <v>3763</v>
      </c>
      <c r="C13177" t="s">
        <v>75</v>
      </c>
      <c r="D13177" t="s">
        <v>1068</v>
      </c>
      <c r="E13177">
        <f>1/58</f>
        <v>1.7241379310344827E-2</v>
      </c>
      <c r="F13177">
        <v>5</v>
      </c>
      <c r="G13177">
        <f>LOG(382/(5+1))</f>
        <v>1.803912112528065</v>
      </c>
      <c r="H13177">
        <f>0.0172413793103448*4.15366113937852</f>
        <v>7.1614847230664025E-2</v>
      </c>
      <c r="I13177">
        <v>7.1614847230664136E-2</v>
      </c>
    </row>
    <row r="13178" spans="1:9" x14ac:dyDescent="0.25">
      <c r="A13178">
        <v>466</v>
      </c>
      <c r="B13178" t="s">
        <v>3763</v>
      </c>
      <c r="C13178" t="s">
        <v>75</v>
      </c>
      <c r="D13178" t="s">
        <v>920</v>
      </c>
      <c r="E13178">
        <f>2/58</f>
        <v>3.4482758620689655E-2</v>
      </c>
      <c r="F13178">
        <v>30</v>
      </c>
      <c r="G13178">
        <f>LOG(382/(30+1))</f>
        <v>1.090701669077436</v>
      </c>
      <c r="H13178">
        <f>0.0344827586206896*2.51143340412142</f>
        <v>8.6601151866255721E-2</v>
      </c>
      <c r="I13178">
        <v>8.6601151866256165E-2</v>
      </c>
    </row>
    <row r="13179" spans="1:9" x14ac:dyDescent="0.25">
      <c r="A13179">
        <v>466</v>
      </c>
      <c r="B13179" t="s">
        <v>3763</v>
      </c>
      <c r="C13179" t="s">
        <v>75</v>
      </c>
      <c r="D13179" t="s">
        <v>552</v>
      </c>
      <c r="E13179">
        <f t="shared" ref="E13179:E13194" si="623">1/58</f>
        <v>1.7241379310344827E-2</v>
      </c>
      <c r="F13179">
        <v>14</v>
      </c>
      <c r="G13179">
        <f>LOG(382/(14+1))</f>
        <v>1.4059721038560276</v>
      </c>
      <c r="H13179">
        <f>0.0172413793103448*3.23737040750436</f>
        <v>5.5816731163868184E-2</v>
      </c>
      <c r="I13179">
        <v>5.5816731163868358E-2</v>
      </c>
    </row>
    <row r="13180" spans="1:9" x14ac:dyDescent="0.25">
      <c r="A13180">
        <v>466</v>
      </c>
      <c r="B13180" t="s">
        <v>3763</v>
      </c>
      <c r="C13180" t="s">
        <v>75</v>
      </c>
      <c r="D13180" t="s">
        <v>17</v>
      </c>
      <c r="E13180">
        <f t="shared" si="623"/>
        <v>1.7241379310344827E-2</v>
      </c>
      <c r="F13180">
        <v>169</v>
      </c>
      <c r="G13180">
        <f>LOG(382/(169+1))</f>
        <v>0.3516144415334348</v>
      </c>
      <c r="H13180">
        <f>0.0172413793103448*0.809622171556313</f>
        <v>1.3959002957867443E-2</v>
      </c>
      <c r="I13180">
        <v>1.3959002957867469E-2</v>
      </c>
    </row>
    <row r="13181" spans="1:9" x14ac:dyDescent="0.25">
      <c r="A13181">
        <v>466</v>
      </c>
      <c r="B13181" t="s">
        <v>3763</v>
      </c>
      <c r="C13181" t="s">
        <v>75</v>
      </c>
      <c r="D13181" t="s">
        <v>3769</v>
      </c>
      <c r="E13181">
        <f t="shared" si="623"/>
        <v>1.7241379310344827E-2</v>
      </c>
      <c r="F13181">
        <v>1</v>
      </c>
      <c r="G13181">
        <f>LOG(382/(1+1))</f>
        <v>2.2810333672477277</v>
      </c>
      <c r="H13181">
        <f>0.0172413793103448*5.25227342804663</f>
        <v>9.0556438414596915E-2</v>
      </c>
      <c r="I13181">
        <v>9.0556438414597068E-2</v>
      </c>
    </row>
    <row r="13182" spans="1:9" x14ac:dyDescent="0.25">
      <c r="A13182">
        <v>466</v>
      </c>
      <c r="B13182" t="s">
        <v>3763</v>
      </c>
      <c r="C13182" t="s">
        <v>75</v>
      </c>
      <c r="D13182" t="s">
        <v>44</v>
      </c>
      <c r="E13182">
        <f t="shared" si="623"/>
        <v>1.7241379310344827E-2</v>
      </c>
      <c r="F13182">
        <v>151</v>
      </c>
      <c r="G13182">
        <f>LOG(382/(151+1))</f>
        <v>0.40021977496693617</v>
      </c>
      <c r="H13182">
        <f>0.0172413793103448*0.921540087760298</f>
        <v>1.5888622202763734E-2</v>
      </c>
      <c r="I13182">
        <v>1.5888622202763769E-2</v>
      </c>
    </row>
    <row r="13183" spans="1:9" x14ac:dyDescent="0.25">
      <c r="A13183">
        <v>466</v>
      </c>
      <c r="B13183" t="s">
        <v>3763</v>
      </c>
      <c r="C13183" t="s">
        <v>75</v>
      </c>
      <c r="D13183" t="s">
        <v>3530</v>
      </c>
      <c r="E13183">
        <f t="shared" si="623"/>
        <v>1.7241379310344827E-2</v>
      </c>
      <c r="F13183">
        <v>2</v>
      </c>
      <c r="G13183">
        <f>LOG(382/(2+1))</f>
        <v>2.1049421081920463</v>
      </c>
      <c r="H13183">
        <f>0.0172413793103448*4.84680831993846</f>
        <v>8.3565660688594001E-2</v>
      </c>
      <c r="I13183">
        <v>8.3565660688594223E-2</v>
      </c>
    </row>
    <row r="13184" spans="1:9" x14ac:dyDescent="0.25">
      <c r="A13184">
        <v>466</v>
      </c>
      <c r="B13184" t="s">
        <v>3763</v>
      </c>
      <c r="C13184" t="s">
        <v>75</v>
      </c>
      <c r="D13184" t="s">
        <v>23</v>
      </c>
      <c r="E13184">
        <f t="shared" si="623"/>
        <v>1.7241379310344827E-2</v>
      </c>
      <c r="F13184">
        <v>275</v>
      </c>
      <c r="G13184">
        <f>LOG(382/(275+1))</f>
        <v>0.14115428084649101</v>
      </c>
      <c r="H13184">
        <f>0.0172413793103448*0.325019742889425</f>
        <v>5.6037886705073182E-3</v>
      </c>
      <c r="I13184">
        <v>5.6037886705073304E-3</v>
      </c>
    </row>
    <row r="13185" spans="1:9" x14ac:dyDescent="0.25">
      <c r="A13185">
        <v>466</v>
      </c>
      <c r="B13185" t="s">
        <v>3763</v>
      </c>
      <c r="C13185" t="s">
        <v>75</v>
      </c>
      <c r="D13185" t="s">
        <v>3520</v>
      </c>
      <c r="E13185">
        <f t="shared" si="623"/>
        <v>1.7241379310344827E-2</v>
      </c>
      <c r="F13185">
        <v>8</v>
      </c>
      <c r="G13185">
        <f>LOG(382/(8+1))</f>
        <v>1.6278208534723839</v>
      </c>
      <c r="H13185">
        <f>0.0172413793103448*3.74819603127035</f>
        <v>6.4624069504661097E-2</v>
      </c>
      <c r="I13185">
        <v>6.4624069504661305E-2</v>
      </c>
    </row>
    <row r="13186" spans="1:9" x14ac:dyDescent="0.25">
      <c r="A13186">
        <v>466</v>
      </c>
      <c r="B13186" t="s">
        <v>3763</v>
      </c>
      <c r="C13186" t="s">
        <v>75</v>
      </c>
      <c r="D13186" t="s">
        <v>105</v>
      </c>
      <c r="E13186">
        <f t="shared" si="623"/>
        <v>1.7241379310344827E-2</v>
      </c>
      <c r="F13186">
        <v>122</v>
      </c>
      <c r="G13186">
        <f>LOG(382/(122+1))</f>
        <v>0.49215825147231079</v>
      </c>
      <c r="H13186">
        <f>0.0172413793103448*1.13323625323415</f>
        <v>1.9538556090243932E-2</v>
      </c>
      <c r="I13186">
        <v>1.9538556090244099E-2</v>
      </c>
    </row>
    <row r="13187" spans="1:9" x14ac:dyDescent="0.25">
      <c r="A13187">
        <v>466</v>
      </c>
      <c r="B13187" t="s">
        <v>3763</v>
      </c>
      <c r="C13187" t="s">
        <v>75</v>
      </c>
      <c r="D13187" t="s">
        <v>1769</v>
      </c>
      <c r="E13187">
        <f t="shared" si="623"/>
        <v>1.7241379310344827E-2</v>
      </c>
      <c r="F13187">
        <v>84</v>
      </c>
      <c r="G13187">
        <f>LOG(382/(84+1))</f>
        <v>0.65264443719741605</v>
      </c>
      <c r="H13187">
        <f>0.0172413793103448*1.50276935211625</f>
        <v>2.5909816415797371E-2</v>
      </c>
      <c r="I13187">
        <v>2.5909816415797569E-2</v>
      </c>
    </row>
    <row r="13188" spans="1:9" x14ac:dyDescent="0.25">
      <c r="A13188">
        <v>466</v>
      </c>
      <c r="B13188" t="s">
        <v>3763</v>
      </c>
      <c r="C13188" t="s">
        <v>75</v>
      </c>
      <c r="D13188" t="s">
        <v>126</v>
      </c>
      <c r="E13188">
        <f t="shared" si="623"/>
        <v>1.7241379310344827E-2</v>
      </c>
      <c r="F13188">
        <v>79</v>
      </c>
      <c r="G13188">
        <f>LOG(382/(79+1))</f>
        <v>0.67897337591976514</v>
      </c>
      <c r="H13188">
        <f>0.0172413793103448*1.56339397393269</f>
        <v>2.6955068516080819E-2</v>
      </c>
      <c r="I13188">
        <v>2.695506851608092E-2</v>
      </c>
    </row>
    <row r="13189" spans="1:9" x14ac:dyDescent="0.25">
      <c r="A13189">
        <v>466</v>
      </c>
      <c r="B13189" t="s">
        <v>3763</v>
      </c>
      <c r="C13189" t="s">
        <v>75</v>
      </c>
      <c r="D13189" t="s">
        <v>50</v>
      </c>
      <c r="E13189">
        <f t="shared" si="623"/>
        <v>1.7241379310344827E-2</v>
      </c>
      <c r="F13189">
        <v>109</v>
      </c>
      <c r="G13189">
        <f>LOG(382/(109+1))</f>
        <v>0.54067067775348365</v>
      </c>
      <c r="H13189">
        <f>0.0172413793103448*1.24494024281415</f>
        <v>2.1464486945071519E-2</v>
      </c>
      <c r="I13189">
        <v>2.146448694507171E-2</v>
      </c>
    </row>
    <row r="13190" spans="1:9" x14ac:dyDescent="0.25">
      <c r="A13190">
        <v>466</v>
      </c>
      <c r="B13190" t="s">
        <v>3763</v>
      </c>
      <c r="C13190" t="s">
        <v>75</v>
      </c>
      <c r="D13190" t="s">
        <v>1546</v>
      </c>
      <c r="E13190">
        <f t="shared" si="623"/>
        <v>1.7241379310344827E-2</v>
      </c>
      <c r="F13190">
        <v>44</v>
      </c>
      <c r="G13190">
        <f>LOG(382/(44+1))</f>
        <v>0.92885084913636506</v>
      </c>
      <c r="H13190">
        <f>0.0172413793103448*2.13875811883625</f>
        <v>3.687513997993528E-2</v>
      </c>
      <c r="I13190">
        <v>3.6875139979935433E-2</v>
      </c>
    </row>
    <row r="13191" spans="1:9" x14ac:dyDescent="0.25">
      <c r="A13191">
        <v>466</v>
      </c>
      <c r="B13191" t="s">
        <v>3763</v>
      </c>
      <c r="C13191" t="s">
        <v>75</v>
      </c>
      <c r="D13191" t="s">
        <v>78</v>
      </c>
      <c r="E13191">
        <f t="shared" si="623"/>
        <v>1.7241379310344827E-2</v>
      </c>
      <c r="F13191">
        <v>122</v>
      </c>
      <c r="G13191">
        <f>LOG(382/(122+1))</f>
        <v>0.49215825147231079</v>
      </c>
      <c r="H13191">
        <f>0.0172413793103448*1.13323625323415</f>
        <v>1.9538556090243932E-2</v>
      </c>
      <c r="I13191">
        <v>1.9538556090244099E-2</v>
      </c>
    </row>
    <row r="13192" spans="1:9" x14ac:dyDescent="0.25">
      <c r="A13192">
        <v>466</v>
      </c>
      <c r="B13192" t="s">
        <v>3763</v>
      </c>
      <c r="C13192" t="s">
        <v>75</v>
      </c>
      <c r="D13192" t="s">
        <v>754</v>
      </c>
      <c r="E13192">
        <f t="shared" si="623"/>
        <v>1.7241379310344827E-2</v>
      </c>
      <c r="F13192">
        <v>111</v>
      </c>
      <c r="G13192">
        <f>LOG(382/(111+1))</f>
        <v>0.53284534024152708</v>
      </c>
      <c r="H13192">
        <f>0.0172413793103448*1.22692173731148</f>
        <v>2.1153823057094449E-2</v>
      </c>
      <c r="I13192">
        <v>2.1153823057094491E-2</v>
      </c>
    </row>
    <row r="13193" spans="1:9" x14ac:dyDescent="0.25">
      <c r="A13193">
        <v>466</v>
      </c>
      <c r="B13193" t="s">
        <v>3763</v>
      </c>
      <c r="C13193" t="s">
        <v>75</v>
      </c>
      <c r="D13193" t="s">
        <v>3770</v>
      </c>
      <c r="E13193">
        <f t="shared" si="623"/>
        <v>1.7241379310344827E-2</v>
      </c>
      <c r="F13193">
        <v>3</v>
      </c>
      <c r="G13193">
        <f>LOG(382/(3+1))</f>
        <v>1.9800033715837464</v>
      </c>
      <c r="H13193">
        <f>0.0172413793103448*4.55912624748668</f>
        <v>7.8605624956666773E-2</v>
      </c>
      <c r="I13193">
        <v>7.8605624956666967E-2</v>
      </c>
    </row>
    <row r="13194" spans="1:9" x14ac:dyDescent="0.25">
      <c r="A13194">
        <v>466</v>
      </c>
      <c r="B13194" t="s">
        <v>3763</v>
      </c>
      <c r="C13194" t="s">
        <v>75</v>
      </c>
      <c r="D13194" t="s">
        <v>453</v>
      </c>
      <c r="E13194">
        <f t="shared" si="623"/>
        <v>1.7241379310344827E-2</v>
      </c>
      <c r="F13194">
        <v>68</v>
      </c>
      <c r="G13194">
        <f>LOG(382/(68+1))</f>
        <v>0.74321427217445335</v>
      </c>
      <c r="H13194">
        <f>0.0172413793103448*1.71131410400931</f>
        <v>2.9505415586367368E-2</v>
      </c>
      <c r="I13194">
        <v>2.950541558636751E-2</v>
      </c>
    </row>
    <row r="13195" spans="1:9" x14ac:dyDescent="0.25">
      <c r="A13195">
        <v>466</v>
      </c>
      <c r="B13195" t="s">
        <v>3763</v>
      </c>
      <c r="C13195" t="s">
        <v>75</v>
      </c>
      <c r="D13195" t="s">
        <v>455</v>
      </c>
      <c r="E13195">
        <f>2/58</f>
        <v>3.4482758620689655E-2</v>
      </c>
      <c r="F13195">
        <v>78</v>
      </c>
      <c r="G13195">
        <f>LOG(382/(78+1))</f>
        <v>0.6844362716212673</v>
      </c>
      <c r="H13195">
        <f>0.0344827586206896*1.57597275613955</f>
        <v>5.4343888142743019E-2</v>
      </c>
      <c r="I13195">
        <v>5.4343888142743227E-2</v>
      </c>
    </row>
    <row r="13196" spans="1:9" x14ac:dyDescent="0.25">
      <c r="A13196">
        <v>466</v>
      </c>
      <c r="B13196" t="s">
        <v>3763</v>
      </c>
      <c r="C13196" t="s">
        <v>75</v>
      </c>
      <c r="D13196" t="s">
        <v>3771</v>
      </c>
      <c r="E13196">
        <f>1/58</f>
        <v>1.7241379310344827E-2</v>
      </c>
      <c r="F13196">
        <v>1</v>
      </c>
      <c r="G13196">
        <f>LOG(382/(1+1))</f>
        <v>2.2810333672477277</v>
      </c>
      <c r="H13196">
        <f>0.0172413793103448*5.25227342804663</f>
        <v>9.0556438414596915E-2</v>
      </c>
      <c r="I13196">
        <v>9.0556438414597068E-2</v>
      </c>
    </row>
    <row r="13197" spans="1:9" x14ac:dyDescent="0.25">
      <c r="A13197">
        <v>466</v>
      </c>
      <c r="B13197" t="s">
        <v>3763</v>
      </c>
      <c r="C13197" t="s">
        <v>75</v>
      </c>
      <c r="D13197" t="s">
        <v>361</v>
      </c>
      <c r="E13197">
        <f>2/58</f>
        <v>3.4482758620689655E-2</v>
      </c>
      <c r="F13197">
        <v>118</v>
      </c>
      <c r="G13197">
        <f>LOG(382/(118+1))</f>
        <v>0.50651640151917798</v>
      </c>
      <c r="H13197">
        <f>0.0344827586206896*1.16629711549504</f>
        <v>4.0217141913622002E-2</v>
      </c>
      <c r="I13197">
        <v>4.0217141913622273E-2</v>
      </c>
    </row>
    <row r="13198" spans="1:9" x14ac:dyDescent="0.25">
      <c r="A13198">
        <v>466</v>
      </c>
      <c r="B13198" t="s">
        <v>3763</v>
      </c>
      <c r="C13198" t="s">
        <v>75</v>
      </c>
      <c r="D13198" t="s">
        <v>3772</v>
      </c>
      <c r="E13198">
        <f>1/58</f>
        <v>1.7241379310344827E-2</v>
      </c>
      <c r="F13198">
        <v>1</v>
      </c>
      <c r="G13198">
        <f>LOG(382/(1+1))</f>
        <v>2.2810333672477277</v>
      </c>
      <c r="H13198">
        <f>0.0172413793103448*5.25227342804663</f>
        <v>9.0556438414596915E-2</v>
      </c>
      <c r="I13198">
        <v>9.0556438414597068E-2</v>
      </c>
    </row>
    <row r="13199" spans="1:9" x14ac:dyDescent="0.25">
      <c r="A13199">
        <v>466</v>
      </c>
      <c r="B13199" t="s">
        <v>3763</v>
      </c>
      <c r="C13199" t="s">
        <v>75</v>
      </c>
      <c r="D13199" t="s">
        <v>3325</v>
      </c>
      <c r="E13199">
        <f>1/58</f>
        <v>1.7241379310344827E-2</v>
      </c>
      <c r="F13199">
        <v>19</v>
      </c>
      <c r="G13199">
        <f>LOG(382/(19+1))</f>
        <v>1.2810333672477277</v>
      </c>
      <c r="H13199">
        <f>0.0172413793103448*2.94968833505258</f>
        <v>5.0856695431940949E-2</v>
      </c>
      <c r="I13199">
        <v>5.0856695431941108E-2</v>
      </c>
    </row>
    <row r="13200" spans="1:9" x14ac:dyDescent="0.25">
      <c r="A13200">
        <v>466</v>
      </c>
      <c r="B13200" t="s">
        <v>3763</v>
      </c>
      <c r="C13200" t="s">
        <v>75</v>
      </c>
      <c r="D13200" t="s">
        <v>3773</v>
      </c>
      <c r="E13200">
        <f>3/58</f>
        <v>5.1724137931034482E-2</v>
      </c>
      <c r="F13200">
        <v>1</v>
      </c>
      <c r="G13200">
        <f>LOG(382/(1+1))</f>
        <v>2.2810333672477277</v>
      </c>
      <c r="H13200">
        <f>0.0517241379310344*5.25227342804663</f>
        <v>0.27166931524379079</v>
      </c>
      <c r="I13200">
        <v>0.27166931524379118</v>
      </c>
    </row>
    <row r="13201" spans="1:9" x14ac:dyDescent="0.25">
      <c r="A13201">
        <v>466</v>
      </c>
      <c r="B13201" t="s">
        <v>3763</v>
      </c>
      <c r="C13201" t="s">
        <v>75</v>
      </c>
      <c r="D13201" t="s">
        <v>149</v>
      </c>
      <c r="E13201">
        <f>3/58</f>
        <v>5.1724137931034482E-2</v>
      </c>
      <c r="F13201">
        <v>35</v>
      </c>
      <c r="G13201">
        <f>LOG(382/(35+1))</f>
        <v>1.0257608621444214</v>
      </c>
      <c r="H13201">
        <f>0.0517241379310344*2.36190167015046</f>
        <v>0.12216732776640291</v>
      </c>
      <c r="I13201">
        <v>0.12216732776640329</v>
      </c>
    </row>
    <row r="13202" spans="1:9" x14ac:dyDescent="0.25">
      <c r="A13202">
        <v>466</v>
      </c>
      <c r="B13202" t="s">
        <v>3763</v>
      </c>
      <c r="C13202" t="s">
        <v>75</v>
      </c>
      <c r="D13202" t="s">
        <v>3774</v>
      </c>
      <c r="E13202">
        <f>2/58</f>
        <v>3.4482758620689655E-2</v>
      </c>
      <c r="F13202">
        <v>1</v>
      </c>
      <c r="G13202">
        <f>LOG(382/(1+1))</f>
        <v>2.2810333672477277</v>
      </c>
      <c r="H13202">
        <f>0.0344827586206896*5.25227342804663</f>
        <v>0.18111287682919383</v>
      </c>
      <c r="I13202">
        <v>0.18111287682919411</v>
      </c>
    </row>
    <row r="13203" spans="1:9" x14ac:dyDescent="0.25">
      <c r="A13203">
        <v>466</v>
      </c>
      <c r="B13203" t="s">
        <v>3763</v>
      </c>
      <c r="C13203" t="s">
        <v>75</v>
      </c>
      <c r="D13203" t="s">
        <v>3398</v>
      </c>
      <c r="E13203">
        <f t="shared" ref="E13203:E13213" si="624">1/58</f>
        <v>1.7241379310344827E-2</v>
      </c>
      <c r="F13203">
        <v>2</v>
      </c>
      <c r="G13203">
        <f>LOG(382/(2+1))</f>
        <v>2.1049421081920463</v>
      </c>
      <c r="H13203">
        <f>0.0172413793103448*4.84680831993846</f>
        <v>8.3565660688594001E-2</v>
      </c>
      <c r="I13203">
        <v>8.3565660688594223E-2</v>
      </c>
    </row>
    <row r="13204" spans="1:9" x14ac:dyDescent="0.25">
      <c r="A13204">
        <v>466</v>
      </c>
      <c r="B13204" t="s">
        <v>3763</v>
      </c>
      <c r="C13204" t="s">
        <v>75</v>
      </c>
      <c r="D13204" t="s">
        <v>3401</v>
      </c>
      <c r="E13204">
        <f t="shared" si="624"/>
        <v>1.7241379310344827E-2</v>
      </c>
      <c r="F13204">
        <v>8</v>
      </c>
      <c r="G13204">
        <f>LOG(382/(8+1))</f>
        <v>1.6278208534723839</v>
      </c>
      <c r="H13204">
        <f>0.0172413793103448*3.74819603127035</f>
        <v>6.4624069504661097E-2</v>
      </c>
      <c r="I13204">
        <v>6.4624069504661305E-2</v>
      </c>
    </row>
    <row r="13205" spans="1:9" x14ac:dyDescent="0.25">
      <c r="A13205">
        <v>466</v>
      </c>
      <c r="B13205" t="s">
        <v>3763</v>
      </c>
      <c r="C13205" t="s">
        <v>75</v>
      </c>
      <c r="D13205" t="s">
        <v>210</v>
      </c>
      <c r="E13205">
        <f t="shared" si="624"/>
        <v>1.7241379310344827E-2</v>
      </c>
      <c r="F13205">
        <v>9</v>
      </c>
      <c r="G13205">
        <f>LOG(382/(9+1))</f>
        <v>1.5820633629117087</v>
      </c>
      <c r="H13205">
        <f>0.0172413793103448*3.64283551561252</f>
        <v>6.2807508889870939E-2</v>
      </c>
      <c r="I13205">
        <v>6.2807508889871189E-2</v>
      </c>
    </row>
    <row r="13206" spans="1:9" x14ac:dyDescent="0.25">
      <c r="A13206">
        <v>466</v>
      </c>
      <c r="B13206" t="s">
        <v>3763</v>
      </c>
      <c r="C13206" t="s">
        <v>75</v>
      </c>
      <c r="D13206" t="s">
        <v>3775</v>
      </c>
      <c r="E13206">
        <f t="shared" si="624"/>
        <v>1.7241379310344827E-2</v>
      </c>
      <c r="F13206">
        <v>1</v>
      </c>
      <c r="G13206">
        <f>LOG(382/(1+1))</f>
        <v>2.2810333672477277</v>
      </c>
      <c r="H13206">
        <f>0.0172413793103448*5.25227342804663</f>
        <v>9.0556438414596915E-2</v>
      </c>
      <c r="I13206">
        <v>9.0556438414597068E-2</v>
      </c>
    </row>
    <row r="13207" spans="1:9" x14ac:dyDescent="0.25">
      <c r="A13207">
        <v>466</v>
      </c>
      <c r="B13207" t="s">
        <v>3763</v>
      </c>
      <c r="C13207" t="s">
        <v>75</v>
      </c>
      <c r="D13207" t="s">
        <v>3327</v>
      </c>
      <c r="E13207">
        <f t="shared" si="624"/>
        <v>1.7241379310344827E-2</v>
      </c>
      <c r="F13207">
        <v>21</v>
      </c>
      <c r="G13207">
        <f>LOG(382/(21+1))</f>
        <v>1.2396406820895025</v>
      </c>
      <c r="H13207">
        <f>0.0172413793103448*2.85437815524825</f>
        <v>4.9213416469797329E-2</v>
      </c>
      <c r="I13207">
        <v>4.9213416469797572E-2</v>
      </c>
    </row>
    <row r="13208" spans="1:9" x14ac:dyDescent="0.25">
      <c r="A13208">
        <v>466</v>
      </c>
      <c r="B13208" t="s">
        <v>3763</v>
      </c>
      <c r="C13208" t="s">
        <v>75</v>
      </c>
      <c r="D13208" t="s">
        <v>310</v>
      </c>
      <c r="E13208">
        <f t="shared" si="624"/>
        <v>1.7241379310344827E-2</v>
      </c>
      <c r="F13208">
        <v>50</v>
      </c>
      <c r="G13208">
        <f>LOG(382/(50+1))</f>
        <v>0.87449318681377242</v>
      </c>
      <c r="H13208">
        <f>0.0172413793103448*2.01359497588224</f>
        <v>3.4717154756590284E-2</v>
      </c>
      <c r="I13208">
        <v>3.4717154756590513E-2</v>
      </c>
    </row>
    <row r="13209" spans="1:9" x14ac:dyDescent="0.25">
      <c r="A13209">
        <v>466</v>
      </c>
      <c r="B13209" t="s">
        <v>3763</v>
      </c>
      <c r="C13209" t="s">
        <v>75</v>
      </c>
      <c r="D13209" t="s">
        <v>2035</v>
      </c>
      <c r="E13209">
        <f t="shared" si="624"/>
        <v>1.7241379310344827E-2</v>
      </c>
      <c r="F13209">
        <v>13</v>
      </c>
      <c r="G13209">
        <f>LOG(382/(13+1))</f>
        <v>1.4359353272334707</v>
      </c>
      <c r="H13209">
        <f>0.0172413793103448*3.30636327899131</f>
        <v>5.7006263430884566E-2</v>
      </c>
      <c r="I13209">
        <v>5.7006263430884767E-2</v>
      </c>
    </row>
    <row r="13210" spans="1:9" x14ac:dyDescent="0.25">
      <c r="A13210">
        <v>466</v>
      </c>
      <c r="B13210" t="s">
        <v>3763</v>
      </c>
      <c r="C13210" t="s">
        <v>75</v>
      </c>
      <c r="D13210" t="s">
        <v>243</v>
      </c>
      <c r="E13210">
        <f t="shared" si="624"/>
        <v>1.7241379310344827E-2</v>
      </c>
      <c r="F13210">
        <v>131</v>
      </c>
      <c r="G13210">
        <f>LOG(382/(131+1))</f>
        <v>0.46148943170585888</v>
      </c>
      <c r="H13210">
        <f>0.0172413793103448*1.0626186860202</f>
        <v>1.8321011827934455E-2</v>
      </c>
      <c r="I13210">
        <v>1.8321011827934559E-2</v>
      </c>
    </row>
    <row r="13211" spans="1:9" x14ac:dyDescent="0.25">
      <c r="A13211">
        <v>466</v>
      </c>
      <c r="B13211" t="s">
        <v>3763</v>
      </c>
      <c r="C13211" t="s">
        <v>75</v>
      </c>
      <c r="D13211" t="s">
        <v>770</v>
      </c>
      <c r="E13211">
        <f t="shared" si="624"/>
        <v>1.7241379310344827E-2</v>
      </c>
      <c r="F13211">
        <v>47</v>
      </c>
      <c r="G13211">
        <f>LOG(382/(47+1))</f>
        <v>0.90082212553612151</v>
      </c>
      <c r="H13211">
        <f>0.0172413793103448*2.07421959769868</f>
        <v>3.5762406856873735E-2</v>
      </c>
      <c r="I13211">
        <v>3.5762406856873867E-2</v>
      </c>
    </row>
    <row r="13212" spans="1:9" x14ac:dyDescent="0.25">
      <c r="A13212">
        <v>466</v>
      </c>
      <c r="B13212" t="s">
        <v>3763</v>
      </c>
      <c r="C13212" t="s">
        <v>75</v>
      </c>
      <c r="D13212" t="s">
        <v>307</v>
      </c>
      <c r="E13212">
        <f t="shared" si="624"/>
        <v>1.7241379310344827E-2</v>
      </c>
      <c r="F13212">
        <v>67</v>
      </c>
      <c r="G13212">
        <f>LOG(382/(67+1))</f>
        <v>0.7495544502054724</v>
      </c>
      <c r="H13212">
        <f>0.0172413793103448*1.72591290343046</f>
        <v>2.9757119024663058E-2</v>
      </c>
      <c r="I13212">
        <v>2.9757119024663249E-2</v>
      </c>
    </row>
    <row r="13213" spans="1:9" x14ac:dyDescent="0.25">
      <c r="A13213">
        <v>466</v>
      </c>
      <c r="B13213" t="s">
        <v>3763</v>
      </c>
      <c r="C13213" t="s">
        <v>75</v>
      </c>
      <c r="D13213" t="s">
        <v>456</v>
      </c>
      <c r="E13213">
        <f t="shared" si="624"/>
        <v>1.7241379310344827E-2</v>
      </c>
      <c r="F13213">
        <v>71</v>
      </c>
      <c r="G13213">
        <f>LOG(382/(71+1))</f>
        <v>0.72473086648044027</v>
      </c>
      <c r="H13213">
        <f>0.0172413793103448*1.66875448959051</f>
        <v>2.8771629130870814E-2</v>
      </c>
      <c r="I13213">
        <v>2.8771629130871029E-2</v>
      </c>
    </row>
    <row r="13214" spans="1:9" x14ac:dyDescent="0.25">
      <c r="A13214">
        <v>467</v>
      </c>
      <c r="B13214" t="s">
        <v>3776</v>
      </c>
      <c r="C13214" t="s">
        <v>75</v>
      </c>
      <c r="D13214" t="s">
        <v>1426</v>
      </c>
      <c r="E13214">
        <f>4/94</f>
        <v>4.2553191489361701E-2</v>
      </c>
      <c r="F13214">
        <v>3</v>
      </c>
      <c r="G13214">
        <f>LOG(382/(3+1))</f>
        <v>1.9800033715837464</v>
      </c>
      <c r="H13214">
        <f>0.0425531914893617*4.55912624748668</f>
        <v>0.19400537223347575</v>
      </c>
      <c r="I13214">
        <v>0.19400537223347589</v>
      </c>
    </row>
    <row r="13215" spans="1:9" x14ac:dyDescent="0.25">
      <c r="A13215">
        <v>467</v>
      </c>
      <c r="B13215" t="s">
        <v>3776</v>
      </c>
      <c r="C13215" t="s">
        <v>75</v>
      </c>
      <c r="D13215" t="s">
        <v>3777</v>
      </c>
      <c r="E13215">
        <f t="shared" ref="E13215:E13220" si="625">1/94</f>
        <v>1.0638297872340425E-2</v>
      </c>
      <c r="F13215">
        <v>1</v>
      </c>
      <c r="G13215">
        <f>LOG(382/(1+1))</f>
        <v>2.2810333672477277</v>
      </c>
      <c r="H13215">
        <f>0.0106382978723404*5.25227342804663</f>
        <v>5.5875249234538481E-2</v>
      </c>
      <c r="I13215">
        <v>5.5875249234538613E-2</v>
      </c>
    </row>
    <row r="13216" spans="1:9" x14ac:dyDescent="0.25">
      <c r="A13216">
        <v>467</v>
      </c>
      <c r="B13216" t="s">
        <v>3776</v>
      </c>
      <c r="C13216" t="s">
        <v>75</v>
      </c>
      <c r="D13216" t="s">
        <v>247</v>
      </c>
      <c r="E13216">
        <f t="shared" si="625"/>
        <v>1.0638297872340425E-2</v>
      </c>
      <c r="F13216">
        <v>121</v>
      </c>
      <c r="G13216">
        <f>LOG(382/(121+1))</f>
        <v>0.49570353223696051</v>
      </c>
      <c r="H13216">
        <f>0.0106382978723404*1.14139956387331</f>
        <v>1.2142548551843695E-2</v>
      </c>
      <c r="I13216">
        <v>1.214254855184382E-2</v>
      </c>
    </row>
    <row r="13217" spans="1:9" x14ac:dyDescent="0.25">
      <c r="A13217">
        <v>467</v>
      </c>
      <c r="B13217" t="s">
        <v>3776</v>
      </c>
      <c r="C13217" t="s">
        <v>75</v>
      </c>
      <c r="D13217" t="s">
        <v>89</v>
      </c>
      <c r="E13217">
        <f t="shared" si="625"/>
        <v>1.0638297872340425E-2</v>
      </c>
      <c r="F13217">
        <v>40</v>
      </c>
      <c r="G13217">
        <f>LOG(382/(40+1))</f>
        <v>0.96927950619197323</v>
      </c>
      <c r="H13217">
        <f>0.0106382978723404*2.23184854190226</f>
        <v>2.3743069594704833E-2</v>
      </c>
      <c r="I13217">
        <v>2.3743069594704971E-2</v>
      </c>
    </row>
    <row r="13218" spans="1:9" x14ac:dyDescent="0.25">
      <c r="A13218">
        <v>467</v>
      </c>
      <c r="B13218" t="s">
        <v>3776</v>
      </c>
      <c r="C13218" t="s">
        <v>75</v>
      </c>
      <c r="D13218" t="s">
        <v>42</v>
      </c>
      <c r="E13218">
        <f t="shared" si="625"/>
        <v>1.0638297872340425E-2</v>
      </c>
      <c r="F13218">
        <v>251</v>
      </c>
      <c r="G13218">
        <f>LOG(382/(251+1))</f>
        <v>0.18066282213016463</v>
      </c>
      <c r="H13218">
        <f>0.0106382978723404*0.415991521095151</f>
        <v>4.4254417137781906E-3</v>
      </c>
      <c r="I13218">
        <v>4.4254417137782106E-3</v>
      </c>
    </row>
    <row r="13219" spans="1:9" x14ac:dyDescent="0.25">
      <c r="A13219">
        <v>467</v>
      </c>
      <c r="B13219" t="s">
        <v>3776</v>
      </c>
      <c r="C13219" t="s">
        <v>75</v>
      </c>
      <c r="D13219" t="s">
        <v>15</v>
      </c>
      <c r="E13219">
        <f t="shared" si="625"/>
        <v>1.0638297872340425E-2</v>
      </c>
      <c r="F13219">
        <v>112</v>
      </c>
      <c r="G13219">
        <f>LOG(382/(112+1))</f>
        <v>0.52898491942828896</v>
      </c>
      <c r="H13219">
        <f>0.0106382978723404*1.21803278989423</f>
        <v>1.2957795637172628E-2</v>
      </c>
      <c r="I13219">
        <v>1.295779563717271E-2</v>
      </c>
    </row>
    <row r="13220" spans="1:9" x14ac:dyDescent="0.25">
      <c r="A13220">
        <v>467</v>
      </c>
      <c r="B13220" t="s">
        <v>3776</v>
      </c>
      <c r="C13220" t="s">
        <v>75</v>
      </c>
      <c r="D13220" t="s">
        <v>17</v>
      </c>
      <c r="E13220">
        <f t="shared" si="625"/>
        <v>1.0638297872340425E-2</v>
      </c>
      <c r="F13220">
        <v>169</v>
      </c>
      <c r="G13220">
        <f>LOG(382/(169+1))</f>
        <v>0.3516144415334348</v>
      </c>
      <c r="H13220">
        <f>0.0106382978723404*0.809622171556313</f>
        <v>8.6130018250671382E-3</v>
      </c>
      <c r="I13220">
        <v>8.6130018250671642E-3</v>
      </c>
    </row>
    <row r="13221" spans="1:9" x14ac:dyDescent="0.25">
      <c r="A13221">
        <v>467</v>
      </c>
      <c r="B13221" t="s">
        <v>3776</v>
      </c>
      <c r="C13221" t="s">
        <v>75</v>
      </c>
      <c r="D13221" t="s">
        <v>3778</v>
      </c>
      <c r="E13221">
        <f>2/94</f>
        <v>2.1276595744680851E-2</v>
      </c>
      <c r="F13221">
        <v>1</v>
      </c>
      <c r="G13221">
        <f>LOG(382/(1+1))</f>
        <v>2.2810333672477277</v>
      </c>
      <c r="H13221">
        <f>0.0212765957446808*5.25227342804663</f>
        <v>0.11175049846907696</v>
      </c>
      <c r="I13221">
        <v>0.1117504984690772</v>
      </c>
    </row>
    <row r="13222" spans="1:9" x14ac:dyDescent="0.25">
      <c r="A13222">
        <v>467</v>
      </c>
      <c r="B13222" t="s">
        <v>3776</v>
      </c>
      <c r="C13222" t="s">
        <v>75</v>
      </c>
      <c r="D13222" t="s">
        <v>104</v>
      </c>
      <c r="E13222">
        <f>2/94</f>
        <v>2.1276595744680851E-2</v>
      </c>
      <c r="F13222">
        <v>49</v>
      </c>
      <c r="G13222">
        <f>LOG(382/(49+1))</f>
        <v>0.88309335857568994</v>
      </c>
      <c r="H13222">
        <f>0.0212765957446808*2.03339760317842</f>
        <v>4.3263778791030105E-2</v>
      </c>
      <c r="I13222">
        <v>4.3263778791030397E-2</v>
      </c>
    </row>
    <row r="13223" spans="1:9" x14ac:dyDescent="0.25">
      <c r="A13223">
        <v>467</v>
      </c>
      <c r="B13223" t="s">
        <v>3776</v>
      </c>
      <c r="C13223" t="s">
        <v>75</v>
      </c>
      <c r="D13223" t="s">
        <v>19</v>
      </c>
      <c r="E13223">
        <f>1/94</f>
        <v>1.0638297872340425E-2</v>
      </c>
      <c r="F13223">
        <v>220</v>
      </c>
      <c r="G13223">
        <f>LOG(382/(220+1))</f>
        <v>0.23767108922659805</v>
      </c>
      <c r="H13223">
        <f>0.0106382978723404*0.547257907088822</f>
        <v>5.8218926286044753E-3</v>
      </c>
      <c r="I13223">
        <v>5.8218926286044926E-3</v>
      </c>
    </row>
    <row r="13224" spans="1:9" x14ac:dyDescent="0.25">
      <c r="A13224">
        <v>467</v>
      </c>
      <c r="B13224" t="s">
        <v>3776</v>
      </c>
      <c r="C13224" t="s">
        <v>75</v>
      </c>
      <c r="D13224" t="s">
        <v>808</v>
      </c>
      <c r="E13224">
        <f>2/94</f>
        <v>2.1276595744680851E-2</v>
      </c>
      <c r="F13224">
        <v>20</v>
      </c>
      <c r="G13224">
        <f>LOG(382/(20+1))</f>
        <v>1.2598440681777894</v>
      </c>
      <c r="H13224">
        <f>0.0212765957446808*2.90089817088315</f>
        <v>6.1721237678364745E-2</v>
      </c>
      <c r="I13224">
        <v>6.1721237678364939E-2</v>
      </c>
    </row>
    <row r="13225" spans="1:9" x14ac:dyDescent="0.25">
      <c r="A13225">
        <v>467</v>
      </c>
      <c r="B13225" t="s">
        <v>3776</v>
      </c>
      <c r="C13225" t="s">
        <v>75</v>
      </c>
      <c r="D13225" t="s">
        <v>809</v>
      </c>
      <c r="E13225">
        <f>2/94</f>
        <v>2.1276595744680851E-2</v>
      </c>
      <c r="F13225">
        <v>19</v>
      </c>
      <c r="G13225">
        <f>LOG(382/(19+1))</f>
        <v>1.2810333672477277</v>
      </c>
      <c r="H13225">
        <f>0.0212765957446808*2.94968833505258</f>
        <v>6.2759326277714314E-2</v>
      </c>
      <c r="I13225">
        <v>6.2759326277714564E-2</v>
      </c>
    </row>
    <row r="13226" spans="1:9" x14ac:dyDescent="0.25">
      <c r="A13226">
        <v>467</v>
      </c>
      <c r="B13226" t="s">
        <v>3776</v>
      </c>
      <c r="C13226" t="s">
        <v>75</v>
      </c>
      <c r="D13226" t="s">
        <v>22</v>
      </c>
      <c r="E13226">
        <f>1/94</f>
        <v>1.0638297872340425E-2</v>
      </c>
      <c r="F13226">
        <v>259</v>
      </c>
      <c r="G13226">
        <f>LOG(382/(259+1))</f>
        <v>0.16709001494089079</v>
      </c>
      <c r="H13226">
        <f>0.0106382978723404*0.384738977591047</f>
        <v>4.0929678467132562E-3</v>
      </c>
      <c r="I13226">
        <v>4.0929678467132719E-3</v>
      </c>
    </row>
    <row r="13227" spans="1:9" x14ac:dyDescent="0.25">
      <c r="A13227">
        <v>467</v>
      </c>
      <c r="B13227" t="s">
        <v>3776</v>
      </c>
      <c r="C13227" t="s">
        <v>75</v>
      </c>
      <c r="D13227" t="s">
        <v>23</v>
      </c>
      <c r="E13227">
        <f>1/94</f>
        <v>1.0638297872340425E-2</v>
      </c>
      <c r="F13227">
        <v>275</v>
      </c>
      <c r="G13227">
        <f>LOG(382/(275+1))</f>
        <v>0.14115428084649101</v>
      </c>
      <c r="H13227">
        <f>0.0106382978723404*0.325019742889425</f>
        <v>3.4576568392491935E-3</v>
      </c>
      <c r="I13227">
        <v>3.457656839249203E-3</v>
      </c>
    </row>
    <row r="13228" spans="1:9" x14ac:dyDescent="0.25">
      <c r="A13228">
        <v>467</v>
      </c>
      <c r="B13228" t="s">
        <v>3776</v>
      </c>
      <c r="C13228" t="s">
        <v>75</v>
      </c>
      <c r="D13228" t="s">
        <v>3779</v>
      </c>
      <c r="E13228">
        <f>1/94</f>
        <v>1.0638297872340425E-2</v>
      </c>
      <c r="F13228">
        <v>5</v>
      </c>
      <c r="G13228">
        <f>LOG(382/(5+1))</f>
        <v>1.803912112528065</v>
      </c>
      <c r="H13228">
        <f>0.0106382978723404*4.15366113937852</f>
        <v>4.4187884461473509E-2</v>
      </c>
      <c r="I13228">
        <v>4.4187884461473613E-2</v>
      </c>
    </row>
    <row r="13229" spans="1:9" x14ac:dyDescent="0.25">
      <c r="A13229">
        <v>467</v>
      </c>
      <c r="B13229" t="s">
        <v>3776</v>
      </c>
      <c r="C13229" t="s">
        <v>75</v>
      </c>
      <c r="D13229" t="s">
        <v>1537</v>
      </c>
      <c r="E13229">
        <f>3/94</f>
        <v>3.1914893617021274E-2</v>
      </c>
      <c r="F13229">
        <v>80</v>
      </c>
      <c r="G13229">
        <f>LOG(382/(80+1))</f>
        <v>0.67357834403305894</v>
      </c>
      <c r="H13229">
        <f>0.0319148936170212*1.55097145393413</f>
        <v>4.9499088955344453E-2</v>
      </c>
      <c r="I13229">
        <v>4.9499088955344772E-2</v>
      </c>
    </row>
    <row r="13230" spans="1:9" x14ac:dyDescent="0.25">
      <c r="A13230">
        <v>467</v>
      </c>
      <c r="B13230" t="s">
        <v>3776</v>
      </c>
      <c r="C13230" t="s">
        <v>75</v>
      </c>
      <c r="D13230" t="s">
        <v>204</v>
      </c>
      <c r="E13230">
        <f>1/94</f>
        <v>1.0638297872340425E-2</v>
      </c>
      <c r="F13230">
        <v>166</v>
      </c>
      <c r="G13230">
        <f>LOG(382/(166+1))</f>
        <v>0.35934689176412549</v>
      </c>
      <c r="H13230">
        <f>0.0106382978723404*0.82742679618982</f>
        <v>8.8024127254235952E-3</v>
      </c>
      <c r="I13230">
        <v>8.8024127254236178E-3</v>
      </c>
    </row>
    <row r="13231" spans="1:9" x14ac:dyDescent="0.25">
      <c r="A13231">
        <v>467</v>
      </c>
      <c r="B13231" t="s">
        <v>3776</v>
      </c>
      <c r="C13231" t="s">
        <v>75</v>
      </c>
      <c r="D13231" t="s">
        <v>331</v>
      </c>
      <c r="E13231">
        <f>2/94</f>
        <v>2.1276595744680851E-2</v>
      </c>
      <c r="F13231">
        <v>130</v>
      </c>
      <c r="G13231">
        <f>LOG(382/(130+1))</f>
        <v>0.46479206725594452</v>
      </c>
      <c r="H13231">
        <f>0.0212765957446808*1.07022328540542</f>
        <v>2.2770708200115265E-2</v>
      </c>
      <c r="I13231">
        <v>2.2770708200115401E-2</v>
      </c>
    </row>
    <row r="13232" spans="1:9" x14ac:dyDescent="0.25">
      <c r="A13232">
        <v>467</v>
      </c>
      <c r="B13232" t="s">
        <v>3776</v>
      </c>
      <c r="C13232" t="s">
        <v>75</v>
      </c>
      <c r="D13232" t="s">
        <v>82</v>
      </c>
      <c r="E13232">
        <f>1/94</f>
        <v>1.0638297872340425E-2</v>
      </c>
      <c r="F13232">
        <v>92</v>
      </c>
      <c r="G13232">
        <f>LOG(382/(92+1))</f>
        <v>0.61358041435777355</v>
      </c>
      <c r="H13232">
        <f>0.0106382978723404*1.41282111545331</f>
        <v>1.5030011866524536E-2</v>
      </c>
      <c r="I13232">
        <v>1.5030011866524671E-2</v>
      </c>
    </row>
    <row r="13233" spans="1:9" x14ac:dyDescent="0.25">
      <c r="A13233">
        <v>467</v>
      </c>
      <c r="B13233" t="s">
        <v>3776</v>
      </c>
      <c r="C13233" t="s">
        <v>75</v>
      </c>
      <c r="D13233" t="s">
        <v>363</v>
      </c>
      <c r="E13233">
        <f>1/94</f>
        <v>1.0638297872340425E-2</v>
      </c>
      <c r="F13233">
        <v>36</v>
      </c>
      <c r="G13233">
        <f>LOG(382/(36+1))</f>
        <v>1.0138616388447137</v>
      </c>
      <c r="H13233">
        <f>0.0106382978723404*2.33450269596235</f>
        <v>2.4835135063429194E-2</v>
      </c>
      <c r="I13233">
        <v>2.483513506342926E-2</v>
      </c>
    </row>
    <row r="13234" spans="1:9" x14ac:dyDescent="0.25">
      <c r="A13234">
        <v>467</v>
      </c>
      <c r="B13234" t="s">
        <v>3776</v>
      </c>
      <c r="C13234" t="s">
        <v>75</v>
      </c>
      <c r="D13234" t="s">
        <v>1161</v>
      </c>
      <c r="E13234">
        <f>1/94</f>
        <v>1.0638297872340425E-2</v>
      </c>
      <c r="F13234">
        <v>2</v>
      </c>
      <c r="G13234">
        <f>LOG(382/(2+1))</f>
        <v>2.1049421081920463</v>
      </c>
      <c r="H13234">
        <f>0.0106382978723404*4.84680831993846</f>
        <v>5.1561790637643067E-2</v>
      </c>
      <c r="I13234">
        <v>5.1561790637643247E-2</v>
      </c>
    </row>
    <row r="13235" spans="1:9" x14ac:dyDescent="0.25">
      <c r="A13235">
        <v>467</v>
      </c>
      <c r="B13235" t="s">
        <v>3776</v>
      </c>
      <c r="C13235" t="s">
        <v>75</v>
      </c>
      <c r="D13235" t="s">
        <v>3765</v>
      </c>
      <c r="E13235">
        <f>2/94</f>
        <v>2.1276595744680851E-2</v>
      </c>
      <c r="F13235">
        <v>2</v>
      </c>
      <c r="G13235">
        <f>LOG(382/(2+1))</f>
        <v>2.1049421081920463</v>
      </c>
      <c r="H13235">
        <f>0.0212765957446808*4.84680831993846</f>
        <v>0.10312358127528613</v>
      </c>
      <c r="I13235">
        <v>0.10312358127528649</v>
      </c>
    </row>
    <row r="13236" spans="1:9" x14ac:dyDescent="0.25">
      <c r="A13236">
        <v>467</v>
      </c>
      <c r="B13236" t="s">
        <v>3776</v>
      </c>
      <c r="C13236" t="s">
        <v>75</v>
      </c>
      <c r="D13236" t="s">
        <v>3780</v>
      </c>
      <c r="E13236">
        <f>1/94</f>
        <v>1.0638297872340425E-2</v>
      </c>
      <c r="F13236">
        <v>1</v>
      </c>
      <c r="G13236">
        <f>LOG(382/(1+1))</f>
        <v>2.2810333672477277</v>
      </c>
      <c r="H13236">
        <f>0.0106382978723404*5.25227342804663</f>
        <v>5.5875249234538481E-2</v>
      </c>
      <c r="I13236">
        <v>5.5875249234538613E-2</v>
      </c>
    </row>
    <row r="13237" spans="1:9" x14ac:dyDescent="0.25">
      <c r="A13237">
        <v>467</v>
      </c>
      <c r="B13237" t="s">
        <v>3776</v>
      </c>
      <c r="C13237" t="s">
        <v>75</v>
      </c>
      <c r="D13237" t="s">
        <v>2564</v>
      </c>
      <c r="E13237">
        <f>1/94</f>
        <v>1.0638297872340425E-2</v>
      </c>
      <c r="F13237">
        <v>3</v>
      </c>
      <c r="G13237">
        <f>LOG(382/(3+1))</f>
        <v>1.9800033715837464</v>
      </c>
      <c r="H13237">
        <f>0.0106382978723404*4.55912624748668</f>
        <v>4.8501343058368819E-2</v>
      </c>
      <c r="I13237">
        <v>4.8501343058368993E-2</v>
      </c>
    </row>
    <row r="13238" spans="1:9" x14ac:dyDescent="0.25">
      <c r="A13238">
        <v>467</v>
      </c>
      <c r="B13238" t="s">
        <v>3776</v>
      </c>
      <c r="C13238" t="s">
        <v>75</v>
      </c>
      <c r="D13238" t="s">
        <v>40</v>
      </c>
      <c r="E13238">
        <f>2/94</f>
        <v>2.1276595744680851E-2</v>
      </c>
      <c r="F13238">
        <v>159</v>
      </c>
      <c r="G13238">
        <f>LOG(382/(159+1))</f>
        <v>0.377943380255784</v>
      </c>
      <c r="H13238">
        <f>0.0212765957446808*0.870246793372748</f>
        <v>1.8515889220696722E-2</v>
      </c>
      <c r="I13238">
        <v>1.8515889220696771E-2</v>
      </c>
    </row>
    <row r="13239" spans="1:9" x14ac:dyDescent="0.25">
      <c r="A13239">
        <v>467</v>
      </c>
      <c r="B13239" t="s">
        <v>3776</v>
      </c>
      <c r="C13239" t="s">
        <v>75</v>
      </c>
      <c r="D13239" t="s">
        <v>41</v>
      </c>
      <c r="E13239">
        <f>2/94</f>
        <v>2.1276595744680851E-2</v>
      </c>
      <c r="F13239">
        <v>195</v>
      </c>
      <c r="G13239">
        <f>LOG(382/(195+1))</f>
        <v>0.28980729155523272</v>
      </c>
      <c r="H13239">
        <f>0.0212765957446808*0.667305949376058</f>
        <v>1.4197998922894816E-2</v>
      </c>
      <c r="I13239">
        <v>1.4197998922894851E-2</v>
      </c>
    </row>
    <row r="13240" spans="1:9" x14ac:dyDescent="0.25">
      <c r="A13240">
        <v>467</v>
      </c>
      <c r="B13240" t="s">
        <v>3776</v>
      </c>
      <c r="C13240" t="s">
        <v>75</v>
      </c>
      <c r="D13240" t="s">
        <v>3781</v>
      </c>
      <c r="E13240">
        <f>1/94</f>
        <v>1.0638297872340425E-2</v>
      </c>
      <c r="F13240">
        <v>1</v>
      </c>
      <c r="G13240">
        <f>LOG(382/(1+1))</f>
        <v>2.2810333672477277</v>
      </c>
      <c r="H13240">
        <f>0.0106382978723404*5.25227342804663</f>
        <v>5.5875249234538481E-2</v>
      </c>
      <c r="I13240">
        <v>5.5875249234538613E-2</v>
      </c>
    </row>
    <row r="13241" spans="1:9" x14ac:dyDescent="0.25">
      <c r="A13241">
        <v>467</v>
      </c>
      <c r="B13241" t="s">
        <v>3776</v>
      </c>
      <c r="C13241" t="s">
        <v>75</v>
      </c>
      <c r="D13241" t="s">
        <v>237</v>
      </c>
      <c r="E13241">
        <f>2/94</f>
        <v>2.1276595744680851E-2</v>
      </c>
      <c r="F13241">
        <v>138</v>
      </c>
      <c r="G13241">
        <f>LOG(382/(138+1))</f>
        <v>0.43904856265761361</v>
      </c>
      <c r="H13241">
        <f>0.0212765957446808*1.01094667547588</f>
        <v>2.1509503733529309E-2</v>
      </c>
      <c r="I13241">
        <v>2.1509503733529431E-2</v>
      </c>
    </row>
    <row r="13242" spans="1:9" x14ac:dyDescent="0.25">
      <c r="A13242">
        <v>467</v>
      </c>
      <c r="B13242" t="s">
        <v>3776</v>
      </c>
      <c r="C13242" t="s">
        <v>75</v>
      </c>
      <c r="D13242" t="s">
        <v>133</v>
      </c>
      <c r="E13242">
        <f>2/94</f>
        <v>2.1276595744680851E-2</v>
      </c>
      <c r="F13242">
        <v>142</v>
      </c>
      <c r="G13242">
        <f>LOG(382/(142+1))</f>
        <v>0.42672732544664693</v>
      </c>
      <c r="H13242">
        <f>0.0212765957446808*0.982575978346667</f>
        <v>2.0905871879716268E-2</v>
      </c>
      <c r="I13242">
        <v>2.0905871879716341E-2</v>
      </c>
    </row>
    <row r="13243" spans="1:9" x14ac:dyDescent="0.25">
      <c r="A13243">
        <v>467</v>
      </c>
      <c r="B13243" t="s">
        <v>3776</v>
      </c>
      <c r="C13243" t="s">
        <v>75</v>
      </c>
      <c r="D13243" t="s">
        <v>1769</v>
      </c>
      <c r="E13243">
        <f>4/94</f>
        <v>4.2553191489361701E-2</v>
      </c>
      <c r="F13243">
        <v>84</v>
      </c>
      <c r="G13243">
        <f>LOG(382/(84+1))</f>
        <v>0.65264443719741605</v>
      </c>
      <c r="H13243">
        <f>0.0425531914893617*1.50276935211625</f>
        <v>6.3947632004946811E-2</v>
      </c>
      <c r="I13243">
        <v>6.3947632004947186E-2</v>
      </c>
    </row>
    <row r="13244" spans="1:9" x14ac:dyDescent="0.25">
      <c r="A13244">
        <v>467</v>
      </c>
      <c r="B13244" t="s">
        <v>3776</v>
      </c>
      <c r="C13244" t="s">
        <v>75</v>
      </c>
      <c r="D13244" t="s">
        <v>76</v>
      </c>
      <c r="E13244">
        <f>2/94</f>
        <v>2.1276595744680851E-2</v>
      </c>
      <c r="F13244">
        <v>140</v>
      </c>
      <c r="G13244">
        <f>LOG(382/(140+1))</f>
        <v>0.43284425025632883</v>
      </c>
      <c r="H13244">
        <f>0.0212765957446808*0.996660718228407</f>
        <v>2.1205547196349032E-2</v>
      </c>
      <c r="I13244">
        <v>2.1205547196349081E-2</v>
      </c>
    </row>
    <row r="13245" spans="1:9" x14ac:dyDescent="0.25">
      <c r="A13245">
        <v>467</v>
      </c>
      <c r="B13245" t="s">
        <v>3776</v>
      </c>
      <c r="C13245" t="s">
        <v>75</v>
      </c>
      <c r="D13245" t="s">
        <v>77</v>
      </c>
      <c r="E13245">
        <f>1/94</f>
        <v>1.0638297872340425E-2</v>
      </c>
      <c r="F13245">
        <v>148</v>
      </c>
      <c r="G13245">
        <f>LOG(382/(148+1))</f>
        <v>0.40887709449943471</v>
      </c>
      <c r="H13245">
        <f>0.0106382978723404*0.941474302661116</f>
        <v>1.0015684070862911E-2</v>
      </c>
      <c r="I13245">
        <v>1.0015684070862939E-2</v>
      </c>
    </row>
    <row r="13246" spans="1:9" x14ac:dyDescent="0.25">
      <c r="A13246">
        <v>467</v>
      </c>
      <c r="B13246" t="s">
        <v>3776</v>
      </c>
      <c r="C13246" t="s">
        <v>75</v>
      </c>
      <c r="D13246" t="s">
        <v>1384</v>
      </c>
      <c r="E13246">
        <f>2/94</f>
        <v>2.1276595744680851E-2</v>
      </c>
      <c r="F13246">
        <v>3</v>
      </c>
      <c r="G13246">
        <f>LOG(382/(3+1))</f>
        <v>1.9800033715837464</v>
      </c>
      <c r="H13246">
        <f>0.0212765957446808*4.55912624748668</f>
        <v>9.7002686116737638E-2</v>
      </c>
      <c r="I13246">
        <v>9.7002686116737971E-2</v>
      </c>
    </row>
    <row r="13247" spans="1:9" x14ac:dyDescent="0.25">
      <c r="A13247">
        <v>467</v>
      </c>
      <c r="B13247" t="s">
        <v>3776</v>
      </c>
      <c r="C13247" t="s">
        <v>75</v>
      </c>
      <c r="D13247" t="s">
        <v>322</v>
      </c>
      <c r="E13247">
        <f>2/94</f>
        <v>2.1276595744680851E-2</v>
      </c>
      <c r="F13247">
        <v>128</v>
      </c>
      <c r="G13247">
        <f>LOG(382/(128+1))</f>
        <v>0.47147365261245977</v>
      </c>
      <c r="H13247">
        <f>0.0212765957446808*1.0856082042449</f>
        <v>2.3098046898827603E-2</v>
      </c>
      <c r="I13247">
        <v>2.3098046898827721E-2</v>
      </c>
    </row>
    <row r="13248" spans="1:9" x14ac:dyDescent="0.25">
      <c r="A13248">
        <v>467</v>
      </c>
      <c r="B13248" t="s">
        <v>3776</v>
      </c>
      <c r="C13248" t="s">
        <v>75</v>
      </c>
      <c r="D13248" t="s">
        <v>3782</v>
      </c>
      <c r="E13248">
        <f t="shared" ref="E13248:E13256" si="626">1/94</f>
        <v>1.0638297872340425E-2</v>
      </c>
      <c r="F13248">
        <v>1</v>
      </c>
      <c r="G13248">
        <f>LOG(382/(1+1))</f>
        <v>2.2810333672477277</v>
      </c>
      <c r="H13248">
        <f>0.0106382978723404*5.25227342804663</f>
        <v>5.5875249234538481E-2</v>
      </c>
      <c r="I13248">
        <v>5.5875249234538613E-2</v>
      </c>
    </row>
    <row r="13249" spans="1:9" x14ac:dyDescent="0.25">
      <c r="A13249">
        <v>467</v>
      </c>
      <c r="B13249" t="s">
        <v>3776</v>
      </c>
      <c r="C13249" t="s">
        <v>75</v>
      </c>
      <c r="D13249" t="s">
        <v>362</v>
      </c>
      <c r="E13249">
        <f t="shared" si="626"/>
        <v>1.0638297872340425E-2</v>
      </c>
      <c r="F13249">
        <v>81</v>
      </c>
      <c r="G13249">
        <f>LOG(382/(81+1))</f>
        <v>0.66824951052799197</v>
      </c>
      <c r="H13249">
        <f>0.0106382978723404*1.53870136134232</f>
        <v>1.6369163418535278E-2</v>
      </c>
      <c r="I13249">
        <v>1.6369163418535341E-2</v>
      </c>
    </row>
    <row r="13250" spans="1:9" x14ac:dyDescent="0.25">
      <c r="A13250">
        <v>467</v>
      </c>
      <c r="B13250" t="s">
        <v>3776</v>
      </c>
      <c r="C13250" t="s">
        <v>75</v>
      </c>
      <c r="D13250" t="s">
        <v>1762</v>
      </c>
      <c r="E13250">
        <f t="shared" si="626"/>
        <v>1.0638297872340425E-2</v>
      </c>
      <c r="F13250">
        <v>60</v>
      </c>
      <c r="G13250">
        <f>LOG(382/(60+1))</f>
        <v>0.79673352790094176</v>
      </c>
      <c r="H13250">
        <f>0.0106382978723404*1.83454674443326</f>
        <v>1.9516454728013357E-2</v>
      </c>
      <c r="I13250">
        <v>1.9516454728013451E-2</v>
      </c>
    </row>
    <row r="13251" spans="1:9" x14ac:dyDescent="0.25">
      <c r="A13251">
        <v>467</v>
      </c>
      <c r="B13251" t="s">
        <v>3776</v>
      </c>
      <c r="C13251" t="s">
        <v>75</v>
      </c>
      <c r="D13251" t="s">
        <v>126</v>
      </c>
      <c r="E13251">
        <f t="shared" si="626"/>
        <v>1.0638297872340425E-2</v>
      </c>
      <c r="F13251">
        <v>79</v>
      </c>
      <c r="G13251">
        <f>LOG(382/(79+1))</f>
        <v>0.67897337591976514</v>
      </c>
      <c r="H13251">
        <f>0.0106382978723404*1.56339397393269</f>
        <v>1.6631850786517938E-2</v>
      </c>
      <c r="I13251">
        <v>1.6631850786518021E-2</v>
      </c>
    </row>
    <row r="13252" spans="1:9" x14ac:dyDescent="0.25">
      <c r="A13252">
        <v>467</v>
      </c>
      <c r="B13252" t="s">
        <v>3776</v>
      </c>
      <c r="C13252" t="s">
        <v>75</v>
      </c>
      <c r="D13252" t="s">
        <v>50</v>
      </c>
      <c r="E13252">
        <f t="shared" si="626"/>
        <v>1.0638297872340425E-2</v>
      </c>
      <c r="F13252">
        <v>109</v>
      </c>
      <c r="G13252">
        <f>LOG(382/(109+1))</f>
        <v>0.54067067775348365</v>
      </c>
      <c r="H13252">
        <f>0.0106382978723404*1.24494024281415</f>
        <v>1.3244045136320713E-2</v>
      </c>
      <c r="I13252">
        <v>1.3244045136320839E-2</v>
      </c>
    </row>
    <row r="13253" spans="1:9" x14ac:dyDescent="0.25">
      <c r="A13253">
        <v>467</v>
      </c>
      <c r="B13253" t="s">
        <v>3776</v>
      </c>
      <c r="C13253" t="s">
        <v>75</v>
      </c>
      <c r="D13253" t="s">
        <v>1730</v>
      </c>
      <c r="E13253">
        <f t="shared" si="626"/>
        <v>1.0638297872340425E-2</v>
      </c>
      <c r="F13253">
        <v>35</v>
      </c>
      <c r="G13253">
        <f>LOG(382/(35+1))</f>
        <v>1.0257608621444214</v>
      </c>
      <c r="H13253">
        <f>0.0106382978723404*2.36190167015046</f>
        <v>2.5126613512238875E-2</v>
      </c>
      <c r="I13253">
        <v>2.512661351223899E-2</v>
      </c>
    </row>
    <row r="13254" spans="1:9" x14ac:dyDescent="0.25">
      <c r="A13254">
        <v>467</v>
      </c>
      <c r="B13254" t="s">
        <v>3776</v>
      </c>
      <c r="C13254" t="s">
        <v>75</v>
      </c>
      <c r="D13254" t="s">
        <v>1261</v>
      </c>
      <c r="E13254">
        <f t="shared" si="626"/>
        <v>1.0638297872340425E-2</v>
      </c>
      <c r="F13254">
        <v>12</v>
      </c>
      <c r="G13254">
        <f>LOG(382/(12+1))</f>
        <v>1.468120010604872</v>
      </c>
      <c r="H13254">
        <f>0.0106382978723404*3.38047125114503</f>
        <v>3.5962460118564063E-2</v>
      </c>
      <c r="I13254">
        <v>3.5962460118564243E-2</v>
      </c>
    </row>
    <row r="13255" spans="1:9" x14ac:dyDescent="0.25">
      <c r="A13255">
        <v>467</v>
      </c>
      <c r="B13255" t="s">
        <v>3776</v>
      </c>
      <c r="C13255" t="s">
        <v>75</v>
      </c>
      <c r="D13255" t="s">
        <v>3718</v>
      </c>
      <c r="E13255">
        <f t="shared" si="626"/>
        <v>1.0638297872340425E-2</v>
      </c>
      <c r="F13255">
        <v>4</v>
      </c>
      <c r="G13255">
        <f>LOG(382/(4+1))</f>
        <v>1.8830933585756899</v>
      </c>
      <c r="H13255">
        <f>0.0106382978723404*4.33598269617247</f>
        <v>4.6127475491196376E-2</v>
      </c>
      <c r="I13255">
        <v>4.6127475491196543E-2</v>
      </c>
    </row>
    <row r="13256" spans="1:9" x14ac:dyDescent="0.25">
      <c r="A13256">
        <v>467</v>
      </c>
      <c r="B13256" t="s">
        <v>3776</v>
      </c>
      <c r="C13256" t="s">
        <v>75</v>
      </c>
      <c r="D13256" t="s">
        <v>929</v>
      </c>
      <c r="E13256">
        <f t="shared" si="626"/>
        <v>1.0638297872340425E-2</v>
      </c>
      <c r="F13256">
        <v>32</v>
      </c>
      <c r="G13256">
        <f>LOG(382/(32+1))</f>
        <v>1.0635494230338212</v>
      </c>
      <c r="H13256">
        <f>0.0106382978723404*2.44891304714009</f>
        <v>2.6052266458937066E-2</v>
      </c>
      <c r="I13256">
        <v>2.6052266458937181E-2</v>
      </c>
    </row>
    <row r="13257" spans="1:9" x14ac:dyDescent="0.25">
      <c r="A13257">
        <v>467</v>
      </c>
      <c r="B13257" t="s">
        <v>3776</v>
      </c>
      <c r="C13257" t="s">
        <v>75</v>
      </c>
      <c r="D13257" t="s">
        <v>78</v>
      </c>
      <c r="E13257">
        <f>2/94</f>
        <v>2.1276595744680851E-2</v>
      </c>
      <c r="F13257">
        <v>122</v>
      </c>
      <c r="G13257">
        <f>LOG(382/(122+1))</f>
        <v>0.49215825147231079</v>
      </c>
      <c r="H13257">
        <f>0.0212765957446808*1.13323625323415</f>
        <v>2.4111409643279728E-2</v>
      </c>
      <c r="I13257">
        <v>2.411140964327995E-2</v>
      </c>
    </row>
    <row r="13258" spans="1:9" x14ac:dyDescent="0.25">
      <c r="A13258">
        <v>467</v>
      </c>
      <c r="B13258" t="s">
        <v>3776</v>
      </c>
      <c r="C13258" t="s">
        <v>75</v>
      </c>
      <c r="D13258" t="s">
        <v>3783</v>
      </c>
      <c r="E13258">
        <f t="shared" ref="E13258:E13270" si="627">1/94</f>
        <v>1.0638297872340425E-2</v>
      </c>
      <c r="F13258">
        <v>2</v>
      </c>
      <c r="G13258">
        <f>LOG(382/(2+1))</f>
        <v>2.1049421081920463</v>
      </c>
      <c r="H13258">
        <f>0.0106382978723404*4.84680831993846</f>
        <v>5.1561790637643067E-2</v>
      </c>
      <c r="I13258">
        <v>5.1561790637643247E-2</v>
      </c>
    </row>
    <row r="13259" spans="1:9" x14ac:dyDescent="0.25">
      <c r="A13259">
        <v>467</v>
      </c>
      <c r="B13259" t="s">
        <v>3776</v>
      </c>
      <c r="C13259" t="s">
        <v>75</v>
      </c>
      <c r="D13259" t="s">
        <v>3784</v>
      </c>
      <c r="E13259">
        <f t="shared" si="627"/>
        <v>1.0638297872340425E-2</v>
      </c>
      <c r="F13259">
        <v>1</v>
      </c>
      <c r="G13259">
        <f>LOG(382/(1+1))</f>
        <v>2.2810333672477277</v>
      </c>
      <c r="H13259">
        <f>0.0106382978723404*5.25227342804663</f>
        <v>5.5875249234538481E-2</v>
      </c>
      <c r="I13259">
        <v>5.5875249234538613E-2</v>
      </c>
    </row>
    <row r="13260" spans="1:9" x14ac:dyDescent="0.25">
      <c r="A13260">
        <v>467</v>
      </c>
      <c r="B13260" t="s">
        <v>3776</v>
      </c>
      <c r="C13260" t="s">
        <v>75</v>
      </c>
      <c r="D13260" t="s">
        <v>1000</v>
      </c>
      <c r="E13260">
        <f t="shared" si="627"/>
        <v>1.0638297872340425E-2</v>
      </c>
      <c r="F13260">
        <v>3</v>
      </c>
      <c r="G13260">
        <f>LOG(382/(3+1))</f>
        <v>1.9800033715837464</v>
      </c>
      <c r="H13260">
        <f>0.0106382978723404*4.55912624748668</f>
        <v>4.8501343058368819E-2</v>
      </c>
      <c r="I13260">
        <v>4.8501343058368993E-2</v>
      </c>
    </row>
    <row r="13261" spans="1:9" x14ac:dyDescent="0.25">
      <c r="A13261">
        <v>467</v>
      </c>
      <c r="B13261" t="s">
        <v>3776</v>
      </c>
      <c r="C13261" t="s">
        <v>75</v>
      </c>
      <c r="D13261" t="s">
        <v>3785</v>
      </c>
      <c r="E13261">
        <f t="shared" si="627"/>
        <v>1.0638297872340425E-2</v>
      </c>
      <c r="F13261">
        <v>1</v>
      </c>
      <c r="G13261">
        <f>LOG(382/(1+1))</f>
        <v>2.2810333672477277</v>
      </c>
      <c r="H13261">
        <f>0.0106382978723404*5.25227342804663</f>
        <v>5.5875249234538481E-2</v>
      </c>
      <c r="I13261">
        <v>5.5875249234538613E-2</v>
      </c>
    </row>
    <row r="13262" spans="1:9" x14ac:dyDescent="0.25">
      <c r="A13262">
        <v>467</v>
      </c>
      <c r="B13262" t="s">
        <v>3776</v>
      </c>
      <c r="C13262" t="s">
        <v>75</v>
      </c>
      <c r="D13262" t="s">
        <v>81</v>
      </c>
      <c r="E13262">
        <f t="shared" si="627"/>
        <v>1.0638297872340425E-2</v>
      </c>
      <c r="F13262">
        <v>114</v>
      </c>
      <c r="G13262">
        <f>LOG(382/(114+1))</f>
        <v>0.52136552255809698</v>
      </c>
      <c r="H13262">
        <f>0.0106382978723404*1.20048848024332</f>
        <v>1.277115404514167E-2</v>
      </c>
      <c r="I13262">
        <v>1.277115404514176E-2</v>
      </c>
    </row>
    <row r="13263" spans="1:9" x14ac:dyDescent="0.25">
      <c r="A13263">
        <v>467</v>
      </c>
      <c r="B13263" t="s">
        <v>3776</v>
      </c>
      <c r="C13263" t="s">
        <v>75</v>
      </c>
      <c r="D13263" t="s">
        <v>1208</v>
      </c>
      <c r="E13263">
        <f t="shared" si="627"/>
        <v>1.0638297872340425E-2</v>
      </c>
      <c r="F13263">
        <v>10</v>
      </c>
      <c r="G13263">
        <f>LOG(382/(10+1))</f>
        <v>1.5406706777534838</v>
      </c>
      <c r="H13263">
        <f>0.0106382978723404*3.5475253358082</f>
        <v>3.7739631232002038E-2</v>
      </c>
      <c r="I13263">
        <v>3.7739631232002177E-2</v>
      </c>
    </row>
    <row r="13264" spans="1:9" x14ac:dyDescent="0.25">
      <c r="A13264">
        <v>467</v>
      </c>
      <c r="B13264" t="s">
        <v>3776</v>
      </c>
      <c r="C13264" t="s">
        <v>75</v>
      </c>
      <c r="D13264" t="s">
        <v>3786</v>
      </c>
      <c r="E13264">
        <f t="shared" si="627"/>
        <v>1.0638297872340425E-2</v>
      </c>
      <c r="F13264">
        <v>1</v>
      </c>
      <c r="G13264">
        <f>LOG(382/(1+1))</f>
        <v>2.2810333672477277</v>
      </c>
      <c r="H13264">
        <f>0.0106382978723404*5.25227342804663</f>
        <v>5.5875249234538481E-2</v>
      </c>
      <c r="I13264">
        <v>5.5875249234538613E-2</v>
      </c>
    </row>
    <row r="13265" spans="1:9" x14ac:dyDescent="0.25">
      <c r="A13265">
        <v>467</v>
      </c>
      <c r="B13265" t="s">
        <v>3776</v>
      </c>
      <c r="C13265" t="s">
        <v>75</v>
      </c>
      <c r="D13265" t="s">
        <v>1480</v>
      </c>
      <c r="E13265">
        <f t="shared" si="627"/>
        <v>1.0638297872340425E-2</v>
      </c>
      <c r="F13265">
        <v>11</v>
      </c>
      <c r="G13265">
        <f>LOG(382/(11+1))</f>
        <v>1.5028821168640838</v>
      </c>
      <c r="H13265">
        <f>0.0106382978723404*3.46051395881857</f>
        <v>3.6813978285303847E-2</v>
      </c>
      <c r="I13265">
        <v>3.6813978285303993E-2</v>
      </c>
    </row>
    <row r="13266" spans="1:9" x14ac:dyDescent="0.25">
      <c r="A13266">
        <v>467</v>
      </c>
      <c r="B13266" t="s">
        <v>3776</v>
      </c>
      <c r="C13266" t="s">
        <v>75</v>
      </c>
      <c r="D13266" t="s">
        <v>762</v>
      </c>
      <c r="E13266">
        <f t="shared" si="627"/>
        <v>1.0638297872340425E-2</v>
      </c>
      <c r="F13266">
        <v>29</v>
      </c>
      <c r="G13266">
        <f>LOG(382/(29+1))</f>
        <v>1.1049421081920463</v>
      </c>
      <c r="H13266">
        <f>0.0106382978723404*2.54422322694442</f>
        <v>2.7066204541961847E-2</v>
      </c>
      <c r="I13266">
        <v>2.7066204541961909E-2</v>
      </c>
    </row>
    <row r="13267" spans="1:9" x14ac:dyDescent="0.25">
      <c r="A13267">
        <v>467</v>
      </c>
      <c r="B13267" t="s">
        <v>3776</v>
      </c>
      <c r="C13267" t="s">
        <v>75</v>
      </c>
      <c r="D13267" t="s">
        <v>795</v>
      </c>
      <c r="E13267">
        <f t="shared" si="627"/>
        <v>1.0638297872340425E-2</v>
      </c>
      <c r="F13267">
        <v>2</v>
      </c>
      <c r="G13267">
        <f>LOG(382/(2+1))</f>
        <v>2.1049421081920463</v>
      </c>
      <c r="H13267">
        <f>0.0106382978723404*4.84680831993846</f>
        <v>5.1561790637643067E-2</v>
      </c>
      <c r="I13267">
        <v>5.1561790637643247E-2</v>
      </c>
    </row>
    <row r="13268" spans="1:9" x14ac:dyDescent="0.25">
      <c r="A13268">
        <v>467</v>
      </c>
      <c r="B13268" t="s">
        <v>3776</v>
      </c>
      <c r="C13268" t="s">
        <v>75</v>
      </c>
      <c r="D13268" t="s">
        <v>361</v>
      </c>
      <c r="E13268">
        <f t="shared" si="627"/>
        <v>1.0638297872340425E-2</v>
      </c>
      <c r="F13268">
        <v>118</v>
      </c>
      <c r="G13268">
        <f>LOG(382/(118+1))</f>
        <v>0.50651640151917798</v>
      </c>
      <c r="H13268">
        <f>0.0106382978723404*1.16629711549504</f>
        <v>1.2407416122287627E-2</v>
      </c>
      <c r="I13268">
        <v>1.2407416122287721E-2</v>
      </c>
    </row>
    <row r="13269" spans="1:9" x14ac:dyDescent="0.25">
      <c r="A13269">
        <v>467</v>
      </c>
      <c r="B13269" t="s">
        <v>3776</v>
      </c>
      <c r="C13269" t="s">
        <v>75</v>
      </c>
      <c r="D13269" t="s">
        <v>434</v>
      </c>
      <c r="E13269">
        <f t="shared" si="627"/>
        <v>1.0638297872340425E-2</v>
      </c>
      <c r="F13269">
        <v>97</v>
      </c>
      <c r="G13269">
        <f>LOG(382/(97+1))</f>
        <v>0.59083728721921391</v>
      </c>
      <c r="H13269">
        <f>0.0106382978723404*1.360453129936</f>
        <v>1.4472905637616986E-2</v>
      </c>
      <c r="I13269">
        <v>1.4472905637617059E-2</v>
      </c>
    </row>
    <row r="13270" spans="1:9" x14ac:dyDescent="0.25">
      <c r="A13270">
        <v>467</v>
      </c>
      <c r="B13270" t="s">
        <v>3776</v>
      </c>
      <c r="C13270" t="s">
        <v>75</v>
      </c>
      <c r="D13270" t="s">
        <v>214</v>
      </c>
      <c r="E13270">
        <f t="shared" si="627"/>
        <v>1.0638297872340425E-2</v>
      </c>
      <c r="F13270">
        <v>68</v>
      </c>
      <c r="G13270">
        <f>LOG(382/(68+1))</f>
        <v>0.74321427217445335</v>
      </c>
      <c r="H13270">
        <f>0.0106382978723404*1.71131410400931</f>
        <v>1.8205469191588358E-2</v>
      </c>
      <c r="I13270">
        <v>1.8205469191588469E-2</v>
      </c>
    </row>
    <row r="13271" spans="1:9" x14ac:dyDescent="0.25">
      <c r="A13271">
        <v>467</v>
      </c>
      <c r="B13271" t="s">
        <v>3776</v>
      </c>
      <c r="C13271" t="s">
        <v>75</v>
      </c>
      <c r="D13271" t="s">
        <v>243</v>
      </c>
      <c r="E13271">
        <f>2/94</f>
        <v>2.1276595744680851E-2</v>
      </c>
      <c r="F13271">
        <v>131</v>
      </c>
      <c r="G13271">
        <f>LOG(382/(131+1))</f>
        <v>0.46148943170585888</v>
      </c>
      <c r="H13271">
        <f>0.0212765957446808*1.0626186860202</f>
        <v>2.2608908213195691E-2</v>
      </c>
      <c r="I13271">
        <v>2.260890821319584E-2</v>
      </c>
    </row>
    <row r="13272" spans="1:9" x14ac:dyDescent="0.25">
      <c r="A13272">
        <v>467</v>
      </c>
      <c r="B13272" t="s">
        <v>3776</v>
      </c>
      <c r="C13272" t="s">
        <v>75</v>
      </c>
      <c r="D13272" t="s">
        <v>453</v>
      </c>
      <c r="E13272">
        <f>1/94</f>
        <v>1.0638297872340425E-2</v>
      </c>
      <c r="F13272">
        <v>68</v>
      </c>
      <c r="G13272">
        <f>LOG(382/(68+1))</f>
        <v>0.74321427217445335</v>
      </c>
      <c r="H13272">
        <f>0.0106382978723404*1.71131410400931</f>
        <v>1.8205469191588358E-2</v>
      </c>
      <c r="I13272">
        <v>1.8205469191588469E-2</v>
      </c>
    </row>
    <row r="13273" spans="1:9" x14ac:dyDescent="0.25">
      <c r="A13273">
        <v>467</v>
      </c>
      <c r="B13273" t="s">
        <v>3776</v>
      </c>
      <c r="C13273" t="s">
        <v>75</v>
      </c>
      <c r="D13273" t="s">
        <v>455</v>
      </c>
      <c r="E13273">
        <f>2/94</f>
        <v>2.1276595744680851E-2</v>
      </c>
      <c r="F13273">
        <v>78</v>
      </c>
      <c r="G13273">
        <f>LOG(382/(78+1))</f>
        <v>0.6844362716212673</v>
      </c>
      <c r="H13273">
        <f>0.0212765957446808*1.57597275613955</f>
        <v>3.3531335237011621E-2</v>
      </c>
      <c r="I13273">
        <v>3.3531335237011781E-2</v>
      </c>
    </row>
    <row r="13274" spans="1:9" x14ac:dyDescent="0.25">
      <c r="A13274">
        <v>467</v>
      </c>
      <c r="B13274" t="s">
        <v>3776</v>
      </c>
      <c r="C13274" t="s">
        <v>75</v>
      </c>
      <c r="D13274" t="s">
        <v>456</v>
      </c>
      <c r="E13274">
        <f>2/94</f>
        <v>2.1276595744680851E-2</v>
      </c>
      <c r="F13274">
        <v>71</v>
      </c>
      <c r="G13274">
        <f>LOG(382/(71+1))</f>
        <v>0.72473086648044027</v>
      </c>
      <c r="H13274">
        <f>0.0212765957446808*1.66875448959051</f>
        <v>3.550541467213842E-2</v>
      </c>
      <c r="I13274">
        <v>3.5505414672138719E-2</v>
      </c>
    </row>
    <row r="13275" spans="1:9" x14ac:dyDescent="0.25">
      <c r="A13275">
        <v>467</v>
      </c>
      <c r="B13275" t="s">
        <v>3776</v>
      </c>
      <c r="C13275" t="s">
        <v>75</v>
      </c>
      <c r="D13275" t="s">
        <v>3787</v>
      </c>
      <c r="E13275">
        <f>1/94</f>
        <v>1.0638297872340425E-2</v>
      </c>
      <c r="F13275">
        <v>1</v>
      </c>
      <c r="G13275">
        <f>LOG(382/(1+1))</f>
        <v>2.2810333672477277</v>
      </c>
      <c r="H13275">
        <f>0.0106382978723404*5.25227342804663</f>
        <v>5.5875249234538481E-2</v>
      </c>
      <c r="I13275">
        <v>5.5875249234538613E-2</v>
      </c>
    </row>
    <row r="13276" spans="1:9" x14ac:dyDescent="0.25">
      <c r="A13276">
        <v>467</v>
      </c>
      <c r="B13276" t="s">
        <v>3776</v>
      </c>
      <c r="C13276" t="s">
        <v>75</v>
      </c>
      <c r="D13276" t="s">
        <v>3788</v>
      </c>
      <c r="E13276">
        <f>1/94</f>
        <v>1.0638297872340425E-2</v>
      </c>
      <c r="F13276">
        <v>1</v>
      </c>
      <c r="G13276">
        <f>LOG(382/(1+1))</f>
        <v>2.2810333672477277</v>
      </c>
      <c r="H13276">
        <f>0.0106382978723404*5.25227342804663</f>
        <v>5.5875249234538481E-2</v>
      </c>
      <c r="I13276">
        <v>5.5875249234538613E-2</v>
      </c>
    </row>
    <row r="13277" spans="1:9" x14ac:dyDescent="0.25">
      <c r="A13277">
        <v>467</v>
      </c>
      <c r="B13277" t="s">
        <v>3776</v>
      </c>
      <c r="C13277" t="s">
        <v>75</v>
      </c>
      <c r="D13277" t="s">
        <v>770</v>
      </c>
      <c r="E13277">
        <f>1/94</f>
        <v>1.0638297872340425E-2</v>
      </c>
      <c r="F13277">
        <v>47</v>
      </c>
      <c r="G13277">
        <f>LOG(382/(47+1))</f>
        <v>0.90082212553612151</v>
      </c>
      <c r="H13277">
        <f>0.0106382978723404*2.07421959769868</f>
        <v>2.2066165932964628E-2</v>
      </c>
      <c r="I13277">
        <v>2.2066165932964728E-2</v>
      </c>
    </row>
    <row r="13278" spans="1:9" x14ac:dyDescent="0.25">
      <c r="A13278">
        <v>467</v>
      </c>
      <c r="B13278" t="s">
        <v>3776</v>
      </c>
      <c r="C13278" t="s">
        <v>75</v>
      </c>
      <c r="D13278" t="s">
        <v>307</v>
      </c>
      <c r="E13278">
        <f>1/94</f>
        <v>1.0638297872340425E-2</v>
      </c>
      <c r="F13278">
        <v>67</v>
      </c>
      <c r="G13278">
        <f>LOG(382/(67+1))</f>
        <v>0.7495544502054724</v>
      </c>
      <c r="H13278">
        <f>0.0106382978723404*1.72591290343046</f>
        <v>1.8360775568409104E-2</v>
      </c>
      <c r="I13278">
        <v>1.8360775568409239E-2</v>
      </c>
    </row>
    <row r="13279" spans="1:9" x14ac:dyDescent="0.25">
      <c r="A13279">
        <v>467</v>
      </c>
      <c r="B13279" t="s">
        <v>3776</v>
      </c>
      <c r="C13279" t="s">
        <v>75</v>
      </c>
      <c r="D13279" t="s">
        <v>342</v>
      </c>
      <c r="E13279">
        <f>1/94</f>
        <v>1.0638297872340425E-2</v>
      </c>
      <c r="F13279">
        <v>35</v>
      </c>
      <c r="G13279">
        <f>LOG(382/(35+1))</f>
        <v>1.0257608621444214</v>
      </c>
      <c r="H13279">
        <f>0.0106382978723404*2.36190167015046</f>
        <v>2.5126613512238875E-2</v>
      </c>
      <c r="I13279">
        <v>2.512661351223899E-2</v>
      </c>
    </row>
    <row r="13280" spans="1:9" x14ac:dyDescent="0.25">
      <c r="A13280">
        <v>467</v>
      </c>
      <c r="B13280" t="s">
        <v>3776</v>
      </c>
      <c r="C13280" t="s">
        <v>75</v>
      </c>
      <c r="D13280" t="s">
        <v>1665</v>
      </c>
      <c r="E13280">
        <f>2/94</f>
        <v>2.1276595744680851E-2</v>
      </c>
      <c r="F13280">
        <v>17</v>
      </c>
      <c r="G13280">
        <f>LOG(382/(17+1))</f>
        <v>1.3267908578084027</v>
      </c>
      <c r="H13280">
        <f>0.0212765957446808*3.05504885071041</f>
        <v>6.5001039376817074E-2</v>
      </c>
      <c r="I13280">
        <v>6.5001039376817241E-2</v>
      </c>
    </row>
    <row r="13281" spans="1:9" x14ac:dyDescent="0.25">
      <c r="A13281">
        <v>467</v>
      </c>
      <c r="B13281" t="s">
        <v>3776</v>
      </c>
      <c r="C13281" t="s">
        <v>75</v>
      </c>
      <c r="D13281" t="s">
        <v>39</v>
      </c>
      <c r="E13281">
        <f>1/94</f>
        <v>1.0638297872340425E-2</v>
      </c>
      <c r="F13281">
        <v>145</v>
      </c>
      <c r="G13281">
        <f>LOG(382/(145+1))</f>
        <v>0.41771050712727159</v>
      </c>
      <c r="H13281">
        <f>0.0106382978723404*0.961813986898238</f>
        <v>1.0232063690406763E-2</v>
      </c>
      <c r="I13281">
        <v>1.023206369040679E-2</v>
      </c>
    </row>
    <row r="13282" spans="1:9" x14ac:dyDescent="0.25">
      <c r="A13282">
        <v>468</v>
      </c>
      <c r="B13282" t="s">
        <v>3789</v>
      </c>
      <c r="C13282" t="s">
        <v>75</v>
      </c>
      <c r="D13282" t="s">
        <v>3790</v>
      </c>
      <c r="E13282">
        <f>2/46</f>
        <v>4.3478260869565216E-2</v>
      </c>
      <c r="F13282">
        <v>1</v>
      </c>
      <c r="G13282">
        <f>LOG(382/(1+1))</f>
        <v>2.2810333672477277</v>
      </c>
      <c r="H13282">
        <f>0.0434782608695652*5.25227342804663</f>
        <v>0.22835971426289686</v>
      </c>
      <c r="I13282">
        <v>0.22835971426289689</v>
      </c>
    </row>
    <row r="13283" spans="1:9" x14ac:dyDescent="0.25">
      <c r="A13283">
        <v>468</v>
      </c>
      <c r="B13283" t="s">
        <v>3789</v>
      </c>
      <c r="C13283" t="s">
        <v>75</v>
      </c>
      <c r="D13283" t="s">
        <v>1762</v>
      </c>
      <c r="E13283">
        <f>2/46</f>
        <v>4.3478260869565216E-2</v>
      </c>
      <c r="F13283">
        <v>60</v>
      </c>
      <c r="G13283">
        <f>LOG(382/(60+1))</f>
        <v>0.79673352790094176</v>
      </c>
      <c r="H13283">
        <f>0.0434782608695652*1.83454674443326</f>
        <v>7.9762901931880834E-2</v>
      </c>
      <c r="I13283">
        <v>7.9762901931881042E-2</v>
      </c>
    </row>
    <row r="13284" spans="1:9" x14ac:dyDescent="0.25">
      <c r="A13284">
        <v>468</v>
      </c>
      <c r="B13284" t="s">
        <v>3789</v>
      </c>
      <c r="C13284" t="s">
        <v>75</v>
      </c>
      <c r="D13284" t="s">
        <v>126</v>
      </c>
      <c r="E13284">
        <f>3/46</f>
        <v>6.5217391304347824E-2</v>
      </c>
      <c r="F13284">
        <v>79</v>
      </c>
      <c r="G13284">
        <f>LOG(382/(79+1))</f>
        <v>0.67897337591976514</v>
      </c>
      <c r="H13284">
        <f>0.0652173913043478*1.56339397393269</f>
        <v>0.10196047656082757</v>
      </c>
      <c r="I13284">
        <v>0.1019604765608278</v>
      </c>
    </row>
    <row r="13285" spans="1:9" x14ac:dyDescent="0.25">
      <c r="A13285">
        <v>468</v>
      </c>
      <c r="B13285" t="s">
        <v>3789</v>
      </c>
      <c r="C13285" t="s">
        <v>75</v>
      </c>
      <c r="D13285" t="s">
        <v>50</v>
      </c>
      <c r="E13285">
        <f>3/46</f>
        <v>6.5217391304347824E-2</v>
      </c>
      <c r="F13285">
        <v>109</v>
      </c>
      <c r="G13285">
        <f>LOG(382/(109+1))</f>
        <v>0.54067067775348365</v>
      </c>
      <c r="H13285">
        <f>0.0652173913043478*1.24494024281415</f>
        <v>8.1191754966140187E-2</v>
      </c>
      <c r="I13285">
        <v>8.1191754966140797E-2</v>
      </c>
    </row>
    <row r="13286" spans="1:9" x14ac:dyDescent="0.25">
      <c r="A13286">
        <v>468</v>
      </c>
      <c r="B13286" t="s">
        <v>3789</v>
      </c>
      <c r="C13286" t="s">
        <v>75</v>
      </c>
      <c r="D13286" t="s">
        <v>1537</v>
      </c>
      <c r="E13286">
        <f>2/46</f>
        <v>4.3478260869565216E-2</v>
      </c>
      <c r="F13286">
        <v>80</v>
      </c>
      <c r="G13286">
        <f>LOG(382/(80+1))</f>
        <v>0.67357834403305894</v>
      </c>
      <c r="H13286">
        <f>0.0434782608695652*1.55097145393413</f>
        <v>6.743354147539693E-2</v>
      </c>
      <c r="I13286">
        <v>6.7433541475397235E-2</v>
      </c>
    </row>
    <row r="13287" spans="1:9" x14ac:dyDescent="0.25">
      <c r="A13287">
        <v>468</v>
      </c>
      <c r="B13287" t="s">
        <v>3789</v>
      </c>
      <c r="C13287" t="s">
        <v>75</v>
      </c>
      <c r="D13287" t="s">
        <v>42</v>
      </c>
      <c r="E13287">
        <f t="shared" ref="E13287:E13296" si="628">1/46</f>
        <v>2.1739130434782608E-2</v>
      </c>
      <c r="F13287">
        <v>251</v>
      </c>
      <c r="G13287">
        <f>LOG(382/(251+1))</f>
        <v>0.18066282213016463</v>
      </c>
      <c r="H13287">
        <f>0.0217391304347826*0.415991521095151</f>
        <v>9.0432939368511045E-3</v>
      </c>
      <c r="I13287">
        <v>9.043293936851127E-3</v>
      </c>
    </row>
    <row r="13288" spans="1:9" x14ac:dyDescent="0.25">
      <c r="A13288">
        <v>468</v>
      </c>
      <c r="B13288" t="s">
        <v>3789</v>
      </c>
      <c r="C13288" t="s">
        <v>75</v>
      </c>
      <c r="D13288" t="s">
        <v>3791</v>
      </c>
      <c r="E13288">
        <f t="shared" si="628"/>
        <v>2.1739130434782608E-2</v>
      </c>
      <c r="F13288">
        <v>3</v>
      </c>
      <c r="G13288">
        <f>LOG(382/(3+1))</f>
        <v>1.9800033715837464</v>
      </c>
      <c r="H13288">
        <f>0.0217391304347826*4.55912624748668</f>
        <v>9.9111440162753875E-2</v>
      </c>
      <c r="I13288">
        <v>9.9111440162754014E-2</v>
      </c>
    </row>
    <row r="13289" spans="1:9" x14ac:dyDescent="0.25">
      <c r="A13289">
        <v>468</v>
      </c>
      <c r="B13289" t="s">
        <v>3789</v>
      </c>
      <c r="C13289" t="s">
        <v>75</v>
      </c>
      <c r="D13289" t="s">
        <v>3792</v>
      </c>
      <c r="E13289">
        <f t="shared" si="628"/>
        <v>2.1739130434782608E-2</v>
      </c>
      <c r="F13289">
        <v>1</v>
      </c>
      <c r="G13289">
        <f>LOG(382/(1+1))</f>
        <v>2.2810333672477277</v>
      </c>
      <c r="H13289">
        <f>0.0217391304347826*5.25227342804663</f>
        <v>0.11417985713144843</v>
      </c>
      <c r="I13289">
        <v>0.1141798571314485</v>
      </c>
    </row>
    <row r="13290" spans="1:9" x14ac:dyDescent="0.25">
      <c r="A13290">
        <v>468</v>
      </c>
      <c r="B13290" t="s">
        <v>3789</v>
      </c>
      <c r="C13290" t="s">
        <v>75</v>
      </c>
      <c r="D13290" t="s">
        <v>17</v>
      </c>
      <c r="E13290">
        <f t="shared" si="628"/>
        <v>2.1739130434782608E-2</v>
      </c>
      <c r="F13290">
        <v>169</v>
      </c>
      <c r="G13290">
        <f>LOG(382/(169+1))</f>
        <v>0.3516144415334348</v>
      </c>
      <c r="H13290">
        <f>0.0217391304347826*0.809622171556313</f>
        <v>1.7600481990354626E-2</v>
      </c>
      <c r="I13290">
        <v>1.760048199035464E-2</v>
      </c>
    </row>
    <row r="13291" spans="1:9" x14ac:dyDescent="0.25">
      <c r="A13291">
        <v>468</v>
      </c>
      <c r="B13291" t="s">
        <v>3789</v>
      </c>
      <c r="C13291" t="s">
        <v>75</v>
      </c>
      <c r="D13291" t="s">
        <v>3793</v>
      </c>
      <c r="E13291">
        <f t="shared" si="628"/>
        <v>2.1739130434782608E-2</v>
      </c>
      <c r="F13291">
        <v>1</v>
      </c>
      <c r="G13291">
        <f>LOG(382/(1+1))</f>
        <v>2.2810333672477277</v>
      </c>
      <c r="H13291">
        <f>0.0217391304347826*5.25227342804663</f>
        <v>0.11417985713144843</v>
      </c>
      <c r="I13291">
        <v>0.1141798571314485</v>
      </c>
    </row>
    <row r="13292" spans="1:9" x14ac:dyDescent="0.25">
      <c r="A13292">
        <v>468</v>
      </c>
      <c r="B13292" t="s">
        <v>3789</v>
      </c>
      <c r="C13292" t="s">
        <v>75</v>
      </c>
      <c r="D13292" t="s">
        <v>41</v>
      </c>
      <c r="E13292">
        <f t="shared" si="628"/>
        <v>2.1739130434782608E-2</v>
      </c>
      <c r="F13292">
        <v>195</v>
      </c>
      <c r="G13292">
        <f>LOG(382/(195+1))</f>
        <v>0.28980729155523272</v>
      </c>
      <c r="H13292">
        <f>0.0217391304347826*0.667305949376058</f>
        <v>1.450665107339256E-2</v>
      </c>
      <c r="I13292">
        <v>1.450665107339257E-2</v>
      </c>
    </row>
    <row r="13293" spans="1:9" x14ac:dyDescent="0.25">
      <c r="A13293">
        <v>468</v>
      </c>
      <c r="B13293" t="s">
        <v>3789</v>
      </c>
      <c r="C13293" t="s">
        <v>75</v>
      </c>
      <c r="D13293" t="s">
        <v>22</v>
      </c>
      <c r="E13293">
        <f t="shared" si="628"/>
        <v>2.1739130434782608E-2</v>
      </c>
      <c r="F13293">
        <v>259</v>
      </c>
      <c r="G13293">
        <f>LOG(382/(259+1))</f>
        <v>0.16709001494089079</v>
      </c>
      <c r="H13293">
        <f>0.0217391304347826*0.384738977591047</f>
        <v>8.363890817196672E-3</v>
      </c>
      <c r="I13293">
        <v>8.3638908171966859E-3</v>
      </c>
    </row>
    <row r="13294" spans="1:9" x14ac:dyDescent="0.25">
      <c r="A13294">
        <v>468</v>
      </c>
      <c r="B13294" t="s">
        <v>3789</v>
      </c>
      <c r="C13294" t="s">
        <v>75</v>
      </c>
      <c r="D13294" t="s">
        <v>23</v>
      </c>
      <c r="E13294">
        <f t="shared" si="628"/>
        <v>2.1739130434782608E-2</v>
      </c>
      <c r="F13294">
        <v>275</v>
      </c>
      <c r="G13294">
        <f>LOG(382/(275+1))</f>
        <v>0.14115428084649101</v>
      </c>
      <c r="H13294">
        <f>0.0217391304347826*0.325019742889425</f>
        <v>7.0656465845527145E-3</v>
      </c>
      <c r="I13294">
        <v>7.0656465845527214E-3</v>
      </c>
    </row>
    <row r="13295" spans="1:9" x14ac:dyDescent="0.25">
      <c r="A13295">
        <v>468</v>
      </c>
      <c r="B13295" t="s">
        <v>3789</v>
      </c>
      <c r="C13295" t="s">
        <v>75</v>
      </c>
      <c r="D13295" t="s">
        <v>3794</v>
      </c>
      <c r="E13295">
        <f t="shared" si="628"/>
        <v>2.1739130434782608E-2</v>
      </c>
      <c r="F13295">
        <v>3</v>
      </c>
      <c r="G13295">
        <f>LOG(382/(3+1))</f>
        <v>1.9800033715837464</v>
      </c>
      <c r="H13295">
        <f>0.0217391304347826*4.55912624748668</f>
        <v>9.9111440162753875E-2</v>
      </c>
      <c r="I13295">
        <v>9.9111440162754014E-2</v>
      </c>
    </row>
    <row r="13296" spans="1:9" x14ac:dyDescent="0.25">
      <c r="A13296">
        <v>468</v>
      </c>
      <c r="B13296" t="s">
        <v>3789</v>
      </c>
      <c r="C13296" t="s">
        <v>75</v>
      </c>
      <c r="D13296" t="s">
        <v>362</v>
      </c>
      <c r="E13296">
        <f t="shared" si="628"/>
        <v>2.1739130434782608E-2</v>
      </c>
      <c r="F13296">
        <v>81</v>
      </c>
      <c r="G13296">
        <f>LOG(382/(81+1))</f>
        <v>0.66824951052799197</v>
      </c>
      <c r="H13296">
        <f>0.0217391304347826*1.53870136134232</f>
        <v>3.3450029594398245E-2</v>
      </c>
      <c r="I13296">
        <v>3.3450029594398301E-2</v>
      </c>
    </row>
    <row r="13297" spans="1:9" x14ac:dyDescent="0.25">
      <c r="A13297">
        <v>468</v>
      </c>
      <c r="B13297" t="s">
        <v>3789</v>
      </c>
      <c r="C13297" t="s">
        <v>75</v>
      </c>
      <c r="D13297" t="s">
        <v>1769</v>
      </c>
      <c r="E13297">
        <f>2/46</f>
        <v>4.3478260869565216E-2</v>
      </c>
      <c r="F13297">
        <v>84</v>
      </c>
      <c r="G13297">
        <f>LOG(382/(84+1))</f>
        <v>0.65264443719741605</v>
      </c>
      <c r="H13297">
        <f>0.0434782608695652*1.50276935211625</f>
        <v>6.5337797918097795E-2</v>
      </c>
      <c r="I13297">
        <v>6.5337797918098212E-2</v>
      </c>
    </row>
    <row r="13298" spans="1:9" x14ac:dyDescent="0.25">
      <c r="A13298">
        <v>468</v>
      </c>
      <c r="B13298" t="s">
        <v>3789</v>
      </c>
      <c r="C13298" t="s">
        <v>75</v>
      </c>
      <c r="D13298" t="s">
        <v>1546</v>
      </c>
      <c r="E13298">
        <f t="shared" ref="E13298:E13304" si="629">1/46</f>
        <v>2.1739130434782608E-2</v>
      </c>
      <c r="F13298">
        <v>44</v>
      </c>
      <c r="G13298">
        <f>LOG(382/(44+1))</f>
        <v>0.92885084913636506</v>
      </c>
      <c r="H13298">
        <f>0.0217391304347826*2.13875811883625</f>
        <v>4.64947417138315E-2</v>
      </c>
      <c r="I13298">
        <v>4.6494741713831632E-2</v>
      </c>
    </row>
    <row r="13299" spans="1:9" x14ac:dyDescent="0.25">
      <c r="A13299">
        <v>468</v>
      </c>
      <c r="B13299" t="s">
        <v>3789</v>
      </c>
      <c r="C13299" t="s">
        <v>75</v>
      </c>
      <c r="D13299" t="s">
        <v>418</v>
      </c>
      <c r="E13299">
        <f t="shared" si="629"/>
        <v>2.1739130434782608E-2</v>
      </c>
      <c r="F13299">
        <v>11</v>
      </c>
      <c r="G13299">
        <f>LOG(382/(11+1))</f>
        <v>1.5028821168640838</v>
      </c>
      <c r="H13299">
        <f>0.0217391304347826*3.46051395881857</f>
        <v>7.5228564322142796E-2</v>
      </c>
      <c r="I13299">
        <v>7.5228564322142935E-2</v>
      </c>
    </row>
    <row r="13300" spans="1:9" x14ac:dyDescent="0.25">
      <c r="A13300">
        <v>468</v>
      </c>
      <c r="B13300" t="s">
        <v>3789</v>
      </c>
      <c r="C13300" t="s">
        <v>75</v>
      </c>
      <c r="D13300" t="s">
        <v>1665</v>
      </c>
      <c r="E13300">
        <f t="shared" si="629"/>
        <v>2.1739130434782608E-2</v>
      </c>
      <c r="F13300">
        <v>17</v>
      </c>
      <c r="G13300">
        <f>LOG(382/(17+1))</f>
        <v>1.3267908578084027</v>
      </c>
      <c r="H13300">
        <f>0.0217391304347826*3.05504885071041</f>
        <v>6.6414105450226274E-2</v>
      </c>
      <c r="I13300">
        <v>6.6414105450226316E-2</v>
      </c>
    </row>
    <row r="13301" spans="1:9" x14ac:dyDescent="0.25">
      <c r="A13301">
        <v>468</v>
      </c>
      <c r="B13301" t="s">
        <v>3789</v>
      </c>
      <c r="C13301" t="s">
        <v>75</v>
      </c>
      <c r="D13301" t="s">
        <v>1729</v>
      </c>
      <c r="E13301">
        <f t="shared" si="629"/>
        <v>2.1739130434782608E-2</v>
      </c>
      <c r="F13301">
        <v>7</v>
      </c>
      <c r="G13301">
        <f>LOG(382/(7+1))</f>
        <v>1.6789733759197651</v>
      </c>
      <c r="H13301">
        <f>0.0217391304347826*3.86597906692673</f>
        <v>8.4043023194059319E-2</v>
      </c>
      <c r="I13301">
        <v>8.4043023194059541E-2</v>
      </c>
    </row>
    <row r="13302" spans="1:9" x14ac:dyDescent="0.25">
      <c r="A13302">
        <v>468</v>
      </c>
      <c r="B13302" t="s">
        <v>3789</v>
      </c>
      <c r="C13302" t="s">
        <v>75</v>
      </c>
      <c r="D13302" t="s">
        <v>1551</v>
      </c>
      <c r="E13302">
        <f t="shared" si="629"/>
        <v>2.1739130434782608E-2</v>
      </c>
      <c r="F13302">
        <v>15</v>
      </c>
      <c r="G13302">
        <f>LOG(382/(15+1))</f>
        <v>1.3779433802557839</v>
      </c>
      <c r="H13302">
        <f>0.0217391304347826*3.17283188636679</f>
        <v>6.8974606225364984E-2</v>
      </c>
      <c r="I13302">
        <v>6.8974606225365082E-2</v>
      </c>
    </row>
    <row r="13303" spans="1:9" x14ac:dyDescent="0.25">
      <c r="A13303">
        <v>468</v>
      </c>
      <c r="B13303" t="s">
        <v>3789</v>
      </c>
      <c r="C13303" t="s">
        <v>75</v>
      </c>
      <c r="D13303" t="s">
        <v>1476</v>
      </c>
      <c r="E13303">
        <f t="shared" si="629"/>
        <v>2.1739130434782608E-2</v>
      </c>
      <c r="F13303">
        <v>5</v>
      </c>
      <c r="G13303">
        <f>LOG(382/(5+1))</f>
        <v>1.803912112528065</v>
      </c>
      <c r="H13303">
        <f>0.0217391304347826*4.15366113937852</f>
        <v>9.0296981290837353E-2</v>
      </c>
      <c r="I13303">
        <v>9.029698129083738E-2</v>
      </c>
    </row>
    <row r="13304" spans="1:9" x14ac:dyDescent="0.25">
      <c r="A13304">
        <v>468</v>
      </c>
      <c r="B13304" t="s">
        <v>3789</v>
      </c>
      <c r="C13304" t="s">
        <v>75</v>
      </c>
      <c r="D13304" t="s">
        <v>1550</v>
      </c>
      <c r="E13304">
        <f t="shared" si="629"/>
        <v>2.1739130434782608E-2</v>
      </c>
      <c r="F13304">
        <v>16</v>
      </c>
      <c r="G13304">
        <f>LOG(382/(16+1))</f>
        <v>1.3516144415334348</v>
      </c>
      <c r="H13304">
        <f>0.0217391304347826*3.11220726455035</f>
        <v>6.765667966413802E-2</v>
      </c>
      <c r="I13304">
        <v>6.7656679664138242E-2</v>
      </c>
    </row>
    <row r="13305" spans="1:9" x14ac:dyDescent="0.25">
      <c r="A13305">
        <v>468</v>
      </c>
      <c r="B13305" t="s">
        <v>3789</v>
      </c>
      <c r="C13305" t="s">
        <v>75</v>
      </c>
      <c r="D13305" t="s">
        <v>243</v>
      </c>
      <c r="E13305">
        <f>2/46</f>
        <v>4.3478260869565216E-2</v>
      </c>
      <c r="F13305">
        <v>131</v>
      </c>
      <c r="G13305">
        <f>LOG(382/(131+1))</f>
        <v>0.46148943170585888</v>
      </c>
      <c r="H13305">
        <f>0.0434782608695652*1.0626186860202</f>
        <v>4.6200812435660855E-2</v>
      </c>
      <c r="I13305">
        <v>4.6200812435661057E-2</v>
      </c>
    </row>
    <row r="13306" spans="1:9" x14ac:dyDescent="0.25">
      <c r="A13306">
        <v>468</v>
      </c>
      <c r="B13306" t="s">
        <v>3789</v>
      </c>
      <c r="C13306" t="s">
        <v>75</v>
      </c>
      <c r="D13306" t="s">
        <v>453</v>
      </c>
      <c r="E13306">
        <f t="shared" ref="E13306:E13318" si="630">1/46</f>
        <v>2.1739130434782608E-2</v>
      </c>
      <c r="F13306">
        <v>68</v>
      </c>
      <c r="G13306">
        <f>LOG(382/(68+1))</f>
        <v>0.74321427217445335</v>
      </c>
      <c r="H13306">
        <f>0.0217391304347826*1.71131410400931</f>
        <v>3.7202480521941507E-2</v>
      </c>
      <c r="I13306">
        <v>3.7202480521941653E-2</v>
      </c>
    </row>
    <row r="13307" spans="1:9" x14ac:dyDescent="0.25">
      <c r="A13307">
        <v>468</v>
      </c>
      <c r="B13307" t="s">
        <v>3789</v>
      </c>
      <c r="C13307" t="s">
        <v>75</v>
      </c>
      <c r="D13307" t="s">
        <v>455</v>
      </c>
      <c r="E13307">
        <f t="shared" si="630"/>
        <v>2.1739130434782608E-2</v>
      </c>
      <c r="F13307">
        <v>78</v>
      </c>
      <c r="G13307">
        <f>LOG(382/(78+1))</f>
        <v>0.6844362716212673</v>
      </c>
      <c r="H13307">
        <f>0.0217391304347826*1.57597275613955</f>
        <v>3.4260277307381508E-2</v>
      </c>
      <c r="I13307">
        <v>3.4260277307381598E-2</v>
      </c>
    </row>
    <row r="13308" spans="1:9" x14ac:dyDescent="0.25">
      <c r="A13308">
        <v>468</v>
      </c>
      <c r="B13308" t="s">
        <v>3789</v>
      </c>
      <c r="C13308" t="s">
        <v>75</v>
      </c>
      <c r="D13308" t="s">
        <v>456</v>
      </c>
      <c r="E13308">
        <f t="shared" si="630"/>
        <v>2.1739130434782608E-2</v>
      </c>
      <c r="F13308">
        <v>71</v>
      </c>
      <c r="G13308">
        <f>LOG(382/(71+1))</f>
        <v>0.72473086648044027</v>
      </c>
      <c r="H13308">
        <f>0.0217391304347826*1.66875448959051</f>
        <v>3.6277271512837161E-2</v>
      </c>
      <c r="I13308">
        <v>3.6277271512837377E-2</v>
      </c>
    </row>
    <row r="13309" spans="1:9" x14ac:dyDescent="0.25">
      <c r="A13309">
        <v>468</v>
      </c>
      <c r="B13309" t="s">
        <v>3789</v>
      </c>
      <c r="C13309" t="s">
        <v>75</v>
      </c>
      <c r="D13309" t="s">
        <v>3795</v>
      </c>
      <c r="E13309">
        <f t="shared" si="630"/>
        <v>2.1739130434782608E-2</v>
      </c>
      <c r="F13309">
        <v>1</v>
      </c>
      <c r="G13309">
        <f>LOG(382/(1+1))</f>
        <v>2.2810333672477277</v>
      </c>
      <c r="H13309">
        <f>0.0217391304347826*5.25227342804663</f>
        <v>0.11417985713144843</v>
      </c>
      <c r="I13309">
        <v>0.1141798571314485</v>
      </c>
    </row>
    <row r="13310" spans="1:9" x14ac:dyDescent="0.25">
      <c r="A13310">
        <v>468</v>
      </c>
      <c r="B13310" t="s">
        <v>3789</v>
      </c>
      <c r="C13310" t="s">
        <v>75</v>
      </c>
      <c r="D13310" t="s">
        <v>3796</v>
      </c>
      <c r="E13310">
        <f t="shared" si="630"/>
        <v>2.1739130434782608E-2</v>
      </c>
      <c r="F13310">
        <v>1</v>
      </c>
      <c r="G13310">
        <f>LOG(382/(1+1))</f>
        <v>2.2810333672477277</v>
      </c>
      <c r="H13310">
        <f>0.0217391304347826*5.25227342804663</f>
        <v>0.11417985713144843</v>
      </c>
      <c r="I13310">
        <v>0.1141798571314485</v>
      </c>
    </row>
    <row r="13311" spans="1:9" x14ac:dyDescent="0.25">
      <c r="A13311">
        <v>468</v>
      </c>
      <c r="B13311" t="s">
        <v>3789</v>
      </c>
      <c r="C13311" t="s">
        <v>75</v>
      </c>
      <c r="D13311" t="s">
        <v>361</v>
      </c>
      <c r="E13311">
        <f t="shared" si="630"/>
        <v>2.1739130434782608E-2</v>
      </c>
      <c r="F13311">
        <v>118</v>
      </c>
      <c r="G13311">
        <f>LOG(382/(118+1))</f>
        <v>0.50651640151917798</v>
      </c>
      <c r="H13311">
        <f>0.0217391304347826*1.16629711549504</f>
        <v>2.5354285119457379E-2</v>
      </c>
      <c r="I13311">
        <v>2.5354285119457521E-2</v>
      </c>
    </row>
    <row r="13312" spans="1:9" x14ac:dyDescent="0.25">
      <c r="A13312">
        <v>468</v>
      </c>
      <c r="B13312" t="s">
        <v>3789</v>
      </c>
      <c r="C13312" t="s">
        <v>75</v>
      </c>
      <c r="D13312" t="s">
        <v>434</v>
      </c>
      <c r="E13312">
        <f t="shared" si="630"/>
        <v>2.1739130434782608E-2</v>
      </c>
      <c r="F13312">
        <v>97</v>
      </c>
      <c r="G13312">
        <f>LOG(382/(97+1))</f>
        <v>0.59083728721921391</v>
      </c>
      <c r="H13312">
        <f>0.0217391304347826*1.360453129936</f>
        <v>2.9575068042086948E-2</v>
      </c>
      <c r="I13312">
        <v>2.9575068042087021E-2</v>
      </c>
    </row>
    <row r="13313" spans="1:9" x14ac:dyDescent="0.25">
      <c r="A13313">
        <v>468</v>
      </c>
      <c r="B13313" t="s">
        <v>3789</v>
      </c>
      <c r="C13313" t="s">
        <v>75</v>
      </c>
      <c r="D13313" t="s">
        <v>3797</v>
      </c>
      <c r="E13313">
        <f t="shared" si="630"/>
        <v>2.1739130434782608E-2</v>
      </c>
      <c r="F13313">
        <v>1</v>
      </c>
      <c r="G13313">
        <f>LOG(382/(1+1))</f>
        <v>2.2810333672477277</v>
      </c>
      <c r="H13313">
        <f>0.0217391304347826*5.25227342804663</f>
        <v>0.11417985713144843</v>
      </c>
      <c r="I13313">
        <v>0.1141798571314485</v>
      </c>
    </row>
    <row r="13314" spans="1:9" x14ac:dyDescent="0.25">
      <c r="A13314">
        <v>468</v>
      </c>
      <c r="B13314" t="s">
        <v>3789</v>
      </c>
      <c r="C13314" t="s">
        <v>75</v>
      </c>
      <c r="D13314" t="s">
        <v>2242</v>
      </c>
      <c r="E13314">
        <f t="shared" si="630"/>
        <v>2.1739130434782608E-2</v>
      </c>
      <c r="F13314">
        <v>18</v>
      </c>
      <c r="G13314">
        <f>LOG(382/(18+1))</f>
        <v>1.3033097619588798</v>
      </c>
      <c r="H13314">
        <f>0.0217391304347826*3.00098162944013</f>
        <v>6.5238731074785408E-2</v>
      </c>
      <c r="I13314">
        <v>6.5238731074785533E-2</v>
      </c>
    </row>
    <row r="13315" spans="1:9" x14ac:dyDescent="0.25">
      <c r="A13315">
        <v>468</v>
      </c>
      <c r="B13315" t="s">
        <v>3789</v>
      </c>
      <c r="C13315" t="s">
        <v>75</v>
      </c>
      <c r="D13315" t="s">
        <v>214</v>
      </c>
      <c r="E13315">
        <f t="shared" si="630"/>
        <v>2.1739130434782608E-2</v>
      </c>
      <c r="F13315">
        <v>68</v>
      </c>
      <c r="G13315">
        <f>LOG(382/(68+1))</f>
        <v>0.74321427217445335</v>
      </c>
      <c r="H13315">
        <f>0.0217391304347826*1.71131410400931</f>
        <v>3.7202480521941507E-2</v>
      </c>
      <c r="I13315">
        <v>3.7202480521941653E-2</v>
      </c>
    </row>
    <row r="13316" spans="1:9" x14ac:dyDescent="0.25">
      <c r="A13316">
        <v>468</v>
      </c>
      <c r="B13316" t="s">
        <v>3789</v>
      </c>
      <c r="C13316" t="s">
        <v>75</v>
      </c>
      <c r="D13316" t="s">
        <v>770</v>
      </c>
      <c r="E13316">
        <f t="shared" si="630"/>
        <v>2.1739130434782608E-2</v>
      </c>
      <c r="F13316">
        <v>47</v>
      </c>
      <c r="G13316">
        <f>LOG(382/(47+1))</f>
        <v>0.90082212553612151</v>
      </c>
      <c r="H13316">
        <f>0.0217391304347826*2.07421959769868</f>
        <v>4.5091730384753899E-2</v>
      </c>
      <c r="I13316">
        <v>4.5091730384754003E-2</v>
      </c>
    </row>
    <row r="13317" spans="1:9" x14ac:dyDescent="0.25">
      <c r="A13317">
        <v>468</v>
      </c>
      <c r="B13317" t="s">
        <v>3789</v>
      </c>
      <c r="C13317" t="s">
        <v>75</v>
      </c>
      <c r="D13317" t="s">
        <v>307</v>
      </c>
      <c r="E13317">
        <f t="shared" si="630"/>
        <v>2.1739130434782608E-2</v>
      </c>
      <c r="F13317">
        <v>67</v>
      </c>
      <c r="G13317">
        <f>LOG(382/(67+1))</f>
        <v>0.7495544502054724</v>
      </c>
      <c r="H13317">
        <f>0.0217391304347826*1.72591290343046</f>
        <v>3.7519845726749122E-2</v>
      </c>
      <c r="I13317">
        <v>3.751984572674931E-2</v>
      </c>
    </row>
    <row r="13318" spans="1:9" x14ac:dyDescent="0.25">
      <c r="A13318">
        <v>468</v>
      </c>
      <c r="B13318" t="s">
        <v>3789</v>
      </c>
      <c r="C13318" t="s">
        <v>75</v>
      </c>
      <c r="D13318" t="s">
        <v>3798</v>
      </c>
      <c r="E13318">
        <f t="shared" si="630"/>
        <v>2.1739130434782608E-2</v>
      </c>
      <c r="F13318">
        <v>1</v>
      </c>
      <c r="G13318">
        <f>LOG(382/(1+1))</f>
        <v>2.2810333672477277</v>
      </c>
      <c r="H13318">
        <f>0.0217391304347826*5.25227342804663</f>
        <v>0.11417985713144843</v>
      </c>
      <c r="I13318">
        <v>0.1141798571314485</v>
      </c>
    </row>
    <row r="13319" spans="1:9" x14ac:dyDescent="0.25">
      <c r="A13319">
        <v>469</v>
      </c>
      <c r="B13319" t="s">
        <v>3799</v>
      </c>
      <c r="C13319" t="s">
        <v>75</v>
      </c>
      <c r="D13319" t="s">
        <v>3800</v>
      </c>
      <c r="E13319">
        <f>4/127</f>
        <v>3.1496062992125984E-2</v>
      </c>
      <c r="F13319">
        <v>1</v>
      </c>
      <c r="G13319">
        <f>LOG(382/(1+1))</f>
        <v>2.2810333672477277</v>
      </c>
      <c r="H13319">
        <f>0.0314960629921259*5.25227342804663</f>
        <v>0.1654259347416257</v>
      </c>
      <c r="I13319">
        <v>0.16542593474162609</v>
      </c>
    </row>
    <row r="13320" spans="1:9" x14ac:dyDescent="0.25">
      <c r="A13320">
        <v>469</v>
      </c>
      <c r="B13320" t="s">
        <v>3799</v>
      </c>
      <c r="C13320" t="s">
        <v>75</v>
      </c>
      <c r="D13320" t="s">
        <v>871</v>
      </c>
      <c r="E13320">
        <f>6/127</f>
        <v>4.7244094488188976E-2</v>
      </c>
      <c r="F13320">
        <v>9</v>
      </c>
      <c r="G13320">
        <f>LOG(382/(9+1))</f>
        <v>1.5820633629117087</v>
      </c>
      <c r="H13320">
        <f>0.0472440944881889*3.64283551561252</f>
        <v>0.17210246530452822</v>
      </c>
      <c r="I13320">
        <v>0.17210246530452891</v>
      </c>
    </row>
    <row r="13321" spans="1:9" x14ac:dyDescent="0.25">
      <c r="A13321">
        <v>469</v>
      </c>
      <c r="B13321" t="s">
        <v>3799</v>
      </c>
      <c r="C13321" t="s">
        <v>75</v>
      </c>
      <c r="D13321" t="s">
        <v>872</v>
      </c>
      <c r="E13321">
        <f>6/127</f>
        <v>4.7244094488188976E-2</v>
      </c>
      <c r="F13321">
        <v>9</v>
      </c>
      <c r="G13321">
        <f>LOG(382/(9+1))</f>
        <v>1.5820633629117087</v>
      </c>
      <c r="H13321">
        <f>0.0472440944881889*3.64283551561252</f>
        <v>0.17210246530452822</v>
      </c>
      <c r="I13321">
        <v>0.17210246530452891</v>
      </c>
    </row>
    <row r="13322" spans="1:9" x14ac:dyDescent="0.25">
      <c r="A13322">
        <v>469</v>
      </c>
      <c r="B13322" t="s">
        <v>3799</v>
      </c>
      <c r="C13322" t="s">
        <v>75</v>
      </c>
      <c r="D13322" t="s">
        <v>2231</v>
      </c>
      <c r="E13322">
        <f>6/127</f>
        <v>4.7244094488188976E-2</v>
      </c>
      <c r="F13322">
        <v>23</v>
      </c>
      <c r="G13322">
        <f>LOG(382/(23+1))</f>
        <v>1.2018521212001028</v>
      </c>
      <c r="H13322">
        <f>0.0472440944881889*2.76736677825862</f>
        <v>0.13074173755552515</v>
      </c>
      <c r="I13322">
        <v>0.13074173755552579</v>
      </c>
    </row>
    <row r="13323" spans="1:9" x14ac:dyDescent="0.25">
      <c r="A13323">
        <v>469</v>
      </c>
      <c r="B13323" t="s">
        <v>3799</v>
      </c>
      <c r="C13323" t="s">
        <v>75</v>
      </c>
      <c r="D13323" t="s">
        <v>1537</v>
      </c>
      <c r="E13323">
        <f>4/127</f>
        <v>3.1496062992125984E-2</v>
      </c>
      <c r="F13323">
        <v>80</v>
      </c>
      <c r="G13323">
        <f>LOG(382/(80+1))</f>
        <v>0.67357834403305894</v>
      </c>
      <c r="H13323">
        <f>0.0314960629921259*1.55097145393413</f>
        <v>4.8849494612098449E-2</v>
      </c>
      <c r="I13323">
        <v>4.8849494612098782E-2</v>
      </c>
    </row>
    <row r="13324" spans="1:9" x14ac:dyDescent="0.25">
      <c r="A13324">
        <v>469</v>
      </c>
      <c r="B13324" t="s">
        <v>3799</v>
      </c>
      <c r="C13324" t="s">
        <v>75</v>
      </c>
      <c r="D13324" t="s">
        <v>42</v>
      </c>
      <c r="E13324">
        <f>2/127</f>
        <v>1.5748031496062992E-2</v>
      </c>
      <c r="F13324">
        <v>251</v>
      </c>
      <c r="G13324">
        <f>LOG(382/(251+1))</f>
        <v>0.18066282213016463</v>
      </c>
      <c r="H13324">
        <f>0.0157480314960629*0.415991521095151</f>
        <v>6.5510475763015524E-3</v>
      </c>
      <c r="I13324">
        <v>6.5510475763016036E-3</v>
      </c>
    </row>
    <row r="13325" spans="1:9" x14ac:dyDescent="0.25">
      <c r="A13325">
        <v>469</v>
      </c>
      <c r="B13325" t="s">
        <v>3799</v>
      </c>
      <c r="C13325" t="s">
        <v>75</v>
      </c>
      <c r="D13325" t="s">
        <v>636</v>
      </c>
      <c r="E13325">
        <f>1/127</f>
        <v>7.874015748031496E-3</v>
      </c>
      <c r="F13325">
        <v>31</v>
      </c>
      <c r="G13325">
        <f>LOG(382/(31+1))</f>
        <v>1.0769133845918029</v>
      </c>
      <c r="H13325">
        <f>0.00787401574803149*2.47968470580684</f>
        <v>1.9525076423675892E-2</v>
      </c>
      <c r="I13325">
        <v>1.9525076423675979E-2</v>
      </c>
    </row>
    <row r="13326" spans="1:9" x14ac:dyDescent="0.25">
      <c r="A13326">
        <v>469</v>
      </c>
      <c r="B13326" t="s">
        <v>3799</v>
      </c>
      <c r="C13326" t="s">
        <v>75</v>
      </c>
      <c r="D13326" t="s">
        <v>637</v>
      </c>
      <c r="E13326">
        <f>1/127</f>
        <v>7.874015748031496E-3</v>
      </c>
      <c r="F13326">
        <v>29</v>
      </c>
      <c r="G13326">
        <f>LOG(382/(29+1))</f>
        <v>1.1049421081920463</v>
      </c>
      <c r="H13326">
        <f>0.00787401574803149*2.54422322694442</f>
        <v>2.0033253755467859E-2</v>
      </c>
      <c r="I13326">
        <v>2.003325375546787E-2</v>
      </c>
    </row>
    <row r="13327" spans="1:9" x14ac:dyDescent="0.25">
      <c r="A13327">
        <v>469</v>
      </c>
      <c r="B13327" t="s">
        <v>3799</v>
      </c>
      <c r="C13327" t="s">
        <v>75</v>
      </c>
      <c r="D13327" t="s">
        <v>44</v>
      </c>
      <c r="E13327">
        <f>2/127</f>
        <v>1.5748031496062992E-2</v>
      </c>
      <c r="F13327">
        <v>151</v>
      </c>
      <c r="G13327">
        <f>LOG(382/(151+1))</f>
        <v>0.40021977496693617</v>
      </c>
      <c r="H13327">
        <f>0.0157480314960629*0.921540087760298</f>
        <v>1.4512442326933744E-2</v>
      </c>
      <c r="I13327">
        <v>1.451244232693384E-2</v>
      </c>
    </row>
    <row r="13328" spans="1:9" x14ac:dyDescent="0.25">
      <c r="A13328">
        <v>469</v>
      </c>
      <c r="B13328" t="s">
        <v>3799</v>
      </c>
      <c r="C13328" t="s">
        <v>75</v>
      </c>
      <c r="D13328" t="s">
        <v>3801</v>
      </c>
      <c r="E13328">
        <f>1/127</f>
        <v>7.874015748031496E-3</v>
      </c>
      <c r="F13328">
        <v>3</v>
      </c>
      <c r="G13328">
        <f>LOG(382/(3+1))</f>
        <v>1.9800033715837464</v>
      </c>
      <c r="H13328">
        <f>0.00787401574803149*4.55912624748668</f>
        <v>3.5898631869973836E-2</v>
      </c>
      <c r="I13328">
        <v>3.5898631869973892E-2</v>
      </c>
    </row>
    <row r="13329" spans="1:9" x14ac:dyDescent="0.25">
      <c r="A13329">
        <v>469</v>
      </c>
      <c r="B13329" t="s">
        <v>3799</v>
      </c>
      <c r="C13329" t="s">
        <v>75</v>
      </c>
      <c r="D13329" t="s">
        <v>23</v>
      </c>
      <c r="E13329">
        <f>1/127</f>
        <v>7.874015748031496E-3</v>
      </c>
      <c r="F13329">
        <v>275</v>
      </c>
      <c r="G13329">
        <f>LOG(382/(275+1))</f>
        <v>0.14115428084649101</v>
      </c>
      <c r="H13329">
        <f>0.00787401574803149*0.325019742889425</f>
        <v>2.5592105739324785E-3</v>
      </c>
      <c r="I13329">
        <v>2.559210573932482E-3</v>
      </c>
    </row>
    <row r="13330" spans="1:9" x14ac:dyDescent="0.25">
      <c r="A13330">
        <v>469</v>
      </c>
      <c r="B13330" t="s">
        <v>3799</v>
      </c>
      <c r="C13330" t="s">
        <v>75</v>
      </c>
      <c r="D13330" t="s">
        <v>24</v>
      </c>
      <c r="E13330">
        <f>3/127</f>
        <v>2.3622047244094488E-2</v>
      </c>
      <c r="F13330">
        <v>59</v>
      </c>
      <c r="G13330">
        <f>LOG(382/(59+1))</f>
        <v>0.80391211252806505</v>
      </c>
      <c r="H13330">
        <f>0.0236220472440944*1.85107604638447</f>
        <v>4.3726205820105432E-2</v>
      </c>
      <c r="I13330">
        <v>4.3726205820105703E-2</v>
      </c>
    </row>
    <row r="13331" spans="1:9" x14ac:dyDescent="0.25">
      <c r="A13331">
        <v>469</v>
      </c>
      <c r="B13331" t="s">
        <v>3799</v>
      </c>
      <c r="C13331" t="s">
        <v>75</v>
      </c>
      <c r="D13331" t="s">
        <v>105</v>
      </c>
      <c r="E13331">
        <f>1/127</f>
        <v>7.874015748031496E-3</v>
      </c>
      <c r="F13331">
        <v>122</v>
      </c>
      <c r="G13331">
        <f>LOG(382/(122+1))</f>
        <v>0.49215825147231079</v>
      </c>
      <c r="H13331">
        <f>0.00787401574803149*1.13323625323415</f>
        <v>8.9231201042058988E-3</v>
      </c>
      <c r="I13331">
        <v>8.9231201042059647E-3</v>
      </c>
    </row>
    <row r="13332" spans="1:9" x14ac:dyDescent="0.25">
      <c r="A13332">
        <v>469</v>
      </c>
      <c r="B13332" t="s">
        <v>3799</v>
      </c>
      <c r="C13332" t="s">
        <v>75</v>
      </c>
      <c r="D13332" t="s">
        <v>1762</v>
      </c>
      <c r="E13332">
        <f>2/127</f>
        <v>1.5748031496062992E-2</v>
      </c>
      <c r="F13332">
        <v>60</v>
      </c>
      <c r="G13332">
        <f>LOG(382/(60+1))</f>
        <v>0.79673352790094176</v>
      </c>
      <c r="H13332">
        <f>0.0157480314960629*1.83454674443326</f>
        <v>2.8890499912334635E-2</v>
      </c>
      <c r="I13332">
        <v>2.889049991233486E-2</v>
      </c>
    </row>
    <row r="13333" spans="1:9" x14ac:dyDescent="0.25">
      <c r="A13333">
        <v>469</v>
      </c>
      <c r="B13333" t="s">
        <v>3799</v>
      </c>
      <c r="C13333" t="s">
        <v>75</v>
      </c>
      <c r="D13333" t="s">
        <v>3802</v>
      </c>
      <c r="E13333">
        <f>1/127</f>
        <v>7.874015748031496E-3</v>
      </c>
      <c r="F13333">
        <v>1</v>
      </c>
      <c r="G13333">
        <f>LOG(382/(1+1))</f>
        <v>2.2810333672477277</v>
      </c>
      <c r="H13333">
        <f>0.00787401574803149*5.25227342804663</f>
        <v>4.1356483685406509E-2</v>
      </c>
      <c r="I13333">
        <v>4.1356483685406543E-2</v>
      </c>
    </row>
    <row r="13334" spans="1:9" x14ac:dyDescent="0.25">
      <c r="A13334">
        <v>469</v>
      </c>
      <c r="B13334" t="s">
        <v>3799</v>
      </c>
      <c r="C13334" t="s">
        <v>75</v>
      </c>
      <c r="D13334" t="s">
        <v>1763</v>
      </c>
      <c r="E13334">
        <f>2/127</f>
        <v>1.5748031496062992E-2</v>
      </c>
      <c r="F13334">
        <v>9</v>
      </c>
      <c r="G13334">
        <f>LOG(382/(9+1))</f>
        <v>1.5820633629117087</v>
      </c>
      <c r="H13334">
        <f>0.0157480314960629*3.64283551561252</f>
        <v>5.7367488434842503E-2</v>
      </c>
      <c r="I13334">
        <v>5.7367488434842982E-2</v>
      </c>
    </row>
    <row r="13335" spans="1:9" x14ac:dyDescent="0.25">
      <c r="A13335">
        <v>469</v>
      </c>
      <c r="B13335" t="s">
        <v>3799</v>
      </c>
      <c r="C13335" t="s">
        <v>75</v>
      </c>
      <c r="D13335" t="s">
        <v>204</v>
      </c>
      <c r="E13335">
        <f>3/127</f>
        <v>2.3622047244094488E-2</v>
      </c>
      <c r="F13335">
        <v>166</v>
      </c>
      <c r="G13335">
        <f>LOG(382/(166+1))</f>
        <v>0.35934689176412549</v>
      </c>
      <c r="H13335">
        <f>0.0236220472440944*0.82742679618982</f>
        <v>1.9545514870625596E-2</v>
      </c>
      <c r="I13335">
        <v>1.9545514870625669E-2</v>
      </c>
    </row>
    <row r="13336" spans="1:9" x14ac:dyDescent="0.25">
      <c r="A13336">
        <v>469</v>
      </c>
      <c r="B13336" t="s">
        <v>3799</v>
      </c>
      <c r="C13336" t="s">
        <v>75</v>
      </c>
      <c r="D13336" t="s">
        <v>78</v>
      </c>
      <c r="E13336">
        <f>1/127</f>
        <v>7.874015748031496E-3</v>
      </c>
      <c r="F13336">
        <v>122</v>
      </c>
      <c r="G13336">
        <f>LOG(382/(122+1))</f>
        <v>0.49215825147231079</v>
      </c>
      <c r="H13336">
        <f>0.00787401574803149*1.13323625323415</f>
        <v>8.9231201042058988E-3</v>
      </c>
      <c r="I13336">
        <v>8.9231201042059647E-3</v>
      </c>
    </row>
    <row r="13337" spans="1:9" x14ac:dyDescent="0.25">
      <c r="A13337">
        <v>469</v>
      </c>
      <c r="B13337" t="s">
        <v>3799</v>
      </c>
      <c r="C13337" t="s">
        <v>75</v>
      </c>
      <c r="D13337" t="s">
        <v>3432</v>
      </c>
      <c r="E13337">
        <f>1/127</f>
        <v>7.874015748031496E-3</v>
      </c>
      <c r="F13337">
        <v>8</v>
      </c>
      <c r="G13337">
        <f>LOG(382/(8+1))</f>
        <v>1.6278208534723839</v>
      </c>
      <c r="H13337">
        <f>0.00787401574803149*3.74819603127035</f>
        <v>2.9513354576931869E-2</v>
      </c>
      <c r="I13337">
        <v>2.9513354576931931E-2</v>
      </c>
    </row>
    <row r="13338" spans="1:9" x14ac:dyDescent="0.25">
      <c r="A13338">
        <v>469</v>
      </c>
      <c r="B13338" t="s">
        <v>3799</v>
      </c>
      <c r="C13338" t="s">
        <v>75</v>
      </c>
      <c r="D13338" t="s">
        <v>256</v>
      </c>
      <c r="E13338">
        <f>1/127</f>
        <v>7.874015748031496E-3</v>
      </c>
      <c r="F13338">
        <v>28</v>
      </c>
      <c r="G13338">
        <f>LOG(382/(28+1))</f>
        <v>1.1196653650127526</v>
      </c>
      <c r="H13338">
        <f>0.00787401574803149*2.5781247786201</f>
        <v>2.0300195107244866E-2</v>
      </c>
      <c r="I13338">
        <v>2.030019510724489E-2</v>
      </c>
    </row>
    <row r="13339" spans="1:9" x14ac:dyDescent="0.25">
      <c r="A13339">
        <v>469</v>
      </c>
      <c r="B13339" t="s">
        <v>3799</v>
      </c>
      <c r="C13339" t="s">
        <v>75</v>
      </c>
      <c r="D13339" t="s">
        <v>237</v>
      </c>
      <c r="E13339">
        <f>2/127</f>
        <v>1.5748031496062992E-2</v>
      </c>
      <c r="F13339">
        <v>138</v>
      </c>
      <c r="G13339">
        <f>LOG(382/(138+1))</f>
        <v>0.43904856265761361</v>
      </c>
      <c r="H13339">
        <f>0.0157480314960629*1.01094667547588</f>
        <v>1.592042008623424E-2</v>
      </c>
      <c r="I13339">
        <v>1.5920420086234378E-2</v>
      </c>
    </row>
    <row r="13340" spans="1:9" x14ac:dyDescent="0.25">
      <c r="A13340">
        <v>469</v>
      </c>
      <c r="B13340" t="s">
        <v>3799</v>
      </c>
      <c r="C13340" t="s">
        <v>75</v>
      </c>
      <c r="D13340" t="s">
        <v>3803</v>
      </c>
      <c r="E13340">
        <f>1/127</f>
        <v>7.874015748031496E-3</v>
      </c>
      <c r="F13340">
        <v>1</v>
      </c>
      <c r="G13340">
        <f>LOG(382/(1+1))</f>
        <v>2.2810333672477277</v>
      </c>
      <c r="H13340">
        <f>0.00787401574803149*5.25227342804663</f>
        <v>4.1356483685406509E-2</v>
      </c>
      <c r="I13340">
        <v>4.1356483685406543E-2</v>
      </c>
    </row>
    <row r="13341" spans="1:9" x14ac:dyDescent="0.25">
      <c r="A13341">
        <v>469</v>
      </c>
      <c r="B13341" t="s">
        <v>3799</v>
      </c>
      <c r="C13341" t="s">
        <v>75</v>
      </c>
      <c r="D13341" t="s">
        <v>2238</v>
      </c>
      <c r="E13341">
        <f>1/127</f>
        <v>7.874015748031496E-3</v>
      </c>
      <c r="F13341">
        <v>68</v>
      </c>
      <c r="G13341">
        <f>LOG(382/(68+1))</f>
        <v>0.74321427217445335</v>
      </c>
      <c r="H13341">
        <f>0.00787401574803149*1.71131410400931</f>
        <v>1.3474914204797708E-2</v>
      </c>
      <c r="I13341">
        <v>1.347491420479776E-2</v>
      </c>
    </row>
    <row r="13342" spans="1:9" x14ac:dyDescent="0.25">
      <c r="A13342">
        <v>469</v>
      </c>
      <c r="B13342" t="s">
        <v>3799</v>
      </c>
      <c r="C13342" t="s">
        <v>75</v>
      </c>
      <c r="D13342" t="s">
        <v>3715</v>
      </c>
      <c r="E13342">
        <f>1/127</f>
        <v>7.874015748031496E-3</v>
      </c>
      <c r="F13342">
        <v>2</v>
      </c>
      <c r="G13342">
        <f>LOG(382/(2+1))</f>
        <v>2.1049421081920463</v>
      </c>
      <c r="H13342">
        <f>0.00787401574803149*4.84680831993846</f>
        <v>3.8163845038885487E-2</v>
      </c>
      <c r="I13342">
        <v>3.8163845038885563E-2</v>
      </c>
    </row>
    <row r="13343" spans="1:9" x14ac:dyDescent="0.25">
      <c r="A13343">
        <v>469</v>
      </c>
      <c r="B13343" t="s">
        <v>3799</v>
      </c>
      <c r="C13343" t="s">
        <v>75</v>
      </c>
      <c r="D13343" t="s">
        <v>3804</v>
      </c>
      <c r="E13343">
        <f>1/127</f>
        <v>7.874015748031496E-3</v>
      </c>
      <c r="F13343">
        <v>1</v>
      </c>
      <c r="G13343">
        <f>LOG(382/(1+1))</f>
        <v>2.2810333672477277</v>
      </c>
      <c r="H13343">
        <f>0.00787401574803149*5.25227342804663</f>
        <v>4.1356483685406509E-2</v>
      </c>
      <c r="I13343">
        <v>4.1356483685406543E-2</v>
      </c>
    </row>
    <row r="13344" spans="1:9" x14ac:dyDescent="0.25">
      <c r="A13344">
        <v>469</v>
      </c>
      <c r="B13344" t="s">
        <v>3799</v>
      </c>
      <c r="C13344" t="s">
        <v>75</v>
      </c>
      <c r="D13344" t="s">
        <v>362</v>
      </c>
      <c r="E13344">
        <f>2/127</f>
        <v>1.5748031496062992E-2</v>
      </c>
      <c r="F13344">
        <v>81</v>
      </c>
      <c r="G13344">
        <f>LOG(382/(81+1))</f>
        <v>0.66824951052799197</v>
      </c>
      <c r="H13344">
        <f>0.0157480314960629*1.53870136134232</f>
        <v>2.423151750145372E-2</v>
      </c>
      <c r="I13344">
        <v>2.423151750145389E-2</v>
      </c>
    </row>
    <row r="13345" spans="1:9" x14ac:dyDescent="0.25">
      <c r="A13345">
        <v>469</v>
      </c>
      <c r="B13345" t="s">
        <v>3799</v>
      </c>
      <c r="C13345" t="s">
        <v>75</v>
      </c>
      <c r="D13345" t="s">
        <v>1769</v>
      </c>
      <c r="E13345">
        <f>3/127</f>
        <v>2.3622047244094488E-2</v>
      </c>
      <c r="F13345">
        <v>84</v>
      </c>
      <c r="G13345">
        <f>LOG(382/(84+1))</f>
        <v>0.65264443719741605</v>
      </c>
      <c r="H13345">
        <f>0.0236220472440944*1.50276935211625</f>
        <v>3.5498488632667191E-2</v>
      </c>
      <c r="I13345">
        <v>3.5498488632667531E-2</v>
      </c>
    </row>
    <row r="13346" spans="1:9" x14ac:dyDescent="0.25">
      <c r="A13346">
        <v>469</v>
      </c>
      <c r="B13346" t="s">
        <v>3799</v>
      </c>
      <c r="C13346" t="s">
        <v>75</v>
      </c>
      <c r="D13346" t="s">
        <v>98</v>
      </c>
      <c r="E13346">
        <f>1/127</f>
        <v>7.874015748031496E-3</v>
      </c>
      <c r="F13346">
        <v>56</v>
      </c>
      <c r="G13346">
        <f>LOG(382/(56+1))</f>
        <v>0.82618850723921733</v>
      </c>
      <c r="H13346">
        <f>0.00787401574803149*1.90236934077202</f>
        <v>1.4979286147811171E-2</v>
      </c>
      <c r="I13346">
        <v>1.497928614781122E-2</v>
      </c>
    </row>
    <row r="13347" spans="1:9" x14ac:dyDescent="0.25">
      <c r="A13347">
        <v>469</v>
      </c>
      <c r="B13347" t="s">
        <v>3799</v>
      </c>
      <c r="C13347" t="s">
        <v>75</v>
      </c>
      <c r="D13347" t="s">
        <v>3805</v>
      </c>
      <c r="E13347">
        <f>1/127</f>
        <v>7.874015748031496E-3</v>
      </c>
      <c r="F13347">
        <v>1</v>
      </c>
      <c r="G13347">
        <f>LOG(382/(1+1))</f>
        <v>2.2810333672477277</v>
      </c>
      <c r="H13347">
        <f>0.00787401574803149*5.25227342804663</f>
        <v>4.1356483685406509E-2</v>
      </c>
      <c r="I13347">
        <v>4.1356483685406543E-2</v>
      </c>
    </row>
    <row r="13348" spans="1:9" x14ac:dyDescent="0.25">
      <c r="A13348">
        <v>469</v>
      </c>
      <c r="B13348" t="s">
        <v>3799</v>
      </c>
      <c r="C13348" t="s">
        <v>75</v>
      </c>
      <c r="D13348" t="s">
        <v>3420</v>
      </c>
      <c r="E13348">
        <f>2/127</f>
        <v>1.5748031496062992E-2</v>
      </c>
      <c r="F13348">
        <v>12</v>
      </c>
      <c r="G13348">
        <f>LOG(382/(12+1))</f>
        <v>1.468120010604872</v>
      </c>
      <c r="H13348">
        <f>0.0157480314960629*3.38047125114503</f>
        <v>5.3235767734567098E-2</v>
      </c>
      <c r="I13348">
        <v>5.3235767734567542E-2</v>
      </c>
    </row>
    <row r="13349" spans="1:9" x14ac:dyDescent="0.25">
      <c r="A13349">
        <v>469</v>
      </c>
      <c r="B13349" t="s">
        <v>3799</v>
      </c>
      <c r="C13349" t="s">
        <v>75</v>
      </c>
      <c r="D13349" t="s">
        <v>3538</v>
      </c>
      <c r="E13349">
        <f>1/127</f>
        <v>7.874015748031496E-3</v>
      </c>
      <c r="F13349">
        <v>3</v>
      </c>
      <c r="G13349">
        <f>LOG(382/(3+1))</f>
        <v>1.9800033715837464</v>
      </c>
      <c r="H13349">
        <f>0.00787401574803149*4.55912624748668</f>
        <v>3.5898631869973836E-2</v>
      </c>
      <c r="I13349">
        <v>3.5898631869973892E-2</v>
      </c>
    </row>
    <row r="13350" spans="1:9" x14ac:dyDescent="0.25">
      <c r="A13350">
        <v>469</v>
      </c>
      <c r="B13350" t="s">
        <v>3799</v>
      </c>
      <c r="C13350" t="s">
        <v>75</v>
      </c>
      <c r="D13350" t="s">
        <v>1731</v>
      </c>
      <c r="E13350">
        <f>2/127</f>
        <v>1.5748031496062992E-2</v>
      </c>
      <c r="F13350">
        <v>15</v>
      </c>
      <c r="G13350">
        <f>LOG(382/(15+1))</f>
        <v>1.3779433802557839</v>
      </c>
      <c r="H13350">
        <f>0.0157480314960629*3.17283188636679</f>
        <v>4.9965856478216879E-2</v>
      </c>
      <c r="I13350">
        <v>4.9965856478217233E-2</v>
      </c>
    </row>
    <row r="13351" spans="1:9" x14ac:dyDescent="0.25">
      <c r="A13351">
        <v>469</v>
      </c>
      <c r="B13351" t="s">
        <v>3799</v>
      </c>
      <c r="C13351" t="s">
        <v>75</v>
      </c>
      <c r="D13351" t="s">
        <v>3731</v>
      </c>
      <c r="E13351">
        <f>1/127</f>
        <v>7.874015748031496E-3</v>
      </c>
      <c r="F13351">
        <v>7</v>
      </c>
      <c r="G13351">
        <f>LOG(382/(7+1))</f>
        <v>1.6789733759197651</v>
      </c>
      <c r="H13351">
        <f>0.00787401574803149*3.86597906692673</f>
        <v>3.0440780054541164E-2</v>
      </c>
      <c r="I13351">
        <v>3.0440780054541251E-2</v>
      </c>
    </row>
    <row r="13352" spans="1:9" x14ac:dyDescent="0.25">
      <c r="A13352">
        <v>469</v>
      </c>
      <c r="B13352" t="s">
        <v>3799</v>
      </c>
      <c r="C13352" t="s">
        <v>75</v>
      </c>
      <c r="D13352" t="s">
        <v>207</v>
      </c>
      <c r="E13352">
        <f>1/127</f>
        <v>7.874015748031496E-3</v>
      </c>
      <c r="F13352">
        <v>21</v>
      </c>
      <c r="G13352">
        <f>LOG(382/(21+1))</f>
        <v>1.2396406820895025</v>
      </c>
      <c r="H13352">
        <f>0.00787401574803149*2.85437815524825</f>
        <v>2.2475418545261795E-2</v>
      </c>
      <c r="I13352">
        <v>2.2475418545261881E-2</v>
      </c>
    </row>
    <row r="13353" spans="1:9" x14ac:dyDescent="0.25">
      <c r="A13353">
        <v>469</v>
      </c>
      <c r="B13353" t="s">
        <v>3799</v>
      </c>
      <c r="C13353" t="s">
        <v>75</v>
      </c>
      <c r="D13353" t="s">
        <v>1738</v>
      </c>
      <c r="E13353">
        <f>2/127</f>
        <v>1.5748031496062992E-2</v>
      </c>
      <c r="F13353">
        <v>24</v>
      </c>
      <c r="G13353">
        <f>LOG(382/(24+1))</f>
        <v>1.1841233542396712</v>
      </c>
      <c r="H13353">
        <f>0.0157480314960629*2.72654478373837</f>
        <v>4.2937713129737862E-2</v>
      </c>
      <c r="I13353">
        <v>4.2937713129738167E-2</v>
      </c>
    </row>
    <row r="13354" spans="1:9" x14ac:dyDescent="0.25">
      <c r="A13354">
        <v>469</v>
      </c>
      <c r="B13354" t="s">
        <v>3799</v>
      </c>
      <c r="C13354" t="s">
        <v>75</v>
      </c>
      <c r="D13354" t="s">
        <v>1739</v>
      </c>
      <c r="E13354">
        <f>1/127</f>
        <v>7.874015748031496E-3</v>
      </c>
      <c r="F13354">
        <v>30</v>
      </c>
      <c r="G13354">
        <f>LOG(382/(30+1))</f>
        <v>1.090701669077436</v>
      </c>
      <c r="H13354">
        <f>0.00787401574803149*2.51143340412142</f>
        <v>1.9775066174184397E-2</v>
      </c>
      <c r="I13354">
        <v>1.977506617418448E-2</v>
      </c>
    </row>
    <row r="13355" spans="1:9" x14ac:dyDescent="0.25">
      <c r="A13355">
        <v>469</v>
      </c>
      <c r="B13355" t="s">
        <v>3799</v>
      </c>
      <c r="C13355" t="s">
        <v>75</v>
      </c>
      <c r="D13355" t="s">
        <v>3806</v>
      </c>
      <c r="E13355">
        <f>1/127</f>
        <v>7.874015748031496E-3</v>
      </c>
      <c r="F13355">
        <v>1</v>
      </c>
      <c r="G13355">
        <f>LOG(382/(1+1))</f>
        <v>2.2810333672477277</v>
      </c>
      <c r="H13355">
        <f>0.00787401574803149*5.25227342804663</f>
        <v>4.1356483685406509E-2</v>
      </c>
      <c r="I13355">
        <v>4.1356483685406543E-2</v>
      </c>
    </row>
    <row r="13356" spans="1:9" x14ac:dyDescent="0.25">
      <c r="A13356">
        <v>469</v>
      </c>
      <c r="B13356" t="s">
        <v>3799</v>
      </c>
      <c r="C13356" t="s">
        <v>75</v>
      </c>
      <c r="D13356" t="s">
        <v>3537</v>
      </c>
      <c r="E13356">
        <f>2/127</f>
        <v>1.5748031496062992E-2</v>
      </c>
      <c r="F13356">
        <v>10</v>
      </c>
      <c r="G13356">
        <f>LOG(382/(10+1))</f>
        <v>1.5406706777534838</v>
      </c>
      <c r="H13356">
        <f>0.0157480314960629*3.5475253358082</f>
        <v>5.5866540721388656E-2</v>
      </c>
      <c r="I13356">
        <v>5.5866540721389038E-2</v>
      </c>
    </row>
    <row r="13357" spans="1:9" x14ac:dyDescent="0.25">
      <c r="A13357">
        <v>469</v>
      </c>
      <c r="B13357" t="s">
        <v>3799</v>
      </c>
      <c r="C13357" t="s">
        <v>75</v>
      </c>
      <c r="D13357" t="s">
        <v>3807</v>
      </c>
      <c r="E13357">
        <f t="shared" ref="E13357:E13368" si="631">1/127</f>
        <v>7.874015748031496E-3</v>
      </c>
      <c r="F13357">
        <v>1</v>
      </c>
      <c r="G13357">
        <f>LOG(382/(1+1))</f>
        <v>2.2810333672477277</v>
      </c>
      <c r="H13357">
        <f>0.00787401574803149*5.25227342804663</f>
        <v>4.1356483685406509E-2</v>
      </c>
      <c r="I13357">
        <v>4.1356483685406543E-2</v>
      </c>
    </row>
    <row r="13358" spans="1:9" x14ac:dyDescent="0.25">
      <c r="A13358">
        <v>469</v>
      </c>
      <c r="B13358" t="s">
        <v>3799</v>
      </c>
      <c r="C13358" t="s">
        <v>75</v>
      </c>
      <c r="D13358" t="s">
        <v>1549</v>
      </c>
      <c r="E13358">
        <f t="shared" si="631"/>
        <v>7.874015748031496E-3</v>
      </c>
      <c r="F13358">
        <v>5</v>
      </c>
      <c r="G13358">
        <f>LOG(382/(5+1))</f>
        <v>1.803912112528065</v>
      </c>
      <c r="H13358">
        <f>0.00787401574803149*4.15366113937852</f>
        <v>3.2705993223452891E-2</v>
      </c>
      <c r="I13358">
        <v>3.2705993223452912E-2</v>
      </c>
    </row>
    <row r="13359" spans="1:9" x14ac:dyDescent="0.25">
      <c r="A13359">
        <v>469</v>
      </c>
      <c r="B13359" t="s">
        <v>3799</v>
      </c>
      <c r="C13359" t="s">
        <v>75</v>
      </c>
      <c r="D13359" t="s">
        <v>3542</v>
      </c>
      <c r="E13359">
        <f t="shared" si="631"/>
        <v>7.874015748031496E-3</v>
      </c>
      <c r="F13359">
        <v>2</v>
      </c>
      <c r="G13359">
        <f>LOG(382/(2+1))</f>
        <v>2.1049421081920463</v>
      </c>
      <c r="H13359">
        <f>0.00787401574803149*4.84680831993846</f>
        <v>3.8163845038885487E-2</v>
      </c>
      <c r="I13359">
        <v>3.8163845038885563E-2</v>
      </c>
    </row>
    <row r="13360" spans="1:9" x14ac:dyDescent="0.25">
      <c r="A13360">
        <v>469</v>
      </c>
      <c r="B13360" t="s">
        <v>3799</v>
      </c>
      <c r="C13360" t="s">
        <v>75</v>
      </c>
      <c r="D13360" t="s">
        <v>1733</v>
      </c>
      <c r="E13360">
        <f t="shared" si="631"/>
        <v>7.874015748031496E-3</v>
      </c>
      <c r="F13360">
        <v>19</v>
      </c>
      <c r="G13360">
        <f>LOG(382/(19+1))</f>
        <v>1.2810333672477277</v>
      </c>
      <c r="H13360">
        <f>0.00787401574803149*2.94968833505258</f>
        <v>2.3225892401988805E-2</v>
      </c>
      <c r="I13360">
        <v>2.322589240198885E-2</v>
      </c>
    </row>
    <row r="13361" spans="1:9" x14ac:dyDescent="0.25">
      <c r="A13361">
        <v>469</v>
      </c>
      <c r="B13361" t="s">
        <v>3799</v>
      </c>
      <c r="C13361" t="s">
        <v>75</v>
      </c>
      <c r="D13361" t="s">
        <v>3412</v>
      </c>
      <c r="E13361">
        <f t="shared" si="631"/>
        <v>7.874015748031496E-3</v>
      </c>
      <c r="F13361">
        <v>4</v>
      </c>
      <c r="G13361">
        <f>LOG(382/(4+1))</f>
        <v>1.8830933585756899</v>
      </c>
      <c r="H13361">
        <f>0.00787401574803149*4.33598269617247</f>
        <v>3.4141596032854077E-2</v>
      </c>
      <c r="I13361">
        <v>3.4141596032854132E-2</v>
      </c>
    </row>
    <row r="13362" spans="1:9" x14ac:dyDescent="0.25">
      <c r="A13362">
        <v>469</v>
      </c>
      <c r="B13362" t="s">
        <v>3799</v>
      </c>
      <c r="C13362" t="s">
        <v>75</v>
      </c>
      <c r="D13362" t="s">
        <v>1730</v>
      </c>
      <c r="E13362">
        <f t="shared" si="631"/>
        <v>7.874015748031496E-3</v>
      </c>
      <c r="F13362">
        <v>35</v>
      </c>
      <c r="G13362">
        <f>LOG(382/(35+1))</f>
        <v>1.0257608621444214</v>
      </c>
      <c r="H13362">
        <f>0.00787401574803149*2.36190167015046</f>
        <v>1.85976509460666E-2</v>
      </c>
      <c r="I13362">
        <v>1.8597650946066649E-2</v>
      </c>
    </row>
    <row r="13363" spans="1:9" x14ac:dyDescent="0.25">
      <c r="A13363">
        <v>469</v>
      </c>
      <c r="B13363" t="s">
        <v>3799</v>
      </c>
      <c r="C13363" t="s">
        <v>75</v>
      </c>
      <c r="D13363" t="s">
        <v>3808</v>
      </c>
      <c r="E13363">
        <f t="shared" si="631"/>
        <v>7.874015748031496E-3</v>
      </c>
      <c r="F13363">
        <v>1</v>
      </c>
      <c r="G13363">
        <f>LOG(382/(1+1))</f>
        <v>2.2810333672477277</v>
      </c>
      <c r="H13363">
        <f>0.00787401574803149*5.25227342804663</f>
        <v>4.1356483685406509E-2</v>
      </c>
      <c r="I13363">
        <v>4.1356483685406543E-2</v>
      </c>
    </row>
    <row r="13364" spans="1:9" x14ac:dyDescent="0.25">
      <c r="A13364">
        <v>469</v>
      </c>
      <c r="B13364" t="s">
        <v>3799</v>
      </c>
      <c r="C13364" t="s">
        <v>75</v>
      </c>
      <c r="D13364" t="s">
        <v>50</v>
      </c>
      <c r="E13364">
        <f t="shared" si="631"/>
        <v>7.874015748031496E-3</v>
      </c>
      <c r="F13364">
        <v>109</v>
      </c>
      <c r="G13364">
        <f>LOG(382/(109+1))</f>
        <v>0.54067067775348365</v>
      </c>
      <c r="H13364">
        <f>0.00787401574803149*1.24494024281415</f>
        <v>9.8026790772767648E-3</v>
      </c>
      <c r="I13364">
        <v>9.8026790772768411E-3</v>
      </c>
    </row>
    <row r="13365" spans="1:9" x14ac:dyDescent="0.25">
      <c r="A13365">
        <v>469</v>
      </c>
      <c r="B13365" t="s">
        <v>3799</v>
      </c>
      <c r="C13365" t="s">
        <v>75</v>
      </c>
      <c r="D13365" t="s">
        <v>474</v>
      </c>
      <c r="E13365">
        <f t="shared" si="631"/>
        <v>7.874015748031496E-3</v>
      </c>
      <c r="F13365">
        <v>25</v>
      </c>
      <c r="G13365">
        <f>LOG(382/(25+1))</f>
        <v>1.1670900149408907</v>
      </c>
      <c r="H13365">
        <f>0.00787401574803149*2.68732407058509</f>
        <v>2.1160032051851088E-2</v>
      </c>
      <c r="I13365">
        <v>2.116003205185113E-2</v>
      </c>
    </row>
    <row r="13366" spans="1:9" x14ac:dyDescent="0.25">
      <c r="A13366">
        <v>469</v>
      </c>
      <c r="B13366" t="s">
        <v>3799</v>
      </c>
      <c r="C13366" t="s">
        <v>75</v>
      </c>
      <c r="D13366" t="s">
        <v>1884</v>
      </c>
      <c r="E13366">
        <f t="shared" si="631"/>
        <v>7.874015748031496E-3</v>
      </c>
      <c r="F13366">
        <v>9</v>
      </c>
      <c r="G13366">
        <f>LOG(382/(9+1))</f>
        <v>1.5820633629117087</v>
      </c>
      <c r="H13366">
        <f>0.00787401574803149*3.64283551561252</f>
        <v>2.8683744217421397E-2</v>
      </c>
      <c r="I13366">
        <v>2.8683744217421491E-2</v>
      </c>
    </row>
    <row r="13367" spans="1:9" x14ac:dyDescent="0.25">
      <c r="A13367">
        <v>469</v>
      </c>
      <c r="B13367" t="s">
        <v>3799</v>
      </c>
      <c r="C13367" t="s">
        <v>75</v>
      </c>
      <c r="D13367" t="s">
        <v>3640</v>
      </c>
      <c r="E13367">
        <f t="shared" si="631"/>
        <v>7.874015748031496E-3</v>
      </c>
      <c r="F13367">
        <v>3</v>
      </c>
      <c r="G13367">
        <f>LOG(382/(3+1))</f>
        <v>1.9800033715837464</v>
      </c>
      <c r="H13367">
        <f>0.00787401574803149*4.55912624748668</f>
        <v>3.5898631869973836E-2</v>
      </c>
      <c r="I13367">
        <v>3.5898631869973892E-2</v>
      </c>
    </row>
    <row r="13368" spans="1:9" x14ac:dyDescent="0.25">
      <c r="A13368">
        <v>469</v>
      </c>
      <c r="B13368" t="s">
        <v>3799</v>
      </c>
      <c r="C13368" t="s">
        <v>75</v>
      </c>
      <c r="D13368" t="s">
        <v>322</v>
      </c>
      <c r="E13368">
        <f t="shared" si="631"/>
        <v>7.874015748031496E-3</v>
      </c>
      <c r="F13368">
        <v>128</v>
      </c>
      <c r="G13368">
        <f>LOG(382/(128+1))</f>
        <v>0.47147365261245977</v>
      </c>
      <c r="H13368">
        <f>0.00787401574803149*1.0856082042449</f>
        <v>8.5480960964165291E-3</v>
      </c>
      <c r="I13368">
        <v>8.5480960964165603E-3</v>
      </c>
    </row>
    <row r="13369" spans="1:9" x14ac:dyDescent="0.25">
      <c r="A13369">
        <v>469</v>
      </c>
      <c r="B13369" t="s">
        <v>3799</v>
      </c>
      <c r="C13369" t="s">
        <v>75</v>
      </c>
      <c r="D13369" t="s">
        <v>3809</v>
      </c>
      <c r="E13369">
        <f>2/127</f>
        <v>1.5748031496062992E-2</v>
      </c>
      <c r="F13369">
        <v>1</v>
      </c>
      <c r="G13369">
        <f>LOG(382/(1+1))</f>
        <v>2.2810333672477277</v>
      </c>
      <c r="H13369">
        <f>0.0157480314960629*5.25227342804663</f>
        <v>8.2712967370812587E-2</v>
      </c>
      <c r="I13369">
        <v>8.2712967370813073E-2</v>
      </c>
    </row>
    <row r="13370" spans="1:9" x14ac:dyDescent="0.25">
      <c r="A13370">
        <v>469</v>
      </c>
      <c r="B13370" t="s">
        <v>3799</v>
      </c>
      <c r="C13370" t="s">
        <v>75</v>
      </c>
      <c r="D13370" t="s">
        <v>65</v>
      </c>
      <c r="E13370">
        <f>1/127</f>
        <v>7.874015748031496E-3</v>
      </c>
      <c r="F13370">
        <v>32</v>
      </c>
      <c r="G13370">
        <f>LOG(382/(32+1))</f>
        <v>1.0635494230338212</v>
      </c>
      <c r="H13370">
        <f>0.00787401574803149*2.44891304714009</f>
        <v>1.9282779898740856E-2</v>
      </c>
      <c r="I13370">
        <v>1.9282779898740901E-2</v>
      </c>
    </row>
    <row r="13371" spans="1:9" x14ac:dyDescent="0.25">
      <c r="A13371">
        <v>469</v>
      </c>
      <c r="B13371" t="s">
        <v>3799</v>
      </c>
      <c r="C13371" t="s">
        <v>75</v>
      </c>
      <c r="D13371" t="s">
        <v>40</v>
      </c>
      <c r="E13371">
        <f>2/127</f>
        <v>1.5748031496062992E-2</v>
      </c>
      <c r="F13371">
        <v>159</v>
      </c>
      <c r="G13371">
        <f>LOG(382/(159+1))</f>
        <v>0.377943380255784</v>
      </c>
      <c r="H13371">
        <f>0.0157480314960629*0.870246793372748</f>
        <v>1.370467391138178E-2</v>
      </c>
      <c r="I13371">
        <v>1.3704673911381859E-2</v>
      </c>
    </row>
    <row r="13372" spans="1:9" x14ac:dyDescent="0.25">
      <c r="A13372">
        <v>469</v>
      </c>
      <c r="B13372" t="s">
        <v>3799</v>
      </c>
      <c r="C13372" t="s">
        <v>75</v>
      </c>
      <c r="D13372" t="s">
        <v>41</v>
      </c>
      <c r="E13372">
        <f>2/127</f>
        <v>1.5748031496062992E-2</v>
      </c>
      <c r="F13372">
        <v>195</v>
      </c>
      <c r="G13372">
        <f>LOG(382/(195+1))</f>
        <v>0.28980729155523272</v>
      </c>
      <c r="H13372">
        <f>0.0157480314960629*0.667305949376058</f>
        <v>1.0508755108284319E-2</v>
      </c>
      <c r="I13372">
        <v>1.050875510828438E-2</v>
      </c>
    </row>
    <row r="13373" spans="1:9" x14ac:dyDescent="0.25">
      <c r="A13373">
        <v>469</v>
      </c>
      <c r="B13373" t="s">
        <v>3799</v>
      </c>
      <c r="C13373" t="s">
        <v>75</v>
      </c>
      <c r="D13373" t="s">
        <v>2898</v>
      </c>
      <c r="E13373">
        <f t="shared" ref="E13373:E13380" si="632">1/127</f>
        <v>7.874015748031496E-3</v>
      </c>
      <c r="F13373">
        <v>2</v>
      </c>
      <c r="G13373">
        <f>LOG(382/(2+1))</f>
        <v>2.1049421081920463</v>
      </c>
      <c r="H13373">
        <f>0.00787401574803149*4.84680831993846</f>
        <v>3.8163845038885487E-2</v>
      </c>
      <c r="I13373">
        <v>3.8163845038885563E-2</v>
      </c>
    </row>
    <row r="13374" spans="1:9" x14ac:dyDescent="0.25">
      <c r="A13374">
        <v>469</v>
      </c>
      <c r="B13374" t="s">
        <v>3799</v>
      </c>
      <c r="C13374" t="s">
        <v>75</v>
      </c>
      <c r="D13374" t="s">
        <v>77</v>
      </c>
      <c r="E13374">
        <f t="shared" si="632"/>
        <v>7.874015748031496E-3</v>
      </c>
      <c r="F13374">
        <v>148</v>
      </c>
      <c r="G13374">
        <f>LOG(382/(148+1))</f>
        <v>0.40887709449943471</v>
      </c>
      <c r="H13374">
        <f>0.00787401574803149*0.941474302661116</f>
        <v>7.4131834855205936E-3</v>
      </c>
      <c r="I13374">
        <v>7.4131834855205988E-3</v>
      </c>
    </row>
    <row r="13375" spans="1:9" x14ac:dyDescent="0.25">
      <c r="A13375">
        <v>469</v>
      </c>
      <c r="B13375" t="s">
        <v>3799</v>
      </c>
      <c r="C13375" t="s">
        <v>75</v>
      </c>
      <c r="D13375" t="s">
        <v>3810</v>
      </c>
      <c r="E13375">
        <f t="shared" si="632"/>
        <v>7.874015748031496E-3</v>
      </c>
      <c r="F13375">
        <v>1</v>
      </c>
      <c r="G13375">
        <f>LOG(382/(1+1))</f>
        <v>2.2810333672477277</v>
      </c>
      <c r="H13375">
        <f>0.00787401574803149*5.25227342804663</f>
        <v>4.1356483685406509E-2</v>
      </c>
      <c r="I13375">
        <v>4.1356483685406543E-2</v>
      </c>
    </row>
    <row r="13376" spans="1:9" x14ac:dyDescent="0.25">
      <c r="A13376">
        <v>469</v>
      </c>
      <c r="B13376" t="s">
        <v>3799</v>
      </c>
      <c r="C13376" t="s">
        <v>75</v>
      </c>
      <c r="D13376" t="s">
        <v>239</v>
      </c>
      <c r="E13376">
        <f t="shared" si="632"/>
        <v>7.874015748031496E-3</v>
      </c>
      <c r="F13376">
        <v>40</v>
      </c>
      <c r="G13376">
        <f>LOG(382/(40+1))</f>
        <v>0.96927950619197323</v>
      </c>
      <c r="H13376">
        <f>0.00787401574803149*2.23184854190226</f>
        <v>1.7573610566159515E-2</v>
      </c>
      <c r="I13376">
        <v>1.7573610566159581E-2</v>
      </c>
    </row>
    <row r="13377" spans="1:9" x14ac:dyDescent="0.25">
      <c r="A13377">
        <v>469</v>
      </c>
      <c r="B13377" t="s">
        <v>3799</v>
      </c>
      <c r="C13377" t="s">
        <v>75</v>
      </c>
      <c r="D13377" t="s">
        <v>448</v>
      </c>
      <c r="E13377">
        <f t="shared" si="632"/>
        <v>7.874015748031496E-3</v>
      </c>
      <c r="F13377">
        <v>19</v>
      </c>
      <c r="G13377">
        <f>LOG(382/(19+1))</f>
        <v>1.2810333672477277</v>
      </c>
      <c r="H13377">
        <f>0.00787401574803149*2.94968833505258</f>
        <v>2.3225892401988805E-2</v>
      </c>
      <c r="I13377">
        <v>2.322589240198885E-2</v>
      </c>
    </row>
    <row r="13378" spans="1:9" x14ac:dyDescent="0.25">
      <c r="A13378">
        <v>469</v>
      </c>
      <c r="B13378" t="s">
        <v>3799</v>
      </c>
      <c r="C13378" t="s">
        <v>75</v>
      </c>
      <c r="D13378" t="s">
        <v>746</v>
      </c>
      <c r="E13378">
        <f t="shared" si="632"/>
        <v>7.874015748031496E-3</v>
      </c>
      <c r="F13378">
        <v>58</v>
      </c>
      <c r="G13378">
        <f>LOG(382/(58+1))</f>
        <v>0.81121135126956456</v>
      </c>
      <c r="H13378">
        <f>0.00787401574803149*1.86788316470085</f>
        <v>1.4707741454337392E-2</v>
      </c>
      <c r="I13378">
        <v>1.4707741454337449E-2</v>
      </c>
    </row>
    <row r="13379" spans="1:9" x14ac:dyDescent="0.25">
      <c r="A13379">
        <v>469</v>
      </c>
      <c r="B13379" t="s">
        <v>3799</v>
      </c>
      <c r="C13379" t="s">
        <v>75</v>
      </c>
      <c r="D13379" t="s">
        <v>1079</v>
      </c>
      <c r="E13379">
        <f t="shared" si="632"/>
        <v>7.874015748031496E-3</v>
      </c>
      <c r="F13379">
        <v>34</v>
      </c>
      <c r="G13379">
        <f>LOG(382/(34+1))</f>
        <v>1.037995318561433</v>
      </c>
      <c r="H13379">
        <f>0.00787401574803149*2.39007254711716</f>
        <v>1.8819468874938256E-2</v>
      </c>
      <c r="I13379">
        <v>1.881946887493828E-2</v>
      </c>
    </row>
    <row r="13380" spans="1:9" x14ac:dyDescent="0.25">
      <c r="A13380">
        <v>469</v>
      </c>
      <c r="B13380" t="s">
        <v>3799</v>
      </c>
      <c r="C13380" t="s">
        <v>75</v>
      </c>
      <c r="D13380" t="s">
        <v>119</v>
      </c>
      <c r="E13380">
        <f t="shared" si="632"/>
        <v>7.874015748031496E-3</v>
      </c>
      <c r="F13380">
        <v>79</v>
      </c>
      <c r="G13380">
        <f>LOG(382/(79+1))</f>
        <v>0.67897337591976514</v>
      </c>
      <c r="H13380">
        <f>0.00787401574803149*1.56339397393269</f>
        <v>1.2310188771123536E-2</v>
      </c>
      <c r="I13380">
        <v>1.2310188771123569E-2</v>
      </c>
    </row>
    <row r="13381" spans="1:9" x14ac:dyDescent="0.25">
      <c r="A13381">
        <v>469</v>
      </c>
      <c r="B13381" t="s">
        <v>3799</v>
      </c>
      <c r="C13381" t="s">
        <v>75</v>
      </c>
      <c r="D13381" t="s">
        <v>133</v>
      </c>
      <c r="E13381">
        <f>2/127</f>
        <v>1.5748031496062992E-2</v>
      </c>
      <c r="F13381">
        <v>142</v>
      </c>
      <c r="G13381">
        <f>LOG(382/(142+1))</f>
        <v>0.42672732544664693</v>
      </c>
      <c r="H13381">
        <f>0.0157480314960629*0.982575978346667</f>
        <v>1.5473637454278131E-2</v>
      </c>
      <c r="I13381">
        <v>1.547363745427823E-2</v>
      </c>
    </row>
    <row r="13382" spans="1:9" x14ac:dyDescent="0.25">
      <c r="A13382">
        <v>469</v>
      </c>
      <c r="B13382" t="s">
        <v>3799</v>
      </c>
      <c r="C13382" t="s">
        <v>75</v>
      </c>
      <c r="D13382" t="s">
        <v>201</v>
      </c>
      <c r="E13382">
        <f>1/127</f>
        <v>7.874015748031496E-3</v>
      </c>
      <c r="F13382">
        <v>72</v>
      </c>
      <c r="G13382">
        <f>LOG(382/(72+1))</f>
        <v>0.71874050279125279</v>
      </c>
      <c r="H13382">
        <f>0.00787401574803149*1.65496116745818</f>
        <v>1.3031190294946289E-2</v>
      </c>
      <c r="I13382">
        <v>1.3031190294946329E-2</v>
      </c>
    </row>
    <row r="13383" spans="1:9" x14ac:dyDescent="0.25">
      <c r="A13383">
        <v>469</v>
      </c>
      <c r="B13383" t="s">
        <v>3799</v>
      </c>
      <c r="C13383" t="s">
        <v>75</v>
      </c>
      <c r="D13383" t="s">
        <v>3811</v>
      </c>
      <c r="E13383">
        <f>1/127</f>
        <v>7.874015748031496E-3</v>
      </c>
      <c r="F13383">
        <v>1</v>
      </c>
      <c r="G13383">
        <f>LOG(382/(1+1))</f>
        <v>2.2810333672477277</v>
      </c>
      <c r="H13383">
        <f>0.00787401574803149*5.25227342804663</f>
        <v>4.1356483685406509E-2</v>
      </c>
      <c r="I13383">
        <v>4.1356483685406543E-2</v>
      </c>
    </row>
    <row r="13384" spans="1:9" x14ac:dyDescent="0.25">
      <c r="A13384">
        <v>469</v>
      </c>
      <c r="B13384" t="s">
        <v>3799</v>
      </c>
      <c r="C13384" t="s">
        <v>75</v>
      </c>
      <c r="D13384" t="s">
        <v>331</v>
      </c>
      <c r="E13384">
        <f>1/127</f>
        <v>7.874015748031496E-3</v>
      </c>
      <c r="F13384">
        <v>130</v>
      </c>
      <c r="G13384">
        <f>LOG(382/(130+1))</f>
        <v>0.46479206725594452</v>
      </c>
      <c r="H13384">
        <f>0.00787401574803149*1.07022328540542</f>
        <v>8.4269550031922779E-3</v>
      </c>
      <c r="I13384">
        <v>8.4269550031923126E-3</v>
      </c>
    </row>
    <row r="13385" spans="1:9" x14ac:dyDescent="0.25">
      <c r="A13385">
        <v>469</v>
      </c>
      <c r="B13385" t="s">
        <v>3799</v>
      </c>
      <c r="C13385" t="s">
        <v>75</v>
      </c>
      <c r="D13385" t="s">
        <v>3324</v>
      </c>
      <c r="E13385">
        <f>3/127</f>
        <v>2.3622047244094488E-2</v>
      </c>
      <c r="F13385">
        <v>8</v>
      </c>
      <c r="G13385">
        <f>LOG(382/(8+1))</f>
        <v>1.6278208534723839</v>
      </c>
      <c r="H13385">
        <f>0.0236220472440944*3.74819603127035</f>
        <v>8.8540063730795343E-2</v>
      </c>
      <c r="I13385">
        <v>8.8540063730795801E-2</v>
      </c>
    </row>
    <row r="13386" spans="1:9" x14ac:dyDescent="0.25">
      <c r="A13386">
        <v>469</v>
      </c>
      <c r="B13386" t="s">
        <v>3799</v>
      </c>
      <c r="C13386" t="s">
        <v>75</v>
      </c>
      <c r="D13386" t="s">
        <v>361</v>
      </c>
      <c r="E13386">
        <f t="shared" ref="E13386:E13402" si="633">1/127</f>
        <v>7.874015748031496E-3</v>
      </c>
      <c r="F13386">
        <v>118</v>
      </c>
      <c r="G13386">
        <f>LOG(382/(118+1))</f>
        <v>0.50651640151917798</v>
      </c>
      <c r="H13386">
        <f>0.00787401574803149*1.16629711549504</f>
        <v>9.1834418542916466E-3</v>
      </c>
      <c r="I13386">
        <v>9.1834418542917004E-3</v>
      </c>
    </row>
    <row r="13387" spans="1:9" x14ac:dyDescent="0.25">
      <c r="A13387">
        <v>469</v>
      </c>
      <c r="B13387" t="s">
        <v>3799</v>
      </c>
      <c r="C13387" t="s">
        <v>75</v>
      </c>
      <c r="D13387" t="s">
        <v>434</v>
      </c>
      <c r="E13387">
        <f t="shared" si="633"/>
        <v>7.874015748031496E-3</v>
      </c>
      <c r="F13387">
        <v>97</v>
      </c>
      <c r="G13387">
        <f>LOG(382/(97+1))</f>
        <v>0.59083728721921391</v>
      </c>
      <c r="H13387">
        <f>0.00787401574803149*1.360453129936</f>
        <v>1.0712229369574796E-2</v>
      </c>
      <c r="I13387">
        <v>1.0712229369574829E-2</v>
      </c>
    </row>
    <row r="13388" spans="1:9" x14ac:dyDescent="0.25">
      <c r="A13388">
        <v>469</v>
      </c>
      <c r="B13388" t="s">
        <v>3799</v>
      </c>
      <c r="C13388" t="s">
        <v>75</v>
      </c>
      <c r="D13388" t="s">
        <v>3812</v>
      </c>
      <c r="E13388">
        <f t="shared" si="633"/>
        <v>7.874015748031496E-3</v>
      </c>
      <c r="F13388">
        <v>1</v>
      </c>
      <c r="G13388">
        <f>LOG(382/(1+1))</f>
        <v>2.2810333672477277</v>
      </c>
      <c r="H13388">
        <f>0.00787401574803149*5.25227342804663</f>
        <v>4.1356483685406509E-2</v>
      </c>
      <c r="I13388">
        <v>4.1356483685406543E-2</v>
      </c>
    </row>
    <row r="13389" spans="1:9" x14ac:dyDescent="0.25">
      <c r="A13389">
        <v>469</v>
      </c>
      <c r="B13389" t="s">
        <v>3799</v>
      </c>
      <c r="C13389" t="s">
        <v>75</v>
      </c>
      <c r="D13389" t="s">
        <v>310</v>
      </c>
      <c r="E13389">
        <f t="shared" si="633"/>
        <v>7.874015748031496E-3</v>
      </c>
      <c r="F13389">
        <v>50</v>
      </c>
      <c r="G13389">
        <f>LOG(382/(50+1))</f>
        <v>0.87449318681377242</v>
      </c>
      <c r="H13389">
        <f>0.00787401574803149*2.01359497588224</f>
        <v>1.5855078550253848E-2</v>
      </c>
      <c r="I13389">
        <v>1.5855078550253931E-2</v>
      </c>
    </row>
    <row r="13390" spans="1:9" x14ac:dyDescent="0.25">
      <c r="A13390">
        <v>469</v>
      </c>
      <c r="B13390" t="s">
        <v>3799</v>
      </c>
      <c r="C13390" t="s">
        <v>75</v>
      </c>
      <c r="D13390" t="s">
        <v>1467</v>
      </c>
      <c r="E13390">
        <f t="shared" si="633"/>
        <v>7.874015748031496E-3</v>
      </c>
      <c r="F13390">
        <v>21</v>
      </c>
      <c r="G13390">
        <f>LOG(382/(21+1))</f>
        <v>1.2396406820895025</v>
      </c>
      <c r="H13390">
        <f>0.00787401574803149*2.85437815524825</f>
        <v>2.2475418545261795E-2</v>
      </c>
      <c r="I13390">
        <v>2.2475418545261881E-2</v>
      </c>
    </row>
    <row r="13391" spans="1:9" x14ac:dyDescent="0.25">
      <c r="A13391">
        <v>469</v>
      </c>
      <c r="B13391" t="s">
        <v>3799</v>
      </c>
      <c r="C13391" t="s">
        <v>75</v>
      </c>
      <c r="D13391" t="s">
        <v>673</v>
      </c>
      <c r="E13391">
        <f t="shared" si="633"/>
        <v>7.874015748031496E-3</v>
      </c>
      <c r="F13391">
        <v>16</v>
      </c>
      <c r="G13391">
        <f>LOG(382/(16+1))</f>
        <v>1.3516144415334348</v>
      </c>
      <c r="H13391">
        <f>0.00787401574803149*3.11220726455035</f>
        <v>2.4505569012207462E-2</v>
      </c>
      <c r="I13391">
        <v>2.4505569012207549E-2</v>
      </c>
    </row>
    <row r="13392" spans="1:9" x14ac:dyDescent="0.25">
      <c r="A13392">
        <v>469</v>
      </c>
      <c r="B13392" t="s">
        <v>3799</v>
      </c>
      <c r="C13392" t="s">
        <v>75</v>
      </c>
      <c r="D13392" t="s">
        <v>214</v>
      </c>
      <c r="E13392">
        <f t="shared" si="633"/>
        <v>7.874015748031496E-3</v>
      </c>
      <c r="F13392">
        <v>68</v>
      </c>
      <c r="G13392">
        <f>LOG(382/(68+1))</f>
        <v>0.74321427217445335</v>
      </c>
      <c r="H13392">
        <f>0.00787401574803149*1.71131410400931</f>
        <v>1.3474914204797708E-2</v>
      </c>
      <c r="I13392">
        <v>1.347491420479776E-2</v>
      </c>
    </row>
    <row r="13393" spans="1:9" x14ac:dyDescent="0.25">
      <c r="A13393">
        <v>469</v>
      </c>
      <c r="B13393" t="s">
        <v>3799</v>
      </c>
      <c r="C13393" t="s">
        <v>75</v>
      </c>
      <c r="D13393" t="s">
        <v>453</v>
      </c>
      <c r="E13393">
        <f t="shared" si="633"/>
        <v>7.874015748031496E-3</v>
      </c>
      <c r="F13393">
        <v>68</v>
      </c>
      <c r="G13393">
        <f>LOG(382/(68+1))</f>
        <v>0.74321427217445335</v>
      </c>
      <c r="H13393">
        <f>0.00787401574803149*1.71131410400931</f>
        <v>1.3474914204797708E-2</v>
      </c>
      <c r="I13393">
        <v>1.347491420479776E-2</v>
      </c>
    </row>
    <row r="13394" spans="1:9" x14ac:dyDescent="0.25">
      <c r="A13394">
        <v>469</v>
      </c>
      <c r="B13394" t="s">
        <v>3799</v>
      </c>
      <c r="C13394" t="s">
        <v>75</v>
      </c>
      <c r="D13394" t="s">
        <v>770</v>
      </c>
      <c r="E13394">
        <f t="shared" si="633"/>
        <v>7.874015748031496E-3</v>
      </c>
      <c r="F13394">
        <v>47</v>
      </c>
      <c r="G13394">
        <f>LOG(382/(47+1))</f>
        <v>0.90082212553612151</v>
      </c>
      <c r="H13394">
        <f>0.00787401574803149*2.07421959769868</f>
        <v>1.633243777715495E-2</v>
      </c>
      <c r="I13394">
        <v>1.6332437777154991E-2</v>
      </c>
    </row>
    <row r="13395" spans="1:9" x14ac:dyDescent="0.25">
      <c r="A13395">
        <v>469</v>
      </c>
      <c r="B13395" t="s">
        <v>3799</v>
      </c>
      <c r="C13395" t="s">
        <v>75</v>
      </c>
      <c r="D13395" t="s">
        <v>243</v>
      </c>
      <c r="E13395">
        <f t="shared" si="633"/>
        <v>7.874015748031496E-3</v>
      </c>
      <c r="F13395">
        <v>131</v>
      </c>
      <c r="G13395">
        <f>LOG(382/(131+1))</f>
        <v>0.46148943170585888</v>
      </c>
      <c r="H13395">
        <f>0.00787401574803149*1.0626186860202</f>
        <v>8.3670762678755856E-3</v>
      </c>
      <c r="I13395">
        <v>8.3670762678756238E-3</v>
      </c>
    </row>
    <row r="13396" spans="1:9" x14ac:dyDescent="0.25">
      <c r="A13396">
        <v>469</v>
      </c>
      <c r="B13396" t="s">
        <v>3799</v>
      </c>
      <c r="C13396" t="s">
        <v>75</v>
      </c>
      <c r="D13396" t="s">
        <v>307</v>
      </c>
      <c r="E13396">
        <f t="shared" si="633"/>
        <v>7.874015748031496E-3</v>
      </c>
      <c r="F13396">
        <v>67</v>
      </c>
      <c r="G13396">
        <f>LOG(382/(67+1))</f>
        <v>0.7495544502054724</v>
      </c>
      <c r="H13396">
        <f>0.00787401574803149*1.72591290343046</f>
        <v>1.3589865381342197E-2</v>
      </c>
      <c r="I13396">
        <v>1.358986538134227E-2</v>
      </c>
    </row>
    <row r="13397" spans="1:9" x14ac:dyDescent="0.25">
      <c r="A13397">
        <v>469</v>
      </c>
      <c r="B13397" t="s">
        <v>3799</v>
      </c>
      <c r="C13397" t="s">
        <v>75</v>
      </c>
      <c r="D13397" t="s">
        <v>455</v>
      </c>
      <c r="E13397">
        <f t="shared" si="633"/>
        <v>7.874015748031496E-3</v>
      </c>
      <c r="F13397">
        <v>78</v>
      </c>
      <c r="G13397">
        <f>LOG(382/(78+1))</f>
        <v>0.6844362716212673</v>
      </c>
      <c r="H13397">
        <f>0.00787401574803149*1.57597275613955</f>
        <v>1.2409234300311409E-2</v>
      </c>
      <c r="I13397">
        <v>1.2409234300311449E-2</v>
      </c>
    </row>
    <row r="13398" spans="1:9" x14ac:dyDescent="0.25">
      <c r="A13398">
        <v>469</v>
      </c>
      <c r="B13398" t="s">
        <v>3799</v>
      </c>
      <c r="C13398" t="s">
        <v>75</v>
      </c>
      <c r="D13398" t="s">
        <v>1779</v>
      </c>
      <c r="E13398">
        <f t="shared" si="633"/>
        <v>7.874015748031496E-3</v>
      </c>
      <c r="F13398">
        <v>41</v>
      </c>
      <c r="G13398">
        <f>LOG(382/(41+1))</f>
        <v>0.95881407251380824</v>
      </c>
      <c r="H13398">
        <f>0.00787401574803149*2.2077509903232</f>
        <v>1.7383866065536997E-2</v>
      </c>
      <c r="I13398">
        <v>1.738386606553706E-2</v>
      </c>
    </row>
    <row r="13399" spans="1:9" x14ac:dyDescent="0.25">
      <c r="A13399">
        <v>469</v>
      </c>
      <c r="B13399" t="s">
        <v>3799</v>
      </c>
      <c r="C13399" t="s">
        <v>75</v>
      </c>
      <c r="D13399" t="s">
        <v>3813</v>
      </c>
      <c r="E13399">
        <f t="shared" si="633"/>
        <v>7.874015748031496E-3</v>
      </c>
      <c r="F13399">
        <v>1</v>
      </c>
      <c r="G13399">
        <f>LOG(382/(1+1))</f>
        <v>2.2810333672477277</v>
      </c>
      <c r="H13399">
        <f>0.00787401574803149*5.25227342804663</f>
        <v>4.1356483685406509E-2</v>
      </c>
      <c r="I13399">
        <v>4.1356483685406543E-2</v>
      </c>
    </row>
    <row r="13400" spans="1:9" x14ac:dyDescent="0.25">
      <c r="A13400">
        <v>469</v>
      </c>
      <c r="B13400" t="s">
        <v>3799</v>
      </c>
      <c r="C13400" t="s">
        <v>75</v>
      </c>
      <c r="D13400" t="s">
        <v>236</v>
      </c>
      <c r="E13400">
        <f t="shared" si="633"/>
        <v>7.874015748031496E-3</v>
      </c>
      <c r="F13400">
        <v>87</v>
      </c>
      <c r="G13400">
        <f>LOG(382/(87+1))</f>
        <v>0.63758069076154011</v>
      </c>
      <c r="H13400">
        <f>0.00787401574803149*1.46808379412836</f>
        <v>1.1559714914396528E-2</v>
      </c>
      <c r="I13400">
        <v>1.1559714914396601E-2</v>
      </c>
    </row>
    <row r="13401" spans="1:9" x14ac:dyDescent="0.25">
      <c r="A13401">
        <v>469</v>
      </c>
      <c r="B13401" t="s">
        <v>3799</v>
      </c>
      <c r="C13401" t="s">
        <v>75</v>
      </c>
      <c r="D13401" t="s">
        <v>76</v>
      </c>
      <c r="E13401">
        <f t="shared" si="633"/>
        <v>7.874015748031496E-3</v>
      </c>
      <c r="F13401">
        <v>140</v>
      </c>
      <c r="G13401">
        <f>LOG(382/(140+1))</f>
        <v>0.43284425025632883</v>
      </c>
      <c r="H13401">
        <f>0.00787401574803149*0.996660718228407</f>
        <v>7.8477221907748522E-3</v>
      </c>
      <c r="I13401">
        <v>7.8477221907748574E-3</v>
      </c>
    </row>
    <row r="13402" spans="1:9" x14ac:dyDescent="0.25">
      <c r="A13402">
        <v>469</v>
      </c>
      <c r="B13402" t="s">
        <v>3799</v>
      </c>
      <c r="C13402" t="s">
        <v>75</v>
      </c>
      <c r="D13402" t="s">
        <v>939</v>
      </c>
      <c r="E13402">
        <f t="shared" si="633"/>
        <v>7.874015748031496E-3</v>
      </c>
      <c r="F13402">
        <v>35</v>
      </c>
      <c r="G13402">
        <f>LOG(382/(35+1))</f>
        <v>1.0257608621444214</v>
      </c>
      <c r="H13402">
        <f>0.00787401574803149*2.36190167015046</f>
        <v>1.85976509460666E-2</v>
      </c>
      <c r="I13402">
        <v>1.8597650946066649E-2</v>
      </c>
    </row>
    <row r="13403" spans="1:9" x14ac:dyDescent="0.25">
      <c r="A13403">
        <v>470</v>
      </c>
      <c r="B13403" t="s">
        <v>3814</v>
      </c>
      <c r="C13403" t="s">
        <v>75</v>
      </c>
      <c r="D13403" t="s">
        <v>112</v>
      </c>
      <c r="E13403">
        <f>2/92</f>
        <v>2.1739130434782608E-2</v>
      </c>
      <c r="F13403">
        <v>52</v>
      </c>
      <c r="G13403">
        <f>LOG(382/(52+1))</f>
        <v>0.85778749331091964</v>
      </c>
      <c r="H13403">
        <f>0.0217391304347826*1.97512869505445</f>
        <v>4.2937580327270637E-2</v>
      </c>
      <c r="I13403">
        <v>4.293758032727072E-2</v>
      </c>
    </row>
    <row r="13404" spans="1:9" x14ac:dyDescent="0.25">
      <c r="A13404">
        <v>470</v>
      </c>
      <c r="B13404" t="s">
        <v>3814</v>
      </c>
      <c r="C13404" t="s">
        <v>75</v>
      </c>
      <c r="D13404" t="s">
        <v>82</v>
      </c>
      <c r="E13404">
        <f>4/92</f>
        <v>4.3478260869565216E-2</v>
      </c>
      <c r="F13404">
        <v>92</v>
      </c>
      <c r="G13404">
        <f>LOG(382/(92+1))</f>
        <v>0.61358041435777355</v>
      </c>
      <c r="H13404">
        <f>0.0434782608695652*1.41282111545331</f>
        <v>6.1427005019709102E-2</v>
      </c>
      <c r="I13404">
        <v>6.1427005019709532E-2</v>
      </c>
    </row>
    <row r="13405" spans="1:9" x14ac:dyDescent="0.25">
      <c r="A13405">
        <v>470</v>
      </c>
      <c r="B13405" t="s">
        <v>3814</v>
      </c>
      <c r="C13405" t="s">
        <v>75</v>
      </c>
      <c r="D13405" t="s">
        <v>3357</v>
      </c>
      <c r="E13405">
        <f>1/92</f>
        <v>1.0869565217391304E-2</v>
      </c>
      <c r="F13405">
        <v>2</v>
      </c>
      <c r="G13405">
        <f>LOG(382/(2+1))</f>
        <v>2.1049421081920463</v>
      </c>
      <c r="H13405">
        <f>0.0108695652173913*4.84680831993846</f>
        <v>5.268269912976585E-2</v>
      </c>
      <c r="I13405">
        <v>5.2682699129765927E-2</v>
      </c>
    </row>
    <row r="13406" spans="1:9" x14ac:dyDescent="0.25">
      <c r="A13406">
        <v>470</v>
      </c>
      <c r="B13406" t="s">
        <v>3814</v>
      </c>
      <c r="C13406" t="s">
        <v>75</v>
      </c>
      <c r="D13406" t="s">
        <v>2231</v>
      </c>
      <c r="E13406">
        <f>2/92</f>
        <v>2.1739130434782608E-2</v>
      </c>
      <c r="F13406">
        <v>23</v>
      </c>
      <c r="G13406">
        <f>LOG(382/(23+1))</f>
        <v>1.2018521212001028</v>
      </c>
      <c r="H13406">
        <f>0.0217391304347826*2.76736677825862</f>
        <v>6.0160147353448247E-2</v>
      </c>
      <c r="I13406">
        <v>6.0160147353448469E-2</v>
      </c>
    </row>
    <row r="13407" spans="1:9" x14ac:dyDescent="0.25">
      <c r="A13407">
        <v>470</v>
      </c>
      <c r="B13407" t="s">
        <v>3814</v>
      </c>
      <c r="C13407" t="s">
        <v>75</v>
      </c>
      <c r="D13407" t="s">
        <v>147</v>
      </c>
      <c r="E13407">
        <f>1/92</f>
        <v>1.0869565217391304E-2</v>
      </c>
      <c r="F13407">
        <v>48</v>
      </c>
      <c r="G13407">
        <f>LOG(382/(48+1))</f>
        <v>0.89186728288319506</v>
      </c>
      <c r="H13407">
        <f>0.0108695652173913*2.05360031049594</f>
        <v>2.2321742505390645E-2</v>
      </c>
      <c r="I13407">
        <v>2.2321742505390749E-2</v>
      </c>
    </row>
    <row r="13408" spans="1:9" x14ac:dyDescent="0.25">
      <c r="A13408">
        <v>470</v>
      </c>
      <c r="B13408" t="s">
        <v>3814</v>
      </c>
      <c r="C13408" t="s">
        <v>75</v>
      </c>
      <c r="D13408" t="s">
        <v>3358</v>
      </c>
      <c r="E13408">
        <f>1/92</f>
        <v>1.0869565217391304E-2</v>
      </c>
      <c r="F13408">
        <v>2</v>
      </c>
      <c r="G13408">
        <f>LOG(382/(2+1))</f>
        <v>2.1049421081920463</v>
      </c>
      <c r="H13408">
        <f>0.0108695652173913*4.84680831993846</f>
        <v>5.268269912976585E-2</v>
      </c>
      <c r="I13408">
        <v>5.2682699129765927E-2</v>
      </c>
    </row>
    <row r="13409" spans="1:9" x14ac:dyDescent="0.25">
      <c r="A13409">
        <v>470</v>
      </c>
      <c r="B13409" t="s">
        <v>3814</v>
      </c>
      <c r="C13409" t="s">
        <v>75</v>
      </c>
      <c r="D13409" t="s">
        <v>836</v>
      </c>
      <c r="E13409">
        <f>1/92</f>
        <v>1.0869565217391304E-2</v>
      </c>
      <c r="F13409">
        <v>21</v>
      </c>
      <c r="G13409">
        <f>LOG(382/(21+1))</f>
        <v>1.2396406820895025</v>
      </c>
      <c r="H13409">
        <f>0.0108695652173913*2.85437815524825</f>
        <v>3.1025849513567922E-2</v>
      </c>
      <c r="I13409">
        <v>3.102584951356803E-2</v>
      </c>
    </row>
    <row r="13410" spans="1:9" x14ac:dyDescent="0.25">
      <c r="A13410">
        <v>470</v>
      </c>
      <c r="B13410" t="s">
        <v>3814</v>
      </c>
      <c r="C13410" t="s">
        <v>75</v>
      </c>
      <c r="D13410" t="s">
        <v>3359</v>
      </c>
      <c r="E13410">
        <f>1/92</f>
        <v>1.0869565217391304E-2</v>
      </c>
      <c r="F13410">
        <v>2</v>
      </c>
      <c r="G13410">
        <f>LOG(382/(2+1))</f>
        <v>2.1049421081920463</v>
      </c>
      <c r="H13410">
        <f>0.0108695652173913*4.84680831993846</f>
        <v>5.268269912976585E-2</v>
      </c>
      <c r="I13410">
        <v>5.2682699129765927E-2</v>
      </c>
    </row>
    <row r="13411" spans="1:9" x14ac:dyDescent="0.25">
      <c r="A13411">
        <v>470</v>
      </c>
      <c r="B13411" t="s">
        <v>3814</v>
      </c>
      <c r="C13411" t="s">
        <v>75</v>
      </c>
      <c r="D13411" t="s">
        <v>3360</v>
      </c>
      <c r="E13411">
        <f>1/92</f>
        <v>1.0869565217391304E-2</v>
      </c>
      <c r="F13411">
        <v>2</v>
      </c>
      <c r="G13411">
        <f>LOG(382/(2+1))</f>
        <v>2.1049421081920463</v>
      </c>
      <c r="H13411">
        <f>0.0108695652173913*4.84680831993846</f>
        <v>5.268269912976585E-2</v>
      </c>
      <c r="I13411">
        <v>5.2682699129765927E-2</v>
      </c>
    </row>
    <row r="13412" spans="1:9" x14ac:dyDescent="0.25">
      <c r="A13412">
        <v>470</v>
      </c>
      <c r="B13412" t="s">
        <v>3814</v>
      </c>
      <c r="C13412" t="s">
        <v>75</v>
      </c>
      <c r="D13412" t="s">
        <v>408</v>
      </c>
      <c r="E13412">
        <f>2/92</f>
        <v>2.1739130434782608E-2</v>
      </c>
      <c r="F13412">
        <v>27</v>
      </c>
      <c r="G13412">
        <f>LOG(382/(27+1))</f>
        <v>1.1349053315694895</v>
      </c>
      <c r="H13412">
        <f>0.0217391304347826*2.61321609843137</f>
        <v>5.6809045618073248E-2</v>
      </c>
      <c r="I13412">
        <v>5.6809045618073283E-2</v>
      </c>
    </row>
    <row r="13413" spans="1:9" x14ac:dyDescent="0.25">
      <c r="A13413">
        <v>470</v>
      </c>
      <c r="B13413" t="s">
        <v>3814</v>
      </c>
      <c r="C13413" t="s">
        <v>75</v>
      </c>
      <c r="D13413" t="s">
        <v>3361</v>
      </c>
      <c r="E13413">
        <f>1/92</f>
        <v>1.0869565217391304E-2</v>
      </c>
      <c r="F13413">
        <v>2</v>
      </c>
      <c r="G13413">
        <f>LOG(382/(2+1))</f>
        <v>2.1049421081920463</v>
      </c>
      <c r="H13413">
        <f>0.0108695652173913*4.84680831993846</f>
        <v>5.268269912976585E-2</v>
      </c>
      <c r="I13413">
        <v>5.2682699129765927E-2</v>
      </c>
    </row>
    <row r="13414" spans="1:9" x14ac:dyDescent="0.25">
      <c r="A13414">
        <v>470</v>
      </c>
      <c r="B13414" t="s">
        <v>3814</v>
      </c>
      <c r="C13414" t="s">
        <v>75</v>
      </c>
      <c r="D13414" t="s">
        <v>3362</v>
      </c>
      <c r="E13414">
        <f>2/92</f>
        <v>2.1739130434782608E-2</v>
      </c>
      <c r="F13414">
        <v>5</v>
      </c>
      <c r="G13414">
        <f>LOG(382/(5+1))</f>
        <v>1.803912112528065</v>
      </c>
      <c r="H13414">
        <f>0.0217391304347826*4.15366113937852</f>
        <v>9.0296981290837353E-2</v>
      </c>
      <c r="I13414">
        <v>9.029698129083738E-2</v>
      </c>
    </row>
    <row r="13415" spans="1:9" x14ac:dyDescent="0.25">
      <c r="A13415">
        <v>470</v>
      </c>
      <c r="B13415" t="s">
        <v>3814</v>
      </c>
      <c r="C13415" t="s">
        <v>75</v>
      </c>
      <c r="D13415" t="s">
        <v>3363</v>
      </c>
      <c r="E13415">
        <f>2/92</f>
        <v>2.1739130434782608E-2</v>
      </c>
      <c r="F13415">
        <v>2</v>
      </c>
      <c r="G13415">
        <f>LOG(382/(2+1))</f>
        <v>2.1049421081920463</v>
      </c>
      <c r="H13415">
        <f>0.0217391304347826*4.84680831993846</f>
        <v>0.1053653982595317</v>
      </c>
      <c r="I13415">
        <v>0.10536539825953189</v>
      </c>
    </row>
    <row r="13416" spans="1:9" x14ac:dyDescent="0.25">
      <c r="A13416">
        <v>470</v>
      </c>
      <c r="B13416" t="s">
        <v>3814</v>
      </c>
      <c r="C13416" t="s">
        <v>75</v>
      </c>
      <c r="D13416" t="s">
        <v>3014</v>
      </c>
      <c r="E13416">
        <f>2/92</f>
        <v>2.1739130434782608E-2</v>
      </c>
      <c r="F13416">
        <v>11</v>
      </c>
      <c r="G13416">
        <f>LOG(382/(11+1))</f>
        <v>1.5028821168640838</v>
      </c>
      <c r="H13416">
        <f>0.0217391304347826*3.46051395881857</f>
        <v>7.5228564322142796E-2</v>
      </c>
      <c r="I13416">
        <v>7.5228564322142935E-2</v>
      </c>
    </row>
    <row r="13417" spans="1:9" x14ac:dyDescent="0.25">
      <c r="A13417">
        <v>470</v>
      </c>
      <c r="B13417" t="s">
        <v>3814</v>
      </c>
      <c r="C13417" t="s">
        <v>75</v>
      </c>
      <c r="D13417" t="s">
        <v>42</v>
      </c>
      <c r="E13417">
        <f>1/92</f>
        <v>1.0869565217391304E-2</v>
      </c>
      <c r="F13417">
        <v>251</v>
      </c>
      <c r="G13417">
        <f>LOG(382/(251+1))</f>
        <v>0.18066282213016463</v>
      </c>
      <c r="H13417">
        <f>0.0108695652173913*0.415991521095151</f>
        <v>4.5216469684255522E-3</v>
      </c>
      <c r="I13417">
        <v>4.5216469684255644E-3</v>
      </c>
    </row>
    <row r="13418" spans="1:9" x14ac:dyDescent="0.25">
      <c r="A13418">
        <v>470</v>
      </c>
      <c r="B13418" t="s">
        <v>3814</v>
      </c>
      <c r="C13418" t="s">
        <v>75</v>
      </c>
      <c r="D13418" t="s">
        <v>636</v>
      </c>
      <c r="E13418">
        <f>1/92</f>
        <v>1.0869565217391304E-2</v>
      </c>
      <c r="F13418">
        <v>31</v>
      </c>
      <c r="G13418">
        <f>LOG(382/(31+1))</f>
        <v>1.0769133845918029</v>
      </c>
      <c r="H13418">
        <f>0.0108695652173913*2.47968470580684</f>
        <v>2.6953094628335207E-2</v>
      </c>
      <c r="I13418">
        <v>2.6953094628335311E-2</v>
      </c>
    </row>
    <row r="13419" spans="1:9" x14ac:dyDescent="0.25">
      <c r="A13419">
        <v>470</v>
      </c>
      <c r="B13419" t="s">
        <v>3814</v>
      </c>
      <c r="C13419" t="s">
        <v>75</v>
      </c>
      <c r="D13419" t="s">
        <v>637</v>
      </c>
      <c r="E13419">
        <f>1/92</f>
        <v>1.0869565217391304E-2</v>
      </c>
      <c r="F13419">
        <v>29</v>
      </c>
      <c r="G13419">
        <f>LOG(382/(29+1))</f>
        <v>1.1049421081920463</v>
      </c>
      <c r="H13419">
        <f>0.0108695652173913*2.54422322694442</f>
        <v>2.7654600292874119E-2</v>
      </c>
      <c r="I13419">
        <v>2.7654600292874129E-2</v>
      </c>
    </row>
    <row r="13420" spans="1:9" x14ac:dyDescent="0.25">
      <c r="A13420">
        <v>470</v>
      </c>
      <c r="B13420" t="s">
        <v>3814</v>
      </c>
      <c r="C13420" t="s">
        <v>75</v>
      </c>
      <c r="D13420" t="s">
        <v>19</v>
      </c>
      <c r="E13420">
        <f>2/92</f>
        <v>2.1739130434782608E-2</v>
      </c>
      <c r="F13420">
        <v>220</v>
      </c>
      <c r="G13420">
        <f>LOG(382/(220+1))</f>
        <v>0.23767108922659805</v>
      </c>
      <c r="H13420">
        <f>0.0217391304347826*0.547257907088822</f>
        <v>1.1896911023670041E-2</v>
      </c>
      <c r="I13420">
        <v>1.189691102367005E-2</v>
      </c>
    </row>
    <row r="13421" spans="1:9" x14ac:dyDescent="0.25">
      <c r="A13421">
        <v>470</v>
      </c>
      <c r="B13421" t="s">
        <v>3814</v>
      </c>
      <c r="C13421" t="s">
        <v>75</v>
      </c>
      <c r="D13421" t="s">
        <v>3364</v>
      </c>
      <c r="E13421">
        <f>1/92</f>
        <v>1.0869565217391304E-2</v>
      </c>
      <c r="F13421">
        <v>2</v>
      </c>
      <c r="G13421">
        <f>LOG(382/(2+1))</f>
        <v>2.1049421081920463</v>
      </c>
      <c r="H13421">
        <f>0.0108695652173913*4.84680831993846</f>
        <v>5.268269912976585E-2</v>
      </c>
      <c r="I13421">
        <v>5.2682699129765927E-2</v>
      </c>
    </row>
    <row r="13422" spans="1:9" x14ac:dyDescent="0.25">
      <c r="A13422">
        <v>470</v>
      </c>
      <c r="B13422" t="s">
        <v>3814</v>
      </c>
      <c r="C13422" t="s">
        <v>75</v>
      </c>
      <c r="D13422" t="s">
        <v>23</v>
      </c>
      <c r="E13422">
        <f>2/92</f>
        <v>2.1739130434782608E-2</v>
      </c>
      <c r="F13422">
        <v>275</v>
      </c>
      <c r="G13422">
        <f>LOG(382/(275+1))</f>
        <v>0.14115428084649101</v>
      </c>
      <c r="H13422">
        <f>0.0217391304347826*0.325019742889425</f>
        <v>7.0656465845527145E-3</v>
      </c>
      <c r="I13422">
        <v>7.0656465845527214E-3</v>
      </c>
    </row>
    <row r="13423" spans="1:9" x14ac:dyDescent="0.25">
      <c r="A13423">
        <v>470</v>
      </c>
      <c r="B13423" t="s">
        <v>3814</v>
      </c>
      <c r="C13423" t="s">
        <v>75</v>
      </c>
      <c r="D13423" t="s">
        <v>3365</v>
      </c>
      <c r="E13423">
        <f>1/92</f>
        <v>1.0869565217391304E-2</v>
      </c>
      <c r="F13423">
        <v>2</v>
      </c>
      <c r="G13423">
        <f>LOG(382/(2+1))</f>
        <v>2.1049421081920463</v>
      </c>
      <c r="H13423">
        <f>0.0108695652173913*4.84680831993846</f>
        <v>5.268269912976585E-2</v>
      </c>
      <c r="I13423">
        <v>5.2682699129765927E-2</v>
      </c>
    </row>
    <row r="13424" spans="1:9" x14ac:dyDescent="0.25">
      <c r="A13424">
        <v>470</v>
      </c>
      <c r="B13424" t="s">
        <v>3814</v>
      </c>
      <c r="C13424" t="s">
        <v>75</v>
      </c>
      <c r="D13424" t="s">
        <v>3366</v>
      </c>
      <c r="E13424">
        <f>1/92</f>
        <v>1.0869565217391304E-2</v>
      </c>
      <c r="F13424">
        <v>2</v>
      </c>
      <c r="G13424">
        <f>LOG(382/(2+1))</f>
        <v>2.1049421081920463</v>
      </c>
      <c r="H13424">
        <f>0.0108695652173913*4.84680831993846</f>
        <v>5.268269912976585E-2</v>
      </c>
      <c r="I13424">
        <v>5.2682699129765927E-2</v>
      </c>
    </row>
    <row r="13425" spans="1:9" x14ac:dyDescent="0.25">
      <c r="A13425">
        <v>470</v>
      </c>
      <c r="B13425" t="s">
        <v>3814</v>
      </c>
      <c r="C13425" t="s">
        <v>75</v>
      </c>
      <c r="D13425" t="s">
        <v>3367</v>
      </c>
      <c r="E13425">
        <f>1/92</f>
        <v>1.0869565217391304E-2</v>
      </c>
      <c r="F13425">
        <v>2</v>
      </c>
      <c r="G13425">
        <f>LOG(382/(2+1))</f>
        <v>2.1049421081920463</v>
      </c>
      <c r="H13425">
        <f>0.0108695652173913*4.84680831993846</f>
        <v>5.268269912976585E-2</v>
      </c>
      <c r="I13425">
        <v>5.2682699129765927E-2</v>
      </c>
    </row>
    <row r="13426" spans="1:9" x14ac:dyDescent="0.25">
      <c r="A13426">
        <v>470</v>
      </c>
      <c r="B13426" t="s">
        <v>3814</v>
      </c>
      <c r="C13426" t="s">
        <v>75</v>
      </c>
      <c r="D13426" t="s">
        <v>105</v>
      </c>
      <c r="E13426">
        <f>1/92</f>
        <v>1.0869565217391304E-2</v>
      </c>
      <c r="F13426">
        <v>122</v>
      </c>
      <c r="G13426">
        <f>LOG(382/(122+1))</f>
        <v>0.49215825147231079</v>
      </c>
      <c r="H13426">
        <f>0.0108695652173913*1.13323625323415</f>
        <v>1.2317785361240757E-2</v>
      </c>
      <c r="I13426">
        <v>1.2317785361240841E-2</v>
      </c>
    </row>
    <row r="13427" spans="1:9" x14ac:dyDescent="0.25">
      <c r="A13427">
        <v>470</v>
      </c>
      <c r="B13427" t="s">
        <v>3814</v>
      </c>
      <c r="C13427" t="s">
        <v>75</v>
      </c>
      <c r="D13427" t="s">
        <v>1769</v>
      </c>
      <c r="E13427">
        <f>2/92</f>
        <v>2.1739130434782608E-2</v>
      </c>
      <c r="F13427">
        <v>84</v>
      </c>
      <c r="G13427">
        <f>LOG(382/(84+1))</f>
        <v>0.65264443719741605</v>
      </c>
      <c r="H13427">
        <f>0.0217391304347826*1.50276935211625</f>
        <v>3.2668898959048898E-2</v>
      </c>
      <c r="I13427">
        <v>3.2668898959049113E-2</v>
      </c>
    </row>
    <row r="13428" spans="1:9" x14ac:dyDescent="0.25">
      <c r="A13428">
        <v>470</v>
      </c>
      <c r="B13428" t="s">
        <v>3814</v>
      </c>
      <c r="C13428" t="s">
        <v>75</v>
      </c>
      <c r="D13428" t="s">
        <v>126</v>
      </c>
      <c r="E13428">
        <f t="shared" ref="E13428:E13446" si="634">1/92</f>
        <v>1.0869565217391304E-2</v>
      </c>
      <c r="F13428">
        <v>79</v>
      </c>
      <c r="G13428">
        <f>LOG(382/(79+1))</f>
        <v>0.67897337591976514</v>
      </c>
      <c r="H13428">
        <f>0.0108695652173913*1.56339397393269</f>
        <v>1.6993412760137931E-2</v>
      </c>
      <c r="I13428">
        <v>1.6993412760137969E-2</v>
      </c>
    </row>
    <row r="13429" spans="1:9" x14ac:dyDescent="0.25">
      <c r="A13429">
        <v>470</v>
      </c>
      <c r="B13429" t="s">
        <v>3814</v>
      </c>
      <c r="C13429" t="s">
        <v>75</v>
      </c>
      <c r="D13429" t="s">
        <v>3368</v>
      </c>
      <c r="E13429">
        <f t="shared" si="634"/>
        <v>1.0869565217391304E-2</v>
      </c>
      <c r="F13429">
        <v>2</v>
      </c>
      <c r="G13429">
        <f>LOG(382/(2+1))</f>
        <v>2.1049421081920463</v>
      </c>
      <c r="H13429">
        <f>0.0108695652173913*4.84680831993846</f>
        <v>5.268269912976585E-2</v>
      </c>
      <c r="I13429">
        <v>5.2682699129765927E-2</v>
      </c>
    </row>
    <row r="13430" spans="1:9" x14ac:dyDescent="0.25">
      <c r="A13430">
        <v>470</v>
      </c>
      <c r="B13430" t="s">
        <v>3814</v>
      </c>
      <c r="C13430" t="s">
        <v>75</v>
      </c>
      <c r="D13430" t="s">
        <v>1546</v>
      </c>
      <c r="E13430">
        <f t="shared" si="634"/>
        <v>1.0869565217391304E-2</v>
      </c>
      <c r="F13430">
        <v>44</v>
      </c>
      <c r="G13430">
        <f>LOG(382/(44+1))</f>
        <v>0.92885084913636506</v>
      </c>
      <c r="H13430">
        <f>0.0108695652173913*2.13875811883625</f>
        <v>2.324737085691575E-2</v>
      </c>
      <c r="I13430">
        <v>2.3247370856915819E-2</v>
      </c>
    </row>
    <row r="13431" spans="1:9" x14ac:dyDescent="0.25">
      <c r="A13431">
        <v>470</v>
      </c>
      <c r="B13431" t="s">
        <v>3814</v>
      </c>
      <c r="C13431" t="s">
        <v>75</v>
      </c>
      <c r="D13431" t="s">
        <v>3369</v>
      </c>
      <c r="E13431">
        <f t="shared" si="634"/>
        <v>1.0869565217391304E-2</v>
      </c>
      <c r="F13431">
        <v>2</v>
      </c>
      <c r="G13431">
        <f>LOG(382/(2+1))</f>
        <v>2.1049421081920463</v>
      </c>
      <c r="H13431">
        <f>0.0108695652173913*4.84680831993846</f>
        <v>5.268269912976585E-2</v>
      </c>
      <c r="I13431">
        <v>5.2682699129765927E-2</v>
      </c>
    </row>
    <row r="13432" spans="1:9" x14ac:dyDescent="0.25">
      <c r="A13432">
        <v>470</v>
      </c>
      <c r="B13432" t="s">
        <v>3814</v>
      </c>
      <c r="C13432" t="s">
        <v>75</v>
      </c>
      <c r="D13432" t="s">
        <v>2027</v>
      </c>
      <c r="E13432">
        <f t="shared" si="634"/>
        <v>1.0869565217391304E-2</v>
      </c>
      <c r="F13432">
        <v>3</v>
      </c>
      <c r="G13432">
        <f>LOG(382/(3+1))</f>
        <v>1.9800033715837464</v>
      </c>
      <c r="H13432">
        <f>0.0108695652173913*4.55912624748668</f>
        <v>4.9555720081376937E-2</v>
      </c>
      <c r="I13432">
        <v>4.9555720081377007E-2</v>
      </c>
    </row>
    <row r="13433" spans="1:9" x14ac:dyDescent="0.25">
      <c r="A13433">
        <v>470</v>
      </c>
      <c r="B13433" t="s">
        <v>3814</v>
      </c>
      <c r="C13433" t="s">
        <v>75</v>
      </c>
      <c r="D13433" t="s">
        <v>3370</v>
      </c>
      <c r="E13433">
        <f t="shared" si="634"/>
        <v>1.0869565217391304E-2</v>
      </c>
      <c r="F13433">
        <v>2</v>
      </c>
      <c r="G13433">
        <f>LOG(382/(2+1))</f>
        <v>2.1049421081920463</v>
      </c>
      <c r="H13433">
        <f>0.0108695652173913*4.84680831993846</f>
        <v>5.268269912976585E-2</v>
      </c>
      <c r="I13433">
        <v>5.2682699129765927E-2</v>
      </c>
    </row>
    <row r="13434" spans="1:9" x14ac:dyDescent="0.25">
      <c r="A13434">
        <v>470</v>
      </c>
      <c r="B13434" t="s">
        <v>3814</v>
      </c>
      <c r="C13434" t="s">
        <v>75</v>
      </c>
      <c r="D13434" t="s">
        <v>3371</v>
      </c>
      <c r="E13434">
        <f t="shared" si="634"/>
        <v>1.0869565217391304E-2</v>
      </c>
      <c r="F13434">
        <v>2</v>
      </c>
      <c r="G13434">
        <f>LOG(382/(2+1))</f>
        <v>2.1049421081920463</v>
      </c>
      <c r="H13434">
        <f>0.0108695652173913*4.84680831993846</f>
        <v>5.268269912976585E-2</v>
      </c>
      <c r="I13434">
        <v>5.2682699129765927E-2</v>
      </c>
    </row>
    <row r="13435" spans="1:9" x14ac:dyDescent="0.25">
      <c r="A13435">
        <v>470</v>
      </c>
      <c r="B13435" t="s">
        <v>3814</v>
      </c>
      <c r="C13435" t="s">
        <v>75</v>
      </c>
      <c r="D13435" t="s">
        <v>838</v>
      </c>
      <c r="E13435">
        <f t="shared" si="634"/>
        <v>1.0869565217391304E-2</v>
      </c>
      <c r="F13435">
        <v>10</v>
      </c>
      <c r="G13435">
        <f>LOG(382/(10+1))</f>
        <v>1.5406706777534838</v>
      </c>
      <c r="H13435">
        <f>0.0108695652173913*3.5475253358082</f>
        <v>3.8560057997915204E-2</v>
      </c>
      <c r="I13435">
        <v>3.8560057997915273E-2</v>
      </c>
    </row>
    <row r="13436" spans="1:9" x14ac:dyDescent="0.25">
      <c r="A13436">
        <v>470</v>
      </c>
      <c r="B13436" t="s">
        <v>3814</v>
      </c>
      <c r="C13436" t="s">
        <v>75</v>
      </c>
      <c r="D13436" t="s">
        <v>1905</v>
      </c>
      <c r="E13436">
        <f t="shared" si="634"/>
        <v>1.0869565217391304E-2</v>
      </c>
      <c r="F13436">
        <v>24</v>
      </c>
      <c r="G13436">
        <f>LOG(382/(24+1))</f>
        <v>1.1841233542396712</v>
      </c>
      <c r="H13436">
        <f>0.0108695652173913*2.72654478373837</f>
        <v>2.9636356344982271E-2</v>
      </c>
      <c r="I13436">
        <v>2.963635634498233E-2</v>
      </c>
    </row>
    <row r="13437" spans="1:9" x14ac:dyDescent="0.25">
      <c r="A13437">
        <v>470</v>
      </c>
      <c r="B13437" t="s">
        <v>3814</v>
      </c>
      <c r="C13437" t="s">
        <v>75</v>
      </c>
      <c r="D13437" t="s">
        <v>600</v>
      </c>
      <c r="E13437">
        <f t="shared" si="634"/>
        <v>1.0869565217391304E-2</v>
      </c>
      <c r="F13437">
        <v>102</v>
      </c>
      <c r="G13437">
        <f>LOG(382/(102+1))</f>
        <v>0.56922613820653656</v>
      </c>
      <c r="H13437">
        <f>0.0108695652173913*1.31069162037693</f>
        <v>1.4246648047575323E-2</v>
      </c>
      <c r="I13437">
        <v>1.424664804757543E-2</v>
      </c>
    </row>
    <row r="13438" spans="1:9" x14ac:dyDescent="0.25">
      <c r="A13438">
        <v>470</v>
      </c>
      <c r="B13438" t="s">
        <v>3814</v>
      </c>
      <c r="C13438" t="s">
        <v>75</v>
      </c>
      <c r="D13438" t="s">
        <v>3372</v>
      </c>
      <c r="E13438">
        <f t="shared" si="634"/>
        <v>1.0869565217391304E-2</v>
      </c>
      <c r="F13438">
        <v>2</v>
      </c>
      <c r="G13438">
        <f>LOG(382/(2+1))</f>
        <v>2.1049421081920463</v>
      </c>
      <c r="H13438">
        <f>0.0108695652173913*4.84680831993846</f>
        <v>5.268269912976585E-2</v>
      </c>
      <c r="I13438">
        <v>5.2682699129765927E-2</v>
      </c>
    </row>
    <row r="13439" spans="1:9" x14ac:dyDescent="0.25">
      <c r="A13439">
        <v>470</v>
      </c>
      <c r="B13439" t="s">
        <v>3814</v>
      </c>
      <c r="C13439" t="s">
        <v>75</v>
      </c>
      <c r="D13439" t="s">
        <v>2894</v>
      </c>
      <c r="E13439">
        <f t="shared" si="634"/>
        <v>1.0869565217391304E-2</v>
      </c>
      <c r="F13439">
        <v>4</v>
      </c>
      <c r="G13439">
        <f>LOG(382/(4+1))</f>
        <v>1.8830933585756899</v>
      </c>
      <c r="H13439">
        <f>0.0108695652173913*4.33598269617247</f>
        <v>4.7130246697526836E-2</v>
      </c>
      <c r="I13439">
        <v>4.7130246697526898E-2</v>
      </c>
    </row>
    <row r="13440" spans="1:9" x14ac:dyDescent="0.25">
      <c r="A13440">
        <v>470</v>
      </c>
      <c r="B13440" t="s">
        <v>3814</v>
      </c>
      <c r="C13440" t="s">
        <v>75</v>
      </c>
      <c r="D13440" t="s">
        <v>195</v>
      </c>
      <c r="E13440">
        <f t="shared" si="634"/>
        <v>1.0869565217391304E-2</v>
      </c>
      <c r="F13440">
        <v>55</v>
      </c>
      <c r="G13440">
        <f>LOG(382/(55+1))</f>
        <v>0.83387533590550833</v>
      </c>
      <c r="H13440">
        <f>0.0108695652173913*1.92006891787142</f>
        <v>2.0870314324689342E-2</v>
      </c>
      <c r="I13440">
        <v>2.0870314324689412E-2</v>
      </c>
    </row>
    <row r="13441" spans="1:9" x14ac:dyDescent="0.25">
      <c r="A13441">
        <v>470</v>
      </c>
      <c r="B13441" t="s">
        <v>3814</v>
      </c>
      <c r="C13441" t="s">
        <v>75</v>
      </c>
      <c r="D13441" t="s">
        <v>22</v>
      </c>
      <c r="E13441">
        <f t="shared" si="634"/>
        <v>1.0869565217391304E-2</v>
      </c>
      <c r="F13441">
        <v>259</v>
      </c>
      <c r="G13441">
        <f>LOG(382/(259+1))</f>
        <v>0.16709001494089079</v>
      </c>
      <c r="H13441">
        <f>0.0108695652173913*0.384738977591047</f>
        <v>4.181945408598336E-3</v>
      </c>
      <c r="I13441">
        <v>4.1819454085983429E-3</v>
      </c>
    </row>
    <row r="13442" spans="1:9" x14ac:dyDescent="0.25">
      <c r="A13442">
        <v>470</v>
      </c>
      <c r="B13442" t="s">
        <v>3814</v>
      </c>
      <c r="C13442" t="s">
        <v>75</v>
      </c>
      <c r="D13442" t="s">
        <v>3373</v>
      </c>
      <c r="E13442">
        <f t="shared" si="634"/>
        <v>1.0869565217391304E-2</v>
      </c>
      <c r="F13442">
        <v>2</v>
      </c>
      <c r="G13442">
        <f>LOG(382/(2+1))</f>
        <v>2.1049421081920463</v>
      </c>
      <c r="H13442">
        <f>0.0108695652173913*4.84680831993846</f>
        <v>5.268269912976585E-2</v>
      </c>
      <c r="I13442">
        <v>5.2682699129765927E-2</v>
      </c>
    </row>
    <row r="13443" spans="1:9" x14ac:dyDescent="0.25">
      <c r="A13443">
        <v>470</v>
      </c>
      <c r="B13443" t="s">
        <v>3814</v>
      </c>
      <c r="C13443" t="s">
        <v>75</v>
      </c>
      <c r="D13443" t="s">
        <v>361</v>
      </c>
      <c r="E13443">
        <f t="shared" si="634"/>
        <v>1.0869565217391304E-2</v>
      </c>
      <c r="F13443">
        <v>118</v>
      </c>
      <c r="G13443">
        <f>LOG(382/(118+1))</f>
        <v>0.50651640151917798</v>
      </c>
      <c r="H13443">
        <f>0.0108695652173913*1.16629711549504</f>
        <v>1.2677142559728689E-2</v>
      </c>
      <c r="I13443">
        <v>1.267714255972876E-2</v>
      </c>
    </row>
    <row r="13444" spans="1:9" x14ac:dyDescent="0.25">
      <c r="A13444">
        <v>470</v>
      </c>
      <c r="B13444" t="s">
        <v>3814</v>
      </c>
      <c r="C13444" t="s">
        <v>75</v>
      </c>
      <c r="D13444" t="s">
        <v>434</v>
      </c>
      <c r="E13444">
        <f t="shared" si="634"/>
        <v>1.0869565217391304E-2</v>
      </c>
      <c r="F13444">
        <v>97</v>
      </c>
      <c r="G13444">
        <f>LOG(382/(97+1))</f>
        <v>0.59083728721921391</v>
      </c>
      <c r="H13444">
        <f>0.0108695652173913*1.360453129936</f>
        <v>1.4787534021043474E-2</v>
      </c>
      <c r="I13444">
        <v>1.478753402104351E-2</v>
      </c>
    </row>
    <row r="13445" spans="1:9" x14ac:dyDescent="0.25">
      <c r="A13445">
        <v>470</v>
      </c>
      <c r="B13445" t="s">
        <v>3814</v>
      </c>
      <c r="C13445" t="s">
        <v>75</v>
      </c>
      <c r="D13445" t="s">
        <v>3374</v>
      </c>
      <c r="E13445">
        <f t="shared" si="634"/>
        <v>1.0869565217391304E-2</v>
      </c>
      <c r="F13445">
        <v>6</v>
      </c>
      <c r="G13445">
        <f>LOG(382/(6+1))</f>
        <v>1.736965322897452</v>
      </c>
      <c r="H13445">
        <f>0.0108695652173913*3.99951045955126</f>
        <v>4.3472939777731069E-2</v>
      </c>
      <c r="I13445">
        <v>4.3472939777731097E-2</v>
      </c>
    </row>
    <row r="13446" spans="1:9" x14ac:dyDescent="0.25">
      <c r="A13446">
        <v>470</v>
      </c>
      <c r="B13446" t="s">
        <v>3814</v>
      </c>
      <c r="C13446" t="s">
        <v>75</v>
      </c>
      <c r="D13446" t="s">
        <v>1777</v>
      </c>
      <c r="E13446">
        <f t="shared" si="634"/>
        <v>1.0869565217391304E-2</v>
      </c>
      <c r="F13446">
        <v>4</v>
      </c>
      <c r="G13446">
        <f>LOG(382/(4+1))</f>
        <v>1.8830933585756899</v>
      </c>
      <c r="H13446">
        <f>0.0108695652173913*4.33598269617247</f>
        <v>4.7130246697526836E-2</v>
      </c>
      <c r="I13446">
        <v>4.7130246697526898E-2</v>
      </c>
    </row>
    <row r="13447" spans="1:9" x14ac:dyDescent="0.25">
      <c r="A13447">
        <v>470</v>
      </c>
      <c r="B13447" t="s">
        <v>3814</v>
      </c>
      <c r="C13447" t="s">
        <v>75</v>
      </c>
      <c r="D13447" t="s">
        <v>3375</v>
      </c>
      <c r="E13447">
        <f>2/92</f>
        <v>2.1739130434782608E-2</v>
      </c>
      <c r="F13447">
        <v>2</v>
      </c>
      <c r="G13447">
        <f>LOG(382/(2+1))</f>
        <v>2.1049421081920463</v>
      </c>
      <c r="H13447">
        <f>0.0217391304347826*4.84680831993846</f>
        <v>0.1053653982595317</v>
      </c>
      <c r="I13447">
        <v>0.10536539825953189</v>
      </c>
    </row>
    <row r="13448" spans="1:9" x14ac:dyDescent="0.25">
      <c r="A13448">
        <v>470</v>
      </c>
      <c r="B13448" t="s">
        <v>3814</v>
      </c>
      <c r="C13448" t="s">
        <v>75</v>
      </c>
      <c r="D13448" t="s">
        <v>2238</v>
      </c>
      <c r="E13448">
        <f>1/92</f>
        <v>1.0869565217391304E-2</v>
      </c>
      <c r="F13448">
        <v>68</v>
      </c>
      <c r="G13448">
        <f>LOG(382/(68+1))</f>
        <v>0.74321427217445335</v>
      </c>
      <c r="H13448">
        <f>0.0108695652173913*1.71131410400931</f>
        <v>1.8601240260970753E-2</v>
      </c>
      <c r="I13448">
        <v>1.8601240260970819E-2</v>
      </c>
    </row>
    <row r="13449" spans="1:9" x14ac:dyDescent="0.25">
      <c r="A13449">
        <v>470</v>
      </c>
      <c r="B13449" t="s">
        <v>3814</v>
      </c>
      <c r="C13449" t="s">
        <v>75</v>
      </c>
      <c r="D13449" t="s">
        <v>1125</v>
      </c>
      <c r="E13449">
        <f>1/92</f>
        <v>1.0869565217391304E-2</v>
      </c>
      <c r="F13449">
        <v>19</v>
      </c>
      <c r="G13449">
        <f>LOG(382/(19+1))</f>
        <v>1.2810333672477277</v>
      </c>
      <c r="H13449">
        <f>0.0108695652173913*2.94968833505258</f>
        <v>3.2061829728832383E-2</v>
      </c>
      <c r="I13449">
        <v>3.2061829728832439E-2</v>
      </c>
    </row>
    <row r="13450" spans="1:9" x14ac:dyDescent="0.25">
      <c r="A13450">
        <v>470</v>
      </c>
      <c r="B13450" t="s">
        <v>3814</v>
      </c>
      <c r="C13450" t="s">
        <v>75</v>
      </c>
      <c r="D13450" t="s">
        <v>24</v>
      </c>
      <c r="E13450">
        <f>1/92</f>
        <v>1.0869565217391304E-2</v>
      </c>
      <c r="F13450">
        <v>59</v>
      </c>
      <c r="G13450">
        <f>LOG(382/(59+1))</f>
        <v>0.80391211252806505</v>
      </c>
      <c r="H13450">
        <f>0.0108695652173913*1.85107604638447</f>
        <v>2.0120391808526841E-2</v>
      </c>
      <c r="I13450">
        <v>2.01203918085269E-2</v>
      </c>
    </row>
    <row r="13451" spans="1:9" x14ac:dyDescent="0.25">
      <c r="A13451">
        <v>470</v>
      </c>
      <c r="B13451" t="s">
        <v>3814</v>
      </c>
      <c r="C13451" t="s">
        <v>75</v>
      </c>
      <c r="D13451" t="s">
        <v>3376</v>
      </c>
      <c r="E13451">
        <f>1/92</f>
        <v>1.0869565217391304E-2</v>
      </c>
      <c r="F13451">
        <v>21</v>
      </c>
      <c r="G13451">
        <f>LOG(382/(21+1))</f>
        <v>1.2396406820895025</v>
      </c>
      <c r="H13451">
        <f>0.0108695652173913*2.85437815524825</f>
        <v>3.1025849513567922E-2</v>
      </c>
      <c r="I13451">
        <v>3.102584951356803E-2</v>
      </c>
    </row>
    <row r="13452" spans="1:9" x14ac:dyDescent="0.25">
      <c r="A13452">
        <v>470</v>
      </c>
      <c r="B13452" t="s">
        <v>3814</v>
      </c>
      <c r="C13452" t="s">
        <v>75</v>
      </c>
      <c r="D13452" t="s">
        <v>1739</v>
      </c>
      <c r="E13452">
        <f>2/92</f>
        <v>2.1739130434782608E-2</v>
      </c>
      <c r="F13452">
        <v>30</v>
      </c>
      <c r="G13452">
        <f>LOG(382/(30+1))</f>
        <v>1.090701669077436</v>
      </c>
      <c r="H13452">
        <f>0.0217391304347826*2.51143340412142</f>
        <v>5.4596378350465637E-2</v>
      </c>
      <c r="I13452">
        <v>5.4596378350465838E-2</v>
      </c>
    </row>
    <row r="13453" spans="1:9" x14ac:dyDescent="0.25">
      <c r="A13453">
        <v>470</v>
      </c>
      <c r="B13453" t="s">
        <v>3814</v>
      </c>
      <c r="C13453" t="s">
        <v>75</v>
      </c>
      <c r="D13453" t="s">
        <v>1730</v>
      </c>
      <c r="E13453">
        <f t="shared" ref="E13453:E13480" si="635">1/92</f>
        <v>1.0869565217391304E-2</v>
      </c>
      <c r="F13453">
        <v>35</v>
      </c>
      <c r="G13453">
        <f>LOG(382/(35+1))</f>
        <v>1.0257608621444214</v>
      </c>
      <c r="H13453">
        <f>0.0108695652173913*2.36190167015046</f>
        <v>2.5672844240765862E-2</v>
      </c>
      <c r="I13453">
        <v>2.5672844240765921E-2</v>
      </c>
    </row>
    <row r="13454" spans="1:9" x14ac:dyDescent="0.25">
      <c r="A13454">
        <v>470</v>
      </c>
      <c r="B13454" t="s">
        <v>3814</v>
      </c>
      <c r="C13454" t="s">
        <v>75</v>
      </c>
      <c r="D13454" t="s">
        <v>1738</v>
      </c>
      <c r="E13454">
        <f t="shared" si="635"/>
        <v>1.0869565217391304E-2</v>
      </c>
      <c r="F13454">
        <v>24</v>
      </c>
      <c r="G13454">
        <f>LOG(382/(24+1))</f>
        <v>1.1841233542396712</v>
      </c>
      <c r="H13454">
        <f>0.0108695652173913*2.72654478373837</f>
        <v>2.9636356344982271E-2</v>
      </c>
      <c r="I13454">
        <v>2.963635634498233E-2</v>
      </c>
    </row>
    <row r="13455" spans="1:9" x14ac:dyDescent="0.25">
      <c r="A13455">
        <v>470</v>
      </c>
      <c r="B13455" t="s">
        <v>3814</v>
      </c>
      <c r="C13455" t="s">
        <v>75</v>
      </c>
      <c r="D13455" t="s">
        <v>3377</v>
      </c>
      <c r="E13455">
        <f t="shared" si="635"/>
        <v>1.0869565217391304E-2</v>
      </c>
      <c r="F13455">
        <v>3</v>
      </c>
      <c r="G13455">
        <f>LOG(382/(3+1))</f>
        <v>1.9800033715837464</v>
      </c>
      <c r="H13455">
        <f>0.0108695652173913*4.55912624748668</f>
        <v>4.9555720081376937E-2</v>
      </c>
      <c r="I13455">
        <v>4.9555720081377007E-2</v>
      </c>
    </row>
    <row r="13456" spans="1:9" x14ac:dyDescent="0.25">
      <c r="A13456">
        <v>470</v>
      </c>
      <c r="B13456" t="s">
        <v>3814</v>
      </c>
      <c r="C13456" t="s">
        <v>75</v>
      </c>
      <c r="D13456" t="s">
        <v>3378</v>
      </c>
      <c r="E13456">
        <f t="shared" si="635"/>
        <v>1.0869565217391304E-2</v>
      </c>
      <c r="F13456">
        <v>5</v>
      </c>
      <c r="G13456">
        <f>LOG(382/(5+1))</f>
        <v>1.803912112528065</v>
      </c>
      <c r="H13456">
        <f>0.0108695652173913*4.15366113937852</f>
        <v>4.5148490645418676E-2</v>
      </c>
      <c r="I13456">
        <v>4.514849064541869E-2</v>
      </c>
    </row>
    <row r="13457" spans="1:9" x14ac:dyDescent="0.25">
      <c r="A13457">
        <v>470</v>
      </c>
      <c r="B13457" t="s">
        <v>3814</v>
      </c>
      <c r="C13457" t="s">
        <v>75</v>
      </c>
      <c r="D13457" t="s">
        <v>3379</v>
      </c>
      <c r="E13457">
        <f t="shared" si="635"/>
        <v>1.0869565217391304E-2</v>
      </c>
      <c r="F13457">
        <v>2</v>
      </c>
      <c r="G13457">
        <f>LOG(382/(2+1))</f>
        <v>2.1049421081920463</v>
      </c>
      <c r="H13457">
        <f>0.0108695652173913*4.84680831993846</f>
        <v>5.268269912976585E-2</v>
      </c>
      <c r="I13457">
        <v>5.2682699129765927E-2</v>
      </c>
    </row>
    <row r="13458" spans="1:9" x14ac:dyDescent="0.25">
      <c r="A13458">
        <v>470</v>
      </c>
      <c r="B13458" t="s">
        <v>3814</v>
      </c>
      <c r="C13458" t="s">
        <v>75</v>
      </c>
      <c r="D13458" t="s">
        <v>3380</v>
      </c>
      <c r="E13458">
        <f t="shared" si="635"/>
        <v>1.0869565217391304E-2</v>
      </c>
      <c r="F13458">
        <v>2</v>
      </c>
      <c r="G13458">
        <f>LOG(382/(2+1))</f>
        <v>2.1049421081920463</v>
      </c>
      <c r="H13458">
        <f>0.0108695652173913*4.84680831993846</f>
        <v>5.268269912976585E-2</v>
      </c>
      <c r="I13458">
        <v>5.2682699129765927E-2</v>
      </c>
    </row>
    <row r="13459" spans="1:9" x14ac:dyDescent="0.25">
      <c r="A13459">
        <v>470</v>
      </c>
      <c r="B13459" t="s">
        <v>3814</v>
      </c>
      <c r="C13459" t="s">
        <v>75</v>
      </c>
      <c r="D13459" t="s">
        <v>3381</v>
      </c>
      <c r="E13459">
        <f t="shared" si="635"/>
        <v>1.0869565217391304E-2</v>
      </c>
      <c r="F13459">
        <v>6</v>
      </c>
      <c r="G13459">
        <f>LOG(382/(6+1))</f>
        <v>1.736965322897452</v>
      </c>
      <c r="H13459">
        <f>0.0108695652173913*3.99951045955126</f>
        <v>4.3472939777731069E-2</v>
      </c>
      <c r="I13459">
        <v>4.3472939777731097E-2</v>
      </c>
    </row>
    <row r="13460" spans="1:9" x14ac:dyDescent="0.25">
      <c r="A13460">
        <v>470</v>
      </c>
      <c r="B13460" t="s">
        <v>3814</v>
      </c>
      <c r="C13460" t="s">
        <v>75</v>
      </c>
      <c r="D13460" t="s">
        <v>322</v>
      </c>
      <c r="E13460">
        <f t="shared" si="635"/>
        <v>1.0869565217391304E-2</v>
      </c>
      <c r="F13460">
        <v>128</v>
      </c>
      <c r="G13460">
        <f>LOG(382/(128+1))</f>
        <v>0.47147365261245977</v>
      </c>
      <c r="H13460">
        <f>0.0108695652173913*1.0856082042449</f>
        <v>1.1800089176574996E-2</v>
      </c>
      <c r="I13460">
        <v>1.180008917657503E-2</v>
      </c>
    </row>
    <row r="13461" spans="1:9" x14ac:dyDescent="0.25">
      <c r="A13461">
        <v>470</v>
      </c>
      <c r="B13461" t="s">
        <v>3814</v>
      </c>
      <c r="C13461" t="s">
        <v>75</v>
      </c>
      <c r="D13461" t="s">
        <v>1222</v>
      </c>
      <c r="E13461">
        <f t="shared" si="635"/>
        <v>1.0869565217391304E-2</v>
      </c>
      <c r="F13461">
        <v>56</v>
      </c>
      <c r="G13461">
        <f>LOG(382/(56+1))</f>
        <v>0.82618850723921733</v>
      </c>
      <c r="H13461">
        <f>0.0108695652173913*1.90236934077202</f>
        <v>2.0677927617087165E-2</v>
      </c>
      <c r="I13461">
        <v>2.0677927617087231E-2</v>
      </c>
    </row>
    <row r="13462" spans="1:9" x14ac:dyDescent="0.25">
      <c r="A13462">
        <v>470</v>
      </c>
      <c r="B13462" t="s">
        <v>3814</v>
      </c>
      <c r="C13462" t="s">
        <v>75</v>
      </c>
      <c r="D13462" t="s">
        <v>753</v>
      </c>
      <c r="E13462">
        <f t="shared" si="635"/>
        <v>1.0869565217391304E-2</v>
      </c>
      <c r="F13462">
        <v>19</v>
      </c>
      <c r="G13462">
        <f>LOG(382/(19+1))</f>
        <v>1.2810333672477277</v>
      </c>
      <c r="H13462">
        <f>0.0108695652173913*2.94968833505258</f>
        <v>3.2061829728832383E-2</v>
      </c>
      <c r="I13462">
        <v>3.2061829728832439E-2</v>
      </c>
    </row>
    <row r="13463" spans="1:9" x14ac:dyDescent="0.25">
      <c r="A13463">
        <v>470</v>
      </c>
      <c r="B13463" t="s">
        <v>3814</v>
      </c>
      <c r="C13463" t="s">
        <v>75</v>
      </c>
      <c r="D13463" t="s">
        <v>78</v>
      </c>
      <c r="E13463">
        <f t="shared" si="635"/>
        <v>1.0869565217391304E-2</v>
      </c>
      <c r="F13463">
        <v>122</v>
      </c>
      <c r="G13463">
        <f>LOG(382/(122+1))</f>
        <v>0.49215825147231079</v>
      </c>
      <c r="H13463">
        <f>0.0108695652173913*1.13323625323415</f>
        <v>1.2317785361240757E-2</v>
      </c>
      <c r="I13463">
        <v>1.2317785361240841E-2</v>
      </c>
    </row>
    <row r="13464" spans="1:9" x14ac:dyDescent="0.25">
      <c r="A13464">
        <v>470</v>
      </c>
      <c r="B13464" t="s">
        <v>3814</v>
      </c>
      <c r="C13464" t="s">
        <v>75</v>
      </c>
      <c r="D13464" t="s">
        <v>754</v>
      </c>
      <c r="E13464">
        <f t="shared" si="635"/>
        <v>1.0869565217391304E-2</v>
      </c>
      <c r="F13464">
        <v>111</v>
      </c>
      <c r="G13464">
        <f>LOG(382/(111+1))</f>
        <v>0.53284534024152708</v>
      </c>
      <c r="H13464">
        <f>0.0108695652173913*1.22692173731148</f>
        <v>1.333610584034217E-2</v>
      </c>
      <c r="I13464">
        <v>1.333610584034218E-2</v>
      </c>
    </row>
    <row r="13465" spans="1:9" x14ac:dyDescent="0.25">
      <c r="A13465">
        <v>470</v>
      </c>
      <c r="B13465" t="s">
        <v>3814</v>
      </c>
      <c r="C13465" t="s">
        <v>75</v>
      </c>
      <c r="D13465" t="s">
        <v>1083</v>
      </c>
      <c r="E13465">
        <f t="shared" si="635"/>
        <v>1.0869565217391304E-2</v>
      </c>
      <c r="F13465">
        <v>51</v>
      </c>
      <c r="G13465">
        <f>LOG(382/(51+1))</f>
        <v>0.86606001927690957</v>
      </c>
      <c r="H13465">
        <f>0.0108695652173913*1.99417689002514</f>
        <v>2.167583576114282E-2</v>
      </c>
      <c r="I13465">
        <v>2.167583576114291E-2</v>
      </c>
    </row>
    <row r="13466" spans="1:9" x14ac:dyDescent="0.25">
      <c r="A13466">
        <v>470</v>
      </c>
      <c r="B13466" t="s">
        <v>3814</v>
      </c>
      <c r="C13466" t="s">
        <v>75</v>
      </c>
      <c r="D13466" t="s">
        <v>765</v>
      </c>
      <c r="E13466">
        <f t="shared" si="635"/>
        <v>1.0869565217391304E-2</v>
      </c>
      <c r="F13466">
        <v>44</v>
      </c>
      <c r="G13466">
        <f>LOG(382/(44+1))</f>
        <v>0.92885084913636506</v>
      </c>
      <c r="H13466">
        <f>0.0108695652173913*2.13875811883625</f>
        <v>2.324737085691575E-2</v>
      </c>
      <c r="I13466">
        <v>2.3247370856915819E-2</v>
      </c>
    </row>
    <row r="13467" spans="1:9" x14ac:dyDescent="0.25">
      <c r="A13467">
        <v>470</v>
      </c>
      <c r="B13467" t="s">
        <v>3814</v>
      </c>
      <c r="C13467" t="s">
        <v>75</v>
      </c>
      <c r="D13467" t="s">
        <v>2220</v>
      </c>
      <c r="E13467">
        <f t="shared" si="635"/>
        <v>1.0869565217391304E-2</v>
      </c>
      <c r="F13467">
        <v>21</v>
      </c>
      <c r="G13467">
        <f>LOG(382/(21+1))</f>
        <v>1.2396406820895025</v>
      </c>
      <c r="H13467">
        <f>0.0108695652173913*2.85437815524825</f>
        <v>3.1025849513567922E-2</v>
      </c>
      <c r="I13467">
        <v>3.102584951356803E-2</v>
      </c>
    </row>
    <row r="13468" spans="1:9" x14ac:dyDescent="0.25">
      <c r="A13468">
        <v>470</v>
      </c>
      <c r="B13468" t="s">
        <v>3814</v>
      </c>
      <c r="C13468" t="s">
        <v>75</v>
      </c>
      <c r="D13468" t="s">
        <v>3307</v>
      </c>
      <c r="E13468">
        <f t="shared" si="635"/>
        <v>1.0869565217391304E-2</v>
      </c>
      <c r="F13468">
        <v>7</v>
      </c>
      <c r="G13468">
        <f>LOG(382/(7+1))</f>
        <v>1.6789733759197651</v>
      </c>
      <c r="H13468">
        <f>0.0108695652173913*3.86597906692673</f>
        <v>4.2021511597029659E-2</v>
      </c>
      <c r="I13468">
        <v>4.202151159702977E-2</v>
      </c>
    </row>
    <row r="13469" spans="1:9" x14ac:dyDescent="0.25">
      <c r="A13469">
        <v>470</v>
      </c>
      <c r="B13469" t="s">
        <v>3814</v>
      </c>
      <c r="C13469" t="s">
        <v>75</v>
      </c>
      <c r="D13469" t="s">
        <v>3382</v>
      </c>
      <c r="E13469">
        <f t="shared" si="635"/>
        <v>1.0869565217391304E-2</v>
      </c>
      <c r="F13469">
        <v>2</v>
      </c>
      <c r="G13469">
        <f>LOG(382/(2+1))</f>
        <v>2.1049421081920463</v>
      </c>
      <c r="H13469">
        <f>0.0108695652173913*4.84680831993846</f>
        <v>5.268269912976585E-2</v>
      </c>
      <c r="I13469">
        <v>5.2682699129765927E-2</v>
      </c>
    </row>
    <row r="13470" spans="1:9" x14ac:dyDescent="0.25">
      <c r="A13470">
        <v>470</v>
      </c>
      <c r="B13470" t="s">
        <v>3814</v>
      </c>
      <c r="C13470" t="s">
        <v>75</v>
      </c>
      <c r="D13470" t="s">
        <v>830</v>
      </c>
      <c r="E13470">
        <f t="shared" si="635"/>
        <v>1.0869565217391304E-2</v>
      </c>
      <c r="F13470">
        <v>19</v>
      </c>
      <c r="G13470">
        <f>LOG(382/(19+1))</f>
        <v>1.2810333672477277</v>
      </c>
      <c r="H13470">
        <f>0.0108695652173913*2.94968833505258</f>
        <v>3.2061829728832383E-2</v>
      </c>
      <c r="I13470">
        <v>3.2061829728832439E-2</v>
      </c>
    </row>
    <row r="13471" spans="1:9" x14ac:dyDescent="0.25">
      <c r="A13471">
        <v>470</v>
      </c>
      <c r="B13471" t="s">
        <v>3814</v>
      </c>
      <c r="C13471" t="s">
        <v>75</v>
      </c>
      <c r="D13471" t="s">
        <v>399</v>
      </c>
      <c r="E13471">
        <f t="shared" si="635"/>
        <v>1.0869565217391304E-2</v>
      </c>
      <c r="F13471">
        <v>27</v>
      </c>
      <c r="G13471">
        <f>LOG(382/(27+1))</f>
        <v>1.1349053315694895</v>
      </c>
      <c r="H13471">
        <f>0.0108695652173913*2.61321609843137</f>
        <v>2.8404522809036624E-2</v>
      </c>
      <c r="I13471">
        <v>2.8404522809036641E-2</v>
      </c>
    </row>
    <row r="13472" spans="1:9" x14ac:dyDescent="0.25">
      <c r="A13472">
        <v>470</v>
      </c>
      <c r="B13472" t="s">
        <v>3814</v>
      </c>
      <c r="C13472" t="s">
        <v>75</v>
      </c>
      <c r="D13472" t="s">
        <v>3383</v>
      </c>
      <c r="E13472">
        <f t="shared" si="635"/>
        <v>1.0869565217391304E-2</v>
      </c>
      <c r="F13472">
        <v>2</v>
      </c>
      <c r="G13472">
        <f>LOG(382/(2+1))</f>
        <v>2.1049421081920463</v>
      </c>
      <c r="H13472">
        <f>0.0108695652173913*4.84680831993846</f>
        <v>5.268269912976585E-2</v>
      </c>
      <c r="I13472">
        <v>5.2682699129765927E-2</v>
      </c>
    </row>
    <row r="13473" spans="1:9" x14ac:dyDescent="0.25">
      <c r="A13473">
        <v>470</v>
      </c>
      <c r="B13473" t="s">
        <v>3814</v>
      </c>
      <c r="C13473" t="s">
        <v>75</v>
      </c>
      <c r="D13473" t="s">
        <v>772</v>
      </c>
      <c r="E13473">
        <f t="shared" si="635"/>
        <v>1.0869565217391304E-2</v>
      </c>
      <c r="F13473">
        <v>31</v>
      </c>
      <c r="G13473">
        <f>LOG(382/(31+1))</f>
        <v>1.0769133845918029</v>
      </c>
      <c r="H13473">
        <f>0.0108695652173913*2.47968470580684</f>
        <v>2.6953094628335207E-2</v>
      </c>
      <c r="I13473">
        <v>2.6953094628335311E-2</v>
      </c>
    </row>
    <row r="13474" spans="1:9" x14ac:dyDescent="0.25">
      <c r="A13474">
        <v>470</v>
      </c>
      <c r="B13474" t="s">
        <v>3814</v>
      </c>
      <c r="C13474" t="s">
        <v>75</v>
      </c>
      <c r="D13474" t="s">
        <v>746</v>
      </c>
      <c r="E13474">
        <f t="shared" si="635"/>
        <v>1.0869565217391304E-2</v>
      </c>
      <c r="F13474">
        <v>58</v>
      </c>
      <c r="G13474">
        <f>LOG(382/(58+1))</f>
        <v>0.81121135126956456</v>
      </c>
      <c r="H13474">
        <f>0.0108695652173913*1.86788316470085</f>
        <v>2.0303077877183145E-2</v>
      </c>
      <c r="I13474">
        <v>2.0303077877183211E-2</v>
      </c>
    </row>
    <row r="13475" spans="1:9" x14ac:dyDescent="0.25">
      <c r="A13475">
        <v>470</v>
      </c>
      <c r="B13475" t="s">
        <v>3814</v>
      </c>
      <c r="C13475" t="s">
        <v>75</v>
      </c>
      <c r="D13475" t="s">
        <v>119</v>
      </c>
      <c r="E13475">
        <f t="shared" si="635"/>
        <v>1.0869565217391304E-2</v>
      </c>
      <c r="F13475">
        <v>79</v>
      </c>
      <c r="G13475">
        <f>LOG(382/(79+1))</f>
        <v>0.67897337591976514</v>
      </c>
      <c r="H13475">
        <f>0.0108695652173913*1.56339397393269</f>
        <v>1.6993412760137931E-2</v>
      </c>
      <c r="I13475">
        <v>1.6993412760137969E-2</v>
      </c>
    </row>
    <row r="13476" spans="1:9" x14ac:dyDescent="0.25">
      <c r="A13476">
        <v>470</v>
      </c>
      <c r="B13476" t="s">
        <v>3814</v>
      </c>
      <c r="C13476" t="s">
        <v>75</v>
      </c>
      <c r="D13476" t="s">
        <v>520</v>
      </c>
      <c r="E13476">
        <f t="shared" si="635"/>
        <v>1.0869565217391304E-2</v>
      </c>
      <c r="F13476">
        <v>25</v>
      </c>
      <c r="G13476">
        <f>LOG(382/(25+1))</f>
        <v>1.1670900149408907</v>
      </c>
      <c r="H13476">
        <f>0.0108695652173913*2.68732407058509</f>
        <v>2.9210044245490098E-2</v>
      </c>
      <c r="I13476">
        <v>2.921004424549014E-2</v>
      </c>
    </row>
    <row r="13477" spans="1:9" x14ac:dyDescent="0.25">
      <c r="A13477">
        <v>470</v>
      </c>
      <c r="B13477" t="s">
        <v>3814</v>
      </c>
      <c r="C13477" t="s">
        <v>75</v>
      </c>
      <c r="D13477" t="s">
        <v>89</v>
      </c>
      <c r="E13477">
        <f t="shared" si="635"/>
        <v>1.0869565217391304E-2</v>
      </c>
      <c r="F13477">
        <v>40</v>
      </c>
      <c r="G13477">
        <f>LOG(382/(40+1))</f>
        <v>0.96927950619197323</v>
      </c>
      <c r="H13477">
        <f>0.0108695652173913*2.23184854190226</f>
        <v>2.4259223281546293E-2</v>
      </c>
      <c r="I13477">
        <v>2.425922328154638E-2</v>
      </c>
    </row>
    <row r="13478" spans="1:9" x14ac:dyDescent="0.25">
      <c r="A13478">
        <v>470</v>
      </c>
      <c r="B13478" t="s">
        <v>3814</v>
      </c>
      <c r="C13478" t="s">
        <v>75</v>
      </c>
      <c r="D13478" t="s">
        <v>40</v>
      </c>
      <c r="E13478">
        <f t="shared" si="635"/>
        <v>1.0869565217391304E-2</v>
      </c>
      <c r="F13478">
        <v>159</v>
      </c>
      <c r="G13478">
        <f>LOG(382/(159+1))</f>
        <v>0.377943380255784</v>
      </c>
      <c r="H13478">
        <f>0.0108695652173913*0.870246793372748</f>
        <v>9.4592042757907363E-3</v>
      </c>
      <c r="I13478">
        <v>9.4592042757907432E-3</v>
      </c>
    </row>
    <row r="13479" spans="1:9" x14ac:dyDescent="0.25">
      <c r="A13479">
        <v>470</v>
      </c>
      <c r="B13479" t="s">
        <v>3814</v>
      </c>
      <c r="C13479" t="s">
        <v>75</v>
      </c>
      <c r="D13479" t="s">
        <v>41</v>
      </c>
      <c r="E13479">
        <f t="shared" si="635"/>
        <v>1.0869565217391304E-2</v>
      </c>
      <c r="F13479">
        <v>195</v>
      </c>
      <c r="G13479">
        <f>LOG(382/(195+1))</f>
        <v>0.28980729155523272</v>
      </c>
      <c r="H13479">
        <f>0.0108695652173913*0.667305949376058</f>
        <v>7.25332553669628E-3</v>
      </c>
      <c r="I13479">
        <v>7.2533255366962826E-3</v>
      </c>
    </row>
    <row r="13480" spans="1:9" x14ac:dyDescent="0.25">
      <c r="A13480">
        <v>470</v>
      </c>
      <c r="B13480" t="s">
        <v>3814</v>
      </c>
      <c r="C13480" t="s">
        <v>75</v>
      </c>
      <c r="D13480" t="s">
        <v>3310</v>
      </c>
      <c r="E13480">
        <f t="shared" si="635"/>
        <v>1.0869565217391304E-2</v>
      </c>
      <c r="F13480">
        <v>4</v>
      </c>
      <c r="G13480">
        <f>LOG(382/(4+1))</f>
        <v>1.8830933585756899</v>
      </c>
      <c r="H13480">
        <f>0.0108695652173913*4.33598269617247</f>
        <v>4.7130246697526836E-2</v>
      </c>
      <c r="I13480">
        <v>4.7130246697526898E-2</v>
      </c>
    </row>
    <row r="13481" spans="1:9" x14ac:dyDescent="0.25">
      <c r="A13481">
        <v>471</v>
      </c>
      <c r="B13481" t="s">
        <v>3815</v>
      </c>
      <c r="C13481" t="s">
        <v>75</v>
      </c>
      <c r="D13481" t="s">
        <v>1544</v>
      </c>
      <c r="E13481">
        <f>2/52</f>
        <v>3.8461538461538464E-2</v>
      </c>
      <c r="F13481">
        <v>19</v>
      </c>
      <c r="G13481">
        <f>LOG(382/(19+1))</f>
        <v>1.2810333672477277</v>
      </c>
      <c r="H13481">
        <f>0.0384615384615384*2.94968833505258</f>
        <v>0.11344955134817597</v>
      </c>
      <c r="I13481">
        <v>0.1134495513481763</v>
      </c>
    </row>
    <row r="13482" spans="1:9" x14ac:dyDescent="0.25">
      <c r="A13482">
        <v>471</v>
      </c>
      <c r="B13482" t="s">
        <v>3815</v>
      </c>
      <c r="C13482" t="s">
        <v>75</v>
      </c>
      <c r="D13482" t="s">
        <v>1665</v>
      </c>
      <c r="E13482">
        <f>2/52</f>
        <v>3.8461538461538464E-2</v>
      </c>
      <c r="F13482">
        <v>17</v>
      </c>
      <c r="G13482">
        <f>LOG(382/(17+1))</f>
        <v>1.3267908578084027</v>
      </c>
      <c r="H13482">
        <f>0.0384615384615384*3.05504885071041</f>
        <v>0.11750187887347711</v>
      </c>
      <c r="I13482">
        <v>0.11750187887347729</v>
      </c>
    </row>
    <row r="13483" spans="1:9" x14ac:dyDescent="0.25">
      <c r="A13483">
        <v>471</v>
      </c>
      <c r="B13483" t="s">
        <v>3815</v>
      </c>
      <c r="C13483" t="s">
        <v>75</v>
      </c>
      <c r="D13483" t="s">
        <v>3816</v>
      </c>
      <c r="E13483">
        <f>2/52</f>
        <v>3.8461538461538464E-2</v>
      </c>
      <c r="F13483">
        <v>1</v>
      </c>
      <c r="G13483">
        <f>LOG(382/(1+1))</f>
        <v>2.2810333672477277</v>
      </c>
      <c r="H13483">
        <f>0.0384615384615384*5.25227342804663</f>
        <v>0.2020105164633316</v>
      </c>
      <c r="I13483">
        <v>0.2020105164633319</v>
      </c>
    </row>
    <row r="13484" spans="1:9" x14ac:dyDescent="0.25">
      <c r="A13484">
        <v>471</v>
      </c>
      <c r="B13484" t="s">
        <v>3815</v>
      </c>
      <c r="C13484" t="s">
        <v>75</v>
      </c>
      <c r="D13484" t="s">
        <v>3817</v>
      </c>
      <c r="E13484">
        <f t="shared" ref="E13484:E13509" si="636">1/52</f>
        <v>1.9230769230769232E-2</v>
      </c>
      <c r="F13484">
        <v>1</v>
      </c>
      <c r="G13484">
        <f>LOG(382/(1+1))</f>
        <v>2.2810333672477277</v>
      </c>
      <c r="H13484">
        <f>0.0192307692307692*5.25227342804663</f>
        <v>0.1010052582316658</v>
      </c>
      <c r="I13484">
        <v>0.10100525823166601</v>
      </c>
    </row>
    <row r="13485" spans="1:9" x14ac:dyDescent="0.25">
      <c r="A13485">
        <v>471</v>
      </c>
      <c r="B13485" t="s">
        <v>3815</v>
      </c>
      <c r="C13485" t="s">
        <v>75</v>
      </c>
      <c r="D13485" t="s">
        <v>42</v>
      </c>
      <c r="E13485">
        <f t="shared" si="636"/>
        <v>1.9230769230769232E-2</v>
      </c>
      <c r="F13485">
        <v>251</v>
      </c>
      <c r="G13485">
        <f>LOG(382/(251+1))</f>
        <v>0.18066282213016463</v>
      </c>
      <c r="H13485">
        <f>0.0192307692307692*0.415991521095151</f>
        <v>7.9998369441375058E-3</v>
      </c>
      <c r="I13485">
        <v>7.999836944137537E-3</v>
      </c>
    </row>
    <row r="13486" spans="1:9" x14ac:dyDescent="0.25">
      <c r="A13486">
        <v>471</v>
      </c>
      <c r="B13486" t="s">
        <v>3815</v>
      </c>
      <c r="C13486" t="s">
        <v>75</v>
      </c>
      <c r="D13486" t="s">
        <v>1496</v>
      </c>
      <c r="E13486">
        <f t="shared" si="636"/>
        <v>1.9230769230769232E-2</v>
      </c>
      <c r="F13486">
        <v>39</v>
      </c>
      <c r="G13486">
        <f>LOG(382/(39+1))</f>
        <v>0.9800033715837464</v>
      </c>
      <c r="H13486">
        <f>0.0192307692307692*2.25654115449263</f>
        <v>4.3395022201781284E-2</v>
      </c>
      <c r="I13486">
        <v>4.339502220178152E-2</v>
      </c>
    </row>
    <row r="13487" spans="1:9" x14ac:dyDescent="0.25">
      <c r="A13487">
        <v>471</v>
      </c>
      <c r="B13487" t="s">
        <v>3815</v>
      </c>
      <c r="C13487" t="s">
        <v>75</v>
      </c>
      <c r="D13487" t="s">
        <v>3562</v>
      </c>
      <c r="E13487">
        <f t="shared" si="636"/>
        <v>1.9230769230769232E-2</v>
      </c>
      <c r="F13487">
        <v>2</v>
      </c>
      <c r="G13487">
        <f>LOG(382/(2+1))</f>
        <v>2.1049421081920463</v>
      </c>
      <c r="H13487">
        <f>0.0192307692307692*4.84680831993846</f>
        <v>9.3207852306508701E-2</v>
      </c>
      <c r="I13487">
        <v>9.3207852306508951E-2</v>
      </c>
    </row>
    <row r="13488" spans="1:9" x14ac:dyDescent="0.25">
      <c r="A13488">
        <v>471</v>
      </c>
      <c r="B13488" t="s">
        <v>3815</v>
      </c>
      <c r="C13488" t="s">
        <v>75</v>
      </c>
      <c r="D13488" t="s">
        <v>3563</v>
      </c>
      <c r="E13488">
        <f t="shared" si="636"/>
        <v>1.9230769230769232E-2</v>
      </c>
      <c r="F13488">
        <v>2</v>
      </c>
      <c r="G13488">
        <f>LOG(382/(2+1))</f>
        <v>2.1049421081920463</v>
      </c>
      <c r="H13488">
        <f>0.0192307692307692*4.84680831993846</f>
        <v>9.3207852306508701E-2</v>
      </c>
      <c r="I13488">
        <v>9.3207852306508951E-2</v>
      </c>
    </row>
    <row r="13489" spans="1:9" x14ac:dyDescent="0.25">
      <c r="A13489">
        <v>471</v>
      </c>
      <c r="B13489" t="s">
        <v>3815</v>
      </c>
      <c r="C13489" t="s">
        <v>75</v>
      </c>
      <c r="D13489" t="s">
        <v>3818</v>
      </c>
      <c r="E13489">
        <f t="shared" si="636"/>
        <v>1.9230769230769232E-2</v>
      </c>
      <c r="F13489">
        <v>2</v>
      </c>
      <c r="G13489">
        <f>LOG(382/(2+1))</f>
        <v>2.1049421081920463</v>
      </c>
      <c r="H13489">
        <f>0.0192307692307692*4.84680831993846</f>
        <v>9.3207852306508701E-2</v>
      </c>
      <c r="I13489">
        <v>9.3207852306508951E-2</v>
      </c>
    </row>
    <row r="13490" spans="1:9" x14ac:dyDescent="0.25">
      <c r="A13490">
        <v>471</v>
      </c>
      <c r="B13490" t="s">
        <v>3815</v>
      </c>
      <c r="C13490" t="s">
        <v>75</v>
      </c>
      <c r="D13490" t="s">
        <v>1060</v>
      </c>
      <c r="E13490">
        <f t="shared" si="636"/>
        <v>1.9230769230769232E-2</v>
      </c>
      <c r="F13490">
        <v>15</v>
      </c>
      <c r="G13490">
        <f>LOG(382/(15+1))</f>
        <v>1.3779433802557839</v>
      </c>
      <c r="H13490">
        <f>0.0192307692307692*3.17283188636679</f>
        <v>6.101599781474587E-2</v>
      </c>
      <c r="I13490">
        <v>6.1015997814746037E-2</v>
      </c>
    </row>
    <row r="13491" spans="1:9" x14ac:dyDescent="0.25">
      <c r="A13491">
        <v>471</v>
      </c>
      <c r="B13491" t="s">
        <v>3815</v>
      </c>
      <c r="C13491" t="s">
        <v>75</v>
      </c>
      <c r="D13491" t="s">
        <v>17</v>
      </c>
      <c r="E13491">
        <f t="shared" si="636"/>
        <v>1.9230769230769232E-2</v>
      </c>
      <c r="F13491">
        <v>169</v>
      </c>
      <c r="G13491">
        <f>LOG(382/(169+1))</f>
        <v>0.3516144415334348</v>
      </c>
      <c r="H13491">
        <f>0.0192307692307692*0.809622171556313</f>
        <v>1.5569657145313687E-2</v>
      </c>
      <c r="I13491">
        <v>1.556965714531372E-2</v>
      </c>
    </row>
    <row r="13492" spans="1:9" x14ac:dyDescent="0.25">
      <c r="A13492">
        <v>471</v>
      </c>
      <c r="B13492" t="s">
        <v>3815</v>
      </c>
      <c r="C13492" t="s">
        <v>75</v>
      </c>
      <c r="D13492" t="s">
        <v>920</v>
      </c>
      <c r="E13492">
        <f t="shared" si="636"/>
        <v>1.9230769230769232E-2</v>
      </c>
      <c r="F13492">
        <v>30</v>
      </c>
      <c r="G13492">
        <f>LOG(382/(30+1))</f>
        <v>1.090701669077436</v>
      </c>
      <c r="H13492">
        <f>0.0192307692307692*2.51143340412142</f>
        <v>4.8296796233104157E-2</v>
      </c>
      <c r="I13492">
        <v>4.8296796233104407E-2</v>
      </c>
    </row>
    <row r="13493" spans="1:9" x14ac:dyDescent="0.25">
      <c r="A13493">
        <v>471</v>
      </c>
      <c r="B13493" t="s">
        <v>3815</v>
      </c>
      <c r="C13493" t="s">
        <v>75</v>
      </c>
      <c r="D13493" t="s">
        <v>19</v>
      </c>
      <c r="E13493">
        <f t="shared" si="636"/>
        <v>1.9230769230769232E-2</v>
      </c>
      <c r="F13493">
        <v>220</v>
      </c>
      <c r="G13493">
        <f>LOG(382/(220+1))</f>
        <v>0.23767108922659805</v>
      </c>
      <c r="H13493">
        <f>0.0192307692307692*0.547257907088822</f>
        <v>1.0524190520938869E-2</v>
      </c>
      <c r="I13493">
        <v>1.052419052093889E-2</v>
      </c>
    </row>
    <row r="13494" spans="1:9" x14ac:dyDescent="0.25">
      <c r="A13494">
        <v>471</v>
      </c>
      <c r="B13494" t="s">
        <v>3815</v>
      </c>
      <c r="C13494" t="s">
        <v>75</v>
      </c>
      <c r="D13494" t="s">
        <v>44</v>
      </c>
      <c r="E13494">
        <f t="shared" si="636"/>
        <v>1.9230769230769232E-2</v>
      </c>
      <c r="F13494">
        <v>151</v>
      </c>
      <c r="G13494">
        <f>LOG(382/(151+1))</f>
        <v>0.40021977496693617</v>
      </c>
      <c r="H13494">
        <f>0.0192307692307692*0.921540087760298</f>
        <v>1.7721924764621089E-2</v>
      </c>
      <c r="I13494">
        <v>1.772192476462113E-2</v>
      </c>
    </row>
    <row r="13495" spans="1:9" x14ac:dyDescent="0.25">
      <c r="A13495">
        <v>471</v>
      </c>
      <c r="B13495" t="s">
        <v>3815</v>
      </c>
      <c r="C13495" t="s">
        <v>75</v>
      </c>
      <c r="D13495" t="s">
        <v>3801</v>
      </c>
      <c r="E13495">
        <f t="shared" si="636"/>
        <v>1.9230769230769232E-2</v>
      </c>
      <c r="F13495">
        <v>3</v>
      </c>
      <c r="G13495">
        <f>LOG(382/(3+1))</f>
        <v>1.9800033715837464</v>
      </c>
      <c r="H13495">
        <f>0.0192307692307692*4.55912624748668</f>
        <v>8.7675504759359091E-2</v>
      </c>
      <c r="I13495">
        <v>8.7675504759359327E-2</v>
      </c>
    </row>
    <row r="13496" spans="1:9" x14ac:dyDescent="0.25">
      <c r="A13496">
        <v>471</v>
      </c>
      <c r="B13496" t="s">
        <v>3815</v>
      </c>
      <c r="C13496" t="s">
        <v>75</v>
      </c>
      <c r="D13496" t="s">
        <v>23</v>
      </c>
      <c r="E13496">
        <f t="shared" si="636"/>
        <v>1.9230769230769232E-2</v>
      </c>
      <c r="F13496">
        <v>275</v>
      </c>
      <c r="G13496">
        <f>LOG(382/(275+1))</f>
        <v>0.14115428084649101</v>
      </c>
      <c r="H13496">
        <f>0.0192307692307692*0.325019742889425</f>
        <v>6.2503796709504709E-3</v>
      </c>
      <c r="I13496">
        <v>6.2503796709504839E-3</v>
      </c>
    </row>
    <row r="13497" spans="1:9" x14ac:dyDescent="0.25">
      <c r="A13497">
        <v>471</v>
      </c>
      <c r="B13497" t="s">
        <v>3815</v>
      </c>
      <c r="C13497" t="s">
        <v>75</v>
      </c>
      <c r="D13497" t="s">
        <v>3520</v>
      </c>
      <c r="E13497">
        <f t="shared" si="636"/>
        <v>1.9230769230769232E-2</v>
      </c>
      <c r="F13497">
        <v>8</v>
      </c>
      <c r="G13497">
        <f>LOG(382/(8+1))</f>
        <v>1.6278208534723839</v>
      </c>
      <c r="H13497">
        <f>0.0192307692307692*3.74819603127035</f>
        <v>7.2080692909045077E-2</v>
      </c>
      <c r="I13497">
        <v>7.2080692909045313E-2</v>
      </c>
    </row>
    <row r="13498" spans="1:9" x14ac:dyDescent="0.25">
      <c r="A13498">
        <v>471</v>
      </c>
      <c r="B13498" t="s">
        <v>3815</v>
      </c>
      <c r="C13498" t="s">
        <v>75</v>
      </c>
      <c r="D13498" t="s">
        <v>3819</v>
      </c>
      <c r="E13498">
        <f t="shared" si="636"/>
        <v>1.9230769230769232E-2</v>
      </c>
      <c r="F13498">
        <v>2</v>
      </c>
      <c r="G13498">
        <f>LOG(382/(2+1))</f>
        <v>2.1049421081920463</v>
      </c>
      <c r="H13498">
        <f>0.0192307692307692*4.84680831993846</f>
        <v>9.3207852306508701E-2</v>
      </c>
      <c r="I13498">
        <v>9.3207852306508951E-2</v>
      </c>
    </row>
    <row r="13499" spans="1:9" x14ac:dyDescent="0.25">
      <c r="A13499">
        <v>471</v>
      </c>
      <c r="B13499" t="s">
        <v>3815</v>
      </c>
      <c r="C13499" t="s">
        <v>75</v>
      </c>
      <c r="D13499" t="s">
        <v>105</v>
      </c>
      <c r="E13499">
        <f t="shared" si="636"/>
        <v>1.9230769230769232E-2</v>
      </c>
      <c r="F13499">
        <v>122</v>
      </c>
      <c r="G13499">
        <f>LOG(382/(122+1))</f>
        <v>0.49215825147231079</v>
      </c>
      <c r="H13499">
        <f>0.0192307692307692*1.13323625323415</f>
        <v>2.1793004869887465E-2</v>
      </c>
      <c r="I13499">
        <v>2.1793004869887649E-2</v>
      </c>
    </row>
    <row r="13500" spans="1:9" x14ac:dyDescent="0.25">
      <c r="A13500">
        <v>471</v>
      </c>
      <c r="B13500" t="s">
        <v>3815</v>
      </c>
      <c r="C13500" t="s">
        <v>75</v>
      </c>
      <c r="D13500" t="s">
        <v>3820</v>
      </c>
      <c r="E13500">
        <f t="shared" si="636"/>
        <v>1.9230769230769232E-2</v>
      </c>
      <c r="F13500">
        <v>1</v>
      </c>
      <c r="G13500">
        <f>LOG(382/(1+1))</f>
        <v>2.2810333672477277</v>
      </c>
      <c r="H13500">
        <f>0.0192307692307692*5.25227342804663</f>
        <v>0.1010052582316658</v>
      </c>
      <c r="I13500">
        <v>0.10100525823166601</v>
      </c>
    </row>
    <row r="13501" spans="1:9" x14ac:dyDescent="0.25">
      <c r="A13501">
        <v>471</v>
      </c>
      <c r="B13501" t="s">
        <v>3815</v>
      </c>
      <c r="C13501" t="s">
        <v>75</v>
      </c>
      <c r="D13501" t="s">
        <v>823</v>
      </c>
      <c r="E13501">
        <f t="shared" si="636"/>
        <v>1.9230769230769232E-2</v>
      </c>
      <c r="F13501">
        <v>45</v>
      </c>
      <c r="G13501">
        <f>LOG(382/(45+1))</f>
        <v>0.9193055312301347</v>
      </c>
      <c r="H13501">
        <f>0.0192307692307692*2.11677921211748</f>
        <v>4.070729254072071E-2</v>
      </c>
      <c r="I13501">
        <v>4.0707292540720773E-2</v>
      </c>
    </row>
    <row r="13502" spans="1:9" x14ac:dyDescent="0.25">
      <c r="A13502">
        <v>471</v>
      </c>
      <c r="B13502" t="s">
        <v>3815</v>
      </c>
      <c r="C13502" t="s">
        <v>75</v>
      </c>
      <c r="D13502" t="s">
        <v>3376</v>
      </c>
      <c r="E13502">
        <f t="shared" si="636"/>
        <v>1.9230769230769232E-2</v>
      </c>
      <c r="F13502">
        <v>21</v>
      </c>
      <c r="G13502">
        <f>LOG(382/(21+1))</f>
        <v>1.2396406820895025</v>
      </c>
      <c r="H13502">
        <f>0.0192307692307692*2.85437815524825</f>
        <v>5.4891887600927794E-2</v>
      </c>
      <c r="I13502">
        <v>5.4891887600928058E-2</v>
      </c>
    </row>
    <row r="13503" spans="1:9" x14ac:dyDescent="0.25">
      <c r="A13503">
        <v>471</v>
      </c>
      <c r="B13503" t="s">
        <v>3815</v>
      </c>
      <c r="C13503" t="s">
        <v>75</v>
      </c>
      <c r="D13503" t="s">
        <v>3451</v>
      </c>
      <c r="E13503">
        <f t="shared" si="636"/>
        <v>1.9230769230769232E-2</v>
      </c>
      <c r="F13503">
        <v>5</v>
      </c>
      <c r="G13503">
        <f>LOG(382/(5+1))</f>
        <v>1.803912112528065</v>
      </c>
      <c r="H13503">
        <f>0.0192307692307692*4.15366113937852</f>
        <v>7.9878098834202174E-2</v>
      </c>
      <c r="I13503">
        <v>7.9878098834202313E-2</v>
      </c>
    </row>
    <row r="13504" spans="1:9" x14ac:dyDescent="0.25">
      <c r="A13504">
        <v>471</v>
      </c>
      <c r="B13504" t="s">
        <v>3815</v>
      </c>
      <c r="C13504" t="s">
        <v>75</v>
      </c>
      <c r="D13504" t="s">
        <v>3377</v>
      </c>
      <c r="E13504">
        <f t="shared" si="636"/>
        <v>1.9230769230769232E-2</v>
      </c>
      <c r="F13504">
        <v>3</v>
      </c>
      <c r="G13504">
        <f>LOG(382/(3+1))</f>
        <v>1.9800033715837464</v>
      </c>
      <c r="H13504">
        <f>0.0192307692307692*4.55912624748668</f>
        <v>8.7675504759359091E-2</v>
      </c>
      <c r="I13504">
        <v>8.7675504759359327E-2</v>
      </c>
    </row>
    <row r="13505" spans="1:9" x14ac:dyDescent="0.25">
      <c r="A13505">
        <v>471</v>
      </c>
      <c r="B13505" t="s">
        <v>3815</v>
      </c>
      <c r="C13505" t="s">
        <v>75</v>
      </c>
      <c r="D13505" t="s">
        <v>3821</v>
      </c>
      <c r="E13505">
        <f t="shared" si="636"/>
        <v>1.9230769230769232E-2</v>
      </c>
      <c r="F13505">
        <v>1</v>
      </c>
      <c r="G13505">
        <f>LOG(382/(1+1))</f>
        <v>2.2810333672477277</v>
      </c>
      <c r="H13505">
        <f>0.0192307692307692*5.25227342804663</f>
        <v>0.1010052582316658</v>
      </c>
      <c r="I13505">
        <v>0.10100525823166601</v>
      </c>
    </row>
    <row r="13506" spans="1:9" x14ac:dyDescent="0.25">
      <c r="A13506">
        <v>471</v>
      </c>
      <c r="B13506" t="s">
        <v>3815</v>
      </c>
      <c r="C13506" t="s">
        <v>75</v>
      </c>
      <c r="D13506" t="s">
        <v>126</v>
      </c>
      <c r="E13506">
        <f t="shared" si="636"/>
        <v>1.9230769230769232E-2</v>
      </c>
      <c r="F13506">
        <v>79</v>
      </c>
      <c r="G13506">
        <f>LOG(382/(79+1))</f>
        <v>0.67897337591976514</v>
      </c>
      <c r="H13506">
        <f>0.0192307692307692*1.56339397393269</f>
        <v>3.0065268729474761E-2</v>
      </c>
      <c r="I13506">
        <v>3.0065268729474879E-2</v>
      </c>
    </row>
    <row r="13507" spans="1:9" x14ac:dyDescent="0.25">
      <c r="A13507">
        <v>471</v>
      </c>
      <c r="B13507" t="s">
        <v>3815</v>
      </c>
      <c r="C13507" t="s">
        <v>75</v>
      </c>
      <c r="D13507" t="s">
        <v>3822</v>
      </c>
      <c r="E13507">
        <f t="shared" si="636"/>
        <v>1.9230769230769232E-2</v>
      </c>
      <c r="F13507">
        <v>1</v>
      </c>
      <c r="G13507">
        <f>LOG(382/(1+1))</f>
        <v>2.2810333672477277</v>
      </c>
      <c r="H13507">
        <f>0.0192307692307692*5.25227342804663</f>
        <v>0.1010052582316658</v>
      </c>
      <c r="I13507">
        <v>0.10100525823166601</v>
      </c>
    </row>
    <row r="13508" spans="1:9" x14ac:dyDescent="0.25">
      <c r="A13508">
        <v>471</v>
      </c>
      <c r="B13508" t="s">
        <v>3815</v>
      </c>
      <c r="C13508" t="s">
        <v>75</v>
      </c>
      <c r="D13508" t="s">
        <v>67</v>
      </c>
      <c r="E13508">
        <f t="shared" si="636"/>
        <v>1.9230769230769232E-2</v>
      </c>
      <c r="F13508">
        <v>7</v>
      </c>
      <c r="G13508">
        <f>LOG(382/(7+1))</f>
        <v>1.6789733759197651</v>
      </c>
      <c r="H13508">
        <f>0.0192307692307692*3.86597906692673</f>
        <v>7.4345751287052383E-2</v>
      </c>
      <c r="I13508">
        <v>7.4345751287052675E-2</v>
      </c>
    </row>
    <row r="13509" spans="1:9" x14ac:dyDescent="0.25">
      <c r="A13509">
        <v>471</v>
      </c>
      <c r="B13509" t="s">
        <v>3815</v>
      </c>
      <c r="C13509" t="s">
        <v>75</v>
      </c>
      <c r="D13509" t="s">
        <v>3823</v>
      </c>
      <c r="E13509">
        <f t="shared" si="636"/>
        <v>1.9230769230769232E-2</v>
      </c>
      <c r="F13509">
        <v>1</v>
      </c>
      <c r="G13509">
        <f>LOG(382/(1+1))</f>
        <v>2.2810333672477277</v>
      </c>
      <c r="H13509">
        <f>0.0192307692307692*5.25227342804663</f>
        <v>0.1010052582316658</v>
      </c>
      <c r="I13509">
        <v>0.10100525823166601</v>
      </c>
    </row>
    <row r="13510" spans="1:9" x14ac:dyDescent="0.25">
      <c r="A13510">
        <v>471</v>
      </c>
      <c r="B13510" t="s">
        <v>3815</v>
      </c>
      <c r="C13510" t="s">
        <v>75</v>
      </c>
      <c r="D13510" t="s">
        <v>243</v>
      </c>
      <c r="E13510">
        <f>2/52</f>
        <v>3.8461538461538464E-2</v>
      </c>
      <c r="F13510">
        <v>131</v>
      </c>
      <c r="G13510">
        <f>LOG(382/(131+1))</f>
        <v>0.46148943170585888</v>
      </c>
      <c r="H13510">
        <f>0.0384615384615384*1.0626186860202</f>
        <v>4.0869949462315321E-2</v>
      </c>
      <c r="I13510">
        <v>4.086994946231555E-2</v>
      </c>
    </row>
    <row r="13511" spans="1:9" x14ac:dyDescent="0.25">
      <c r="A13511">
        <v>471</v>
      </c>
      <c r="B13511" t="s">
        <v>3815</v>
      </c>
      <c r="C13511" t="s">
        <v>75</v>
      </c>
      <c r="D13511" t="s">
        <v>453</v>
      </c>
      <c r="E13511">
        <f>1/52</f>
        <v>1.9230769230769232E-2</v>
      </c>
      <c r="F13511">
        <v>68</v>
      </c>
      <c r="G13511">
        <f>LOG(382/(68+1))</f>
        <v>0.74321427217445335</v>
      </c>
      <c r="H13511">
        <f>0.0192307692307692*1.71131410400931</f>
        <v>3.2909886615563606E-2</v>
      </c>
      <c r="I13511">
        <v>3.2909886615563773E-2</v>
      </c>
    </row>
    <row r="13512" spans="1:9" x14ac:dyDescent="0.25">
      <c r="A13512">
        <v>471</v>
      </c>
      <c r="B13512" t="s">
        <v>3815</v>
      </c>
      <c r="C13512" t="s">
        <v>75</v>
      </c>
      <c r="D13512" t="s">
        <v>455</v>
      </c>
      <c r="E13512">
        <f>2/52</f>
        <v>3.8461538461538464E-2</v>
      </c>
      <c r="F13512">
        <v>78</v>
      </c>
      <c r="G13512">
        <f>LOG(382/(78+1))</f>
        <v>0.6844362716212673</v>
      </c>
      <c r="H13512">
        <f>0.0384615384615384*1.57597275613955</f>
        <v>6.0614336774597981E-2</v>
      </c>
      <c r="I13512">
        <v>6.0614336774598217E-2</v>
      </c>
    </row>
    <row r="13513" spans="1:9" x14ac:dyDescent="0.25">
      <c r="A13513">
        <v>471</v>
      </c>
      <c r="B13513" t="s">
        <v>3815</v>
      </c>
      <c r="C13513" t="s">
        <v>75</v>
      </c>
      <c r="D13513" t="s">
        <v>456</v>
      </c>
      <c r="E13513">
        <f>2/52</f>
        <v>3.8461538461538464E-2</v>
      </c>
      <c r="F13513">
        <v>71</v>
      </c>
      <c r="G13513">
        <f>LOG(382/(71+1))</f>
        <v>0.72473086648044027</v>
      </c>
      <c r="H13513">
        <f>0.0384615384615384*1.66875448959051</f>
        <v>6.4182864984250285E-2</v>
      </c>
      <c r="I13513">
        <v>6.4182864984250756E-2</v>
      </c>
    </row>
    <row r="13514" spans="1:9" x14ac:dyDescent="0.25">
      <c r="A13514">
        <v>471</v>
      </c>
      <c r="B13514" t="s">
        <v>3815</v>
      </c>
      <c r="C13514" t="s">
        <v>75</v>
      </c>
      <c r="D13514" t="s">
        <v>1779</v>
      </c>
      <c r="E13514">
        <f t="shared" ref="E13514:E13526" si="637">1/52</f>
        <v>1.9230769230769232E-2</v>
      </c>
      <c r="F13514">
        <v>41</v>
      </c>
      <c r="G13514">
        <f>LOG(382/(41+1))</f>
        <v>0.95881407251380824</v>
      </c>
      <c r="H13514">
        <f>0.0192307692307692*2.2077509903232</f>
        <v>4.2456749813907631E-2</v>
      </c>
      <c r="I13514">
        <v>4.2456749813907832E-2</v>
      </c>
    </row>
    <row r="13515" spans="1:9" x14ac:dyDescent="0.25">
      <c r="A13515">
        <v>471</v>
      </c>
      <c r="B13515" t="s">
        <v>3815</v>
      </c>
      <c r="C13515" t="s">
        <v>75</v>
      </c>
      <c r="D13515" t="s">
        <v>3824</v>
      </c>
      <c r="E13515">
        <f t="shared" si="637"/>
        <v>1.9230769230769232E-2</v>
      </c>
      <c r="F13515">
        <v>1</v>
      </c>
      <c r="G13515">
        <f>LOG(382/(1+1))</f>
        <v>2.2810333672477277</v>
      </c>
      <c r="H13515">
        <f>0.0192307692307692*5.25227342804663</f>
        <v>0.1010052582316658</v>
      </c>
      <c r="I13515">
        <v>0.10100525823166601</v>
      </c>
    </row>
    <row r="13516" spans="1:9" x14ac:dyDescent="0.25">
      <c r="A13516">
        <v>471</v>
      </c>
      <c r="B13516" t="s">
        <v>3815</v>
      </c>
      <c r="C13516" t="s">
        <v>75</v>
      </c>
      <c r="D13516" t="s">
        <v>3825</v>
      </c>
      <c r="E13516">
        <f t="shared" si="637"/>
        <v>1.9230769230769232E-2</v>
      </c>
      <c r="F13516">
        <v>1</v>
      </c>
      <c r="G13516">
        <f>LOG(382/(1+1))</f>
        <v>2.2810333672477277</v>
      </c>
      <c r="H13516">
        <f>0.0192307692307692*5.25227342804663</f>
        <v>0.1010052582316658</v>
      </c>
      <c r="I13516">
        <v>0.10100525823166601</v>
      </c>
    </row>
    <row r="13517" spans="1:9" x14ac:dyDescent="0.25">
      <c r="A13517">
        <v>471</v>
      </c>
      <c r="B13517" t="s">
        <v>3815</v>
      </c>
      <c r="C13517" t="s">
        <v>75</v>
      </c>
      <c r="D13517" t="s">
        <v>838</v>
      </c>
      <c r="E13517">
        <f t="shared" si="637"/>
        <v>1.9230769230769232E-2</v>
      </c>
      <c r="F13517">
        <v>10</v>
      </c>
      <c r="G13517">
        <f>LOG(382/(10+1))</f>
        <v>1.5406706777534838</v>
      </c>
      <c r="H13517">
        <f>0.0192307692307692*3.5475253358082</f>
        <v>6.8221641073234515E-2</v>
      </c>
      <c r="I13517">
        <v>6.8221641073234709E-2</v>
      </c>
    </row>
    <row r="13518" spans="1:9" x14ac:dyDescent="0.25">
      <c r="A13518">
        <v>471</v>
      </c>
      <c r="B13518" t="s">
        <v>3815</v>
      </c>
      <c r="C13518" t="s">
        <v>75</v>
      </c>
      <c r="D13518" t="s">
        <v>361</v>
      </c>
      <c r="E13518">
        <f t="shared" si="637"/>
        <v>1.9230769230769232E-2</v>
      </c>
      <c r="F13518">
        <v>118</v>
      </c>
      <c r="G13518">
        <f>LOG(382/(118+1))</f>
        <v>0.50651640151917798</v>
      </c>
      <c r="H13518">
        <f>0.0192307692307692*1.16629711549504</f>
        <v>2.2428790682596886E-2</v>
      </c>
      <c r="I13518">
        <v>2.2428790682597038E-2</v>
      </c>
    </row>
    <row r="13519" spans="1:9" x14ac:dyDescent="0.25">
      <c r="A13519">
        <v>471</v>
      </c>
      <c r="B13519" t="s">
        <v>3815</v>
      </c>
      <c r="C13519" t="s">
        <v>75</v>
      </c>
      <c r="D13519" t="s">
        <v>434</v>
      </c>
      <c r="E13519">
        <f t="shared" si="637"/>
        <v>1.9230769230769232E-2</v>
      </c>
      <c r="F13519">
        <v>97</v>
      </c>
      <c r="G13519">
        <f>LOG(382/(97+1))</f>
        <v>0.59083728721921391</v>
      </c>
      <c r="H13519">
        <f>0.0192307692307692*1.360453129936</f>
        <v>2.6162560191076885E-2</v>
      </c>
      <c r="I13519">
        <v>2.6162560191076989E-2</v>
      </c>
    </row>
    <row r="13520" spans="1:9" x14ac:dyDescent="0.25">
      <c r="A13520">
        <v>471</v>
      </c>
      <c r="B13520" t="s">
        <v>3815</v>
      </c>
      <c r="C13520" t="s">
        <v>75</v>
      </c>
      <c r="D13520" t="s">
        <v>2242</v>
      </c>
      <c r="E13520">
        <f t="shared" si="637"/>
        <v>1.9230769230769232E-2</v>
      </c>
      <c r="F13520">
        <v>18</v>
      </c>
      <c r="G13520">
        <f>LOG(382/(18+1))</f>
        <v>1.3033097619588798</v>
      </c>
      <c r="H13520">
        <f>0.0192307692307692*3.00098162944013</f>
        <v>5.7711185181540871E-2</v>
      </c>
      <c r="I13520">
        <v>5.7711185181541051E-2</v>
      </c>
    </row>
    <row r="13521" spans="1:9" x14ac:dyDescent="0.25">
      <c r="A13521">
        <v>471</v>
      </c>
      <c r="B13521" t="s">
        <v>3815</v>
      </c>
      <c r="C13521" t="s">
        <v>75</v>
      </c>
      <c r="D13521" t="s">
        <v>214</v>
      </c>
      <c r="E13521">
        <f t="shared" si="637"/>
        <v>1.9230769230769232E-2</v>
      </c>
      <c r="F13521">
        <v>68</v>
      </c>
      <c r="G13521">
        <f>LOG(382/(68+1))</f>
        <v>0.74321427217445335</v>
      </c>
      <c r="H13521">
        <f>0.0192307692307692*1.71131410400931</f>
        <v>3.2909886615563606E-2</v>
      </c>
      <c r="I13521">
        <v>3.2909886615563773E-2</v>
      </c>
    </row>
    <row r="13522" spans="1:9" x14ac:dyDescent="0.25">
      <c r="A13522">
        <v>471</v>
      </c>
      <c r="B13522" t="s">
        <v>3815</v>
      </c>
      <c r="C13522" t="s">
        <v>75</v>
      </c>
      <c r="D13522" t="s">
        <v>770</v>
      </c>
      <c r="E13522">
        <f t="shared" si="637"/>
        <v>1.9230769230769232E-2</v>
      </c>
      <c r="F13522">
        <v>47</v>
      </c>
      <c r="G13522">
        <f>LOG(382/(47+1))</f>
        <v>0.90082212553612151</v>
      </c>
      <c r="H13522">
        <f>0.0192307692307692*2.07421959769868</f>
        <v>3.9888838417282246E-2</v>
      </c>
      <c r="I13522">
        <v>3.9888838417282392E-2</v>
      </c>
    </row>
    <row r="13523" spans="1:9" x14ac:dyDescent="0.25">
      <c r="A13523">
        <v>471</v>
      </c>
      <c r="B13523" t="s">
        <v>3815</v>
      </c>
      <c r="C13523" t="s">
        <v>75</v>
      </c>
      <c r="D13523" t="s">
        <v>307</v>
      </c>
      <c r="E13523">
        <f t="shared" si="637"/>
        <v>1.9230769230769232E-2</v>
      </c>
      <c r="F13523">
        <v>67</v>
      </c>
      <c r="G13523">
        <f>LOG(382/(67+1))</f>
        <v>0.7495544502054724</v>
      </c>
      <c r="H13523">
        <f>0.0192307692307692*1.72591290343046</f>
        <v>3.3190632758278028E-2</v>
      </c>
      <c r="I13523">
        <v>3.3190632758278243E-2</v>
      </c>
    </row>
    <row r="13524" spans="1:9" x14ac:dyDescent="0.25">
      <c r="A13524">
        <v>471</v>
      </c>
      <c r="B13524" t="s">
        <v>3815</v>
      </c>
      <c r="C13524" t="s">
        <v>75</v>
      </c>
      <c r="D13524" t="s">
        <v>342</v>
      </c>
      <c r="E13524">
        <f t="shared" si="637"/>
        <v>1.9230769230769232E-2</v>
      </c>
      <c r="F13524">
        <v>35</v>
      </c>
      <c r="G13524">
        <f>LOG(382/(35+1))</f>
        <v>1.0257608621444214</v>
      </c>
      <c r="H13524">
        <f>0.0192307692307692*2.36190167015046</f>
        <v>4.542118596443185E-2</v>
      </c>
      <c r="I13524">
        <v>4.5421185964432023E-2</v>
      </c>
    </row>
    <row r="13525" spans="1:9" x14ac:dyDescent="0.25">
      <c r="A13525">
        <v>471</v>
      </c>
      <c r="B13525" t="s">
        <v>3815</v>
      </c>
      <c r="C13525" t="s">
        <v>75</v>
      </c>
      <c r="D13525" t="s">
        <v>78</v>
      </c>
      <c r="E13525">
        <f t="shared" si="637"/>
        <v>1.9230769230769232E-2</v>
      </c>
      <c r="F13525">
        <v>122</v>
      </c>
      <c r="G13525">
        <f>LOG(382/(122+1))</f>
        <v>0.49215825147231079</v>
      </c>
      <c r="H13525">
        <f>0.0192307692307692*1.13323625323415</f>
        <v>2.1793004869887465E-2</v>
      </c>
      <c r="I13525">
        <v>2.1793004869887649E-2</v>
      </c>
    </row>
    <row r="13526" spans="1:9" x14ac:dyDescent="0.25">
      <c r="A13526">
        <v>471</v>
      </c>
      <c r="B13526" t="s">
        <v>3815</v>
      </c>
      <c r="C13526" t="s">
        <v>75</v>
      </c>
      <c r="D13526" t="s">
        <v>1769</v>
      </c>
      <c r="E13526">
        <f t="shared" si="637"/>
        <v>1.9230769230769232E-2</v>
      </c>
      <c r="F13526">
        <v>84</v>
      </c>
      <c r="G13526">
        <f>LOG(382/(84+1))</f>
        <v>0.65264443719741605</v>
      </c>
      <c r="H13526">
        <f>0.0192307692307692*1.50276935211625</f>
        <v>2.8899410617620146E-2</v>
      </c>
      <c r="I13526">
        <v>2.8899410617620361E-2</v>
      </c>
    </row>
    <row r="13527" spans="1:9" x14ac:dyDescent="0.25">
      <c r="A13527">
        <v>472</v>
      </c>
      <c r="B13527" t="s">
        <v>3826</v>
      </c>
      <c r="C13527" t="s">
        <v>75</v>
      </c>
      <c r="D13527" t="s">
        <v>3827</v>
      </c>
      <c r="E13527">
        <f>2/38</f>
        <v>5.2631578947368418E-2</v>
      </c>
      <c r="F13527">
        <v>1</v>
      </c>
      <c r="G13527">
        <f>LOG(382/(1+1))</f>
        <v>2.2810333672477277</v>
      </c>
      <c r="H13527">
        <f>0.0526315789473684*5.25227342804663</f>
        <v>0.27643544358140143</v>
      </c>
      <c r="I13527">
        <v>0.27643544358140149</v>
      </c>
    </row>
    <row r="13528" spans="1:9" x14ac:dyDescent="0.25">
      <c r="A13528">
        <v>472</v>
      </c>
      <c r="B13528" t="s">
        <v>3826</v>
      </c>
      <c r="C13528" t="s">
        <v>75</v>
      </c>
      <c r="D13528" t="s">
        <v>1765</v>
      </c>
      <c r="E13528">
        <f>2/38</f>
        <v>5.2631578947368418E-2</v>
      </c>
      <c r="F13528">
        <v>14</v>
      </c>
      <c r="G13528">
        <f>LOG(382/(14+1))</f>
        <v>1.4059721038560276</v>
      </c>
      <c r="H13528">
        <f>0.0526315789473684*3.23737040750436</f>
        <v>0.17038791618443991</v>
      </c>
      <c r="I13528">
        <v>0.1703879161844403</v>
      </c>
    </row>
    <row r="13529" spans="1:9" x14ac:dyDescent="0.25">
      <c r="A13529">
        <v>472</v>
      </c>
      <c r="B13529" t="s">
        <v>3826</v>
      </c>
      <c r="C13529" t="s">
        <v>75</v>
      </c>
      <c r="D13529" t="s">
        <v>2554</v>
      </c>
      <c r="E13529">
        <f>2/38</f>
        <v>5.2631578947368418E-2</v>
      </c>
      <c r="F13529">
        <v>22</v>
      </c>
      <c r="G13529">
        <f>LOG(382/(22+1))</f>
        <v>1.2203355268941158</v>
      </c>
      <c r="H13529">
        <f>0.0526315789473684*2.80992639267742</f>
        <v>0.14789086277249572</v>
      </c>
      <c r="I13529">
        <v>0.14789086277249611</v>
      </c>
    </row>
    <row r="13530" spans="1:9" x14ac:dyDescent="0.25">
      <c r="A13530">
        <v>472</v>
      </c>
      <c r="B13530" t="s">
        <v>3826</v>
      </c>
      <c r="C13530" t="s">
        <v>75</v>
      </c>
      <c r="D13530" t="s">
        <v>42</v>
      </c>
      <c r="E13530">
        <f t="shared" ref="E13530:E13561" si="638">1/38</f>
        <v>2.6315789473684209E-2</v>
      </c>
      <c r="F13530">
        <v>251</v>
      </c>
      <c r="G13530">
        <f>LOG(382/(251+1))</f>
        <v>0.18066282213016463</v>
      </c>
      <c r="H13530">
        <f>0.0263157894736842*0.415991521095151</f>
        <v>1.0947145291977652E-2</v>
      </c>
      <c r="I13530">
        <v>1.094714529197768E-2</v>
      </c>
    </row>
    <row r="13531" spans="1:9" x14ac:dyDescent="0.25">
      <c r="A13531">
        <v>472</v>
      </c>
      <c r="B13531" t="s">
        <v>3826</v>
      </c>
      <c r="C13531" t="s">
        <v>75</v>
      </c>
      <c r="D13531" t="s">
        <v>1511</v>
      </c>
      <c r="E13531">
        <f t="shared" si="638"/>
        <v>2.6315789473684209E-2</v>
      </c>
      <c r="F13531">
        <v>3</v>
      </c>
      <c r="G13531">
        <f>LOG(382/(3+1))</f>
        <v>1.9800033715837464</v>
      </c>
      <c r="H13531">
        <f>0.0263157894736842*4.55912624748668</f>
        <v>0.11997700651280732</v>
      </c>
      <c r="I13531">
        <v>0.1199770065128075</v>
      </c>
    </row>
    <row r="13532" spans="1:9" x14ac:dyDescent="0.25">
      <c r="A13532">
        <v>472</v>
      </c>
      <c r="B13532" t="s">
        <v>3826</v>
      </c>
      <c r="C13532" t="s">
        <v>75</v>
      </c>
      <c r="D13532" t="s">
        <v>1512</v>
      </c>
      <c r="E13532">
        <f t="shared" si="638"/>
        <v>2.6315789473684209E-2</v>
      </c>
      <c r="F13532">
        <v>3</v>
      </c>
      <c r="G13532">
        <f>LOG(382/(3+1))</f>
        <v>1.9800033715837464</v>
      </c>
      <c r="H13532">
        <f>0.0263157894736842*4.55912624748668</f>
        <v>0.11997700651280732</v>
      </c>
      <c r="I13532">
        <v>0.1199770065128075</v>
      </c>
    </row>
    <row r="13533" spans="1:9" x14ac:dyDescent="0.25">
      <c r="A13533">
        <v>472</v>
      </c>
      <c r="B13533" t="s">
        <v>3826</v>
      </c>
      <c r="C13533" t="s">
        <v>75</v>
      </c>
      <c r="D13533" t="s">
        <v>41</v>
      </c>
      <c r="E13533">
        <f t="shared" si="638"/>
        <v>2.6315789473684209E-2</v>
      </c>
      <c r="F13533">
        <v>195</v>
      </c>
      <c r="G13533">
        <f>LOG(382/(195+1))</f>
        <v>0.28980729155523272</v>
      </c>
      <c r="H13533">
        <f>0.0263157894736842*0.667305949376058</f>
        <v>1.7560682878317309E-2</v>
      </c>
      <c r="I13533">
        <v>1.7560682878317319E-2</v>
      </c>
    </row>
    <row r="13534" spans="1:9" x14ac:dyDescent="0.25">
      <c r="A13534">
        <v>472</v>
      </c>
      <c r="B13534" t="s">
        <v>3826</v>
      </c>
      <c r="C13534" t="s">
        <v>75</v>
      </c>
      <c r="D13534" t="s">
        <v>22</v>
      </c>
      <c r="E13534">
        <f t="shared" si="638"/>
        <v>2.6315789473684209E-2</v>
      </c>
      <c r="F13534">
        <v>259</v>
      </c>
      <c r="G13534">
        <f>LOG(382/(259+1))</f>
        <v>0.16709001494089079</v>
      </c>
      <c r="H13534">
        <f>0.0263157894736842*0.384738977591047</f>
        <v>1.0124709936606496E-2</v>
      </c>
      <c r="I13534">
        <v>1.012470993660651E-2</v>
      </c>
    </row>
    <row r="13535" spans="1:9" x14ac:dyDescent="0.25">
      <c r="A13535">
        <v>472</v>
      </c>
      <c r="B13535" t="s">
        <v>3826</v>
      </c>
      <c r="C13535" t="s">
        <v>75</v>
      </c>
      <c r="D13535" t="s">
        <v>23</v>
      </c>
      <c r="E13535">
        <f t="shared" si="638"/>
        <v>2.6315789473684209E-2</v>
      </c>
      <c r="F13535">
        <v>275</v>
      </c>
      <c r="G13535">
        <f>LOG(382/(275+1))</f>
        <v>0.14115428084649101</v>
      </c>
      <c r="H13535">
        <f>0.0263157894736842*0.325019742889425</f>
        <v>8.5531511286690738E-3</v>
      </c>
      <c r="I13535">
        <v>8.5531511286690825E-3</v>
      </c>
    </row>
    <row r="13536" spans="1:9" x14ac:dyDescent="0.25">
      <c r="A13536">
        <v>472</v>
      </c>
      <c r="B13536" t="s">
        <v>3826</v>
      </c>
      <c r="C13536" t="s">
        <v>75</v>
      </c>
      <c r="D13536" t="s">
        <v>3828</v>
      </c>
      <c r="E13536">
        <f t="shared" si="638"/>
        <v>2.6315789473684209E-2</v>
      </c>
      <c r="F13536">
        <v>4</v>
      </c>
      <c r="G13536">
        <f>LOG(382/(4+1))</f>
        <v>1.8830933585756899</v>
      </c>
      <c r="H13536">
        <f>0.0263157894736842*4.33598269617247</f>
        <v>0.11410480779401233</v>
      </c>
      <c r="I13536">
        <v>0.1141048077940125</v>
      </c>
    </row>
    <row r="13537" spans="1:9" x14ac:dyDescent="0.25">
      <c r="A13537">
        <v>472</v>
      </c>
      <c r="B13537" t="s">
        <v>3826</v>
      </c>
      <c r="C13537" t="s">
        <v>75</v>
      </c>
      <c r="D13537" t="s">
        <v>204</v>
      </c>
      <c r="E13537">
        <f t="shared" si="638"/>
        <v>2.6315789473684209E-2</v>
      </c>
      <c r="F13537">
        <v>166</v>
      </c>
      <c r="G13537">
        <f>LOG(382/(166+1))</f>
        <v>0.35934689176412549</v>
      </c>
      <c r="H13537">
        <f>0.0263157894736842*0.82742679618982</f>
        <v>2.1774389373416306E-2</v>
      </c>
      <c r="I13537">
        <v>2.177438937341632E-2</v>
      </c>
    </row>
    <row r="13538" spans="1:9" x14ac:dyDescent="0.25">
      <c r="A13538">
        <v>472</v>
      </c>
      <c r="B13538" t="s">
        <v>3826</v>
      </c>
      <c r="C13538" t="s">
        <v>75</v>
      </c>
      <c r="D13538" t="s">
        <v>2104</v>
      </c>
      <c r="E13538">
        <f t="shared" si="638"/>
        <v>2.6315789473684209E-2</v>
      </c>
      <c r="F13538">
        <v>2</v>
      </c>
      <c r="G13538">
        <f>LOG(382/(2+1))</f>
        <v>2.1049421081920463</v>
      </c>
      <c r="H13538">
        <f>0.0263157894736842*4.84680831993846</f>
        <v>0.12754758736680152</v>
      </c>
      <c r="I13538">
        <v>0.12754758736680169</v>
      </c>
    </row>
    <row r="13539" spans="1:9" x14ac:dyDescent="0.25">
      <c r="A13539">
        <v>472</v>
      </c>
      <c r="B13539" t="s">
        <v>3826</v>
      </c>
      <c r="C13539" t="s">
        <v>75</v>
      </c>
      <c r="D13539" t="s">
        <v>1080</v>
      </c>
      <c r="E13539">
        <f t="shared" si="638"/>
        <v>2.6315789473684209E-2</v>
      </c>
      <c r="F13539">
        <v>26</v>
      </c>
      <c r="G13539">
        <f>LOG(382/(26+1))</f>
        <v>1.1506995987527215</v>
      </c>
      <c r="H13539">
        <f>0.0263157894736842*2.64958374260224</f>
        <v>6.9725887963216812E-2</v>
      </c>
      <c r="I13539">
        <v>6.9725887963217006E-2</v>
      </c>
    </row>
    <row r="13540" spans="1:9" x14ac:dyDescent="0.25">
      <c r="A13540">
        <v>472</v>
      </c>
      <c r="B13540" t="s">
        <v>3826</v>
      </c>
      <c r="C13540" t="s">
        <v>75</v>
      </c>
      <c r="D13540" t="s">
        <v>1742</v>
      </c>
      <c r="E13540">
        <f t="shared" si="638"/>
        <v>2.6315789473684209E-2</v>
      </c>
      <c r="F13540">
        <v>7</v>
      </c>
      <c r="G13540">
        <f>LOG(382/(7+1))</f>
        <v>1.6789733759197651</v>
      </c>
      <c r="H13540">
        <f>0.0263157894736842*3.86597906692673</f>
        <v>0.1017362912349139</v>
      </c>
      <c r="I13540">
        <v>0.10173629123491421</v>
      </c>
    </row>
    <row r="13541" spans="1:9" x14ac:dyDescent="0.25">
      <c r="A13541">
        <v>472</v>
      </c>
      <c r="B13541" t="s">
        <v>3826</v>
      </c>
      <c r="C13541" t="s">
        <v>75</v>
      </c>
      <c r="D13541" t="s">
        <v>2768</v>
      </c>
      <c r="E13541">
        <f t="shared" si="638"/>
        <v>2.6315789473684209E-2</v>
      </c>
      <c r="F13541">
        <v>4</v>
      </c>
      <c r="G13541">
        <f>LOG(382/(4+1))</f>
        <v>1.8830933585756899</v>
      </c>
      <c r="H13541">
        <f>0.0263157894736842*4.33598269617247</f>
        <v>0.11410480779401233</v>
      </c>
      <c r="I13541">
        <v>0.1141048077940125</v>
      </c>
    </row>
    <row r="13542" spans="1:9" x14ac:dyDescent="0.25">
      <c r="A13542">
        <v>472</v>
      </c>
      <c r="B13542" t="s">
        <v>3826</v>
      </c>
      <c r="C13542" t="s">
        <v>75</v>
      </c>
      <c r="D13542" t="s">
        <v>1922</v>
      </c>
      <c r="E13542">
        <f t="shared" si="638"/>
        <v>2.6315789473684209E-2</v>
      </c>
      <c r="F13542">
        <v>15</v>
      </c>
      <c r="G13542">
        <f>LOG(382/(15+1))</f>
        <v>1.3779433802557839</v>
      </c>
      <c r="H13542">
        <f>0.0263157894736842*3.17283188636679</f>
        <v>8.3495575957020757E-2</v>
      </c>
      <c r="I13542">
        <v>8.3495575957020896E-2</v>
      </c>
    </row>
    <row r="13543" spans="1:9" x14ac:dyDescent="0.25">
      <c r="A13543">
        <v>472</v>
      </c>
      <c r="B13543" t="s">
        <v>3826</v>
      </c>
      <c r="C13543" t="s">
        <v>75</v>
      </c>
      <c r="D13543" t="s">
        <v>764</v>
      </c>
      <c r="E13543">
        <f t="shared" si="638"/>
        <v>2.6315789473684209E-2</v>
      </c>
      <c r="F13543">
        <v>57</v>
      </c>
      <c r="G13543">
        <f>LOG(382/(57+1))</f>
        <v>0.81863536934877146</v>
      </c>
      <c r="H13543">
        <f>0.0263157894736842*1.88497759806015</f>
        <v>4.9604673633161817E-2</v>
      </c>
      <c r="I13543">
        <v>4.960467363316199E-2</v>
      </c>
    </row>
    <row r="13544" spans="1:9" x14ac:dyDescent="0.25">
      <c r="A13544">
        <v>472</v>
      </c>
      <c r="B13544" t="s">
        <v>3826</v>
      </c>
      <c r="C13544" t="s">
        <v>75</v>
      </c>
      <c r="D13544" t="s">
        <v>3829</v>
      </c>
      <c r="E13544">
        <f t="shared" si="638"/>
        <v>2.6315789473684209E-2</v>
      </c>
      <c r="F13544">
        <v>1</v>
      </c>
      <c r="G13544">
        <f>LOG(382/(1+1))</f>
        <v>2.2810333672477277</v>
      </c>
      <c r="H13544">
        <f>0.0263157894736842*5.25227342804663</f>
        <v>0.13821772179070071</v>
      </c>
      <c r="I13544">
        <v>0.1382177217907008</v>
      </c>
    </row>
    <row r="13545" spans="1:9" x14ac:dyDescent="0.25">
      <c r="A13545">
        <v>472</v>
      </c>
      <c r="B13545" t="s">
        <v>3826</v>
      </c>
      <c r="C13545" t="s">
        <v>75</v>
      </c>
      <c r="D13545" t="s">
        <v>1083</v>
      </c>
      <c r="E13545">
        <f t="shared" si="638"/>
        <v>2.6315789473684209E-2</v>
      </c>
      <c r="F13545">
        <v>51</v>
      </c>
      <c r="G13545">
        <f>LOG(382/(51+1))</f>
        <v>0.86606001927690957</v>
      </c>
      <c r="H13545">
        <f>0.0263157894736842*1.99417689002514</f>
        <v>5.2478339211187872E-2</v>
      </c>
      <c r="I13545">
        <v>5.2478339211188087E-2</v>
      </c>
    </row>
    <row r="13546" spans="1:9" x14ac:dyDescent="0.25">
      <c r="A13546">
        <v>472</v>
      </c>
      <c r="B13546" t="s">
        <v>3826</v>
      </c>
      <c r="C13546" t="s">
        <v>75</v>
      </c>
      <c r="D13546" t="s">
        <v>3830</v>
      </c>
      <c r="E13546">
        <f t="shared" si="638"/>
        <v>2.6315789473684209E-2</v>
      </c>
      <c r="F13546">
        <v>1</v>
      </c>
      <c r="G13546">
        <f>LOG(382/(1+1))</f>
        <v>2.2810333672477277</v>
      </c>
      <c r="H13546">
        <f>0.0263157894736842*5.25227342804663</f>
        <v>0.13821772179070071</v>
      </c>
      <c r="I13546">
        <v>0.1382177217907008</v>
      </c>
    </row>
    <row r="13547" spans="1:9" x14ac:dyDescent="0.25">
      <c r="A13547">
        <v>472</v>
      </c>
      <c r="B13547" t="s">
        <v>3826</v>
      </c>
      <c r="C13547" t="s">
        <v>75</v>
      </c>
      <c r="D13547" t="s">
        <v>453</v>
      </c>
      <c r="E13547">
        <f t="shared" si="638"/>
        <v>2.6315789473684209E-2</v>
      </c>
      <c r="F13547">
        <v>68</v>
      </c>
      <c r="G13547">
        <f>LOG(382/(68+1))</f>
        <v>0.74321427217445335</v>
      </c>
      <c r="H13547">
        <f>0.0263157894736842*1.71131410400931</f>
        <v>4.503458168445551E-2</v>
      </c>
      <c r="I13547">
        <v>4.5034581684455677E-2</v>
      </c>
    </row>
    <row r="13548" spans="1:9" x14ac:dyDescent="0.25">
      <c r="A13548">
        <v>472</v>
      </c>
      <c r="B13548" t="s">
        <v>3826</v>
      </c>
      <c r="C13548" t="s">
        <v>75</v>
      </c>
      <c r="D13548" t="s">
        <v>455</v>
      </c>
      <c r="E13548">
        <f t="shared" si="638"/>
        <v>2.6315789473684209E-2</v>
      </c>
      <c r="F13548">
        <v>78</v>
      </c>
      <c r="G13548">
        <f>LOG(382/(78+1))</f>
        <v>0.6844362716212673</v>
      </c>
      <c r="H13548">
        <f>0.0263157894736842*1.57597275613955</f>
        <v>4.1472967266830245E-2</v>
      </c>
      <c r="I13548">
        <v>4.1472967266830363E-2</v>
      </c>
    </row>
    <row r="13549" spans="1:9" x14ac:dyDescent="0.25">
      <c r="A13549">
        <v>472</v>
      </c>
      <c r="B13549" t="s">
        <v>3826</v>
      </c>
      <c r="C13549" t="s">
        <v>75</v>
      </c>
      <c r="D13549" t="s">
        <v>456</v>
      </c>
      <c r="E13549">
        <f t="shared" si="638"/>
        <v>2.6315789473684209E-2</v>
      </c>
      <c r="F13549">
        <v>71</v>
      </c>
      <c r="G13549">
        <f>LOG(382/(71+1))</f>
        <v>0.72473086648044027</v>
      </c>
      <c r="H13549">
        <f>0.0263157894736842*1.66875448959051</f>
        <v>4.3914591831329189E-2</v>
      </c>
      <c r="I13549">
        <v>4.3914591831329473E-2</v>
      </c>
    </row>
    <row r="13550" spans="1:9" x14ac:dyDescent="0.25">
      <c r="A13550">
        <v>472</v>
      </c>
      <c r="B13550" t="s">
        <v>3826</v>
      </c>
      <c r="C13550" t="s">
        <v>75</v>
      </c>
      <c r="D13550" t="s">
        <v>81</v>
      </c>
      <c r="E13550">
        <f t="shared" si="638"/>
        <v>2.6315789473684209E-2</v>
      </c>
      <c r="F13550">
        <v>114</v>
      </c>
      <c r="G13550">
        <f>LOG(382/(114+1))</f>
        <v>0.52136552255809698</v>
      </c>
      <c r="H13550">
        <f>0.0263157894736842*1.20048848024332</f>
        <v>3.1591802111666303E-2</v>
      </c>
      <c r="I13550">
        <v>3.1591802111666449E-2</v>
      </c>
    </row>
    <row r="13551" spans="1:9" x14ac:dyDescent="0.25">
      <c r="A13551">
        <v>472</v>
      </c>
      <c r="B13551" t="s">
        <v>3826</v>
      </c>
      <c r="C13551" t="s">
        <v>75</v>
      </c>
      <c r="D13551" t="s">
        <v>361</v>
      </c>
      <c r="E13551">
        <f t="shared" si="638"/>
        <v>2.6315789473684209E-2</v>
      </c>
      <c r="F13551">
        <v>118</v>
      </c>
      <c r="G13551">
        <f>LOG(382/(118+1))</f>
        <v>0.50651640151917798</v>
      </c>
      <c r="H13551">
        <f>0.0263157894736842*1.16629711549504</f>
        <v>3.0692029355132613E-2</v>
      </c>
      <c r="I13551">
        <v>3.069202935513278E-2</v>
      </c>
    </row>
    <row r="13552" spans="1:9" x14ac:dyDescent="0.25">
      <c r="A13552">
        <v>472</v>
      </c>
      <c r="B13552" t="s">
        <v>3826</v>
      </c>
      <c r="C13552" t="s">
        <v>75</v>
      </c>
      <c r="D13552" t="s">
        <v>434</v>
      </c>
      <c r="E13552">
        <f t="shared" si="638"/>
        <v>2.6315789473684209E-2</v>
      </c>
      <c r="F13552">
        <v>97</v>
      </c>
      <c r="G13552">
        <f>LOG(382/(97+1))</f>
        <v>0.59083728721921391</v>
      </c>
      <c r="H13552">
        <f>0.0263157894736842*1.360453129936</f>
        <v>3.5801398156210515E-2</v>
      </c>
      <c r="I13552">
        <v>3.5801398156210612E-2</v>
      </c>
    </row>
    <row r="13553" spans="1:9" x14ac:dyDescent="0.25">
      <c r="A13553">
        <v>472</v>
      </c>
      <c r="B13553" t="s">
        <v>3826</v>
      </c>
      <c r="C13553" t="s">
        <v>75</v>
      </c>
      <c r="D13553" t="s">
        <v>183</v>
      </c>
      <c r="E13553">
        <f t="shared" si="638"/>
        <v>2.6315789473684209E-2</v>
      </c>
      <c r="F13553">
        <v>46</v>
      </c>
      <c r="G13553">
        <f>LOG(382/(46+1))</f>
        <v>0.90996550497599127</v>
      </c>
      <c r="H13553">
        <f>0.0263157894736842*2.09527300689651</f>
        <v>5.5138763339381822E-2</v>
      </c>
      <c r="I13553">
        <v>5.5138763339382009E-2</v>
      </c>
    </row>
    <row r="13554" spans="1:9" x14ac:dyDescent="0.25">
      <c r="A13554">
        <v>472</v>
      </c>
      <c r="B13554" t="s">
        <v>3826</v>
      </c>
      <c r="C13554" t="s">
        <v>75</v>
      </c>
      <c r="D13554" t="s">
        <v>3831</v>
      </c>
      <c r="E13554">
        <f t="shared" si="638"/>
        <v>2.6315789473684209E-2</v>
      </c>
      <c r="F13554">
        <v>1</v>
      </c>
      <c r="G13554">
        <f>LOG(382/(1+1))</f>
        <v>2.2810333672477277</v>
      </c>
      <c r="H13554">
        <f>0.0263157894736842*5.25227342804663</f>
        <v>0.13821772179070071</v>
      </c>
      <c r="I13554">
        <v>0.1382177217907008</v>
      </c>
    </row>
    <row r="13555" spans="1:9" x14ac:dyDescent="0.25">
      <c r="A13555">
        <v>472</v>
      </c>
      <c r="B13555" t="s">
        <v>3826</v>
      </c>
      <c r="C13555" t="s">
        <v>75</v>
      </c>
      <c r="D13555" t="s">
        <v>3574</v>
      </c>
      <c r="E13555">
        <f t="shared" si="638"/>
        <v>2.6315789473684209E-2</v>
      </c>
      <c r="F13555">
        <v>3</v>
      </c>
      <c r="G13555">
        <f>LOG(382/(3+1))</f>
        <v>1.9800033715837464</v>
      </c>
      <c r="H13555">
        <f>0.0263157894736842*4.55912624748668</f>
        <v>0.11997700651280732</v>
      </c>
      <c r="I13555">
        <v>0.1199770065128075</v>
      </c>
    </row>
    <row r="13556" spans="1:9" x14ac:dyDescent="0.25">
      <c r="A13556">
        <v>472</v>
      </c>
      <c r="B13556" t="s">
        <v>3826</v>
      </c>
      <c r="C13556" t="s">
        <v>75</v>
      </c>
      <c r="D13556" t="s">
        <v>214</v>
      </c>
      <c r="E13556">
        <f t="shared" si="638"/>
        <v>2.6315789473684209E-2</v>
      </c>
      <c r="F13556">
        <v>68</v>
      </c>
      <c r="G13556">
        <f>LOG(382/(68+1))</f>
        <v>0.74321427217445335</v>
      </c>
      <c r="H13556">
        <f>0.0263157894736842*1.71131410400931</f>
        <v>4.503458168445551E-2</v>
      </c>
      <c r="I13556">
        <v>4.5034581684455677E-2</v>
      </c>
    </row>
    <row r="13557" spans="1:9" x14ac:dyDescent="0.25">
      <c r="A13557">
        <v>472</v>
      </c>
      <c r="B13557" t="s">
        <v>3826</v>
      </c>
      <c r="C13557" t="s">
        <v>75</v>
      </c>
      <c r="D13557" t="s">
        <v>243</v>
      </c>
      <c r="E13557">
        <f t="shared" si="638"/>
        <v>2.6315789473684209E-2</v>
      </c>
      <c r="F13557">
        <v>131</v>
      </c>
      <c r="G13557">
        <f>LOG(382/(131+1))</f>
        <v>0.46148943170585888</v>
      </c>
      <c r="H13557">
        <f>0.0263157894736842*1.0626186860202</f>
        <v>2.7963649632110513E-2</v>
      </c>
      <c r="I13557">
        <v>2.7963649632110638E-2</v>
      </c>
    </row>
    <row r="13558" spans="1:9" x14ac:dyDescent="0.25">
      <c r="A13558">
        <v>472</v>
      </c>
      <c r="B13558" t="s">
        <v>3826</v>
      </c>
      <c r="C13558" t="s">
        <v>75</v>
      </c>
      <c r="D13558" t="s">
        <v>770</v>
      </c>
      <c r="E13558">
        <f t="shared" si="638"/>
        <v>2.6315789473684209E-2</v>
      </c>
      <c r="F13558">
        <v>47</v>
      </c>
      <c r="G13558">
        <f>LOG(382/(47+1))</f>
        <v>0.90082212553612151</v>
      </c>
      <c r="H13558">
        <f>0.0263157894736842*2.07421959769868</f>
        <v>5.4584726255228401E-2</v>
      </c>
      <c r="I13558">
        <v>5.4584726255228533E-2</v>
      </c>
    </row>
    <row r="13559" spans="1:9" x14ac:dyDescent="0.25">
      <c r="A13559">
        <v>472</v>
      </c>
      <c r="B13559" t="s">
        <v>3826</v>
      </c>
      <c r="C13559" t="s">
        <v>75</v>
      </c>
      <c r="D13559" t="s">
        <v>3832</v>
      </c>
      <c r="E13559">
        <f t="shared" si="638"/>
        <v>2.6315789473684209E-2</v>
      </c>
      <c r="F13559">
        <v>1</v>
      </c>
      <c r="G13559">
        <f>LOG(382/(1+1))</f>
        <v>2.2810333672477277</v>
      </c>
      <c r="H13559">
        <f>0.0263157894736842*5.25227342804663</f>
        <v>0.13821772179070071</v>
      </c>
      <c r="I13559">
        <v>0.1382177217907008</v>
      </c>
    </row>
    <row r="13560" spans="1:9" x14ac:dyDescent="0.25">
      <c r="A13560">
        <v>472</v>
      </c>
      <c r="B13560" t="s">
        <v>3826</v>
      </c>
      <c r="C13560" t="s">
        <v>75</v>
      </c>
      <c r="D13560" t="s">
        <v>78</v>
      </c>
      <c r="E13560">
        <f t="shared" si="638"/>
        <v>2.6315789473684209E-2</v>
      </c>
      <c r="F13560">
        <v>122</v>
      </c>
      <c r="G13560">
        <f>LOG(382/(122+1))</f>
        <v>0.49215825147231079</v>
      </c>
      <c r="H13560">
        <f>0.0263157894736842*1.13323625323415</f>
        <v>2.9822006664056565E-2</v>
      </c>
      <c r="I13560">
        <v>2.982200666405678E-2</v>
      </c>
    </row>
    <row r="13561" spans="1:9" x14ac:dyDescent="0.25">
      <c r="A13561">
        <v>472</v>
      </c>
      <c r="B13561" t="s">
        <v>3826</v>
      </c>
      <c r="C13561" t="s">
        <v>75</v>
      </c>
      <c r="D13561" t="s">
        <v>1769</v>
      </c>
      <c r="E13561">
        <f t="shared" si="638"/>
        <v>2.6315789473684209E-2</v>
      </c>
      <c r="F13561">
        <v>84</v>
      </c>
      <c r="G13561">
        <f>LOG(382/(84+1))</f>
        <v>0.65264443719741605</v>
      </c>
      <c r="H13561">
        <f>0.0263157894736842*1.50276935211625</f>
        <v>3.9546561897796033E-2</v>
      </c>
      <c r="I13561">
        <v>3.9546561897796283E-2</v>
      </c>
    </row>
    <row r="13562" spans="1:9" x14ac:dyDescent="0.25">
      <c r="A13562">
        <v>473</v>
      </c>
      <c r="B13562" t="s">
        <v>3833</v>
      </c>
      <c r="C13562" t="s">
        <v>75</v>
      </c>
      <c r="D13562" t="s">
        <v>1428</v>
      </c>
      <c r="E13562">
        <f>4/92</f>
        <v>4.3478260869565216E-2</v>
      </c>
      <c r="F13562">
        <v>3</v>
      </c>
      <c r="G13562">
        <f>LOG(382/(3+1))</f>
        <v>1.9800033715837464</v>
      </c>
      <c r="H13562">
        <f>0.0434782608695652*4.55912624748668</f>
        <v>0.19822288032550775</v>
      </c>
      <c r="I13562">
        <v>0.198222880325508</v>
      </c>
    </row>
    <row r="13563" spans="1:9" x14ac:dyDescent="0.25">
      <c r="A13563">
        <v>473</v>
      </c>
      <c r="B13563" t="s">
        <v>3833</v>
      </c>
      <c r="C13563" t="s">
        <v>75</v>
      </c>
      <c r="D13563" t="s">
        <v>3834</v>
      </c>
      <c r="E13563">
        <f>3/92</f>
        <v>3.2608695652173912E-2</v>
      </c>
      <c r="F13563">
        <v>2</v>
      </c>
      <c r="G13563">
        <f>LOG(382/(2+1))</f>
        <v>2.1049421081920463</v>
      </c>
      <c r="H13563">
        <f>0.0326086956521739*4.84680831993846</f>
        <v>0.15804809738929754</v>
      </c>
      <c r="I13563">
        <v>0.15804809738929779</v>
      </c>
    </row>
    <row r="13564" spans="1:9" x14ac:dyDescent="0.25">
      <c r="A13564">
        <v>473</v>
      </c>
      <c r="B13564" t="s">
        <v>3833</v>
      </c>
      <c r="C13564" t="s">
        <v>75</v>
      </c>
      <c r="D13564" t="s">
        <v>3835</v>
      </c>
      <c r="E13564">
        <f>1/92</f>
        <v>1.0869565217391304E-2</v>
      </c>
      <c r="F13564">
        <v>1</v>
      </c>
      <c r="G13564">
        <f>LOG(382/(1+1))</f>
        <v>2.2810333672477277</v>
      </c>
      <c r="H13564">
        <f>0.0108695652173913*5.25227342804663</f>
        <v>5.7089928565724216E-2</v>
      </c>
      <c r="I13564">
        <v>5.7089928565724243E-2</v>
      </c>
    </row>
    <row r="13565" spans="1:9" x14ac:dyDescent="0.25">
      <c r="A13565">
        <v>473</v>
      </c>
      <c r="B13565" t="s">
        <v>3833</v>
      </c>
      <c r="C13565" t="s">
        <v>75</v>
      </c>
      <c r="D13565" t="s">
        <v>1537</v>
      </c>
      <c r="E13565">
        <f>2/92</f>
        <v>2.1739130434782608E-2</v>
      </c>
      <c r="F13565">
        <v>80</v>
      </c>
      <c r="G13565">
        <f>LOG(382/(80+1))</f>
        <v>0.67357834403305894</v>
      </c>
      <c r="H13565">
        <f>0.0217391304347826*1.55097145393413</f>
        <v>3.3716770737698465E-2</v>
      </c>
      <c r="I13565">
        <v>3.3716770737698618E-2</v>
      </c>
    </row>
    <row r="13566" spans="1:9" x14ac:dyDescent="0.25">
      <c r="A13566">
        <v>473</v>
      </c>
      <c r="B13566" t="s">
        <v>3833</v>
      </c>
      <c r="C13566" t="s">
        <v>75</v>
      </c>
      <c r="D13566" t="s">
        <v>3836</v>
      </c>
      <c r="E13566">
        <f>1/92</f>
        <v>1.0869565217391304E-2</v>
      </c>
      <c r="F13566">
        <v>1</v>
      </c>
      <c r="G13566">
        <f>LOG(382/(1+1))</f>
        <v>2.2810333672477277</v>
      </c>
      <c r="H13566">
        <f>0.0108695652173913*5.25227342804663</f>
        <v>5.7089928565724216E-2</v>
      </c>
      <c r="I13566">
        <v>5.7089928565724243E-2</v>
      </c>
    </row>
    <row r="13567" spans="1:9" x14ac:dyDescent="0.25">
      <c r="A13567">
        <v>473</v>
      </c>
      <c r="B13567" t="s">
        <v>3833</v>
      </c>
      <c r="C13567" t="s">
        <v>75</v>
      </c>
      <c r="D13567" t="s">
        <v>671</v>
      </c>
      <c r="E13567">
        <f>1/92</f>
        <v>1.0869565217391304E-2</v>
      </c>
      <c r="F13567">
        <v>10</v>
      </c>
      <c r="G13567">
        <f>LOG(382/(10+1))</f>
        <v>1.5406706777534838</v>
      </c>
      <c r="H13567">
        <f>0.0108695652173913*3.5475253358082</f>
        <v>3.8560057997915204E-2</v>
      </c>
      <c r="I13567">
        <v>3.8560057997915273E-2</v>
      </c>
    </row>
    <row r="13568" spans="1:9" x14ac:dyDescent="0.25">
      <c r="A13568">
        <v>473</v>
      </c>
      <c r="B13568" t="s">
        <v>3833</v>
      </c>
      <c r="C13568" t="s">
        <v>75</v>
      </c>
      <c r="D13568" t="s">
        <v>3837</v>
      </c>
      <c r="E13568">
        <f>1/92</f>
        <v>1.0869565217391304E-2</v>
      </c>
      <c r="F13568">
        <v>1</v>
      </c>
      <c r="G13568">
        <f>LOG(382/(1+1))</f>
        <v>2.2810333672477277</v>
      </c>
      <c r="H13568">
        <f>0.0108695652173913*5.25227342804663</f>
        <v>5.7089928565724216E-2</v>
      </c>
      <c r="I13568">
        <v>5.7089928565724243E-2</v>
      </c>
    </row>
    <row r="13569" spans="1:9" x14ac:dyDescent="0.25">
      <c r="A13569">
        <v>473</v>
      </c>
      <c r="B13569" t="s">
        <v>3833</v>
      </c>
      <c r="C13569" t="s">
        <v>75</v>
      </c>
      <c r="D13569" t="s">
        <v>42</v>
      </c>
      <c r="E13569">
        <f>1/92</f>
        <v>1.0869565217391304E-2</v>
      </c>
      <c r="F13569">
        <v>251</v>
      </c>
      <c r="G13569">
        <f>LOG(382/(251+1))</f>
        <v>0.18066282213016463</v>
      </c>
      <c r="H13569">
        <f>0.0108695652173913*0.415991521095151</f>
        <v>4.5216469684255522E-3</v>
      </c>
      <c r="I13569">
        <v>4.5216469684255644E-3</v>
      </c>
    </row>
    <row r="13570" spans="1:9" x14ac:dyDescent="0.25">
      <c r="A13570">
        <v>473</v>
      </c>
      <c r="B13570" t="s">
        <v>3833</v>
      </c>
      <c r="C13570" t="s">
        <v>75</v>
      </c>
      <c r="D13570" t="s">
        <v>1496</v>
      </c>
      <c r="E13570">
        <f>2/92</f>
        <v>2.1739130434782608E-2</v>
      </c>
      <c r="F13570">
        <v>39</v>
      </c>
      <c r="G13570">
        <f>LOG(382/(39+1))</f>
        <v>0.9800033715837464</v>
      </c>
      <c r="H13570">
        <f>0.0217391304347826*2.25654115449263</f>
        <v>4.9055242488970204E-2</v>
      </c>
      <c r="I13570">
        <v>4.9055242488970412E-2</v>
      </c>
    </row>
    <row r="13571" spans="1:9" x14ac:dyDescent="0.25">
      <c r="A13571">
        <v>473</v>
      </c>
      <c r="B13571" t="s">
        <v>3833</v>
      </c>
      <c r="C13571" t="s">
        <v>75</v>
      </c>
      <c r="D13571" t="s">
        <v>2710</v>
      </c>
      <c r="E13571">
        <f>2/92</f>
        <v>2.1739130434782608E-2</v>
      </c>
      <c r="F13571">
        <v>5</v>
      </c>
      <c r="G13571">
        <f>LOG(382/(5+1))</f>
        <v>1.803912112528065</v>
      </c>
      <c r="H13571">
        <f>0.0217391304347826*4.15366113937852</f>
        <v>9.0296981290837353E-2</v>
      </c>
      <c r="I13571">
        <v>9.029698129083738E-2</v>
      </c>
    </row>
    <row r="13572" spans="1:9" x14ac:dyDescent="0.25">
      <c r="A13572">
        <v>473</v>
      </c>
      <c r="B13572" t="s">
        <v>3833</v>
      </c>
      <c r="C13572" t="s">
        <v>75</v>
      </c>
      <c r="D13572" t="s">
        <v>3838</v>
      </c>
      <c r="E13572">
        <f>1/92</f>
        <v>1.0869565217391304E-2</v>
      </c>
      <c r="F13572">
        <v>1</v>
      </c>
      <c r="G13572">
        <f>LOG(382/(1+1))</f>
        <v>2.2810333672477277</v>
      </c>
      <c r="H13572">
        <f>0.0108695652173913*5.25227342804663</f>
        <v>5.7089928565724216E-2</v>
      </c>
      <c r="I13572">
        <v>5.7089928565724243E-2</v>
      </c>
    </row>
    <row r="13573" spans="1:9" x14ac:dyDescent="0.25">
      <c r="A13573">
        <v>473</v>
      </c>
      <c r="B13573" t="s">
        <v>3833</v>
      </c>
      <c r="C13573" t="s">
        <v>75</v>
      </c>
      <c r="D13573" t="s">
        <v>3839</v>
      </c>
      <c r="E13573">
        <f>2/92</f>
        <v>2.1739130434782608E-2</v>
      </c>
      <c r="F13573">
        <v>1</v>
      </c>
      <c r="G13573">
        <f>LOG(382/(1+1))</f>
        <v>2.2810333672477277</v>
      </c>
      <c r="H13573">
        <f>0.0217391304347826*5.25227342804663</f>
        <v>0.11417985713144843</v>
      </c>
      <c r="I13573">
        <v>0.1141798571314485</v>
      </c>
    </row>
    <row r="13574" spans="1:9" x14ac:dyDescent="0.25">
      <c r="A13574">
        <v>473</v>
      </c>
      <c r="B13574" t="s">
        <v>3833</v>
      </c>
      <c r="C13574" t="s">
        <v>75</v>
      </c>
      <c r="D13574" t="s">
        <v>3791</v>
      </c>
      <c r="E13574">
        <f>2/92</f>
        <v>2.1739130434782608E-2</v>
      </c>
      <c r="F13574">
        <v>3</v>
      </c>
      <c r="G13574">
        <f>LOG(382/(3+1))</f>
        <v>1.9800033715837464</v>
      </c>
      <c r="H13574">
        <f>0.0217391304347826*4.55912624748668</f>
        <v>9.9111440162753875E-2</v>
      </c>
      <c r="I13574">
        <v>9.9111440162754014E-2</v>
      </c>
    </row>
    <row r="13575" spans="1:9" x14ac:dyDescent="0.25">
      <c r="A13575">
        <v>473</v>
      </c>
      <c r="B13575" t="s">
        <v>3833</v>
      </c>
      <c r="C13575" t="s">
        <v>75</v>
      </c>
      <c r="D13575" t="s">
        <v>270</v>
      </c>
      <c r="E13575">
        <f>2/92</f>
        <v>2.1739130434782608E-2</v>
      </c>
      <c r="F13575">
        <v>6</v>
      </c>
      <c r="G13575">
        <f>LOG(382/(6+1))</f>
        <v>1.736965322897452</v>
      </c>
      <c r="H13575">
        <f>0.0217391304347826*3.99951045955126</f>
        <v>8.6945879555462138E-2</v>
      </c>
      <c r="I13575">
        <v>8.6945879555462208E-2</v>
      </c>
    </row>
    <row r="13576" spans="1:9" x14ac:dyDescent="0.25">
      <c r="A13576">
        <v>473</v>
      </c>
      <c r="B13576" t="s">
        <v>3833</v>
      </c>
      <c r="C13576" t="s">
        <v>75</v>
      </c>
      <c r="D13576" t="s">
        <v>17</v>
      </c>
      <c r="E13576">
        <f>2/92</f>
        <v>2.1739130434782608E-2</v>
      </c>
      <c r="F13576">
        <v>169</v>
      </c>
      <c r="G13576">
        <f>LOG(382/(169+1))</f>
        <v>0.3516144415334348</v>
      </c>
      <c r="H13576">
        <f>0.0217391304347826*0.809622171556313</f>
        <v>1.7600481990354626E-2</v>
      </c>
      <c r="I13576">
        <v>1.760048199035464E-2</v>
      </c>
    </row>
    <row r="13577" spans="1:9" x14ac:dyDescent="0.25">
      <c r="A13577">
        <v>473</v>
      </c>
      <c r="B13577" t="s">
        <v>3833</v>
      </c>
      <c r="C13577" t="s">
        <v>75</v>
      </c>
      <c r="D13577" t="s">
        <v>2530</v>
      </c>
      <c r="E13577">
        <f>1/92</f>
        <v>1.0869565217391304E-2</v>
      </c>
      <c r="F13577">
        <v>5</v>
      </c>
      <c r="G13577">
        <f>LOG(382/(5+1))</f>
        <v>1.803912112528065</v>
      </c>
      <c r="H13577">
        <f>0.0108695652173913*4.15366113937852</f>
        <v>4.5148490645418676E-2</v>
      </c>
      <c r="I13577">
        <v>4.514849064541869E-2</v>
      </c>
    </row>
    <row r="13578" spans="1:9" x14ac:dyDescent="0.25">
      <c r="A13578">
        <v>473</v>
      </c>
      <c r="B13578" t="s">
        <v>3833</v>
      </c>
      <c r="C13578" t="s">
        <v>75</v>
      </c>
      <c r="D13578" t="s">
        <v>19</v>
      </c>
      <c r="E13578">
        <f>1/92</f>
        <v>1.0869565217391304E-2</v>
      </c>
      <c r="F13578">
        <v>220</v>
      </c>
      <c r="G13578">
        <f>LOG(382/(220+1))</f>
        <v>0.23767108922659805</v>
      </c>
      <c r="H13578">
        <f>0.0108695652173913*0.547257907088822</f>
        <v>5.9484555118350206E-3</v>
      </c>
      <c r="I13578">
        <v>5.9484555118350258E-3</v>
      </c>
    </row>
    <row r="13579" spans="1:9" x14ac:dyDescent="0.25">
      <c r="A13579">
        <v>473</v>
      </c>
      <c r="B13579" t="s">
        <v>3833</v>
      </c>
      <c r="C13579" t="s">
        <v>75</v>
      </c>
      <c r="D13579" t="s">
        <v>41</v>
      </c>
      <c r="E13579">
        <f>2/92</f>
        <v>2.1739130434782608E-2</v>
      </c>
      <c r="F13579">
        <v>195</v>
      </c>
      <c r="G13579">
        <f>LOG(382/(195+1))</f>
        <v>0.28980729155523272</v>
      </c>
      <c r="H13579">
        <f>0.0217391304347826*0.667305949376058</f>
        <v>1.450665107339256E-2</v>
      </c>
      <c r="I13579">
        <v>1.450665107339257E-2</v>
      </c>
    </row>
    <row r="13580" spans="1:9" x14ac:dyDescent="0.25">
      <c r="A13580">
        <v>473</v>
      </c>
      <c r="B13580" t="s">
        <v>3833</v>
      </c>
      <c r="C13580" t="s">
        <v>75</v>
      </c>
      <c r="D13580" t="s">
        <v>22</v>
      </c>
      <c r="E13580">
        <f>1/92</f>
        <v>1.0869565217391304E-2</v>
      </c>
      <c r="F13580">
        <v>259</v>
      </c>
      <c r="G13580">
        <f>LOG(382/(259+1))</f>
        <v>0.16709001494089079</v>
      </c>
      <c r="H13580">
        <f>0.0108695652173913*0.384738977591047</f>
        <v>4.181945408598336E-3</v>
      </c>
      <c r="I13580">
        <v>4.1819454085983429E-3</v>
      </c>
    </row>
    <row r="13581" spans="1:9" x14ac:dyDescent="0.25">
      <c r="A13581">
        <v>473</v>
      </c>
      <c r="B13581" t="s">
        <v>3833</v>
      </c>
      <c r="C13581" t="s">
        <v>75</v>
      </c>
      <c r="D13581" t="s">
        <v>23</v>
      </c>
      <c r="E13581">
        <f>2/92</f>
        <v>2.1739130434782608E-2</v>
      </c>
      <c r="F13581">
        <v>275</v>
      </c>
      <c r="G13581">
        <f>LOG(382/(275+1))</f>
        <v>0.14115428084649101</v>
      </c>
      <c r="H13581">
        <f>0.0217391304347826*0.325019742889425</f>
        <v>7.0656465845527145E-3</v>
      </c>
      <c r="I13581">
        <v>7.0656465845527214E-3</v>
      </c>
    </row>
    <row r="13582" spans="1:9" x14ac:dyDescent="0.25">
      <c r="A13582">
        <v>473</v>
      </c>
      <c r="B13582" t="s">
        <v>3833</v>
      </c>
      <c r="C13582" t="s">
        <v>75</v>
      </c>
      <c r="D13582" t="s">
        <v>3794</v>
      </c>
      <c r="E13582">
        <f>2/92</f>
        <v>2.1739130434782608E-2</v>
      </c>
      <c r="F13582">
        <v>3</v>
      </c>
      <c r="G13582">
        <f>LOG(382/(3+1))</f>
        <v>1.9800033715837464</v>
      </c>
      <c r="H13582">
        <f>0.0217391304347826*4.55912624748668</f>
        <v>9.9111440162753875E-2</v>
      </c>
      <c r="I13582">
        <v>9.9111440162754014E-2</v>
      </c>
    </row>
    <row r="13583" spans="1:9" x14ac:dyDescent="0.25">
      <c r="A13583">
        <v>473</v>
      </c>
      <c r="B13583" t="s">
        <v>3833</v>
      </c>
      <c r="C13583" t="s">
        <v>75</v>
      </c>
      <c r="D13583" t="s">
        <v>105</v>
      </c>
      <c r="E13583">
        <f>1/92</f>
        <v>1.0869565217391304E-2</v>
      </c>
      <c r="F13583">
        <v>122</v>
      </c>
      <c r="G13583">
        <f>LOG(382/(122+1))</f>
        <v>0.49215825147231079</v>
      </c>
      <c r="H13583">
        <f>0.0108695652173913*1.13323625323415</f>
        <v>1.2317785361240757E-2</v>
      </c>
      <c r="I13583">
        <v>1.2317785361240841E-2</v>
      </c>
    </row>
    <row r="13584" spans="1:9" x14ac:dyDescent="0.25">
      <c r="A13584">
        <v>473</v>
      </c>
      <c r="B13584" t="s">
        <v>3833</v>
      </c>
      <c r="C13584" t="s">
        <v>75</v>
      </c>
      <c r="D13584" t="s">
        <v>485</v>
      </c>
      <c r="E13584">
        <f>1/92</f>
        <v>1.0869565217391304E-2</v>
      </c>
      <c r="F13584">
        <v>74</v>
      </c>
      <c r="G13584">
        <f>LOG(382/(74+1))</f>
        <v>0.7070020995200087</v>
      </c>
      <c r="H13584">
        <f>0.0108695652173913*1.62793249507026</f>
        <v>1.7694918424676735E-2</v>
      </c>
      <c r="I13584">
        <v>1.7694918424676791E-2</v>
      </c>
    </row>
    <row r="13585" spans="1:9" x14ac:dyDescent="0.25">
      <c r="A13585">
        <v>473</v>
      </c>
      <c r="B13585" t="s">
        <v>3833</v>
      </c>
      <c r="C13585" t="s">
        <v>75</v>
      </c>
      <c r="D13585" t="s">
        <v>3840</v>
      </c>
      <c r="E13585">
        <f>1/92</f>
        <v>1.0869565217391304E-2</v>
      </c>
      <c r="F13585">
        <v>1</v>
      </c>
      <c r="G13585">
        <f>LOG(382/(1+1))</f>
        <v>2.2810333672477277</v>
      </c>
      <c r="H13585">
        <f>0.0108695652173913*5.25227342804663</f>
        <v>5.7089928565724216E-2</v>
      </c>
      <c r="I13585">
        <v>5.7089928565724243E-2</v>
      </c>
    </row>
    <row r="13586" spans="1:9" x14ac:dyDescent="0.25">
      <c r="A13586">
        <v>473</v>
      </c>
      <c r="B13586" t="s">
        <v>3833</v>
      </c>
      <c r="C13586" t="s">
        <v>75</v>
      </c>
      <c r="D13586" t="s">
        <v>126</v>
      </c>
      <c r="E13586">
        <f>3/92</f>
        <v>3.2608695652173912E-2</v>
      </c>
      <c r="F13586">
        <v>79</v>
      </c>
      <c r="G13586">
        <f>LOG(382/(79+1))</f>
        <v>0.67897337591976514</v>
      </c>
      <c r="H13586">
        <f>0.0326086956521739*1.56339397393269</f>
        <v>5.0980238280413787E-2</v>
      </c>
      <c r="I13586">
        <v>5.0980238280413918E-2</v>
      </c>
    </row>
    <row r="13587" spans="1:9" x14ac:dyDescent="0.25">
      <c r="A13587">
        <v>473</v>
      </c>
      <c r="B13587" t="s">
        <v>3833</v>
      </c>
      <c r="C13587" t="s">
        <v>75</v>
      </c>
      <c r="D13587" t="s">
        <v>50</v>
      </c>
      <c r="E13587">
        <f>4/92</f>
        <v>4.3478260869565216E-2</v>
      </c>
      <c r="F13587">
        <v>109</v>
      </c>
      <c r="G13587">
        <f>LOG(382/(109+1))</f>
        <v>0.54067067775348365</v>
      </c>
      <c r="H13587">
        <f>0.0434782608695652*1.24494024281415</f>
        <v>5.4127836644093465E-2</v>
      </c>
      <c r="I13587">
        <v>5.4127836644093867E-2</v>
      </c>
    </row>
    <row r="13588" spans="1:9" x14ac:dyDescent="0.25">
      <c r="A13588">
        <v>473</v>
      </c>
      <c r="B13588" t="s">
        <v>3833</v>
      </c>
      <c r="C13588" t="s">
        <v>75</v>
      </c>
      <c r="D13588" t="s">
        <v>675</v>
      </c>
      <c r="E13588">
        <f>1/92</f>
        <v>1.0869565217391304E-2</v>
      </c>
      <c r="F13588">
        <v>10</v>
      </c>
      <c r="G13588">
        <f>LOG(382/(10+1))</f>
        <v>1.5406706777534838</v>
      </c>
      <c r="H13588">
        <f>0.0108695652173913*3.5475253358082</f>
        <v>3.8560057997915204E-2</v>
      </c>
      <c r="I13588">
        <v>3.8560057997915273E-2</v>
      </c>
    </row>
    <row r="13589" spans="1:9" x14ac:dyDescent="0.25">
      <c r="A13589">
        <v>473</v>
      </c>
      <c r="B13589" t="s">
        <v>3833</v>
      </c>
      <c r="C13589" t="s">
        <v>75</v>
      </c>
      <c r="D13589" t="s">
        <v>1546</v>
      </c>
      <c r="E13589">
        <f>1/92</f>
        <v>1.0869565217391304E-2</v>
      </c>
      <c r="F13589">
        <v>44</v>
      </c>
      <c r="G13589">
        <f>LOG(382/(44+1))</f>
        <v>0.92885084913636506</v>
      </c>
      <c r="H13589">
        <f>0.0108695652173913*2.13875811883625</f>
        <v>2.324737085691575E-2</v>
      </c>
      <c r="I13589">
        <v>2.3247370856915819E-2</v>
      </c>
    </row>
    <row r="13590" spans="1:9" x14ac:dyDescent="0.25">
      <c r="A13590">
        <v>473</v>
      </c>
      <c r="B13590" t="s">
        <v>3833</v>
      </c>
      <c r="C13590" t="s">
        <v>75</v>
      </c>
      <c r="D13590" t="s">
        <v>474</v>
      </c>
      <c r="E13590">
        <f>1/92</f>
        <v>1.0869565217391304E-2</v>
      </c>
      <c r="F13590">
        <v>25</v>
      </c>
      <c r="G13590">
        <f>LOG(382/(25+1))</f>
        <v>1.1670900149408907</v>
      </c>
      <c r="H13590">
        <f>0.0108695652173913*2.68732407058509</f>
        <v>2.9210044245490098E-2</v>
      </c>
      <c r="I13590">
        <v>2.921004424549014E-2</v>
      </c>
    </row>
    <row r="13591" spans="1:9" x14ac:dyDescent="0.25">
      <c r="A13591">
        <v>473</v>
      </c>
      <c r="B13591" t="s">
        <v>3833</v>
      </c>
      <c r="C13591" t="s">
        <v>75</v>
      </c>
      <c r="D13591" t="s">
        <v>237</v>
      </c>
      <c r="E13591">
        <f>2/92</f>
        <v>2.1739130434782608E-2</v>
      </c>
      <c r="F13591">
        <v>138</v>
      </c>
      <c r="G13591">
        <f>LOG(382/(138+1))</f>
        <v>0.43904856265761361</v>
      </c>
      <c r="H13591">
        <f>0.0217391304347826*1.01094667547588</f>
        <v>2.1977101640779994E-2</v>
      </c>
      <c r="I13591">
        <v>2.197710164078007E-2</v>
      </c>
    </row>
    <row r="13592" spans="1:9" x14ac:dyDescent="0.25">
      <c r="A13592">
        <v>473</v>
      </c>
      <c r="B13592" t="s">
        <v>3833</v>
      </c>
      <c r="C13592" t="s">
        <v>75</v>
      </c>
      <c r="D13592" t="s">
        <v>243</v>
      </c>
      <c r="E13592">
        <f>2/92</f>
        <v>2.1739130434782608E-2</v>
      </c>
      <c r="F13592">
        <v>131</v>
      </c>
      <c r="G13592">
        <f>LOG(382/(131+1))</f>
        <v>0.46148943170585888</v>
      </c>
      <c r="H13592">
        <f>0.0217391304347826*1.0626186860202</f>
        <v>2.3100406217830428E-2</v>
      </c>
      <c r="I13592">
        <v>2.3100406217830528E-2</v>
      </c>
    </row>
    <row r="13593" spans="1:9" x14ac:dyDescent="0.25">
      <c r="A13593">
        <v>473</v>
      </c>
      <c r="B13593" t="s">
        <v>3833</v>
      </c>
      <c r="C13593" t="s">
        <v>75</v>
      </c>
      <c r="D13593" t="s">
        <v>453</v>
      </c>
      <c r="E13593">
        <f t="shared" ref="E13593:E13607" si="639">1/92</f>
        <v>1.0869565217391304E-2</v>
      </c>
      <c r="F13593">
        <v>68</v>
      </c>
      <c r="G13593">
        <f>LOG(382/(68+1))</f>
        <v>0.74321427217445335</v>
      </c>
      <c r="H13593">
        <f>0.0108695652173913*1.71131410400931</f>
        <v>1.8601240260970753E-2</v>
      </c>
      <c r="I13593">
        <v>1.8601240260970819E-2</v>
      </c>
    </row>
    <row r="13594" spans="1:9" x14ac:dyDescent="0.25">
      <c r="A13594">
        <v>473</v>
      </c>
      <c r="B13594" t="s">
        <v>3833</v>
      </c>
      <c r="C13594" t="s">
        <v>75</v>
      </c>
      <c r="D13594" t="s">
        <v>1905</v>
      </c>
      <c r="E13594">
        <f t="shared" si="639"/>
        <v>1.0869565217391304E-2</v>
      </c>
      <c r="F13594">
        <v>24</v>
      </c>
      <c r="G13594">
        <f>LOG(382/(24+1))</f>
        <v>1.1841233542396712</v>
      </c>
      <c r="H13594">
        <f>0.0108695652173913*2.72654478373837</f>
        <v>2.9636356344982271E-2</v>
      </c>
      <c r="I13594">
        <v>2.963635634498233E-2</v>
      </c>
    </row>
    <row r="13595" spans="1:9" x14ac:dyDescent="0.25">
      <c r="A13595">
        <v>473</v>
      </c>
      <c r="B13595" t="s">
        <v>3833</v>
      </c>
      <c r="C13595" t="s">
        <v>75</v>
      </c>
      <c r="D13595" t="s">
        <v>1248</v>
      </c>
      <c r="E13595">
        <f t="shared" si="639"/>
        <v>1.0869565217391304E-2</v>
      </c>
      <c r="F13595">
        <v>2</v>
      </c>
      <c r="G13595">
        <f>LOG(382/(2+1))</f>
        <v>2.1049421081920463</v>
      </c>
      <c r="H13595">
        <f>0.0108695652173913*4.84680831993846</f>
        <v>5.268269912976585E-2</v>
      </c>
      <c r="I13595">
        <v>5.2682699129765927E-2</v>
      </c>
    </row>
    <row r="13596" spans="1:9" x14ac:dyDescent="0.25">
      <c r="A13596">
        <v>473</v>
      </c>
      <c r="B13596" t="s">
        <v>3833</v>
      </c>
      <c r="C13596" t="s">
        <v>75</v>
      </c>
      <c r="D13596" t="s">
        <v>3841</v>
      </c>
      <c r="E13596">
        <f t="shared" si="639"/>
        <v>1.0869565217391304E-2</v>
      </c>
      <c r="F13596">
        <v>1</v>
      </c>
      <c r="G13596">
        <f>LOG(382/(1+1))</f>
        <v>2.2810333672477277</v>
      </c>
      <c r="H13596">
        <f>0.0108695652173913*5.25227342804663</f>
        <v>5.7089928565724216E-2</v>
      </c>
      <c r="I13596">
        <v>5.7089928565724243E-2</v>
      </c>
    </row>
    <row r="13597" spans="1:9" x14ac:dyDescent="0.25">
      <c r="A13597">
        <v>473</v>
      </c>
      <c r="B13597" t="s">
        <v>3833</v>
      </c>
      <c r="C13597" t="s">
        <v>75</v>
      </c>
      <c r="D13597" t="s">
        <v>3801</v>
      </c>
      <c r="E13597">
        <f t="shared" si="639"/>
        <v>1.0869565217391304E-2</v>
      </c>
      <c r="F13597">
        <v>3</v>
      </c>
      <c r="G13597">
        <f>LOG(382/(3+1))</f>
        <v>1.9800033715837464</v>
      </c>
      <c r="H13597">
        <f>0.0108695652173913*4.55912624748668</f>
        <v>4.9555720081376937E-2</v>
      </c>
      <c r="I13597">
        <v>4.9555720081377007E-2</v>
      </c>
    </row>
    <row r="13598" spans="1:9" x14ac:dyDescent="0.25">
      <c r="A13598">
        <v>473</v>
      </c>
      <c r="B13598" t="s">
        <v>3833</v>
      </c>
      <c r="C13598" t="s">
        <v>75</v>
      </c>
      <c r="D13598" t="s">
        <v>455</v>
      </c>
      <c r="E13598">
        <f t="shared" si="639"/>
        <v>1.0869565217391304E-2</v>
      </c>
      <c r="F13598">
        <v>78</v>
      </c>
      <c r="G13598">
        <f>LOG(382/(78+1))</f>
        <v>0.6844362716212673</v>
      </c>
      <c r="H13598">
        <f>0.0108695652173913*1.57597275613955</f>
        <v>1.7130138653690754E-2</v>
      </c>
      <c r="I13598">
        <v>1.7130138653690799E-2</v>
      </c>
    </row>
    <row r="13599" spans="1:9" x14ac:dyDescent="0.25">
      <c r="A13599">
        <v>473</v>
      </c>
      <c r="B13599" t="s">
        <v>3833</v>
      </c>
      <c r="C13599" t="s">
        <v>75</v>
      </c>
      <c r="D13599" t="s">
        <v>456</v>
      </c>
      <c r="E13599">
        <f t="shared" si="639"/>
        <v>1.0869565217391304E-2</v>
      </c>
      <c r="F13599">
        <v>71</v>
      </c>
      <c r="G13599">
        <f>LOG(382/(71+1))</f>
        <v>0.72473086648044027</v>
      </c>
      <c r="H13599">
        <f>0.0108695652173913*1.66875448959051</f>
        <v>1.8138635756418581E-2</v>
      </c>
      <c r="I13599">
        <v>1.8138635756418688E-2</v>
      </c>
    </row>
    <row r="13600" spans="1:9" x14ac:dyDescent="0.25">
      <c r="A13600">
        <v>473</v>
      </c>
      <c r="B13600" t="s">
        <v>3833</v>
      </c>
      <c r="C13600" t="s">
        <v>75</v>
      </c>
      <c r="D13600" t="s">
        <v>3842</v>
      </c>
      <c r="E13600">
        <f t="shared" si="639"/>
        <v>1.0869565217391304E-2</v>
      </c>
      <c r="F13600">
        <v>1</v>
      </c>
      <c r="G13600">
        <f>LOG(382/(1+1))</f>
        <v>2.2810333672477277</v>
      </c>
      <c r="H13600">
        <f>0.0108695652173913*5.25227342804663</f>
        <v>5.7089928565724216E-2</v>
      </c>
      <c r="I13600">
        <v>5.7089928565724243E-2</v>
      </c>
    </row>
    <row r="13601" spans="1:9" x14ac:dyDescent="0.25">
      <c r="A13601">
        <v>473</v>
      </c>
      <c r="B13601" t="s">
        <v>3833</v>
      </c>
      <c r="C13601" t="s">
        <v>75</v>
      </c>
      <c r="D13601" t="s">
        <v>81</v>
      </c>
      <c r="E13601">
        <f t="shared" si="639"/>
        <v>1.0869565217391304E-2</v>
      </c>
      <c r="F13601">
        <v>114</v>
      </c>
      <c r="G13601">
        <f>LOG(382/(114+1))</f>
        <v>0.52136552255809698</v>
      </c>
      <c r="H13601">
        <f>0.0108695652173913*1.20048848024332</f>
        <v>1.3048787828731735E-2</v>
      </c>
      <c r="I13601">
        <v>1.3048787828731791E-2</v>
      </c>
    </row>
    <row r="13602" spans="1:9" x14ac:dyDescent="0.25">
      <c r="A13602">
        <v>473</v>
      </c>
      <c r="B13602" t="s">
        <v>3833</v>
      </c>
      <c r="C13602" t="s">
        <v>75</v>
      </c>
      <c r="D13602" t="s">
        <v>3523</v>
      </c>
      <c r="E13602">
        <f t="shared" si="639"/>
        <v>1.0869565217391304E-2</v>
      </c>
      <c r="F13602">
        <v>2</v>
      </c>
      <c r="G13602">
        <f>LOG(382/(2+1))</f>
        <v>2.1049421081920463</v>
      </c>
      <c r="H13602">
        <f>0.0108695652173913*4.84680831993846</f>
        <v>5.268269912976585E-2</v>
      </c>
      <c r="I13602">
        <v>5.2682699129765927E-2</v>
      </c>
    </row>
    <row r="13603" spans="1:9" x14ac:dyDescent="0.25">
      <c r="A13603">
        <v>473</v>
      </c>
      <c r="B13603" t="s">
        <v>3833</v>
      </c>
      <c r="C13603" t="s">
        <v>75</v>
      </c>
      <c r="D13603" t="s">
        <v>2242</v>
      </c>
      <c r="E13603">
        <f t="shared" si="639"/>
        <v>1.0869565217391304E-2</v>
      </c>
      <c r="F13603">
        <v>18</v>
      </c>
      <c r="G13603">
        <f>LOG(382/(18+1))</f>
        <v>1.3033097619588798</v>
      </c>
      <c r="H13603">
        <f>0.0108695652173913*3.00098162944013</f>
        <v>3.2619365537392704E-2</v>
      </c>
      <c r="I13603">
        <v>3.2619365537392767E-2</v>
      </c>
    </row>
    <row r="13604" spans="1:9" x14ac:dyDescent="0.25">
      <c r="A13604">
        <v>473</v>
      </c>
      <c r="B13604" t="s">
        <v>3833</v>
      </c>
      <c r="C13604" t="s">
        <v>75</v>
      </c>
      <c r="D13604" t="s">
        <v>214</v>
      </c>
      <c r="E13604">
        <f t="shared" si="639"/>
        <v>1.0869565217391304E-2</v>
      </c>
      <c r="F13604">
        <v>68</v>
      </c>
      <c r="G13604">
        <f>LOG(382/(68+1))</f>
        <v>0.74321427217445335</v>
      </c>
      <c r="H13604">
        <f>0.0108695652173913*1.71131410400931</f>
        <v>1.8601240260970753E-2</v>
      </c>
      <c r="I13604">
        <v>1.8601240260970819E-2</v>
      </c>
    </row>
    <row r="13605" spans="1:9" x14ac:dyDescent="0.25">
      <c r="A13605">
        <v>473</v>
      </c>
      <c r="B13605" t="s">
        <v>3833</v>
      </c>
      <c r="C13605" t="s">
        <v>75</v>
      </c>
      <c r="D13605" t="s">
        <v>2238</v>
      </c>
      <c r="E13605">
        <f t="shared" si="639"/>
        <v>1.0869565217391304E-2</v>
      </c>
      <c r="F13605">
        <v>68</v>
      </c>
      <c r="G13605">
        <f>LOG(382/(68+1))</f>
        <v>0.74321427217445335</v>
      </c>
      <c r="H13605">
        <f>0.0108695652173913*1.71131410400931</f>
        <v>1.8601240260970753E-2</v>
      </c>
      <c r="I13605">
        <v>1.8601240260970819E-2</v>
      </c>
    </row>
    <row r="13606" spans="1:9" x14ac:dyDescent="0.25">
      <c r="A13606">
        <v>473</v>
      </c>
      <c r="B13606" t="s">
        <v>3833</v>
      </c>
      <c r="C13606" t="s">
        <v>75</v>
      </c>
      <c r="D13606" t="s">
        <v>823</v>
      </c>
      <c r="E13606">
        <f t="shared" si="639"/>
        <v>1.0869565217391304E-2</v>
      </c>
      <c r="F13606">
        <v>45</v>
      </c>
      <c r="G13606">
        <f>LOG(382/(45+1))</f>
        <v>0.9193055312301347</v>
      </c>
      <c r="H13606">
        <f>0.0108695652173913*2.11677921211748</f>
        <v>2.3008469696929126E-2</v>
      </c>
      <c r="I13606">
        <v>2.3008469696929129E-2</v>
      </c>
    </row>
    <row r="13607" spans="1:9" x14ac:dyDescent="0.25">
      <c r="A13607">
        <v>473</v>
      </c>
      <c r="B13607" t="s">
        <v>3833</v>
      </c>
      <c r="C13607" t="s">
        <v>75</v>
      </c>
      <c r="D13607" t="s">
        <v>1651</v>
      </c>
      <c r="E13607">
        <f t="shared" si="639"/>
        <v>1.0869565217391304E-2</v>
      </c>
      <c r="F13607">
        <v>2</v>
      </c>
      <c r="G13607">
        <f>LOG(382/(2+1))</f>
        <v>2.1049421081920463</v>
      </c>
      <c r="H13607">
        <f>0.0108695652173913*4.84680831993846</f>
        <v>5.268269912976585E-2</v>
      </c>
      <c r="I13607">
        <v>5.2682699129765927E-2</v>
      </c>
    </row>
    <row r="13608" spans="1:9" x14ac:dyDescent="0.25">
      <c r="A13608">
        <v>473</v>
      </c>
      <c r="B13608" t="s">
        <v>3833</v>
      </c>
      <c r="C13608" t="s">
        <v>75</v>
      </c>
      <c r="D13608" t="s">
        <v>1731</v>
      </c>
      <c r="E13608">
        <f>3/92</f>
        <v>3.2608695652173912E-2</v>
      </c>
      <c r="F13608">
        <v>15</v>
      </c>
      <c r="G13608">
        <f>LOG(382/(15+1))</f>
        <v>1.3779433802557839</v>
      </c>
      <c r="H13608">
        <f>0.0326086956521739*3.17283188636679</f>
        <v>0.10346190933804746</v>
      </c>
      <c r="I13608">
        <v>0.10346190933804759</v>
      </c>
    </row>
    <row r="13609" spans="1:9" x14ac:dyDescent="0.25">
      <c r="A13609">
        <v>473</v>
      </c>
      <c r="B13609" t="s">
        <v>3833</v>
      </c>
      <c r="C13609" t="s">
        <v>75</v>
      </c>
      <c r="D13609" t="s">
        <v>3843</v>
      </c>
      <c r="E13609">
        <f>1/92</f>
        <v>1.0869565217391304E-2</v>
      </c>
      <c r="F13609">
        <v>1</v>
      </c>
      <c r="G13609">
        <f>LOG(382/(1+1))</f>
        <v>2.2810333672477277</v>
      </c>
      <c r="H13609">
        <f>0.0108695652173913*5.25227342804663</f>
        <v>5.7089928565724216E-2</v>
      </c>
      <c r="I13609">
        <v>5.7089928565724243E-2</v>
      </c>
    </row>
    <row r="13610" spans="1:9" x14ac:dyDescent="0.25">
      <c r="A13610">
        <v>473</v>
      </c>
      <c r="B13610" t="s">
        <v>3833</v>
      </c>
      <c r="C13610" t="s">
        <v>75</v>
      </c>
      <c r="D13610" t="s">
        <v>362</v>
      </c>
      <c r="E13610">
        <f>1/92</f>
        <v>1.0869565217391304E-2</v>
      </c>
      <c r="F13610">
        <v>81</v>
      </c>
      <c r="G13610">
        <f>LOG(382/(81+1))</f>
        <v>0.66824951052799197</v>
      </c>
      <c r="H13610">
        <f>0.0108695652173913*1.53870136134232</f>
        <v>1.6725014797199123E-2</v>
      </c>
      <c r="I13610">
        <v>1.672501479719915E-2</v>
      </c>
    </row>
    <row r="13611" spans="1:9" x14ac:dyDescent="0.25">
      <c r="A13611">
        <v>473</v>
      </c>
      <c r="B13611" t="s">
        <v>3833</v>
      </c>
      <c r="C13611" t="s">
        <v>75</v>
      </c>
      <c r="D13611" t="s">
        <v>1397</v>
      </c>
      <c r="E13611">
        <f>1/92</f>
        <v>1.0869565217391304E-2</v>
      </c>
      <c r="F13611">
        <v>29</v>
      </c>
      <c r="G13611">
        <f>LOG(382/(29+1))</f>
        <v>1.1049421081920463</v>
      </c>
      <c r="H13611">
        <f>0.0108695652173913*2.54422322694442</f>
        <v>2.7654600292874119E-2</v>
      </c>
      <c r="I13611">
        <v>2.7654600292874129E-2</v>
      </c>
    </row>
    <row r="13612" spans="1:9" x14ac:dyDescent="0.25">
      <c r="A13612">
        <v>473</v>
      </c>
      <c r="B13612" t="s">
        <v>3833</v>
      </c>
      <c r="C13612" t="s">
        <v>75</v>
      </c>
      <c r="D13612" t="s">
        <v>3420</v>
      </c>
      <c r="E13612">
        <f>2/92</f>
        <v>2.1739130434782608E-2</v>
      </c>
      <c r="F13612">
        <v>12</v>
      </c>
      <c r="G13612">
        <f>LOG(382/(12+1))</f>
        <v>1.468120010604872</v>
      </c>
      <c r="H13612">
        <f>0.0217391304347826*3.38047125114503</f>
        <v>7.3488505459674544E-2</v>
      </c>
      <c r="I13612">
        <v>7.3488505459674752E-2</v>
      </c>
    </row>
    <row r="13613" spans="1:9" x14ac:dyDescent="0.25">
      <c r="A13613">
        <v>473</v>
      </c>
      <c r="B13613" t="s">
        <v>3833</v>
      </c>
      <c r="C13613" t="s">
        <v>75</v>
      </c>
      <c r="D13613" t="s">
        <v>3538</v>
      </c>
      <c r="E13613">
        <f>1/92</f>
        <v>1.0869565217391304E-2</v>
      </c>
      <c r="F13613">
        <v>3</v>
      </c>
      <c r="G13613">
        <f>LOG(382/(3+1))</f>
        <v>1.9800033715837464</v>
      </c>
      <c r="H13613">
        <f>0.0108695652173913*4.55912624748668</f>
        <v>4.9555720081376937E-2</v>
      </c>
      <c r="I13613">
        <v>4.9555720081377007E-2</v>
      </c>
    </row>
    <row r="13614" spans="1:9" x14ac:dyDescent="0.25">
      <c r="A13614">
        <v>473</v>
      </c>
      <c r="B13614" t="s">
        <v>3833</v>
      </c>
      <c r="C13614" t="s">
        <v>75</v>
      </c>
      <c r="D13614" t="s">
        <v>3376</v>
      </c>
      <c r="E13614">
        <f>1/92</f>
        <v>1.0869565217391304E-2</v>
      </c>
      <c r="F13614">
        <v>21</v>
      </c>
      <c r="G13614">
        <f>LOG(382/(21+1))</f>
        <v>1.2396406820895025</v>
      </c>
      <c r="H13614">
        <f>0.0108695652173913*2.85437815524825</f>
        <v>3.1025849513567922E-2</v>
      </c>
      <c r="I13614">
        <v>3.102584951356803E-2</v>
      </c>
    </row>
    <row r="13615" spans="1:9" x14ac:dyDescent="0.25">
      <c r="A13615">
        <v>473</v>
      </c>
      <c r="B13615" t="s">
        <v>3833</v>
      </c>
      <c r="C13615" t="s">
        <v>75</v>
      </c>
      <c r="D13615" t="s">
        <v>3844</v>
      </c>
      <c r="E13615">
        <f>1/92</f>
        <v>1.0869565217391304E-2</v>
      </c>
      <c r="F13615">
        <v>1</v>
      </c>
      <c r="G13615">
        <f>LOG(382/(1+1))</f>
        <v>2.2810333672477277</v>
      </c>
      <c r="H13615">
        <f>0.0108695652173913*5.25227342804663</f>
        <v>5.7089928565724216E-2</v>
      </c>
      <c r="I13615">
        <v>5.7089928565724243E-2</v>
      </c>
    </row>
    <row r="13616" spans="1:9" x14ac:dyDescent="0.25">
      <c r="A13616">
        <v>473</v>
      </c>
      <c r="B13616" t="s">
        <v>3833</v>
      </c>
      <c r="C13616" t="s">
        <v>75</v>
      </c>
      <c r="D13616" t="s">
        <v>1769</v>
      </c>
      <c r="E13616">
        <f>1/92</f>
        <v>1.0869565217391304E-2</v>
      </c>
      <c r="F13616">
        <v>84</v>
      </c>
      <c r="G13616">
        <f>LOG(382/(84+1))</f>
        <v>0.65264443719741605</v>
      </c>
      <c r="H13616">
        <f>0.0108695652173913*1.50276935211625</f>
        <v>1.6334449479524449E-2</v>
      </c>
      <c r="I13616">
        <v>1.6334449479524549E-2</v>
      </c>
    </row>
    <row r="13617" spans="1:9" x14ac:dyDescent="0.25">
      <c r="A13617">
        <v>473</v>
      </c>
      <c r="B13617" t="s">
        <v>3833</v>
      </c>
      <c r="C13617" t="s">
        <v>75</v>
      </c>
      <c r="D13617" t="s">
        <v>3731</v>
      </c>
      <c r="E13617">
        <f>2/92</f>
        <v>2.1739130434782608E-2</v>
      </c>
      <c r="F13617">
        <v>7</v>
      </c>
      <c r="G13617">
        <f>LOG(382/(7+1))</f>
        <v>1.6789733759197651</v>
      </c>
      <c r="H13617">
        <f>0.0217391304347826*3.86597906692673</f>
        <v>8.4043023194059319E-2</v>
      </c>
      <c r="I13617">
        <v>8.4043023194059541E-2</v>
      </c>
    </row>
    <row r="13618" spans="1:9" x14ac:dyDescent="0.25">
      <c r="A13618">
        <v>473</v>
      </c>
      <c r="B13618" t="s">
        <v>3833</v>
      </c>
      <c r="C13618" t="s">
        <v>75</v>
      </c>
      <c r="D13618" t="s">
        <v>872</v>
      </c>
      <c r="E13618">
        <f t="shared" ref="E13618:E13627" si="640">1/92</f>
        <v>1.0869565217391304E-2</v>
      </c>
      <c r="F13618">
        <v>9</v>
      </c>
      <c r="G13618">
        <f>LOG(382/(9+1))</f>
        <v>1.5820633629117087</v>
      </c>
      <c r="H13618">
        <f>0.0108695652173913*3.64283551561252</f>
        <v>3.959603821317955E-2</v>
      </c>
      <c r="I13618">
        <v>3.9596038213179668E-2</v>
      </c>
    </row>
    <row r="13619" spans="1:9" x14ac:dyDescent="0.25">
      <c r="A13619">
        <v>473</v>
      </c>
      <c r="B13619" t="s">
        <v>3833</v>
      </c>
      <c r="C13619" t="s">
        <v>75</v>
      </c>
      <c r="D13619" t="s">
        <v>1730</v>
      </c>
      <c r="E13619">
        <f t="shared" si="640"/>
        <v>1.0869565217391304E-2</v>
      </c>
      <c r="F13619">
        <v>35</v>
      </c>
      <c r="G13619">
        <f>LOG(382/(35+1))</f>
        <v>1.0257608621444214</v>
      </c>
      <c r="H13619">
        <f>0.0108695652173913*2.36190167015046</f>
        <v>2.5672844240765862E-2</v>
      </c>
      <c r="I13619">
        <v>2.5672844240765921E-2</v>
      </c>
    </row>
    <row r="13620" spans="1:9" x14ac:dyDescent="0.25">
      <c r="A13620">
        <v>473</v>
      </c>
      <c r="B13620" t="s">
        <v>3833</v>
      </c>
      <c r="C13620" t="s">
        <v>75</v>
      </c>
      <c r="D13620" t="s">
        <v>1665</v>
      </c>
      <c r="E13620">
        <f t="shared" si="640"/>
        <v>1.0869565217391304E-2</v>
      </c>
      <c r="F13620">
        <v>17</v>
      </c>
      <c r="G13620">
        <f>LOG(382/(17+1))</f>
        <v>1.3267908578084027</v>
      </c>
      <c r="H13620">
        <f>0.0108695652173913*3.05504885071041</f>
        <v>3.3207052725113137E-2</v>
      </c>
      <c r="I13620">
        <v>3.3207052725113158E-2</v>
      </c>
    </row>
    <row r="13621" spans="1:9" x14ac:dyDescent="0.25">
      <c r="A13621">
        <v>473</v>
      </c>
      <c r="B13621" t="s">
        <v>3833</v>
      </c>
      <c r="C13621" t="s">
        <v>75</v>
      </c>
      <c r="D13621" t="s">
        <v>3537</v>
      </c>
      <c r="E13621">
        <f t="shared" si="640"/>
        <v>1.0869565217391304E-2</v>
      </c>
      <c r="F13621">
        <v>10</v>
      </c>
      <c r="G13621">
        <f>LOG(382/(10+1))</f>
        <v>1.5406706777534838</v>
      </c>
      <c r="H13621">
        <f>0.0108695652173913*3.5475253358082</f>
        <v>3.8560057997915204E-2</v>
      </c>
      <c r="I13621">
        <v>3.8560057997915273E-2</v>
      </c>
    </row>
    <row r="13622" spans="1:9" x14ac:dyDescent="0.25">
      <c r="A13622">
        <v>473</v>
      </c>
      <c r="B13622" t="s">
        <v>3833</v>
      </c>
      <c r="C13622" t="s">
        <v>75</v>
      </c>
      <c r="D13622" t="s">
        <v>3845</v>
      </c>
      <c r="E13622">
        <f t="shared" si="640"/>
        <v>1.0869565217391304E-2</v>
      </c>
      <c r="F13622">
        <v>1</v>
      </c>
      <c r="G13622">
        <f>LOG(382/(1+1))</f>
        <v>2.2810333672477277</v>
      </c>
      <c r="H13622">
        <f>0.0108695652173913*5.25227342804663</f>
        <v>5.7089928565724216E-2</v>
      </c>
      <c r="I13622">
        <v>5.7089928565724243E-2</v>
      </c>
    </row>
    <row r="13623" spans="1:9" x14ac:dyDescent="0.25">
      <c r="A13623">
        <v>473</v>
      </c>
      <c r="B13623" t="s">
        <v>3833</v>
      </c>
      <c r="C13623" t="s">
        <v>75</v>
      </c>
      <c r="D13623" t="s">
        <v>770</v>
      </c>
      <c r="E13623">
        <f t="shared" si="640"/>
        <v>1.0869565217391304E-2</v>
      </c>
      <c r="F13623">
        <v>47</v>
      </c>
      <c r="G13623">
        <f>LOG(382/(47+1))</f>
        <v>0.90082212553612151</v>
      </c>
      <c r="H13623">
        <f>0.0108695652173913*2.07421959769868</f>
        <v>2.2545865192376949E-2</v>
      </c>
      <c r="I13623">
        <v>2.2545865192377001E-2</v>
      </c>
    </row>
    <row r="13624" spans="1:9" x14ac:dyDescent="0.25">
      <c r="A13624">
        <v>473</v>
      </c>
      <c r="B13624" t="s">
        <v>3833</v>
      </c>
      <c r="C13624" t="s">
        <v>75</v>
      </c>
      <c r="D13624" t="s">
        <v>144</v>
      </c>
      <c r="E13624">
        <f t="shared" si="640"/>
        <v>1.0869565217391304E-2</v>
      </c>
      <c r="F13624">
        <v>105</v>
      </c>
      <c r="G13624">
        <f>LOG(382/(105+1))</f>
        <v>0.55675749764693849</v>
      </c>
      <c r="H13624">
        <f>0.0108695652173913*1.2819815144945</f>
        <v>1.3934581679288039E-2</v>
      </c>
      <c r="I13624">
        <v>1.3934581679288131E-2</v>
      </c>
    </row>
    <row r="13625" spans="1:9" x14ac:dyDescent="0.25">
      <c r="A13625">
        <v>473</v>
      </c>
      <c r="B13625" t="s">
        <v>3833</v>
      </c>
      <c r="C13625" t="s">
        <v>75</v>
      </c>
      <c r="D13625" t="s">
        <v>218</v>
      </c>
      <c r="E13625">
        <f t="shared" si="640"/>
        <v>1.0869565217391304E-2</v>
      </c>
      <c r="F13625">
        <v>35</v>
      </c>
      <c r="G13625">
        <f>LOG(382/(35+1))</f>
        <v>1.0257608621444214</v>
      </c>
      <c r="H13625">
        <f>0.0108695652173913*2.36190167015046</f>
        <v>2.5672844240765862E-2</v>
      </c>
      <c r="I13625">
        <v>2.5672844240765921E-2</v>
      </c>
    </row>
    <row r="13626" spans="1:9" x14ac:dyDescent="0.25">
      <c r="A13626">
        <v>473</v>
      </c>
      <c r="B13626" t="s">
        <v>3833</v>
      </c>
      <c r="C13626" t="s">
        <v>75</v>
      </c>
      <c r="D13626" t="s">
        <v>342</v>
      </c>
      <c r="E13626">
        <f t="shared" si="640"/>
        <v>1.0869565217391304E-2</v>
      </c>
      <c r="F13626">
        <v>35</v>
      </c>
      <c r="G13626">
        <f>LOG(382/(35+1))</f>
        <v>1.0257608621444214</v>
      </c>
      <c r="H13626">
        <f>0.0108695652173913*2.36190167015046</f>
        <v>2.5672844240765862E-2</v>
      </c>
      <c r="I13626">
        <v>2.5672844240765921E-2</v>
      </c>
    </row>
    <row r="13627" spans="1:9" x14ac:dyDescent="0.25">
      <c r="A13627">
        <v>473</v>
      </c>
      <c r="B13627" t="s">
        <v>3833</v>
      </c>
      <c r="C13627" t="s">
        <v>75</v>
      </c>
      <c r="D13627" t="s">
        <v>3846</v>
      </c>
      <c r="E13627">
        <f t="shared" si="640"/>
        <v>1.0869565217391304E-2</v>
      </c>
      <c r="F13627">
        <v>1</v>
      </c>
      <c r="G13627">
        <f>LOG(382/(1+1))</f>
        <v>2.2810333672477277</v>
      </c>
      <c r="H13627">
        <f>0.0108695652173913*5.25227342804663</f>
        <v>5.7089928565724216E-2</v>
      </c>
      <c r="I13627">
        <v>5.7089928565724243E-2</v>
      </c>
    </row>
    <row r="13628" spans="1:9" x14ac:dyDescent="0.25">
      <c r="A13628">
        <v>474</v>
      </c>
      <c r="B13628" t="s">
        <v>3847</v>
      </c>
      <c r="C13628" t="s">
        <v>75</v>
      </c>
      <c r="D13628" t="s">
        <v>1732</v>
      </c>
      <c r="E13628">
        <f>6/99</f>
        <v>6.0606060606060608E-2</v>
      </c>
      <c r="F13628">
        <v>16</v>
      </c>
      <c r="G13628">
        <f>LOG(382/(16+1))</f>
        <v>1.3516144415334348</v>
      </c>
      <c r="H13628">
        <f>0.0606060606060606*3.11220726455035</f>
        <v>0.18861862209396058</v>
      </c>
      <c r="I13628">
        <v>0.18861862209396121</v>
      </c>
    </row>
    <row r="13629" spans="1:9" x14ac:dyDescent="0.25">
      <c r="A13629">
        <v>474</v>
      </c>
      <c r="B13629" t="s">
        <v>3847</v>
      </c>
      <c r="C13629" t="s">
        <v>75</v>
      </c>
      <c r="D13629" t="s">
        <v>1733</v>
      </c>
      <c r="E13629">
        <f>6/99</f>
        <v>6.0606060606060608E-2</v>
      </c>
      <c r="F13629">
        <v>19</v>
      </c>
      <c r="G13629">
        <f>LOG(382/(19+1))</f>
        <v>1.2810333672477277</v>
      </c>
      <c r="H13629">
        <f>0.0606060606060606*2.94968833505258</f>
        <v>0.17876899000318666</v>
      </c>
      <c r="I13629">
        <v>0.17876899000318691</v>
      </c>
    </row>
    <row r="13630" spans="1:9" x14ac:dyDescent="0.25">
      <c r="A13630">
        <v>474</v>
      </c>
      <c r="B13630" t="s">
        <v>3847</v>
      </c>
      <c r="C13630" t="s">
        <v>75</v>
      </c>
      <c r="D13630" t="s">
        <v>20</v>
      </c>
      <c r="E13630">
        <f>8/99</f>
        <v>8.0808080808080815E-2</v>
      </c>
      <c r="F13630">
        <v>19</v>
      </c>
      <c r="G13630">
        <f>LOG(382/(19+1))</f>
        <v>1.2810333672477277</v>
      </c>
      <c r="H13630">
        <f>0.0808080808080808*2.94968833505258</f>
        <v>0.23835865333758219</v>
      </c>
      <c r="I13630">
        <v>0.2383586533375826</v>
      </c>
    </row>
    <row r="13631" spans="1:9" x14ac:dyDescent="0.25">
      <c r="A13631">
        <v>474</v>
      </c>
      <c r="B13631" t="s">
        <v>3847</v>
      </c>
      <c r="C13631" t="s">
        <v>75</v>
      </c>
      <c r="D13631" t="s">
        <v>1079</v>
      </c>
      <c r="E13631">
        <f>1/99</f>
        <v>1.0101010101010102E-2</v>
      </c>
      <c r="F13631">
        <v>34</v>
      </c>
      <c r="G13631">
        <f>LOG(382/(34+1))</f>
        <v>1.037995318561433</v>
      </c>
      <c r="H13631">
        <f>0.0101010101010101*2.39007254711716</f>
        <v>2.4142146940577373E-2</v>
      </c>
      <c r="I13631">
        <v>2.414214694057739E-2</v>
      </c>
    </row>
    <row r="13632" spans="1:9" x14ac:dyDescent="0.25">
      <c r="A13632">
        <v>474</v>
      </c>
      <c r="B13632" t="s">
        <v>3847</v>
      </c>
      <c r="C13632" t="s">
        <v>75</v>
      </c>
      <c r="D13632" t="s">
        <v>105</v>
      </c>
      <c r="E13632">
        <f>2/99</f>
        <v>2.0202020202020204E-2</v>
      </c>
      <c r="F13632">
        <v>122</v>
      </c>
      <c r="G13632">
        <f>LOG(382/(122+1))</f>
        <v>0.49215825147231079</v>
      </c>
      <c r="H13632">
        <f>0.0202020202020202*1.13323625323415</f>
        <v>2.2893661681497979E-2</v>
      </c>
      <c r="I13632">
        <v>2.2893661681498131E-2</v>
      </c>
    </row>
    <row r="13633" spans="1:9" x14ac:dyDescent="0.25">
      <c r="A13633">
        <v>474</v>
      </c>
      <c r="B13633" t="s">
        <v>3847</v>
      </c>
      <c r="C13633" t="s">
        <v>75</v>
      </c>
      <c r="D13633" t="s">
        <v>1602</v>
      </c>
      <c r="E13633">
        <f>1/99</f>
        <v>1.0101010101010102E-2</v>
      </c>
      <c r="F13633">
        <v>2</v>
      </c>
      <c r="G13633">
        <f>LOG(382/(2+1))</f>
        <v>2.1049421081920463</v>
      </c>
      <c r="H13633">
        <f>0.0101010101010101*4.84680831993846</f>
        <v>4.895765979735818E-2</v>
      </c>
      <c r="I13633">
        <v>4.8957659797358243E-2</v>
      </c>
    </row>
    <row r="13634" spans="1:9" x14ac:dyDescent="0.25">
      <c r="A13634">
        <v>474</v>
      </c>
      <c r="B13634" t="s">
        <v>3847</v>
      </c>
      <c r="C13634" t="s">
        <v>75</v>
      </c>
      <c r="D13634" t="s">
        <v>3575</v>
      </c>
      <c r="E13634">
        <f>2/99</f>
        <v>2.0202020202020204E-2</v>
      </c>
      <c r="F13634">
        <v>5</v>
      </c>
      <c r="G13634">
        <f>LOG(382/(5+1))</f>
        <v>1.803912112528065</v>
      </c>
      <c r="H13634">
        <f>0.0202020202020202*4.15366113937852</f>
        <v>8.3912346250071101E-2</v>
      </c>
      <c r="I13634">
        <v>8.3912346250071115E-2</v>
      </c>
    </row>
    <row r="13635" spans="1:9" x14ac:dyDescent="0.25">
      <c r="A13635">
        <v>474</v>
      </c>
      <c r="B13635" t="s">
        <v>3847</v>
      </c>
      <c r="C13635" t="s">
        <v>75</v>
      </c>
      <c r="D13635" t="s">
        <v>1762</v>
      </c>
      <c r="E13635">
        <f>2/99</f>
        <v>2.0202020202020204E-2</v>
      </c>
      <c r="F13635">
        <v>60</v>
      </c>
      <c r="G13635">
        <f>LOG(382/(60+1))</f>
        <v>0.79673352790094176</v>
      </c>
      <c r="H13635">
        <f>0.0202020202020202*1.83454674443326</f>
        <v>3.7061550392591104E-2</v>
      </c>
      <c r="I13635">
        <v>3.7061550392591187E-2</v>
      </c>
    </row>
    <row r="13636" spans="1:9" x14ac:dyDescent="0.25">
      <c r="A13636">
        <v>474</v>
      </c>
      <c r="B13636" t="s">
        <v>3847</v>
      </c>
      <c r="C13636" t="s">
        <v>75</v>
      </c>
      <c r="D13636" t="s">
        <v>811</v>
      </c>
      <c r="E13636">
        <f>2/99</f>
        <v>2.0202020202020204E-2</v>
      </c>
      <c r="F13636">
        <v>27</v>
      </c>
      <c r="G13636">
        <f>LOG(382/(27+1))</f>
        <v>1.1349053315694895</v>
      </c>
      <c r="H13636">
        <f>0.0202020202020202*2.61321609843137</f>
        <v>5.279224441275495E-2</v>
      </c>
      <c r="I13636">
        <v>5.2792244412754978E-2</v>
      </c>
    </row>
    <row r="13637" spans="1:9" x14ac:dyDescent="0.25">
      <c r="A13637">
        <v>474</v>
      </c>
      <c r="B13637" t="s">
        <v>3847</v>
      </c>
      <c r="C13637" t="s">
        <v>75</v>
      </c>
      <c r="D13637" t="s">
        <v>3420</v>
      </c>
      <c r="E13637">
        <f>2/99</f>
        <v>2.0202020202020204E-2</v>
      </c>
      <c r="F13637">
        <v>12</v>
      </c>
      <c r="G13637">
        <f>LOG(382/(12+1))</f>
        <v>1.468120010604872</v>
      </c>
      <c r="H13637">
        <f>0.0202020202020202*3.38047125114503</f>
        <v>6.8292348507980397E-2</v>
      </c>
      <c r="I13637">
        <v>6.8292348507980577E-2</v>
      </c>
    </row>
    <row r="13638" spans="1:9" x14ac:dyDescent="0.25">
      <c r="A13638">
        <v>474</v>
      </c>
      <c r="B13638" t="s">
        <v>3847</v>
      </c>
      <c r="C13638" t="s">
        <v>75</v>
      </c>
      <c r="D13638" t="s">
        <v>360</v>
      </c>
      <c r="E13638">
        <f>1/99</f>
        <v>1.0101010101010102E-2</v>
      </c>
      <c r="F13638">
        <v>15</v>
      </c>
      <c r="G13638">
        <f>LOG(382/(15+1))</f>
        <v>1.3779433802557839</v>
      </c>
      <c r="H13638">
        <f>0.0101010101010101*3.17283188636679</f>
        <v>3.2048806932997879E-2</v>
      </c>
      <c r="I13638">
        <v>3.2048806932997921E-2</v>
      </c>
    </row>
    <row r="13639" spans="1:9" x14ac:dyDescent="0.25">
      <c r="A13639">
        <v>474</v>
      </c>
      <c r="B13639" t="s">
        <v>3847</v>
      </c>
      <c r="C13639" t="s">
        <v>75</v>
      </c>
      <c r="D13639" t="s">
        <v>82</v>
      </c>
      <c r="E13639">
        <f>2/99</f>
        <v>2.0202020202020204E-2</v>
      </c>
      <c r="F13639">
        <v>92</v>
      </c>
      <c r="G13639">
        <f>LOG(382/(92+1))</f>
        <v>0.61358041435777355</v>
      </c>
      <c r="H13639">
        <f>0.0202020202020202*1.41282111545331</f>
        <v>2.8541840716228482E-2</v>
      </c>
      <c r="I13639">
        <v>2.8541840716228669E-2</v>
      </c>
    </row>
    <row r="13640" spans="1:9" x14ac:dyDescent="0.25">
      <c r="A13640">
        <v>474</v>
      </c>
      <c r="B13640" t="s">
        <v>3847</v>
      </c>
      <c r="C13640" t="s">
        <v>75</v>
      </c>
      <c r="D13640" t="s">
        <v>126</v>
      </c>
      <c r="E13640">
        <f>4/99</f>
        <v>4.0404040404040407E-2</v>
      </c>
      <c r="F13640">
        <v>79</v>
      </c>
      <c r="G13640">
        <f>LOG(382/(79+1))</f>
        <v>0.67897337591976514</v>
      </c>
      <c r="H13640">
        <f>0.0404040404040404*1.56339397393269</f>
        <v>6.3167433290209699E-2</v>
      </c>
      <c r="I13640">
        <v>6.3167433290209851E-2</v>
      </c>
    </row>
    <row r="13641" spans="1:9" x14ac:dyDescent="0.25">
      <c r="A13641">
        <v>474</v>
      </c>
      <c r="B13641" t="s">
        <v>3847</v>
      </c>
      <c r="C13641" t="s">
        <v>75</v>
      </c>
      <c r="D13641" t="s">
        <v>739</v>
      </c>
      <c r="E13641">
        <f t="shared" ref="E13641:E13656" si="641">1/99</f>
        <v>1.0101010101010102E-2</v>
      </c>
      <c r="F13641">
        <v>24</v>
      </c>
      <c r="G13641">
        <f>LOG(382/(24+1))</f>
        <v>1.1841233542396712</v>
      </c>
      <c r="H13641">
        <f>0.0101010101010101*2.72654478373837</f>
        <v>2.7540856401397671E-2</v>
      </c>
      <c r="I13641">
        <v>2.754085640139772E-2</v>
      </c>
    </row>
    <row r="13642" spans="1:9" x14ac:dyDescent="0.25">
      <c r="A13642">
        <v>474</v>
      </c>
      <c r="B13642" t="s">
        <v>3847</v>
      </c>
      <c r="C13642" t="s">
        <v>75</v>
      </c>
      <c r="D13642" t="s">
        <v>432</v>
      </c>
      <c r="E13642">
        <f t="shared" si="641"/>
        <v>1.0101010101010102E-2</v>
      </c>
      <c r="F13642">
        <v>67</v>
      </c>
      <c r="G13642">
        <f>LOG(382/(67+1))</f>
        <v>0.7495544502054724</v>
      </c>
      <c r="H13642">
        <f>0.0101010101010101*1.72591290343046</f>
        <v>1.7433463671014747E-2</v>
      </c>
      <c r="I13642">
        <v>1.743346367101483E-2</v>
      </c>
    </row>
    <row r="13643" spans="1:9" x14ac:dyDescent="0.25">
      <c r="A13643">
        <v>474</v>
      </c>
      <c r="B13643" t="s">
        <v>3847</v>
      </c>
      <c r="C13643" t="s">
        <v>75</v>
      </c>
      <c r="D13643" t="s">
        <v>93</v>
      </c>
      <c r="E13643">
        <f t="shared" si="641"/>
        <v>1.0101010101010102E-2</v>
      </c>
      <c r="F13643">
        <v>11</v>
      </c>
      <c r="G13643">
        <f>LOG(382/(11+1))</f>
        <v>1.5028821168640838</v>
      </c>
      <c r="H13643">
        <f>0.0101010101010101*3.46051395881857</f>
        <v>3.4954686452712824E-2</v>
      </c>
      <c r="I13643">
        <v>3.495468645271288E-2</v>
      </c>
    </row>
    <row r="13644" spans="1:9" x14ac:dyDescent="0.25">
      <c r="A13644">
        <v>474</v>
      </c>
      <c r="B13644" t="s">
        <v>3847</v>
      </c>
      <c r="C13644" t="s">
        <v>75</v>
      </c>
      <c r="D13644" t="s">
        <v>490</v>
      </c>
      <c r="E13644">
        <f t="shared" si="641"/>
        <v>1.0101010101010102E-2</v>
      </c>
      <c r="F13644">
        <v>31</v>
      </c>
      <c r="G13644">
        <f>LOG(382/(31+1))</f>
        <v>1.0769133845918029</v>
      </c>
      <c r="H13644">
        <f>0.0101010101010101*2.47968470580684</f>
        <v>2.504732026067515E-2</v>
      </c>
      <c r="I13644">
        <v>2.504732026067524E-2</v>
      </c>
    </row>
    <row r="13645" spans="1:9" x14ac:dyDescent="0.25">
      <c r="A13645">
        <v>474</v>
      </c>
      <c r="B13645" t="s">
        <v>3847</v>
      </c>
      <c r="C13645" t="s">
        <v>75</v>
      </c>
      <c r="D13645" t="s">
        <v>2267</v>
      </c>
      <c r="E13645">
        <f t="shared" si="641"/>
        <v>1.0101010101010102E-2</v>
      </c>
      <c r="F13645">
        <v>9</v>
      </c>
      <c r="G13645">
        <f>LOG(382/(9+1))</f>
        <v>1.5820633629117087</v>
      </c>
      <c r="H13645">
        <f>0.0101010101010101*3.64283551561252</f>
        <v>3.6796318339520399E-2</v>
      </c>
      <c r="I13645">
        <v>3.6796318339520503E-2</v>
      </c>
    </row>
    <row r="13646" spans="1:9" x14ac:dyDescent="0.25">
      <c r="A13646">
        <v>474</v>
      </c>
      <c r="B13646" t="s">
        <v>3847</v>
      </c>
      <c r="C13646" t="s">
        <v>75</v>
      </c>
      <c r="D13646" t="s">
        <v>3848</v>
      </c>
      <c r="E13646">
        <f t="shared" si="641"/>
        <v>1.0101010101010102E-2</v>
      </c>
      <c r="F13646">
        <v>2</v>
      </c>
      <c r="G13646">
        <f>LOG(382/(2+1))</f>
        <v>2.1049421081920463</v>
      </c>
      <c r="H13646">
        <f>0.0101010101010101*4.84680831993846</f>
        <v>4.895765979735818E-2</v>
      </c>
      <c r="I13646">
        <v>4.8957659797358243E-2</v>
      </c>
    </row>
    <row r="13647" spans="1:9" x14ac:dyDescent="0.25">
      <c r="A13647">
        <v>474</v>
      </c>
      <c r="B13647" t="s">
        <v>3847</v>
      </c>
      <c r="C13647" t="s">
        <v>75</v>
      </c>
      <c r="D13647" t="s">
        <v>1473</v>
      </c>
      <c r="E13647">
        <f t="shared" si="641"/>
        <v>1.0101010101010102E-2</v>
      </c>
      <c r="F13647">
        <v>39</v>
      </c>
      <c r="G13647">
        <f>LOG(382/(39+1))</f>
        <v>0.9800033715837464</v>
      </c>
      <c r="H13647">
        <f>0.0101010101010101*2.25654115449263</f>
        <v>2.2793344994875051E-2</v>
      </c>
      <c r="I13647">
        <v>2.2793344994875141E-2</v>
      </c>
    </row>
    <row r="13648" spans="1:9" x14ac:dyDescent="0.25">
      <c r="A13648">
        <v>474</v>
      </c>
      <c r="B13648" t="s">
        <v>3847</v>
      </c>
      <c r="C13648" t="s">
        <v>75</v>
      </c>
      <c r="D13648" t="s">
        <v>3849</v>
      </c>
      <c r="E13648">
        <f t="shared" si="641"/>
        <v>1.0101010101010102E-2</v>
      </c>
      <c r="F13648">
        <v>1</v>
      </c>
      <c r="G13648">
        <f>LOG(382/(1+1))</f>
        <v>2.2810333672477277</v>
      </c>
      <c r="H13648">
        <f>0.0101010101010101*5.25227342804663</f>
        <v>5.3053266949965955E-2</v>
      </c>
      <c r="I13648">
        <v>5.3053266949965962E-2</v>
      </c>
    </row>
    <row r="13649" spans="1:9" x14ac:dyDescent="0.25">
      <c r="A13649">
        <v>474</v>
      </c>
      <c r="B13649" t="s">
        <v>3847</v>
      </c>
      <c r="C13649" t="s">
        <v>75</v>
      </c>
      <c r="D13649" t="s">
        <v>3850</v>
      </c>
      <c r="E13649">
        <f t="shared" si="641"/>
        <v>1.0101010101010102E-2</v>
      </c>
      <c r="F13649">
        <v>1</v>
      </c>
      <c r="G13649">
        <f>LOG(382/(1+1))</f>
        <v>2.2810333672477277</v>
      </c>
      <c r="H13649">
        <f>0.0101010101010101*5.25227342804663</f>
        <v>5.3053266949965955E-2</v>
      </c>
      <c r="I13649">
        <v>5.3053266949965962E-2</v>
      </c>
    </row>
    <row r="13650" spans="1:9" x14ac:dyDescent="0.25">
      <c r="A13650">
        <v>474</v>
      </c>
      <c r="B13650" t="s">
        <v>3847</v>
      </c>
      <c r="C13650" t="s">
        <v>75</v>
      </c>
      <c r="D13650" t="s">
        <v>3851</v>
      </c>
      <c r="E13650">
        <f t="shared" si="641"/>
        <v>1.0101010101010102E-2</v>
      </c>
      <c r="F13650">
        <v>1</v>
      </c>
      <c r="G13650">
        <f>LOG(382/(1+1))</f>
        <v>2.2810333672477277</v>
      </c>
      <c r="H13650">
        <f>0.0101010101010101*5.25227342804663</f>
        <v>5.3053266949965955E-2</v>
      </c>
      <c r="I13650">
        <v>5.3053266949965962E-2</v>
      </c>
    </row>
    <row r="13651" spans="1:9" x14ac:dyDescent="0.25">
      <c r="A13651">
        <v>474</v>
      </c>
      <c r="B13651" t="s">
        <v>3847</v>
      </c>
      <c r="C13651" t="s">
        <v>75</v>
      </c>
      <c r="D13651" t="s">
        <v>2721</v>
      </c>
      <c r="E13651">
        <f t="shared" si="641"/>
        <v>1.0101010101010102E-2</v>
      </c>
      <c r="F13651">
        <v>2</v>
      </c>
      <c r="G13651">
        <f>LOG(382/(2+1))</f>
        <v>2.1049421081920463</v>
      </c>
      <c r="H13651">
        <f>0.0101010101010101*4.84680831993846</f>
        <v>4.895765979735818E-2</v>
      </c>
      <c r="I13651">
        <v>4.8957659797358243E-2</v>
      </c>
    </row>
    <row r="13652" spans="1:9" x14ac:dyDescent="0.25">
      <c r="A13652">
        <v>474</v>
      </c>
      <c r="B13652" t="s">
        <v>3847</v>
      </c>
      <c r="C13652" t="s">
        <v>75</v>
      </c>
      <c r="D13652" t="s">
        <v>3852</v>
      </c>
      <c r="E13652">
        <f t="shared" si="641"/>
        <v>1.0101010101010102E-2</v>
      </c>
      <c r="F13652">
        <v>1</v>
      </c>
      <c r="G13652">
        <f>LOG(382/(1+1))</f>
        <v>2.2810333672477277</v>
      </c>
      <c r="H13652">
        <f>0.0101010101010101*5.25227342804663</f>
        <v>5.3053266949965955E-2</v>
      </c>
      <c r="I13652">
        <v>5.3053266949965962E-2</v>
      </c>
    </row>
    <row r="13653" spans="1:9" x14ac:dyDescent="0.25">
      <c r="A13653">
        <v>474</v>
      </c>
      <c r="B13653" t="s">
        <v>3847</v>
      </c>
      <c r="C13653" t="s">
        <v>75</v>
      </c>
      <c r="D13653" t="s">
        <v>3853</v>
      </c>
      <c r="E13653">
        <f t="shared" si="641"/>
        <v>1.0101010101010102E-2</v>
      </c>
      <c r="F13653">
        <v>1</v>
      </c>
      <c r="G13653">
        <f>LOG(382/(1+1))</f>
        <v>2.2810333672477277</v>
      </c>
      <c r="H13653">
        <f>0.0101010101010101*5.25227342804663</f>
        <v>5.3053266949965955E-2</v>
      </c>
      <c r="I13653">
        <v>5.3053266949965962E-2</v>
      </c>
    </row>
    <row r="13654" spans="1:9" x14ac:dyDescent="0.25">
      <c r="A13654">
        <v>474</v>
      </c>
      <c r="B13654" t="s">
        <v>3847</v>
      </c>
      <c r="C13654" t="s">
        <v>75</v>
      </c>
      <c r="D13654" t="s">
        <v>379</v>
      </c>
      <c r="E13654">
        <f t="shared" si="641"/>
        <v>1.0101010101010102E-2</v>
      </c>
      <c r="F13654">
        <v>17</v>
      </c>
      <c r="G13654">
        <f>LOG(382/(17+1))</f>
        <v>1.3267908578084027</v>
      </c>
      <c r="H13654">
        <f>0.0101010101010101*3.05504885071041</f>
        <v>3.0859079300105147E-2</v>
      </c>
      <c r="I13654">
        <v>3.0859079300105161E-2</v>
      </c>
    </row>
    <row r="13655" spans="1:9" x14ac:dyDescent="0.25">
      <c r="A13655">
        <v>474</v>
      </c>
      <c r="B13655" t="s">
        <v>3847</v>
      </c>
      <c r="C13655" t="s">
        <v>75</v>
      </c>
      <c r="D13655" t="s">
        <v>363</v>
      </c>
      <c r="E13655">
        <f t="shared" si="641"/>
        <v>1.0101010101010102E-2</v>
      </c>
      <c r="F13655">
        <v>36</v>
      </c>
      <c r="G13655">
        <f>LOG(382/(36+1))</f>
        <v>1.0138616388447137</v>
      </c>
      <c r="H13655">
        <f>0.0101010101010101*2.33450269596235</f>
        <v>2.3580835312751007E-2</v>
      </c>
      <c r="I13655">
        <v>2.3580835312751021E-2</v>
      </c>
    </row>
    <row r="13656" spans="1:9" x14ac:dyDescent="0.25">
      <c r="A13656">
        <v>474</v>
      </c>
      <c r="B13656" t="s">
        <v>3847</v>
      </c>
      <c r="C13656" t="s">
        <v>75</v>
      </c>
      <c r="D13656" t="s">
        <v>3854</v>
      </c>
      <c r="E13656">
        <f t="shared" si="641"/>
        <v>1.0101010101010102E-2</v>
      </c>
      <c r="F13656">
        <v>1</v>
      </c>
      <c r="G13656">
        <f>LOG(382/(1+1))</f>
        <v>2.2810333672477277</v>
      </c>
      <c r="H13656">
        <f>0.0101010101010101*5.25227342804663</f>
        <v>5.3053266949965955E-2</v>
      </c>
      <c r="I13656">
        <v>5.3053266949965962E-2</v>
      </c>
    </row>
    <row r="13657" spans="1:9" x14ac:dyDescent="0.25">
      <c r="A13657">
        <v>474</v>
      </c>
      <c r="B13657" t="s">
        <v>3847</v>
      </c>
      <c r="C13657" t="s">
        <v>75</v>
      </c>
      <c r="D13657" t="s">
        <v>1889</v>
      </c>
      <c r="E13657">
        <f>2/99</f>
        <v>2.0202020202020204E-2</v>
      </c>
      <c r="F13657">
        <v>2</v>
      </c>
      <c r="G13657">
        <f>LOG(382/(2+1))</f>
        <v>2.1049421081920463</v>
      </c>
      <c r="H13657">
        <f>0.0202020202020202*4.84680831993846</f>
        <v>9.791531959471636E-2</v>
      </c>
      <c r="I13657">
        <v>9.7915319594716485E-2</v>
      </c>
    </row>
    <row r="13658" spans="1:9" x14ac:dyDescent="0.25">
      <c r="A13658">
        <v>474</v>
      </c>
      <c r="B13658" t="s">
        <v>3847</v>
      </c>
      <c r="C13658" t="s">
        <v>75</v>
      </c>
      <c r="D13658" t="s">
        <v>746</v>
      </c>
      <c r="E13658">
        <f>1/99</f>
        <v>1.0101010101010102E-2</v>
      </c>
      <c r="F13658">
        <v>58</v>
      </c>
      <c r="G13658">
        <f>LOG(382/(58+1))</f>
        <v>0.81121135126956456</v>
      </c>
      <c r="H13658">
        <f>0.0101010101010101*1.86788316470085</f>
        <v>1.8867506714149999E-2</v>
      </c>
      <c r="I13658">
        <v>1.8867506714150061E-2</v>
      </c>
    </row>
    <row r="13659" spans="1:9" x14ac:dyDescent="0.25">
      <c r="A13659">
        <v>474</v>
      </c>
      <c r="B13659" t="s">
        <v>3847</v>
      </c>
      <c r="C13659" t="s">
        <v>75</v>
      </c>
      <c r="D13659" t="s">
        <v>1769</v>
      </c>
      <c r="E13659">
        <f>1/99</f>
        <v>1.0101010101010102E-2</v>
      </c>
      <c r="F13659">
        <v>84</v>
      </c>
      <c r="G13659">
        <f>LOG(382/(84+1))</f>
        <v>0.65264443719741605</v>
      </c>
      <c r="H13659">
        <f>0.0101010101010101*1.50276935211625</f>
        <v>1.5179488405214644E-2</v>
      </c>
      <c r="I13659">
        <v>1.517948840521474E-2</v>
      </c>
    </row>
    <row r="13660" spans="1:9" x14ac:dyDescent="0.25">
      <c r="A13660">
        <v>474</v>
      </c>
      <c r="B13660" t="s">
        <v>3847</v>
      </c>
      <c r="C13660" t="s">
        <v>75</v>
      </c>
      <c r="D13660" t="s">
        <v>362</v>
      </c>
      <c r="E13660">
        <f>2/99</f>
        <v>2.0202020202020204E-2</v>
      </c>
      <c r="F13660">
        <v>81</v>
      </c>
      <c r="G13660">
        <f>LOG(382/(81+1))</f>
        <v>0.66824951052799197</v>
      </c>
      <c r="H13660">
        <f>0.0202020202020202*1.53870136134232</f>
        <v>3.1084875986713532E-2</v>
      </c>
      <c r="I13660">
        <v>3.108487598671358E-2</v>
      </c>
    </row>
    <row r="13661" spans="1:9" x14ac:dyDescent="0.25">
      <c r="A13661">
        <v>474</v>
      </c>
      <c r="B13661" t="s">
        <v>3847</v>
      </c>
      <c r="C13661" t="s">
        <v>75</v>
      </c>
      <c r="D13661" t="s">
        <v>1333</v>
      </c>
      <c r="E13661">
        <f>1/99</f>
        <v>1.0101010101010102E-2</v>
      </c>
      <c r="F13661">
        <v>3</v>
      </c>
      <c r="G13661">
        <f>LOG(382/(3+1))</f>
        <v>1.9800033715837464</v>
      </c>
      <c r="H13661">
        <f>0.0101010101010101*4.55912624748668</f>
        <v>4.6051780277643228E-2</v>
      </c>
      <c r="I13661">
        <v>4.6051780277643277E-2</v>
      </c>
    </row>
    <row r="13662" spans="1:9" x14ac:dyDescent="0.25">
      <c r="A13662">
        <v>474</v>
      </c>
      <c r="B13662" t="s">
        <v>3847</v>
      </c>
      <c r="C13662" t="s">
        <v>75</v>
      </c>
      <c r="D13662" t="s">
        <v>3855</v>
      </c>
      <c r="E13662">
        <f>1/99</f>
        <v>1.0101010101010102E-2</v>
      </c>
      <c r="F13662">
        <v>1</v>
      </c>
      <c r="G13662">
        <f>LOG(382/(1+1))</f>
        <v>2.2810333672477277</v>
      </c>
      <c r="H13662">
        <f>0.0101010101010101*5.25227342804663</f>
        <v>5.3053266949965955E-2</v>
      </c>
      <c r="I13662">
        <v>5.3053266949965962E-2</v>
      </c>
    </row>
    <row r="13663" spans="1:9" x14ac:dyDescent="0.25">
      <c r="A13663">
        <v>474</v>
      </c>
      <c r="B13663" t="s">
        <v>3847</v>
      </c>
      <c r="C13663" t="s">
        <v>75</v>
      </c>
      <c r="D13663" t="s">
        <v>3856</v>
      </c>
      <c r="E13663">
        <f>1/99</f>
        <v>1.0101010101010102E-2</v>
      </c>
      <c r="F13663">
        <v>1</v>
      </c>
      <c r="G13663">
        <f>LOG(382/(1+1))</f>
        <v>2.2810333672477277</v>
      </c>
      <c r="H13663">
        <f>0.0101010101010101*5.25227342804663</f>
        <v>5.3053266949965955E-2</v>
      </c>
      <c r="I13663">
        <v>5.3053266949965962E-2</v>
      </c>
    </row>
    <row r="13664" spans="1:9" x14ac:dyDescent="0.25">
      <c r="A13664">
        <v>474</v>
      </c>
      <c r="B13664" t="s">
        <v>3847</v>
      </c>
      <c r="C13664" t="s">
        <v>75</v>
      </c>
      <c r="D13664" t="s">
        <v>1731</v>
      </c>
      <c r="E13664">
        <f>2/99</f>
        <v>2.0202020202020204E-2</v>
      </c>
      <c r="F13664">
        <v>15</v>
      </c>
      <c r="G13664">
        <f>LOG(382/(15+1))</f>
        <v>1.3779433802557839</v>
      </c>
      <c r="H13664">
        <f>0.0202020202020202*3.17283188636679</f>
        <v>6.4097613865995759E-2</v>
      </c>
      <c r="I13664">
        <v>6.4097613865995842E-2</v>
      </c>
    </row>
    <row r="13665" spans="1:9" x14ac:dyDescent="0.25">
      <c r="A13665">
        <v>474</v>
      </c>
      <c r="B13665" t="s">
        <v>3847</v>
      </c>
      <c r="C13665" t="s">
        <v>75</v>
      </c>
      <c r="D13665" t="s">
        <v>3411</v>
      </c>
      <c r="E13665">
        <f>3/99</f>
        <v>3.0303030303030304E-2</v>
      </c>
      <c r="F13665">
        <v>6</v>
      </c>
      <c r="G13665">
        <f>LOG(382/(6+1))</f>
        <v>1.736965322897452</v>
      </c>
      <c r="H13665">
        <f>0.0303030303030303*3.99951045955126</f>
        <v>0.12119728665306848</v>
      </c>
      <c r="I13665">
        <v>0.1211972866530685</v>
      </c>
    </row>
    <row r="13666" spans="1:9" x14ac:dyDescent="0.25">
      <c r="A13666">
        <v>474</v>
      </c>
      <c r="B13666" t="s">
        <v>3847</v>
      </c>
      <c r="C13666" t="s">
        <v>75</v>
      </c>
      <c r="D13666" t="s">
        <v>3857</v>
      </c>
      <c r="E13666">
        <f>3/99</f>
        <v>3.0303030303030304E-2</v>
      </c>
      <c r="F13666">
        <v>3</v>
      </c>
      <c r="G13666">
        <f>LOG(382/(3+1))</f>
        <v>1.9800033715837464</v>
      </c>
      <c r="H13666">
        <f>0.0303030303030303*4.55912624748668</f>
        <v>0.13815534083292969</v>
      </c>
      <c r="I13666">
        <v>0.1381553408329298</v>
      </c>
    </row>
    <row r="13667" spans="1:9" x14ac:dyDescent="0.25">
      <c r="A13667">
        <v>474</v>
      </c>
      <c r="B13667" t="s">
        <v>3847</v>
      </c>
      <c r="C13667" t="s">
        <v>75</v>
      </c>
      <c r="D13667" t="s">
        <v>211</v>
      </c>
      <c r="E13667">
        <f>1/99</f>
        <v>1.0101010101010102E-2</v>
      </c>
      <c r="F13667">
        <v>10</v>
      </c>
      <c r="G13667">
        <f>LOG(382/(10+1))</f>
        <v>1.5406706777534838</v>
      </c>
      <c r="H13667">
        <f>0.0101010101010101*3.5475253358082</f>
        <v>3.5833589250587876E-2</v>
      </c>
      <c r="I13667">
        <v>3.5833589250587931E-2</v>
      </c>
    </row>
    <row r="13668" spans="1:9" x14ac:dyDescent="0.25">
      <c r="A13668">
        <v>474</v>
      </c>
      <c r="B13668" t="s">
        <v>3847</v>
      </c>
      <c r="C13668" t="s">
        <v>75</v>
      </c>
      <c r="D13668" t="s">
        <v>3858</v>
      </c>
      <c r="E13668">
        <f>1/99</f>
        <v>1.0101010101010102E-2</v>
      </c>
      <c r="F13668">
        <v>1</v>
      </c>
      <c r="G13668">
        <f>LOG(382/(1+1))</f>
        <v>2.2810333672477277</v>
      </c>
      <c r="H13668">
        <f>0.0101010101010101*5.25227342804663</f>
        <v>5.3053266949965955E-2</v>
      </c>
      <c r="I13668">
        <v>5.3053266949965962E-2</v>
      </c>
    </row>
    <row r="13669" spans="1:9" x14ac:dyDescent="0.25">
      <c r="A13669">
        <v>474</v>
      </c>
      <c r="B13669" t="s">
        <v>3847</v>
      </c>
      <c r="C13669" t="s">
        <v>75</v>
      </c>
      <c r="D13669" t="s">
        <v>2376</v>
      </c>
      <c r="E13669">
        <f>1/99</f>
        <v>1.0101010101010102E-2</v>
      </c>
      <c r="F13669">
        <v>2</v>
      </c>
      <c r="G13669">
        <f>LOG(382/(2+1))</f>
        <v>2.1049421081920463</v>
      </c>
      <c r="H13669">
        <f>0.0101010101010101*4.84680831993846</f>
        <v>4.895765979735818E-2</v>
      </c>
      <c r="I13669">
        <v>4.8957659797358243E-2</v>
      </c>
    </row>
    <row r="13670" spans="1:9" x14ac:dyDescent="0.25">
      <c r="A13670">
        <v>474</v>
      </c>
      <c r="B13670" t="s">
        <v>3847</v>
      </c>
      <c r="C13670" t="s">
        <v>75</v>
      </c>
      <c r="D13670" t="s">
        <v>11</v>
      </c>
      <c r="E13670">
        <f>1/99</f>
        <v>1.0101010101010102E-2</v>
      </c>
      <c r="F13670">
        <v>83</v>
      </c>
      <c r="G13670">
        <f>LOG(382/(83+1))</f>
        <v>0.65778407684982709</v>
      </c>
      <c r="H13670">
        <f>0.0101010101010101*1.51460380976326</f>
        <v>1.5299028381447069E-2</v>
      </c>
      <c r="I13670">
        <v>1.529902838144709E-2</v>
      </c>
    </row>
    <row r="13671" spans="1:9" x14ac:dyDescent="0.25">
      <c r="A13671">
        <v>474</v>
      </c>
      <c r="B13671" t="s">
        <v>3847</v>
      </c>
      <c r="C13671" t="s">
        <v>75</v>
      </c>
      <c r="D13671" t="s">
        <v>3537</v>
      </c>
      <c r="E13671">
        <f>3/99</f>
        <v>3.0303030303030304E-2</v>
      </c>
      <c r="F13671">
        <v>10</v>
      </c>
      <c r="G13671">
        <f>LOG(382/(10+1))</f>
        <v>1.5406706777534838</v>
      </c>
      <c r="H13671">
        <f>0.0303030303030303*3.5475253358082</f>
        <v>0.10750076775176363</v>
      </c>
      <c r="I13671">
        <v>0.1075007677517638</v>
      </c>
    </row>
    <row r="13672" spans="1:9" x14ac:dyDescent="0.25">
      <c r="A13672">
        <v>474</v>
      </c>
      <c r="B13672" t="s">
        <v>3847</v>
      </c>
      <c r="C13672" t="s">
        <v>75</v>
      </c>
      <c r="D13672" t="s">
        <v>3859</v>
      </c>
      <c r="E13672">
        <f>1/99</f>
        <v>1.0101010101010102E-2</v>
      </c>
      <c r="F13672">
        <v>2</v>
      </c>
      <c r="G13672">
        <f>LOG(382/(2+1))</f>
        <v>2.1049421081920463</v>
      </c>
      <c r="H13672">
        <f>0.0101010101010101*4.84680831993846</f>
        <v>4.895765979735818E-2</v>
      </c>
      <c r="I13672">
        <v>4.8957659797358243E-2</v>
      </c>
    </row>
    <row r="13673" spans="1:9" x14ac:dyDescent="0.25">
      <c r="A13673">
        <v>474</v>
      </c>
      <c r="B13673" t="s">
        <v>3847</v>
      </c>
      <c r="C13673" t="s">
        <v>75</v>
      </c>
      <c r="D13673" t="s">
        <v>723</v>
      </c>
      <c r="E13673">
        <f>1/99</f>
        <v>1.0101010101010102E-2</v>
      </c>
      <c r="F13673">
        <v>3</v>
      </c>
      <c r="G13673">
        <f>LOG(382/(3+1))</f>
        <v>1.9800033715837464</v>
      </c>
      <c r="H13673">
        <f>0.0101010101010101*4.55912624748668</f>
        <v>4.6051780277643228E-2</v>
      </c>
      <c r="I13673">
        <v>4.6051780277643277E-2</v>
      </c>
    </row>
    <row r="13674" spans="1:9" x14ac:dyDescent="0.25">
      <c r="A13674">
        <v>474</v>
      </c>
      <c r="B13674" t="s">
        <v>3847</v>
      </c>
      <c r="C13674" t="s">
        <v>75</v>
      </c>
      <c r="D13674" t="s">
        <v>3860</v>
      </c>
      <c r="E13674">
        <f>1/99</f>
        <v>1.0101010101010102E-2</v>
      </c>
      <c r="F13674">
        <v>1</v>
      </c>
      <c r="G13674">
        <f>LOG(382/(1+1))</f>
        <v>2.2810333672477277</v>
      </c>
      <c r="H13674">
        <f>0.0101010101010101*5.25227342804663</f>
        <v>5.3053266949965955E-2</v>
      </c>
      <c r="I13674">
        <v>5.3053266949965962E-2</v>
      </c>
    </row>
    <row r="13675" spans="1:9" x14ac:dyDescent="0.25">
      <c r="A13675">
        <v>474</v>
      </c>
      <c r="B13675" t="s">
        <v>3847</v>
      </c>
      <c r="C13675" t="s">
        <v>75</v>
      </c>
      <c r="D13675" t="s">
        <v>3861</v>
      </c>
      <c r="E13675">
        <f>1/99</f>
        <v>1.0101010101010102E-2</v>
      </c>
      <c r="F13675">
        <v>1</v>
      </c>
      <c r="G13675">
        <f>LOG(382/(1+1))</f>
        <v>2.2810333672477277</v>
      </c>
      <c r="H13675">
        <f>0.0101010101010101*5.25227342804663</f>
        <v>5.3053266949965955E-2</v>
      </c>
      <c r="I13675">
        <v>5.3053266949965962E-2</v>
      </c>
    </row>
    <row r="13676" spans="1:9" x14ac:dyDescent="0.25">
      <c r="A13676">
        <v>474</v>
      </c>
      <c r="B13676" t="s">
        <v>3847</v>
      </c>
      <c r="C13676" t="s">
        <v>75</v>
      </c>
      <c r="D13676" t="s">
        <v>151</v>
      </c>
      <c r="E13676">
        <f>2/99</f>
        <v>2.0202020202020204E-2</v>
      </c>
      <c r="F13676">
        <v>14</v>
      </c>
      <c r="G13676">
        <f>LOG(382/(14+1))</f>
        <v>1.4059721038560276</v>
      </c>
      <c r="H13676">
        <f>0.0202020202020202*3.23737040750436</f>
        <v>6.5401422373825444E-2</v>
      </c>
      <c r="I13676">
        <v>6.5401422373825568E-2</v>
      </c>
    </row>
    <row r="13677" spans="1:9" x14ac:dyDescent="0.25">
      <c r="A13677">
        <v>474</v>
      </c>
      <c r="B13677" t="s">
        <v>3847</v>
      </c>
      <c r="C13677" t="s">
        <v>75</v>
      </c>
      <c r="D13677" t="s">
        <v>3862</v>
      </c>
      <c r="E13677">
        <f t="shared" ref="E13677:E13690" si="642">1/99</f>
        <v>1.0101010101010102E-2</v>
      </c>
      <c r="F13677">
        <v>1</v>
      </c>
      <c r="G13677">
        <f>LOG(382/(1+1))</f>
        <v>2.2810333672477277</v>
      </c>
      <c r="H13677">
        <f>0.0101010101010101*5.25227342804663</f>
        <v>5.3053266949965955E-2</v>
      </c>
      <c r="I13677">
        <v>5.3053266949965962E-2</v>
      </c>
    </row>
    <row r="13678" spans="1:9" x14ac:dyDescent="0.25">
      <c r="A13678">
        <v>474</v>
      </c>
      <c r="B13678" t="s">
        <v>3847</v>
      </c>
      <c r="C13678" t="s">
        <v>75</v>
      </c>
      <c r="D13678" t="s">
        <v>3863</v>
      </c>
      <c r="E13678">
        <f t="shared" si="642"/>
        <v>1.0101010101010102E-2</v>
      </c>
      <c r="F13678">
        <v>2</v>
      </c>
      <c r="G13678">
        <f>LOG(382/(2+1))</f>
        <v>2.1049421081920463</v>
      </c>
      <c r="H13678">
        <f>0.0101010101010101*4.84680831993846</f>
        <v>4.895765979735818E-2</v>
      </c>
      <c r="I13678">
        <v>4.8957659797358243E-2</v>
      </c>
    </row>
    <row r="13679" spans="1:9" x14ac:dyDescent="0.25">
      <c r="A13679">
        <v>474</v>
      </c>
      <c r="B13679" t="s">
        <v>3847</v>
      </c>
      <c r="C13679" t="s">
        <v>75</v>
      </c>
      <c r="D13679" t="s">
        <v>485</v>
      </c>
      <c r="E13679">
        <f t="shared" si="642"/>
        <v>1.0101010101010102E-2</v>
      </c>
      <c r="F13679">
        <v>74</v>
      </c>
      <c r="G13679">
        <f>LOG(382/(74+1))</f>
        <v>0.7070020995200087</v>
      </c>
      <c r="H13679">
        <f>0.0101010101010101*1.62793249507026</f>
        <v>1.644376257646727E-2</v>
      </c>
      <c r="I13679">
        <v>1.6443762576467319E-2</v>
      </c>
    </row>
    <row r="13680" spans="1:9" x14ac:dyDescent="0.25">
      <c r="A13680">
        <v>474</v>
      </c>
      <c r="B13680" t="s">
        <v>3847</v>
      </c>
      <c r="C13680" t="s">
        <v>75</v>
      </c>
      <c r="D13680" t="s">
        <v>260</v>
      </c>
      <c r="E13680">
        <f t="shared" si="642"/>
        <v>1.0101010101010102E-2</v>
      </c>
      <c r="F13680">
        <v>31</v>
      </c>
      <c r="G13680">
        <f>LOG(382/(31+1))</f>
        <v>1.0769133845918029</v>
      </c>
      <c r="H13680">
        <f>0.0101010101010101*2.47968470580684</f>
        <v>2.504732026067515E-2</v>
      </c>
      <c r="I13680">
        <v>2.504732026067524E-2</v>
      </c>
    </row>
    <row r="13681" spans="1:9" x14ac:dyDescent="0.25">
      <c r="A13681">
        <v>474</v>
      </c>
      <c r="B13681" t="s">
        <v>3847</v>
      </c>
      <c r="C13681" t="s">
        <v>75</v>
      </c>
      <c r="D13681" t="s">
        <v>24</v>
      </c>
      <c r="E13681">
        <f t="shared" si="642"/>
        <v>1.0101010101010102E-2</v>
      </c>
      <c r="F13681">
        <v>59</v>
      </c>
      <c r="G13681">
        <f>LOG(382/(59+1))</f>
        <v>0.80391211252806505</v>
      </c>
      <c r="H13681">
        <f>0.0101010101010101*1.85107604638447</f>
        <v>1.8697737842267373E-2</v>
      </c>
      <c r="I13681">
        <v>1.8697737842267421E-2</v>
      </c>
    </row>
    <row r="13682" spans="1:9" x14ac:dyDescent="0.25">
      <c r="A13682">
        <v>474</v>
      </c>
      <c r="B13682" t="s">
        <v>3847</v>
      </c>
      <c r="C13682" t="s">
        <v>75</v>
      </c>
      <c r="D13682" t="s">
        <v>3864</v>
      </c>
      <c r="E13682">
        <f t="shared" si="642"/>
        <v>1.0101010101010102E-2</v>
      </c>
      <c r="F13682">
        <v>3</v>
      </c>
      <c r="G13682">
        <f>LOG(382/(3+1))</f>
        <v>1.9800033715837464</v>
      </c>
      <c r="H13682">
        <f>0.0101010101010101*4.55912624748668</f>
        <v>4.6051780277643228E-2</v>
      </c>
      <c r="I13682">
        <v>4.6051780277643277E-2</v>
      </c>
    </row>
    <row r="13683" spans="1:9" x14ac:dyDescent="0.25">
      <c r="A13683">
        <v>474</v>
      </c>
      <c r="B13683" t="s">
        <v>3847</v>
      </c>
      <c r="C13683" t="s">
        <v>75</v>
      </c>
      <c r="D13683" t="s">
        <v>2448</v>
      </c>
      <c r="E13683">
        <f t="shared" si="642"/>
        <v>1.0101010101010102E-2</v>
      </c>
      <c r="F13683">
        <v>4</v>
      </c>
      <c r="G13683">
        <f>LOG(382/(4+1))</f>
        <v>1.8830933585756899</v>
      </c>
      <c r="H13683">
        <f>0.0101010101010101*4.33598269617247</f>
        <v>4.3797805011843133E-2</v>
      </c>
      <c r="I13683">
        <v>4.3797805011843181E-2</v>
      </c>
    </row>
    <row r="13684" spans="1:9" x14ac:dyDescent="0.25">
      <c r="A13684">
        <v>474</v>
      </c>
      <c r="B13684" t="s">
        <v>3847</v>
      </c>
      <c r="C13684" t="s">
        <v>75</v>
      </c>
      <c r="D13684" t="s">
        <v>442</v>
      </c>
      <c r="E13684">
        <f t="shared" si="642"/>
        <v>1.0101010101010102E-2</v>
      </c>
      <c r="F13684">
        <v>9</v>
      </c>
      <c r="G13684">
        <f>LOG(382/(9+1))</f>
        <v>1.5820633629117087</v>
      </c>
      <c r="H13684">
        <f>0.0101010101010101*3.64283551561252</f>
        <v>3.6796318339520399E-2</v>
      </c>
      <c r="I13684">
        <v>3.6796318339520503E-2</v>
      </c>
    </row>
    <row r="13685" spans="1:9" x14ac:dyDescent="0.25">
      <c r="A13685">
        <v>474</v>
      </c>
      <c r="B13685" t="s">
        <v>3847</v>
      </c>
      <c r="C13685" t="s">
        <v>75</v>
      </c>
      <c r="D13685" t="s">
        <v>3865</v>
      </c>
      <c r="E13685">
        <f t="shared" si="642"/>
        <v>1.0101010101010102E-2</v>
      </c>
      <c r="F13685">
        <v>3</v>
      </c>
      <c r="G13685">
        <f>LOG(382/(3+1))</f>
        <v>1.9800033715837464</v>
      </c>
      <c r="H13685">
        <f>0.0101010101010101*4.55912624748668</f>
        <v>4.6051780277643228E-2</v>
      </c>
      <c r="I13685">
        <v>4.6051780277643277E-2</v>
      </c>
    </row>
    <row r="13686" spans="1:9" x14ac:dyDescent="0.25">
      <c r="A13686">
        <v>474</v>
      </c>
      <c r="B13686" t="s">
        <v>3847</v>
      </c>
      <c r="C13686" t="s">
        <v>75</v>
      </c>
      <c r="D13686" t="s">
        <v>3866</v>
      </c>
      <c r="E13686">
        <f t="shared" si="642"/>
        <v>1.0101010101010102E-2</v>
      </c>
      <c r="F13686">
        <v>1</v>
      </c>
      <c r="G13686">
        <f>LOG(382/(1+1))</f>
        <v>2.2810333672477277</v>
      </c>
      <c r="H13686">
        <f>0.0101010101010101*5.25227342804663</f>
        <v>5.3053266949965955E-2</v>
      </c>
      <c r="I13686">
        <v>5.3053266949965962E-2</v>
      </c>
    </row>
    <row r="13687" spans="1:9" x14ac:dyDescent="0.25">
      <c r="A13687">
        <v>474</v>
      </c>
      <c r="B13687" t="s">
        <v>3847</v>
      </c>
      <c r="C13687" t="s">
        <v>75</v>
      </c>
      <c r="D13687" t="s">
        <v>3867</v>
      </c>
      <c r="E13687">
        <f t="shared" si="642"/>
        <v>1.0101010101010102E-2</v>
      </c>
      <c r="F13687">
        <v>1</v>
      </c>
      <c r="G13687">
        <f>LOG(382/(1+1))</f>
        <v>2.2810333672477277</v>
      </c>
      <c r="H13687">
        <f>0.0101010101010101*5.25227342804663</f>
        <v>5.3053266949965955E-2</v>
      </c>
      <c r="I13687">
        <v>5.3053266949965962E-2</v>
      </c>
    </row>
    <row r="13688" spans="1:9" x14ac:dyDescent="0.25">
      <c r="A13688">
        <v>474</v>
      </c>
      <c r="B13688" t="s">
        <v>3847</v>
      </c>
      <c r="C13688" t="s">
        <v>75</v>
      </c>
      <c r="D13688" t="s">
        <v>3631</v>
      </c>
      <c r="E13688">
        <f t="shared" si="642"/>
        <v>1.0101010101010102E-2</v>
      </c>
      <c r="F13688">
        <v>4</v>
      </c>
      <c r="G13688">
        <f>LOG(382/(4+1))</f>
        <v>1.8830933585756899</v>
      </c>
      <c r="H13688">
        <f>0.0101010101010101*4.33598269617247</f>
        <v>4.3797805011843133E-2</v>
      </c>
      <c r="I13688">
        <v>4.3797805011843181E-2</v>
      </c>
    </row>
    <row r="13689" spans="1:9" x14ac:dyDescent="0.25">
      <c r="A13689">
        <v>474</v>
      </c>
      <c r="B13689" t="s">
        <v>3847</v>
      </c>
      <c r="C13689" t="s">
        <v>75</v>
      </c>
      <c r="D13689" t="s">
        <v>3868</v>
      </c>
      <c r="E13689">
        <f t="shared" si="642"/>
        <v>1.0101010101010102E-2</v>
      </c>
      <c r="F13689">
        <v>1</v>
      </c>
      <c r="G13689">
        <f>LOG(382/(1+1))</f>
        <v>2.2810333672477277</v>
      </c>
      <c r="H13689">
        <f>0.0101010101010101*5.25227342804663</f>
        <v>5.3053266949965955E-2</v>
      </c>
      <c r="I13689">
        <v>5.3053266949965962E-2</v>
      </c>
    </row>
    <row r="13690" spans="1:9" x14ac:dyDescent="0.25">
      <c r="A13690">
        <v>474</v>
      </c>
      <c r="B13690" t="s">
        <v>3847</v>
      </c>
      <c r="C13690" t="s">
        <v>75</v>
      </c>
      <c r="D13690" t="s">
        <v>953</v>
      </c>
      <c r="E13690">
        <f t="shared" si="642"/>
        <v>1.0101010101010102E-2</v>
      </c>
      <c r="F13690">
        <v>16</v>
      </c>
      <c r="G13690">
        <f>LOG(382/(16+1))</f>
        <v>1.3516144415334348</v>
      </c>
      <c r="H13690">
        <f>0.0101010101010101*3.11220726455035</f>
        <v>3.1436437015660096E-2</v>
      </c>
      <c r="I13690">
        <v>3.1436437015660193E-2</v>
      </c>
    </row>
    <row r="13691" spans="1:9" x14ac:dyDescent="0.25">
      <c r="A13691">
        <v>475</v>
      </c>
      <c r="B13691" t="s">
        <v>3869</v>
      </c>
      <c r="C13691" t="s">
        <v>75</v>
      </c>
      <c r="D13691" t="s">
        <v>1654</v>
      </c>
      <c r="E13691">
        <f>5/101</f>
        <v>4.9504950495049507E-2</v>
      </c>
      <c r="F13691">
        <v>4</v>
      </c>
      <c r="G13691">
        <f>LOG(382/(4+1))</f>
        <v>1.8830933585756899</v>
      </c>
      <c r="H13691">
        <f>0.0495049504950495*4.33598269617247</f>
        <v>0.2146526087214094</v>
      </c>
      <c r="I13691">
        <v>0.21465260872140959</v>
      </c>
    </row>
    <row r="13692" spans="1:9" x14ac:dyDescent="0.25">
      <c r="A13692">
        <v>475</v>
      </c>
      <c r="B13692" t="s">
        <v>3869</v>
      </c>
      <c r="C13692" t="s">
        <v>75</v>
      </c>
      <c r="D13692" t="s">
        <v>2231</v>
      </c>
      <c r="E13692">
        <f>5/101</f>
        <v>4.9504950495049507E-2</v>
      </c>
      <c r="F13692">
        <v>23</v>
      </c>
      <c r="G13692">
        <f>LOG(382/(23+1))</f>
        <v>1.2018521212001028</v>
      </c>
      <c r="H13692">
        <f>0.0495049504950495*2.76736677825862</f>
        <v>0.13699835535933763</v>
      </c>
      <c r="I13692">
        <v>0.1369983553593381</v>
      </c>
    </row>
    <row r="13693" spans="1:9" x14ac:dyDescent="0.25">
      <c r="A13693">
        <v>475</v>
      </c>
      <c r="B13693" t="s">
        <v>3869</v>
      </c>
      <c r="C13693" t="s">
        <v>75</v>
      </c>
      <c r="D13693" t="s">
        <v>1537</v>
      </c>
      <c r="E13693">
        <f>5/101</f>
        <v>4.9504950495049507E-2</v>
      </c>
      <c r="F13693">
        <v>80</v>
      </c>
      <c r="G13693">
        <f>LOG(382/(80+1))</f>
        <v>0.67357834403305894</v>
      </c>
      <c r="H13693">
        <f>0.0495049504950495*1.55097145393413</f>
        <v>7.6780765046244051E-2</v>
      </c>
      <c r="I13693">
        <v>7.6780765046244384E-2</v>
      </c>
    </row>
    <row r="13694" spans="1:9" x14ac:dyDescent="0.25">
      <c r="A13694">
        <v>475</v>
      </c>
      <c r="B13694" t="s">
        <v>3869</v>
      </c>
      <c r="C13694" t="s">
        <v>75</v>
      </c>
      <c r="D13694" t="s">
        <v>42</v>
      </c>
      <c r="E13694">
        <f>1/101</f>
        <v>9.9009900990099011E-3</v>
      </c>
      <c r="F13694">
        <v>251</v>
      </c>
      <c r="G13694">
        <f>LOG(382/(251+1))</f>
        <v>0.18066282213016463</v>
      </c>
      <c r="H13694">
        <f>0.0099009900990099*0.415991521095151</f>
        <v>4.1187279316351579E-3</v>
      </c>
      <c r="I13694">
        <v>4.1187279316351674E-3</v>
      </c>
    </row>
    <row r="13695" spans="1:9" x14ac:dyDescent="0.25">
      <c r="A13695">
        <v>475</v>
      </c>
      <c r="B13695" t="s">
        <v>3869</v>
      </c>
      <c r="C13695" t="s">
        <v>75</v>
      </c>
      <c r="D13695" t="s">
        <v>636</v>
      </c>
      <c r="E13695">
        <f>2/101</f>
        <v>1.9801980198019802E-2</v>
      </c>
      <c r="F13695">
        <v>31</v>
      </c>
      <c r="G13695">
        <f>LOG(382/(31+1))</f>
        <v>1.0769133845918029</v>
      </c>
      <c r="H13695">
        <f>0.0198019801980198*2.47968470580684</f>
        <v>4.9102667441719594E-2</v>
      </c>
      <c r="I13695">
        <v>4.9102667441719768E-2</v>
      </c>
    </row>
    <row r="13696" spans="1:9" x14ac:dyDescent="0.25">
      <c r="A13696">
        <v>475</v>
      </c>
      <c r="B13696" t="s">
        <v>3869</v>
      </c>
      <c r="C13696" t="s">
        <v>75</v>
      </c>
      <c r="D13696" t="s">
        <v>3870</v>
      </c>
      <c r="E13696">
        <f t="shared" ref="E13696:E13703" si="643">1/101</f>
        <v>9.9009900990099011E-3</v>
      </c>
      <c r="F13696">
        <v>1</v>
      </c>
      <c r="G13696">
        <f>LOG(382/(1+1))</f>
        <v>2.2810333672477277</v>
      </c>
      <c r="H13696">
        <f>0.0099009900990099*5.25227342804663</f>
        <v>5.2002707208382466E-2</v>
      </c>
      <c r="I13696">
        <v>5.2002707208382473E-2</v>
      </c>
    </row>
    <row r="13697" spans="1:9" x14ac:dyDescent="0.25">
      <c r="A13697">
        <v>475</v>
      </c>
      <c r="B13697" t="s">
        <v>3869</v>
      </c>
      <c r="C13697" t="s">
        <v>75</v>
      </c>
      <c r="D13697" t="s">
        <v>19</v>
      </c>
      <c r="E13697">
        <f t="shared" si="643"/>
        <v>9.9009900990099011E-3</v>
      </c>
      <c r="F13697">
        <v>220</v>
      </c>
      <c r="G13697">
        <f>LOG(382/(220+1))</f>
        <v>0.23767108922659805</v>
      </c>
      <c r="H13697">
        <f>0.0099009900990099*0.547257907088822</f>
        <v>5.4183951196913067E-3</v>
      </c>
      <c r="I13697">
        <v>5.418395119691311E-3</v>
      </c>
    </row>
    <row r="13698" spans="1:9" x14ac:dyDescent="0.25">
      <c r="A13698">
        <v>475</v>
      </c>
      <c r="B13698" t="s">
        <v>3869</v>
      </c>
      <c r="C13698" t="s">
        <v>75</v>
      </c>
      <c r="D13698" t="s">
        <v>44</v>
      </c>
      <c r="E13698">
        <f t="shared" si="643"/>
        <v>9.9009900990099011E-3</v>
      </c>
      <c r="F13698">
        <v>151</v>
      </c>
      <c r="G13698">
        <f>LOG(382/(151+1))</f>
        <v>0.40021977496693617</v>
      </c>
      <c r="H13698">
        <f>0.0099009900990099*0.921540087760298</f>
        <v>9.1241592847554256E-3</v>
      </c>
      <c r="I13698">
        <v>9.1241592847554325E-3</v>
      </c>
    </row>
    <row r="13699" spans="1:9" x14ac:dyDescent="0.25">
      <c r="A13699">
        <v>475</v>
      </c>
      <c r="B13699" t="s">
        <v>3869</v>
      </c>
      <c r="C13699" t="s">
        <v>75</v>
      </c>
      <c r="D13699" t="s">
        <v>22</v>
      </c>
      <c r="E13699">
        <f t="shared" si="643"/>
        <v>9.9009900990099011E-3</v>
      </c>
      <c r="F13699">
        <v>259</v>
      </c>
      <c r="G13699">
        <f>LOG(382/(259+1))</f>
        <v>0.16709001494089079</v>
      </c>
      <c r="H13699">
        <f>0.0099009900990099*0.384738977591047</f>
        <v>3.8092968078321482E-3</v>
      </c>
      <c r="I13699">
        <v>3.8092968078321538E-3</v>
      </c>
    </row>
    <row r="13700" spans="1:9" x14ac:dyDescent="0.25">
      <c r="A13700">
        <v>475</v>
      </c>
      <c r="B13700" t="s">
        <v>3869</v>
      </c>
      <c r="C13700" t="s">
        <v>75</v>
      </c>
      <c r="D13700" t="s">
        <v>23</v>
      </c>
      <c r="E13700">
        <f t="shared" si="643"/>
        <v>9.9009900990099011E-3</v>
      </c>
      <c r="F13700">
        <v>275</v>
      </c>
      <c r="G13700">
        <f>LOG(382/(275+1))</f>
        <v>0.14115428084649101</v>
      </c>
      <c r="H13700">
        <f>0.0099009900990099*0.325019742889425</f>
        <v>3.2180172563309396E-3</v>
      </c>
      <c r="I13700">
        <v>3.2180172563309418E-3</v>
      </c>
    </row>
    <row r="13701" spans="1:9" x14ac:dyDescent="0.25">
      <c r="A13701">
        <v>475</v>
      </c>
      <c r="B13701" t="s">
        <v>3869</v>
      </c>
      <c r="C13701" t="s">
        <v>75</v>
      </c>
      <c r="D13701" t="s">
        <v>24</v>
      </c>
      <c r="E13701">
        <f t="shared" si="643"/>
        <v>9.9009900990099011E-3</v>
      </c>
      <c r="F13701">
        <v>59</v>
      </c>
      <c r="G13701">
        <f>LOG(382/(59+1))</f>
        <v>0.80391211252806505</v>
      </c>
      <c r="H13701">
        <f>0.0099009900990099*1.85107604638447</f>
        <v>1.8327485607767025E-2</v>
      </c>
      <c r="I13701">
        <v>1.832748560776707E-2</v>
      </c>
    </row>
    <row r="13702" spans="1:9" x14ac:dyDescent="0.25">
      <c r="A13702">
        <v>475</v>
      </c>
      <c r="B13702" t="s">
        <v>3869</v>
      </c>
      <c r="C13702" t="s">
        <v>75</v>
      </c>
      <c r="D13702" t="s">
        <v>105</v>
      </c>
      <c r="E13702">
        <f t="shared" si="643"/>
        <v>9.9009900990099011E-3</v>
      </c>
      <c r="F13702">
        <v>122</v>
      </c>
      <c r="G13702">
        <f>LOG(382/(122+1))</f>
        <v>0.49215825147231079</v>
      </c>
      <c r="H13702">
        <f>0.0099009900990099*1.13323625323415</f>
        <v>1.1220160923110394E-2</v>
      </c>
      <c r="I13702">
        <v>1.122016092311047E-2</v>
      </c>
    </row>
    <row r="13703" spans="1:9" x14ac:dyDescent="0.25">
      <c r="A13703">
        <v>475</v>
      </c>
      <c r="B13703" t="s">
        <v>3869</v>
      </c>
      <c r="C13703" t="s">
        <v>75</v>
      </c>
      <c r="D13703" t="s">
        <v>1762</v>
      </c>
      <c r="E13703">
        <f t="shared" si="643"/>
        <v>9.9009900990099011E-3</v>
      </c>
      <c r="F13703">
        <v>60</v>
      </c>
      <c r="G13703">
        <f>LOG(382/(60+1))</f>
        <v>0.79673352790094176</v>
      </c>
      <c r="H13703">
        <f>0.0099009900990099*1.83454674443326</f>
        <v>1.816382915280455E-2</v>
      </c>
      <c r="I13703">
        <v>1.8163829152804591E-2</v>
      </c>
    </row>
    <row r="13704" spans="1:9" x14ac:dyDescent="0.25">
      <c r="A13704">
        <v>475</v>
      </c>
      <c r="B13704" t="s">
        <v>3869</v>
      </c>
      <c r="C13704" t="s">
        <v>75</v>
      </c>
      <c r="D13704" t="s">
        <v>3340</v>
      </c>
      <c r="E13704">
        <f>3/101</f>
        <v>2.9702970297029702E-2</v>
      </c>
      <c r="F13704">
        <v>4</v>
      </c>
      <c r="G13704">
        <f>LOG(382/(4+1))</f>
        <v>1.8830933585756899</v>
      </c>
      <c r="H13704">
        <f>0.0297029702970297*4.33598269617247</f>
        <v>0.12879156523284566</v>
      </c>
      <c r="I13704">
        <v>0.12879156523284579</v>
      </c>
    </row>
    <row r="13705" spans="1:9" x14ac:dyDescent="0.25">
      <c r="A13705">
        <v>475</v>
      </c>
      <c r="B13705" t="s">
        <v>3869</v>
      </c>
      <c r="C13705" t="s">
        <v>75</v>
      </c>
      <c r="D13705" t="s">
        <v>3871</v>
      </c>
      <c r="E13705">
        <f>1/101</f>
        <v>9.9009900990099011E-3</v>
      </c>
      <c r="F13705">
        <v>1</v>
      </c>
      <c r="G13705">
        <f>LOG(382/(1+1))</f>
        <v>2.2810333672477277</v>
      </c>
      <c r="H13705">
        <f>0.0099009900990099*5.25227342804663</f>
        <v>5.2002707208382466E-2</v>
      </c>
      <c r="I13705">
        <v>5.2002707208382473E-2</v>
      </c>
    </row>
    <row r="13706" spans="1:9" x14ac:dyDescent="0.25">
      <c r="A13706">
        <v>475</v>
      </c>
      <c r="B13706" t="s">
        <v>3869</v>
      </c>
      <c r="C13706" t="s">
        <v>75</v>
      </c>
      <c r="D13706" t="s">
        <v>78</v>
      </c>
      <c r="E13706">
        <f>2/101</f>
        <v>1.9801980198019802E-2</v>
      </c>
      <c r="F13706">
        <v>122</v>
      </c>
      <c r="G13706">
        <f>LOG(382/(122+1))</f>
        <v>0.49215825147231079</v>
      </c>
      <c r="H13706">
        <f>0.0198019801980198*1.13323625323415</f>
        <v>2.2440321846220787E-2</v>
      </c>
      <c r="I13706">
        <v>2.244032184622094E-2</v>
      </c>
    </row>
    <row r="13707" spans="1:9" x14ac:dyDescent="0.25">
      <c r="A13707">
        <v>475</v>
      </c>
      <c r="B13707" t="s">
        <v>3869</v>
      </c>
      <c r="C13707" t="s">
        <v>75</v>
      </c>
      <c r="D13707" t="s">
        <v>1366</v>
      </c>
      <c r="E13707">
        <f t="shared" ref="E13707:E13722" si="644">1/101</f>
        <v>9.9009900990099011E-3</v>
      </c>
      <c r="F13707">
        <v>4</v>
      </c>
      <c r="G13707">
        <f>LOG(382/(4+1))</f>
        <v>1.8830933585756899</v>
      </c>
      <c r="H13707">
        <f>0.0099009900990099*4.33598269617247</f>
        <v>4.2930521744281878E-2</v>
      </c>
      <c r="I13707">
        <v>4.2930521744281927E-2</v>
      </c>
    </row>
    <row r="13708" spans="1:9" x14ac:dyDescent="0.25">
      <c r="A13708">
        <v>475</v>
      </c>
      <c r="B13708" t="s">
        <v>3869</v>
      </c>
      <c r="C13708" t="s">
        <v>75</v>
      </c>
      <c r="D13708" t="s">
        <v>3432</v>
      </c>
      <c r="E13708">
        <f t="shared" si="644"/>
        <v>9.9009900990099011E-3</v>
      </c>
      <c r="F13708">
        <v>8</v>
      </c>
      <c r="G13708">
        <f>LOG(382/(8+1))</f>
        <v>1.6278208534723839</v>
      </c>
      <c r="H13708">
        <f>0.0099009900990099*3.74819603127035</f>
        <v>3.7110851794755935E-2</v>
      </c>
      <c r="I13708">
        <v>3.7110851794755997E-2</v>
      </c>
    </row>
    <row r="13709" spans="1:9" x14ac:dyDescent="0.25">
      <c r="A13709">
        <v>475</v>
      </c>
      <c r="B13709" t="s">
        <v>3869</v>
      </c>
      <c r="C13709" t="s">
        <v>75</v>
      </c>
      <c r="D13709" t="s">
        <v>256</v>
      </c>
      <c r="E13709">
        <f t="shared" si="644"/>
        <v>9.9009900990099011E-3</v>
      </c>
      <c r="F13709">
        <v>28</v>
      </c>
      <c r="G13709">
        <f>LOG(382/(28+1))</f>
        <v>1.1196653650127526</v>
      </c>
      <c r="H13709">
        <f>0.0099009900990099*2.5781247786201</f>
        <v>2.5525987907129698E-2</v>
      </c>
      <c r="I13709">
        <v>2.5525987907129719E-2</v>
      </c>
    </row>
    <row r="13710" spans="1:9" x14ac:dyDescent="0.25">
      <c r="A13710">
        <v>475</v>
      </c>
      <c r="B13710" t="s">
        <v>3869</v>
      </c>
      <c r="C13710" t="s">
        <v>75</v>
      </c>
      <c r="D13710" t="s">
        <v>3872</v>
      </c>
      <c r="E13710">
        <f t="shared" si="644"/>
        <v>9.9009900990099011E-3</v>
      </c>
      <c r="F13710">
        <v>1</v>
      </c>
      <c r="G13710">
        <f>LOG(382/(1+1))</f>
        <v>2.2810333672477277</v>
      </c>
      <c r="H13710">
        <f>0.0099009900990099*5.25227342804663</f>
        <v>5.2002707208382466E-2</v>
      </c>
      <c r="I13710">
        <v>5.2002707208382473E-2</v>
      </c>
    </row>
    <row r="13711" spans="1:9" x14ac:dyDescent="0.25">
      <c r="A13711">
        <v>475</v>
      </c>
      <c r="B13711" t="s">
        <v>3869</v>
      </c>
      <c r="C13711" t="s">
        <v>75</v>
      </c>
      <c r="D13711" t="s">
        <v>133</v>
      </c>
      <c r="E13711">
        <f t="shared" si="644"/>
        <v>9.9009900990099011E-3</v>
      </c>
      <c r="F13711">
        <v>142</v>
      </c>
      <c r="G13711">
        <f>LOG(382/(142+1))</f>
        <v>0.42672732544664693</v>
      </c>
      <c r="H13711">
        <f>0.0099009900990099*0.982575978346667</f>
        <v>9.728475033135316E-3</v>
      </c>
      <c r="I13711">
        <v>9.7284750331353264E-3</v>
      </c>
    </row>
    <row r="13712" spans="1:9" x14ac:dyDescent="0.25">
      <c r="A13712">
        <v>475</v>
      </c>
      <c r="B13712" t="s">
        <v>3869</v>
      </c>
      <c r="C13712" t="s">
        <v>75</v>
      </c>
      <c r="D13712" t="s">
        <v>1769</v>
      </c>
      <c r="E13712">
        <f t="shared" si="644"/>
        <v>9.9009900990099011E-3</v>
      </c>
      <c r="F13712">
        <v>84</v>
      </c>
      <c r="G13712">
        <f>LOG(382/(84+1))</f>
        <v>0.65264443719741605</v>
      </c>
      <c r="H13712">
        <f>0.0099009900990099*1.50276935211625</f>
        <v>1.4878904476398513E-2</v>
      </c>
      <c r="I13712">
        <v>1.4878904476398599E-2</v>
      </c>
    </row>
    <row r="13713" spans="1:9" x14ac:dyDescent="0.25">
      <c r="A13713">
        <v>475</v>
      </c>
      <c r="B13713" t="s">
        <v>3869</v>
      </c>
      <c r="C13713" t="s">
        <v>75</v>
      </c>
      <c r="D13713" t="s">
        <v>3873</v>
      </c>
      <c r="E13713">
        <f t="shared" si="644"/>
        <v>9.9009900990099011E-3</v>
      </c>
      <c r="F13713">
        <v>1</v>
      </c>
      <c r="G13713">
        <f>LOG(382/(1+1))</f>
        <v>2.2810333672477277</v>
      </c>
      <c r="H13713">
        <f>0.0099009900990099*5.25227342804663</f>
        <v>5.2002707208382466E-2</v>
      </c>
      <c r="I13713">
        <v>5.2002707208382473E-2</v>
      </c>
    </row>
    <row r="13714" spans="1:9" x14ac:dyDescent="0.25">
      <c r="A13714">
        <v>475</v>
      </c>
      <c r="B13714" t="s">
        <v>3869</v>
      </c>
      <c r="C13714" t="s">
        <v>75</v>
      </c>
      <c r="D13714" t="s">
        <v>3874</v>
      </c>
      <c r="E13714">
        <f t="shared" si="644"/>
        <v>9.9009900990099011E-3</v>
      </c>
      <c r="F13714">
        <v>1</v>
      </c>
      <c r="G13714">
        <f>LOG(382/(1+1))</f>
        <v>2.2810333672477277</v>
      </c>
      <c r="H13714">
        <f>0.0099009900990099*5.25227342804663</f>
        <v>5.2002707208382466E-2</v>
      </c>
      <c r="I13714">
        <v>5.2002707208382473E-2</v>
      </c>
    </row>
    <row r="13715" spans="1:9" x14ac:dyDescent="0.25">
      <c r="A13715">
        <v>475</v>
      </c>
      <c r="B13715" t="s">
        <v>3869</v>
      </c>
      <c r="C13715" t="s">
        <v>75</v>
      </c>
      <c r="D13715" t="s">
        <v>3875</v>
      </c>
      <c r="E13715">
        <f t="shared" si="644"/>
        <v>9.9009900990099011E-3</v>
      </c>
      <c r="F13715">
        <v>1</v>
      </c>
      <c r="G13715">
        <f>LOG(382/(1+1))</f>
        <v>2.2810333672477277</v>
      </c>
      <c r="H13715">
        <f>0.0099009900990099*5.25227342804663</f>
        <v>5.2002707208382466E-2</v>
      </c>
      <c r="I13715">
        <v>5.2002707208382473E-2</v>
      </c>
    </row>
    <row r="13716" spans="1:9" x14ac:dyDescent="0.25">
      <c r="A13716">
        <v>475</v>
      </c>
      <c r="B13716" t="s">
        <v>3869</v>
      </c>
      <c r="C13716" t="s">
        <v>75</v>
      </c>
      <c r="D13716" t="s">
        <v>3876</v>
      </c>
      <c r="E13716">
        <f t="shared" si="644"/>
        <v>9.9009900990099011E-3</v>
      </c>
      <c r="F13716">
        <v>3</v>
      </c>
      <c r="G13716">
        <f>LOG(382/(3+1))</f>
        <v>1.9800033715837464</v>
      </c>
      <c r="H13716">
        <f>0.0099009900990099*4.55912624748668</f>
        <v>4.5139863836501773E-2</v>
      </c>
      <c r="I13716">
        <v>4.5139863836501828E-2</v>
      </c>
    </row>
    <row r="13717" spans="1:9" x14ac:dyDescent="0.25">
      <c r="A13717">
        <v>475</v>
      </c>
      <c r="B13717" t="s">
        <v>3869</v>
      </c>
      <c r="C13717" t="s">
        <v>75</v>
      </c>
      <c r="D13717" t="s">
        <v>811</v>
      </c>
      <c r="E13717">
        <f t="shared" si="644"/>
        <v>9.9009900990099011E-3</v>
      </c>
      <c r="F13717">
        <v>27</v>
      </c>
      <c r="G13717">
        <f>LOG(382/(27+1))</f>
        <v>1.1349053315694895</v>
      </c>
      <c r="H13717">
        <f>0.0099009900990099*2.61321609843137</f>
        <v>2.5873426717142274E-2</v>
      </c>
      <c r="I13717">
        <v>2.5873426717142291E-2</v>
      </c>
    </row>
    <row r="13718" spans="1:9" x14ac:dyDescent="0.25">
      <c r="A13718">
        <v>475</v>
      </c>
      <c r="B13718" t="s">
        <v>3869</v>
      </c>
      <c r="C13718" t="s">
        <v>75</v>
      </c>
      <c r="D13718" t="s">
        <v>1076</v>
      </c>
      <c r="E13718">
        <f t="shared" si="644"/>
        <v>9.9009900990099011E-3</v>
      </c>
      <c r="F13718">
        <v>13</v>
      </c>
      <c r="G13718">
        <f>LOG(382/(13+1))</f>
        <v>1.4359353272334707</v>
      </c>
      <c r="H13718">
        <f>0.0099009900990099*3.30636327899131</f>
        <v>3.273627008902287E-2</v>
      </c>
      <c r="I13718">
        <v>3.2736270089022933E-2</v>
      </c>
    </row>
    <row r="13719" spans="1:9" x14ac:dyDescent="0.25">
      <c r="A13719">
        <v>475</v>
      </c>
      <c r="B13719" t="s">
        <v>3869</v>
      </c>
      <c r="C13719" t="s">
        <v>75</v>
      </c>
      <c r="D13719" t="s">
        <v>322</v>
      </c>
      <c r="E13719">
        <f t="shared" si="644"/>
        <v>9.9009900990099011E-3</v>
      </c>
      <c r="F13719">
        <v>128</v>
      </c>
      <c r="G13719">
        <f>LOG(382/(128+1))</f>
        <v>0.47147365261245977</v>
      </c>
      <c r="H13719">
        <f>0.0099009900990099*1.0856082042449</f>
        <v>1.0748596081632672E-2</v>
      </c>
      <c r="I13719">
        <v>1.07485960816327E-2</v>
      </c>
    </row>
    <row r="13720" spans="1:9" x14ac:dyDescent="0.25">
      <c r="A13720">
        <v>475</v>
      </c>
      <c r="B13720" t="s">
        <v>3869</v>
      </c>
      <c r="C13720" t="s">
        <v>75</v>
      </c>
      <c r="D13720" t="s">
        <v>204</v>
      </c>
      <c r="E13720">
        <f t="shared" si="644"/>
        <v>9.9009900990099011E-3</v>
      </c>
      <c r="F13720">
        <v>166</v>
      </c>
      <c r="G13720">
        <f>LOG(382/(166+1))</f>
        <v>0.35934689176412549</v>
      </c>
      <c r="H13720">
        <f>0.0099009900990099*0.82742679618982</f>
        <v>8.1923445167308897E-3</v>
      </c>
      <c r="I13720">
        <v>8.1923445167308914E-3</v>
      </c>
    </row>
    <row r="13721" spans="1:9" x14ac:dyDescent="0.25">
      <c r="A13721">
        <v>475</v>
      </c>
      <c r="B13721" t="s">
        <v>3869</v>
      </c>
      <c r="C13721" t="s">
        <v>75</v>
      </c>
      <c r="D13721" t="s">
        <v>76</v>
      </c>
      <c r="E13721">
        <f t="shared" si="644"/>
        <v>9.9009900990099011E-3</v>
      </c>
      <c r="F13721">
        <v>140</v>
      </c>
      <c r="G13721">
        <f>LOG(382/(140+1))</f>
        <v>0.43284425025632883</v>
      </c>
      <c r="H13721">
        <f>0.0099009900990099*0.996660718228407</f>
        <v>9.867927903251552E-3</v>
      </c>
      <c r="I13721">
        <v>9.8679279032515537E-3</v>
      </c>
    </row>
    <row r="13722" spans="1:9" x14ac:dyDescent="0.25">
      <c r="A13722">
        <v>475</v>
      </c>
      <c r="B13722" t="s">
        <v>3869</v>
      </c>
      <c r="C13722" t="s">
        <v>75</v>
      </c>
      <c r="D13722" t="s">
        <v>77</v>
      </c>
      <c r="E13722">
        <f t="shared" si="644"/>
        <v>9.9009900990099011E-3</v>
      </c>
      <c r="F13722">
        <v>148</v>
      </c>
      <c r="G13722">
        <f>LOG(382/(148+1))</f>
        <v>0.40887709449943471</v>
      </c>
      <c r="H13722">
        <f>0.0099009900990099*0.941474302661116</f>
        <v>9.3215277491199584E-3</v>
      </c>
      <c r="I13722">
        <v>9.3215277491199618E-3</v>
      </c>
    </row>
    <row r="13723" spans="1:9" x14ac:dyDescent="0.25">
      <c r="A13723">
        <v>475</v>
      </c>
      <c r="B13723" t="s">
        <v>3869</v>
      </c>
      <c r="C13723" t="s">
        <v>75</v>
      </c>
      <c r="D13723" t="s">
        <v>40</v>
      </c>
      <c r="E13723">
        <f>2/101</f>
        <v>1.9801980198019802E-2</v>
      </c>
      <c r="F13723">
        <v>159</v>
      </c>
      <c r="G13723">
        <f>LOG(382/(159+1))</f>
        <v>0.377943380255784</v>
      </c>
      <c r="H13723">
        <f>0.0198019801980198*0.870246793372748</f>
        <v>1.7232609769757382E-2</v>
      </c>
      <c r="I13723">
        <v>1.7232609769757389E-2</v>
      </c>
    </row>
    <row r="13724" spans="1:9" x14ac:dyDescent="0.25">
      <c r="A13724">
        <v>475</v>
      </c>
      <c r="B13724" t="s">
        <v>3869</v>
      </c>
      <c r="C13724" t="s">
        <v>75</v>
      </c>
      <c r="D13724" t="s">
        <v>41</v>
      </c>
      <c r="E13724">
        <f>2/101</f>
        <v>1.9801980198019802E-2</v>
      </c>
      <c r="F13724">
        <v>195</v>
      </c>
      <c r="G13724">
        <f>LOG(382/(195+1))</f>
        <v>0.28980729155523272</v>
      </c>
      <c r="H13724">
        <f>0.0198019801980198*0.667305949376058</f>
        <v>1.3213979195565504E-2</v>
      </c>
      <c r="I13724">
        <v>1.3213979195565511E-2</v>
      </c>
    </row>
    <row r="13725" spans="1:9" x14ac:dyDescent="0.25">
      <c r="A13725">
        <v>475</v>
      </c>
      <c r="B13725" t="s">
        <v>3869</v>
      </c>
      <c r="C13725" t="s">
        <v>75</v>
      </c>
      <c r="D13725" t="s">
        <v>1745</v>
      </c>
      <c r="E13725">
        <f t="shared" ref="E13725:E13732" si="645">1/101</f>
        <v>9.9009900990099011E-3</v>
      </c>
      <c r="F13725">
        <v>12</v>
      </c>
      <c r="G13725">
        <f>LOG(382/(12+1))</f>
        <v>1.468120010604872</v>
      </c>
      <c r="H13725">
        <f>0.0099009900990099*3.38047125114503</f>
        <v>3.3470012387574549E-2</v>
      </c>
      <c r="I13725">
        <v>3.3470012387574639E-2</v>
      </c>
    </row>
    <row r="13726" spans="1:9" x14ac:dyDescent="0.25">
      <c r="A13726">
        <v>475</v>
      </c>
      <c r="B13726" t="s">
        <v>3869</v>
      </c>
      <c r="C13726" t="s">
        <v>75</v>
      </c>
      <c r="D13726" t="s">
        <v>3050</v>
      </c>
      <c r="E13726">
        <f t="shared" si="645"/>
        <v>9.9009900990099011E-3</v>
      </c>
      <c r="F13726">
        <v>3</v>
      </c>
      <c r="G13726">
        <f>LOG(382/(3+1))</f>
        <v>1.9800033715837464</v>
      </c>
      <c r="H13726">
        <f>0.0099009900990099*4.55912624748668</f>
        <v>4.5139863836501773E-2</v>
      </c>
      <c r="I13726">
        <v>4.5139863836501828E-2</v>
      </c>
    </row>
    <row r="13727" spans="1:9" x14ac:dyDescent="0.25">
      <c r="A13727">
        <v>475</v>
      </c>
      <c r="B13727" t="s">
        <v>3869</v>
      </c>
      <c r="C13727" t="s">
        <v>75</v>
      </c>
      <c r="D13727" t="s">
        <v>483</v>
      </c>
      <c r="E13727">
        <f t="shared" si="645"/>
        <v>9.9009900990099011E-3</v>
      </c>
      <c r="F13727">
        <v>61</v>
      </c>
      <c r="G13727">
        <f>LOG(382/(61+1))</f>
        <v>0.7896716734134549</v>
      </c>
      <c r="H13727">
        <f>0.0099009900990099*1.81828622356148</f>
        <v>1.8002833896648314E-2</v>
      </c>
      <c r="I13727">
        <v>1.8002833896648349E-2</v>
      </c>
    </row>
    <row r="13728" spans="1:9" x14ac:dyDescent="0.25">
      <c r="A13728">
        <v>475</v>
      </c>
      <c r="B13728" t="s">
        <v>3869</v>
      </c>
      <c r="C13728" t="s">
        <v>75</v>
      </c>
      <c r="D13728" t="s">
        <v>898</v>
      </c>
      <c r="E13728">
        <f t="shared" si="645"/>
        <v>9.9009900990099011E-3</v>
      </c>
      <c r="F13728">
        <v>22</v>
      </c>
      <c r="G13728">
        <f>LOG(382/(22+1))</f>
        <v>1.2203355268941158</v>
      </c>
      <c r="H13728">
        <f>0.0099009900990099*2.80992639267742</f>
        <v>2.7821053392845737E-2</v>
      </c>
      <c r="I13728">
        <v>2.7821053392845799E-2</v>
      </c>
    </row>
    <row r="13729" spans="1:9" x14ac:dyDescent="0.25">
      <c r="A13729">
        <v>475</v>
      </c>
      <c r="B13729" t="s">
        <v>3869</v>
      </c>
      <c r="C13729" t="s">
        <v>75</v>
      </c>
      <c r="D13729" t="s">
        <v>649</v>
      </c>
      <c r="E13729">
        <f t="shared" si="645"/>
        <v>9.9009900990099011E-3</v>
      </c>
      <c r="F13729">
        <v>25</v>
      </c>
      <c r="G13729">
        <f>LOG(382/(25+1))</f>
        <v>1.1670900149408907</v>
      </c>
      <c r="H13729">
        <f>0.0099009900990099*2.68732407058509</f>
        <v>2.6607169015693957E-2</v>
      </c>
      <c r="I13729">
        <v>2.6607169015693991E-2</v>
      </c>
    </row>
    <row r="13730" spans="1:9" x14ac:dyDescent="0.25">
      <c r="A13730">
        <v>475</v>
      </c>
      <c r="B13730" t="s">
        <v>3869</v>
      </c>
      <c r="C13730" t="s">
        <v>75</v>
      </c>
      <c r="D13730" t="s">
        <v>764</v>
      </c>
      <c r="E13730">
        <f t="shared" si="645"/>
        <v>9.9009900990099011E-3</v>
      </c>
      <c r="F13730">
        <v>57</v>
      </c>
      <c r="G13730">
        <f>LOG(382/(57+1))</f>
        <v>0.81863536934877146</v>
      </c>
      <c r="H13730">
        <f>0.0099009900990099*1.88497759806015</f>
        <v>1.8663144535249008E-2</v>
      </c>
      <c r="I13730">
        <v>1.866314453524907E-2</v>
      </c>
    </row>
    <row r="13731" spans="1:9" x14ac:dyDescent="0.25">
      <c r="A13731">
        <v>475</v>
      </c>
      <c r="B13731" t="s">
        <v>3869</v>
      </c>
      <c r="C13731" t="s">
        <v>75</v>
      </c>
      <c r="D13731" t="s">
        <v>3877</v>
      </c>
      <c r="E13731">
        <f t="shared" si="645"/>
        <v>9.9009900990099011E-3</v>
      </c>
      <c r="F13731">
        <v>1</v>
      </c>
      <c r="G13731">
        <f>LOG(382/(1+1))</f>
        <v>2.2810333672477277</v>
      </c>
      <c r="H13731">
        <f>0.0099009900990099*5.25227342804663</f>
        <v>5.2002707208382466E-2</v>
      </c>
      <c r="I13731">
        <v>5.2002707208382473E-2</v>
      </c>
    </row>
    <row r="13732" spans="1:9" x14ac:dyDescent="0.25">
      <c r="A13732">
        <v>475</v>
      </c>
      <c r="B13732" t="s">
        <v>3869</v>
      </c>
      <c r="C13732" t="s">
        <v>75</v>
      </c>
      <c r="D13732" t="s">
        <v>3878</v>
      </c>
      <c r="E13732">
        <f t="shared" si="645"/>
        <v>9.9009900990099011E-3</v>
      </c>
      <c r="F13732">
        <v>1</v>
      </c>
      <c r="G13732">
        <f>LOG(382/(1+1))</f>
        <v>2.2810333672477277</v>
      </c>
      <c r="H13732">
        <f>0.0099009900990099*5.25227342804663</f>
        <v>5.2002707208382466E-2</v>
      </c>
      <c r="I13732">
        <v>5.2002707208382473E-2</v>
      </c>
    </row>
    <row r="13733" spans="1:9" x14ac:dyDescent="0.25">
      <c r="A13733">
        <v>475</v>
      </c>
      <c r="B13733" t="s">
        <v>3869</v>
      </c>
      <c r="C13733" t="s">
        <v>75</v>
      </c>
      <c r="D13733" t="s">
        <v>331</v>
      </c>
      <c r="E13733">
        <f>2/101</f>
        <v>1.9801980198019802E-2</v>
      </c>
      <c r="F13733">
        <v>130</v>
      </c>
      <c r="G13733">
        <f>LOG(382/(130+1))</f>
        <v>0.46479206725594452</v>
      </c>
      <c r="H13733">
        <f>0.0198019801980198*1.07022328540542</f>
        <v>2.1192540305057822E-2</v>
      </c>
      <c r="I13733">
        <v>2.1192540305057891E-2</v>
      </c>
    </row>
    <row r="13734" spans="1:9" x14ac:dyDescent="0.25">
      <c r="A13734">
        <v>475</v>
      </c>
      <c r="B13734" t="s">
        <v>3869</v>
      </c>
      <c r="C13734" t="s">
        <v>75</v>
      </c>
      <c r="D13734" t="s">
        <v>89</v>
      </c>
      <c r="E13734">
        <f>2/101</f>
        <v>1.9801980198019802E-2</v>
      </c>
      <c r="F13734">
        <v>40</v>
      </c>
      <c r="G13734">
        <f>LOG(382/(40+1))</f>
        <v>0.96927950619197323</v>
      </c>
      <c r="H13734">
        <f>0.0198019801980198*2.23184854190226</f>
        <v>4.4195020631727908E-2</v>
      </c>
      <c r="I13734">
        <v>4.4195020631728067E-2</v>
      </c>
    </row>
    <row r="13735" spans="1:9" x14ac:dyDescent="0.25">
      <c r="A13735">
        <v>475</v>
      </c>
      <c r="B13735" t="s">
        <v>3869</v>
      </c>
      <c r="C13735" t="s">
        <v>75</v>
      </c>
      <c r="D13735" t="s">
        <v>1763</v>
      </c>
      <c r="E13735">
        <f>2/101</f>
        <v>1.9801980198019802E-2</v>
      </c>
      <c r="F13735">
        <v>9</v>
      </c>
      <c r="G13735">
        <f>LOG(382/(9+1))</f>
        <v>1.5820633629117087</v>
      </c>
      <c r="H13735">
        <f>0.0198019801980198*3.64283551561252</f>
        <v>7.213535674480237E-2</v>
      </c>
      <c r="I13735">
        <v>7.2135356744802565E-2</v>
      </c>
    </row>
    <row r="13736" spans="1:9" x14ac:dyDescent="0.25">
      <c r="A13736">
        <v>475</v>
      </c>
      <c r="B13736" t="s">
        <v>3869</v>
      </c>
      <c r="C13736" t="s">
        <v>75</v>
      </c>
      <c r="D13736" t="s">
        <v>3324</v>
      </c>
      <c r="E13736">
        <f>1/101</f>
        <v>9.9009900990099011E-3</v>
      </c>
      <c r="F13736">
        <v>8</v>
      </c>
      <c r="G13736">
        <f>LOG(382/(8+1))</f>
        <v>1.6278208534723839</v>
      </c>
      <c r="H13736">
        <f>0.0099009900990099*3.74819603127035</f>
        <v>3.7110851794755935E-2</v>
      </c>
      <c r="I13736">
        <v>3.7110851794755997E-2</v>
      </c>
    </row>
    <row r="13737" spans="1:9" x14ac:dyDescent="0.25">
      <c r="A13737">
        <v>475</v>
      </c>
      <c r="B13737" t="s">
        <v>3869</v>
      </c>
      <c r="C13737" t="s">
        <v>75</v>
      </c>
      <c r="D13737" t="s">
        <v>361</v>
      </c>
      <c r="E13737">
        <f>2/101</f>
        <v>1.9801980198019802E-2</v>
      </c>
      <c r="F13737">
        <v>118</v>
      </c>
      <c r="G13737">
        <f>LOG(382/(118+1))</f>
        <v>0.50651640151917798</v>
      </c>
      <c r="H13737">
        <f>0.0198019801980198*1.16629711549504</f>
        <v>2.3094992386040389E-2</v>
      </c>
      <c r="I13737">
        <v>2.309499238604051E-2</v>
      </c>
    </row>
    <row r="13738" spans="1:9" x14ac:dyDescent="0.25">
      <c r="A13738">
        <v>475</v>
      </c>
      <c r="B13738" t="s">
        <v>3869</v>
      </c>
      <c r="C13738" t="s">
        <v>75</v>
      </c>
      <c r="D13738" t="s">
        <v>3879</v>
      </c>
      <c r="E13738">
        <f>1/101</f>
        <v>9.9009900990099011E-3</v>
      </c>
      <c r="F13738">
        <v>1</v>
      </c>
      <c r="G13738">
        <f>LOG(382/(1+1))</f>
        <v>2.2810333672477277</v>
      </c>
      <c r="H13738">
        <f>0.0099009900990099*5.25227342804663</f>
        <v>5.2002707208382466E-2</v>
      </c>
      <c r="I13738">
        <v>5.2002707208382473E-2</v>
      </c>
    </row>
    <row r="13739" spans="1:9" x14ac:dyDescent="0.25">
      <c r="A13739">
        <v>475</v>
      </c>
      <c r="B13739" t="s">
        <v>3869</v>
      </c>
      <c r="C13739" t="s">
        <v>75</v>
      </c>
      <c r="D13739" t="s">
        <v>243</v>
      </c>
      <c r="E13739">
        <f>3/101</f>
        <v>2.9702970297029702E-2</v>
      </c>
      <c r="F13739">
        <v>131</v>
      </c>
      <c r="G13739">
        <f>LOG(382/(131+1))</f>
        <v>0.46148943170585888</v>
      </c>
      <c r="H13739">
        <f>0.0297029702970297*1.0626186860202</f>
        <v>3.1562931267926732E-2</v>
      </c>
      <c r="I13739">
        <v>3.1562931267926857E-2</v>
      </c>
    </row>
    <row r="13740" spans="1:9" x14ac:dyDescent="0.25">
      <c r="A13740">
        <v>475</v>
      </c>
      <c r="B13740" t="s">
        <v>3869</v>
      </c>
      <c r="C13740" t="s">
        <v>75</v>
      </c>
      <c r="D13740" t="s">
        <v>397</v>
      </c>
      <c r="E13740">
        <f>2/101</f>
        <v>1.9801980198019802E-2</v>
      </c>
      <c r="F13740">
        <v>2</v>
      </c>
      <c r="G13740">
        <f>LOG(382/(2+1))</f>
        <v>2.1049421081920463</v>
      </c>
      <c r="H13740">
        <f>0.0198019801980198*4.84680831993846</f>
        <v>9.597640237501899E-2</v>
      </c>
      <c r="I13740">
        <v>9.5976402375019115E-2</v>
      </c>
    </row>
    <row r="13741" spans="1:9" x14ac:dyDescent="0.25">
      <c r="A13741">
        <v>475</v>
      </c>
      <c r="B13741" t="s">
        <v>3869</v>
      </c>
      <c r="C13741" t="s">
        <v>75</v>
      </c>
      <c r="D13741" t="s">
        <v>434</v>
      </c>
      <c r="E13741">
        <f>1/101</f>
        <v>9.9009900990099011E-3</v>
      </c>
      <c r="F13741">
        <v>97</v>
      </c>
      <c r="G13741">
        <f>LOG(382/(97+1))</f>
        <v>0.59083728721921391</v>
      </c>
      <c r="H13741">
        <f>0.0099009900990099*1.360453129936</f>
        <v>1.3469832969663365E-2</v>
      </c>
      <c r="I13741">
        <v>1.3469832969663399E-2</v>
      </c>
    </row>
    <row r="13742" spans="1:9" x14ac:dyDescent="0.25">
      <c r="A13742">
        <v>475</v>
      </c>
      <c r="B13742" t="s">
        <v>3869</v>
      </c>
      <c r="C13742" t="s">
        <v>75</v>
      </c>
      <c r="D13742" t="s">
        <v>81</v>
      </c>
      <c r="E13742">
        <f>2/101</f>
        <v>1.9801980198019802E-2</v>
      </c>
      <c r="F13742">
        <v>114</v>
      </c>
      <c r="G13742">
        <f>LOG(382/(114+1))</f>
        <v>0.52136552255809698</v>
      </c>
      <c r="H13742">
        <f>0.0198019801980198*1.20048848024332</f>
        <v>2.3772049113729106E-2</v>
      </c>
      <c r="I13742">
        <v>2.377204911372921E-2</v>
      </c>
    </row>
    <row r="13743" spans="1:9" x14ac:dyDescent="0.25">
      <c r="A13743">
        <v>475</v>
      </c>
      <c r="B13743" t="s">
        <v>3869</v>
      </c>
      <c r="C13743" t="s">
        <v>75</v>
      </c>
      <c r="D13743" t="s">
        <v>398</v>
      </c>
      <c r="E13743">
        <f>2/101</f>
        <v>1.9801980198019802E-2</v>
      </c>
      <c r="F13743">
        <v>14</v>
      </c>
      <c r="G13743">
        <f>LOG(382/(14+1))</f>
        <v>1.4059721038560276</v>
      </c>
      <c r="H13743">
        <f>0.0198019801980198*3.23737040750436</f>
        <v>6.4106344703056622E-2</v>
      </c>
      <c r="I13743">
        <v>6.4106344703056733E-2</v>
      </c>
    </row>
    <row r="13744" spans="1:9" x14ac:dyDescent="0.25">
      <c r="A13744">
        <v>475</v>
      </c>
      <c r="B13744" t="s">
        <v>3869</v>
      </c>
      <c r="C13744" t="s">
        <v>75</v>
      </c>
      <c r="D13744" t="s">
        <v>739</v>
      </c>
      <c r="E13744">
        <f>2/101</f>
        <v>1.9801980198019802E-2</v>
      </c>
      <c r="F13744">
        <v>24</v>
      </c>
      <c r="G13744">
        <f>LOG(382/(24+1))</f>
        <v>1.1841233542396712</v>
      </c>
      <c r="H13744">
        <f>0.0198019801980198*2.72654478373837</f>
        <v>5.3990985816601375E-2</v>
      </c>
      <c r="I13744">
        <v>5.3990985816601472E-2</v>
      </c>
    </row>
    <row r="13745" spans="1:9" x14ac:dyDescent="0.25">
      <c r="A13745">
        <v>475</v>
      </c>
      <c r="B13745" t="s">
        <v>3869</v>
      </c>
      <c r="C13745" t="s">
        <v>75</v>
      </c>
      <c r="D13745" t="s">
        <v>438</v>
      </c>
      <c r="E13745">
        <f>2/101</f>
        <v>1.9801980198019802E-2</v>
      </c>
      <c r="F13745">
        <v>37</v>
      </c>
      <c r="G13745">
        <f>LOG(382/(37+1))</f>
        <v>1.0022797662948986</v>
      </c>
      <c r="H13745">
        <f>0.0198019801980198*2.30783444888018</f>
        <v>4.569969205703326E-2</v>
      </c>
      <c r="I13745">
        <v>4.5699692057033448E-2</v>
      </c>
    </row>
    <row r="13746" spans="1:9" x14ac:dyDescent="0.25">
      <c r="A13746">
        <v>475</v>
      </c>
      <c r="B13746" t="s">
        <v>3869</v>
      </c>
      <c r="C13746" t="s">
        <v>75</v>
      </c>
      <c r="D13746" t="s">
        <v>307</v>
      </c>
      <c r="E13746">
        <f>1/101</f>
        <v>9.9009900990099011E-3</v>
      </c>
      <c r="F13746">
        <v>67</v>
      </c>
      <c r="G13746">
        <f>LOG(382/(67+1))</f>
        <v>0.7495544502054724</v>
      </c>
      <c r="H13746">
        <f>0.0099009900990099*1.72591290343046</f>
        <v>1.7088246568618414E-2</v>
      </c>
      <c r="I13746">
        <v>1.7088246568618501E-2</v>
      </c>
    </row>
    <row r="13747" spans="1:9" x14ac:dyDescent="0.25">
      <c r="A13747">
        <v>475</v>
      </c>
      <c r="B13747" t="s">
        <v>3869</v>
      </c>
      <c r="C13747" t="s">
        <v>75</v>
      </c>
      <c r="D13747" t="s">
        <v>218</v>
      </c>
      <c r="E13747">
        <f>1/101</f>
        <v>9.9009900990099011E-3</v>
      </c>
      <c r="F13747">
        <v>35</v>
      </c>
      <c r="G13747">
        <f>LOG(382/(35+1))</f>
        <v>1.0257608621444214</v>
      </c>
      <c r="H13747">
        <f>0.0099009900990099*2.36190167015046</f>
        <v>2.3385165050994649E-2</v>
      </c>
      <c r="I13747">
        <v>2.3385165050994701E-2</v>
      </c>
    </row>
    <row r="13748" spans="1:9" x14ac:dyDescent="0.25">
      <c r="A13748">
        <v>475</v>
      </c>
      <c r="B13748" t="s">
        <v>3869</v>
      </c>
      <c r="C13748" t="s">
        <v>75</v>
      </c>
      <c r="D13748" t="s">
        <v>3880</v>
      </c>
      <c r="E13748">
        <f>1/101</f>
        <v>9.9009900990099011E-3</v>
      </c>
      <c r="F13748">
        <v>1</v>
      </c>
      <c r="G13748">
        <f>LOG(382/(1+1))</f>
        <v>2.2810333672477277</v>
      </c>
      <c r="H13748">
        <f>0.0099009900990099*5.25227342804663</f>
        <v>5.2002707208382466E-2</v>
      </c>
      <c r="I13748">
        <v>5.2002707208382473E-2</v>
      </c>
    </row>
    <row r="13749" spans="1:9" x14ac:dyDescent="0.25">
      <c r="A13749">
        <v>475</v>
      </c>
      <c r="B13749" t="s">
        <v>3869</v>
      </c>
      <c r="C13749" t="s">
        <v>75</v>
      </c>
      <c r="D13749" t="s">
        <v>453</v>
      </c>
      <c r="E13749">
        <f>2/101</f>
        <v>1.9801980198019802E-2</v>
      </c>
      <c r="F13749">
        <v>68</v>
      </c>
      <c r="G13749">
        <f>LOG(382/(68+1))</f>
        <v>0.74321427217445335</v>
      </c>
      <c r="H13749">
        <f>0.0198019801980198*1.71131410400931</f>
        <v>3.3887408000184353E-2</v>
      </c>
      <c r="I13749">
        <v>3.3887408000184471E-2</v>
      </c>
    </row>
    <row r="13750" spans="1:9" x14ac:dyDescent="0.25">
      <c r="A13750">
        <v>475</v>
      </c>
      <c r="B13750" t="s">
        <v>3869</v>
      </c>
      <c r="C13750" t="s">
        <v>75</v>
      </c>
      <c r="D13750" t="s">
        <v>520</v>
      </c>
      <c r="E13750">
        <f>2/101</f>
        <v>1.9801980198019802E-2</v>
      </c>
      <c r="F13750">
        <v>25</v>
      </c>
      <c r="G13750">
        <f>LOG(382/(25+1))</f>
        <v>1.1670900149408907</v>
      </c>
      <c r="H13750">
        <f>0.0198019801980198*2.68732407058509</f>
        <v>5.3214338031387913E-2</v>
      </c>
      <c r="I13750">
        <v>5.3214338031387982E-2</v>
      </c>
    </row>
    <row r="13751" spans="1:9" x14ac:dyDescent="0.25">
      <c r="A13751">
        <v>475</v>
      </c>
      <c r="B13751" t="s">
        <v>3869</v>
      </c>
      <c r="C13751" t="s">
        <v>75</v>
      </c>
      <c r="D13751" t="s">
        <v>773</v>
      </c>
      <c r="E13751">
        <f t="shared" ref="E13751:E13760" si="646">1/101</f>
        <v>9.9009900990099011E-3</v>
      </c>
      <c r="F13751">
        <v>10</v>
      </c>
      <c r="G13751">
        <f>LOG(382/(10+1))</f>
        <v>1.5406706777534838</v>
      </c>
      <c r="H13751">
        <f>0.0099009900990099*3.5475253358082</f>
        <v>3.5124013225823758E-2</v>
      </c>
      <c r="I13751">
        <v>3.5124013225823807E-2</v>
      </c>
    </row>
    <row r="13752" spans="1:9" x14ac:dyDescent="0.25">
      <c r="A13752">
        <v>475</v>
      </c>
      <c r="B13752" t="s">
        <v>3869</v>
      </c>
      <c r="C13752" t="s">
        <v>75</v>
      </c>
      <c r="D13752" t="s">
        <v>772</v>
      </c>
      <c r="E13752">
        <f t="shared" si="646"/>
        <v>9.9009900990099011E-3</v>
      </c>
      <c r="F13752">
        <v>31</v>
      </c>
      <c r="G13752">
        <f>LOG(382/(31+1))</f>
        <v>1.0769133845918029</v>
      </c>
      <c r="H13752">
        <f>0.0099009900990099*2.47968470580684</f>
        <v>2.4551333720859797E-2</v>
      </c>
      <c r="I13752">
        <v>2.4551333720859891E-2</v>
      </c>
    </row>
    <row r="13753" spans="1:9" x14ac:dyDescent="0.25">
      <c r="A13753">
        <v>475</v>
      </c>
      <c r="B13753" t="s">
        <v>3869</v>
      </c>
      <c r="C13753" t="s">
        <v>75</v>
      </c>
      <c r="D13753" t="s">
        <v>458</v>
      </c>
      <c r="E13753">
        <f t="shared" si="646"/>
        <v>9.9009900990099011E-3</v>
      </c>
      <c r="F13753">
        <v>34</v>
      </c>
      <c r="G13753">
        <f>LOG(382/(34+1))</f>
        <v>1.037995318561433</v>
      </c>
      <c r="H13753">
        <f>0.0099009900990099*2.39007254711716</f>
        <v>2.3664084624922373E-2</v>
      </c>
      <c r="I13753">
        <v>2.366408462492239E-2</v>
      </c>
    </row>
    <row r="13754" spans="1:9" x14ac:dyDescent="0.25">
      <c r="A13754">
        <v>475</v>
      </c>
      <c r="B13754" t="s">
        <v>3869</v>
      </c>
      <c r="C13754" t="s">
        <v>75</v>
      </c>
      <c r="D13754" t="s">
        <v>459</v>
      </c>
      <c r="E13754">
        <f t="shared" si="646"/>
        <v>9.9009900990099011E-3</v>
      </c>
      <c r="F13754">
        <v>14</v>
      </c>
      <c r="G13754">
        <f>LOG(382/(14+1))</f>
        <v>1.4059721038560276</v>
      </c>
      <c r="H13754">
        <f>0.0099009900990099*3.23737040750436</f>
        <v>3.2053172351528311E-2</v>
      </c>
      <c r="I13754">
        <v>3.2053172351528367E-2</v>
      </c>
    </row>
    <row r="13755" spans="1:9" x14ac:dyDescent="0.25">
      <c r="A13755">
        <v>475</v>
      </c>
      <c r="B13755" t="s">
        <v>3869</v>
      </c>
      <c r="C13755" t="s">
        <v>75</v>
      </c>
      <c r="D13755" t="s">
        <v>201</v>
      </c>
      <c r="E13755">
        <f t="shared" si="646"/>
        <v>9.9009900990099011E-3</v>
      </c>
      <c r="F13755">
        <v>72</v>
      </c>
      <c r="G13755">
        <f>LOG(382/(72+1))</f>
        <v>0.71874050279125279</v>
      </c>
      <c r="H13755">
        <f>0.0099009900990099*1.65496116745818</f>
        <v>1.6385754133249303E-2</v>
      </c>
      <c r="I13755">
        <v>1.6385754133249341E-2</v>
      </c>
    </row>
    <row r="13756" spans="1:9" x14ac:dyDescent="0.25">
      <c r="A13756">
        <v>475</v>
      </c>
      <c r="B13756" t="s">
        <v>3869</v>
      </c>
      <c r="C13756" t="s">
        <v>75</v>
      </c>
      <c r="D13756" t="s">
        <v>236</v>
      </c>
      <c r="E13756">
        <f t="shared" si="646"/>
        <v>9.9009900990099011E-3</v>
      </c>
      <c r="F13756">
        <v>87</v>
      </c>
      <c r="G13756">
        <f>LOG(382/(87+1))</f>
        <v>0.63758069076154011</v>
      </c>
      <c r="H13756">
        <f>0.0099009900990099*1.46808379412836</f>
        <v>1.453548311018178E-2</v>
      </c>
      <c r="I13756">
        <v>1.4535483110181871E-2</v>
      </c>
    </row>
    <row r="13757" spans="1:9" x14ac:dyDescent="0.25">
      <c r="A13757">
        <v>475</v>
      </c>
      <c r="B13757" t="s">
        <v>3869</v>
      </c>
      <c r="C13757" t="s">
        <v>75</v>
      </c>
      <c r="D13757" t="s">
        <v>637</v>
      </c>
      <c r="E13757">
        <f t="shared" si="646"/>
        <v>9.9009900990099011E-3</v>
      </c>
      <c r="F13757">
        <v>29</v>
      </c>
      <c r="G13757">
        <f>LOG(382/(29+1))</f>
        <v>1.1049421081920463</v>
      </c>
      <c r="H13757">
        <f>0.0099009900990099*2.54422322694442</f>
        <v>2.5190328979647719E-2</v>
      </c>
      <c r="I13757">
        <v>2.5190328979647719E-2</v>
      </c>
    </row>
    <row r="13758" spans="1:9" x14ac:dyDescent="0.25">
      <c r="A13758">
        <v>475</v>
      </c>
      <c r="B13758" t="s">
        <v>3869</v>
      </c>
      <c r="C13758" t="s">
        <v>75</v>
      </c>
      <c r="D13758" t="s">
        <v>746</v>
      </c>
      <c r="E13758">
        <f t="shared" si="646"/>
        <v>9.9009900990099011E-3</v>
      </c>
      <c r="F13758">
        <v>58</v>
      </c>
      <c r="G13758">
        <f>LOG(382/(58+1))</f>
        <v>0.81121135126956456</v>
      </c>
      <c r="H13758">
        <f>0.0099009900990099*1.86788316470085</f>
        <v>1.8493892719810393E-2</v>
      </c>
      <c r="I13758">
        <v>1.8493892719810449E-2</v>
      </c>
    </row>
    <row r="13759" spans="1:9" x14ac:dyDescent="0.25">
      <c r="A13759">
        <v>475</v>
      </c>
      <c r="B13759" t="s">
        <v>3869</v>
      </c>
      <c r="C13759" t="s">
        <v>75</v>
      </c>
      <c r="D13759" t="s">
        <v>509</v>
      </c>
      <c r="E13759">
        <f t="shared" si="646"/>
        <v>9.9009900990099011E-3</v>
      </c>
      <c r="F13759">
        <v>5</v>
      </c>
      <c r="G13759">
        <f>LOG(382/(5+1))</f>
        <v>1.803912112528065</v>
      </c>
      <c r="H13759">
        <f>0.0099009900990099*4.15366113937852</f>
        <v>4.1125357815628906E-2</v>
      </c>
      <c r="I13759">
        <v>4.1125357815628913E-2</v>
      </c>
    </row>
    <row r="13760" spans="1:9" x14ac:dyDescent="0.25">
      <c r="A13760">
        <v>475</v>
      </c>
      <c r="B13760" t="s">
        <v>3869</v>
      </c>
      <c r="C13760" t="s">
        <v>75</v>
      </c>
      <c r="D13760" t="s">
        <v>748</v>
      </c>
      <c r="E13760">
        <f t="shared" si="646"/>
        <v>9.9009900990099011E-3</v>
      </c>
      <c r="F13760">
        <v>5</v>
      </c>
      <c r="G13760">
        <f>LOG(382/(5+1))</f>
        <v>1.803912112528065</v>
      </c>
      <c r="H13760">
        <f>0.0099009900990099*4.15366113937852</f>
        <v>4.1125357815628906E-2</v>
      </c>
      <c r="I13760">
        <v>4.1125357815628913E-2</v>
      </c>
    </row>
    <row r="13761" spans="1:9" x14ac:dyDescent="0.25">
      <c r="A13761">
        <v>476</v>
      </c>
      <c r="B13761" t="s">
        <v>3881</v>
      </c>
      <c r="C13761" t="s">
        <v>75</v>
      </c>
      <c r="D13761" t="s">
        <v>112</v>
      </c>
      <c r="E13761">
        <f>2/51</f>
        <v>3.9215686274509803E-2</v>
      </c>
      <c r="F13761">
        <v>52</v>
      </c>
      <c r="G13761">
        <f>LOG(382/(52+1))</f>
        <v>0.85778749331091964</v>
      </c>
      <c r="H13761">
        <f>0.0392156862745098*1.97512869505445</f>
        <v>7.7456027257037249E-2</v>
      </c>
      <c r="I13761">
        <v>7.7456027257037388E-2</v>
      </c>
    </row>
    <row r="13762" spans="1:9" x14ac:dyDescent="0.25">
      <c r="A13762">
        <v>476</v>
      </c>
      <c r="B13762" t="s">
        <v>3881</v>
      </c>
      <c r="C13762" t="s">
        <v>75</v>
      </c>
      <c r="D13762" t="s">
        <v>82</v>
      </c>
      <c r="E13762">
        <f>2/51</f>
        <v>3.9215686274509803E-2</v>
      </c>
      <c r="F13762">
        <v>92</v>
      </c>
      <c r="G13762">
        <f>LOG(382/(92+1))</f>
        <v>0.61358041435777355</v>
      </c>
      <c r="H13762">
        <f>0.0392156862745098*1.41282111545331</f>
        <v>5.5404749625619996E-2</v>
      </c>
      <c r="I13762">
        <v>5.5404749625620357E-2</v>
      </c>
    </row>
    <row r="13763" spans="1:9" x14ac:dyDescent="0.25">
      <c r="A13763">
        <v>476</v>
      </c>
      <c r="B13763" t="s">
        <v>3881</v>
      </c>
      <c r="C13763" t="s">
        <v>75</v>
      </c>
      <c r="D13763" t="s">
        <v>126</v>
      </c>
      <c r="E13763">
        <f>3/51</f>
        <v>5.8823529411764705E-2</v>
      </c>
      <c r="F13763">
        <v>79</v>
      </c>
      <c r="G13763">
        <f>LOG(382/(79+1))</f>
        <v>0.67897337591976514</v>
      </c>
      <c r="H13763">
        <f>0.0588235294117647*1.56339397393269</f>
        <v>9.1964351407805289E-2</v>
      </c>
      <c r="I13763">
        <v>9.1964351407805511E-2</v>
      </c>
    </row>
    <row r="13764" spans="1:9" x14ac:dyDescent="0.25">
      <c r="A13764">
        <v>476</v>
      </c>
      <c r="B13764" t="s">
        <v>3881</v>
      </c>
      <c r="C13764" t="s">
        <v>75</v>
      </c>
      <c r="D13764" t="s">
        <v>50</v>
      </c>
      <c r="E13764">
        <f>3/51</f>
        <v>5.8823529411764705E-2</v>
      </c>
      <c r="F13764">
        <v>109</v>
      </c>
      <c r="G13764">
        <f>LOG(382/(109+1))</f>
        <v>0.54067067775348365</v>
      </c>
      <c r="H13764">
        <f>0.0588235294117647*1.24494024281415</f>
        <v>7.3231778989067645E-2</v>
      </c>
      <c r="I13764">
        <v>7.3231778989068172E-2</v>
      </c>
    </row>
    <row r="13765" spans="1:9" x14ac:dyDescent="0.25">
      <c r="A13765">
        <v>476</v>
      </c>
      <c r="B13765" t="s">
        <v>3881</v>
      </c>
      <c r="C13765" t="s">
        <v>75</v>
      </c>
      <c r="D13765" t="s">
        <v>3882</v>
      </c>
      <c r="E13765">
        <f>2/51</f>
        <v>3.9215686274509803E-2</v>
      </c>
      <c r="F13765">
        <v>1</v>
      </c>
      <c r="G13765">
        <f>LOG(382/(1+1))</f>
        <v>2.2810333672477277</v>
      </c>
      <c r="H13765">
        <f>0.0392156862745098*5.25227342804663</f>
        <v>0.20597150698222078</v>
      </c>
      <c r="I13765">
        <v>0.2059715069822208</v>
      </c>
    </row>
    <row r="13766" spans="1:9" x14ac:dyDescent="0.25">
      <c r="A13766">
        <v>476</v>
      </c>
      <c r="B13766" t="s">
        <v>3881</v>
      </c>
      <c r="C13766" t="s">
        <v>75</v>
      </c>
      <c r="D13766" t="s">
        <v>1537</v>
      </c>
      <c r="E13766">
        <f t="shared" ref="E13766:E13782" si="647">1/51</f>
        <v>1.9607843137254902E-2</v>
      </c>
      <c r="F13766">
        <v>80</v>
      </c>
      <c r="G13766">
        <f>LOG(382/(80+1))</f>
        <v>0.67357834403305894</v>
      </c>
      <c r="H13766">
        <f>0.0196078431372549*1.55097145393413</f>
        <v>3.0411204979100586E-2</v>
      </c>
      <c r="I13766">
        <v>3.0411204979100711E-2</v>
      </c>
    </row>
    <row r="13767" spans="1:9" x14ac:dyDescent="0.25">
      <c r="A13767">
        <v>476</v>
      </c>
      <c r="B13767" t="s">
        <v>3881</v>
      </c>
      <c r="C13767" t="s">
        <v>75</v>
      </c>
      <c r="D13767" t="s">
        <v>3713</v>
      </c>
      <c r="E13767">
        <f t="shared" si="647"/>
        <v>1.9607843137254902E-2</v>
      </c>
      <c r="F13767">
        <v>2</v>
      </c>
      <c r="G13767">
        <f>LOG(382/(2+1))</f>
        <v>2.1049421081920463</v>
      </c>
      <c r="H13767">
        <f>0.0196078431372549*4.84680831993846</f>
        <v>9.5035457253695291E-2</v>
      </c>
      <c r="I13767">
        <v>9.5035457253695402E-2</v>
      </c>
    </row>
    <row r="13768" spans="1:9" x14ac:dyDescent="0.25">
      <c r="A13768">
        <v>476</v>
      </c>
      <c r="B13768" t="s">
        <v>3881</v>
      </c>
      <c r="C13768" t="s">
        <v>75</v>
      </c>
      <c r="D13768" t="s">
        <v>1496</v>
      </c>
      <c r="E13768">
        <f t="shared" si="647"/>
        <v>1.9607843137254902E-2</v>
      </c>
      <c r="F13768">
        <v>39</v>
      </c>
      <c r="G13768">
        <f>LOG(382/(39+1))</f>
        <v>0.9800033715837464</v>
      </c>
      <c r="H13768">
        <f>0.0196078431372549*2.25654115449263</f>
        <v>4.4245904990051571E-2</v>
      </c>
      <c r="I13768">
        <v>4.4245904990051738E-2</v>
      </c>
    </row>
    <row r="13769" spans="1:9" x14ac:dyDescent="0.25">
      <c r="A13769">
        <v>476</v>
      </c>
      <c r="B13769" t="s">
        <v>3881</v>
      </c>
      <c r="C13769" t="s">
        <v>75</v>
      </c>
      <c r="D13769" t="s">
        <v>3438</v>
      </c>
      <c r="E13769">
        <f t="shared" si="647"/>
        <v>1.9607843137254902E-2</v>
      </c>
      <c r="F13769">
        <v>4</v>
      </c>
      <c r="G13769">
        <f>LOG(382/(4+1))</f>
        <v>1.8830933585756899</v>
      </c>
      <c r="H13769">
        <f>0.0196078431372549*4.33598269617247</f>
        <v>8.5019268552401384E-2</v>
      </c>
      <c r="I13769">
        <v>8.5019268552401467E-2</v>
      </c>
    </row>
    <row r="13770" spans="1:9" x14ac:dyDescent="0.25">
      <c r="A13770">
        <v>476</v>
      </c>
      <c r="B13770" t="s">
        <v>3881</v>
      </c>
      <c r="C13770" t="s">
        <v>75</v>
      </c>
      <c r="D13770" t="s">
        <v>147</v>
      </c>
      <c r="E13770">
        <f t="shared" si="647"/>
        <v>1.9607843137254902E-2</v>
      </c>
      <c r="F13770">
        <v>48</v>
      </c>
      <c r="G13770">
        <f>LOG(382/(48+1))</f>
        <v>0.89186728288319506</v>
      </c>
      <c r="H13770">
        <f>0.0196078431372549*2.05360031049594</f>
        <v>4.0266672754822354E-2</v>
      </c>
      <c r="I13770">
        <v>4.0266672754822527E-2</v>
      </c>
    </row>
    <row r="13771" spans="1:9" x14ac:dyDescent="0.25">
      <c r="A13771">
        <v>476</v>
      </c>
      <c r="B13771" t="s">
        <v>3881</v>
      </c>
      <c r="C13771" t="s">
        <v>75</v>
      </c>
      <c r="D13771" t="s">
        <v>104</v>
      </c>
      <c r="E13771">
        <f t="shared" si="647"/>
        <v>1.9607843137254902E-2</v>
      </c>
      <c r="F13771">
        <v>49</v>
      </c>
      <c r="G13771">
        <f>LOG(382/(49+1))</f>
        <v>0.88309335857568994</v>
      </c>
      <c r="H13771">
        <f>0.0196078431372549*2.03339760317842</f>
        <v>3.9870541238792551E-2</v>
      </c>
      <c r="I13771">
        <v>3.9870541238792717E-2</v>
      </c>
    </row>
    <row r="13772" spans="1:9" x14ac:dyDescent="0.25">
      <c r="A13772">
        <v>476</v>
      </c>
      <c r="B13772" t="s">
        <v>3881</v>
      </c>
      <c r="C13772" t="s">
        <v>75</v>
      </c>
      <c r="D13772" t="s">
        <v>17</v>
      </c>
      <c r="E13772">
        <f t="shared" si="647"/>
        <v>1.9607843137254902E-2</v>
      </c>
      <c r="F13772">
        <v>169</v>
      </c>
      <c r="G13772">
        <f>LOG(382/(169+1))</f>
        <v>0.3516144415334348</v>
      </c>
      <c r="H13772">
        <f>0.0196078431372549*0.809622171556313</f>
        <v>1.5874944540319864E-2</v>
      </c>
      <c r="I13772">
        <v>1.5874944540319871E-2</v>
      </c>
    </row>
    <row r="13773" spans="1:9" x14ac:dyDescent="0.25">
      <c r="A13773">
        <v>476</v>
      </c>
      <c r="B13773" t="s">
        <v>3881</v>
      </c>
      <c r="C13773" t="s">
        <v>75</v>
      </c>
      <c r="D13773" t="s">
        <v>1907</v>
      </c>
      <c r="E13773">
        <f t="shared" si="647"/>
        <v>1.9607843137254902E-2</v>
      </c>
      <c r="F13773">
        <v>20</v>
      </c>
      <c r="G13773">
        <f>LOG(382/(20+1))</f>
        <v>1.2598440681777894</v>
      </c>
      <c r="H13773">
        <f>0.0196078431372549*2.90089817088315</f>
        <v>5.6880356291826473E-2</v>
      </c>
      <c r="I13773">
        <v>5.6880356291826507E-2</v>
      </c>
    </row>
    <row r="13774" spans="1:9" x14ac:dyDescent="0.25">
      <c r="A13774">
        <v>476</v>
      </c>
      <c r="B13774" t="s">
        <v>3881</v>
      </c>
      <c r="C13774" t="s">
        <v>75</v>
      </c>
      <c r="D13774" t="s">
        <v>1908</v>
      </c>
      <c r="E13774">
        <f t="shared" si="647"/>
        <v>1.9607843137254902E-2</v>
      </c>
      <c r="F13774">
        <v>20</v>
      </c>
      <c r="G13774">
        <f>LOG(382/(20+1))</f>
        <v>1.2598440681777894</v>
      </c>
      <c r="H13774">
        <f>0.0196078431372549*2.90089817088315</f>
        <v>5.6880356291826473E-2</v>
      </c>
      <c r="I13774">
        <v>5.6880356291826507E-2</v>
      </c>
    </row>
    <row r="13775" spans="1:9" x14ac:dyDescent="0.25">
      <c r="A13775">
        <v>476</v>
      </c>
      <c r="B13775" t="s">
        <v>3881</v>
      </c>
      <c r="C13775" t="s">
        <v>75</v>
      </c>
      <c r="D13775" t="s">
        <v>91</v>
      </c>
      <c r="E13775">
        <f t="shared" si="647"/>
        <v>1.9607843137254902E-2</v>
      </c>
      <c r="F13775">
        <v>33</v>
      </c>
      <c r="G13775">
        <f>LOG(382/(33+1))</f>
        <v>1.0505844458694535</v>
      </c>
      <c r="H13775">
        <f>0.0196078431372549*2.41906008399041</f>
        <v>4.7432550666478633E-2</v>
      </c>
      <c r="I13775">
        <v>4.7432550666478702E-2</v>
      </c>
    </row>
    <row r="13776" spans="1:9" x14ac:dyDescent="0.25">
      <c r="A13776">
        <v>476</v>
      </c>
      <c r="B13776" t="s">
        <v>3881</v>
      </c>
      <c r="C13776" t="s">
        <v>75</v>
      </c>
      <c r="D13776" t="s">
        <v>19</v>
      </c>
      <c r="E13776">
        <f t="shared" si="647"/>
        <v>1.9607843137254902E-2</v>
      </c>
      <c r="F13776">
        <v>220</v>
      </c>
      <c r="G13776">
        <f>LOG(382/(220+1))</f>
        <v>0.23767108922659805</v>
      </c>
      <c r="H13776">
        <f>0.0196078431372549*0.547257907088822</f>
        <v>1.073054719782004E-2</v>
      </c>
      <c r="I13776">
        <v>1.073054719782005E-2</v>
      </c>
    </row>
    <row r="13777" spans="1:9" x14ac:dyDescent="0.25">
      <c r="A13777">
        <v>476</v>
      </c>
      <c r="B13777" t="s">
        <v>3881</v>
      </c>
      <c r="C13777" t="s">
        <v>75</v>
      </c>
      <c r="D13777" t="s">
        <v>195</v>
      </c>
      <c r="E13777">
        <f t="shared" si="647"/>
        <v>1.9607843137254902E-2</v>
      </c>
      <c r="F13777">
        <v>55</v>
      </c>
      <c r="G13777">
        <f>LOG(382/(55+1))</f>
        <v>0.83387533590550833</v>
      </c>
      <c r="H13777">
        <f>0.0196078431372549*1.92006891787142</f>
        <v>3.7648410154341568E-2</v>
      </c>
      <c r="I13777">
        <v>3.7648410154341692E-2</v>
      </c>
    </row>
    <row r="13778" spans="1:9" x14ac:dyDescent="0.25">
      <c r="A13778">
        <v>476</v>
      </c>
      <c r="B13778" t="s">
        <v>3881</v>
      </c>
      <c r="C13778" t="s">
        <v>75</v>
      </c>
      <c r="D13778" t="s">
        <v>3883</v>
      </c>
      <c r="E13778">
        <f t="shared" si="647"/>
        <v>1.9607843137254902E-2</v>
      </c>
      <c r="F13778">
        <v>1</v>
      </c>
      <c r="G13778">
        <f>LOG(382/(1+1))</f>
        <v>2.2810333672477277</v>
      </c>
      <c r="H13778">
        <f>0.0196078431372549*5.25227342804663</f>
        <v>0.10298575349111039</v>
      </c>
      <c r="I13778">
        <v>0.1029857534911104</v>
      </c>
    </row>
    <row r="13779" spans="1:9" x14ac:dyDescent="0.25">
      <c r="A13779">
        <v>476</v>
      </c>
      <c r="B13779" t="s">
        <v>3881</v>
      </c>
      <c r="C13779" t="s">
        <v>75</v>
      </c>
      <c r="D13779" t="s">
        <v>23</v>
      </c>
      <c r="E13779">
        <f t="shared" si="647"/>
        <v>1.9607843137254902E-2</v>
      </c>
      <c r="F13779">
        <v>275</v>
      </c>
      <c r="G13779">
        <f>LOG(382/(275+1))</f>
        <v>0.14115428084649101</v>
      </c>
      <c r="H13779">
        <f>0.0196078431372549*0.325019742889425</f>
        <v>6.3729361350867639E-3</v>
      </c>
      <c r="I13779">
        <v>6.3729361350867673E-3</v>
      </c>
    </row>
    <row r="13780" spans="1:9" x14ac:dyDescent="0.25">
      <c r="A13780">
        <v>476</v>
      </c>
      <c r="B13780" t="s">
        <v>3881</v>
      </c>
      <c r="C13780" t="s">
        <v>75</v>
      </c>
      <c r="D13780" t="s">
        <v>2291</v>
      </c>
      <c r="E13780">
        <f t="shared" si="647"/>
        <v>1.9607843137254902E-2</v>
      </c>
      <c r="F13780">
        <v>17</v>
      </c>
      <c r="G13780">
        <f>LOG(382/(17+1))</f>
        <v>1.3267908578084027</v>
      </c>
      <c r="H13780">
        <f>0.0196078431372549*3.05504885071041</f>
        <v>5.9902918641380587E-2</v>
      </c>
      <c r="I13780">
        <v>5.9902918641380587E-2</v>
      </c>
    </row>
    <row r="13781" spans="1:9" x14ac:dyDescent="0.25">
      <c r="A13781">
        <v>476</v>
      </c>
      <c r="B13781" t="s">
        <v>3881</v>
      </c>
      <c r="C13781" t="s">
        <v>75</v>
      </c>
      <c r="D13781" t="s">
        <v>3819</v>
      </c>
      <c r="E13781">
        <f t="shared" si="647"/>
        <v>1.9607843137254902E-2</v>
      </c>
      <c r="F13781">
        <v>2</v>
      </c>
      <c r="G13781">
        <f>LOG(382/(2+1))</f>
        <v>2.1049421081920463</v>
      </c>
      <c r="H13781">
        <f>0.0196078431372549*4.84680831993846</f>
        <v>9.5035457253695291E-2</v>
      </c>
      <c r="I13781">
        <v>9.5035457253695402E-2</v>
      </c>
    </row>
    <row r="13782" spans="1:9" x14ac:dyDescent="0.25">
      <c r="A13782">
        <v>476</v>
      </c>
      <c r="B13782" t="s">
        <v>3881</v>
      </c>
      <c r="C13782" t="s">
        <v>75</v>
      </c>
      <c r="D13782" t="s">
        <v>105</v>
      </c>
      <c r="E13782">
        <f t="shared" si="647"/>
        <v>1.9607843137254902E-2</v>
      </c>
      <c r="F13782">
        <v>122</v>
      </c>
      <c r="G13782">
        <f>LOG(382/(122+1))</f>
        <v>0.49215825147231079</v>
      </c>
      <c r="H13782">
        <f>0.0196078431372549*1.13323625323415</f>
        <v>2.2220318690865687E-2</v>
      </c>
      <c r="I13782">
        <v>2.2220318690865829E-2</v>
      </c>
    </row>
    <row r="13783" spans="1:9" x14ac:dyDescent="0.25">
      <c r="A13783">
        <v>476</v>
      </c>
      <c r="B13783" t="s">
        <v>3881</v>
      </c>
      <c r="C13783" t="s">
        <v>75</v>
      </c>
      <c r="D13783" t="s">
        <v>1769</v>
      </c>
      <c r="E13783">
        <f>2/51</f>
        <v>3.9215686274509803E-2</v>
      </c>
      <c r="F13783">
        <v>84</v>
      </c>
      <c r="G13783">
        <f>LOG(382/(84+1))</f>
        <v>0.65264443719741605</v>
      </c>
      <c r="H13783">
        <f>0.0392156862745098*1.50276935211625</f>
        <v>5.8932131455539216E-2</v>
      </c>
      <c r="I13783">
        <v>5.8932131455539563E-2</v>
      </c>
    </row>
    <row r="13784" spans="1:9" x14ac:dyDescent="0.25">
      <c r="A13784">
        <v>476</v>
      </c>
      <c r="B13784" t="s">
        <v>3881</v>
      </c>
      <c r="C13784" t="s">
        <v>75</v>
      </c>
      <c r="D13784" t="s">
        <v>1546</v>
      </c>
      <c r="E13784">
        <f t="shared" ref="E13784:E13789" si="648">1/51</f>
        <v>1.9607843137254902E-2</v>
      </c>
      <c r="F13784">
        <v>44</v>
      </c>
      <c r="G13784">
        <f>LOG(382/(44+1))</f>
        <v>0.92885084913636506</v>
      </c>
      <c r="H13784">
        <f>0.0196078431372549*2.13875811883625</f>
        <v>4.1936433702671569E-2</v>
      </c>
      <c r="I13784">
        <v>4.1936433702671673E-2</v>
      </c>
    </row>
    <row r="13785" spans="1:9" x14ac:dyDescent="0.25">
      <c r="A13785">
        <v>476</v>
      </c>
      <c r="B13785" t="s">
        <v>3881</v>
      </c>
      <c r="C13785" t="s">
        <v>75</v>
      </c>
      <c r="D13785" t="s">
        <v>1551</v>
      </c>
      <c r="E13785">
        <f t="shared" si="648"/>
        <v>1.9607843137254902E-2</v>
      </c>
      <c r="F13785">
        <v>15</v>
      </c>
      <c r="G13785">
        <f>LOG(382/(15+1))</f>
        <v>1.3779433802557839</v>
      </c>
      <c r="H13785">
        <f>0.0196078431372549*3.17283188636679</f>
        <v>6.2212389928760589E-2</v>
      </c>
      <c r="I13785">
        <v>6.2212389928760672E-2</v>
      </c>
    </row>
    <row r="13786" spans="1:9" x14ac:dyDescent="0.25">
      <c r="A13786">
        <v>476</v>
      </c>
      <c r="B13786" t="s">
        <v>3881</v>
      </c>
      <c r="C13786" t="s">
        <v>75</v>
      </c>
      <c r="D13786" t="s">
        <v>1550</v>
      </c>
      <c r="E13786">
        <f t="shared" si="648"/>
        <v>1.9607843137254902E-2</v>
      </c>
      <c r="F13786">
        <v>16</v>
      </c>
      <c r="G13786">
        <f>LOG(382/(16+1))</f>
        <v>1.3516144415334348</v>
      </c>
      <c r="H13786">
        <f>0.0196078431372549*3.11220726455035</f>
        <v>6.102367185392843E-2</v>
      </c>
      <c r="I13786">
        <v>6.102367185392861E-2</v>
      </c>
    </row>
    <row r="13787" spans="1:9" x14ac:dyDescent="0.25">
      <c r="A13787">
        <v>476</v>
      </c>
      <c r="B13787" t="s">
        <v>3881</v>
      </c>
      <c r="C13787" t="s">
        <v>75</v>
      </c>
      <c r="D13787" t="s">
        <v>1730</v>
      </c>
      <c r="E13787">
        <f t="shared" si="648"/>
        <v>1.9607843137254902E-2</v>
      </c>
      <c r="F13787">
        <v>35</v>
      </c>
      <c r="G13787">
        <f>LOG(382/(35+1))</f>
        <v>1.0257608621444214</v>
      </c>
      <c r="H13787">
        <f>0.0196078431372549*2.36190167015046</f>
        <v>4.6311797453930589E-2</v>
      </c>
      <c r="I13787">
        <v>4.6311797453930693E-2</v>
      </c>
    </row>
    <row r="13788" spans="1:9" x14ac:dyDescent="0.25">
      <c r="A13788">
        <v>476</v>
      </c>
      <c r="B13788" t="s">
        <v>3881</v>
      </c>
      <c r="C13788" t="s">
        <v>75</v>
      </c>
      <c r="D13788" t="s">
        <v>1665</v>
      </c>
      <c r="E13788">
        <f t="shared" si="648"/>
        <v>1.9607843137254902E-2</v>
      </c>
      <c r="F13788">
        <v>17</v>
      </c>
      <c r="G13788">
        <f>LOG(382/(17+1))</f>
        <v>1.3267908578084027</v>
      </c>
      <c r="H13788">
        <f>0.0196078431372549*3.05504885071041</f>
        <v>5.9902918641380587E-2</v>
      </c>
      <c r="I13788">
        <v>5.9902918641380587E-2</v>
      </c>
    </row>
    <row r="13789" spans="1:9" x14ac:dyDescent="0.25">
      <c r="A13789">
        <v>476</v>
      </c>
      <c r="B13789" t="s">
        <v>3881</v>
      </c>
      <c r="C13789" t="s">
        <v>75</v>
      </c>
      <c r="D13789" t="s">
        <v>1729</v>
      </c>
      <c r="E13789">
        <f t="shared" si="648"/>
        <v>1.9607843137254902E-2</v>
      </c>
      <c r="F13789">
        <v>7</v>
      </c>
      <c r="G13789">
        <f>LOG(382/(7+1))</f>
        <v>1.6789733759197651</v>
      </c>
      <c r="H13789">
        <f>0.0196078431372549*3.86597906692673</f>
        <v>7.5803511116210393E-2</v>
      </c>
      <c r="I13789">
        <v>7.5803511116210573E-2</v>
      </c>
    </row>
    <row r="13790" spans="1:9" x14ac:dyDescent="0.25">
      <c r="A13790">
        <v>476</v>
      </c>
      <c r="B13790" t="s">
        <v>3881</v>
      </c>
      <c r="C13790" t="s">
        <v>75</v>
      </c>
      <c r="D13790" t="s">
        <v>243</v>
      </c>
      <c r="E13790">
        <f>2/51</f>
        <v>3.9215686274509803E-2</v>
      </c>
      <c r="F13790">
        <v>131</v>
      </c>
      <c r="G13790">
        <f>LOG(382/(131+1))</f>
        <v>0.46148943170585888</v>
      </c>
      <c r="H13790">
        <f>0.0392156862745098*1.0626186860202</f>
        <v>4.1671321020399998E-2</v>
      </c>
      <c r="I13790">
        <v>4.1671321020400158E-2</v>
      </c>
    </row>
    <row r="13791" spans="1:9" x14ac:dyDescent="0.25">
      <c r="A13791">
        <v>476</v>
      </c>
      <c r="B13791" t="s">
        <v>3881</v>
      </c>
      <c r="C13791" t="s">
        <v>75</v>
      </c>
      <c r="D13791" t="s">
        <v>453</v>
      </c>
      <c r="E13791">
        <f t="shared" ref="E13791:E13802" si="649">1/51</f>
        <v>1.9607843137254902E-2</v>
      </c>
      <c r="F13791">
        <v>68</v>
      </c>
      <c r="G13791">
        <f>LOG(382/(68+1))</f>
        <v>0.74321427217445335</v>
      </c>
      <c r="H13791">
        <f>0.0196078431372549*1.71131410400931</f>
        <v>3.3555178509986475E-2</v>
      </c>
      <c r="I13791">
        <v>3.3555178509986593E-2</v>
      </c>
    </row>
    <row r="13792" spans="1:9" x14ac:dyDescent="0.25">
      <c r="A13792">
        <v>476</v>
      </c>
      <c r="B13792" t="s">
        <v>3881</v>
      </c>
      <c r="C13792" t="s">
        <v>75</v>
      </c>
      <c r="D13792" t="s">
        <v>455</v>
      </c>
      <c r="E13792">
        <f t="shared" si="649"/>
        <v>1.9607843137254902E-2</v>
      </c>
      <c r="F13792">
        <v>78</v>
      </c>
      <c r="G13792">
        <f>LOG(382/(78+1))</f>
        <v>0.6844362716212673</v>
      </c>
      <c r="H13792">
        <f>0.0196078431372549*1.57597275613955</f>
        <v>3.0901426590971569E-2</v>
      </c>
      <c r="I13792">
        <v>3.0901426590971639E-2</v>
      </c>
    </row>
    <row r="13793" spans="1:9" x14ac:dyDescent="0.25">
      <c r="A13793">
        <v>476</v>
      </c>
      <c r="B13793" t="s">
        <v>3881</v>
      </c>
      <c r="C13793" t="s">
        <v>75</v>
      </c>
      <c r="D13793" t="s">
        <v>456</v>
      </c>
      <c r="E13793">
        <f t="shared" si="649"/>
        <v>1.9607843137254902E-2</v>
      </c>
      <c r="F13793">
        <v>71</v>
      </c>
      <c r="G13793">
        <f>LOG(382/(71+1))</f>
        <v>0.72473086648044027</v>
      </c>
      <c r="H13793">
        <f>0.0196078431372549*1.66875448959051</f>
        <v>3.2720676266480585E-2</v>
      </c>
      <c r="I13793">
        <v>3.2720676266480779E-2</v>
      </c>
    </row>
    <row r="13794" spans="1:9" x14ac:dyDescent="0.25">
      <c r="A13794">
        <v>476</v>
      </c>
      <c r="B13794" t="s">
        <v>3881</v>
      </c>
      <c r="C13794" t="s">
        <v>75</v>
      </c>
      <c r="D13794" t="s">
        <v>81</v>
      </c>
      <c r="E13794">
        <f t="shared" si="649"/>
        <v>1.9607843137254902E-2</v>
      </c>
      <c r="F13794">
        <v>114</v>
      </c>
      <c r="G13794">
        <f>LOG(382/(114+1))</f>
        <v>0.52136552255809698</v>
      </c>
      <c r="H13794">
        <f>0.0196078431372549*1.20048848024332</f>
        <v>2.353898980869255E-2</v>
      </c>
      <c r="I13794">
        <v>2.3538989808692651E-2</v>
      </c>
    </row>
    <row r="13795" spans="1:9" x14ac:dyDescent="0.25">
      <c r="A13795">
        <v>476</v>
      </c>
      <c r="B13795" t="s">
        <v>3881</v>
      </c>
      <c r="C13795" t="s">
        <v>75</v>
      </c>
      <c r="D13795" t="s">
        <v>361</v>
      </c>
      <c r="E13795">
        <f t="shared" si="649"/>
        <v>1.9607843137254902E-2</v>
      </c>
      <c r="F13795">
        <v>118</v>
      </c>
      <c r="G13795">
        <f>LOG(382/(118+1))</f>
        <v>0.50651640151917798</v>
      </c>
      <c r="H13795">
        <f>0.0196078431372549*1.16629711549504</f>
        <v>2.2868570892059605E-2</v>
      </c>
      <c r="I13795">
        <v>2.2868570892059719E-2</v>
      </c>
    </row>
    <row r="13796" spans="1:9" x14ac:dyDescent="0.25">
      <c r="A13796">
        <v>476</v>
      </c>
      <c r="B13796" t="s">
        <v>3881</v>
      </c>
      <c r="C13796" t="s">
        <v>75</v>
      </c>
      <c r="D13796" t="s">
        <v>434</v>
      </c>
      <c r="E13796">
        <f t="shared" si="649"/>
        <v>1.9607843137254902E-2</v>
      </c>
      <c r="F13796">
        <v>97</v>
      </c>
      <c r="G13796">
        <f>LOG(382/(97+1))</f>
        <v>0.59083728721921391</v>
      </c>
      <c r="H13796">
        <f>0.0196078431372549*1.360453129936</f>
        <v>2.667555156737255E-2</v>
      </c>
      <c r="I13796">
        <v>2.6675551567372609E-2</v>
      </c>
    </row>
    <row r="13797" spans="1:9" x14ac:dyDescent="0.25">
      <c r="A13797">
        <v>476</v>
      </c>
      <c r="B13797" t="s">
        <v>3881</v>
      </c>
      <c r="C13797" t="s">
        <v>75</v>
      </c>
      <c r="D13797" t="s">
        <v>2242</v>
      </c>
      <c r="E13797">
        <f t="shared" si="649"/>
        <v>1.9607843137254902E-2</v>
      </c>
      <c r="F13797">
        <v>18</v>
      </c>
      <c r="G13797">
        <f>LOG(382/(18+1))</f>
        <v>1.3033097619588798</v>
      </c>
      <c r="H13797">
        <f>0.0196078431372549*3.00098162944013</f>
        <v>5.8842777047845692E-2</v>
      </c>
      <c r="I13797">
        <v>5.8842777047845768E-2</v>
      </c>
    </row>
    <row r="13798" spans="1:9" x14ac:dyDescent="0.25">
      <c r="A13798">
        <v>476</v>
      </c>
      <c r="B13798" t="s">
        <v>3881</v>
      </c>
      <c r="C13798" t="s">
        <v>75</v>
      </c>
      <c r="D13798" t="s">
        <v>214</v>
      </c>
      <c r="E13798">
        <f t="shared" si="649"/>
        <v>1.9607843137254902E-2</v>
      </c>
      <c r="F13798">
        <v>68</v>
      </c>
      <c r="G13798">
        <f>LOG(382/(68+1))</f>
        <v>0.74321427217445335</v>
      </c>
      <c r="H13798">
        <f>0.0196078431372549*1.71131410400931</f>
        <v>3.3555178509986475E-2</v>
      </c>
      <c r="I13798">
        <v>3.3555178509986593E-2</v>
      </c>
    </row>
    <row r="13799" spans="1:9" x14ac:dyDescent="0.25">
      <c r="A13799">
        <v>476</v>
      </c>
      <c r="B13799" t="s">
        <v>3881</v>
      </c>
      <c r="C13799" t="s">
        <v>75</v>
      </c>
      <c r="D13799" t="s">
        <v>770</v>
      </c>
      <c r="E13799">
        <f t="shared" si="649"/>
        <v>1.9607843137254902E-2</v>
      </c>
      <c r="F13799">
        <v>47</v>
      </c>
      <c r="G13799">
        <f>LOG(382/(47+1))</f>
        <v>0.90082212553612151</v>
      </c>
      <c r="H13799">
        <f>0.0196078431372549*2.07421959769868</f>
        <v>4.0670972503895689E-2</v>
      </c>
      <c r="I13799">
        <v>4.0670972503895772E-2</v>
      </c>
    </row>
    <row r="13800" spans="1:9" x14ac:dyDescent="0.25">
      <c r="A13800">
        <v>476</v>
      </c>
      <c r="B13800" t="s">
        <v>3881</v>
      </c>
      <c r="C13800" t="s">
        <v>75</v>
      </c>
      <c r="D13800" t="s">
        <v>237</v>
      </c>
      <c r="E13800">
        <f t="shared" si="649"/>
        <v>1.9607843137254902E-2</v>
      </c>
      <c r="F13800">
        <v>138</v>
      </c>
      <c r="G13800">
        <f>LOG(382/(138+1))</f>
        <v>0.43904856265761361</v>
      </c>
      <c r="H13800">
        <f>0.0196078431372549*1.01094667547588</f>
        <v>1.9822483832860394E-2</v>
      </c>
      <c r="I13800">
        <v>1.982248383286046E-2</v>
      </c>
    </row>
    <row r="13801" spans="1:9" x14ac:dyDescent="0.25">
      <c r="A13801">
        <v>476</v>
      </c>
      <c r="B13801" t="s">
        <v>3881</v>
      </c>
      <c r="C13801" t="s">
        <v>75</v>
      </c>
      <c r="D13801" t="s">
        <v>1008</v>
      </c>
      <c r="E13801">
        <f t="shared" si="649"/>
        <v>1.9607843137254902E-2</v>
      </c>
      <c r="F13801">
        <v>3</v>
      </c>
      <c r="G13801">
        <f>LOG(382/(3+1))</f>
        <v>1.9800033715837464</v>
      </c>
      <c r="H13801">
        <f>0.0196078431372549*4.55912624748668</f>
        <v>8.939463230366039E-2</v>
      </c>
      <c r="I13801">
        <v>8.9394632303660473E-2</v>
      </c>
    </row>
    <row r="13802" spans="1:9" x14ac:dyDescent="0.25">
      <c r="A13802">
        <v>476</v>
      </c>
      <c r="B13802" t="s">
        <v>3881</v>
      </c>
      <c r="C13802" t="s">
        <v>75</v>
      </c>
      <c r="D13802" t="s">
        <v>78</v>
      </c>
      <c r="E13802">
        <f t="shared" si="649"/>
        <v>1.9607843137254902E-2</v>
      </c>
      <c r="F13802">
        <v>122</v>
      </c>
      <c r="G13802">
        <f>LOG(382/(122+1))</f>
        <v>0.49215825147231079</v>
      </c>
      <c r="H13802">
        <f>0.0196078431372549*1.13323625323415</f>
        <v>2.2220318690865687E-2</v>
      </c>
      <c r="I13802">
        <v>2.2220318690865829E-2</v>
      </c>
    </row>
    <row r="13803" spans="1:9" x14ac:dyDescent="0.25">
      <c r="A13803">
        <v>477</v>
      </c>
      <c r="B13803" t="s">
        <v>3884</v>
      </c>
      <c r="C13803" t="s">
        <v>75</v>
      </c>
      <c r="D13803" t="s">
        <v>3885</v>
      </c>
      <c r="E13803">
        <f>1/54</f>
        <v>1.8518518518518517E-2</v>
      </c>
      <c r="F13803">
        <v>1</v>
      </c>
      <c r="G13803">
        <f>LOG(382/(1+1))</f>
        <v>2.2810333672477277</v>
      </c>
      <c r="H13803">
        <f>0.0185185185185185*5.25227342804663</f>
        <v>9.7264322741604167E-2</v>
      </c>
      <c r="I13803">
        <v>9.7264322741604251E-2</v>
      </c>
    </row>
    <row r="13804" spans="1:9" x14ac:dyDescent="0.25">
      <c r="A13804">
        <v>477</v>
      </c>
      <c r="B13804" t="s">
        <v>3884</v>
      </c>
      <c r="C13804" t="s">
        <v>75</v>
      </c>
      <c r="D13804" t="s">
        <v>3886</v>
      </c>
      <c r="E13804">
        <f>3/54</f>
        <v>5.5555555555555552E-2</v>
      </c>
      <c r="F13804">
        <v>1</v>
      </c>
      <c r="G13804">
        <f>LOG(382/(1+1))</f>
        <v>2.2810333672477277</v>
      </c>
      <c r="H13804">
        <f>0.0555555555555555*5.25227342804663</f>
        <v>0.29179296822481249</v>
      </c>
      <c r="I13804">
        <v>0.29179296822481282</v>
      </c>
    </row>
    <row r="13805" spans="1:9" x14ac:dyDescent="0.25">
      <c r="A13805">
        <v>477</v>
      </c>
      <c r="B13805" t="s">
        <v>3884</v>
      </c>
      <c r="C13805" t="s">
        <v>75</v>
      </c>
      <c r="D13805" t="s">
        <v>2783</v>
      </c>
      <c r="E13805">
        <f>3/54</f>
        <v>5.5555555555555552E-2</v>
      </c>
      <c r="F13805">
        <v>2</v>
      </c>
      <c r="G13805">
        <f>LOG(382/(2+1))</f>
        <v>2.1049421081920463</v>
      </c>
      <c r="H13805">
        <f>0.0555555555555555*4.84680831993846</f>
        <v>0.26926712888546972</v>
      </c>
      <c r="I13805">
        <v>0.26926712888547027</v>
      </c>
    </row>
    <row r="13806" spans="1:9" x14ac:dyDescent="0.25">
      <c r="A13806">
        <v>477</v>
      </c>
      <c r="B13806" t="s">
        <v>3884</v>
      </c>
      <c r="C13806" t="s">
        <v>75</v>
      </c>
      <c r="D13806" t="s">
        <v>183</v>
      </c>
      <c r="E13806">
        <f>2/54</f>
        <v>3.7037037037037035E-2</v>
      </c>
      <c r="F13806">
        <v>46</v>
      </c>
      <c r="G13806">
        <f>LOG(382/(46+1))</f>
        <v>0.90996550497599127</v>
      </c>
      <c r="H13806">
        <f>0.037037037037037*2.09527300689651</f>
        <v>7.7602703959129923E-2</v>
      </c>
      <c r="I13806">
        <v>7.7602703959130229E-2</v>
      </c>
    </row>
    <row r="13807" spans="1:9" x14ac:dyDescent="0.25">
      <c r="A13807">
        <v>477</v>
      </c>
      <c r="B13807" t="s">
        <v>3884</v>
      </c>
      <c r="C13807" t="s">
        <v>75</v>
      </c>
      <c r="D13807" t="s">
        <v>105</v>
      </c>
      <c r="E13807">
        <f>1/54</f>
        <v>1.8518518518518517E-2</v>
      </c>
      <c r="F13807">
        <v>122</v>
      </c>
      <c r="G13807">
        <f>LOG(382/(122+1))</f>
        <v>0.49215825147231079</v>
      </c>
      <c r="H13807">
        <f>0.0185185185185185*1.13323625323415</f>
        <v>2.0985856541373128E-2</v>
      </c>
      <c r="I13807">
        <v>2.0985856541373291E-2</v>
      </c>
    </row>
    <row r="13808" spans="1:9" x14ac:dyDescent="0.25">
      <c r="A13808">
        <v>477</v>
      </c>
      <c r="B13808" t="s">
        <v>3884</v>
      </c>
      <c r="C13808" t="s">
        <v>75</v>
      </c>
      <c r="D13808" t="s">
        <v>1769</v>
      </c>
      <c r="E13808">
        <f>2/54</f>
        <v>3.7037037037037035E-2</v>
      </c>
      <c r="F13808">
        <v>84</v>
      </c>
      <c r="G13808">
        <f>LOG(382/(84+1))</f>
        <v>0.65264443719741605</v>
      </c>
      <c r="H13808">
        <f>0.037037037037037*1.50276935211625</f>
        <v>5.565812415245365E-2</v>
      </c>
      <c r="I13808">
        <v>5.5658124152454018E-2</v>
      </c>
    </row>
    <row r="13809" spans="1:9" x14ac:dyDescent="0.25">
      <c r="A13809">
        <v>477</v>
      </c>
      <c r="B13809" t="s">
        <v>3884</v>
      </c>
      <c r="C13809" t="s">
        <v>75</v>
      </c>
      <c r="D13809" t="s">
        <v>1762</v>
      </c>
      <c r="E13809">
        <f>1/54</f>
        <v>1.8518518518518517E-2</v>
      </c>
      <c r="F13809">
        <v>60</v>
      </c>
      <c r="G13809">
        <f>LOG(382/(60+1))</f>
        <v>0.79673352790094176</v>
      </c>
      <c r="H13809">
        <f>0.0185185185185185*1.83454674443326</f>
        <v>3.3973087859875149E-2</v>
      </c>
      <c r="I13809">
        <v>3.3973087859875253E-2</v>
      </c>
    </row>
    <row r="13810" spans="1:9" x14ac:dyDescent="0.25">
      <c r="A13810">
        <v>477</v>
      </c>
      <c r="B13810" t="s">
        <v>3884</v>
      </c>
      <c r="C13810" t="s">
        <v>75</v>
      </c>
      <c r="D13810" t="s">
        <v>3747</v>
      </c>
      <c r="E13810">
        <f>2/54</f>
        <v>3.7037037037037035E-2</v>
      </c>
      <c r="F13810">
        <v>3</v>
      </c>
      <c r="G13810">
        <f>LOG(382/(3+1))</f>
        <v>1.9800033715837464</v>
      </c>
      <c r="H13810">
        <f>0.037037037037037*4.55912624748668</f>
        <v>0.1688565276846917</v>
      </c>
      <c r="I13810">
        <v>0.168856527684692</v>
      </c>
    </row>
    <row r="13811" spans="1:9" x14ac:dyDescent="0.25">
      <c r="A13811">
        <v>477</v>
      </c>
      <c r="B13811" t="s">
        <v>3884</v>
      </c>
      <c r="C13811" t="s">
        <v>75</v>
      </c>
      <c r="D13811" t="s">
        <v>1546</v>
      </c>
      <c r="E13811">
        <f>1/54</f>
        <v>1.8518518518518517E-2</v>
      </c>
      <c r="F13811">
        <v>44</v>
      </c>
      <c r="G13811">
        <f>LOG(382/(44+1))</f>
        <v>0.92885084913636506</v>
      </c>
      <c r="H13811">
        <f>0.0185185185185185*2.13875811883625</f>
        <v>3.9606631830300887E-2</v>
      </c>
      <c r="I13811">
        <v>3.9606631830301019E-2</v>
      </c>
    </row>
    <row r="13812" spans="1:9" x14ac:dyDescent="0.25">
      <c r="A13812">
        <v>477</v>
      </c>
      <c r="B13812" t="s">
        <v>3884</v>
      </c>
      <c r="C13812" t="s">
        <v>75</v>
      </c>
      <c r="D13812" t="s">
        <v>474</v>
      </c>
      <c r="E13812">
        <f>1/54</f>
        <v>1.8518518518518517E-2</v>
      </c>
      <c r="F13812">
        <v>25</v>
      </c>
      <c r="G13812">
        <f>LOG(382/(25+1))</f>
        <v>1.1670900149408907</v>
      </c>
      <c r="H13812">
        <f>0.0185185185185185*2.68732407058509</f>
        <v>4.976526056639051E-2</v>
      </c>
      <c r="I13812">
        <v>4.9765260566390607E-2</v>
      </c>
    </row>
    <row r="13813" spans="1:9" x14ac:dyDescent="0.25">
      <c r="A13813">
        <v>477</v>
      </c>
      <c r="B13813" t="s">
        <v>3884</v>
      </c>
      <c r="C13813" t="s">
        <v>75</v>
      </c>
      <c r="D13813" t="s">
        <v>3887</v>
      </c>
      <c r="E13813">
        <f>1/54</f>
        <v>1.8518518518518517E-2</v>
      </c>
      <c r="F13813">
        <v>1</v>
      </c>
      <c r="G13813">
        <f>LOG(382/(1+1))</f>
        <v>2.2810333672477277</v>
      </c>
      <c r="H13813">
        <f>0.0185185185185185*5.25227342804663</f>
        <v>9.7264322741604167E-2</v>
      </c>
      <c r="I13813">
        <v>9.7264322741604251E-2</v>
      </c>
    </row>
    <row r="13814" spans="1:9" x14ac:dyDescent="0.25">
      <c r="A13814">
        <v>477</v>
      </c>
      <c r="B13814" t="s">
        <v>3884</v>
      </c>
      <c r="C13814" t="s">
        <v>75</v>
      </c>
      <c r="D13814" t="s">
        <v>243</v>
      </c>
      <c r="E13814">
        <f>2/54</f>
        <v>3.7037037037037035E-2</v>
      </c>
      <c r="F13814">
        <v>131</v>
      </c>
      <c r="G13814">
        <f>LOG(382/(131+1))</f>
        <v>0.46148943170585888</v>
      </c>
      <c r="H13814">
        <f>0.037037037037037*1.0626186860202</f>
        <v>3.935624763037774E-2</v>
      </c>
      <c r="I13814">
        <v>3.9356247630377927E-2</v>
      </c>
    </row>
    <row r="13815" spans="1:9" x14ac:dyDescent="0.25">
      <c r="A13815">
        <v>477</v>
      </c>
      <c r="B13815" t="s">
        <v>3884</v>
      </c>
      <c r="C13815" t="s">
        <v>75</v>
      </c>
      <c r="D13815" t="s">
        <v>453</v>
      </c>
      <c r="E13815">
        <f t="shared" ref="E13815:E13825" si="650">1/54</f>
        <v>1.8518518518518517E-2</v>
      </c>
      <c r="F13815">
        <v>68</v>
      </c>
      <c r="G13815">
        <f>LOG(382/(68+1))</f>
        <v>0.74321427217445335</v>
      </c>
      <c r="H13815">
        <f>0.0185185185185185*1.71131410400931</f>
        <v>3.1691001926098306E-2</v>
      </c>
      <c r="I13815">
        <v>3.1691001926098437E-2</v>
      </c>
    </row>
    <row r="13816" spans="1:9" x14ac:dyDescent="0.25">
      <c r="A13816">
        <v>477</v>
      </c>
      <c r="B13816" t="s">
        <v>3884</v>
      </c>
      <c r="C13816" t="s">
        <v>75</v>
      </c>
      <c r="D13816" t="s">
        <v>455</v>
      </c>
      <c r="E13816">
        <f t="shared" si="650"/>
        <v>1.8518518518518517E-2</v>
      </c>
      <c r="F13816">
        <v>78</v>
      </c>
      <c r="G13816">
        <f>LOG(382/(78+1))</f>
        <v>0.6844362716212673</v>
      </c>
      <c r="H13816">
        <f>0.0185185185185185*1.57597275613955</f>
        <v>2.9184680669250899E-2</v>
      </c>
      <c r="I13816">
        <v>2.9184680669250999E-2</v>
      </c>
    </row>
    <row r="13817" spans="1:9" x14ac:dyDescent="0.25">
      <c r="A13817">
        <v>477</v>
      </c>
      <c r="B13817" t="s">
        <v>3884</v>
      </c>
      <c r="C13817" t="s">
        <v>75</v>
      </c>
      <c r="D13817" t="s">
        <v>456</v>
      </c>
      <c r="E13817">
        <f t="shared" si="650"/>
        <v>1.8518518518518517E-2</v>
      </c>
      <c r="F13817">
        <v>71</v>
      </c>
      <c r="G13817">
        <f>LOG(382/(71+1))</f>
        <v>0.72473086648044027</v>
      </c>
      <c r="H13817">
        <f>0.0185185185185185*1.66875448959051</f>
        <v>3.0902860918342746E-2</v>
      </c>
      <c r="I13817">
        <v>3.0902860918342961E-2</v>
      </c>
    </row>
    <row r="13818" spans="1:9" x14ac:dyDescent="0.25">
      <c r="A13818">
        <v>477</v>
      </c>
      <c r="B13818" t="s">
        <v>3884</v>
      </c>
      <c r="C13818" t="s">
        <v>75</v>
      </c>
      <c r="D13818" t="s">
        <v>1403</v>
      </c>
      <c r="E13818">
        <f t="shared" si="650"/>
        <v>1.8518518518518517E-2</v>
      </c>
      <c r="F13818">
        <v>10</v>
      </c>
      <c r="G13818">
        <f>LOG(382/(10+1))</f>
        <v>1.5406706777534838</v>
      </c>
      <c r="H13818">
        <f>0.0185185185185185*3.5475253358082</f>
        <v>6.5694913626077711E-2</v>
      </c>
      <c r="I13818">
        <v>6.5694913626077864E-2</v>
      </c>
    </row>
    <row r="13819" spans="1:9" x14ac:dyDescent="0.25">
      <c r="A13819">
        <v>477</v>
      </c>
      <c r="B13819" t="s">
        <v>3884</v>
      </c>
      <c r="C13819" t="s">
        <v>75</v>
      </c>
      <c r="D13819" t="s">
        <v>3888</v>
      </c>
      <c r="E13819">
        <f t="shared" si="650"/>
        <v>1.8518518518518517E-2</v>
      </c>
      <c r="F13819">
        <v>1</v>
      </c>
      <c r="G13819">
        <f>LOG(382/(1+1))</f>
        <v>2.2810333672477277</v>
      </c>
      <c r="H13819">
        <f>0.0185185185185185*5.25227342804663</f>
        <v>9.7264322741604167E-2</v>
      </c>
      <c r="I13819">
        <v>9.7264322741604251E-2</v>
      </c>
    </row>
    <row r="13820" spans="1:9" x14ac:dyDescent="0.25">
      <c r="A13820">
        <v>477</v>
      </c>
      <c r="B13820" t="s">
        <v>3884</v>
      </c>
      <c r="C13820" t="s">
        <v>75</v>
      </c>
      <c r="D13820" t="s">
        <v>361</v>
      </c>
      <c r="E13820">
        <f t="shared" si="650"/>
        <v>1.8518518518518517E-2</v>
      </c>
      <c r="F13820">
        <v>118</v>
      </c>
      <c r="G13820">
        <f>LOG(382/(118+1))</f>
        <v>0.50651640151917798</v>
      </c>
      <c r="H13820">
        <f>0.0185185185185185*1.16629711549504</f>
        <v>2.1598094731389607E-2</v>
      </c>
      <c r="I13820">
        <v>2.1598094731389739E-2</v>
      </c>
    </row>
    <row r="13821" spans="1:9" x14ac:dyDescent="0.25">
      <c r="A13821">
        <v>477</v>
      </c>
      <c r="B13821" t="s">
        <v>3884</v>
      </c>
      <c r="C13821" t="s">
        <v>75</v>
      </c>
      <c r="D13821" t="s">
        <v>434</v>
      </c>
      <c r="E13821">
        <f t="shared" si="650"/>
        <v>1.8518518518518517E-2</v>
      </c>
      <c r="F13821">
        <v>97</v>
      </c>
      <c r="G13821">
        <f>LOG(382/(97+1))</f>
        <v>0.59083728721921391</v>
      </c>
      <c r="H13821">
        <f>0.0185185185185185*1.360453129936</f>
        <v>2.5193576480296274E-2</v>
      </c>
      <c r="I13821">
        <v>2.519357648029635E-2</v>
      </c>
    </row>
    <row r="13822" spans="1:9" x14ac:dyDescent="0.25">
      <c r="A13822">
        <v>477</v>
      </c>
      <c r="B13822" t="s">
        <v>3884</v>
      </c>
      <c r="C13822" t="s">
        <v>75</v>
      </c>
      <c r="D13822" t="s">
        <v>2242</v>
      </c>
      <c r="E13822">
        <f t="shared" si="650"/>
        <v>1.8518518518518517E-2</v>
      </c>
      <c r="F13822">
        <v>18</v>
      </c>
      <c r="G13822">
        <f>LOG(382/(18+1))</f>
        <v>1.3033097619588798</v>
      </c>
      <c r="H13822">
        <f>0.0185185185185185*3.00098162944013</f>
        <v>5.5573733878520874E-2</v>
      </c>
      <c r="I13822">
        <v>5.5573733878521013E-2</v>
      </c>
    </row>
    <row r="13823" spans="1:9" x14ac:dyDescent="0.25">
      <c r="A13823">
        <v>477</v>
      </c>
      <c r="B13823" t="s">
        <v>3884</v>
      </c>
      <c r="C13823" t="s">
        <v>75</v>
      </c>
      <c r="D13823" t="s">
        <v>214</v>
      </c>
      <c r="E13823">
        <f t="shared" si="650"/>
        <v>1.8518518518518517E-2</v>
      </c>
      <c r="F13823">
        <v>68</v>
      </c>
      <c r="G13823">
        <f>LOG(382/(68+1))</f>
        <v>0.74321427217445335</v>
      </c>
      <c r="H13823">
        <f>0.0185185185185185*1.71131410400931</f>
        <v>3.1691001926098306E-2</v>
      </c>
      <c r="I13823">
        <v>3.1691001926098437E-2</v>
      </c>
    </row>
    <row r="13824" spans="1:9" x14ac:dyDescent="0.25">
      <c r="A13824">
        <v>477</v>
      </c>
      <c r="B13824" t="s">
        <v>3884</v>
      </c>
      <c r="C13824" t="s">
        <v>75</v>
      </c>
      <c r="D13824" t="s">
        <v>2238</v>
      </c>
      <c r="E13824">
        <f t="shared" si="650"/>
        <v>1.8518518518518517E-2</v>
      </c>
      <c r="F13824">
        <v>68</v>
      </c>
      <c r="G13824">
        <f>LOG(382/(68+1))</f>
        <v>0.74321427217445335</v>
      </c>
      <c r="H13824">
        <f>0.0185185185185185*1.71131410400931</f>
        <v>3.1691001926098306E-2</v>
      </c>
      <c r="I13824">
        <v>3.1691001926098437E-2</v>
      </c>
    </row>
    <row r="13825" spans="1:9" x14ac:dyDescent="0.25">
      <c r="A13825">
        <v>477</v>
      </c>
      <c r="B13825" t="s">
        <v>3884</v>
      </c>
      <c r="C13825" t="s">
        <v>75</v>
      </c>
      <c r="D13825" t="s">
        <v>823</v>
      </c>
      <c r="E13825">
        <f t="shared" si="650"/>
        <v>1.8518518518518517E-2</v>
      </c>
      <c r="F13825">
        <v>45</v>
      </c>
      <c r="G13825">
        <f>LOG(382/(45+1))</f>
        <v>0.9193055312301347</v>
      </c>
      <c r="H13825">
        <f>0.0185185185185185*2.11677921211748</f>
        <v>3.9199615039212557E-2</v>
      </c>
      <c r="I13825">
        <v>3.9199615039212592E-2</v>
      </c>
    </row>
    <row r="13826" spans="1:9" x14ac:dyDescent="0.25">
      <c r="A13826">
        <v>477</v>
      </c>
      <c r="B13826" t="s">
        <v>3884</v>
      </c>
      <c r="C13826" t="s">
        <v>75</v>
      </c>
      <c r="D13826" t="s">
        <v>3889</v>
      </c>
      <c r="E13826">
        <f>2/54</f>
        <v>3.7037037037037035E-2</v>
      </c>
      <c r="F13826">
        <v>1</v>
      </c>
      <c r="G13826">
        <f>LOG(382/(1+1))</f>
        <v>2.2810333672477277</v>
      </c>
      <c r="H13826">
        <f>0.037037037037037*5.25227342804663</f>
        <v>0.19452864548320833</v>
      </c>
      <c r="I13826">
        <v>0.1945286454832085</v>
      </c>
    </row>
    <row r="13827" spans="1:9" x14ac:dyDescent="0.25">
      <c r="A13827">
        <v>477</v>
      </c>
      <c r="B13827" t="s">
        <v>3884</v>
      </c>
      <c r="C13827" t="s">
        <v>75</v>
      </c>
      <c r="D13827" t="s">
        <v>3890</v>
      </c>
      <c r="E13827">
        <f>2/54</f>
        <v>3.7037037037037035E-2</v>
      </c>
      <c r="F13827">
        <v>1</v>
      </c>
      <c r="G13827">
        <f>LOG(382/(1+1))</f>
        <v>2.2810333672477277</v>
      </c>
      <c r="H13827">
        <f>0.037037037037037*5.25227342804663</f>
        <v>0.19452864548320833</v>
      </c>
      <c r="I13827">
        <v>0.1945286454832085</v>
      </c>
    </row>
    <row r="13828" spans="1:9" x14ac:dyDescent="0.25">
      <c r="A13828">
        <v>477</v>
      </c>
      <c r="B13828" t="s">
        <v>3884</v>
      </c>
      <c r="C13828" t="s">
        <v>75</v>
      </c>
      <c r="D13828" t="s">
        <v>746</v>
      </c>
      <c r="E13828">
        <f>2/54</f>
        <v>3.7037037037037035E-2</v>
      </c>
      <c r="F13828">
        <v>58</v>
      </c>
      <c r="G13828">
        <f>LOG(382/(58+1))</f>
        <v>0.81121135126956456</v>
      </c>
      <c r="H13828">
        <f>0.037037037037037*1.86788316470085</f>
        <v>6.9180857951883265E-2</v>
      </c>
      <c r="I13828">
        <v>6.9180857951883543E-2</v>
      </c>
    </row>
    <row r="13829" spans="1:9" x14ac:dyDescent="0.25">
      <c r="A13829">
        <v>477</v>
      </c>
      <c r="B13829" t="s">
        <v>3884</v>
      </c>
      <c r="C13829" t="s">
        <v>75</v>
      </c>
      <c r="D13829" t="s">
        <v>3891</v>
      </c>
      <c r="E13829">
        <f>1/54</f>
        <v>1.8518518518518517E-2</v>
      </c>
      <c r="F13829">
        <v>1</v>
      </c>
      <c r="G13829">
        <f>LOG(382/(1+1))</f>
        <v>2.2810333672477277</v>
      </c>
      <c r="H13829">
        <f>0.0185185185185185*5.25227342804663</f>
        <v>9.7264322741604167E-2</v>
      </c>
      <c r="I13829">
        <v>9.7264322741604251E-2</v>
      </c>
    </row>
    <row r="13830" spans="1:9" x14ac:dyDescent="0.25">
      <c r="A13830">
        <v>477</v>
      </c>
      <c r="B13830" t="s">
        <v>3884</v>
      </c>
      <c r="C13830" t="s">
        <v>75</v>
      </c>
      <c r="D13830" t="s">
        <v>1739</v>
      </c>
      <c r="E13830">
        <f>2/54</f>
        <v>3.7037037037037035E-2</v>
      </c>
      <c r="F13830">
        <v>30</v>
      </c>
      <c r="G13830">
        <f>LOG(382/(30+1))</f>
        <v>1.090701669077436</v>
      </c>
      <c r="H13830">
        <f>0.037037037037037*2.51143340412142</f>
        <v>9.3016052004496946E-2</v>
      </c>
      <c r="I13830">
        <v>9.3016052004497363E-2</v>
      </c>
    </row>
    <row r="13831" spans="1:9" x14ac:dyDescent="0.25">
      <c r="A13831">
        <v>477</v>
      </c>
      <c r="B13831" t="s">
        <v>3884</v>
      </c>
      <c r="C13831" t="s">
        <v>75</v>
      </c>
      <c r="D13831" t="s">
        <v>1738</v>
      </c>
      <c r="E13831">
        <f t="shared" ref="E13831:E13844" si="651">1/54</f>
        <v>1.8518518518518517E-2</v>
      </c>
      <c r="F13831">
        <v>24</v>
      </c>
      <c r="G13831">
        <f>LOG(382/(24+1))</f>
        <v>1.1841233542396712</v>
      </c>
      <c r="H13831">
        <f>0.0185185185185185*2.72654478373837</f>
        <v>5.0491570069229018E-2</v>
      </c>
      <c r="I13831">
        <v>5.049157006922915E-2</v>
      </c>
    </row>
    <row r="13832" spans="1:9" x14ac:dyDescent="0.25">
      <c r="A13832">
        <v>477</v>
      </c>
      <c r="B13832" t="s">
        <v>3884</v>
      </c>
      <c r="C13832" t="s">
        <v>75</v>
      </c>
      <c r="D13832" t="s">
        <v>3492</v>
      </c>
      <c r="E13832">
        <f t="shared" si="651"/>
        <v>1.8518518518518517E-2</v>
      </c>
      <c r="F13832">
        <v>12</v>
      </c>
      <c r="G13832">
        <f>LOG(382/(12+1))</f>
        <v>1.468120010604872</v>
      </c>
      <c r="H13832">
        <f>0.0185185185185185*3.38047125114503</f>
        <v>6.2601319465648647E-2</v>
      </c>
      <c r="I13832">
        <v>6.2601319465648855E-2</v>
      </c>
    </row>
    <row r="13833" spans="1:9" x14ac:dyDescent="0.25">
      <c r="A13833">
        <v>477</v>
      </c>
      <c r="B13833" t="s">
        <v>3884</v>
      </c>
      <c r="C13833" t="s">
        <v>75</v>
      </c>
      <c r="D13833" t="s">
        <v>126</v>
      </c>
      <c r="E13833">
        <f t="shared" si="651"/>
        <v>1.8518518518518517E-2</v>
      </c>
      <c r="F13833">
        <v>79</v>
      </c>
      <c r="G13833">
        <f>LOG(382/(79+1))</f>
        <v>0.67897337591976514</v>
      </c>
      <c r="H13833">
        <f>0.0185185185185185*1.56339397393269</f>
        <v>2.895174025801275E-2</v>
      </c>
      <c r="I13833">
        <v>2.895174025801284E-2</v>
      </c>
    </row>
    <row r="13834" spans="1:9" x14ac:dyDescent="0.25">
      <c r="A13834">
        <v>477</v>
      </c>
      <c r="B13834" t="s">
        <v>3884</v>
      </c>
      <c r="C13834" t="s">
        <v>75</v>
      </c>
      <c r="D13834" t="s">
        <v>3335</v>
      </c>
      <c r="E13834">
        <f t="shared" si="651"/>
        <v>1.8518518518518517E-2</v>
      </c>
      <c r="F13834">
        <v>16</v>
      </c>
      <c r="G13834">
        <f>LOG(382/(16+1))</f>
        <v>1.3516144415334348</v>
      </c>
      <c r="H13834">
        <f>0.0185185185185185*3.11220726455035</f>
        <v>5.7633467862043458E-2</v>
      </c>
      <c r="I13834">
        <v>5.7633467862043687E-2</v>
      </c>
    </row>
    <row r="13835" spans="1:9" x14ac:dyDescent="0.25">
      <c r="A13835">
        <v>477</v>
      </c>
      <c r="B13835" t="s">
        <v>3884</v>
      </c>
      <c r="C13835" t="s">
        <v>75</v>
      </c>
      <c r="D13835" t="s">
        <v>3892</v>
      </c>
      <c r="E13835">
        <f t="shared" si="651"/>
        <v>1.8518518518518517E-2</v>
      </c>
      <c r="F13835">
        <v>1</v>
      </c>
      <c r="G13835">
        <f>LOG(382/(1+1))</f>
        <v>2.2810333672477277</v>
      </c>
      <c r="H13835">
        <f>0.0185185185185185*5.25227342804663</f>
        <v>9.7264322741604167E-2</v>
      </c>
      <c r="I13835">
        <v>9.7264322741604251E-2</v>
      </c>
    </row>
    <row r="13836" spans="1:9" x14ac:dyDescent="0.25">
      <c r="A13836">
        <v>477</v>
      </c>
      <c r="B13836" t="s">
        <v>3884</v>
      </c>
      <c r="C13836" t="s">
        <v>75</v>
      </c>
      <c r="D13836" t="s">
        <v>3893</v>
      </c>
      <c r="E13836">
        <f t="shared" si="651"/>
        <v>1.8518518518518517E-2</v>
      </c>
      <c r="F13836">
        <v>1</v>
      </c>
      <c r="G13836">
        <f>LOG(382/(1+1))</f>
        <v>2.2810333672477277</v>
      </c>
      <c r="H13836">
        <f>0.0185185185185185*5.25227342804663</f>
        <v>9.7264322741604167E-2</v>
      </c>
      <c r="I13836">
        <v>9.7264322741604251E-2</v>
      </c>
    </row>
    <row r="13837" spans="1:9" x14ac:dyDescent="0.25">
      <c r="A13837">
        <v>477</v>
      </c>
      <c r="B13837" t="s">
        <v>3884</v>
      </c>
      <c r="C13837" t="s">
        <v>75</v>
      </c>
      <c r="D13837" t="s">
        <v>3411</v>
      </c>
      <c r="E13837">
        <f t="shared" si="651"/>
        <v>1.8518518518518517E-2</v>
      </c>
      <c r="F13837">
        <v>6</v>
      </c>
      <c r="G13837">
        <f>LOG(382/(6+1))</f>
        <v>1.736965322897452</v>
      </c>
      <c r="H13837">
        <f>0.0185185185185185*3.99951045955126</f>
        <v>7.4065008510208447E-2</v>
      </c>
      <c r="I13837">
        <v>7.4065008510208544E-2</v>
      </c>
    </row>
    <row r="13838" spans="1:9" x14ac:dyDescent="0.25">
      <c r="A13838">
        <v>477</v>
      </c>
      <c r="B13838" t="s">
        <v>3884</v>
      </c>
      <c r="C13838" t="s">
        <v>75</v>
      </c>
      <c r="D13838" t="s">
        <v>3894</v>
      </c>
      <c r="E13838">
        <f t="shared" si="651"/>
        <v>1.8518518518518517E-2</v>
      </c>
      <c r="F13838">
        <v>1</v>
      </c>
      <c r="G13838">
        <f>LOG(382/(1+1))</f>
        <v>2.2810333672477277</v>
      </c>
      <c r="H13838">
        <f>0.0185185185185185*5.25227342804663</f>
        <v>9.7264322741604167E-2</v>
      </c>
      <c r="I13838">
        <v>9.7264322741604251E-2</v>
      </c>
    </row>
    <row r="13839" spans="1:9" x14ac:dyDescent="0.25">
      <c r="A13839">
        <v>477</v>
      </c>
      <c r="B13839" t="s">
        <v>3884</v>
      </c>
      <c r="C13839" t="s">
        <v>75</v>
      </c>
      <c r="D13839" t="s">
        <v>3895</v>
      </c>
      <c r="E13839">
        <f t="shared" si="651"/>
        <v>1.8518518518518517E-2</v>
      </c>
      <c r="F13839">
        <v>4</v>
      </c>
      <c r="G13839">
        <f>LOG(382/(4+1))</f>
        <v>1.8830933585756899</v>
      </c>
      <c r="H13839">
        <f>0.0185185185185185*4.33598269617247</f>
        <v>8.0295975855045665E-2</v>
      </c>
      <c r="I13839">
        <v>8.0295975855045831E-2</v>
      </c>
    </row>
    <row r="13840" spans="1:9" x14ac:dyDescent="0.25">
      <c r="A13840">
        <v>477</v>
      </c>
      <c r="B13840" t="s">
        <v>3884</v>
      </c>
      <c r="C13840" t="s">
        <v>75</v>
      </c>
      <c r="D13840" t="s">
        <v>770</v>
      </c>
      <c r="E13840">
        <f t="shared" si="651"/>
        <v>1.8518518518518517E-2</v>
      </c>
      <c r="F13840">
        <v>47</v>
      </c>
      <c r="G13840">
        <f>LOG(382/(47+1))</f>
        <v>0.90082212553612151</v>
      </c>
      <c r="H13840">
        <f>0.0185185185185185*2.07421959769868</f>
        <v>3.8411474031457005E-2</v>
      </c>
      <c r="I13840">
        <v>3.8411474031457109E-2</v>
      </c>
    </row>
    <row r="13841" spans="1:9" x14ac:dyDescent="0.25">
      <c r="A13841">
        <v>477</v>
      </c>
      <c r="B13841" t="s">
        <v>3884</v>
      </c>
      <c r="C13841" t="s">
        <v>75</v>
      </c>
      <c r="D13841" t="s">
        <v>3896</v>
      </c>
      <c r="E13841">
        <f t="shared" si="651"/>
        <v>1.8518518518518517E-2</v>
      </c>
      <c r="F13841">
        <v>2</v>
      </c>
      <c r="G13841">
        <f>LOG(382/(2+1))</f>
        <v>2.1049421081920463</v>
      </c>
      <c r="H13841">
        <f>0.0185185185185185*4.84680831993846</f>
        <v>8.9755709628489916E-2</v>
      </c>
      <c r="I13841">
        <v>8.9755709628490096E-2</v>
      </c>
    </row>
    <row r="13842" spans="1:9" x14ac:dyDescent="0.25">
      <c r="A13842">
        <v>477</v>
      </c>
      <c r="B13842" t="s">
        <v>3884</v>
      </c>
      <c r="C13842" t="s">
        <v>75</v>
      </c>
      <c r="D13842" t="s">
        <v>342</v>
      </c>
      <c r="E13842">
        <f t="shared" si="651"/>
        <v>1.8518518518518517E-2</v>
      </c>
      <c r="F13842">
        <v>35</v>
      </c>
      <c r="G13842">
        <f>LOG(382/(35+1))</f>
        <v>1.0257608621444214</v>
      </c>
      <c r="H13842">
        <f>0.0185185185185185*2.36190167015046</f>
        <v>4.3738919817601071E-2</v>
      </c>
      <c r="I13842">
        <v>4.3738919817601203E-2</v>
      </c>
    </row>
    <row r="13843" spans="1:9" x14ac:dyDescent="0.25">
      <c r="A13843">
        <v>477</v>
      </c>
      <c r="B13843" t="s">
        <v>3884</v>
      </c>
      <c r="C13843" t="s">
        <v>75</v>
      </c>
      <c r="D13843" t="s">
        <v>78</v>
      </c>
      <c r="E13843">
        <f t="shared" si="651"/>
        <v>1.8518518518518517E-2</v>
      </c>
      <c r="F13843">
        <v>122</v>
      </c>
      <c r="G13843">
        <f>LOG(382/(122+1))</f>
        <v>0.49215825147231079</v>
      </c>
      <c r="H13843">
        <f>0.0185185185185185*1.13323625323415</f>
        <v>2.0985856541373128E-2</v>
      </c>
      <c r="I13843">
        <v>2.0985856541373291E-2</v>
      </c>
    </row>
    <row r="13844" spans="1:9" x14ac:dyDescent="0.25">
      <c r="A13844">
        <v>477</v>
      </c>
      <c r="B13844" t="s">
        <v>3884</v>
      </c>
      <c r="C13844" t="s">
        <v>75</v>
      </c>
      <c r="D13844" t="s">
        <v>2231</v>
      </c>
      <c r="E13844">
        <f t="shared" si="651"/>
        <v>1.8518518518518517E-2</v>
      </c>
      <c r="F13844">
        <v>23</v>
      </c>
      <c r="G13844">
        <f>LOG(382/(23+1))</f>
        <v>1.2018521212001028</v>
      </c>
      <c r="H13844">
        <f>0.0185185185185185*2.76736677825862</f>
        <v>5.1247532930715135E-2</v>
      </c>
      <c r="I13844">
        <v>5.1247532930715357E-2</v>
      </c>
    </row>
    <row r="13845" spans="1:9" x14ac:dyDescent="0.25">
      <c r="A13845">
        <v>478</v>
      </c>
      <c r="B13845" t="s">
        <v>3897</v>
      </c>
      <c r="C13845" t="s">
        <v>75</v>
      </c>
      <c r="D13845" t="s">
        <v>112</v>
      </c>
      <c r="E13845">
        <f>2/88</f>
        <v>2.2727272727272728E-2</v>
      </c>
      <c r="F13845">
        <v>52</v>
      </c>
      <c r="G13845">
        <f>LOG(382/(52+1))</f>
        <v>0.85778749331091964</v>
      </c>
      <c r="H13845">
        <f>0.0227272727272727*1.97512869505445</f>
        <v>4.4889288523964718E-2</v>
      </c>
      <c r="I13845">
        <v>4.488928852396485E-2</v>
      </c>
    </row>
    <row r="13846" spans="1:9" x14ac:dyDescent="0.25">
      <c r="A13846">
        <v>478</v>
      </c>
      <c r="B13846" t="s">
        <v>3897</v>
      </c>
      <c r="C13846" t="s">
        <v>75</v>
      </c>
      <c r="D13846" t="s">
        <v>82</v>
      </c>
      <c r="E13846">
        <f>2/88</f>
        <v>2.2727272727272728E-2</v>
      </c>
      <c r="F13846">
        <v>92</v>
      </c>
      <c r="G13846">
        <f>LOG(382/(92+1))</f>
        <v>0.61358041435777355</v>
      </c>
      <c r="H13846">
        <f>0.0227272727272727*1.41282111545331</f>
        <v>3.2109570805757007E-2</v>
      </c>
      <c r="I13846">
        <v>3.2109570805757263E-2</v>
      </c>
    </row>
    <row r="13847" spans="1:9" x14ac:dyDescent="0.25">
      <c r="A13847">
        <v>478</v>
      </c>
      <c r="B13847" t="s">
        <v>3897</v>
      </c>
      <c r="C13847" t="s">
        <v>75</v>
      </c>
      <c r="D13847" t="s">
        <v>126</v>
      </c>
      <c r="E13847">
        <f>6/88</f>
        <v>6.8181818181818177E-2</v>
      </c>
      <c r="F13847">
        <v>79</v>
      </c>
      <c r="G13847">
        <f>LOG(382/(79+1))</f>
        <v>0.67897337591976514</v>
      </c>
      <c r="H13847">
        <f>0.0681818181818181*1.56339397393269</f>
        <v>0.10659504367722873</v>
      </c>
      <c r="I13847">
        <v>0.10659504367722911</v>
      </c>
    </row>
    <row r="13848" spans="1:9" x14ac:dyDescent="0.25">
      <c r="A13848">
        <v>478</v>
      </c>
      <c r="B13848" t="s">
        <v>3897</v>
      </c>
      <c r="C13848" t="s">
        <v>75</v>
      </c>
      <c r="D13848" t="s">
        <v>50</v>
      </c>
      <c r="E13848">
        <f>5/88</f>
        <v>5.6818181818181816E-2</v>
      </c>
      <c r="F13848">
        <v>109</v>
      </c>
      <c r="G13848">
        <f>LOG(382/(109+1))</f>
        <v>0.54067067775348365</v>
      </c>
      <c r="H13848">
        <f>0.0568181818181818*1.24494024281415</f>
        <v>7.073524106898578E-2</v>
      </c>
      <c r="I13848">
        <v>7.0735241068986307E-2</v>
      </c>
    </row>
    <row r="13849" spans="1:9" x14ac:dyDescent="0.25">
      <c r="A13849">
        <v>478</v>
      </c>
      <c r="B13849" t="s">
        <v>3897</v>
      </c>
      <c r="C13849" t="s">
        <v>75</v>
      </c>
      <c r="D13849" t="s">
        <v>3898</v>
      </c>
      <c r="E13849">
        <f>2/88</f>
        <v>2.2727272727272728E-2</v>
      </c>
      <c r="F13849">
        <v>1</v>
      </c>
      <c r="G13849">
        <f>LOG(382/(1+1))</f>
        <v>2.2810333672477277</v>
      </c>
      <c r="H13849">
        <f>0.0227272727272727*5.25227342804663</f>
        <v>0.11936985063742327</v>
      </c>
      <c r="I13849">
        <v>0.11936985063742341</v>
      </c>
    </row>
    <row r="13850" spans="1:9" x14ac:dyDescent="0.25">
      <c r="A13850">
        <v>478</v>
      </c>
      <c r="B13850" t="s">
        <v>3897</v>
      </c>
      <c r="C13850" t="s">
        <v>75</v>
      </c>
      <c r="D13850" t="s">
        <v>1537</v>
      </c>
      <c r="E13850">
        <f>2/88</f>
        <v>2.2727272727272728E-2</v>
      </c>
      <c r="F13850">
        <v>80</v>
      </c>
      <c r="G13850">
        <f>LOG(382/(80+1))</f>
        <v>0.67357834403305894</v>
      </c>
      <c r="H13850">
        <f>0.0227272727272727*1.55097145393413</f>
        <v>3.5249351225775639E-2</v>
      </c>
      <c r="I13850">
        <v>3.5249351225775827E-2</v>
      </c>
    </row>
    <row r="13851" spans="1:9" x14ac:dyDescent="0.25">
      <c r="A13851">
        <v>478</v>
      </c>
      <c r="B13851" t="s">
        <v>3897</v>
      </c>
      <c r="C13851" t="s">
        <v>75</v>
      </c>
      <c r="D13851" t="s">
        <v>42</v>
      </c>
      <c r="E13851">
        <f>1/88</f>
        <v>1.1363636363636364E-2</v>
      </c>
      <c r="F13851">
        <v>251</v>
      </c>
      <c r="G13851">
        <f>LOG(382/(251+1))</f>
        <v>0.18066282213016463</v>
      </c>
      <c r="H13851">
        <f>0.0113636363636363*0.415991521095151</f>
        <v>4.7271763760812343E-3</v>
      </c>
      <c r="I13851">
        <v>4.7271763760812716E-3</v>
      </c>
    </row>
    <row r="13852" spans="1:9" x14ac:dyDescent="0.25">
      <c r="A13852">
        <v>478</v>
      </c>
      <c r="B13852" t="s">
        <v>3897</v>
      </c>
      <c r="C13852" t="s">
        <v>75</v>
      </c>
      <c r="D13852" t="s">
        <v>1496</v>
      </c>
      <c r="E13852">
        <f>2/88</f>
        <v>2.2727272727272728E-2</v>
      </c>
      <c r="F13852">
        <v>39</v>
      </c>
      <c r="G13852">
        <f>LOG(382/(39+1))</f>
        <v>0.9800033715837464</v>
      </c>
      <c r="H13852">
        <f>0.0227272727272727*2.25654115449263</f>
        <v>5.1285026238468805E-2</v>
      </c>
      <c r="I13852">
        <v>5.1285026238469068E-2</v>
      </c>
    </row>
    <row r="13853" spans="1:9" x14ac:dyDescent="0.25">
      <c r="A13853">
        <v>478</v>
      </c>
      <c r="B13853" t="s">
        <v>3897</v>
      </c>
      <c r="C13853" t="s">
        <v>75</v>
      </c>
      <c r="D13853" t="s">
        <v>3644</v>
      </c>
      <c r="E13853">
        <f>2/88</f>
        <v>2.2727272727272728E-2</v>
      </c>
      <c r="F13853">
        <v>4</v>
      </c>
      <c r="G13853">
        <f>LOG(382/(4+1))</f>
        <v>1.8830933585756899</v>
      </c>
      <c r="H13853">
        <f>0.0227272727272727*4.33598269617247</f>
        <v>9.8545061276646931E-2</v>
      </c>
      <c r="I13853">
        <v>9.8545061276647153E-2</v>
      </c>
    </row>
    <row r="13854" spans="1:9" x14ac:dyDescent="0.25">
      <c r="A13854">
        <v>478</v>
      </c>
      <c r="B13854" t="s">
        <v>3897</v>
      </c>
      <c r="C13854" t="s">
        <v>75</v>
      </c>
      <c r="D13854" t="s">
        <v>3899</v>
      </c>
      <c r="E13854">
        <f>2/88</f>
        <v>2.2727272727272728E-2</v>
      </c>
      <c r="F13854">
        <v>3</v>
      </c>
      <c r="G13854">
        <f>LOG(382/(3+1))</f>
        <v>1.9800033715837464</v>
      </c>
      <c r="H13854">
        <f>0.0227272727272727*4.55912624748668</f>
        <v>0.10361650562469715</v>
      </c>
      <c r="I13854">
        <v>0.1036165056246974</v>
      </c>
    </row>
    <row r="13855" spans="1:9" x14ac:dyDescent="0.25">
      <c r="A13855">
        <v>478</v>
      </c>
      <c r="B13855" t="s">
        <v>3897</v>
      </c>
      <c r="C13855" t="s">
        <v>75</v>
      </c>
      <c r="D13855" t="s">
        <v>3900</v>
      </c>
      <c r="E13855">
        <f>1/88</f>
        <v>1.1363636363636364E-2</v>
      </c>
      <c r="F13855">
        <v>1</v>
      </c>
      <c r="G13855">
        <f>LOG(382/(1+1))</f>
        <v>2.2810333672477277</v>
      </c>
      <c r="H13855">
        <f>0.0113636363636363*5.25227342804663</f>
        <v>5.968492531871137E-2</v>
      </c>
      <c r="I13855">
        <v>5.9684925318711703E-2</v>
      </c>
    </row>
    <row r="13856" spans="1:9" x14ac:dyDescent="0.25">
      <c r="A13856">
        <v>478</v>
      </c>
      <c r="B13856" t="s">
        <v>3897</v>
      </c>
      <c r="C13856" t="s">
        <v>75</v>
      </c>
      <c r="D13856" t="s">
        <v>3901</v>
      </c>
      <c r="E13856">
        <f>1/88</f>
        <v>1.1363636363636364E-2</v>
      </c>
      <c r="F13856">
        <v>1</v>
      </c>
      <c r="G13856">
        <f>LOG(382/(1+1))</f>
        <v>2.2810333672477277</v>
      </c>
      <c r="H13856">
        <f>0.0113636363636363*5.25227342804663</f>
        <v>5.968492531871137E-2</v>
      </c>
      <c r="I13856">
        <v>5.9684925318711703E-2</v>
      </c>
    </row>
    <row r="13857" spans="1:9" x14ac:dyDescent="0.25">
      <c r="A13857">
        <v>478</v>
      </c>
      <c r="B13857" t="s">
        <v>3897</v>
      </c>
      <c r="C13857" t="s">
        <v>75</v>
      </c>
      <c r="D13857" t="s">
        <v>168</v>
      </c>
      <c r="E13857">
        <f>1/88</f>
        <v>1.1363636363636364E-2</v>
      </c>
      <c r="F13857">
        <v>34</v>
      </c>
      <c r="G13857">
        <f>LOG(382/(34+1))</f>
        <v>1.037995318561433</v>
      </c>
      <c r="H13857">
        <f>0.0113636363636363*2.39007254711716</f>
        <v>2.7159915308149391E-2</v>
      </c>
      <c r="I13857">
        <v>2.7159915308149561E-2</v>
      </c>
    </row>
    <row r="13858" spans="1:9" x14ac:dyDescent="0.25">
      <c r="A13858">
        <v>478</v>
      </c>
      <c r="B13858" t="s">
        <v>3897</v>
      </c>
      <c r="C13858" t="s">
        <v>75</v>
      </c>
      <c r="D13858" t="s">
        <v>3902</v>
      </c>
      <c r="E13858">
        <f>1/88</f>
        <v>1.1363636363636364E-2</v>
      </c>
      <c r="F13858">
        <v>1</v>
      </c>
      <c r="G13858">
        <f>LOG(382/(1+1))</f>
        <v>2.2810333672477277</v>
      </c>
      <c r="H13858">
        <f>0.0113636363636363*5.25227342804663</f>
        <v>5.968492531871137E-2</v>
      </c>
      <c r="I13858">
        <v>5.9684925318711703E-2</v>
      </c>
    </row>
    <row r="13859" spans="1:9" x14ac:dyDescent="0.25">
      <c r="A13859">
        <v>478</v>
      </c>
      <c r="B13859" t="s">
        <v>3897</v>
      </c>
      <c r="C13859" t="s">
        <v>75</v>
      </c>
      <c r="D13859" t="s">
        <v>41</v>
      </c>
      <c r="E13859">
        <f>2/88</f>
        <v>2.2727272727272728E-2</v>
      </c>
      <c r="F13859">
        <v>195</v>
      </c>
      <c r="G13859">
        <f>LOG(382/(195+1))</f>
        <v>0.28980729155523272</v>
      </c>
      <c r="H13859">
        <f>0.0227272727272727*0.667305949376058</f>
        <v>1.51660443040013E-2</v>
      </c>
      <c r="I13859">
        <v>1.5166044304001321E-2</v>
      </c>
    </row>
    <row r="13860" spans="1:9" x14ac:dyDescent="0.25">
      <c r="A13860">
        <v>478</v>
      </c>
      <c r="B13860" t="s">
        <v>3897</v>
      </c>
      <c r="C13860" t="s">
        <v>75</v>
      </c>
      <c r="D13860" t="s">
        <v>22</v>
      </c>
      <c r="E13860">
        <f>2/88</f>
        <v>2.2727272727272728E-2</v>
      </c>
      <c r="F13860">
        <v>259</v>
      </c>
      <c r="G13860">
        <f>LOG(382/(259+1))</f>
        <v>0.16709001494089079</v>
      </c>
      <c r="H13860">
        <f>0.0227272727272727*0.384738977591047</f>
        <v>8.7440676725237861E-3</v>
      </c>
      <c r="I13860">
        <v>8.7440676725238069E-3</v>
      </c>
    </row>
    <row r="13861" spans="1:9" x14ac:dyDescent="0.25">
      <c r="A13861">
        <v>478</v>
      </c>
      <c r="B13861" t="s">
        <v>3897</v>
      </c>
      <c r="C13861" t="s">
        <v>75</v>
      </c>
      <c r="D13861" t="s">
        <v>23</v>
      </c>
      <c r="E13861">
        <f>2/88</f>
        <v>2.2727272727272728E-2</v>
      </c>
      <c r="F13861">
        <v>275</v>
      </c>
      <c r="G13861">
        <f>LOG(382/(275+1))</f>
        <v>0.14115428084649101</v>
      </c>
      <c r="H13861">
        <f>0.0227272727272727*0.325019742889425</f>
        <v>7.386812338396013E-3</v>
      </c>
      <c r="I13861">
        <v>7.386812338396026E-3</v>
      </c>
    </row>
    <row r="13862" spans="1:9" x14ac:dyDescent="0.25">
      <c r="A13862">
        <v>478</v>
      </c>
      <c r="B13862" t="s">
        <v>3897</v>
      </c>
      <c r="C13862" t="s">
        <v>75</v>
      </c>
      <c r="D13862" t="s">
        <v>3903</v>
      </c>
      <c r="E13862">
        <f>2/88</f>
        <v>2.2727272727272728E-2</v>
      </c>
      <c r="F13862">
        <v>1</v>
      </c>
      <c r="G13862">
        <f>LOG(382/(1+1))</f>
        <v>2.2810333672477277</v>
      </c>
      <c r="H13862">
        <f>0.0227272727272727*5.25227342804663</f>
        <v>0.11936985063742327</v>
      </c>
      <c r="I13862">
        <v>0.11936985063742341</v>
      </c>
    </row>
    <row r="13863" spans="1:9" x14ac:dyDescent="0.25">
      <c r="A13863">
        <v>478</v>
      </c>
      <c r="B13863" t="s">
        <v>3897</v>
      </c>
      <c r="C13863" t="s">
        <v>75</v>
      </c>
      <c r="D13863" t="s">
        <v>105</v>
      </c>
      <c r="E13863">
        <f>1/88</f>
        <v>1.1363636363636364E-2</v>
      </c>
      <c r="F13863">
        <v>122</v>
      </c>
      <c r="G13863">
        <f>LOG(382/(122+1))</f>
        <v>0.49215825147231079</v>
      </c>
      <c r="H13863">
        <f>0.0113636363636363*1.13323625323415</f>
        <v>1.2877684695842542E-2</v>
      </c>
      <c r="I13863">
        <v>1.28776846958427E-2</v>
      </c>
    </row>
    <row r="13864" spans="1:9" x14ac:dyDescent="0.25">
      <c r="A13864">
        <v>478</v>
      </c>
      <c r="B13864" t="s">
        <v>3897</v>
      </c>
      <c r="C13864" t="s">
        <v>75</v>
      </c>
      <c r="D13864" t="s">
        <v>1769</v>
      </c>
      <c r="E13864">
        <f>3/88</f>
        <v>3.4090909090909088E-2</v>
      </c>
      <c r="F13864">
        <v>84</v>
      </c>
      <c r="G13864">
        <f>LOG(382/(84+1))</f>
        <v>0.65264443719741605</v>
      </c>
      <c r="H13864">
        <f>0.034090909090909*1.50276935211625</f>
        <v>5.1230773367599292E-2</v>
      </c>
      <c r="I13864">
        <v>5.1230773367599729E-2</v>
      </c>
    </row>
    <row r="13865" spans="1:9" x14ac:dyDescent="0.25">
      <c r="A13865">
        <v>478</v>
      </c>
      <c r="B13865" t="s">
        <v>3897</v>
      </c>
      <c r="C13865" t="s">
        <v>75</v>
      </c>
      <c r="D13865" t="s">
        <v>1546</v>
      </c>
      <c r="E13865">
        <f>1/88</f>
        <v>1.1363636363636364E-2</v>
      </c>
      <c r="F13865">
        <v>44</v>
      </c>
      <c r="G13865">
        <f>LOG(382/(44+1))</f>
        <v>0.92885084913636506</v>
      </c>
      <c r="H13865">
        <f>0.0113636363636363*2.13875811883625</f>
        <v>2.4304069532229976E-2</v>
      </c>
      <c r="I13865">
        <v>2.4304069532230171E-2</v>
      </c>
    </row>
    <row r="13866" spans="1:9" x14ac:dyDescent="0.25">
      <c r="A13866">
        <v>478</v>
      </c>
      <c r="B13866" t="s">
        <v>3897</v>
      </c>
      <c r="C13866" t="s">
        <v>75</v>
      </c>
      <c r="D13866" t="s">
        <v>3904</v>
      </c>
      <c r="E13866">
        <f>1/88</f>
        <v>1.1363636363636364E-2</v>
      </c>
      <c r="F13866">
        <v>1</v>
      </c>
      <c r="G13866">
        <f>LOG(382/(1+1))</f>
        <v>2.2810333672477277</v>
      </c>
      <c r="H13866">
        <f>0.0113636363636363*5.25227342804663</f>
        <v>5.968492531871137E-2</v>
      </c>
      <c r="I13866">
        <v>5.9684925318711703E-2</v>
      </c>
    </row>
    <row r="13867" spans="1:9" x14ac:dyDescent="0.25">
      <c r="A13867">
        <v>478</v>
      </c>
      <c r="B13867" t="s">
        <v>3897</v>
      </c>
      <c r="C13867" t="s">
        <v>75</v>
      </c>
      <c r="D13867" t="s">
        <v>1730</v>
      </c>
      <c r="E13867">
        <f>4/88</f>
        <v>4.5454545454545456E-2</v>
      </c>
      <c r="F13867">
        <v>35</v>
      </c>
      <c r="G13867">
        <f>LOG(382/(35+1))</f>
        <v>1.0257608621444214</v>
      </c>
      <c r="H13867">
        <f>0.0454545454545454*2.36190167015046</f>
        <v>0.10735916682502078</v>
      </c>
      <c r="I13867">
        <v>0.1073591668250211</v>
      </c>
    </row>
    <row r="13868" spans="1:9" x14ac:dyDescent="0.25">
      <c r="A13868">
        <v>478</v>
      </c>
      <c r="B13868" t="s">
        <v>3897</v>
      </c>
      <c r="C13868" t="s">
        <v>75</v>
      </c>
      <c r="D13868" t="s">
        <v>1665</v>
      </c>
      <c r="E13868">
        <f>4/88</f>
        <v>4.5454545454545456E-2</v>
      </c>
      <c r="F13868">
        <v>17</v>
      </c>
      <c r="G13868">
        <f>LOG(382/(17+1))</f>
        <v>1.3267908578084027</v>
      </c>
      <c r="H13868">
        <f>0.0454545454545454*3.05504885071041</f>
        <v>0.13886585685047301</v>
      </c>
      <c r="I13868">
        <v>0.1388658568504732</v>
      </c>
    </row>
    <row r="13869" spans="1:9" x14ac:dyDescent="0.25">
      <c r="A13869">
        <v>478</v>
      </c>
      <c r="B13869" t="s">
        <v>3897</v>
      </c>
      <c r="C13869" t="s">
        <v>75</v>
      </c>
      <c r="D13869" t="s">
        <v>1729</v>
      </c>
      <c r="E13869">
        <f>2/88</f>
        <v>2.2727272727272728E-2</v>
      </c>
      <c r="F13869">
        <v>7</v>
      </c>
      <c r="G13869">
        <f>LOG(382/(7+1))</f>
        <v>1.6789733759197651</v>
      </c>
      <c r="H13869">
        <f>0.0227272727272727*3.86597906692673</f>
        <v>8.7863160611971039E-2</v>
      </c>
      <c r="I13869">
        <v>8.7863160611971344E-2</v>
      </c>
    </row>
    <row r="13870" spans="1:9" x14ac:dyDescent="0.25">
      <c r="A13870">
        <v>478</v>
      </c>
      <c r="B13870" t="s">
        <v>3897</v>
      </c>
      <c r="C13870" t="s">
        <v>75</v>
      </c>
      <c r="D13870" t="s">
        <v>243</v>
      </c>
      <c r="E13870">
        <f>2/88</f>
        <v>2.2727272727272728E-2</v>
      </c>
      <c r="F13870">
        <v>131</v>
      </c>
      <c r="G13870">
        <f>LOG(382/(131+1))</f>
        <v>0.46148943170585888</v>
      </c>
      <c r="H13870">
        <f>0.0227272727272727*1.0626186860202</f>
        <v>2.4150424682277245E-2</v>
      </c>
      <c r="I13870">
        <v>2.415042468227737E-2</v>
      </c>
    </row>
    <row r="13871" spans="1:9" x14ac:dyDescent="0.25">
      <c r="A13871">
        <v>478</v>
      </c>
      <c r="B13871" t="s">
        <v>3897</v>
      </c>
      <c r="C13871" t="s">
        <v>75</v>
      </c>
      <c r="D13871" t="s">
        <v>453</v>
      </c>
      <c r="E13871">
        <f t="shared" ref="E13871:E13889" si="652">1/88</f>
        <v>1.1363636363636364E-2</v>
      </c>
      <c r="F13871">
        <v>68</v>
      </c>
      <c r="G13871">
        <f>LOG(382/(68+1))</f>
        <v>0.74321427217445335</v>
      </c>
      <c r="H13871">
        <f>0.0113636363636363*1.71131410400931</f>
        <v>1.944675118192387E-2</v>
      </c>
      <c r="I13871">
        <v>1.944675118192404E-2</v>
      </c>
    </row>
    <row r="13872" spans="1:9" x14ac:dyDescent="0.25">
      <c r="A13872">
        <v>478</v>
      </c>
      <c r="B13872" t="s">
        <v>3897</v>
      </c>
      <c r="C13872" t="s">
        <v>75</v>
      </c>
      <c r="D13872" t="s">
        <v>812</v>
      </c>
      <c r="E13872">
        <f t="shared" si="652"/>
        <v>1.1363636363636364E-2</v>
      </c>
      <c r="F13872">
        <v>11</v>
      </c>
      <c r="G13872">
        <f>LOG(382/(11+1))</f>
        <v>1.5028821168640838</v>
      </c>
      <c r="H13872">
        <f>0.0113636363636363*3.46051395881857</f>
        <v>3.9324022259301712E-2</v>
      </c>
      <c r="I13872">
        <v>3.932402225930199E-2</v>
      </c>
    </row>
    <row r="13873" spans="1:9" x14ac:dyDescent="0.25">
      <c r="A13873">
        <v>478</v>
      </c>
      <c r="B13873" t="s">
        <v>3897</v>
      </c>
      <c r="C13873" t="s">
        <v>75</v>
      </c>
      <c r="D13873" t="s">
        <v>3905</v>
      </c>
      <c r="E13873">
        <f t="shared" si="652"/>
        <v>1.1363636363636364E-2</v>
      </c>
      <c r="F13873">
        <v>1</v>
      </c>
      <c r="G13873">
        <f>LOG(382/(1+1))</f>
        <v>2.2810333672477277</v>
      </c>
      <c r="H13873">
        <f>0.0113636363636363*5.25227342804663</f>
        <v>5.968492531871137E-2</v>
      </c>
      <c r="I13873">
        <v>5.9684925318711703E-2</v>
      </c>
    </row>
    <row r="13874" spans="1:9" x14ac:dyDescent="0.25">
      <c r="A13874">
        <v>478</v>
      </c>
      <c r="B13874" t="s">
        <v>3897</v>
      </c>
      <c r="C13874" t="s">
        <v>75</v>
      </c>
      <c r="D13874" t="s">
        <v>17</v>
      </c>
      <c r="E13874">
        <f t="shared" si="652"/>
        <v>1.1363636363636364E-2</v>
      </c>
      <c r="F13874">
        <v>169</v>
      </c>
      <c r="G13874">
        <f>LOG(382/(169+1))</f>
        <v>0.3516144415334348</v>
      </c>
      <c r="H13874">
        <f>0.0113636363636363*0.809622171556313</f>
        <v>9.2002519495035049E-3</v>
      </c>
      <c r="I13874">
        <v>9.2002519495035621E-3</v>
      </c>
    </row>
    <row r="13875" spans="1:9" x14ac:dyDescent="0.25">
      <c r="A13875">
        <v>478</v>
      </c>
      <c r="B13875" t="s">
        <v>3897</v>
      </c>
      <c r="C13875" t="s">
        <v>75</v>
      </c>
      <c r="D13875" t="s">
        <v>3906</v>
      </c>
      <c r="E13875">
        <f t="shared" si="652"/>
        <v>1.1363636363636364E-2</v>
      </c>
      <c r="F13875">
        <v>1</v>
      </c>
      <c r="G13875">
        <f>LOG(382/(1+1))</f>
        <v>2.2810333672477277</v>
      </c>
      <c r="H13875">
        <f>0.0113636363636363*5.25227342804663</f>
        <v>5.968492531871137E-2</v>
      </c>
      <c r="I13875">
        <v>5.9684925318711703E-2</v>
      </c>
    </row>
    <row r="13876" spans="1:9" x14ac:dyDescent="0.25">
      <c r="A13876">
        <v>478</v>
      </c>
      <c r="B13876" t="s">
        <v>3897</v>
      </c>
      <c r="C13876" t="s">
        <v>75</v>
      </c>
      <c r="D13876" t="s">
        <v>19</v>
      </c>
      <c r="E13876">
        <f t="shared" si="652"/>
        <v>1.1363636363636364E-2</v>
      </c>
      <c r="F13876">
        <v>220</v>
      </c>
      <c r="G13876">
        <f>LOG(382/(220+1))</f>
        <v>0.23767108922659805</v>
      </c>
      <c r="H13876">
        <f>0.0113636363636363*0.547257907088822</f>
        <v>6.2188398532820339E-3</v>
      </c>
      <c r="I13876">
        <v>6.2188398532820729E-3</v>
      </c>
    </row>
    <row r="13877" spans="1:9" x14ac:dyDescent="0.25">
      <c r="A13877">
        <v>478</v>
      </c>
      <c r="B13877" t="s">
        <v>3897</v>
      </c>
      <c r="C13877" t="s">
        <v>75</v>
      </c>
      <c r="D13877" t="s">
        <v>455</v>
      </c>
      <c r="E13877">
        <f t="shared" si="652"/>
        <v>1.1363636363636364E-2</v>
      </c>
      <c r="F13877">
        <v>78</v>
      </c>
      <c r="G13877">
        <f>LOG(382/(78+1))</f>
        <v>0.6844362716212673</v>
      </c>
      <c r="H13877">
        <f>0.0113636363636363*1.57597275613955</f>
        <v>1.7908781319767513E-2</v>
      </c>
      <c r="I13877">
        <v>1.7908781319767659E-2</v>
      </c>
    </row>
    <row r="13878" spans="1:9" x14ac:dyDescent="0.25">
      <c r="A13878">
        <v>478</v>
      </c>
      <c r="B13878" t="s">
        <v>3897</v>
      </c>
      <c r="C13878" t="s">
        <v>75</v>
      </c>
      <c r="D13878" t="s">
        <v>456</v>
      </c>
      <c r="E13878">
        <f t="shared" si="652"/>
        <v>1.1363636363636364E-2</v>
      </c>
      <c r="F13878">
        <v>71</v>
      </c>
      <c r="G13878">
        <f>LOG(382/(71+1))</f>
        <v>0.72473086648044027</v>
      </c>
      <c r="H13878">
        <f>0.0113636363636363*1.66875448959051</f>
        <v>1.8963119199892051E-2</v>
      </c>
      <c r="I13878">
        <v>1.896311919989227E-2</v>
      </c>
    </row>
    <row r="13879" spans="1:9" x14ac:dyDescent="0.25">
      <c r="A13879">
        <v>478</v>
      </c>
      <c r="B13879" t="s">
        <v>3897</v>
      </c>
      <c r="C13879" t="s">
        <v>75</v>
      </c>
      <c r="D13879" t="s">
        <v>3907</v>
      </c>
      <c r="E13879">
        <f t="shared" si="652"/>
        <v>1.1363636363636364E-2</v>
      </c>
      <c r="F13879">
        <v>1</v>
      </c>
      <c r="G13879">
        <f>LOG(382/(1+1))</f>
        <v>2.2810333672477277</v>
      </c>
      <c r="H13879">
        <f>0.0113636363636363*5.25227342804663</f>
        <v>5.968492531871137E-2</v>
      </c>
      <c r="I13879">
        <v>5.9684925318711703E-2</v>
      </c>
    </row>
    <row r="13880" spans="1:9" x14ac:dyDescent="0.25">
      <c r="A13880">
        <v>478</v>
      </c>
      <c r="B13880" t="s">
        <v>3897</v>
      </c>
      <c r="C13880" t="s">
        <v>75</v>
      </c>
      <c r="D13880" t="s">
        <v>361</v>
      </c>
      <c r="E13880">
        <f t="shared" si="652"/>
        <v>1.1363636363636364E-2</v>
      </c>
      <c r="F13880">
        <v>118</v>
      </c>
      <c r="G13880">
        <f>LOG(382/(118+1))</f>
        <v>0.50651640151917798</v>
      </c>
      <c r="H13880">
        <f>0.0113636363636363*1.16629711549504</f>
        <v>1.3253376312443561E-2</v>
      </c>
      <c r="I13880">
        <v>1.32533763124437E-2</v>
      </c>
    </row>
    <row r="13881" spans="1:9" x14ac:dyDescent="0.25">
      <c r="A13881">
        <v>478</v>
      </c>
      <c r="B13881" t="s">
        <v>3897</v>
      </c>
      <c r="C13881" t="s">
        <v>75</v>
      </c>
      <c r="D13881" t="s">
        <v>434</v>
      </c>
      <c r="E13881">
        <f t="shared" si="652"/>
        <v>1.1363636363636364E-2</v>
      </c>
      <c r="F13881">
        <v>97</v>
      </c>
      <c r="G13881">
        <f>LOG(382/(97+1))</f>
        <v>0.59083728721921391</v>
      </c>
      <c r="H13881">
        <f>0.0113636363636363*1.360453129936</f>
        <v>1.5459694658363551E-2</v>
      </c>
      <c r="I13881">
        <v>1.545969465836367E-2</v>
      </c>
    </row>
    <row r="13882" spans="1:9" x14ac:dyDescent="0.25">
      <c r="A13882">
        <v>478</v>
      </c>
      <c r="B13882" t="s">
        <v>3897</v>
      </c>
      <c r="C13882" t="s">
        <v>75</v>
      </c>
      <c r="D13882" t="s">
        <v>1467</v>
      </c>
      <c r="E13882">
        <f t="shared" si="652"/>
        <v>1.1363636363636364E-2</v>
      </c>
      <c r="F13882">
        <v>21</v>
      </c>
      <c r="G13882">
        <f>LOG(382/(21+1))</f>
        <v>1.2396406820895025</v>
      </c>
      <c r="H13882">
        <f>0.0113636363636363*2.85437815524825</f>
        <v>3.243611540054811E-2</v>
      </c>
      <c r="I13882">
        <v>3.2436115400548401E-2</v>
      </c>
    </row>
    <row r="13883" spans="1:9" x14ac:dyDescent="0.25">
      <c r="A13883">
        <v>478</v>
      </c>
      <c r="B13883" t="s">
        <v>3897</v>
      </c>
      <c r="C13883" t="s">
        <v>75</v>
      </c>
      <c r="D13883" t="s">
        <v>149</v>
      </c>
      <c r="E13883">
        <f t="shared" si="652"/>
        <v>1.1363636363636364E-2</v>
      </c>
      <c r="F13883">
        <v>35</v>
      </c>
      <c r="G13883">
        <f>LOG(382/(35+1))</f>
        <v>1.0257608621444214</v>
      </c>
      <c r="H13883">
        <f>0.0113636363636363*2.36190167015046</f>
        <v>2.6839791706255077E-2</v>
      </c>
      <c r="I13883">
        <v>2.6839791706255289E-2</v>
      </c>
    </row>
    <row r="13884" spans="1:9" x14ac:dyDescent="0.25">
      <c r="A13884">
        <v>478</v>
      </c>
      <c r="B13884" t="s">
        <v>3897</v>
      </c>
      <c r="C13884" t="s">
        <v>75</v>
      </c>
      <c r="D13884" t="s">
        <v>2242</v>
      </c>
      <c r="E13884">
        <f t="shared" si="652"/>
        <v>1.1363636363636364E-2</v>
      </c>
      <c r="F13884">
        <v>18</v>
      </c>
      <c r="G13884">
        <f>LOG(382/(18+1))</f>
        <v>1.3033097619588798</v>
      </c>
      <c r="H13884">
        <f>0.0113636363636363*3.00098162944013</f>
        <v>3.4102063970910375E-2</v>
      </c>
      <c r="I13884">
        <v>3.4102063970910618E-2</v>
      </c>
    </row>
    <row r="13885" spans="1:9" x14ac:dyDescent="0.25">
      <c r="A13885">
        <v>478</v>
      </c>
      <c r="B13885" t="s">
        <v>3897</v>
      </c>
      <c r="C13885" t="s">
        <v>75</v>
      </c>
      <c r="D13885" t="s">
        <v>214</v>
      </c>
      <c r="E13885">
        <f t="shared" si="652"/>
        <v>1.1363636363636364E-2</v>
      </c>
      <c r="F13885">
        <v>68</v>
      </c>
      <c r="G13885">
        <f>LOG(382/(68+1))</f>
        <v>0.74321427217445335</v>
      </c>
      <c r="H13885">
        <f>0.0113636363636363*1.71131410400931</f>
        <v>1.944675118192387E-2</v>
      </c>
      <c r="I13885">
        <v>1.944675118192404E-2</v>
      </c>
    </row>
    <row r="13886" spans="1:9" x14ac:dyDescent="0.25">
      <c r="A13886">
        <v>478</v>
      </c>
      <c r="B13886" t="s">
        <v>3897</v>
      </c>
      <c r="C13886" t="s">
        <v>75</v>
      </c>
      <c r="D13886" t="s">
        <v>2238</v>
      </c>
      <c r="E13886">
        <f t="shared" si="652"/>
        <v>1.1363636363636364E-2</v>
      </c>
      <c r="F13886">
        <v>68</v>
      </c>
      <c r="G13886">
        <f>LOG(382/(68+1))</f>
        <v>0.74321427217445335</v>
      </c>
      <c r="H13886">
        <f>0.0113636363636363*1.71131410400931</f>
        <v>1.944675118192387E-2</v>
      </c>
      <c r="I13886">
        <v>1.944675118192404E-2</v>
      </c>
    </row>
    <row r="13887" spans="1:9" x14ac:dyDescent="0.25">
      <c r="A13887">
        <v>478</v>
      </c>
      <c r="B13887" t="s">
        <v>3897</v>
      </c>
      <c r="C13887" t="s">
        <v>75</v>
      </c>
      <c r="D13887" t="s">
        <v>823</v>
      </c>
      <c r="E13887">
        <f t="shared" si="652"/>
        <v>1.1363636363636364E-2</v>
      </c>
      <c r="F13887">
        <v>45</v>
      </c>
      <c r="G13887">
        <f>LOG(382/(45+1))</f>
        <v>0.9193055312301347</v>
      </c>
      <c r="H13887">
        <f>0.0113636363636363*2.11677921211748</f>
        <v>2.4054309228607594E-2</v>
      </c>
      <c r="I13887">
        <v>2.4054309228607729E-2</v>
      </c>
    </row>
    <row r="13888" spans="1:9" x14ac:dyDescent="0.25">
      <c r="A13888">
        <v>478</v>
      </c>
      <c r="B13888" t="s">
        <v>3897</v>
      </c>
      <c r="C13888" t="s">
        <v>75</v>
      </c>
      <c r="D13888" t="s">
        <v>1551</v>
      </c>
      <c r="E13888">
        <f t="shared" si="652"/>
        <v>1.1363636363636364E-2</v>
      </c>
      <c r="F13888">
        <v>15</v>
      </c>
      <c r="G13888">
        <f>LOG(382/(15+1))</f>
        <v>1.3779433802557839</v>
      </c>
      <c r="H13888">
        <f>0.0113636363636363*3.17283188636679</f>
        <v>3.6054907799622414E-2</v>
      </c>
      <c r="I13888">
        <v>3.6054907799622657E-2</v>
      </c>
    </row>
    <row r="13889" spans="1:9" x14ac:dyDescent="0.25">
      <c r="A13889">
        <v>478</v>
      </c>
      <c r="B13889" t="s">
        <v>3897</v>
      </c>
      <c r="C13889" t="s">
        <v>75</v>
      </c>
      <c r="D13889" t="s">
        <v>3420</v>
      </c>
      <c r="E13889">
        <f t="shared" si="652"/>
        <v>1.1363636363636364E-2</v>
      </c>
      <c r="F13889">
        <v>12</v>
      </c>
      <c r="G13889">
        <f>LOG(382/(12+1))</f>
        <v>1.468120010604872</v>
      </c>
      <c r="H13889">
        <f>0.0113636363636363*3.38047125114503</f>
        <v>3.8414446035738764E-2</v>
      </c>
      <c r="I13889">
        <v>3.8414446035739083E-2</v>
      </c>
    </row>
    <row r="13890" spans="1:9" x14ac:dyDescent="0.25">
      <c r="A13890">
        <v>478</v>
      </c>
      <c r="B13890" t="s">
        <v>3897</v>
      </c>
      <c r="C13890" t="s">
        <v>75</v>
      </c>
      <c r="D13890" t="s">
        <v>1731</v>
      </c>
      <c r="E13890">
        <f>2/88</f>
        <v>2.2727272727272728E-2</v>
      </c>
      <c r="F13890">
        <v>15</v>
      </c>
      <c r="G13890">
        <f>LOG(382/(15+1))</f>
        <v>1.3779433802557839</v>
      </c>
      <c r="H13890">
        <f>0.0227272727272727*3.17283188636679</f>
        <v>7.2109815599245147E-2</v>
      </c>
      <c r="I13890">
        <v>7.2109815599245328E-2</v>
      </c>
    </row>
    <row r="13891" spans="1:9" x14ac:dyDescent="0.25">
      <c r="A13891">
        <v>478</v>
      </c>
      <c r="B13891" t="s">
        <v>3897</v>
      </c>
      <c r="C13891" t="s">
        <v>75</v>
      </c>
      <c r="D13891" t="s">
        <v>3731</v>
      </c>
      <c r="E13891">
        <f>2/88</f>
        <v>2.2727272727272728E-2</v>
      </c>
      <c r="F13891">
        <v>7</v>
      </c>
      <c r="G13891">
        <f>LOG(382/(7+1))</f>
        <v>1.6789733759197651</v>
      </c>
      <c r="H13891">
        <f>0.0227272727272727*3.86597906692673</f>
        <v>8.7863160611971039E-2</v>
      </c>
      <c r="I13891">
        <v>8.7863160611971344E-2</v>
      </c>
    </row>
    <row r="13892" spans="1:9" x14ac:dyDescent="0.25">
      <c r="A13892">
        <v>478</v>
      </c>
      <c r="B13892" t="s">
        <v>3897</v>
      </c>
      <c r="C13892" t="s">
        <v>75</v>
      </c>
      <c r="D13892" t="s">
        <v>3908</v>
      </c>
      <c r="E13892">
        <f>1/88</f>
        <v>1.1363636363636364E-2</v>
      </c>
      <c r="F13892">
        <v>1</v>
      </c>
      <c r="G13892">
        <f>LOG(382/(1+1))</f>
        <v>2.2810333672477277</v>
      </c>
      <c r="H13892">
        <f>0.0113636363636363*5.25227342804663</f>
        <v>5.968492531871137E-2</v>
      </c>
      <c r="I13892">
        <v>5.9684925318711703E-2</v>
      </c>
    </row>
    <row r="13893" spans="1:9" x14ac:dyDescent="0.25">
      <c r="A13893">
        <v>478</v>
      </c>
      <c r="B13893" t="s">
        <v>3897</v>
      </c>
      <c r="C13893" t="s">
        <v>75</v>
      </c>
      <c r="D13893" t="s">
        <v>1550</v>
      </c>
      <c r="E13893">
        <f>1/88</f>
        <v>1.1363636363636364E-2</v>
      </c>
      <c r="F13893">
        <v>16</v>
      </c>
      <c r="G13893">
        <f>LOG(382/(16+1))</f>
        <v>1.3516144415334348</v>
      </c>
      <c r="H13893">
        <f>0.0113636363636363*3.11220726455035</f>
        <v>3.536599164261741E-2</v>
      </c>
      <c r="I13893">
        <v>3.5365991642617722E-2</v>
      </c>
    </row>
    <row r="13894" spans="1:9" x14ac:dyDescent="0.25">
      <c r="A13894">
        <v>478</v>
      </c>
      <c r="B13894" t="s">
        <v>3897</v>
      </c>
      <c r="C13894" t="s">
        <v>75</v>
      </c>
      <c r="D13894" t="s">
        <v>3537</v>
      </c>
      <c r="E13894">
        <f>2/88</f>
        <v>2.2727272727272728E-2</v>
      </c>
      <c r="F13894">
        <v>10</v>
      </c>
      <c r="G13894">
        <f>LOG(382/(10+1))</f>
        <v>1.5406706777534838</v>
      </c>
      <c r="H13894">
        <f>0.0227272727272727*3.5475253358082</f>
        <v>8.0625575813822639E-2</v>
      </c>
      <c r="I13894">
        <v>8.0625575813822833E-2</v>
      </c>
    </row>
    <row r="13895" spans="1:9" x14ac:dyDescent="0.25">
      <c r="A13895">
        <v>478</v>
      </c>
      <c r="B13895" t="s">
        <v>3897</v>
      </c>
      <c r="C13895" t="s">
        <v>75</v>
      </c>
      <c r="D13895" t="s">
        <v>362</v>
      </c>
      <c r="E13895">
        <f>1/88</f>
        <v>1.1363636363636364E-2</v>
      </c>
      <c r="F13895">
        <v>81</v>
      </c>
      <c r="G13895">
        <f>LOG(382/(81+1))</f>
        <v>0.66824951052799197</v>
      </c>
      <c r="H13895">
        <f>0.0113636363636363*1.53870136134232</f>
        <v>1.7485242742526264E-2</v>
      </c>
      <c r="I13895">
        <v>1.7485242742526389E-2</v>
      </c>
    </row>
    <row r="13896" spans="1:9" x14ac:dyDescent="0.25">
      <c r="A13896">
        <v>478</v>
      </c>
      <c r="B13896" t="s">
        <v>3897</v>
      </c>
      <c r="C13896" t="s">
        <v>75</v>
      </c>
      <c r="D13896" t="s">
        <v>770</v>
      </c>
      <c r="E13896">
        <f>1/88</f>
        <v>1.1363636363636364E-2</v>
      </c>
      <c r="F13896">
        <v>47</v>
      </c>
      <c r="G13896">
        <f>LOG(382/(47+1))</f>
        <v>0.90082212553612151</v>
      </c>
      <c r="H13896">
        <f>0.0113636363636363*2.07421959769868</f>
        <v>2.3570677246575779E-2</v>
      </c>
      <c r="I13896">
        <v>2.3570677246575959E-2</v>
      </c>
    </row>
    <row r="13897" spans="1:9" x14ac:dyDescent="0.25">
      <c r="A13897">
        <v>478</v>
      </c>
      <c r="B13897" t="s">
        <v>3897</v>
      </c>
      <c r="C13897" t="s">
        <v>75</v>
      </c>
      <c r="D13897" t="s">
        <v>3896</v>
      </c>
      <c r="E13897">
        <f>1/88</f>
        <v>1.1363636363636364E-2</v>
      </c>
      <c r="F13897">
        <v>2</v>
      </c>
      <c r="G13897">
        <f>LOG(382/(2+1))</f>
        <v>2.1049421081920463</v>
      </c>
      <c r="H13897">
        <f>0.0113636363636363*4.84680831993846</f>
        <v>5.5077367272027646E-2</v>
      </c>
      <c r="I13897">
        <v>5.5077367272028013E-2</v>
      </c>
    </row>
    <row r="13898" spans="1:9" x14ac:dyDescent="0.25">
      <c r="A13898">
        <v>478</v>
      </c>
      <c r="B13898" t="s">
        <v>3897</v>
      </c>
      <c r="C13898" t="s">
        <v>75</v>
      </c>
      <c r="D13898" t="s">
        <v>342</v>
      </c>
      <c r="E13898">
        <f>1/88</f>
        <v>1.1363636363636364E-2</v>
      </c>
      <c r="F13898">
        <v>35</v>
      </c>
      <c r="G13898">
        <f>LOG(382/(35+1))</f>
        <v>1.0257608621444214</v>
      </c>
      <c r="H13898">
        <f>0.0113636363636363*2.36190167015046</f>
        <v>2.6839791706255077E-2</v>
      </c>
      <c r="I13898">
        <v>2.6839791706255289E-2</v>
      </c>
    </row>
    <row r="13899" spans="1:9" x14ac:dyDescent="0.25">
      <c r="A13899">
        <v>478</v>
      </c>
      <c r="B13899" t="s">
        <v>3897</v>
      </c>
      <c r="C13899" t="s">
        <v>75</v>
      </c>
      <c r="D13899" t="s">
        <v>78</v>
      </c>
      <c r="E13899">
        <f>1/88</f>
        <v>1.1363636363636364E-2</v>
      </c>
      <c r="F13899">
        <v>122</v>
      </c>
      <c r="G13899">
        <f>LOG(382/(122+1))</f>
        <v>0.49215825147231079</v>
      </c>
      <c r="H13899">
        <f>0.0113636363636363*1.13323625323415</f>
        <v>1.2877684695842542E-2</v>
      </c>
      <c r="I13899">
        <v>1.28776846958427E-2</v>
      </c>
    </row>
    <row r="13900" spans="1:9" x14ac:dyDescent="0.25">
      <c r="A13900">
        <v>479</v>
      </c>
      <c r="B13900" t="s">
        <v>3909</v>
      </c>
      <c r="C13900" t="s">
        <v>75</v>
      </c>
      <c r="D13900" t="s">
        <v>1732</v>
      </c>
      <c r="E13900">
        <f>3/45</f>
        <v>6.6666666666666666E-2</v>
      </c>
      <c r="F13900">
        <v>16</v>
      </c>
      <c r="G13900">
        <f>LOG(382/(16+1))</f>
        <v>1.3516144415334348</v>
      </c>
      <c r="H13900">
        <f>0.0666666666666666*3.11220726455035</f>
        <v>0.20748048430335644</v>
      </c>
      <c r="I13900">
        <v>0.2074804843033573</v>
      </c>
    </row>
    <row r="13901" spans="1:9" x14ac:dyDescent="0.25">
      <c r="A13901">
        <v>479</v>
      </c>
      <c r="B13901" t="s">
        <v>3909</v>
      </c>
      <c r="C13901" t="s">
        <v>75</v>
      </c>
      <c r="D13901" t="s">
        <v>3910</v>
      </c>
      <c r="E13901">
        <f>2/45</f>
        <v>4.4444444444444446E-2</v>
      </c>
      <c r="F13901">
        <v>1</v>
      </c>
      <c r="G13901">
        <f>LOG(382/(1+1))</f>
        <v>2.2810333672477277</v>
      </c>
      <c r="H13901">
        <f>0.0444444444444444*5.25227342804663</f>
        <v>0.23343437457984997</v>
      </c>
      <c r="I13901">
        <v>0.2334343745798502</v>
      </c>
    </row>
    <row r="13902" spans="1:9" x14ac:dyDescent="0.25">
      <c r="A13902">
        <v>479</v>
      </c>
      <c r="B13902" t="s">
        <v>3909</v>
      </c>
      <c r="C13902" t="s">
        <v>75</v>
      </c>
      <c r="D13902" t="s">
        <v>168</v>
      </c>
      <c r="E13902">
        <f>3/45</f>
        <v>6.6666666666666666E-2</v>
      </c>
      <c r="F13902">
        <v>34</v>
      </c>
      <c r="G13902">
        <f>LOG(382/(34+1))</f>
        <v>1.037995318561433</v>
      </c>
      <c r="H13902">
        <f>0.0666666666666666*2.39007254711716</f>
        <v>0.15933816980781049</v>
      </c>
      <c r="I13902">
        <v>0.15933816980781079</v>
      </c>
    </row>
    <row r="13903" spans="1:9" x14ac:dyDescent="0.25">
      <c r="A13903">
        <v>479</v>
      </c>
      <c r="B13903" t="s">
        <v>3909</v>
      </c>
      <c r="C13903" t="s">
        <v>75</v>
      </c>
      <c r="D13903" t="s">
        <v>362</v>
      </c>
      <c r="E13903">
        <f>2/45</f>
        <v>4.4444444444444446E-2</v>
      </c>
      <c r="F13903">
        <v>81</v>
      </c>
      <c r="G13903">
        <f>LOG(382/(81+1))</f>
        <v>0.66824951052799197</v>
      </c>
      <c r="H13903">
        <f>0.0444444444444444*1.53870136134232</f>
        <v>6.8386727170769698E-2</v>
      </c>
      <c r="I13903">
        <v>6.8386727170769865E-2</v>
      </c>
    </row>
    <row r="13904" spans="1:9" x14ac:dyDescent="0.25">
      <c r="A13904">
        <v>479</v>
      </c>
      <c r="B13904" t="s">
        <v>3909</v>
      </c>
      <c r="C13904" t="s">
        <v>75</v>
      </c>
      <c r="D13904" t="s">
        <v>1769</v>
      </c>
      <c r="E13904">
        <f>1/45</f>
        <v>2.2222222222222223E-2</v>
      </c>
      <c r="F13904">
        <v>84</v>
      </c>
      <c r="G13904">
        <f>LOG(382/(84+1))</f>
        <v>0.65264443719741605</v>
      </c>
      <c r="H13904">
        <f>0.0222222222222222*1.50276935211625</f>
        <v>3.3394874491472187E-2</v>
      </c>
      <c r="I13904">
        <v>3.3394874491472423E-2</v>
      </c>
    </row>
    <row r="13905" spans="1:9" x14ac:dyDescent="0.25">
      <c r="A13905">
        <v>479</v>
      </c>
      <c r="B13905" t="s">
        <v>3909</v>
      </c>
      <c r="C13905" t="s">
        <v>75</v>
      </c>
      <c r="D13905" t="s">
        <v>126</v>
      </c>
      <c r="E13905">
        <f>3/45</f>
        <v>6.6666666666666666E-2</v>
      </c>
      <c r="F13905">
        <v>79</v>
      </c>
      <c r="G13905">
        <f>LOG(382/(79+1))</f>
        <v>0.67897337591976514</v>
      </c>
      <c r="H13905">
        <f>0.0666666666666666*1.56339397393269</f>
        <v>0.1042262649288459</v>
      </c>
      <c r="I13905">
        <v>0.10422626492884619</v>
      </c>
    </row>
    <row r="13906" spans="1:9" x14ac:dyDescent="0.25">
      <c r="A13906">
        <v>479</v>
      </c>
      <c r="B13906" t="s">
        <v>3909</v>
      </c>
      <c r="C13906" t="s">
        <v>75</v>
      </c>
      <c r="D13906" t="s">
        <v>105</v>
      </c>
      <c r="E13906">
        <f>2/45</f>
        <v>4.4444444444444446E-2</v>
      </c>
      <c r="F13906">
        <v>122</v>
      </c>
      <c r="G13906">
        <f>LOG(382/(122+1))</f>
        <v>0.49215825147231079</v>
      </c>
      <c r="H13906">
        <f>0.0444444444444444*1.13323625323415</f>
        <v>5.0366055699295503E-2</v>
      </c>
      <c r="I13906">
        <v>5.0366055699295892E-2</v>
      </c>
    </row>
    <row r="13907" spans="1:9" x14ac:dyDescent="0.25">
      <c r="A13907">
        <v>479</v>
      </c>
      <c r="B13907" t="s">
        <v>3909</v>
      </c>
      <c r="C13907" t="s">
        <v>75</v>
      </c>
      <c r="D13907" t="s">
        <v>260</v>
      </c>
      <c r="E13907">
        <f>1/45</f>
        <v>2.2222222222222223E-2</v>
      </c>
      <c r="F13907">
        <v>31</v>
      </c>
      <c r="G13907">
        <f>LOG(382/(31+1))</f>
        <v>1.0769133845918029</v>
      </c>
      <c r="H13907">
        <f>0.0222222222222222*2.47968470580684</f>
        <v>5.5104104573485274E-2</v>
      </c>
      <c r="I13907">
        <v>5.5104104573485531E-2</v>
      </c>
    </row>
    <row r="13908" spans="1:9" x14ac:dyDescent="0.25">
      <c r="A13908">
        <v>479</v>
      </c>
      <c r="B13908" t="s">
        <v>3909</v>
      </c>
      <c r="C13908" t="s">
        <v>75</v>
      </c>
      <c r="D13908" t="s">
        <v>22</v>
      </c>
      <c r="E13908">
        <f>1/45</f>
        <v>2.2222222222222223E-2</v>
      </c>
      <c r="F13908">
        <v>259</v>
      </c>
      <c r="G13908">
        <f>LOG(382/(259+1))</f>
        <v>0.16709001494089079</v>
      </c>
      <c r="H13908">
        <f>0.0222222222222222*0.384738977591047</f>
        <v>8.5497550575788141E-3</v>
      </c>
      <c r="I13908">
        <v>8.549755057578835E-3</v>
      </c>
    </row>
    <row r="13909" spans="1:9" x14ac:dyDescent="0.25">
      <c r="A13909">
        <v>479</v>
      </c>
      <c r="B13909" t="s">
        <v>3909</v>
      </c>
      <c r="C13909" t="s">
        <v>75</v>
      </c>
      <c r="D13909" t="s">
        <v>23</v>
      </c>
      <c r="E13909">
        <f>1/45</f>
        <v>2.2222222222222223E-2</v>
      </c>
      <c r="F13909">
        <v>275</v>
      </c>
      <c r="G13909">
        <f>LOG(382/(275+1))</f>
        <v>0.14115428084649101</v>
      </c>
      <c r="H13909">
        <f>0.0222222222222222*0.325019742889425</f>
        <v>7.2226609530983256E-3</v>
      </c>
      <c r="I13909">
        <v>7.2226609530983369E-3</v>
      </c>
    </row>
    <row r="13910" spans="1:9" x14ac:dyDescent="0.25">
      <c r="A13910">
        <v>479</v>
      </c>
      <c r="B13910" t="s">
        <v>3909</v>
      </c>
      <c r="C13910" t="s">
        <v>75</v>
      </c>
      <c r="D13910" t="s">
        <v>3492</v>
      </c>
      <c r="E13910">
        <f>2/45</f>
        <v>4.4444444444444446E-2</v>
      </c>
      <c r="F13910">
        <v>12</v>
      </c>
      <c r="G13910">
        <f>LOG(382/(12+1))</f>
        <v>1.468120010604872</v>
      </c>
      <c r="H13910">
        <f>0.0444444444444444*3.38047125114503</f>
        <v>0.15024316671755675</v>
      </c>
      <c r="I13910">
        <v>0.1502431667175573</v>
      </c>
    </row>
    <row r="13911" spans="1:9" x14ac:dyDescent="0.25">
      <c r="A13911">
        <v>479</v>
      </c>
      <c r="B13911" t="s">
        <v>3909</v>
      </c>
      <c r="C13911" t="s">
        <v>75</v>
      </c>
      <c r="D13911" t="s">
        <v>363</v>
      </c>
      <c r="E13911">
        <f t="shared" ref="E13911:E13934" si="653">1/45</f>
        <v>2.2222222222222223E-2</v>
      </c>
      <c r="F13911">
        <v>36</v>
      </c>
      <c r="G13911">
        <f>LOG(382/(36+1))</f>
        <v>1.0138616388447137</v>
      </c>
      <c r="H13911">
        <f>0.0222222222222222*2.33450269596235</f>
        <v>5.1877837688052167E-2</v>
      </c>
      <c r="I13911">
        <v>5.1877837688052243E-2</v>
      </c>
    </row>
    <row r="13912" spans="1:9" x14ac:dyDescent="0.25">
      <c r="A13912">
        <v>479</v>
      </c>
      <c r="B13912" t="s">
        <v>3909</v>
      </c>
      <c r="C13912" t="s">
        <v>75</v>
      </c>
      <c r="D13912" t="s">
        <v>3537</v>
      </c>
      <c r="E13912">
        <f t="shared" si="653"/>
        <v>2.2222222222222223E-2</v>
      </c>
      <c r="F13912">
        <v>10</v>
      </c>
      <c r="G13912">
        <f>LOG(382/(10+1))</f>
        <v>1.5406706777534838</v>
      </c>
      <c r="H13912">
        <f>0.0222222222222222*3.5475253358082</f>
        <v>7.8833896351293259E-2</v>
      </c>
      <c r="I13912">
        <v>7.8833896351293439E-2</v>
      </c>
    </row>
    <row r="13913" spans="1:9" x14ac:dyDescent="0.25">
      <c r="A13913">
        <v>479</v>
      </c>
      <c r="B13913" t="s">
        <v>3909</v>
      </c>
      <c r="C13913" t="s">
        <v>75</v>
      </c>
      <c r="D13913" t="s">
        <v>3731</v>
      </c>
      <c r="E13913">
        <f t="shared" si="653"/>
        <v>2.2222222222222223E-2</v>
      </c>
      <c r="F13913">
        <v>7</v>
      </c>
      <c r="G13913">
        <f>LOG(382/(7+1))</f>
        <v>1.6789733759197651</v>
      </c>
      <c r="H13913">
        <f>0.0222222222222222*3.86597906692673</f>
        <v>8.5910645931705026E-2</v>
      </c>
      <c r="I13913">
        <v>8.5910645931705318E-2</v>
      </c>
    </row>
    <row r="13914" spans="1:9" x14ac:dyDescent="0.25">
      <c r="A13914">
        <v>479</v>
      </c>
      <c r="B13914" t="s">
        <v>3909</v>
      </c>
      <c r="C13914" t="s">
        <v>75</v>
      </c>
      <c r="D13914" t="s">
        <v>207</v>
      </c>
      <c r="E13914">
        <f t="shared" si="653"/>
        <v>2.2222222222222223E-2</v>
      </c>
      <c r="F13914">
        <v>21</v>
      </c>
      <c r="G13914">
        <f>LOG(382/(21+1))</f>
        <v>1.2396406820895025</v>
      </c>
      <c r="H13914">
        <f>0.0222222222222222*2.85437815524825</f>
        <v>6.3430625672183258E-2</v>
      </c>
      <c r="I13914">
        <v>6.3430625672183535E-2</v>
      </c>
    </row>
    <row r="13915" spans="1:9" x14ac:dyDescent="0.25">
      <c r="A13915">
        <v>479</v>
      </c>
      <c r="B13915" t="s">
        <v>3909</v>
      </c>
      <c r="C13915" t="s">
        <v>75</v>
      </c>
      <c r="D13915" t="s">
        <v>204</v>
      </c>
      <c r="E13915">
        <f t="shared" si="653"/>
        <v>2.2222222222222223E-2</v>
      </c>
      <c r="F13915">
        <v>166</v>
      </c>
      <c r="G13915">
        <f>LOG(382/(166+1))</f>
        <v>0.35934689176412549</v>
      </c>
      <c r="H13915">
        <f>0.0222222222222222*0.82742679618982</f>
        <v>1.8387262137551534E-2</v>
      </c>
      <c r="I13915">
        <v>1.8387262137551558E-2</v>
      </c>
    </row>
    <row r="13916" spans="1:9" x14ac:dyDescent="0.25">
      <c r="A13916">
        <v>479</v>
      </c>
      <c r="B13916" t="s">
        <v>3909</v>
      </c>
      <c r="C13916" t="s">
        <v>75</v>
      </c>
      <c r="D13916" t="s">
        <v>331</v>
      </c>
      <c r="E13916">
        <f t="shared" si="653"/>
        <v>2.2222222222222223E-2</v>
      </c>
      <c r="F13916">
        <v>130</v>
      </c>
      <c r="G13916">
        <f>LOG(382/(130+1))</f>
        <v>0.46479206725594452</v>
      </c>
      <c r="H13916">
        <f>0.0222222222222222*1.07022328540542</f>
        <v>2.3782739675675978E-2</v>
      </c>
      <c r="I13916">
        <v>2.3782739675676082E-2</v>
      </c>
    </row>
    <row r="13917" spans="1:9" x14ac:dyDescent="0.25">
      <c r="A13917">
        <v>479</v>
      </c>
      <c r="B13917" t="s">
        <v>3909</v>
      </c>
      <c r="C13917" t="s">
        <v>75</v>
      </c>
      <c r="D13917" t="s">
        <v>89</v>
      </c>
      <c r="E13917">
        <f t="shared" si="653"/>
        <v>2.2222222222222223E-2</v>
      </c>
      <c r="F13917">
        <v>40</v>
      </c>
      <c r="G13917">
        <f>LOG(382/(40+1))</f>
        <v>0.96927950619197323</v>
      </c>
      <c r="H13917">
        <f>0.0222222222222222*2.23184854190226</f>
        <v>4.9596634264494607E-2</v>
      </c>
      <c r="I13917">
        <v>4.9596634264494829E-2</v>
      </c>
    </row>
    <row r="13918" spans="1:9" x14ac:dyDescent="0.25">
      <c r="A13918">
        <v>479</v>
      </c>
      <c r="B13918" t="s">
        <v>3909</v>
      </c>
      <c r="C13918" t="s">
        <v>75</v>
      </c>
      <c r="D13918" t="s">
        <v>3403</v>
      </c>
      <c r="E13918">
        <f t="shared" si="653"/>
        <v>2.2222222222222223E-2</v>
      </c>
      <c r="F13918">
        <v>5</v>
      </c>
      <c r="G13918">
        <f>LOG(382/(5+1))</f>
        <v>1.803912112528065</v>
      </c>
      <c r="H13918">
        <f>0.0222222222222222*4.15366113937852</f>
        <v>9.2303580875078117E-2</v>
      </c>
      <c r="I13918">
        <v>9.2303580875078228E-2</v>
      </c>
    </row>
    <row r="13919" spans="1:9" x14ac:dyDescent="0.25">
      <c r="A13919">
        <v>479</v>
      </c>
      <c r="B13919" t="s">
        <v>3909</v>
      </c>
      <c r="C13919" t="s">
        <v>75</v>
      </c>
      <c r="D13919" t="s">
        <v>3404</v>
      </c>
      <c r="E13919">
        <f t="shared" si="653"/>
        <v>2.2222222222222223E-2</v>
      </c>
      <c r="F13919">
        <v>5</v>
      </c>
      <c r="G13919">
        <f>LOG(382/(5+1))</f>
        <v>1.803912112528065</v>
      </c>
      <c r="H13919">
        <f>0.0222222222222222*4.15366113937852</f>
        <v>9.2303580875078117E-2</v>
      </c>
      <c r="I13919">
        <v>9.2303580875078228E-2</v>
      </c>
    </row>
    <row r="13920" spans="1:9" x14ac:dyDescent="0.25">
      <c r="A13920">
        <v>479</v>
      </c>
      <c r="B13920" t="s">
        <v>3909</v>
      </c>
      <c r="C13920" t="s">
        <v>75</v>
      </c>
      <c r="D13920" t="s">
        <v>3420</v>
      </c>
      <c r="E13920">
        <f t="shared" si="653"/>
        <v>2.2222222222222223E-2</v>
      </c>
      <c r="F13920">
        <v>12</v>
      </c>
      <c r="G13920">
        <f>LOG(382/(12+1))</f>
        <v>1.468120010604872</v>
      </c>
      <c r="H13920">
        <f>0.0222222222222222*3.38047125114503</f>
        <v>7.5121583358778374E-2</v>
      </c>
      <c r="I13920">
        <v>7.5121583358778637E-2</v>
      </c>
    </row>
    <row r="13921" spans="1:9" x14ac:dyDescent="0.25">
      <c r="A13921">
        <v>479</v>
      </c>
      <c r="B13921" t="s">
        <v>3909</v>
      </c>
      <c r="C13921" t="s">
        <v>75</v>
      </c>
      <c r="D13921" t="s">
        <v>1731</v>
      </c>
      <c r="E13921">
        <f t="shared" si="653"/>
        <v>2.2222222222222223E-2</v>
      </c>
      <c r="F13921">
        <v>15</v>
      </c>
      <c r="G13921">
        <f>LOG(382/(15+1))</f>
        <v>1.3779433802557839</v>
      </c>
      <c r="H13921">
        <f>0.0222222222222222*3.17283188636679</f>
        <v>7.0507375252595261E-2</v>
      </c>
      <c r="I13921">
        <v>7.0507375252595428E-2</v>
      </c>
    </row>
    <row r="13922" spans="1:9" x14ac:dyDescent="0.25">
      <c r="A13922">
        <v>479</v>
      </c>
      <c r="B13922" t="s">
        <v>3909</v>
      </c>
      <c r="C13922" t="s">
        <v>75</v>
      </c>
      <c r="D13922" t="s">
        <v>98</v>
      </c>
      <c r="E13922">
        <f t="shared" si="653"/>
        <v>2.2222222222222223E-2</v>
      </c>
      <c r="F13922">
        <v>56</v>
      </c>
      <c r="G13922">
        <f>LOG(382/(56+1))</f>
        <v>0.82618850723921733</v>
      </c>
      <c r="H13922">
        <f>0.0222222222222222*1.90236934077202</f>
        <v>4.2274874239378174E-2</v>
      </c>
      <c r="I13922">
        <v>4.2274874239378327E-2</v>
      </c>
    </row>
    <row r="13923" spans="1:9" x14ac:dyDescent="0.25">
      <c r="A13923">
        <v>479</v>
      </c>
      <c r="B13923" t="s">
        <v>3909</v>
      </c>
      <c r="C13923" t="s">
        <v>75</v>
      </c>
      <c r="D13923" t="s">
        <v>3452</v>
      </c>
      <c r="E13923">
        <f t="shared" si="653"/>
        <v>2.2222222222222223E-2</v>
      </c>
      <c r="F13923">
        <v>8</v>
      </c>
      <c r="G13923">
        <f>LOG(382/(8+1))</f>
        <v>1.6278208534723839</v>
      </c>
      <c r="H13923">
        <f>0.0222222222222222*3.74819603127035</f>
        <v>8.3293245139341027E-2</v>
      </c>
      <c r="I13923">
        <v>8.3293245139341235E-2</v>
      </c>
    </row>
    <row r="13924" spans="1:9" x14ac:dyDescent="0.25">
      <c r="A13924">
        <v>479</v>
      </c>
      <c r="B13924" t="s">
        <v>3909</v>
      </c>
      <c r="C13924" t="s">
        <v>75</v>
      </c>
      <c r="D13924" t="s">
        <v>3630</v>
      </c>
      <c r="E13924">
        <f t="shared" si="653"/>
        <v>2.2222222222222223E-2</v>
      </c>
      <c r="F13924">
        <v>6</v>
      </c>
      <c r="G13924">
        <f>LOG(382/(6+1))</f>
        <v>1.736965322897452</v>
      </c>
      <c r="H13924">
        <f>0.0222222222222222*3.99951045955126</f>
        <v>8.8878010212250128E-2</v>
      </c>
      <c r="I13924">
        <v>8.8878010212250266E-2</v>
      </c>
    </row>
    <row r="13925" spans="1:9" x14ac:dyDescent="0.25">
      <c r="A13925">
        <v>479</v>
      </c>
      <c r="B13925" t="s">
        <v>3909</v>
      </c>
      <c r="C13925" t="s">
        <v>75</v>
      </c>
      <c r="D13925" t="s">
        <v>3864</v>
      </c>
      <c r="E13925">
        <f t="shared" si="653"/>
        <v>2.2222222222222223E-2</v>
      </c>
      <c r="F13925">
        <v>3</v>
      </c>
      <c r="G13925">
        <f>LOG(382/(3+1))</f>
        <v>1.9800033715837464</v>
      </c>
      <c r="H13925">
        <f>0.0222222222222222*4.55912624748668</f>
        <v>0.101313916610815</v>
      </c>
      <c r="I13925">
        <v>0.10131391661081519</v>
      </c>
    </row>
    <row r="13926" spans="1:9" x14ac:dyDescent="0.25">
      <c r="A13926">
        <v>479</v>
      </c>
      <c r="B13926" t="s">
        <v>3909</v>
      </c>
      <c r="C13926" t="s">
        <v>75</v>
      </c>
      <c r="D13926" t="s">
        <v>2825</v>
      </c>
      <c r="E13926">
        <f t="shared" si="653"/>
        <v>2.2222222222222223E-2</v>
      </c>
      <c r="F13926">
        <v>2</v>
      </c>
      <c r="G13926">
        <f>LOG(382/(2+1))</f>
        <v>2.1049421081920463</v>
      </c>
      <c r="H13926">
        <f>0.0222222222222222*4.84680831993846</f>
        <v>0.10770685155418788</v>
      </c>
      <c r="I13926">
        <v>0.1077068515541881</v>
      </c>
    </row>
    <row r="13927" spans="1:9" x14ac:dyDescent="0.25">
      <c r="A13927">
        <v>479</v>
      </c>
      <c r="B13927" t="s">
        <v>3909</v>
      </c>
      <c r="C13927" t="s">
        <v>75</v>
      </c>
      <c r="D13927" t="s">
        <v>247</v>
      </c>
      <c r="E13927">
        <f t="shared" si="653"/>
        <v>2.2222222222222223E-2</v>
      </c>
      <c r="F13927">
        <v>121</v>
      </c>
      <c r="G13927">
        <f>LOG(382/(121+1))</f>
        <v>0.49570353223696051</v>
      </c>
      <c r="H13927">
        <f>0.0222222222222222*1.14139956387331</f>
        <v>2.5364434752740198E-2</v>
      </c>
      <c r="I13927">
        <v>2.536443475274042E-2</v>
      </c>
    </row>
    <row r="13928" spans="1:9" x14ac:dyDescent="0.25">
      <c r="A13928">
        <v>479</v>
      </c>
      <c r="B13928" t="s">
        <v>3909</v>
      </c>
      <c r="C13928" t="s">
        <v>75</v>
      </c>
      <c r="D13928" t="s">
        <v>474</v>
      </c>
      <c r="E13928">
        <f t="shared" si="653"/>
        <v>2.2222222222222223E-2</v>
      </c>
      <c r="F13928">
        <v>25</v>
      </c>
      <c r="G13928">
        <f>LOG(382/(25+1))</f>
        <v>1.1670900149408907</v>
      </c>
      <c r="H13928">
        <f>0.0222222222222222*2.68732407058509</f>
        <v>5.9718312679668602E-2</v>
      </c>
      <c r="I13928">
        <v>5.9718312679668741E-2</v>
      </c>
    </row>
    <row r="13929" spans="1:9" x14ac:dyDescent="0.25">
      <c r="A13929">
        <v>479</v>
      </c>
      <c r="B13929" t="s">
        <v>3909</v>
      </c>
      <c r="C13929" t="s">
        <v>75</v>
      </c>
      <c r="D13929" t="s">
        <v>3131</v>
      </c>
      <c r="E13929">
        <f t="shared" si="653"/>
        <v>2.2222222222222223E-2</v>
      </c>
      <c r="F13929">
        <v>3</v>
      </c>
      <c r="G13929">
        <f>LOG(382/(3+1))</f>
        <v>1.9800033715837464</v>
      </c>
      <c r="H13929">
        <f>0.0222222222222222*4.55912624748668</f>
        <v>0.101313916610815</v>
      </c>
      <c r="I13929">
        <v>0.10131391661081519</v>
      </c>
    </row>
    <row r="13930" spans="1:9" x14ac:dyDescent="0.25">
      <c r="A13930">
        <v>479</v>
      </c>
      <c r="B13930" t="s">
        <v>3909</v>
      </c>
      <c r="C13930" t="s">
        <v>75</v>
      </c>
      <c r="D13930" t="s">
        <v>1762</v>
      </c>
      <c r="E13930">
        <f t="shared" si="653"/>
        <v>2.2222222222222223E-2</v>
      </c>
      <c r="F13930">
        <v>60</v>
      </c>
      <c r="G13930">
        <f>LOG(382/(60+1))</f>
        <v>0.79673352790094176</v>
      </c>
      <c r="H13930">
        <f>0.0222222222222222*1.83454674443326</f>
        <v>4.0767705431850175E-2</v>
      </c>
      <c r="I13930">
        <v>4.0767705431850307E-2</v>
      </c>
    </row>
    <row r="13931" spans="1:9" x14ac:dyDescent="0.25">
      <c r="A13931">
        <v>479</v>
      </c>
      <c r="B13931" t="s">
        <v>3909</v>
      </c>
      <c r="C13931" t="s">
        <v>75</v>
      </c>
      <c r="D13931" t="s">
        <v>50</v>
      </c>
      <c r="E13931">
        <f t="shared" si="653"/>
        <v>2.2222222222222223E-2</v>
      </c>
      <c r="F13931">
        <v>109</v>
      </c>
      <c r="G13931">
        <f>LOG(382/(109+1))</f>
        <v>0.54067067775348365</v>
      </c>
      <c r="H13931">
        <f>0.0222222222222222*1.24494024281415</f>
        <v>2.7665338729203307E-2</v>
      </c>
      <c r="I13931">
        <v>2.7665338729203529E-2</v>
      </c>
    </row>
    <row r="13932" spans="1:9" x14ac:dyDescent="0.25">
      <c r="A13932">
        <v>479</v>
      </c>
      <c r="B13932" t="s">
        <v>3909</v>
      </c>
      <c r="C13932" t="s">
        <v>75</v>
      </c>
      <c r="D13932" t="s">
        <v>520</v>
      </c>
      <c r="E13932">
        <f t="shared" si="653"/>
        <v>2.2222222222222223E-2</v>
      </c>
      <c r="F13932">
        <v>25</v>
      </c>
      <c r="G13932">
        <f>LOG(382/(25+1))</f>
        <v>1.1670900149408907</v>
      </c>
      <c r="H13932">
        <f>0.0222222222222222*2.68732407058509</f>
        <v>5.9718312679668602E-2</v>
      </c>
      <c r="I13932">
        <v>5.9718312679668741E-2</v>
      </c>
    </row>
    <row r="13933" spans="1:9" x14ac:dyDescent="0.25">
      <c r="A13933">
        <v>479</v>
      </c>
      <c r="B13933" t="s">
        <v>3909</v>
      </c>
      <c r="C13933" t="s">
        <v>75</v>
      </c>
      <c r="D13933" t="s">
        <v>1763</v>
      </c>
      <c r="E13933">
        <f t="shared" si="653"/>
        <v>2.2222222222222223E-2</v>
      </c>
      <c r="F13933">
        <v>9</v>
      </c>
      <c r="G13933">
        <f>LOG(382/(9+1))</f>
        <v>1.5820633629117087</v>
      </c>
      <c r="H13933">
        <f>0.0222222222222222*3.64283551561252</f>
        <v>8.09519003469448E-2</v>
      </c>
      <c r="I13933">
        <v>8.0951900346945105E-2</v>
      </c>
    </row>
    <row r="13934" spans="1:9" x14ac:dyDescent="0.25">
      <c r="A13934">
        <v>479</v>
      </c>
      <c r="B13934" t="s">
        <v>3909</v>
      </c>
      <c r="C13934" t="s">
        <v>75</v>
      </c>
      <c r="D13934" t="s">
        <v>465</v>
      </c>
      <c r="E13934">
        <f t="shared" si="653"/>
        <v>2.2222222222222223E-2</v>
      </c>
      <c r="F13934">
        <v>36</v>
      </c>
      <c r="G13934">
        <f>LOG(382/(36+1))</f>
        <v>1.0138616388447137</v>
      </c>
      <c r="H13934">
        <f>0.0222222222222222*2.33450269596235</f>
        <v>5.1877837688052167E-2</v>
      </c>
      <c r="I13934">
        <v>5.1877837688052243E-2</v>
      </c>
    </row>
    <row r="13935" spans="1:9" x14ac:dyDescent="0.25">
      <c r="A13935">
        <v>480</v>
      </c>
      <c r="B13935" t="s">
        <v>3911</v>
      </c>
      <c r="C13935" t="s">
        <v>75</v>
      </c>
      <c r="D13935" t="s">
        <v>112</v>
      </c>
      <c r="E13935">
        <f>3/96</f>
        <v>3.125E-2</v>
      </c>
      <c r="F13935">
        <v>52</v>
      </c>
      <c r="G13935">
        <f>LOG(382/(52+1))</f>
        <v>0.85778749331091964</v>
      </c>
      <c r="H13935">
        <f>0.03125*1.97512869505445</f>
        <v>6.1722771720451562E-2</v>
      </c>
      <c r="I13935">
        <v>6.1722771720451673E-2</v>
      </c>
    </row>
    <row r="13936" spans="1:9" x14ac:dyDescent="0.25">
      <c r="A13936">
        <v>480</v>
      </c>
      <c r="B13936" t="s">
        <v>3911</v>
      </c>
      <c r="C13936" t="s">
        <v>75</v>
      </c>
      <c r="D13936" t="s">
        <v>3912</v>
      </c>
      <c r="E13936">
        <f>1/96</f>
        <v>1.0416666666666666E-2</v>
      </c>
      <c r="F13936">
        <v>1</v>
      </c>
      <c r="G13936">
        <f>LOG(382/(1+1))</f>
        <v>2.2810333672477277</v>
      </c>
      <c r="H13936">
        <f>0.0104166666666666*5.25227342804663</f>
        <v>5.4711181542152043E-2</v>
      </c>
      <c r="I13936">
        <v>5.471118154215239E-2</v>
      </c>
    </row>
    <row r="13937" spans="1:9" x14ac:dyDescent="0.25">
      <c r="A13937">
        <v>480</v>
      </c>
      <c r="B13937" t="s">
        <v>3911</v>
      </c>
      <c r="C13937" t="s">
        <v>75</v>
      </c>
      <c r="D13937" t="s">
        <v>3913</v>
      </c>
      <c r="E13937">
        <f>3/96</f>
        <v>3.125E-2</v>
      </c>
      <c r="F13937">
        <v>1</v>
      </c>
      <c r="G13937">
        <f>LOG(382/(1+1))</f>
        <v>2.2810333672477277</v>
      </c>
      <c r="H13937">
        <f>0.03125*5.25227342804663</f>
        <v>0.16413354462645718</v>
      </c>
      <c r="I13937">
        <v>0.16413354462645721</v>
      </c>
    </row>
    <row r="13938" spans="1:9" x14ac:dyDescent="0.25">
      <c r="A13938">
        <v>480</v>
      </c>
      <c r="B13938" t="s">
        <v>3911</v>
      </c>
      <c r="C13938" t="s">
        <v>75</v>
      </c>
      <c r="D13938" t="s">
        <v>1537</v>
      </c>
      <c r="E13938">
        <f>2/96</f>
        <v>2.0833333333333332E-2</v>
      </c>
      <c r="F13938">
        <v>80</v>
      </c>
      <c r="G13938">
        <f>LOG(382/(80+1))</f>
        <v>0.67357834403305894</v>
      </c>
      <c r="H13938">
        <f>0.0208333333333333*1.55097145393413</f>
        <v>3.2311905290294325E-2</v>
      </c>
      <c r="I13938">
        <v>3.2311905290294513E-2</v>
      </c>
    </row>
    <row r="13939" spans="1:9" x14ac:dyDescent="0.25">
      <c r="A13939">
        <v>480</v>
      </c>
      <c r="B13939" t="s">
        <v>3911</v>
      </c>
      <c r="C13939" t="s">
        <v>75</v>
      </c>
      <c r="D13939" t="s">
        <v>42</v>
      </c>
      <c r="E13939">
        <f t="shared" ref="E13939:E13949" si="654">1/96</f>
        <v>1.0416666666666666E-2</v>
      </c>
      <c r="F13939">
        <v>251</v>
      </c>
      <c r="G13939">
        <f>LOG(382/(251+1))</f>
        <v>0.18066282213016463</v>
      </c>
      <c r="H13939">
        <f>0.0104166666666666*0.415991521095151</f>
        <v>4.3332450114077952E-3</v>
      </c>
      <c r="I13939">
        <v>4.3332450114078316E-3</v>
      </c>
    </row>
    <row r="13940" spans="1:9" x14ac:dyDescent="0.25">
      <c r="A13940">
        <v>480</v>
      </c>
      <c r="B13940" t="s">
        <v>3911</v>
      </c>
      <c r="C13940" t="s">
        <v>75</v>
      </c>
      <c r="D13940" t="s">
        <v>1496</v>
      </c>
      <c r="E13940">
        <f t="shared" si="654"/>
        <v>1.0416666666666666E-2</v>
      </c>
      <c r="F13940">
        <v>39</v>
      </c>
      <c r="G13940">
        <f>LOG(382/(39+1))</f>
        <v>0.9800033715837464</v>
      </c>
      <c r="H13940">
        <f>0.0104166666666666*2.25654115449263</f>
        <v>2.3505637025964747E-2</v>
      </c>
      <c r="I13940">
        <v>2.350563702596499E-2</v>
      </c>
    </row>
    <row r="13941" spans="1:9" x14ac:dyDescent="0.25">
      <c r="A13941">
        <v>480</v>
      </c>
      <c r="B13941" t="s">
        <v>3911</v>
      </c>
      <c r="C13941" t="s">
        <v>75</v>
      </c>
      <c r="D13941" t="s">
        <v>104</v>
      </c>
      <c r="E13941">
        <f t="shared" si="654"/>
        <v>1.0416666666666666E-2</v>
      </c>
      <c r="F13941">
        <v>49</v>
      </c>
      <c r="G13941">
        <f>LOG(382/(49+1))</f>
        <v>0.88309335857568994</v>
      </c>
      <c r="H13941">
        <f>0.0104166666666666*2.03339760317842</f>
        <v>2.1181225033108406E-2</v>
      </c>
      <c r="I13941">
        <v>2.1181225033108628E-2</v>
      </c>
    </row>
    <row r="13942" spans="1:9" x14ac:dyDescent="0.25">
      <c r="A13942">
        <v>480</v>
      </c>
      <c r="B13942" t="s">
        <v>3911</v>
      </c>
      <c r="C13942" t="s">
        <v>75</v>
      </c>
      <c r="D13942" t="s">
        <v>3914</v>
      </c>
      <c r="E13942">
        <f t="shared" si="654"/>
        <v>1.0416666666666666E-2</v>
      </c>
      <c r="F13942">
        <v>1</v>
      </c>
      <c r="G13942">
        <f>LOG(382/(1+1))</f>
        <v>2.2810333672477277</v>
      </c>
      <c r="H13942">
        <f>0.0104166666666666*5.25227342804663</f>
        <v>5.4711181542152043E-2</v>
      </c>
      <c r="I13942">
        <v>5.471118154215239E-2</v>
      </c>
    </row>
    <row r="13943" spans="1:9" x14ac:dyDescent="0.25">
      <c r="A13943">
        <v>480</v>
      </c>
      <c r="B13943" t="s">
        <v>3911</v>
      </c>
      <c r="C13943" t="s">
        <v>75</v>
      </c>
      <c r="D13943" t="s">
        <v>3915</v>
      </c>
      <c r="E13943">
        <f t="shared" si="654"/>
        <v>1.0416666666666666E-2</v>
      </c>
      <c r="F13943">
        <v>1</v>
      </c>
      <c r="G13943">
        <f>LOG(382/(1+1))</f>
        <v>2.2810333672477277</v>
      </c>
      <c r="H13943">
        <f>0.0104166666666666*5.25227342804663</f>
        <v>5.4711181542152043E-2</v>
      </c>
      <c r="I13943">
        <v>5.471118154215239E-2</v>
      </c>
    </row>
    <row r="13944" spans="1:9" x14ac:dyDescent="0.25">
      <c r="A13944">
        <v>480</v>
      </c>
      <c r="B13944" t="s">
        <v>3911</v>
      </c>
      <c r="C13944" t="s">
        <v>75</v>
      </c>
      <c r="D13944" t="s">
        <v>115</v>
      </c>
      <c r="E13944">
        <f t="shared" si="654"/>
        <v>1.0416666666666666E-2</v>
      </c>
      <c r="F13944">
        <v>17</v>
      </c>
      <c r="G13944">
        <f>LOG(382/(17+1))</f>
        <v>1.3267908578084027</v>
      </c>
      <c r="H13944">
        <f>0.0104166666666666*3.05504885071041</f>
        <v>3.182342552823323E-2</v>
      </c>
      <c r="I13944">
        <v>3.1823425528233439E-2</v>
      </c>
    </row>
    <row r="13945" spans="1:9" x14ac:dyDescent="0.25">
      <c r="A13945">
        <v>480</v>
      </c>
      <c r="B13945" t="s">
        <v>3911</v>
      </c>
      <c r="C13945" t="s">
        <v>75</v>
      </c>
      <c r="D13945" t="s">
        <v>111</v>
      </c>
      <c r="E13945">
        <f t="shared" si="654"/>
        <v>1.0416666666666666E-2</v>
      </c>
      <c r="F13945">
        <v>33</v>
      </c>
      <c r="G13945">
        <f>LOG(382/(33+1))</f>
        <v>1.0505844458694535</v>
      </c>
      <c r="H13945">
        <f>0.0104166666666666*2.41906008399041</f>
        <v>2.5198542541566612E-2</v>
      </c>
      <c r="I13945">
        <v>2.519854254156681E-2</v>
      </c>
    </row>
    <row r="13946" spans="1:9" x14ac:dyDescent="0.25">
      <c r="A13946">
        <v>480</v>
      </c>
      <c r="B13946" t="s">
        <v>3911</v>
      </c>
      <c r="C13946" t="s">
        <v>75</v>
      </c>
      <c r="D13946" t="s">
        <v>3916</v>
      </c>
      <c r="E13946">
        <f t="shared" si="654"/>
        <v>1.0416666666666666E-2</v>
      </c>
      <c r="F13946">
        <v>2</v>
      </c>
      <c r="G13946">
        <f>LOG(382/(2+1))</f>
        <v>2.1049421081920463</v>
      </c>
      <c r="H13946">
        <f>0.0104166666666666*4.84680831993846</f>
        <v>5.0487586666025305E-2</v>
      </c>
      <c r="I13946">
        <v>5.048758666602568E-2</v>
      </c>
    </row>
    <row r="13947" spans="1:9" x14ac:dyDescent="0.25">
      <c r="A13947">
        <v>480</v>
      </c>
      <c r="B13947" t="s">
        <v>3911</v>
      </c>
      <c r="C13947" t="s">
        <v>75</v>
      </c>
      <c r="D13947" t="s">
        <v>3917</v>
      </c>
      <c r="E13947">
        <f t="shared" si="654"/>
        <v>1.0416666666666666E-2</v>
      </c>
      <c r="F13947">
        <v>2</v>
      </c>
      <c r="G13947">
        <f>LOG(382/(2+1))</f>
        <v>2.1049421081920463</v>
      </c>
      <c r="H13947">
        <f>0.0104166666666666*4.84680831993846</f>
        <v>5.0487586666025305E-2</v>
      </c>
      <c r="I13947">
        <v>5.048758666602568E-2</v>
      </c>
    </row>
    <row r="13948" spans="1:9" x14ac:dyDescent="0.25">
      <c r="A13948">
        <v>480</v>
      </c>
      <c r="B13948" t="s">
        <v>3911</v>
      </c>
      <c r="C13948" t="s">
        <v>75</v>
      </c>
      <c r="D13948" t="s">
        <v>3918</v>
      </c>
      <c r="E13948">
        <f t="shared" si="654"/>
        <v>1.0416666666666666E-2</v>
      </c>
      <c r="F13948">
        <v>1</v>
      </c>
      <c r="G13948">
        <f>LOG(382/(1+1))</f>
        <v>2.2810333672477277</v>
      </c>
      <c r="H13948">
        <f>0.0104166666666666*5.25227342804663</f>
        <v>5.4711181542152043E-2</v>
      </c>
      <c r="I13948">
        <v>5.471118154215239E-2</v>
      </c>
    </row>
    <row r="13949" spans="1:9" x14ac:dyDescent="0.25">
      <c r="A13949">
        <v>480</v>
      </c>
      <c r="B13949" t="s">
        <v>3911</v>
      </c>
      <c r="C13949" t="s">
        <v>75</v>
      </c>
      <c r="D13949" t="s">
        <v>19</v>
      </c>
      <c r="E13949">
        <f t="shared" si="654"/>
        <v>1.0416666666666666E-2</v>
      </c>
      <c r="F13949">
        <v>220</v>
      </c>
      <c r="G13949">
        <f>LOG(382/(220+1))</f>
        <v>0.23767108922659805</v>
      </c>
      <c r="H13949">
        <f>0.0104166666666666*0.547257907088822</f>
        <v>5.7006031988418599E-3</v>
      </c>
      <c r="I13949">
        <v>5.7006031988418998E-3</v>
      </c>
    </row>
    <row r="13950" spans="1:9" x14ac:dyDescent="0.25">
      <c r="A13950">
        <v>480</v>
      </c>
      <c r="B13950" t="s">
        <v>3911</v>
      </c>
      <c r="C13950" t="s">
        <v>75</v>
      </c>
      <c r="D13950" t="s">
        <v>41</v>
      </c>
      <c r="E13950">
        <f>2/96</f>
        <v>2.0833333333333332E-2</v>
      </c>
      <c r="F13950">
        <v>195</v>
      </c>
      <c r="G13950">
        <f>LOG(382/(195+1))</f>
        <v>0.28980729155523272</v>
      </c>
      <c r="H13950">
        <f>0.0208333333333333*0.667305949376058</f>
        <v>1.3902207278667854E-2</v>
      </c>
      <c r="I13950">
        <v>1.390220727866787E-2</v>
      </c>
    </row>
    <row r="13951" spans="1:9" x14ac:dyDescent="0.25">
      <c r="A13951">
        <v>480</v>
      </c>
      <c r="B13951" t="s">
        <v>3911</v>
      </c>
      <c r="C13951" t="s">
        <v>75</v>
      </c>
      <c r="D13951" t="s">
        <v>1369</v>
      </c>
      <c r="E13951">
        <f>1/96</f>
        <v>1.0416666666666666E-2</v>
      </c>
      <c r="F13951">
        <v>2</v>
      </c>
      <c r="G13951">
        <f>LOG(382/(2+1))</f>
        <v>2.1049421081920463</v>
      </c>
      <c r="H13951">
        <f>0.0104166666666666*4.84680831993846</f>
        <v>5.0487586666025305E-2</v>
      </c>
      <c r="I13951">
        <v>5.048758666602568E-2</v>
      </c>
    </row>
    <row r="13952" spans="1:9" x14ac:dyDescent="0.25">
      <c r="A13952">
        <v>480</v>
      </c>
      <c r="B13952" t="s">
        <v>3911</v>
      </c>
      <c r="C13952" t="s">
        <v>75</v>
      </c>
      <c r="D13952" t="s">
        <v>23</v>
      </c>
      <c r="E13952">
        <f>1/96</f>
        <v>1.0416666666666666E-2</v>
      </c>
      <c r="F13952">
        <v>275</v>
      </c>
      <c r="G13952">
        <f>LOG(382/(275+1))</f>
        <v>0.14115428084649101</v>
      </c>
      <c r="H13952">
        <f>0.0104166666666666*0.325019742889425</f>
        <v>3.3856223217648218E-3</v>
      </c>
      <c r="I13952">
        <v>3.3856223217648448E-3</v>
      </c>
    </row>
    <row r="13953" spans="1:9" x14ac:dyDescent="0.25">
      <c r="A13953">
        <v>480</v>
      </c>
      <c r="B13953" t="s">
        <v>3911</v>
      </c>
      <c r="C13953" t="s">
        <v>75</v>
      </c>
      <c r="D13953" t="s">
        <v>3828</v>
      </c>
      <c r="E13953">
        <f>1/96</f>
        <v>1.0416666666666666E-2</v>
      </c>
      <c r="F13953">
        <v>4</v>
      </c>
      <c r="G13953">
        <f>LOG(382/(4+1))</f>
        <v>1.8830933585756899</v>
      </c>
      <c r="H13953">
        <f>0.0104166666666666*4.33598269617247</f>
        <v>4.5166486418462944E-2</v>
      </c>
      <c r="I13953">
        <v>4.5166486418463277E-2</v>
      </c>
    </row>
    <row r="13954" spans="1:9" x14ac:dyDescent="0.25">
      <c r="A13954">
        <v>480</v>
      </c>
      <c r="B13954" t="s">
        <v>3911</v>
      </c>
      <c r="C13954" t="s">
        <v>75</v>
      </c>
      <c r="D13954" t="s">
        <v>105</v>
      </c>
      <c r="E13954">
        <f>1/96</f>
        <v>1.0416666666666666E-2</v>
      </c>
      <c r="F13954">
        <v>122</v>
      </c>
      <c r="G13954">
        <f>LOG(382/(122+1))</f>
        <v>0.49215825147231079</v>
      </c>
      <c r="H13954">
        <f>0.0104166666666666*1.13323625323415</f>
        <v>1.1804544304522321E-2</v>
      </c>
      <c r="I13954">
        <v>1.180454430452247E-2</v>
      </c>
    </row>
    <row r="13955" spans="1:9" x14ac:dyDescent="0.25">
      <c r="A13955">
        <v>480</v>
      </c>
      <c r="B13955" t="s">
        <v>3911</v>
      </c>
      <c r="C13955" t="s">
        <v>75</v>
      </c>
      <c r="D13955" t="s">
        <v>1769</v>
      </c>
      <c r="E13955">
        <f>4/96</f>
        <v>4.1666666666666664E-2</v>
      </c>
      <c r="F13955">
        <v>84</v>
      </c>
      <c r="G13955">
        <f>LOG(382/(84+1))</f>
        <v>0.65264443719741605</v>
      </c>
      <c r="H13955">
        <f>0.0416666666666666*1.50276935211625</f>
        <v>6.2615389671510313E-2</v>
      </c>
      <c r="I13955">
        <v>6.2615389671510785E-2</v>
      </c>
    </row>
    <row r="13956" spans="1:9" x14ac:dyDescent="0.25">
      <c r="A13956">
        <v>480</v>
      </c>
      <c r="B13956" t="s">
        <v>3911</v>
      </c>
      <c r="C13956" t="s">
        <v>75</v>
      </c>
      <c r="D13956" t="s">
        <v>126</v>
      </c>
      <c r="E13956">
        <f>5/96</f>
        <v>5.2083333333333336E-2</v>
      </c>
      <c r="F13956">
        <v>79</v>
      </c>
      <c r="G13956">
        <f>LOG(382/(79+1))</f>
        <v>0.67897337591976514</v>
      </c>
      <c r="H13956">
        <f>0.0520833333333333*1.56339397393269</f>
        <v>8.1426769475660896E-2</v>
      </c>
      <c r="I13956">
        <v>8.1426769475661132E-2</v>
      </c>
    </row>
    <row r="13957" spans="1:9" x14ac:dyDescent="0.25">
      <c r="A13957">
        <v>480</v>
      </c>
      <c r="B13957" t="s">
        <v>3911</v>
      </c>
      <c r="C13957" t="s">
        <v>75</v>
      </c>
      <c r="D13957" t="s">
        <v>50</v>
      </c>
      <c r="E13957">
        <f>5/96</f>
        <v>5.2083333333333336E-2</v>
      </c>
      <c r="F13957">
        <v>109</v>
      </c>
      <c r="G13957">
        <f>LOG(382/(109+1))</f>
        <v>0.54067067775348365</v>
      </c>
      <c r="H13957">
        <f>0.0520833333333333*1.24494024281415</f>
        <v>6.4840637646570276E-2</v>
      </c>
      <c r="I13957">
        <v>6.4840637646570776E-2</v>
      </c>
    </row>
    <row r="13958" spans="1:9" x14ac:dyDescent="0.25">
      <c r="A13958">
        <v>480</v>
      </c>
      <c r="B13958" t="s">
        <v>3911</v>
      </c>
      <c r="C13958" t="s">
        <v>75</v>
      </c>
      <c r="D13958" t="s">
        <v>1546</v>
      </c>
      <c r="E13958">
        <f>1/96</f>
        <v>1.0416666666666666E-2</v>
      </c>
      <c r="F13958">
        <v>44</v>
      </c>
      <c r="G13958">
        <f>LOG(382/(44+1))</f>
        <v>0.92885084913636506</v>
      </c>
      <c r="H13958">
        <f>0.0104166666666666*2.13875811883625</f>
        <v>2.2278730404544127E-2</v>
      </c>
      <c r="I13958">
        <v>2.2278730404544329E-2</v>
      </c>
    </row>
    <row r="13959" spans="1:9" x14ac:dyDescent="0.25">
      <c r="A13959">
        <v>480</v>
      </c>
      <c r="B13959" t="s">
        <v>3911</v>
      </c>
      <c r="C13959" t="s">
        <v>75</v>
      </c>
      <c r="D13959" t="s">
        <v>474</v>
      </c>
      <c r="E13959">
        <f>1/96</f>
        <v>1.0416666666666666E-2</v>
      </c>
      <c r="F13959">
        <v>25</v>
      </c>
      <c r="G13959">
        <f>LOG(382/(25+1))</f>
        <v>1.1670900149408907</v>
      </c>
      <c r="H13959">
        <f>0.0104166666666666*2.68732407058509</f>
        <v>2.799295906859451E-2</v>
      </c>
      <c r="I13959">
        <v>2.7992959068594721E-2</v>
      </c>
    </row>
    <row r="13960" spans="1:9" x14ac:dyDescent="0.25">
      <c r="A13960">
        <v>480</v>
      </c>
      <c r="B13960" t="s">
        <v>3911</v>
      </c>
      <c r="C13960" t="s">
        <v>75</v>
      </c>
      <c r="D13960" t="s">
        <v>260</v>
      </c>
      <c r="E13960">
        <f>1/96</f>
        <v>1.0416666666666666E-2</v>
      </c>
      <c r="F13960">
        <v>31</v>
      </c>
      <c r="G13960">
        <f>LOG(382/(31+1))</f>
        <v>1.0769133845918029</v>
      </c>
      <c r="H13960">
        <f>0.0104166666666666*2.47968470580684</f>
        <v>2.5830049018821084E-2</v>
      </c>
      <c r="I13960">
        <v>2.5830049018821341E-2</v>
      </c>
    </row>
    <row r="13961" spans="1:9" x14ac:dyDescent="0.25">
      <c r="A13961">
        <v>480</v>
      </c>
      <c r="B13961" t="s">
        <v>3911</v>
      </c>
      <c r="C13961" t="s">
        <v>75</v>
      </c>
      <c r="D13961" t="s">
        <v>3919</v>
      </c>
      <c r="E13961">
        <f>1/96</f>
        <v>1.0416666666666666E-2</v>
      </c>
      <c r="F13961">
        <v>1</v>
      </c>
      <c r="G13961">
        <f>LOG(382/(1+1))</f>
        <v>2.2810333672477277</v>
      </c>
      <c r="H13961">
        <f>0.0104166666666666*5.25227342804663</f>
        <v>5.4711181542152043E-2</v>
      </c>
      <c r="I13961">
        <v>5.471118154215239E-2</v>
      </c>
    </row>
    <row r="13962" spans="1:9" x14ac:dyDescent="0.25">
      <c r="A13962">
        <v>480</v>
      </c>
      <c r="B13962" t="s">
        <v>3911</v>
      </c>
      <c r="C13962" t="s">
        <v>75</v>
      </c>
      <c r="D13962" t="s">
        <v>243</v>
      </c>
      <c r="E13962">
        <f>2/96</f>
        <v>2.0833333333333332E-2</v>
      </c>
      <c r="F13962">
        <v>131</v>
      </c>
      <c r="G13962">
        <f>LOG(382/(131+1))</f>
        <v>0.46148943170585888</v>
      </c>
      <c r="H13962">
        <f>0.0208333333333333*1.0626186860202</f>
        <v>2.2137889292087466E-2</v>
      </c>
      <c r="I13962">
        <v>2.2137889292087591E-2</v>
      </c>
    </row>
    <row r="13963" spans="1:9" x14ac:dyDescent="0.25">
      <c r="A13963">
        <v>480</v>
      </c>
      <c r="B13963" t="s">
        <v>3911</v>
      </c>
      <c r="C13963" t="s">
        <v>75</v>
      </c>
      <c r="D13963" t="s">
        <v>453</v>
      </c>
      <c r="E13963">
        <f>1/96</f>
        <v>1.0416666666666666E-2</v>
      </c>
      <c r="F13963">
        <v>68</v>
      </c>
      <c r="G13963">
        <f>LOG(382/(68+1))</f>
        <v>0.74321427217445335</v>
      </c>
      <c r="H13963">
        <f>0.0104166666666666*1.71131410400931</f>
        <v>1.78261885834302E-2</v>
      </c>
      <c r="I13963">
        <v>1.782618858343037E-2</v>
      </c>
    </row>
    <row r="13964" spans="1:9" x14ac:dyDescent="0.25">
      <c r="A13964">
        <v>480</v>
      </c>
      <c r="B13964" t="s">
        <v>3911</v>
      </c>
      <c r="C13964" t="s">
        <v>75</v>
      </c>
      <c r="D13964" t="s">
        <v>455</v>
      </c>
      <c r="E13964">
        <f>2/96</f>
        <v>2.0833333333333332E-2</v>
      </c>
      <c r="F13964">
        <v>78</v>
      </c>
      <c r="G13964">
        <f>LOG(382/(78+1))</f>
        <v>0.6844362716212673</v>
      </c>
      <c r="H13964">
        <f>0.0208333333333333*1.57597275613955</f>
        <v>3.2832765752907243E-2</v>
      </c>
      <c r="I13964">
        <v>3.2832765752907368E-2</v>
      </c>
    </row>
    <row r="13965" spans="1:9" x14ac:dyDescent="0.25">
      <c r="A13965">
        <v>480</v>
      </c>
      <c r="B13965" t="s">
        <v>3911</v>
      </c>
      <c r="C13965" t="s">
        <v>75</v>
      </c>
      <c r="D13965" t="s">
        <v>456</v>
      </c>
      <c r="E13965">
        <f>2/96</f>
        <v>2.0833333333333332E-2</v>
      </c>
      <c r="F13965">
        <v>71</v>
      </c>
      <c r="G13965">
        <f>LOG(382/(71+1))</f>
        <v>0.72473086648044027</v>
      </c>
      <c r="H13965">
        <f>0.0208333333333333*1.66875448959051</f>
        <v>3.4765718533135571E-2</v>
      </c>
      <c r="I13965">
        <v>3.4765718533135828E-2</v>
      </c>
    </row>
    <row r="13966" spans="1:9" x14ac:dyDescent="0.25">
      <c r="A13966">
        <v>480</v>
      </c>
      <c r="B13966" t="s">
        <v>3911</v>
      </c>
      <c r="C13966" t="s">
        <v>75</v>
      </c>
      <c r="D13966" t="s">
        <v>1779</v>
      </c>
      <c r="E13966">
        <f t="shared" ref="E13966:E13973" si="655">1/96</f>
        <v>1.0416666666666666E-2</v>
      </c>
      <c r="F13966">
        <v>41</v>
      </c>
      <c r="G13966">
        <f>LOG(382/(41+1))</f>
        <v>0.95881407251380824</v>
      </c>
      <c r="H13966">
        <f>0.0104166666666666*2.2077509903232</f>
        <v>2.2997406149199855E-2</v>
      </c>
      <c r="I13966">
        <v>2.299740614920007E-2</v>
      </c>
    </row>
    <row r="13967" spans="1:9" x14ac:dyDescent="0.25">
      <c r="A13967">
        <v>480</v>
      </c>
      <c r="B13967" t="s">
        <v>3911</v>
      </c>
      <c r="C13967" t="s">
        <v>75</v>
      </c>
      <c r="D13967" t="s">
        <v>3920</v>
      </c>
      <c r="E13967">
        <f t="shared" si="655"/>
        <v>1.0416666666666666E-2</v>
      </c>
      <c r="F13967">
        <v>1</v>
      </c>
      <c r="G13967">
        <f>LOG(382/(1+1))</f>
        <v>2.2810333672477277</v>
      </c>
      <c r="H13967">
        <f>0.0104166666666666*5.25227342804663</f>
        <v>5.4711181542152043E-2</v>
      </c>
      <c r="I13967">
        <v>5.471118154215239E-2</v>
      </c>
    </row>
    <row r="13968" spans="1:9" x14ac:dyDescent="0.25">
      <c r="A13968">
        <v>480</v>
      </c>
      <c r="B13968" t="s">
        <v>3911</v>
      </c>
      <c r="C13968" t="s">
        <v>75</v>
      </c>
      <c r="D13968" t="s">
        <v>361</v>
      </c>
      <c r="E13968">
        <f t="shared" si="655"/>
        <v>1.0416666666666666E-2</v>
      </c>
      <c r="F13968">
        <v>118</v>
      </c>
      <c r="G13968">
        <f>LOG(382/(118+1))</f>
        <v>0.50651640151917798</v>
      </c>
      <c r="H13968">
        <f>0.0104166666666666*1.16629711549504</f>
        <v>1.2148928286406587E-2</v>
      </c>
      <c r="I13968">
        <v>1.214892828640673E-2</v>
      </c>
    </row>
    <row r="13969" spans="1:9" x14ac:dyDescent="0.25">
      <c r="A13969">
        <v>480</v>
      </c>
      <c r="B13969" t="s">
        <v>3911</v>
      </c>
      <c r="C13969" t="s">
        <v>75</v>
      </c>
      <c r="D13969" t="s">
        <v>434</v>
      </c>
      <c r="E13969">
        <f t="shared" si="655"/>
        <v>1.0416666666666666E-2</v>
      </c>
      <c r="F13969">
        <v>97</v>
      </c>
      <c r="G13969">
        <f>LOG(382/(97+1))</f>
        <v>0.59083728721921391</v>
      </c>
      <c r="H13969">
        <f>0.0104166666666666*1.360453129936</f>
        <v>1.4171386770166577E-2</v>
      </c>
      <c r="I13969">
        <v>1.4171386770166701E-2</v>
      </c>
    </row>
    <row r="13970" spans="1:9" x14ac:dyDescent="0.25">
      <c r="A13970">
        <v>480</v>
      </c>
      <c r="B13970" t="s">
        <v>3911</v>
      </c>
      <c r="C13970" t="s">
        <v>75</v>
      </c>
      <c r="D13970" t="s">
        <v>2242</v>
      </c>
      <c r="E13970">
        <f t="shared" si="655"/>
        <v>1.0416666666666666E-2</v>
      </c>
      <c r="F13970">
        <v>18</v>
      </c>
      <c r="G13970">
        <f>LOG(382/(18+1))</f>
        <v>1.3033097619588798</v>
      </c>
      <c r="H13970">
        <f>0.0104166666666666*3.00098162944013</f>
        <v>3.1260225306667826E-2</v>
      </c>
      <c r="I13970">
        <v>3.1260225306668069E-2</v>
      </c>
    </row>
    <row r="13971" spans="1:9" x14ac:dyDescent="0.25">
      <c r="A13971">
        <v>480</v>
      </c>
      <c r="B13971" t="s">
        <v>3911</v>
      </c>
      <c r="C13971" t="s">
        <v>75</v>
      </c>
      <c r="D13971" t="s">
        <v>214</v>
      </c>
      <c r="E13971">
        <f t="shared" si="655"/>
        <v>1.0416666666666666E-2</v>
      </c>
      <c r="F13971">
        <v>68</v>
      </c>
      <c r="G13971">
        <f>LOG(382/(68+1))</f>
        <v>0.74321427217445335</v>
      </c>
      <c r="H13971">
        <f>0.0104166666666666*1.71131410400931</f>
        <v>1.78261885834302E-2</v>
      </c>
      <c r="I13971">
        <v>1.782618858343037E-2</v>
      </c>
    </row>
    <row r="13972" spans="1:9" x14ac:dyDescent="0.25">
      <c r="A13972">
        <v>480</v>
      </c>
      <c r="B13972" t="s">
        <v>3911</v>
      </c>
      <c r="C13972" t="s">
        <v>75</v>
      </c>
      <c r="D13972" t="s">
        <v>2238</v>
      </c>
      <c r="E13972">
        <f t="shared" si="655"/>
        <v>1.0416666666666666E-2</v>
      </c>
      <c r="F13972">
        <v>68</v>
      </c>
      <c r="G13972">
        <f>LOG(382/(68+1))</f>
        <v>0.74321427217445335</v>
      </c>
      <c r="H13972">
        <f>0.0104166666666666*1.71131410400931</f>
        <v>1.78261885834302E-2</v>
      </c>
      <c r="I13972">
        <v>1.782618858343037E-2</v>
      </c>
    </row>
    <row r="13973" spans="1:9" x14ac:dyDescent="0.25">
      <c r="A13973">
        <v>480</v>
      </c>
      <c r="B13973" t="s">
        <v>3911</v>
      </c>
      <c r="C13973" t="s">
        <v>75</v>
      </c>
      <c r="D13973" t="s">
        <v>823</v>
      </c>
      <c r="E13973">
        <f t="shared" si="655"/>
        <v>1.0416666666666666E-2</v>
      </c>
      <c r="F13973">
        <v>45</v>
      </c>
      <c r="G13973">
        <f>LOG(382/(45+1))</f>
        <v>0.9193055312301347</v>
      </c>
      <c r="H13973">
        <f>0.0104166666666666*2.11677921211748</f>
        <v>2.2049783459556944E-2</v>
      </c>
      <c r="I13973">
        <v>2.204978345955708E-2</v>
      </c>
    </row>
    <row r="13974" spans="1:9" x14ac:dyDescent="0.25">
      <c r="A13974">
        <v>480</v>
      </c>
      <c r="B13974" t="s">
        <v>3911</v>
      </c>
      <c r="C13974" t="s">
        <v>75</v>
      </c>
      <c r="D13974" t="s">
        <v>1551</v>
      </c>
      <c r="E13974">
        <f>2/96</f>
        <v>2.0833333333333332E-2</v>
      </c>
      <c r="F13974">
        <v>15</v>
      </c>
      <c r="G13974">
        <f>LOG(382/(15+1))</f>
        <v>1.3779433802557839</v>
      </c>
      <c r="H13974">
        <f>0.0208333333333333*3.17283188636679</f>
        <v>6.6100664299308026E-2</v>
      </c>
      <c r="I13974">
        <v>6.6100664299308207E-2</v>
      </c>
    </row>
    <row r="13975" spans="1:9" x14ac:dyDescent="0.25">
      <c r="A13975">
        <v>480</v>
      </c>
      <c r="B13975" t="s">
        <v>3911</v>
      </c>
      <c r="C13975" t="s">
        <v>75</v>
      </c>
      <c r="D13975" t="s">
        <v>3420</v>
      </c>
      <c r="E13975">
        <f>3/96</f>
        <v>3.125E-2</v>
      </c>
      <c r="F13975">
        <v>12</v>
      </c>
      <c r="G13975">
        <f>LOG(382/(12+1))</f>
        <v>1.468120010604872</v>
      </c>
      <c r="H13975">
        <f>0.03125*3.38047125114503</f>
        <v>0.10563972659828219</v>
      </c>
      <c r="I13975">
        <v>0.1056397265982825</v>
      </c>
    </row>
    <row r="13976" spans="1:9" x14ac:dyDescent="0.25">
      <c r="A13976">
        <v>480</v>
      </c>
      <c r="B13976" t="s">
        <v>3911</v>
      </c>
      <c r="C13976" t="s">
        <v>75</v>
      </c>
      <c r="D13976" t="s">
        <v>1731</v>
      </c>
      <c r="E13976">
        <f>3/96</f>
        <v>3.125E-2</v>
      </c>
      <c r="F13976">
        <v>15</v>
      </c>
      <c r="G13976">
        <f>LOG(382/(15+1))</f>
        <v>1.3779433802557839</v>
      </c>
      <c r="H13976">
        <f>0.03125*3.17283188636679</f>
        <v>9.9150996448962192E-2</v>
      </c>
      <c r="I13976">
        <v>9.9150996448962317E-2</v>
      </c>
    </row>
    <row r="13977" spans="1:9" x14ac:dyDescent="0.25">
      <c r="A13977">
        <v>480</v>
      </c>
      <c r="B13977" t="s">
        <v>3911</v>
      </c>
      <c r="C13977" t="s">
        <v>75</v>
      </c>
      <c r="D13977" t="s">
        <v>3731</v>
      </c>
      <c r="E13977">
        <f>3/96</f>
        <v>3.125E-2</v>
      </c>
      <c r="F13977">
        <v>7</v>
      </c>
      <c r="G13977">
        <f>LOG(382/(7+1))</f>
        <v>1.6789733759197651</v>
      </c>
      <c r="H13977">
        <f>0.03125*3.86597906692673</f>
        <v>0.12081184584146032</v>
      </c>
      <c r="I13977">
        <v>0.1208118458414606</v>
      </c>
    </row>
    <row r="13978" spans="1:9" x14ac:dyDescent="0.25">
      <c r="A13978">
        <v>480</v>
      </c>
      <c r="B13978" t="s">
        <v>3911</v>
      </c>
      <c r="C13978" t="s">
        <v>75</v>
      </c>
      <c r="D13978" t="s">
        <v>1550</v>
      </c>
      <c r="E13978">
        <f>1/96</f>
        <v>1.0416666666666666E-2</v>
      </c>
      <c r="F13978">
        <v>16</v>
      </c>
      <c r="G13978">
        <f>LOG(382/(16+1))</f>
        <v>1.3516144415334348</v>
      </c>
      <c r="H13978">
        <f>0.0104166666666666*3.11220726455035</f>
        <v>3.2418825672399273E-2</v>
      </c>
      <c r="I13978">
        <v>3.2418825672399572E-2</v>
      </c>
    </row>
    <row r="13979" spans="1:9" x14ac:dyDescent="0.25">
      <c r="A13979">
        <v>480</v>
      </c>
      <c r="B13979" t="s">
        <v>3911</v>
      </c>
      <c r="C13979" t="s">
        <v>75</v>
      </c>
      <c r="D13979" t="s">
        <v>1730</v>
      </c>
      <c r="E13979">
        <f>3/96</f>
        <v>3.125E-2</v>
      </c>
      <c r="F13979">
        <v>35</v>
      </c>
      <c r="G13979">
        <f>LOG(382/(35+1))</f>
        <v>1.0257608621444214</v>
      </c>
      <c r="H13979">
        <f>0.03125*2.36190167015046</f>
        <v>7.3809427192201876E-2</v>
      </c>
      <c r="I13979">
        <v>7.3809427192202029E-2</v>
      </c>
    </row>
    <row r="13980" spans="1:9" x14ac:dyDescent="0.25">
      <c r="A13980">
        <v>480</v>
      </c>
      <c r="B13980" t="s">
        <v>3911</v>
      </c>
      <c r="C13980" t="s">
        <v>75</v>
      </c>
      <c r="D13980" t="s">
        <v>1665</v>
      </c>
      <c r="E13980">
        <f>3/96</f>
        <v>3.125E-2</v>
      </c>
      <c r="F13980">
        <v>17</v>
      </c>
      <c r="G13980">
        <f>LOG(382/(17+1))</f>
        <v>1.3267908578084027</v>
      </c>
      <c r="H13980">
        <f>0.03125*3.05504885071041</f>
        <v>9.5470276584700309E-2</v>
      </c>
      <c r="I13980">
        <v>9.5470276584700323E-2</v>
      </c>
    </row>
    <row r="13981" spans="1:9" x14ac:dyDescent="0.25">
      <c r="A13981">
        <v>480</v>
      </c>
      <c r="B13981" t="s">
        <v>3911</v>
      </c>
      <c r="C13981" t="s">
        <v>75</v>
      </c>
      <c r="D13981" t="s">
        <v>3537</v>
      </c>
      <c r="E13981">
        <f>2/96</f>
        <v>2.0833333333333332E-2</v>
      </c>
      <c r="F13981">
        <v>10</v>
      </c>
      <c r="G13981">
        <f>LOG(382/(10+1))</f>
        <v>1.5406706777534838</v>
      </c>
      <c r="H13981">
        <f>0.0208333333333333*3.5475253358082</f>
        <v>7.3906777829337383E-2</v>
      </c>
      <c r="I13981">
        <v>7.3906777829337592E-2</v>
      </c>
    </row>
    <row r="13982" spans="1:9" x14ac:dyDescent="0.25">
      <c r="A13982">
        <v>480</v>
      </c>
      <c r="B13982" t="s">
        <v>3911</v>
      </c>
      <c r="C13982" t="s">
        <v>75</v>
      </c>
      <c r="D13982" t="s">
        <v>1729</v>
      </c>
      <c r="E13982">
        <f t="shared" ref="E13982:E13988" si="656">1/96</f>
        <v>1.0416666666666666E-2</v>
      </c>
      <c r="F13982">
        <v>7</v>
      </c>
      <c r="G13982">
        <f>LOG(382/(7+1))</f>
        <v>1.6789733759197651</v>
      </c>
      <c r="H13982">
        <f>0.0104166666666666*3.86597906692673</f>
        <v>4.0270615280486519E-2</v>
      </c>
      <c r="I13982">
        <v>4.0270615280486873E-2</v>
      </c>
    </row>
    <row r="13983" spans="1:9" x14ac:dyDescent="0.25">
      <c r="A13983">
        <v>480</v>
      </c>
      <c r="B13983" t="s">
        <v>3911</v>
      </c>
      <c r="C13983" t="s">
        <v>75</v>
      </c>
      <c r="D13983" t="s">
        <v>362</v>
      </c>
      <c r="E13983">
        <f t="shared" si="656"/>
        <v>1.0416666666666666E-2</v>
      </c>
      <c r="F13983">
        <v>81</v>
      </c>
      <c r="G13983">
        <f>LOG(382/(81+1))</f>
        <v>0.66824951052799197</v>
      </c>
      <c r="H13983">
        <f>0.0104166666666666*1.53870136134232</f>
        <v>1.6028139180649065E-2</v>
      </c>
      <c r="I13983">
        <v>1.602813918064919E-2</v>
      </c>
    </row>
    <row r="13984" spans="1:9" x14ac:dyDescent="0.25">
      <c r="A13984">
        <v>480</v>
      </c>
      <c r="B13984" t="s">
        <v>3911</v>
      </c>
      <c r="C13984" t="s">
        <v>75</v>
      </c>
      <c r="D13984" t="s">
        <v>770</v>
      </c>
      <c r="E13984">
        <f t="shared" si="656"/>
        <v>1.0416666666666666E-2</v>
      </c>
      <c r="F13984">
        <v>47</v>
      </c>
      <c r="G13984">
        <f>LOG(382/(47+1))</f>
        <v>0.90082212553612151</v>
      </c>
      <c r="H13984">
        <f>0.0104166666666666*2.07421959769868</f>
        <v>2.1606454142694447E-2</v>
      </c>
      <c r="I13984">
        <v>2.1606454142694621E-2</v>
      </c>
    </row>
    <row r="13985" spans="1:9" x14ac:dyDescent="0.25">
      <c r="A13985">
        <v>480</v>
      </c>
      <c r="B13985" t="s">
        <v>3911</v>
      </c>
      <c r="C13985" t="s">
        <v>75</v>
      </c>
      <c r="D13985" t="s">
        <v>429</v>
      </c>
      <c r="E13985">
        <f t="shared" si="656"/>
        <v>1.0416666666666666E-2</v>
      </c>
      <c r="F13985">
        <v>11</v>
      </c>
      <c r="G13985">
        <f>LOG(382/(11+1))</f>
        <v>1.5028821168640838</v>
      </c>
      <c r="H13985">
        <f>0.0104166666666666*3.46051395881857</f>
        <v>3.6047020404359878E-2</v>
      </c>
      <c r="I13985">
        <v>3.6047020404360162E-2</v>
      </c>
    </row>
    <row r="13986" spans="1:9" x14ac:dyDescent="0.25">
      <c r="A13986">
        <v>480</v>
      </c>
      <c r="B13986" t="s">
        <v>3911</v>
      </c>
      <c r="C13986" t="s">
        <v>75</v>
      </c>
      <c r="D13986" t="s">
        <v>307</v>
      </c>
      <c r="E13986">
        <f t="shared" si="656"/>
        <v>1.0416666666666666E-2</v>
      </c>
      <c r="F13986">
        <v>67</v>
      </c>
      <c r="G13986">
        <f>LOG(382/(67+1))</f>
        <v>0.7495544502054724</v>
      </c>
      <c r="H13986">
        <f>0.0104166666666666*1.72591290343046</f>
        <v>1.7978259410733846E-2</v>
      </c>
      <c r="I13986">
        <v>1.797825941073404E-2</v>
      </c>
    </row>
    <row r="13987" spans="1:9" x14ac:dyDescent="0.25">
      <c r="A13987">
        <v>480</v>
      </c>
      <c r="B13987" t="s">
        <v>3911</v>
      </c>
      <c r="C13987" t="s">
        <v>75</v>
      </c>
      <c r="D13987" t="s">
        <v>342</v>
      </c>
      <c r="E13987">
        <f t="shared" si="656"/>
        <v>1.0416666666666666E-2</v>
      </c>
      <c r="F13987">
        <v>35</v>
      </c>
      <c r="G13987">
        <f>LOG(382/(35+1))</f>
        <v>1.0257608621444214</v>
      </c>
      <c r="H13987">
        <f>0.0104166666666666*2.36190167015046</f>
        <v>2.4603142397400468E-2</v>
      </c>
      <c r="I13987">
        <v>2.460314239740068E-2</v>
      </c>
    </row>
    <row r="13988" spans="1:9" x14ac:dyDescent="0.25">
      <c r="A13988">
        <v>480</v>
      </c>
      <c r="B13988" t="s">
        <v>3911</v>
      </c>
      <c r="C13988" t="s">
        <v>75</v>
      </c>
      <c r="D13988" t="s">
        <v>78</v>
      </c>
      <c r="E13988">
        <f t="shared" si="656"/>
        <v>1.0416666666666666E-2</v>
      </c>
      <c r="F13988">
        <v>122</v>
      </c>
      <c r="G13988">
        <f>LOG(382/(122+1))</f>
        <v>0.49215825147231079</v>
      </c>
      <c r="H13988">
        <f>0.0104166666666666*1.13323625323415</f>
        <v>1.1804544304522321E-2</v>
      </c>
      <c r="I13988">
        <v>1.180454430452247E-2</v>
      </c>
    </row>
    <row r="13989" spans="1:9" x14ac:dyDescent="0.25">
      <c r="A13989">
        <v>480</v>
      </c>
      <c r="B13989" t="s">
        <v>3911</v>
      </c>
      <c r="C13989" t="s">
        <v>75</v>
      </c>
      <c r="D13989" t="s">
        <v>82</v>
      </c>
      <c r="E13989">
        <f>3/96</f>
        <v>3.125E-2</v>
      </c>
      <c r="F13989">
        <v>92</v>
      </c>
      <c r="G13989">
        <f>LOG(382/(92+1))</f>
        <v>0.61358041435777355</v>
      </c>
      <c r="H13989">
        <f>0.03125*1.41282111545331</f>
        <v>4.4150659857915935E-2</v>
      </c>
      <c r="I13989">
        <v>4.4150659857916233E-2</v>
      </c>
    </row>
    <row r="13990" spans="1:9" x14ac:dyDescent="0.25">
      <c r="A13990">
        <v>480</v>
      </c>
      <c r="B13990" t="s">
        <v>3911</v>
      </c>
      <c r="C13990" t="s">
        <v>75</v>
      </c>
      <c r="D13990" t="s">
        <v>2369</v>
      </c>
      <c r="E13990">
        <f t="shared" ref="E13990:E13996" si="657">1/96</f>
        <v>1.0416666666666666E-2</v>
      </c>
      <c r="F13990">
        <v>15</v>
      </c>
      <c r="G13990">
        <f>LOG(382/(15+1))</f>
        <v>1.3779433802557839</v>
      </c>
      <c r="H13990">
        <f>0.0104166666666666*3.17283188636679</f>
        <v>3.3050332149653854E-2</v>
      </c>
      <c r="I13990">
        <v>3.3050332149654103E-2</v>
      </c>
    </row>
    <row r="13991" spans="1:9" x14ac:dyDescent="0.25">
      <c r="A13991">
        <v>480</v>
      </c>
      <c r="B13991" t="s">
        <v>3911</v>
      </c>
      <c r="C13991" t="s">
        <v>75</v>
      </c>
      <c r="D13991" t="s">
        <v>3921</v>
      </c>
      <c r="E13991">
        <f t="shared" si="657"/>
        <v>1.0416666666666666E-2</v>
      </c>
      <c r="F13991">
        <v>1</v>
      </c>
      <c r="G13991">
        <f>LOG(382/(1+1))</f>
        <v>2.2810333672477277</v>
      </c>
      <c r="H13991">
        <f>0.0104166666666666*5.25227342804663</f>
        <v>5.4711181542152043E-2</v>
      </c>
      <c r="I13991">
        <v>5.471118154215239E-2</v>
      </c>
    </row>
    <row r="13992" spans="1:9" x14ac:dyDescent="0.25">
      <c r="A13992">
        <v>480</v>
      </c>
      <c r="B13992" t="s">
        <v>3911</v>
      </c>
      <c r="C13992" t="s">
        <v>75</v>
      </c>
      <c r="D13992" t="s">
        <v>168</v>
      </c>
      <c r="E13992">
        <f t="shared" si="657"/>
        <v>1.0416666666666666E-2</v>
      </c>
      <c r="F13992">
        <v>34</v>
      </c>
      <c r="G13992">
        <f>LOG(382/(34+1))</f>
        <v>1.037995318561433</v>
      </c>
      <c r="H13992">
        <f>0.0104166666666666*2.39007254711716</f>
        <v>2.4896589032470259E-2</v>
      </c>
      <c r="I13992">
        <v>2.4896589032470429E-2</v>
      </c>
    </row>
    <row r="13993" spans="1:9" x14ac:dyDescent="0.25">
      <c r="A13993">
        <v>480</v>
      </c>
      <c r="B13993" t="s">
        <v>3911</v>
      </c>
      <c r="C13993" t="s">
        <v>75</v>
      </c>
      <c r="D13993" t="s">
        <v>573</v>
      </c>
      <c r="E13993">
        <f t="shared" si="657"/>
        <v>1.0416666666666666E-2</v>
      </c>
      <c r="F13993">
        <v>14</v>
      </c>
      <c r="G13993">
        <f>LOG(382/(14+1))</f>
        <v>1.4059721038560276</v>
      </c>
      <c r="H13993">
        <f>0.0104166666666666*3.23737040750436</f>
        <v>3.3722608411503534E-2</v>
      </c>
      <c r="I13993">
        <v>3.3722608411503797E-2</v>
      </c>
    </row>
    <row r="13994" spans="1:9" x14ac:dyDescent="0.25">
      <c r="A13994">
        <v>480</v>
      </c>
      <c r="B13994" t="s">
        <v>3911</v>
      </c>
      <c r="C13994" t="s">
        <v>75</v>
      </c>
      <c r="D13994" t="s">
        <v>3922</v>
      </c>
      <c r="E13994">
        <f t="shared" si="657"/>
        <v>1.0416666666666666E-2</v>
      </c>
      <c r="F13994">
        <v>1</v>
      </c>
      <c r="G13994">
        <f>LOG(382/(1+1))</f>
        <v>2.2810333672477277</v>
      </c>
      <c r="H13994">
        <f>0.0104166666666666*5.25227342804663</f>
        <v>5.4711181542152043E-2</v>
      </c>
      <c r="I13994">
        <v>5.471118154215239E-2</v>
      </c>
    </row>
    <row r="13995" spans="1:9" x14ac:dyDescent="0.25">
      <c r="A13995">
        <v>480</v>
      </c>
      <c r="B13995" t="s">
        <v>3911</v>
      </c>
      <c r="C13995" t="s">
        <v>75</v>
      </c>
      <c r="D13995" t="s">
        <v>3923</v>
      </c>
      <c r="E13995">
        <f t="shared" si="657"/>
        <v>1.0416666666666666E-2</v>
      </c>
      <c r="F13995">
        <v>1</v>
      </c>
      <c r="G13995">
        <f>LOG(382/(1+1))</f>
        <v>2.2810333672477277</v>
      </c>
      <c r="H13995">
        <f>0.0104166666666666*5.25227342804663</f>
        <v>5.4711181542152043E-2</v>
      </c>
      <c r="I13995">
        <v>5.471118154215239E-2</v>
      </c>
    </row>
    <row r="13996" spans="1:9" x14ac:dyDescent="0.25">
      <c r="A13996">
        <v>480</v>
      </c>
      <c r="B13996" t="s">
        <v>3911</v>
      </c>
      <c r="C13996" t="s">
        <v>75</v>
      </c>
      <c r="D13996" t="s">
        <v>3924</v>
      </c>
      <c r="E13996">
        <f t="shared" si="657"/>
        <v>1.0416666666666666E-2</v>
      </c>
      <c r="F13996">
        <v>2</v>
      </c>
      <c r="G13996">
        <f>LOG(382/(2+1))</f>
        <v>2.1049421081920463</v>
      </c>
      <c r="H13996">
        <f>0.0104166666666666*4.84680831993846</f>
        <v>5.0487586666025305E-2</v>
      </c>
      <c r="I13996">
        <v>5.048758666602568E-2</v>
      </c>
    </row>
    <row r="13997" spans="1:9" x14ac:dyDescent="0.25">
      <c r="A13997">
        <v>481</v>
      </c>
      <c r="B13997" t="s">
        <v>3925</v>
      </c>
      <c r="C13997" t="s">
        <v>75</v>
      </c>
      <c r="D13997" t="s">
        <v>1544</v>
      </c>
      <c r="E13997">
        <f>5/117</f>
        <v>4.2735042735042736E-2</v>
      </c>
      <c r="F13997">
        <v>19</v>
      </c>
      <c r="G13997">
        <f>LOG(382/(19+1))</f>
        <v>1.2810333672477277</v>
      </c>
      <c r="H13997">
        <f>0.0427350427350427*2.94968833505258</f>
        <v>0.12605505705352896</v>
      </c>
      <c r="I13997">
        <v>0.12605505705352929</v>
      </c>
    </row>
    <row r="13998" spans="1:9" x14ac:dyDescent="0.25">
      <c r="A13998">
        <v>481</v>
      </c>
      <c r="B13998" t="s">
        <v>3925</v>
      </c>
      <c r="C13998" t="s">
        <v>75</v>
      </c>
      <c r="D13998" t="s">
        <v>1080</v>
      </c>
      <c r="E13998">
        <f>14/117</f>
        <v>0.11965811965811966</v>
      </c>
      <c r="F13998">
        <v>26</v>
      </c>
      <c r="G13998">
        <f>LOG(382/(26+1))</f>
        <v>1.1506995987527215</v>
      </c>
      <c r="H13998">
        <f>0.119658119658119*2.64958374260224</f>
        <v>0.31704420851650561</v>
      </c>
      <c r="I13998">
        <v>0.31704420851650811</v>
      </c>
    </row>
    <row r="13999" spans="1:9" x14ac:dyDescent="0.25">
      <c r="A13999">
        <v>481</v>
      </c>
      <c r="B13999" t="s">
        <v>3925</v>
      </c>
      <c r="C13999" t="s">
        <v>75</v>
      </c>
      <c r="D13999" t="s">
        <v>3926</v>
      </c>
      <c r="E13999">
        <f>6/117</f>
        <v>5.128205128205128E-2</v>
      </c>
      <c r="F13999">
        <v>1</v>
      </c>
      <c r="G13999">
        <f>LOG(382/(1+1))</f>
        <v>2.2810333672477277</v>
      </c>
      <c r="H13999">
        <f>0.0512820512820512*5.25227342804663</f>
        <v>0.26934735528444209</v>
      </c>
      <c r="I13999">
        <v>0.26934735528444248</v>
      </c>
    </row>
    <row r="14000" spans="1:9" x14ac:dyDescent="0.25">
      <c r="A14000">
        <v>481</v>
      </c>
      <c r="B14000" t="s">
        <v>3925</v>
      </c>
      <c r="C14000" t="s">
        <v>75</v>
      </c>
      <c r="D14000" t="s">
        <v>3927</v>
      </c>
      <c r="E14000">
        <f>1/117</f>
        <v>8.5470085470085479E-3</v>
      </c>
      <c r="F14000">
        <v>1</v>
      </c>
      <c r="G14000">
        <f>LOG(382/(1+1))</f>
        <v>2.2810333672477277</v>
      </c>
      <c r="H14000">
        <f>0.00854700854700854*5.25227342804663</f>
        <v>4.4891225880740383E-2</v>
      </c>
      <c r="I14000">
        <v>4.4891225880740432E-2</v>
      </c>
    </row>
    <row r="14001" spans="1:9" x14ac:dyDescent="0.25">
      <c r="A14001">
        <v>481</v>
      </c>
      <c r="B14001" t="s">
        <v>3925</v>
      </c>
      <c r="C14001" t="s">
        <v>75</v>
      </c>
      <c r="D14001" t="s">
        <v>1079</v>
      </c>
      <c r="E14001">
        <f>1/117</f>
        <v>8.5470085470085479E-3</v>
      </c>
      <c r="F14001">
        <v>34</v>
      </c>
      <c r="G14001">
        <f>LOG(382/(34+1))</f>
        <v>1.037995318561433</v>
      </c>
      <c r="H14001">
        <f>0.00854700854700854*2.39007254711716</f>
        <v>2.0427970488180836E-2</v>
      </c>
      <c r="I14001">
        <v>2.0427970488180871E-2</v>
      </c>
    </row>
    <row r="14002" spans="1:9" x14ac:dyDescent="0.25">
      <c r="A14002">
        <v>481</v>
      </c>
      <c r="B14002" t="s">
        <v>3925</v>
      </c>
      <c r="C14002" t="s">
        <v>75</v>
      </c>
      <c r="D14002" t="s">
        <v>920</v>
      </c>
      <c r="E14002">
        <f>1/117</f>
        <v>8.5470085470085479E-3</v>
      </c>
      <c r="F14002">
        <v>30</v>
      </c>
      <c r="G14002">
        <f>LOG(382/(30+1))</f>
        <v>1.090701669077436</v>
      </c>
      <c r="H14002">
        <f>0.00854700854700854*2.51143340412142</f>
        <v>2.1465242770268528E-2</v>
      </c>
      <c r="I14002">
        <v>2.1465242770268629E-2</v>
      </c>
    </row>
    <row r="14003" spans="1:9" x14ac:dyDescent="0.25">
      <c r="A14003">
        <v>481</v>
      </c>
      <c r="B14003" t="s">
        <v>3925</v>
      </c>
      <c r="C14003" t="s">
        <v>75</v>
      </c>
      <c r="D14003" t="s">
        <v>19</v>
      </c>
      <c r="E14003">
        <f>1/117</f>
        <v>8.5470085470085479E-3</v>
      </c>
      <c r="F14003">
        <v>220</v>
      </c>
      <c r="G14003">
        <f>LOG(382/(220+1))</f>
        <v>0.23767108922659805</v>
      </c>
      <c r="H14003">
        <f>0.00854700854700854*0.547257907088822</f>
        <v>4.677418009306167E-3</v>
      </c>
      <c r="I14003">
        <v>4.6774180093061748E-3</v>
      </c>
    </row>
    <row r="14004" spans="1:9" x14ac:dyDescent="0.25">
      <c r="A14004">
        <v>481</v>
      </c>
      <c r="B14004" t="s">
        <v>3925</v>
      </c>
      <c r="C14004" t="s">
        <v>75</v>
      </c>
      <c r="D14004" t="s">
        <v>44</v>
      </c>
      <c r="E14004">
        <f>6/117</f>
        <v>5.128205128205128E-2</v>
      </c>
      <c r="F14004">
        <v>151</v>
      </c>
      <c r="G14004">
        <f>LOG(382/(151+1))</f>
        <v>0.40021977496693617</v>
      </c>
      <c r="H14004">
        <f>0.0512820512820512*0.921540087760298</f>
        <v>4.7258466038989567E-2</v>
      </c>
      <c r="I14004">
        <v>4.7258466038989679E-2</v>
      </c>
    </row>
    <row r="14005" spans="1:9" x14ac:dyDescent="0.25">
      <c r="A14005">
        <v>481</v>
      </c>
      <c r="B14005" t="s">
        <v>3925</v>
      </c>
      <c r="C14005" t="s">
        <v>75</v>
      </c>
      <c r="D14005" t="s">
        <v>22</v>
      </c>
      <c r="E14005">
        <f t="shared" ref="E14005:E14016" si="658">1/117</f>
        <v>8.5470085470085479E-3</v>
      </c>
      <c r="F14005">
        <v>259</v>
      </c>
      <c r="G14005">
        <f>LOG(382/(259+1))</f>
        <v>0.16709001494089079</v>
      </c>
      <c r="H14005">
        <f>0.00854700854700854*0.384738977591047</f>
        <v>3.2883673298380058E-3</v>
      </c>
      <c r="I14005">
        <v>3.2883673298380132E-3</v>
      </c>
    </row>
    <row r="14006" spans="1:9" x14ac:dyDescent="0.25">
      <c r="A14006">
        <v>481</v>
      </c>
      <c r="B14006" t="s">
        <v>3925</v>
      </c>
      <c r="C14006" t="s">
        <v>75</v>
      </c>
      <c r="D14006" t="s">
        <v>23</v>
      </c>
      <c r="E14006">
        <f t="shared" si="658"/>
        <v>8.5470085470085479E-3</v>
      </c>
      <c r="F14006">
        <v>275</v>
      </c>
      <c r="G14006">
        <f>LOG(382/(275+1))</f>
        <v>0.14115428084649101</v>
      </c>
      <c r="H14006">
        <f>0.00854700854700854*0.325019742889425</f>
        <v>2.7779465204224333E-3</v>
      </c>
      <c r="I14006">
        <v>2.7779465204224368E-3</v>
      </c>
    </row>
    <row r="14007" spans="1:9" x14ac:dyDescent="0.25">
      <c r="A14007">
        <v>481</v>
      </c>
      <c r="B14007" t="s">
        <v>3925</v>
      </c>
      <c r="C14007" t="s">
        <v>75</v>
      </c>
      <c r="D14007" t="s">
        <v>42</v>
      </c>
      <c r="E14007">
        <f t="shared" si="658"/>
        <v>8.5470085470085479E-3</v>
      </c>
      <c r="F14007">
        <v>251</v>
      </c>
      <c r="G14007">
        <f>LOG(382/(251+1))</f>
        <v>0.18066282213016463</v>
      </c>
      <c r="H14007">
        <f>0.00854700854700854*0.415991521095151</f>
        <v>3.5554830862833385E-3</v>
      </c>
      <c r="I14007">
        <v>3.5554830862833502E-3</v>
      </c>
    </row>
    <row r="14008" spans="1:9" x14ac:dyDescent="0.25">
      <c r="A14008">
        <v>481</v>
      </c>
      <c r="B14008" t="s">
        <v>3925</v>
      </c>
      <c r="C14008" t="s">
        <v>75</v>
      </c>
      <c r="D14008" t="s">
        <v>824</v>
      </c>
      <c r="E14008">
        <f t="shared" si="658"/>
        <v>8.5470085470085479E-3</v>
      </c>
      <c r="F14008">
        <v>3</v>
      </c>
      <c r="G14008">
        <f>LOG(382/(3+1))</f>
        <v>1.9800033715837464</v>
      </c>
      <c r="H14008">
        <f>0.00854700854700854*4.55912624748668</f>
        <v>3.8966891004159621E-2</v>
      </c>
      <c r="I14008">
        <v>3.8966891004159697E-2</v>
      </c>
    </row>
    <row r="14009" spans="1:9" x14ac:dyDescent="0.25">
      <c r="A14009">
        <v>481</v>
      </c>
      <c r="B14009" t="s">
        <v>3925</v>
      </c>
      <c r="C14009" t="s">
        <v>75</v>
      </c>
      <c r="D14009" t="s">
        <v>744</v>
      </c>
      <c r="E14009">
        <f t="shared" si="658"/>
        <v>8.5470085470085479E-3</v>
      </c>
      <c r="F14009">
        <v>28</v>
      </c>
      <c r="G14009">
        <f>LOG(382/(28+1))</f>
        <v>1.1196653650127526</v>
      </c>
      <c r="H14009">
        <f>0.00854700854700854*2.5781247786201</f>
        <v>2.2035254518120492E-2</v>
      </c>
      <c r="I14009">
        <v>2.203525451812053E-2</v>
      </c>
    </row>
    <row r="14010" spans="1:9" x14ac:dyDescent="0.25">
      <c r="A14010">
        <v>481</v>
      </c>
      <c r="B14010" t="s">
        <v>3925</v>
      </c>
      <c r="C14010" t="s">
        <v>75</v>
      </c>
      <c r="D14010" t="s">
        <v>15</v>
      </c>
      <c r="E14010">
        <f t="shared" si="658"/>
        <v>8.5470085470085479E-3</v>
      </c>
      <c r="F14010">
        <v>112</v>
      </c>
      <c r="G14010">
        <f>LOG(382/(112+1))</f>
        <v>0.52898491942828896</v>
      </c>
      <c r="H14010">
        <f>0.00854700854700854*1.21803278989423</f>
        <v>1.0410536665762641E-2</v>
      </c>
      <c r="I14010">
        <v>1.041053666576269E-2</v>
      </c>
    </row>
    <row r="14011" spans="1:9" x14ac:dyDescent="0.25">
      <c r="A14011">
        <v>481</v>
      </c>
      <c r="B14011" t="s">
        <v>3925</v>
      </c>
      <c r="C14011" t="s">
        <v>75</v>
      </c>
      <c r="D14011" t="s">
        <v>3818</v>
      </c>
      <c r="E14011">
        <f t="shared" si="658"/>
        <v>8.5470085470085479E-3</v>
      </c>
      <c r="F14011">
        <v>2</v>
      </c>
      <c r="G14011">
        <f>LOG(382/(2+1))</f>
        <v>2.1049421081920463</v>
      </c>
      <c r="H14011">
        <f>0.00854700854700854*4.84680831993846</f>
        <v>4.1425712136226117E-2</v>
      </c>
      <c r="I14011">
        <v>4.14257121362262E-2</v>
      </c>
    </row>
    <row r="14012" spans="1:9" x14ac:dyDescent="0.25">
      <c r="A14012">
        <v>481</v>
      </c>
      <c r="B14012" t="s">
        <v>3925</v>
      </c>
      <c r="C14012" t="s">
        <v>75</v>
      </c>
      <c r="D14012" t="s">
        <v>1060</v>
      </c>
      <c r="E14012">
        <f t="shared" si="658"/>
        <v>8.5470085470085479E-3</v>
      </c>
      <c r="F14012">
        <v>15</v>
      </c>
      <c r="G14012">
        <f>LOG(382/(15+1))</f>
        <v>1.3779433802557839</v>
      </c>
      <c r="H14012">
        <f>0.00854700854700854*3.17283188636679</f>
        <v>2.7118221250998182E-2</v>
      </c>
      <c r="I14012">
        <v>2.7118221250998241E-2</v>
      </c>
    </row>
    <row r="14013" spans="1:9" x14ac:dyDescent="0.25">
      <c r="A14013">
        <v>481</v>
      </c>
      <c r="B14013" t="s">
        <v>3925</v>
      </c>
      <c r="C14013" t="s">
        <v>75</v>
      </c>
      <c r="D14013" t="s">
        <v>105</v>
      </c>
      <c r="E14013">
        <f t="shared" si="658"/>
        <v>8.5470085470085479E-3</v>
      </c>
      <c r="F14013">
        <v>122</v>
      </c>
      <c r="G14013">
        <f>LOG(382/(122+1))</f>
        <v>0.49215825147231079</v>
      </c>
      <c r="H14013">
        <f>0.00854700854700854*1.13323625323415</f>
        <v>9.6857799421722138E-3</v>
      </c>
      <c r="I14013">
        <v>9.6857799421722884E-3</v>
      </c>
    </row>
    <row r="14014" spans="1:9" x14ac:dyDescent="0.25">
      <c r="A14014">
        <v>481</v>
      </c>
      <c r="B14014" t="s">
        <v>3925</v>
      </c>
      <c r="C14014" t="s">
        <v>75</v>
      </c>
      <c r="D14014" t="s">
        <v>3738</v>
      </c>
      <c r="E14014">
        <f t="shared" si="658"/>
        <v>8.5470085470085479E-3</v>
      </c>
      <c r="F14014">
        <v>2</v>
      </c>
      <c r="G14014">
        <f>LOG(382/(2+1))</f>
        <v>2.1049421081920463</v>
      </c>
      <c r="H14014">
        <f>0.00854700854700854*4.84680831993846</f>
        <v>4.1425712136226117E-2</v>
      </c>
      <c r="I14014">
        <v>4.14257121362262E-2</v>
      </c>
    </row>
    <row r="14015" spans="1:9" x14ac:dyDescent="0.25">
      <c r="A14015">
        <v>481</v>
      </c>
      <c r="B14015" t="s">
        <v>3925</v>
      </c>
      <c r="C14015" t="s">
        <v>75</v>
      </c>
      <c r="D14015" t="s">
        <v>754</v>
      </c>
      <c r="E14015">
        <f t="shared" si="658"/>
        <v>8.5470085470085479E-3</v>
      </c>
      <c r="F14015">
        <v>111</v>
      </c>
      <c r="G14015">
        <f>LOG(382/(111+1))</f>
        <v>0.53284534024152708</v>
      </c>
      <c r="H14015">
        <f>0.00854700854700854*1.22692173731148</f>
        <v>1.0486510575311785E-2</v>
      </c>
      <c r="I14015">
        <v>1.0486510575311799E-2</v>
      </c>
    </row>
    <row r="14016" spans="1:9" x14ac:dyDescent="0.25">
      <c r="A14016">
        <v>481</v>
      </c>
      <c r="B14016" t="s">
        <v>3925</v>
      </c>
      <c r="C14016" t="s">
        <v>75</v>
      </c>
      <c r="D14016" t="s">
        <v>3928</v>
      </c>
      <c r="E14016">
        <f t="shared" si="658"/>
        <v>8.5470085470085479E-3</v>
      </c>
      <c r="F14016">
        <v>1</v>
      </c>
      <c r="G14016">
        <f>LOG(382/(1+1))</f>
        <v>2.2810333672477277</v>
      </c>
      <c r="H14016">
        <f>0.00854700854700854*5.25227342804663</f>
        <v>4.4891225880740383E-2</v>
      </c>
      <c r="I14016">
        <v>4.4891225880740432E-2</v>
      </c>
    </row>
    <row r="14017" spans="1:9" x14ac:dyDescent="0.25">
      <c r="A14017">
        <v>481</v>
      </c>
      <c r="B14017" t="s">
        <v>3925</v>
      </c>
      <c r="C14017" t="s">
        <v>75</v>
      </c>
      <c r="D14017" t="s">
        <v>201</v>
      </c>
      <c r="E14017">
        <f>6/117</f>
        <v>5.128205128205128E-2</v>
      </c>
      <c r="F14017">
        <v>72</v>
      </c>
      <c r="G14017">
        <f>LOG(382/(72+1))</f>
        <v>0.71874050279125279</v>
      </c>
      <c r="H14017">
        <f>0.0512820512820512*1.65496116745818</f>
        <v>8.4869803459393697E-2</v>
      </c>
      <c r="I14017">
        <v>8.4869803459394044E-2</v>
      </c>
    </row>
    <row r="14018" spans="1:9" x14ac:dyDescent="0.25">
      <c r="A14018">
        <v>481</v>
      </c>
      <c r="B14018" t="s">
        <v>3925</v>
      </c>
      <c r="C14018" t="s">
        <v>75</v>
      </c>
      <c r="D14018" t="s">
        <v>2930</v>
      </c>
      <c r="E14018">
        <f>1/117</f>
        <v>8.5470085470085479E-3</v>
      </c>
      <c r="F14018">
        <v>15</v>
      </c>
      <c r="G14018">
        <f>LOG(382/(15+1))</f>
        <v>1.3779433802557839</v>
      </c>
      <c r="H14018">
        <f>0.00854700854700854*3.17283188636679</f>
        <v>2.7118221250998182E-2</v>
      </c>
      <c r="I14018">
        <v>2.7118221250998241E-2</v>
      </c>
    </row>
    <row r="14019" spans="1:9" x14ac:dyDescent="0.25">
      <c r="A14019">
        <v>481</v>
      </c>
      <c r="B14019" t="s">
        <v>3925</v>
      </c>
      <c r="C14019" t="s">
        <v>75</v>
      </c>
      <c r="D14019" t="s">
        <v>243</v>
      </c>
      <c r="E14019">
        <f>2/117</f>
        <v>1.7094017094017096E-2</v>
      </c>
      <c r="F14019">
        <v>131</v>
      </c>
      <c r="G14019">
        <f>LOG(382/(131+1))</f>
        <v>0.46148943170585888</v>
      </c>
      <c r="H14019">
        <f>0.017094017094017*1.0626186860202</f>
        <v>1.8164421983251182E-2</v>
      </c>
      <c r="I14019">
        <v>1.8164421983251359E-2</v>
      </c>
    </row>
    <row r="14020" spans="1:9" x14ac:dyDescent="0.25">
      <c r="A14020">
        <v>481</v>
      </c>
      <c r="B14020" t="s">
        <v>3925</v>
      </c>
      <c r="C14020" t="s">
        <v>75</v>
      </c>
      <c r="D14020" t="s">
        <v>453</v>
      </c>
      <c r="E14020">
        <f t="shared" ref="E14020:E14026" si="659">1/117</f>
        <v>8.5470085470085479E-3</v>
      </c>
      <c r="F14020">
        <v>68</v>
      </c>
      <c r="G14020">
        <f>LOG(382/(68+1))</f>
        <v>0.74321427217445335</v>
      </c>
      <c r="H14020">
        <f>0.00854700854700854*1.71131410400931</f>
        <v>1.4626616273583833E-2</v>
      </c>
      <c r="I14020">
        <v>1.4626616273583901E-2</v>
      </c>
    </row>
    <row r="14021" spans="1:9" x14ac:dyDescent="0.25">
      <c r="A14021">
        <v>481</v>
      </c>
      <c r="B14021" t="s">
        <v>3925</v>
      </c>
      <c r="C14021" t="s">
        <v>75</v>
      </c>
      <c r="D14021" t="s">
        <v>455</v>
      </c>
      <c r="E14021">
        <f t="shared" si="659"/>
        <v>8.5470085470085479E-3</v>
      </c>
      <c r="F14021">
        <v>78</v>
      </c>
      <c r="G14021">
        <f>LOG(382/(78+1))</f>
        <v>0.6844362716212673</v>
      </c>
      <c r="H14021">
        <f>0.00854700854700854*1.57597275613955</f>
        <v>1.3469852616577339E-2</v>
      </c>
      <c r="I14021">
        <v>1.346985261657738E-2</v>
      </c>
    </row>
    <row r="14022" spans="1:9" x14ac:dyDescent="0.25">
      <c r="A14022">
        <v>481</v>
      </c>
      <c r="B14022" t="s">
        <v>3925</v>
      </c>
      <c r="C14022" t="s">
        <v>75</v>
      </c>
      <c r="D14022" t="s">
        <v>456</v>
      </c>
      <c r="E14022">
        <f t="shared" si="659"/>
        <v>8.5470085470085479E-3</v>
      </c>
      <c r="F14022">
        <v>71</v>
      </c>
      <c r="G14022">
        <f>LOG(382/(71+1))</f>
        <v>0.72473086648044027</v>
      </c>
      <c r="H14022">
        <f>0.00854700854700854*1.66875448959051</f>
        <v>1.4262858885388962E-2</v>
      </c>
      <c r="I14022">
        <v>1.426285888538906E-2</v>
      </c>
    </row>
    <row r="14023" spans="1:9" x14ac:dyDescent="0.25">
      <c r="A14023">
        <v>481</v>
      </c>
      <c r="B14023" t="s">
        <v>3925</v>
      </c>
      <c r="C14023" t="s">
        <v>75</v>
      </c>
      <c r="D14023" t="s">
        <v>1779</v>
      </c>
      <c r="E14023">
        <f t="shared" si="659"/>
        <v>8.5470085470085479E-3</v>
      </c>
      <c r="F14023">
        <v>41</v>
      </c>
      <c r="G14023">
        <f>LOG(382/(41+1))</f>
        <v>0.95881407251380824</v>
      </c>
      <c r="H14023">
        <f>0.00854700854700854*2.2077509903232</f>
        <v>1.8869666583958958E-2</v>
      </c>
      <c r="I14023">
        <v>1.8869666583959031E-2</v>
      </c>
    </row>
    <row r="14024" spans="1:9" x14ac:dyDescent="0.25">
      <c r="A14024">
        <v>481</v>
      </c>
      <c r="B14024" t="s">
        <v>3925</v>
      </c>
      <c r="C14024" t="s">
        <v>75</v>
      </c>
      <c r="D14024" t="s">
        <v>3929</v>
      </c>
      <c r="E14024">
        <f t="shared" si="659"/>
        <v>8.5470085470085479E-3</v>
      </c>
      <c r="F14024">
        <v>1</v>
      </c>
      <c r="G14024">
        <f>LOG(382/(1+1))</f>
        <v>2.2810333672477277</v>
      </c>
      <c r="H14024">
        <f>0.00854700854700854*5.25227342804663</f>
        <v>4.4891225880740383E-2</v>
      </c>
      <c r="I14024">
        <v>4.4891225880740432E-2</v>
      </c>
    </row>
    <row r="14025" spans="1:9" x14ac:dyDescent="0.25">
      <c r="A14025">
        <v>481</v>
      </c>
      <c r="B14025" t="s">
        <v>3925</v>
      </c>
      <c r="C14025" t="s">
        <v>75</v>
      </c>
      <c r="D14025" t="s">
        <v>434</v>
      </c>
      <c r="E14025">
        <f t="shared" si="659"/>
        <v>8.5470085470085479E-3</v>
      </c>
      <c r="F14025">
        <v>97</v>
      </c>
      <c r="G14025">
        <f>LOG(382/(97+1))</f>
        <v>0.59083728721921391</v>
      </c>
      <c r="H14025">
        <f>0.00854700854700854*1.360453129936</f>
        <v>1.1627804529367512E-2</v>
      </c>
      <c r="I14025">
        <v>1.162780452936755E-2</v>
      </c>
    </row>
    <row r="14026" spans="1:9" x14ac:dyDescent="0.25">
      <c r="A14026">
        <v>481</v>
      </c>
      <c r="B14026" t="s">
        <v>3925</v>
      </c>
      <c r="C14026" t="s">
        <v>75</v>
      </c>
      <c r="D14026" t="s">
        <v>3325</v>
      </c>
      <c r="E14026">
        <f t="shared" si="659"/>
        <v>8.5470085470085479E-3</v>
      </c>
      <c r="F14026">
        <v>19</v>
      </c>
      <c r="G14026">
        <f>LOG(382/(19+1))</f>
        <v>1.2810333672477277</v>
      </c>
      <c r="H14026">
        <f>0.00854700854700854*2.94968833505258</f>
        <v>2.5211011410705787E-2</v>
      </c>
      <c r="I14026">
        <v>2.521101141070585E-2</v>
      </c>
    </row>
    <row r="14027" spans="1:9" x14ac:dyDescent="0.25">
      <c r="A14027">
        <v>481</v>
      </c>
      <c r="B14027" t="s">
        <v>3925</v>
      </c>
      <c r="C14027" t="s">
        <v>75</v>
      </c>
      <c r="D14027" t="s">
        <v>149</v>
      </c>
      <c r="E14027">
        <f>4/117</f>
        <v>3.4188034188034191E-2</v>
      </c>
      <c r="F14027">
        <v>35</v>
      </c>
      <c r="G14027">
        <f>LOG(382/(35+1))</f>
        <v>1.0257608621444214</v>
      </c>
      <c r="H14027">
        <f>0.0341880341880341*2.36190167015046</f>
        <v>8.0748775047878765E-2</v>
      </c>
      <c r="I14027">
        <v>8.0748775047879154E-2</v>
      </c>
    </row>
    <row r="14028" spans="1:9" x14ac:dyDescent="0.25">
      <c r="A14028">
        <v>481</v>
      </c>
      <c r="B14028" t="s">
        <v>3925</v>
      </c>
      <c r="C14028" t="s">
        <v>75</v>
      </c>
      <c r="D14028" t="s">
        <v>3401</v>
      </c>
      <c r="E14028">
        <f>2/117</f>
        <v>1.7094017094017096E-2</v>
      </c>
      <c r="F14028">
        <v>8</v>
      </c>
      <c r="G14028">
        <f>LOG(382/(8+1))</f>
        <v>1.6278208534723839</v>
      </c>
      <c r="H14028">
        <f>0.017094017094017*3.74819603127035</f>
        <v>6.4071727030262038E-2</v>
      </c>
      <c r="I14028">
        <v>6.4071727030262496E-2</v>
      </c>
    </row>
    <row r="14029" spans="1:9" x14ac:dyDescent="0.25">
      <c r="A14029">
        <v>481</v>
      </c>
      <c r="B14029" t="s">
        <v>3925</v>
      </c>
      <c r="C14029" t="s">
        <v>75</v>
      </c>
      <c r="D14029" t="s">
        <v>850</v>
      </c>
      <c r="E14029">
        <f>1/117</f>
        <v>8.5470085470085479E-3</v>
      </c>
      <c r="F14029">
        <v>14</v>
      </c>
      <c r="G14029">
        <f>LOG(382/(14+1))</f>
        <v>1.4059721038560276</v>
      </c>
      <c r="H14029">
        <f>0.00854700854700854*3.23737040750436</f>
        <v>2.766983254277228E-2</v>
      </c>
      <c r="I14029">
        <v>2.766983254277236E-2</v>
      </c>
    </row>
    <row r="14030" spans="1:9" x14ac:dyDescent="0.25">
      <c r="A14030">
        <v>481</v>
      </c>
      <c r="B14030" t="s">
        <v>3925</v>
      </c>
      <c r="C14030" t="s">
        <v>75</v>
      </c>
      <c r="D14030" t="s">
        <v>673</v>
      </c>
      <c r="E14030">
        <f>3/117</f>
        <v>2.564102564102564E-2</v>
      </c>
      <c r="F14030">
        <v>16</v>
      </c>
      <c r="G14030">
        <f>LOG(382/(16+1))</f>
        <v>1.3516144415334348</v>
      </c>
      <c r="H14030">
        <f>0.0256410256410256*3.11220726455035</f>
        <v>7.9800186270521656E-2</v>
      </c>
      <c r="I14030">
        <v>7.9800186270522031E-2</v>
      </c>
    </row>
    <row r="14031" spans="1:9" x14ac:dyDescent="0.25">
      <c r="A14031">
        <v>481</v>
      </c>
      <c r="B14031" t="s">
        <v>3925</v>
      </c>
      <c r="C14031" t="s">
        <v>75</v>
      </c>
      <c r="D14031" t="s">
        <v>214</v>
      </c>
      <c r="E14031">
        <f>4/117</f>
        <v>3.4188034188034191E-2</v>
      </c>
      <c r="F14031">
        <v>68</v>
      </c>
      <c r="G14031">
        <f>LOG(382/(68+1))</f>
        <v>0.74321427217445335</v>
      </c>
      <c r="H14031">
        <f>0.0341880341880341*1.71131410400931</f>
        <v>5.8506465094335235E-2</v>
      </c>
      <c r="I14031">
        <v>5.8506465094335589E-2</v>
      </c>
    </row>
    <row r="14032" spans="1:9" x14ac:dyDescent="0.25">
      <c r="A14032">
        <v>481</v>
      </c>
      <c r="B14032" t="s">
        <v>3925</v>
      </c>
      <c r="C14032" t="s">
        <v>75</v>
      </c>
      <c r="D14032" t="s">
        <v>210</v>
      </c>
      <c r="E14032">
        <f t="shared" ref="E14032:E14044" si="660">1/117</f>
        <v>8.5470085470085479E-3</v>
      </c>
      <c r="F14032">
        <v>9</v>
      </c>
      <c r="G14032">
        <f>LOG(382/(9+1))</f>
        <v>1.5820633629117087</v>
      </c>
      <c r="H14032">
        <f>0.00854700854700854*3.64283551561252</f>
        <v>3.1135346287286467E-2</v>
      </c>
      <c r="I14032">
        <v>3.1135346287286581E-2</v>
      </c>
    </row>
    <row r="14033" spans="1:9" x14ac:dyDescent="0.25">
      <c r="A14033">
        <v>481</v>
      </c>
      <c r="B14033" t="s">
        <v>3925</v>
      </c>
      <c r="C14033" t="s">
        <v>75</v>
      </c>
      <c r="D14033" t="s">
        <v>2241</v>
      </c>
      <c r="E14033">
        <f t="shared" si="660"/>
        <v>8.5470085470085479E-3</v>
      </c>
      <c r="F14033">
        <v>12</v>
      </c>
      <c r="G14033">
        <f>LOG(382/(12+1))</f>
        <v>1.468120010604872</v>
      </c>
      <c r="H14033">
        <f>0.00854700854700854*3.38047125114503</f>
        <v>2.8892916676453221E-2</v>
      </c>
      <c r="I14033">
        <v>2.8892916676453329E-2</v>
      </c>
    </row>
    <row r="14034" spans="1:9" x14ac:dyDescent="0.25">
      <c r="A14034">
        <v>481</v>
      </c>
      <c r="B14034" t="s">
        <v>3925</v>
      </c>
      <c r="C14034" t="s">
        <v>75</v>
      </c>
      <c r="D14034" t="s">
        <v>3930</v>
      </c>
      <c r="E14034">
        <f t="shared" si="660"/>
        <v>8.5470085470085479E-3</v>
      </c>
      <c r="F14034">
        <v>1</v>
      </c>
      <c r="G14034">
        <f>LOG(382/(1+1))</f>
        <v>2.2810333672477277</v>
      </c>
      <c r="H14034">
        <f>0.00854700854700854*5.25227342804663</f>
        <v>4.4891225880740383E-2</v>
      </c>
      <c r="I14034">
        <v>4.4891225880740432E-2</v>
      </c>
    </row>
    <row r="14035" spans="1:9" x14ac:dyDescent="0.25">
      <c r="A14035">
        <v>481</v>
      </c>
      <c r="B14035" t="s">
        <v>3925</v>
      </c>
      <c r="C14035" t="s">
        <v>75</v>
      </c>
      <c r="D14035" t="s">
        <v>1393</v>
      </c>
      <c r="E14035">
        <f t="shared" si="660"/>
        <v>8.5470085470085479E-3</v>
      </c>
      <c r="F14035">
        <v>2</v>
      </c>
      <c r="G14035">
        <f>LOG(382/(2+1))</f>
        <v>2.1049421081920463</v>
      </c>
      <c r="H14035">
        <f>0.00854700854700854*4.84680831993846</f>
        <v>4.1425712136226117E-2</v>
      </c>
      <c r="I14035">
        <v>4.14257121362262E-2</v>
      </c>
    </row>
    <row r="14036" spans="1:9" x14ac:dyDescent="0.25">
      <c r="A14036">
        <v>481</v>
      </c>
      <c r="B14036" t="s">
        <v>3925</v>
      </c>
      <c r="C14036" t="s">
        <v>75</v>
      </c>
      <c r="D14036" t="s">
        <v>1633</v>
      </c>
      <c r="E14036">
        <f t="shared" si="660"/>
        <v>8.5470085470085479E-3</v>
      </c>
      <c r="F14036">
        <v>18</v>
      </c>
      <c r="G14036">
        <f>LOG(382/(18+1))</f>
        <v>1.3033097619588798</v>
      </c>
      <c r="H14036">
        <f>0.00854700854700854*3.00098162944013</f>
        <v>2.5649415636240406E-2</v>
      </c>
      <c r="I14036">
        <v>2.5649415636240468E-2</v>
      </c>
    </row>
    <row r="14037" spans="1:9" x14ac:dyDescent="0.25">
      <c r="A14037">
        <v>481</v>
      </c>
      <c r="B14037" t="s">
        <v>3925</v>
      </c>
      <c r="C14037" t="s">
        <v>75</v>
      </c>
      <c r="D14037" t="s">
        <v>3931</v>
      </c>
      <c r="E14037">
        <f t="shared" si="660"/>
        <v>8.5470085470085479E-3</v>
      </c>
      <c r="F14037">
        <v>1</v>
      </c>
      <c r="G14037">
        <f>LOG(382/(1+1))</f>
        <v>2.2810333672477277</v>
      </c>
      <c r="H14037">
        <f>0.00854700854700854*5.25227342804663</f>
        <v>4.4891225880740383E-2</v>
      </c>
      <c r="I14037">
        <v>4.4891225880740432E-2</v>
      </c>
    </row>
    <row r="14038" spans="1:9" x14ac:dyDescent="0.25">
      <c r="A14038">
        <v>481</v>
      </c>
      <c r="B14038" t="s">
        <v>3925</v>
      </c>
      <c r="C14038" t="s">
        <v>75</v>
      </c>
      <c r="D14038" t="s">
        <v>322</v>
      </c>
      <c r="E14038">
        <f t="shared" si="660"/>
        <v>8.5470085470085479E-3</v>
      </c>
      <c r="F14038">
        <v>128</v>
      </c>
      <c r="G14038">
        <f>LOG(382/(128+1))</f>
        <v>0.47147365261245977</v>
      </c>
      <c r="H14038">
        <f>0.00854700854700854*1.0856082042449</f>
        <v>9.2787026003837529E-3</v>
      </c>
      <c r="I14038">
        <v>9.2787026003837876E-3</v>
      </c>
    </row>
    <row r="14039" spans="1:9" x14ac:dyDescent="0.25">
      <c r="A14039">
        <v>481</v>
      </c>
      <c r="B14039" t="s">
        <v>3925</v>
      </c>
      <c r="C14039" t="s">
        <v>75</v>
      </c>
      <c r="D14039" t="s">
        <v>1747</v>
      </c>
      <c r="E14039">
        <f t="shared" si="660"/>
        <v>8.5470085470085479E-3</v>
      </c>
      <c r="F14039">
        <v>4</v>
      </c>
      <c r="G14039">
        <f>LOG(382/(4+1))</f>
        <v>1.8830933585756899</v>
      </c>
      <c r="H14039">
        <f>0.00854700854700854*4.33598269617247</f>
        <v>3.7059681163867236E-2</v>
      </c>
      <c r="I14039">
        <v>3.7059681163867313E-2</v>
      </c>
    </row>
    <row r="14040" spans="1:9" x14ac:dyDescent="0.25">
      <c r="A14040">
        <v>481</v>
      </c>
      <c r="B14040" t="s">
        <v>3925</v>
      </c>
      <c r="C14040" t="s">
        <v>75</v>
      </c>
      <c r="D14040" t="s">
        <v>1168</v>
      </c>
      <c r="E14040">
        <f t="shared" si="660"/>
        <v>8.5470085470085479E-3</v>
      </c>
      <c r="F14040">
        <v>5</v>
      </c>
      <c r="G14040">
        <f>LOG(382/(5+1))</f>
        <v>1.803912112528065</v>
      </c>
      <c r="H14040">
        <f>0.00854700854700854*4.15366113937852</f>
        <v>3.5501377259645438E-2</v>
      </c>
      <c r="I14040">
        <v>3.5501377259645472E-2</v>
      </c>
    </row>
    <row r="14041" spans="1:9" x14ac:dyDescent="0.25">
      <c r="A14041">
        <v>481</v>
      </c>
      <c r="B14041" t="s">
        <v>3925</v>
      </c>
      <c r="C14041" t="s">
        <v>75</v>
      </c>
      <c r="D14041" t="s">
        <v>3327</v>
      </c>
      <c r="E14041">
        <f t="shared" si="660"/>
        <v>8.5470085470085479E-3</v>
      </c>
      <c r="F14041">
        <v>21</v>
      </c>
      <c r="G14041">
        <f>LOG(382/(21+1))</f>
        <v>1.2396406820895025</v>
      </c>
      <c r="H14041">
        <f>0.00854700854700854*2.85437815524825</f>
        <v>2.4396394489301258E-2</v>
      </c>
      <c r="I14041">
        <v>2.4396394489301362E-2</v>
      </c>
    </row>
    <row r="14042" spans="1:9" x14ac:dyDescent="0.25">
      <c r="A14042">
        <v>481</v>
      </c>
      <c r="B14042" t="s">
        <v>3925</v>
      </c>
      <c r="C14042" t="s">
        <v>75</v>
      </c>
      <c r="D14042" t="s">
        <v>3636</v>
      </c>
      <c r="E14042">
        <f t="shared" si="660"/>
        <v>8.5470085470085479E-3</v>
      </c>
      <c r="F14042">
        <v>3</v>
      </c>
      <c r="G14042">
        <f>LOG(382/(3+1))</f>
        <v>1.9800033715837464</v>
      </c>
      <c r="H14042">
        <f>0.00854700854700854*4.55912624748668</f>
        <v>3.8966891004159621E-2</v>
      </c>
      <c r="I14042">
        <v>3.8966891004159697E-2</v>
      </c>
    </row>
    <row r="14043" spans="1:9" x14ac:dyDescent="0.25">
      <c r="A14043">
        <v>481</v>
      </c>
      <c r="B14043" t="s">
        <v>3925</v>
      </c>
      <c r="C14043" t="s">
        <v>75</v>
      </c>
      <c r="D14043" t="s">
        <v>424</v>
      </c>
      <c r="E14043">
        <f t="shared" si="660"/>
        <v>8.5470085470085479E-3</v>
      </c>
      <c r="F14043">
        <v>3</v>
      </c>
      <c r="G14043">
        <f>LOG(382/(3+1))</f>
        <v>1.9800033715837464</v>
      </c>
      <c r="H14043">
        <f>0.00854700854700854*4.55912624748668</f>
        <v>3.8966891004159621E-2</v>
      </c>
      <c r="I14043">
        <v>3.8966891004159697E-2</v>
      </c>
    </row>
    <row r="14044" spans="1:9" x14ac:dyDescent="0.25">
      <c r="A14044">
        <v>481</v>
      </c>
      <c r="B14044" t="s">
        <v>3925</v>
      </c>
      <c r="C14044" t="s">
        <v>75</v>
      </c>
      <c r="D14044" t="s">
        <v>248</v>
      </c>
      <c r="E14044">
        <f t="shared" si="660"/>
        <v>8.5470085470085479E-3</v>
      </c>
      <c r="F14044">
        <v>7</v>
      </c>
      <c r="G14044">
        <f>LOG(382/(7+1))</f>
        <v>1.6789733759197651</v>
      </c>
      <c r="H14044">
        <f>0.00854700854700854*3.86597906692673</f>
        <v>3.3042556127578858E-2</v>
      </c>
      <c r="I14044">
        <v>3.3042556127578969E-2</v>
      </c>
    </row>
    <row r="14045" spans="1:9" x14ac:dyDescent="0.25">
      <c r="A14045">
        <v>481</v>
      </c>
      <c r="B14045" t="s">
        <v>3925</v>
      </c>
      <c r="C14045" t="s">
        <v>75</v>
      </c>
      <c r="D14045" t="s">
        <v>196</v>
      </c>
      <c r="E14045">
        <f t="shared" ref="E14045:E14051" si="661">2/117</f>
        <v>1.7094017094017096E-2</v>
      </c>
      <c r="F14045">
        <v>33</v>
      </c>
      <c r="G14045">
        <f>LOG(382/(33+1))</f>
        <v>1.0505844458694535</v>
      </c>
      <c r="H14045">
        <f>0.017094017094017*2.41906008399041</f>
        <v>4.1351454427186268E-2</v>
      </c>
      <c r="I14045">
        <v>4.1351454427186567E-2</v>
      </c>
    </row>
    <row r="14046" spans="1:9" x14ac:dyDescent="0.25">
      <c r="A14046">
        <v>481</v>
      </c>
      <c r="B14046" t="s">
        <v>3925</v>
      </c>
      <c r="C14046" t="s">
        <v>75</v>
      </c>
      <c r="D14046" t="s">
        <v>666</v>
      </c>
      <c r="E14046">
        <f t="shared" si="661"/>
        <v>1.7094017094017096E-2</v>
      </c>
      <c r="F14046">
        <v>9</v>
      </c>
      <c r="G14046">
        <f>LOG(382/(9+1))</f>
        <v>1.5820633629117087</v>
      </c>
      <c r="H14046">
        <f>0.017094017094017*3.64283551561252</f>
        <v>6.2270692574572642E-2</v>
      </c>
      <c r="I14046">
        <v>6.2270692574573162E-2</v>
      </c>
    </row>
    <row r="14047" spans="1:9" x14ac:dyDescent="0.25">
      <c r="A14047">
        <v>481</v>
      </c>
      <c r="B14047" t="s">
        <v>3925</v>
      </c>
      <c r="C14047" t="s">
        <v>75</v>
      </c>
      <c r="D14047" t="s">
        <v>3932</v>
      </c>
      <c r="E14047">
        <f t="shared" si="661"/>
        <v>1.7094017094017096E-2</v>
      </c>
      <c r="F14047">
        <v>1</v>
      </c>
      <c r="G14047">
        <f>LOG(382/(1+1))</f>
        <v>2.2810333672477277</v>
      </c>
      <c r="H14047">
        <f>0.017094017094017*5.25227342804663</f>
        <v>8.978245176148035E-2</v>
      </c>
      <c r="I14047">
        <v>8.9782451761480864E-2</v>
      </c>
    </row>
    <row r="14048" spans="1:9" x14ac:dyDescent="0.25">
      <c r="A14048">
        <v>481</v>
      </c>
      <c r="B14048" t="s">
        <v>3925</v>
      </c>
      <c r="C14048" t="s">
        <v>75</v>
      </c>
      <c r="D14048" t="s">
        <v>3057</v>
      </c>
      <c r="E14048">
        <f t="shared" si="661"/>
        <v>1.7094017094017096E-2</v>
      </c>
      <c r="F14048">
        <v>7</v>
      </c>
      <c r="G14048">
        <f>LOG(382/(7+1))</f>
        <v>1.6789733759197651</v>
      </c>
      <c r="H14048">
        <f>0.017094017094017*3.86597906692673</f>
        <v>6.608511225515741E-2</v>
      </c>
      <c r="I14048">
        <v>6.6085112255157938E-2</v>
      </c>
    </row>
    <row r="14049" spans="1:9" x14ac:dyDescent="0.25">
      <c r="A14049">
        <v>481</v>
      </c>
      <c r="B14049" t="s">
        <v>3925</v>
      </c>
      <c r="C14049" t="s">
        <v>75</v>
      </c>
      <c r="D14049" t="s">
        <v>3933</v>
      </c>
      <c r="E14049">
        <f t="shared" si="661"/>
        <v>1.7094017094017096E-2</v>
      </c>
      <c r="F14049">
        <v>1</v>
      </c>
      <c r="G14049">
        <f>LOG(382/(1+1))</f>
        <v>2.2810333672477277</v>
      </c>
      <c r="H14049">
        <f>0.017094017094017*5.25227342804663</f>
        <v>8.978245176148035E-2</v>
      </c>
      <c r="I14049">
        <v>8.9782451761480864E-2</v>
      </c>
    </row>
    <row r="14050" spans="1:9" x14ac:dyDescent="0.25">
      <c r="A14050">
        <v>481</v>
      </c>
      <c r="B14050" t="s">
        <v>3925</v>
      </c>
      <c r="C14050" t="s">
        <v>75</v>
      </c>
      <c r="D14050" t="s">
        <v>232</v>
      </c>
      <c r="E14050">
        <f t="shared" si="661"/>
        <v>1.7094017094017096E-2</v>
      </c>
      <c r="F14050">
        <v>5</v>
      </c>
      <c r="G14050">
        <f>LOG(382/(5+1))</f>
        <v>1.803912112528065</v>
      </c>
      <c r="H14050">
        <f>0.017094017094017*4.15366113937852</f>
        <v>7.1002754519290542E-2</v>
      </c>
      <c r="I14050">
        <v>7.1002754519290945E-2</v>
      </c>
    </row>
    <row r="14051" spans="1:9" x14ac:dyDescent="0.25">
      <c r="A14051">
        <v>481</v>
      </c>
      <c r="B14051" t="s">
        <v>3925</v>
      </c>
      <c r="C14051" t="s">
        <v>75</v>
      </c>
      <c r="D14051" t="s">
        <v>198</v>
      </c>
      <c r="E14051">
        <f t="shared" si="661"/>
        <v>1.7094017094017096E-2</v>
      </c>
      <c r="F14051">
        <v>11</v>
      </c>
      <c r="G14051">
        <f>LOG(382/(11+1))</f>
        <v>1.5028821168640838</v>
      </c>
      <c r="H14051">
        <f>0.017094017094017*3.46051395881857</f>
        <v>5.9154084766129073E-2</v>
      </c>
      <c r="I14051">
        <v>5.9154084766129489E-2</v>
      </c>
    </row>
    <row r="14052" spans="1:9" x14ac:dyDescent="0.25">
      <c r="A14052">
        <v>481</v>
      </c>
      <c r="B14052" t="s">
        <v>3925</v>
      </c>
      <c r="C14052" t="s">
        <v>75</v>
      </c>
      <c r="D14052" t="s">
        <v>3934</v>
      </c>
      <c r="E14052">
        <f t="shared" ref="E14052:E14064" si="662">1/117</f>
        <v>8.5470085470085479E-3</v>
      </c>
      <c r="F14052">
        <v>3</v>
      </c>
      <c r="G14052">
        <f>LOG(382/(3+1))</f>
        <v>1.9800033715837464</v>
      </c>
      <c r="H14052">
        <f>0.00854700854700854*4.55912624748668</f>
        <v>3.8966891004159621E-2</v>
      </c>
      <c r="I14052">
        <v>3.8966891004159697E-2</v>
      </c>
    </row>
    <row r="14053" spans="1:9" x14ac:dyDescent="0.25">
      <c r="A14053">
        <v>481</v>
      </c>
      <c r="B14053" t="s">
        <v>3925</v>
      </c>
      <c r="C14053" t="s">
        <v>75</v>
      </c>
      <c r="D14053" t="s">
        <v>3935</v>
      </c>
      <c r="E14053">
        <f t="shared" si="662"/>
        <v>8.5470085470085479E-3</v>
      </c>
      <c r="F14053">
        <v>1</v>
      </c>
      <c r="G14053">
        <f>LOG(382/(1+1))</f>
        <v>2.2810333672477277</v>
      </c>
      <c r="H14053">
        <f>0.00854700854700854*5.25227342804663</f>
        <v>4.4891225880740383E-2</v>
      </c>
      <c r="I14053">
        <v>4.4891225880740432E-2</v>
      </c>
    </row>
    <row r="14054" spans="1:9" x14ac:dyDescent="0.25">
      <c r="A14054">
        <v>481</v>
      </c>
      <c r="B14054" t="s">
        <v>3925</v>
      </c>
      <c r="C14054" t="s">
        <v>75</v>
      </c>
      <c r="D14054" t="s">
        <v>3936</v>
      </c>
      <c r="E14054">
        <f t="shared" si="662"/>
        <v>8.5470085470085479E-3</v>
      </c>
      <c r="F14054">
        <v>1</v>
      </c>
      <c r="G14054">
        <f>LOG(382/(1+1))</f>
        <v>2.2810333672477277</v>
      </c>
      <c r="H14054">
        <f>0.00854700854700854*5.25227342804663</f>
        <v>4.4891225880740383E-2</v>
      </c>
      <c r="I14054">
        <v>4.4891225880740432E-2</v>
      </c>
    </row>
    <row r="14055" spans="1:9" x14ac:dyDescent="0.25">
      <c r="A14055">
        <v>481</v>
      </c>
      <c r="B14055" t="s">
        <v>3925</v>
      </c>
      <c r="C14055" t="s">
        <v>75</v>
      </c>
      <c r="D14055" t="s">
        <v>676</v>
      </c>
      <c r="E14055">
        <f t="shared" si="662"/>
        <v>8.5470085470085479E-3</v>
      </c>
      <c r="F14055">
        <v>20</v>
      </c>
      <c r="G14055">
        <f>LOG(382/(20+1))</f>
        <v>1.2598440681777894</v>
      </c>
      <c r="H14055">
        <f>0.00854700854700854*2.90089817088315</f>
        <v>2.479400146053972E-2</v>
      </c>
      <c r="I14055">
        <v>2.4794001460539769E-2</v>
      </c>
    </row>
    <row r="14056" spans="1:9" x14ac:dyDescent="0.25">
      <c r="A14056">
        <v>481</v>
      </c>
      <c r="B14056" t="s">
        <v>3925</v>
      </c>
      <c r="C14056" t="s">
        <v>75</v>
      </c>
      <c r="D14056" t="s">
        <v>3937</v>
      </c>
      <c r="E14056">
        <f t="shared" si="662"/>
        <v>8.5470085470085479E-3</v>
      </c>
      <c r="F14056">
        <v>1</v>
      </c>
      <c r="G14056">
        <f>LOG(382/(1+1))</f>
        <v>2.2810333672477277</v>
      </c>
      <c r="H14056">
        <f>0.00854700854700854*5.25227342804663</f>
        <v>4.4891225880740383E-2</v>
      </c>
      <c r="I14056">
        <v>4.4891225880740432E-2</v>
      </c>
    </row>
    <row r="14057" spans="1:9" x14ac:dyDescent="0.25">
      <c r="A14057">
        <v>481</v>
      </c>
      <c r="B14057" t="s">
        <v>3925</v>
      </c>
      <c r="C14057" t="s">
        <v>75</v>
      </c>
      <c r="D14057" t="s">
        <v>237</v>
      </c>
      <c r="E14057">
        <f t="shared" si="662"/>
        <v>8.5470085470085479E-3</v>
      </c>
      <c r="F14057">
        <v>138</v>
      </c>
      <c r="G14057">
        <f>LOG(382/(138+1))</f>
        <v>0.43904856265761361</v>
      </c>
      <c r="H14057">
        <f>0.00854700854700854*1.01094667547588</f>
        <v>8.6405698758622151E-3</v>
      </c>
      <c r="I14057">
        <v>8.6405698758622515E-3</v>
      </c>
    </row>
    <row r="14058" spans="1:9" x14ac:dyDescent="0.25">
      <c r="A14058">
        <v>481</v>
      </c>
      <c r="B14058" t="s">
        <v>3925</v>
      </c>
      <c r="C14058" t="s">
        <v>75</v>
      </c>
      <c r="D14058" t="s">
        <v>887</v>
      </c>
      <c r="E14058">
        <f t="shared" si="662"/>
        <v>8.5470085470085479E-3</v>
      </c>
      <c r="F14058">
        <v>12</v>
      </c>
      <c r="G14058">
        <f>LOG(382/(12+1))</f>
        <v>1.468120010604872</v>
      </c>
      <c r="H14058">
        <f>0.00854700854700854*3.38047125114503</f>
        <v>2.8892916676453221E-2</v>
      </c>
      <c r="I14058">
        <v>2.8892916676453329E-2</v>
      </c>
    </row>
    <row r="14059" spans="1:9" x14ac:dyDescent="0.25">
      <c r="A14059">
        <v>481</v>
      </c>
      <c r="B14059" t="s">
        <v>3925</v>
      </c>
      <c r="C14059" t="s">
        <v>75</v>
      </c>
      <c r="D14059" t="s">
        <v>888</v>
      </c>
      <c r="E14059">
        <f t="shared" si="662"/>
        <v>8.5470085470085479E-3</v>
      </c>
      <c r="F14059">
        <v>21</v>
      </c>
      <c r="G14059">
        <f>LOG(382/(21+1))</f>
        <v>1.2396406820895025</v>
      </c>
      <c r="H14059">
        <f>0.00854700854700854*2.85437815524825</f>
        <v>2.4396394489301258E-2</v>
      </c>
      <c r="I14059">
        <v>2.4396394489301362E-2</v>
      </c>
    </row>
    <row r="14060" spans="1:9" x14ac:dyDescent="0.25">
      <c r="A14060">
        <v>481</v>
      </c>
      <c r="B14060" t="s">
        <v>3925</v>
      </c>
      <c r="C14060" t="s">
        <v>75</v>
      </c>
      <c r="D14060" t="s">
        <v>3938</v>
      </c>
      <c r="E14060">
        <f t="shared" si="662"/>
        <v>8.5470085470085479E-3</v>
      </c>
      <c r="F14060">
        <v>1</v>
      </c>
      <c r="G14060">
        <f>LOG(382/(1+1))</f>
        <v>2.2810333672477277</v>
      </c>
      <c r="H14060">
        <f>0.00854700854700854*5.25227342804663</f>
        <v>4.4891225880740383E-2</v>
      </c>
      <c r="I14060">
        <v>4.4891225880740432E-2</v>
      </c>
    </row>
    <row r="14061" spans="1:9" x14ac:dyDescent="0.25">
      <c r="A14061">
        <v>481</v>
      </c>
      <c r="B14061" t="s">
        <v>3925</v>
      </c>
      <c r="C14061" t="s">
        <v>75</v>
      </c>
      <c r="D14061" t="s">
        <v>836</v>
      </c>
      <c r="E14061">
        <f t="shared" si="662"/>
        <v>8.5470085470085479E-3</v>
      </c>
      <c r="F14061">
        <v>21</v>
      </c>
      <c r="G14061">
        <f>LOG(382/(21+1))</f>
        <v>1.2396406820895025</v>
      </c>
      <c r="H14061">
        <f>0.00854700854700854*2.85437815524825</f>
        <v>2.4396394489301258E-2</v>
      </c>
      <c r="I14061">
        <v>2.4396394489301362E-2</v>
      </c>
    </row>
    <row r="14062" spans="1:9" x14ac:dyDescent="0.25">
      <c r="A14062">
        <v>481</v>
      </c>
      <c r="B14062" t="s">
        <v>3925</v>
      </c>
      <c r="C14062" t="s">
        <v>75</v>
      </c>
      <c r="D14062" t="s">
        <v>3939</v>
      </c>
      <c r="E14062">
        <f t="shared" si="662"/>
        <v>8.5470085470085479E-3</v>
      </c>
      <c r="F14062">
        <v>1</v>
      </c>
      <c r="G14062">
        <f>LOG(382/(1+1))</f>
        <v>2.2810333672477277</v>
      </c>
      <c r="H14062">
        <f>0.00854700854700854*5.25227342804663</f>
        <v>4.4891225880740383E-2</v>
      </c>
      <c r="I14062">
        <v>4.4891225880740432E-2</v>
      </c>
    </row>
    <row r="14063" spans="1:9" x14ac:dyDescent="0.25">
      <c r="A14063">
        <v>481</v>
      </c>
      <c r="B14063" t="s">
        <v>3925</v>
      </c>
      <c r="C14063" t="s">
        <v>75</v>
      </c>
      <c r="D14063" t="s">
        <v>78</v>
      </c>
      <c r="E14063">
        <f t="shared" si="662"/>
        <v>8.5470085470085479E-3</v>
      </c>
      <c r="F14063">
        <v>122</v>
      </c>
      <c r="G14063">
        <f>LOG(382/(122+1))</f>
        <v>0.49215825147231079</v>
      </c>
      <c r="H14063">
        <f>0.00854700854700854*1.13323625323415</f>
        <v>9.6857799421722138E-3</v>
      </c>
      <c r="I14063">
        <v>9.6857799421722884E-3</v>
      </c>
    </row>
    <row r="14064" spans="1:9" x14ac:dyDescent="0.25">
      <c r="A14064">
        <v>481</v>
      </c>
      <c r="B14064" t="s">
        <v>3925</v>
      </c>
      <c r="C14064" t="s">
        <v>75</v>
      </c>
      <c r="D14064" t="s">
        <v>123</v>
      </c>
      <c r="E14064">
        <f t="shared" si="662"/>
        <v>8.5470085470085479E-3</v>
      </c>
      <c r="F14064">
        <v>74</v>
      </c>
      <c r="G14064">
        <f>LOG(382/(74+1))</f>
        <v>0.7070020995200087</v>
      </c>
      <c r="H14064">
        <f>0.00854700854700854*1.62793249507026</f>
        <v>1.3913952949318449E-2</v>
      </c>
      <c r="I14064">
        <v>1.3913952949318501E-2</v>
      </c>
    </row>
    <row r="14065" spans="1:9" x14ac:dyDescent="0.25">
      <c r="A14065">
        <v>482</v>
      </c>
      <c r="B14065" t="s">
        <v>3940</v>
      </c>
      <c r="C14065" t="s">
        <v>75</v>
      </c>
      <c r="D14065" t="s">
        <v>3941</v>
      </c>
      <c r="E14065">
        <f>2/83</f>
        <v>2.4096385542168676E-2</v>
      </c>
      <c r="F14065">
        <v>1</v>
      </c>
      <c r="G14065">
        <f>LOG(382/(1+1))</f>
        <v>2.2810333672477277</v>
      </c>
      <c r="H14065">
        <f>0.0240963855421686*5.25227342804663</f>
        <v>0.12656080549509913</v>
      </c>
      <c r="I14065">
        <v>0.12656080549509949</v>
      </c>
    </row>
    <row r="14066" spans="1:9" x14ac:dyDescent="0.25">
      <c r="A14066">
        <v>482</v>
      </c>
      <c r="B14066" t="s">
        <v>3940</v>
      </c>
      <c r="C14066" t="s">
        <v>75</v>
      </c>
      <c r="D14066" t="s">
        <v>1765</v>
      </c>
      <c r="E14066">
        <f>2/83</f>
        <v>2.4096385542168676E-2</v>
      </c>
      <c r="F14066">
        <v>14</v>
      </c>
      <c r="G14066">
        <f>LOG(382/(14+1))</f>
        <v>1.4059721038560276</v>
      </c>
      <c r="H14066">
        <f>0.0240963855421686*3.23737040750436</f>
        <v>7.8008925482032532E-2</v>
      </c>
      <c r="I14066">
        <v>7.8008925482032906E-2</v>
      </c>
    </row>
    <row r="14067" spans="1:9" x14ac:dyDescent="0.25">
      <c r="A14067">
        <v>482</v>
      </c>
      <c r="B14067" t="s">
        <v>3940</v>
      </c>
      <c r="C14067" t="s">
        <v>75</v>
      </c>
      <c r="D14067" t="s">
        <v>42</v>
      </c>
      <c r="E14067">
        <f>1/83</f>
        <v>1.2048192771084338E-2</v>
      </c>
      <c r="F14067">
        <v>251</v>
      </c>
      <c r="G14067">
        <f>LOG(382/(251+1))</f>
        <v>0.18066282213016463</v>
      </c>
      <c r="H14067">
        <f>0.0120481927710843*0.415991521095151</f>
        <v>5.01194603729096E-3</v>
      </c>
      <c r="I14067">
        <v>5.0119460372909869E-3</v>
      </c>
    </row>
    <row r="14068" spans="1:9" x14ac:dyDescent="0.25">
      <c r="A14068">
        <v>482</v>
      </c>
      <c r="B14068" t="s">
        <v>3940</v>
      </c>
      <c r="C14068" t="s">
        <v>75</v>
      </c>
      <c r="D14068" t="s">
        <v>1496</v>
      </c>
      <c r="E14068">
        <f>1/83</f>
        <v>1.2048192771084338E-2</v>
      </c>
      <c r="F14068">
        <v>39</v>
      </c>
      <c r="G14068">
        <f>LOG(382/(39+1))</f>
        <v>0.9800033715837464</v>
      </c>
      <c r="H14068">
        <f>0.0120481927710843*2.25654115449263</f>
        <v>2.7187242825212326E-2</v>
      </c>
      <c r="I14068">
        <v>2.718724282521252E-2</v>
      </c>
    </row>
    <row r="14069" spans="1:9" x14ac:dyDescent="0.25">
      <c r="A14069">
        <v>482</v>
      </c>
      <c r="B14069" t="s">
        <v>3940</v>
      </c>
      <c r="C14069" t="s">
        <v>75</v>
      </c>
      <c r="D14069" t="s">
        <v>674</v>
      </c>
      <c r="E14069">
        <f>1/83</f>
        <v>1.2048192771084338E-2</v>
      </c>
      <c r="F14069">
        <v>11</v>
      </c>
      <c r="G14069">
        <f>LOG(382/(11+1))</f>
        <v>1.5028821168640838</v>
      </c>
      <c r="H14069">
        <f>0.0120481927710843*3.46051395881857</f>
        <v>4.1692939262874207E-2</v>
      </c>
      <c r="I14069">
        <v>4.1692939262874401E-2</v>
      </c>
    </row>
    <row r="14070" spans="1:9" x14ac:dyDescent="0.25">
      <c r="A14070">
        <v>482</v>
      </c>
      <c r="B14070" t="s">
        <v>3940</v>
      </c>
      <c r="C14070" t="s">
        <v>75</v>
      </c>
      <c r="D14070" t="s">
        <v>636</v>
      </c>
      <c r="E14070">
        <f>2/83</f>
        <v>2.4096385542168676E-2</v>
      </c>
      <c r="F14070">
        <v>31</v>
      </c>
      <c r="G14070">
        <f>LOG(382/(31+1))</f>
        <v>1.0769133845918029</v>
      </c>
      <c r="H14070">
        <f>0.0240963855421686*2.47968470580684</f>
        <v>5.9751438694140534E-2</v>
      </c>
      <c r="I14070">
        <v>5.9751438694140943E-2</v>
      </c>
    </row>
    <row r="14071" spans="1:9" x14ac:dyDescent="0.25">
      <c r="A14071">
        <v>482</v>
      </c>
      <c r="B14071" t="s">
        <v>3940</v>
      </c>
      <c r="C14071" t="s">
        <v>75</v>
      </c>
      <c r="D14071" t="s">
        <v>637</v>
      </c>
      <c r="E14071">
        <f t="shared" ref="E14071:E14080" si="663">1/83</f>
        <v>1.2048192771084338E-2</v>
      </c>
      <c r="F14071">
        <v>29</v>
      </c>
      <c r="G14071">
        <f>LOG(382/(29+1))</f>
        <v>1.1049421081920463</v>
      </c>
      <c r="H14071">
        <f>0.0120481927710843*2.54422322694442</f>
        <v>3.0653291890896529E-2</v>
      </c>
      <c r="I14071">
        <v>3.065329189089663E-2</v>
      </c>
    </row>
    <row r="14072" spans="1:9" x14ac:dyDescent="0.25">
      <c r="A14072">
        <v>482</v>
      </c>
      <c r="B14072" t="s">
        <v>3940</v>
      </c>
      <c r="C14072" t="s">
        <v>75</v>
      </c>
      <c r="D14072" t="s">
        <v>70</v>
      </c>
      <c r="E14072">
        <f t="shared" si="663"/>
        <v>1.2048192771084338E-2</v>
      </c>
      <c r="F14072">
        <v>44</v>
      </c>
      <c r="G14072">
        <f>LOG(382/(44+1))</f>
        <v>0.92885084913636506</v>
      </c>
      <c r="H14072">
        <f>0.0120481927710843*2.13875811883625</f>
        <v>2.576817010646076E-2</v>
      </c>
      <c r="I14072">
        <v>2.5768170106460909E-2</v>
      </c>
    </row>
    <row r="14073" spans="1:9" x14ac:dyDescent="0.25">
      <c r="A14073">
        <v>482</v>
      </c>
      <c r="B14073" t="s">
        <v>3940</v>
      </c>
      <c r="C14073" t="s">
        <v>75</v>
      </c>
      <c r="D14073" t="s">
        <v>19</v>
      </c>
      <c r="E14073">
        <f t="shared" si="663"/>
        <v>1.2048192771084338E-2</v>
      </c>
      <c r="F14073">
        <v>220</v>
      </c>
      <c r="G14073">
        <f>LOG(382/(220+1))</f>
        <v>0.23767108922659805</v>
      </c>
      <c r="H14073">
        <f>0.0120481927710843*0.547257907088822</f>
        <v>6.5934687601062695E-3</v>
      </c>
      <c r="I14073">
        <v>6.5934687601062938E-3</v>
      </c>
    </row>
    <row r="14074" spans="1:9" x14ac:dyDescent="0.25">
      <c r="A14074">
        <v>482</v>
      </c>
      <c r="B14074" t="s">
        <v>3940</v>
      </c>
      <c r="C14074" t="s">
        <v>75</v>
      </c>
      <c r="D14074" t="s">
        <v>44</v>
      </c>
      <c r="E14074">
        <f t="shared" si="663"/>
        <v>1.2048192771084338E-2</v>
      </c>
      <c r="F14074">
        <v>151</v>
      </c>
      <c r="G14074">
        <f>LOG(382/(151+1))</f>
        <v>0.40021977496693617</v>
      </c>
      <c r="H14074">
        <f>0.0120481927710843*0.921540087760298</f>
        <v>1.1102892623618014E-2</v>
      </c>
      <c r="I14074">
        <v>1.110289262361806E-2</v>
      </c>
    </row>
    <row r="14075" spans="1:9" x14ac:dyDescent="0.25">
      <c r="A14075">
        <v>482</v>
      </c>
      <c r="B14075" t="s">
        <v>3940</v>
      </c>
      <c r="C14075" t="s">
        <v>75</v>
      </c>
      <c r="D14075" t="s">
        <v>22</v>
      </c>
      <c r="E14075">
        <f t="shared" si="663"/>
        <v>1.2048192771084338E-2</v>
      </c>
      <c r="F14075">
        <v>259</v>
      </c>
      <c r="G14075">
        <f>LOG(382/(259+1))</f>
        <v>0.16709001494089079</v>
      </c>
      <c r="H14075">
        <f>0.0120481927710843*0.384738977591047</f>
        <v>4.6354093685668169E-3</v>
      </c>
      <c r="I14075">
        <v>4.6354093685668377E-3</v>
      </c>
    </row>
    <row r="14076" spans="1:9" x14ac:dyDescent="0.25">
      <c r="A14076">
        <v>482</v>
      </c>
      <c r="B14076" t="s">
        <v>3940</v>
      </c>
      <c r="C14076" t="s">
        <v>75</v>
      </c>
      <c r="D14076" t="s">
        <v>23</v>
      </c>
      <c r="E14076">
        <f t="shared" si="663"/>
        <v>1.2048192771084338E-2</v>
      </c>
      <c r="F14076">
        <v>275</v>
      </c>
      <c r="G14076">
        <f>LOG(382/(275+1))</f>
        <v>0.14115428084649101</v>
      </c>
      <c r="H14076">
        <f>0.0120481927710843*0.325019742889425</f>
        <v>3.9159005167400474E-3</v>
      </c>
      <c r="I14076">
        <v>3.9159005167400621E-3</v>
      </c>
    </row>
    <row r="14077" spans="1:9" x14ac:dyDescent="0.25">
      <c r="A14077">
        <v>482</v>
      </c>
      <c r="B14077" t="s">
        <v>3940</v>
      </c>
      <c r="C14077" t="s">
        <v>75</v>
      </c>
      <c r="D14077" t="s">
        <v>1403</v>
      </c>
      <c r="E14077">
        <f t="shared" si="663"/>
        <v>1.2048192771084338E-2</v>
      </c>
      <c r="F14077">
        <v>10</v>
      </c>
      <c r="G14077">
        <f>LOG(382/(10+1))</f>
        <v>1.5406706777534838</v>
      </c>
      <c r="H14077">
        <f>0.0120481927710843*3.5475253358082</f>
        <v>4.2741269106122762E-2</v>
      </c>
      <c r="I14077">
        <v>4.2741269106122949E-2</v>
      </c>
    </row>
    <row r="14078" spans="1:9" x14ac:dyDescent="0.25">
      <c r="A14078">
        <v>482</v>
      </c>
      <c r="B14078" t="s">
        <v>3940</v>
      </c>
      <c r="C14078" t="s">
        <v>75</v>
      </c>
      <c r="D14078" t="s">
        <v>2554</v>
      </c>
      <c r="E14078">
        <f t="shared" si="663"/>
        <v>1.2048192771084338E-2</v>
      </c>
      <c r="F14078">
        <v>22</v>
      </c>
      <c r="G14078">
        <f>LOG(382/(22+1))</f>
        <v>1.2203355268941158</v>
      </c>
      <c r="H14078">
        <f>0.0120481927710843*2.80992639267742</f>
        <v>3.385453485153507E-2</v>
      </c>
      <c r="I14078">
        <v>3.3854534851535251E-2</v>
      </c>
    </row>
    <row r="14079" spans="1:9" x14ac:dyDescent="0.25">
      <c r="A14079">
        <v>482</v>
      </c>
      <c r="B14079" t="s">
        <v>3940</v>
      </c>
      <c r="C14079" t="s">
        <v>75</v>
      </c>
      <c r="D14079" t="s">
        <v>105</v>
      </c>
      <c r="E14079">
        <f t="shared" si="663"/>
        <v>1.2048192771084338E-2</v>
      </c>
      <c r="F14079">
        <v>122</v>
      </c>
      <c r="G14079">
        <f>LOG(382/(122+1))</f>
        <v>0.49215825147231079</v>
      </c>
      <c r="H14079">
        <f>0.0120481927710843*1.13323625323415</f>
        <v>1.3653448834146343E-2</v>
      </c>
      <c r="I14079">
        <v>1.365344883414648E-2</v>
      </c>
    </row>
    <row r="14080" spans="1:9" x14ac:dyDescent="0.25">
      <c r="A14080">
        <v>482</v>
      </c>
      <c r="B14080" t="s">
        <v>3940</v>
      </c>
      <c r="C14080" t="s">
        <v>75</v>
      </c>
      <c r="D14080" t="s">
        <v>3218</v>
      </c>
      <c r="E14080">
        <f t="shared" si="663"/>
        <v>1.2048192771084338E-2</v>
      </c>
      <c r="F14080">
        <v>2</v>
      </c>
      <c r="G14080">
        <f>LOG(382/(2+1))</f>
        <v>2.1049421081920463</v>
      </c>
      <c r="H14080">
        <f>0.0120481927710843*4.84680831993846</f>
        <v>5.8395280963113791E-2</v>
      </c>
      <c r="I14080">
        <v>5.8395280963114041E-2</v>
      </c>
    </row>
    <row r="14081" spans="1:9" x14ac:dyDescent="0.25">
      <c r="A14081">
        <v>482</v>
      </c>
      <c r="B14081" t="s">
        <v>3940</v>
      </c>
      <c r="C14081" t="s">
        <v>75</v>
      </c>
      <c r="D14081" t="s">
        <v>78</v>
      </c>
      <c r="E14081">
        <f>2/83</f>
        <v>2.4096385542168676E-2</v>
      </c>
      <c r="F14081">
        <v>122</v>
      </c>
      <c r="G14081">
        <f>LOG(382/(122+1))</f>
        <v>0.49215825147231079</v>
      </c>
      <c r="H14081">
        <f>0.0240963855421686*1.13323625323415</f>
        <v>2.7306897668292685E-2</v>
      </c>
      <c r="I14081">
        <v>2.7306897668292959E-2</v>
      </c>
    </row>
    <row r="14082" spans="1:9" x14ac:dyDescent="0.25">
      <c r="A14082">
        <v>482</v>
      </c>
      <c r="B14082" t="s">
        <v>3940</v>
      </c>
      <c r="C14082" t="s">
        <v>75</v>
      </c>
      <c r="D14082" t="s">
        <v>754</v>
      </c>
      <c r="E14082">
        <f>1/83</f>
        <v>1.2048192771084338E-2</v>
      </c>
      <c r="F14082">
        <v>111</v>
      </c>
      <c r="G14082">
        <f>LOG(382/(111+1))</f>
        <v>0.53284534024152708</v>
      </c>
      <c r="H14082">
        <f>0.0120481927710843*1.22692173731148</f>
        <v>1.4782189606162364E-2</v>
      </c>
      <c r="I14082">
        <v>1.478218960616242E-2</v>
      </c>
    </row>
    <row r="14083" spans="1:9" x14ac:dyDescent="0.25">
      <c r="A14083">
        <v>482</v>
      </c>
      <c r="B14083" t="s">
        <v>3940</v>
      </c>
      <c r="C14083" t="s">
        <v>75</v>
      </c>
      <c r="D14083" t="s">
        <v>362</v>
      </c>
      <c r="E14083">
        <f>2/83</f>
        <v>2.4096385542168676E-2</v>
      </c>
      <c r="F14083">
        <v>81</v>
      </c>
      <c r="G14083">
        <f>LOG(382/(81+1))</f>
        <v>0.66824951052799197</v>
      </c>
      <c r="H14083">
        <f>0.0240963855421686*1.53870136134232</f>
        <v>3.707714123716422E-2</v>
      </c>
      <c r="I14083">
        <v>3.7077141237164393E-2</v>
      </c>
    </row>
    <row r="14084" spans="1:9" x14ac:dyDescent="0.25">
      <c r="A14084">
        <v>482</v>
      </c>
      <c r="B14084" t="s">
        <v>3940</v>
      </c>
      <c r="C14084" t="s">
        <v>75</v>
      </c>
      <c r="D14084" t="s">
        <v>1769</v>
      </c>
      <c r="E14084">
        <f>2/83</f>
        <v>2.4096385542168676E-2</v>
      </c>
      <c r="F14084">
        <v>84</v>
      </c>
      <c r="G14084">
        <f>LOG(382/(84+1))</f>
        <v>0.65264443719741605</v>
      </c>
      <c r="H14084">
        <f>0.0240963855421686*1.50276935211625</f>
        <v>3.6211309689548082E-2</v>
      </c>
      <c r="I14084">
        <v>3.6211309689548409E-2</v>
      </c>
    </row>
    <row r="14085" spans="1:9" x14ac:dyDescent="0.25">
      <c r="A14085">
        <v>482</v>
      </c>
      <c r="B14085" t="s">
        <v>3940</v>
      </c>
      <c r="C14085" t="s">
        <v>75</v>
      </c>
      <c r="D14085" t="s">
        <v>201</v>
      </c>
      <c r="E14085">
        <f>3/83</f>
        <v>3.614457831325301E-2</v>
      </c>
      <c r="F14085">
        <v>72</v>
      </c>
      <c r="G14085">
        <f>LOG(382/(72+1))</f>
        <v>0.71874050279125279</v>
      </c>
      <c r="H14085">
        <f>0.036144578313253*1.65496116745818</f>
        <v>5.9817873522584789E-2</v>
      </c>
      <c r="I14085">
        <v>5.9817873522584962E-2</v>
      </c>
    </row>
    <row r="14086" spans="1:9" x14ac:dyDescent="0.25">
      <c r="A14086">
        <v>482</v>
      </c>
      <c r="B14086" t="s">
        <v>3940</v>
      </c>
      <c r="C14086" t="s">
        <v>75</v>
      </c>
      <c r="D14086" t="s">
        <v>225</v>
      </c>
      <c r="E14086">
        <f>2/83</f>
        <v>2.4096385542168676E-2</v>
      </c>
      <c r="F14086">
        <v>30</v>
      </c>
      <c r="G14086">
        <f>LOG(382/(30+1))</f>
        <v>1.090701669077436</v>
      </c>
      <c r="H14086">
        <f>0.0240963855421686*2.51143340412142</f>
        <v>6.0516467569190657E-2</v>
      </c>
      <c r="I14086">
        <v>6.0516467569191067E-2</v>
      </c>
    </row>
    <row r="14087" spans="1:9" x14ac:dyDescent="0.25">
      <c r="A14087">
        <v>482</v>
      </c>
      <c r="B14087" t="s">
        <v>3940</v>
      </c>
      <c r="C14087" t="s">
        <v>75</v>
      </c>
      <c r="D14087" t="s">
        <v>243</v>
      </c>
      <c r="E14087">
        <f>2/83</f>
        <v>2.4096385542168676E-2</v>
      </c>
      <c r="F14087">
        <v>131</v>
      </c>
      <c r="G14087">
        <f>LOG(382/(131+1))</f>
        <v>0.46148943170585888</v>
      </c>
      <c r="H14087">
        <f>0.0240963855421686*1.0626186860202</f>
        <v>2.5605269542655344E-2</v>
      </c>
      <c r="I14087">
        <v>2.5605269542655521E-2</v>
      </c>
    </row>
    <row r="14088" spans="1:9" x14ac:dyDescent="0.25">
      <c r="A14088">
        <v>482</v>
      </c>
      <c r="B14088" t="s">
        <v>3940</v>
      </c>
      <c r="C14088" t="s">
        <v>75</v>
      </c>
      <c r="D14088" t="s">
        <v>453</v>
      </c>
      <c r="E14088">
        <f>1/83</f>
        <v>1.2048192771084338E-2</v>
      </c>
      <c r="F14088">
        <v>68</v>
      </c>
      <c r="G14088">
        <f>LOG(382/(68+1))</f>
        <v>0.74321427217445335</v>
      </c>
      <c r="H14088">
        <f>0.0120481927710843*1.71131410400931</f>
        <v>2.0618242216979575E-2</v>
      </c>
      <c r="I14088">
        <v>2.061824221697971E-2</v>
      </c>
    </row>
    <row r="14089" spans="1:9" x14ac:dyDescent="0.25">
      <c r="A14089">
        <v>482</v>
      </c>
      <c r="B14089" t="s">
        <v>3940</v>
      </c>
      <c r="C14089" t="s">
        <v>75</v>
      </c>
      <c r="D14089" t="s">
        <v>455</v>
      </c>
      <c r="E14089">
        <f>2/83</f>
        <v>2.4096385542168676E-2</v>
      </c>
      <c r="F14089">
        <v>78</v>
      </c>
      <c r="G14089">
        <f>LOG(382/(78+1))</f>
        <v>0.6844362716212673</v>
      </c>
      <c r="H14089">
        <f>0.0240963855421686*1.57597275613955</f>
        <v>3.7975247135892655E-2</v>
      </c>
      <c r="I14089">
        <v>3.7975247135892863E-2</v>
      </c>
    </row>
    <row r="14090" spans="1:9" x14ac:dyDescent="0.25">
      <c r="A14090">
        <v>482</v>
      </c>
      <c r="B14090" t="s">
        <v>3940</v>
      </c>
      <c r="C14090" t="s">
        <v>75</v>
      </c>
      <c r="D14090" t="s">
        <v>3942</v>
      </c>
      <c r="E14090">
        <f t="shared" ref="E14090:E14101" si="664">1/83</f>
        <v>1.2048192771084338E-2</v>
      </c>
      <c r="F14090">
        <v>1</v>
      </c>
      <c r="G14090">
        <f>LOG(382/(1+1))</f>
        <v>2.2810333672477277</v>
      </c>
      <c r="H14090">
        <f>0.0120481927710843*5.25227342804663</f>
        <v>6.3280402747549563E-2</v>
      </c>
      <c r="I14090">
        <v>6.3280402747549758E-2</v>
      </c>
    </row>
    <row r="14091" spans="1:9" x14ac:dyDescent="0.25">
      <c r="A14091">
        <v>482</v>
      </c>
      <c r="B14091" t="s">
        <v>3940</v>
      </c>
      <c r="C14091" t="s">
        <v>75</v>
      </c>
      <c r="D14091" t="s">
        <v>1779</v>
      </c>
      <c r="E14091">
        <f t="shared" si="664"/>
        <v>1.2048192771084338E-2</v>
      </c>
      <c r="F14091">
        <v>41</v>
      </c>
      <c r="G14091">
        <f>LOG(382/(41+1))</f>
        <v>0.95881407251380824</v>
      </c>
      <c r="H14091">
        <f>0.0120481927710843*2.2077509903232</f>
        <v>2.6599409521966183E-2</v>
      </c>
      <c r="I14091">
        <v>2.659940952196635E-2</v>
      </c>
    </row>
    <row r="14092" spans="1:9" x14ac:dyDescent="0.25">
      <c r="A14092">
        <v>482</v>
      </c>
      <c r="B14092" t="s">
        <v>3940</v>
      </c>
      <c r="C14092" t="s">
        <v>75</v>
      </c>
      <c r="D14092" t="s">
        <v>3943</v>
      </c>
      <c r="E14092">
        <f t="shared" si="664"/>
        <v>1.2048192771084338E-2</v>
      </c>
      <c r="F14092">
        <v>1</v>
      </c>
      <c r="G14092">
        <f>LOG(382/(1+1))</f>
        <v>2.2810333672477277</v>
      </c>
      <c r="H14092">
        <f>0.0120481927710843*5.25227342804663</f>
        <v>6.3280402747549563E-2</v>
      </c>
      <c r="I14092">
        <v>6.3280402747549758E-2</v>
      </c>
    </row>
    <row r="14093" spans="1:9" x14ac:dyDescent="0.25">
      <c r="A14093">
        <v>482</v>
      </c>
      <c r="B14093" t="s">
        <v>3940</v>
      </c>
      <c r="C14093" t="s">
        <v>75</v>
      </c>
      <c r="D14093" t="s">
        <v>361</v>
      </c>
      <c r="E14093">
        <f t="shared" si="664"/>
        <v>1.2048192771084338E-2</v>
      </c>
      <c r="F14093">
        <v>118</v>
      </c>
      <c r="G14093">
        <f>LOG(382/(118+1))</f>
        <v>0.50651640151917798</v>
      </c>
      <c r="H14093">
        <f>0.0120481927710843*1.16629711549504</f>
        <v>1.4051772475843811E-2</v>
      </c>
      <c r="I14093">
        <v>1.4051772475843931E-2</v>
      </c>
    </row>
    <row r="14094" spans="1:9" x14ac:dyDescent="0.25">
      <c r="A14094">
        <v>482</v>
      </c>
      <c r="B14094" t="s">
        <v>3940</v>
      </c>
      <c r="C14094" t="s">
        <v>75</v>
      </c>
      <c r="D14094" t="s">
        <v>434</v>
      </c>
      <c r="E14094">
        <f t="shared" si="664"/>
        <v>1.2048192771084338E-2</v>
      </c>
      <c r="F14094">
        <v>97</v>
      </c>
      <c r="G14094">
        <f>LOG(382/(97+1))</f>
        <v>0.59083728721921391</v>
      </c>
      <c r="H14094">
        <f>0.0120481927710843*1.360453129936</f>
        <v>1.6391001565493925E-2</v>
      </c>
      <c r="I14094">
        <v>1.6391001565494012E-2</v>
      </c>
    </row>
    <row r="14095" spans="1:9" x14ac:dyDescent="0.25">
      <c r="A14095">
        <v>482</v>
      </c>
      <c r="B14095" t="s">
        <v>3940</v>
      </c>
      <c r="C14095" t="s">
        <v>75</v>
      </c>
      <c r="D14095" t="s">
        <v>1972</v>
      </c>
      <c r="E14095">
        <f t="shared" si="664"/>
        <v>1.2048192771084338E-2</v>
      </c>
      <c r="F14095">
        <v>9</v>
      </c>
      <c r="G14095">
        <f>LOG(382/(9+1))</f>
        <v>1.5820633629117087</v>
      </c>
      <c r="H14095">
        <f>0.0120481927710843*3.64283551561252</f>
        <v>4.3889584525451913E-2</v>
      </c>
      <c r="I14095">
        <v>4.3889584525452163E-2</v>
      </c>
    </row>
    <row r="14096" spans="1:9" x14ac:dyDescent="0.25">
      <c r="A14096">
        <v>482</v>
      </c>
      <c r="B14096" t="s">
        <v>3940</v>
      </c>
      <c r="C14096" t="s">
        <v>75</v>
      </c>
      <c r="D14096" t="s">
        <v>149</v>
      </c>
      <c r="E14096">
        <f t="shared" si="664"/>
        <v>1.2048192771084338E-2</v>
      </c>
      <c r="F14096">
        <v>35</v>
      </c>
      <c r="G14096">
        <f>LOG(382/(35+1))</f>
        <v>1.0257608621444214</v>
      </c>
      <c r="H14096">
        <f>0.0120481927710843*2.36190167015046</f>
        <v>2.8456646628318708E-2</v>
      </c>
      <c r="I14096">
        <v>2.8456646628318861E-2</v>
      </c>
    </row>
    <row r="14097" spans="1:9" x14ac:dyDescent="0.25">
      <c r="A14097">
        <v>482</v>
      </c>
      <c r="B14097" t="s">
        <v>3940</v>
      </c>
      <c r="C14097" t="s">
        <v>75</v>
      </c>
      <c r="D14097" t="s">
        <v>1468</v>
      </c>
      <c r="E14097">
        <f t="shared" si="664"/>
        <v>1.2048192771084338E-2</v>
      </c>
      <c r="F14097">
        <v>8</v>
      </c>
      <c r="G14097">
        <f>LOG(382/(8+1))</f>
        <v>1.6278208534723839</v>
      </c>
      <c r="H14097">
        <f>0.0120481927710843*3.74819603127035</f>
        <v>4.5158988328558296E-2</v>
      </c>
      <c r="I14097">
        <v>4.5158988328558497E-2</v>
      </c>
    </row>
    <row r="14098" spans="1:9" x14ac:dyDescent="0.25">
      <c r="A14098">
        <v>482</v>
      </c>
      <c r="B14098" t="s">
        <v>3940</v>
      </c>
      <c r="C14098" t="s">
        <v>75</v>
      </c>
      <c r="D14098" t="s">
        <v>214</v>
      </c>
      <c r="E14098">
        <f t="shared" si="664"/>
        <v>1.2048192771084338E-2</v>
      </c>
      <c r="F14098">
        <v>68</v>
      </c>
      <c r="G14098">
        <f>LOG(382/(68+1))</f>
        <v>0.74321427217445335</v>
      </c>
      <c r="H14098">
        <f>0.0120481927710843*1.71131410400931</f>
        <v>2.0618242216979575E-2</v>
      </c>
      <c r="I14098">
        <v>2.061824221697971E-2</v>
      </c>
    </row>
    <row r="14099" spans="1:9" x14ac:dyDescent="0.25">
      <c r="A14099">
        <v>482</v>
      </c>
      <c r="B14099" t="s">
        <v>3940</v>
      </c>
      <c r="C14099" t="s">
        <v>75</v>
      </c>
      <c r="D14099" t="s">
        <v>322</v>
      </c>
      <c r="E14099">
        <f t="shared" si="664"/>
        <v>1.2048192771084338E-2</v>
      </c>
      <c r="F14099">
        <v>128</v>
      </c>
      <c r="G14099">
        <f>LOG(382/(128+1))</f>
        <v>0.47147365261245977</v>
      </c>
      <c r="H14099">
        <f>0.0120481927710843*1.0856082042449</f>
        <v>1.3079616918613212E-2</v>
      </c>
      <c r="I14099">
        <v>1.307961691861329E-2</v>
      </c>
    </row>
    <row r="14100" spans="1:9" x14ac:dyDescent="0.25">
      <c r="A14100">
        <v>482</v>
      </c>
      <c r="B14100" t="s">
        <v>3940</v>
      </c>
      <c r="C14100" t="s">
        <v>75</v>
      </c>
      <c r="D14100" t="s">
        <v>1773</v>
      </c>
      <c r="E14100">
        <f t="shared" si="664"/>
        <v>1.2048192771084338E-2</v>
      </c>
      <c r="F14100">
        <v>24</v>
      </c>
      <c r="G14100">
        <f>LOG(382/(24+1))</f>
        <v>1.1841233542396712</v>
      </c>
      <c r="H14100">
        <f>0.0120481927710843*2.72654478373837</f>
        <v>3.2849937153474236E-2</v>
      </c>
      <c r="I14100">
        <v>3.2849937153474389E-2</v>
      </c>
    </row>
    <row r="14101" spans="1:9" x14ac:dyDescent="0.25">
      <c r="A14101">
        <v>482</v>
      </c>
      <c r="B14101" t="s">
        <v>3940</v>
      </c>
      <c r="C14101" t="s">
        <v>75</v>
      </c>
      <c r="D14101" t="s">
        <v>447</v>
      </c>
      <c r="E14101">
        <f t="shared" si="664"/>
        <v>1.2048192771084338E-2</v>
      </c>
      <c r="F14101">
        <v>37</v>
      </c>
      <c r="G14101">
        <f>LOG(382/(37+1))</f>
        <v>1.0022797662948986</v>
      </c>
      <c r="H14101">
        <f>0.0120481927710843*2.30783444888018</f>
        <v>2.7805234323857501E-2</v>
      </c>
      <c r="I14101">
        <v>2.7805234323857699E-2</v>
      </c>
    </row>
    <row r="14102" spans="1:9" x14ac:dyDescent="0.25">
      <c r="A14102">
        <v>482</v>
      </c>
      <c r="B14102" t="s">
        <v>3940</v>
      </c>
      <c r="C14102" t="s">
        <v>75</v>
      </c>
      <c r="D14102" t="s">
        <v>81</v>
      </c>
      <c r="E14102">
        <f>2/83</f>
        <v>2.4096385542168676E-2</v>
      </c>
      <c r="F14102">
        <v>114</v>
      </c>
      <c r="G14102">
        <f>LOG(382/(114+1))</f>
        <v>0.52136552255809698</v>
      </c>
      <c r="H14102">
        <f>0.0240963855421686*1.20048848024332</f>
        <v>2.892743325887509E-2</v>
      </c>
      <c r="I14102">
        <v>2.8927433258875309E-2</v>
      </c>
    </row>
    <row r="14103" spans="1:9" x14ac:dyDescent="0.25">
      <c r="A14103">
        <v>482</v>
      </c>
      <c r="B14103" t="s">
        <v>3940</v>
      </c>
      <c r="C14103" t="s">
        <v>75</v>
      </c>
      <c r="D14103" t="s">
        <v>237</v>
      </c>
      <c r="E14103">
        <f>2/83</f>
        <v>2.4096385542168676E-2</v>
      </c>
      <c r="F14103">
        <v>138</v>
      </c>
      <c r="G14103">
        <f>LOG(382/(138+1))</f>
        <v>0.43904856265761361</v>
      </c>
      <c r="H14103">
        <f>0.0240963855421686*1.01094667547588</f>
        <v>2.4360160854840406E-2</v>
      </c>
      <c r="I14103">
        <v>2.4360160854840569E-2</v>
      </c>
    </row>
    <row r="14104" spans="1:9" x14ac:dyDescent="0.25">
      <c r="A14104">
        <v>482</v>
      </c>
      <c r="B14104" t="s">
        <v>3940</v>
      </c>
      <c r="C14104" t="s">
        <v>75</v>
      </c>
      <c r="D14104" t="s">
        <v>3211</v>
      </c>
      <c r="E14104">
        <f>1/83</f>
        <v>1.2048192771084338E-2</v>
      </c>
      <c r="F14104">
        <v>5</v>
      </c>
      <c r="G14104">
        <f>LOG(382/(5+1))</f>
        <v>1.803912112528065</v>
      </c>
      <c r="H14104">
        <f>0.0120481927710843*4.15366113937852</f>
        <v>5.0044110112994061E-2</v>
      </c>
      <c r="I14104">
        <v>5.0044110112994221E-2</v>
      </c>
    </row>
    <row r="14105" spans="1:9" x14ac:dyDescent="0.25">
      <c r="A14105">
        <v>482</v>
      </c>
      <c r="B14105" t="s">
        <v>3940</v>
      </c>
      <c r="C14105" t="s">
        <v>75</v>
      </c>
      <c r="D14105" t="s">
        <v>3944</v>
      </c>
      <c r="E14105">
        <f>1/83</f>
        <v>1.2048192771084338E-2</v>
      </c>
      <c r="F14105">
        <v>6</v>
      </c>
      <c r="G14105">
        <f>LOG(382/(6+1))</f>
        <v>1.736965322897452</v>
      </c>
      <c r="H14105">
        <f>0.0120481927710843*3.99951045955126</f>
        <v>4.818687300664154E-2</v>
      </c>
      <c r="I14105">
        <v>4.8186873006641713E-2</v>
      </c>
    </row>
    <row r="14106" spans="1:9" x14ac:dyDescent="0.25">
      <c r="A14106">
        <v>482</v>
      </c>
      <c r="B14106" t="s">
        <v>3940</v>
      </c>
      <c r="C14106" t="s">
        <v>75</v>
      </c>
      <c r="D14106" t="s">
        <v>1222</v>
      </c>
      <c r="E14106">
        <f>2/83</f>
        <v>2.4096385542168676E-2</v>
      </c>
      <c r="F14106">
        <v>56</v>
      </c>
      <c r="G14106">
        <f>LOG(382/(56+1))</f>
        <v>0.82618850723921733</v>
      </c>
      <c r="H14106">
        <f>0.0240963855421686*1.90236934077202</f>
        <v>4.5840225078843708E-2</v>
      </c>
      <c r="I14106">
        <v>4.5840225078843978E-2</v>
      </c>
    </row>
    <row r="14107" spans="1:9" x14ac:dyDescent="0.25">
      <c r="A14107">
        <v>482</v>
      </c>
      <c r="B14107" t="s">
        <v>3940</v>
      </c>
      <c r="C14107" t="s">
        <v>75</v>
      </c>
      <c r="D14107" t="s">
        <v>324</v>
      </c>
      <c r="E14107">
        <f>1/83</f>
        <v>1.2048192771084338E-2</v>
      </c>
      <c r="F14107">
        <v>82</v>
      </c>
      <c r="G14107">
        <f>LOG(382/(82+1))</f>
        <v>0.66298527053563483</v>
      </c>
      <c r="H14107">
        <f>0.0120481927710843*1.52658000080997</f>
        <v>1.8392530130240545E-2</v>
      </c>
      <c r="I14107">
        <v>1.839253013024069E-2</v>
      </c>
    </row>
    <row r="14108" spans="1:9" x14ac:dyDescent="0.25">
      <c r="A14108">
        <v>482</v>
      </c>
      <c r="B14108" t="s">
        <v>3940</v>
      </c>
      <c r="C14108" t="s">
        <v>75</v>
      </c>
      <c r="D14108" t="s">
        <v>485</v>
      </c>
      <c r="E14108">
        <f>1/83</f>
        <v>1.2048192771084338E-2</v>
      </c>
      <c r="F14108">
        <v>74</v>
      </c>
      <c r="G14108">
        <f>LOG(382/(74+1))</f>
        <v>0.7070020995200087</v>
      </c>
      <c r="H14108">
        <f>0.0120481927710843*1.62793249507026</f>
        <v>1.9613644518918734E-2</v>
      </c>
      <c r="I14108">
        <v>1.9613644518918848E-2</v>
      </c>
    </row>
    <row r="14109" spans="1:9" x14ac:dyDescent="0.25">
      <c r="A14109">
        <v>482</v>
      </c>
      <c r="B14109" t="s">
        <v>3940</v>
      </c>
      <c r="C14109" t="s">
        <v>75</v>
      </c>
      <c r="D14109" t="s">
        <v>388</v>
      </c>
      <c r="E14109">
        <f>1/83</f>
        <v>1.2048192771084338E-2</v>
      </c>
      <c r="F14109">
        <v>44</v>
      </c>
      <c r="G14109">
        <f>LOG(382/(44+1))</f>
        <v>0.92885084913636506</v>
      </c>
      <c r="H14109">
        <f>0.0120481927710843*2.13875811883625</f>
        <v>2.576817010646076E-2</v>
      </c>
      <c r="I14109">
        <v>2.5768170106460909E-2</v>
      </c>
    </row>
    <row r="14110" spans="1:9" x14ac:dyDescent="0.25">
      <c r="A14110">
        <v>482</v>
      </c>
      <c r="B14110" t="s">
        <v>3940</v>
      </c>
      <c r="C14110" t="s">
        <v>75</v>
      </c>
      <c r="D14110" t="s">
        <v>596</v>
      </c>
      <c r="E14110">
        <f>1/83</f>
        <v>1.2048192771084338E-2</v>
      </c>
      <c r="F14110">
        <v>60</v>
      </c>
      <c r="G14110">
        <f>LOG(382/(60+1))</f>
        <v>0.79673352790094176</v>
      </c>
      <c r="H14110">
        <f>0.0120481927710843*1.83454674443326</f>
        <v>2.2102972824497039E-2</v>
      </c>
      <c r="I14110">
        <v>2.210297282449716E-2</v>
      </c>
    </row>
    <row r="14111" spans="1:9" x14ac:dyDescent="0.25">
      <c r="A14111">
        <v>482</v>
      </c>
      <c r="B14111" t="s">
        <v>3940</v>
      </c>
      <c r="C14111" t="s">
        <v>75</v>
      </c>
      <c r="D14111" t="s">
        <v>597</v>
      </c>
      <c r="E14111">
        <f>1/83</f>
        <v>1.2048192771084338E-2</v>
      </c>
      <c r="F14111">
        <v>51</v>
      </c>
      <c r="G14111">
        <f>LOG(382/(51+1))</f>
        <v>0.86606001927690957</v>
      </c>
      <c r="H14111">
        <f>0.0120481927710843*1.99417689002514</f>
        <v>2.4026227590664261E-2</v>
      </c>
      <c r="I14111">
        <v>2.4026227590664431E-2</v>
      </c>
    </row>
    <row r="14112" spans="1:9" x14ac:dyDescent="0.25">
      <c r="A14112">
        <v>482</v>
      </c>
      <c r="B14112" t="s">
        <v>3940</v>
      </c>
      <c r="C14112" t="s">
        <v>75</v>
      </c>
      <c r="D14112" t="s">
        <v>770</v>
      </c>
      <c r="E14112">
        <f>3/83</f>
        <v>3.614457831325301E-2</v>
      </c>
      <c r="F14112">
        <v>47</v>
      </c>
      <c r="G14112">
        <f>LOG(382/(47+1))</f>
        <v>0.90082212553612151</v>
      </c>
      <c r="H14112">
        <f>0.036144578313253*2.07421959769868</f>
        <v>7.4971792687904062E-2</v>
      </c>
      <c r="I14112">
        <v>7.4971792687904243E-2</v>
      </c>
    </row>
    <row r="14113" spans="1:9" x14ac:dyDescent="0.25">
      <c r="A14113">
        <v>482</v>
      </c>
      <c r="B14113" t="s">
        <v>3940</v>
      </c>
      <c r="C14113" t="s">
        <v>75</v>
      </c>
      <c r="D14113" t="s">
        <v>438</v>
      </c>
      <c r="E14113">
        <f t="shared" ref="E14113:E14120" si="665">1/83</f>
        <v>1.2048192771084338E-2</v>
      </c>
      <c r="F14113">
        <v>37</v>
      </c>
      <c r="G14113">
        <f>LOG(382/(37+1))</f>
        <v>1.0022797662948986</v>
      </c>
      <c r="H14113">
        <f>0.0120481927710843*2.30783444888018</f>
        <v>2.7805234323857501E-2</v>
      </c>
      <c r="I14113">
        <v>2.7805234323857699E-2</v>
      </c>
    </row>
    <row r="14114" spans="1:9" x14ac:dyDescent="0.25">
      <c r="A14114">
        <v>482</v>
      </c>
      <c r="B14114" t="s">
        <v>3940</v>
      </c>
      <c r="C14114" t="s">
        <v>75</v>
      </c>
      <c r="D14114" t="s">
        <v>209</v>
      </c>
      <c r="E14114">
        <f t="shared" si="665"/>
        <v>1.2048192771084338E-2</v>
      </c>
      <c r="F14114">
        <v>7</v>
      </c>
      <c r="G14114">
        <f>LOG(382/(7+1))</f>
        <v>1.6789733759197651</v>
      </c>
      <c r="H14114">
        <f>0.0120481927710843*3.86597906692673</f>
        <v>4.6578061047309854E-2</v>
      </c>
      <c r="I14114">
        <v>4.6578061047310111E-2</v>
      </c>
    </row>
    <row r="14115" spans="1:9" x14ac:dyDescent="0.25">
      <c r="A14115">
        <v>482</v>
      </c>
      <c r="B14115" t="s">
        <v>3940</v>
      </c>
      <c r="C14115" t="s">
        <v>75</v>
      </c>
      <c r="D14115" t="s">
        <v>1633</v>
      </c>
      <c r="E14115">
        <f t="shared" si="665"/>
        <v>1.2048192771084338E-2</v>
      </c>
      <c r="F14115">
        <v>18</v>
      </c>
      <c r="G14115">
        <f>LOG(382/(18+1))</f>
        <v>1.3033097619588798</v>
      </c>
      <c r="H14115">
        <f>0.0120481927710843*3.00098162944013</f>
        <v>3.6156405173977356E-2</v>
      </c>
      <c r="I14115">
        <v>3.6156405173977529E-2</v>
      </c>
    </row>
    <row r="14116" spans="1:9" x14ac:dyDescent="0.25">
      <c r="A14116">
        <v>482</v>
      </c>
      <c r="B14116" t="s">
        <v>3940</v>
      </c>
      <c r="C14116" t="s">
        <v>75</v>
      </c>
      <c r="D14116" t="s">
        <v>2238</v>
      </c>
      <c r="E14116">
        <f t="shared" si="665"/>
        <v>1.2048192771084338E-2</v>
      </c>
      <c r="F14116">
        <v>68</v>
      </c>
      <c r="G14116">
        <f>LOG(382/(68+1))</f>
        <v>0.74321427217445335</v>
      </c>
      <c r="H14116">
        <f>0.0120481927710843*1.71131410400931</f>
        <v>2.0618242216979575E-2</v>
      </c>
      <c r="I14116">
        <v>2.061824221697971E-2</v>
      </c>
    </row>
    <row r="14117" spans="1:9" x14ac:dyDescent="0.25">
      <c r="A14117">
        <v>482</v>
      </c>
      <c r="B14117" t="s">
        <v>3940</v>
      </c>
      <c r="C14117" t="s">
        <v>75</v>
      </c>
      <c r="D14117" t="s">
        <v>823</v>
      </c>
      <c r="E14117">
        <f t="shared" si="665"/>
        <v>1.2048192771084338E-2</v>
      </c>
      <c r="F14117">
        <v>45</v>
      </c>
      <c r="G14117">
        <f>LOG(382/(45+1))</f>
        <v>0.9193055312301347</v>
      </c>
      <c r="H14117">
        <f>0.0120481927710843*2.11677921211748</f>
        <v>2.5503364001415344E-2</v>
      </c>
      <c r="I14117">
        <v>2.550336400141542E-2</v>
      </c>
    </row>
    <row r="14118" spans="1:9" x14ac:dyDescent="0.25">
      <c r="A14118">
        <v>482</v>
      </c>
      <c r="B14118" t="s">
        <v>3940</v>
      </c>
      <c r="C14118" t="s">
        <v>75</v>
      </c>
      <c r="D14118" t="s">
        <v>82</v>
      </c>
      <c r="E14118">
        <f t="shared" si="665"/>
        <v>1.2048192771084338E-2</v>
      </c>
      <c r="F14118">
        <v>92</v>
      </c>
      <c r="G14118">
        <f>LOG(382/(92+1))</f>
        <v>0.61358041435777355</v>
      </c>
      <c r="H14118">
        <f>0.0120481927710843*1.41282111545331</f>
        <v>1.7021941150039827E-2</v>
      </c>
      <c r="I14118">
        <v>1.702194115003999E-2</v>
      </c>
    </row>
    <row r="14119" spans="1:9" x14ac:dyDescent="0.25">
      <c r="A14119">
        <v>482</v>
      </c>
      <c r="B14119" t="s">
        <v>3940</v>
      </c>
      <c r="C14119" t="s">
        <v>75</v>
      </c>
      <c r="D14119" t="s">
        <v>50</v>
      </c>
      <c r="E14119">
        <f t="shared" si="665"/>
        <v>1.2048192771084338E-2</v>
      </c>
      <c r="F14119">
        <v>109</v>
      </c>
      <c r="G14119">
        <f>LOG(382/(109+1))</f>
        <v>0.54067067775348365</v>
      </c>
      <c r="H14119">
        <f>0.0120481927710843*1.24494024281415</f>
        <v>1.4999280033905375E-2</v>
      </c>
      <c r="I14119">
        <v>1.499928003390553E-2</v>
      </c>
    </row>
    <row r="14120" spans="1:9" x14ac:dyDescent="0.25">
      <c r="A14120">
        <v>482</v>
      </c>
      <c r="B14120" t="s">
        <v>3940</v>
      </c>
      <c r="C14120" t="s">
        <v>75</v>
      </c>
      <c r="D14120" t="s">
        <v>1762</v>
      </c>
      <c r="E14120">
        <f t="shared" si="665"/>
        <v>1.2048192771084338E-2</v>
      </c>
      <c r="F14120">
        <v>60</v>
      </c>
      <c r="G14120">
        <f>LOG(382/(60+1))</f>
        <v>0.79673352790094176</v>
      </c>
      <c r="H14120">
        <f>0.0120481927710843*1.83454674443326</f>
        <v>2.2102972824497039E-2</v>
      </c>
      <c r="I14120">
        <v>2.210297282449716E-2</v>
      </c>
    </row>
    <row r="14121" spans="1:9" x14ac:dyDescent="0.25">
      <c r="A14121">
        <v>482</v>
      </c>
      <c r="B14121" t="s">
        <v>3940</v>
      </c>
      <c r="C14121" t="s">
        <v>75</v>
      </c>
      <c r="D14121" t="s">
        <v>1921</v>
      </c>
      <c r="E14121">
        <f>2/83</f>
        <v>2.4096385542168676E-2</v>
      </c>
      <c r="F14121">
        <v>37</v>
      </c>
      <c r="G14121">
        <f>LOG(382/(37+1))</f>
        <v>1.0022797662948986</v>
      </c>
      <c r="H14121">
        <f>0.0240963855421686*2.30783444888018</f>
        <v>5.5610468647715003E-2</v>
      </c>
      <c r="I14121">
        <v>5.5610468647715412E-2</v>
      </c>
    </row>
    <row r="14122" spans="1:9" x14ac:dyDescent="0.25">
      <c r="A14122">
        <v>482</v>
      </c>
      <c r="B14122" t="s">
        <v>3940</v>
      </c>
      <c r="C14122" t="s">
        <v>75</v>
      </c>
      <c r="D14122" t="s">
        <v>1125</v>
      </c>
      <c r="E14122">
        <f t="shared" ref="E14122:E14130" si="666">1/83</f>
        <v>1.2048192771084338E-2</v>
      </c>
      <c r="F14122">
        <v>19</v>
      </c>
      <c r="G14122">
        <f>LOG(382/(19+1))</f>
        <v>1.2810333672477277</v>
      </c>
      <c r="H14122">
        <f>0.0120481927710843*2.94968833505258</f>
        <v>3.5538413675332177E-2</v>
      </c>
      <c r="I14122">
        <v>3.5538413675332343E-2</v>
      </c>
    </row>
    <row r="14123" spans="1:9" x14ac:dyDescent="0.25">
      <c r="A14123">
        <v>482</v>
      </c>
      <c r="B14123" t="s">
        <v>3940</v>
      </c>
      <c r="C14123" t="s">
        <v>75</v>
      </c>
      <c r="D14123" t="s">
        <v>746</v>
      </c>
      <c r="E14123">
        <f t="shared" si="666"/>
        <v>1.2048192771084338E-2</v>
      </c>
      <c r="F14123">
        <v>58</v>
      </c>
      <c r="G14123">
        <f>LOG(382/(58+1))</f>
        <v>0.81121135126956456</v>
      </c>
      <c r="H14123">
        <f>0.0120481927710843*1.86788316470085</f>
        <v>2.2504616442178847E-2</v>
      </c>
      <c r="I14123">
        <v>2.2504616442178979E-2</v>
      </c>
    </row>
    <row r="14124" spans="1:9" x14ac:dyDescent="0.25">
      <c r="A14124">
        <v>482</v>
      </c>
      <c r="B14124" t="s">
        <v>3940</v>
      </c>
      <c r="C14124" t="s">
        <v>75</v>
      </c>
      <c r="D14124" t="s">
        <v>1080</v>
      </c>
      <c r="E14124">
        <f t="shared" si="666"/>
        <v>1.2048192771084338E-2</v>
      </c>
      <c r="F14124">
        <v>26</v>
      </c>
      <c r="G14124">
        <f>LOG(382/(26+1))</f>
        <v>1.1506995987527215</v>
      </c>
      <c r="H14124">
        <f>0.0120481927710843*2.64958374260224</f>
        <v>3.1922695694002794E-2</v>
      </c>
      <c r="I14124">
        <v>3.1922695694002967E-2</v>
      </c>
    </row>
    <row r="14125" spans="1:9" x14ac:dyDescent="0.25">
      <c r="A14125">
        <v>482</v>
      </c>
      <c r="B14125" t="s">
        <v>3940</v>
      </c>
      <c r="C14125" t="s">
        <v>75</v>
      </c>
      <c r="D14125" t="s">
        <v>1742</v>
      </c>
      <c r="E14125">
        <f t="shared" si="666"/>
        <v>1.2048192771084338E-2</v>
      </c>
      <c r="F14125">
        <v>7</v>
      </c>
      <c r="G14125">
        <f>LOG(382/(7+1))</f>
        <v>1.6789733759197651</v>
      </c>
      <c r="H14125">
        <f>0.0120481927710843*3.86597906692673</f>
        <v>4.6578061047309854E-2</v>
      </c>
      <c r="I14125">
        <v>4.6578061047310111E-2</v>
      </c>
    </row>
    <row r="14126" spans="1:9" x14ac:dyDescent="0.25">
      <c r="A14126">
        <v>482</v>
      </c>
      <c r="B14126" t="s">
        <v>3940</v>
      </c>
      <c r="C14126" t="s">
        <v>75</v>
      </c>
      <c r="D14126" t="s">
        <v>937</v>
      </c>
      <c r="E14126">
        <f t="shared" si="666"/>
        <v>1.2048192771084338E-2</v>
      </c>
      <c r="F14126">
        <v>41</v>
      </c>
      <c r="G14126">
        <f>LOG(382/(41+1))</f>
        <v>0.95881407251380824</v>
      </c>
      <c r="H14126">
        <f>0.0120481927710843*2.2077509903232</f>
        <v>2.6599409521966183E-2</v>
      </c>
      <c r="I14126">
        <v>2.659940952196635E-2</v>
      </c>
    </row>
    <row r="14127" spans="1:9" x14ac:dyDescent="0.25">
      <c r="A14127">
        <v>482</v>
      </c>
      <c r="B14127" t="s">
        <v>3940</v>
      </c>
      <c r="C14127" t="s">
        <v>75</v>
      </c>
      <c r="D14127" t="s">
        <v>307</v>
      </c>
      <c r="E14127">
        <f t="shared" si="666"/>
        <v>1.2048192771084338E-2</v>
      </c>
      <c r="F14127">
        <v>67</v>
      </c>
      <c r="G14127">
        <f>LOG(382/(67+1))</f>
        <v>0.7495544502054724</v>
      </c>
      <c r="H14127">
        <f>0.0120481927710843*1.72591290343046</f>
        <v>2.0794131366631986E-2</v>
      </c>
      <c r="I14127">
        <v>2.0794131366632149E-2</v>
      </c>
    </row>
    <row r="14128" spans="1:9" x14ac:dyDescent="0.25">
      <c r="A14128">
        <v>482</v>
      </c>
      <c r="B14128" t="s">
        <v>3940</v>
      </c>
      <c r="C14128" t="s">
        <v>75</v>
      </c>
      <c r="D14128" t="s">
        <v>456</v>
      </c>
      <c r="E14128">
        <f t="shared" si="666"/>
        <v>1.2048192771084338E-2</v>
      </c>
      <c r="F14128">
        <v>71</v>
      </c>
      <c r="G14128">
        <f>LOG(382/(71+1))</f>
        <v>0.72473086648044027</v>
      </c>
      <c r="H14128">
        <f>0.0120481927710843*1.66875448959051</f>
        <v>2.0105475778198854E-2</v>
      </c>
      <c r="I14128">
        <v>2.0105475778199031E-2</v>
      </c>
    </row>
    <row r="14129" spans="1:9" x14ac:dyDescent="0.25">
      <c r="A14129">
        <v>482</v>
      </c>
      <c r="B14129" t="s">
        <v>3940</v>
      </c>
      <c r="C14129" t="s">
        <v>75</v>
      </c>
      <c r="D14129" t="s">
        <v>342</v>
      </c>
      <c r="E14129">
        <f t="shared" si="666"/>
        <v>1.2048192771084338E-2</v>
      </c>
      <c r="F14129">
        <v>35</v>
      </c>
      <c r="G14129">
        <f>LOG(382/(35+1))</f>
        <v>1.0257608621444214</v>
      </c>
      <c r="H14129">
        <f>0.0120481927710843*2.36190167015046</f>
        <v>2.8456646628318708E-2</v>
      </c>
      <c r="I14129">
        <v>2.8456646628318861E-2</v>
      </c>
    </row>
    <row r="14130" spans="1:9" x14ac:dyDescent="0.25">
      <c r="A14130">
        <v>482</v>
      </c>
      <c r="B14130" t="s">
        <v>3940</v>
      </c>
      <c r="C14130" t="s">
        <v>75</v>
      </c>
      <c r="D14130" t="s">
        <v>123</v>
      </c>
      <c r="E14130">
        <f t="shared" si="666"/>
        <v>1.2048192771084338E-2</v>
      </c>
      <c r="F14130">
        <v>74</v>
      </c>
      <c r="G14130">
        <f>LOG(382/(74+1))</f>
        <v>0.7070020995200087</v>
      </c>
      <c r="H14130">
        <f>0.0120481927710843*1.62793249507026</f>
        <v>1.9613644518918734E-2</v>
      </c>
      <c r="I14130">
        <v>1.9613644518918848E-2</v>
      </c>
    </row>
    <row r="14131" spans="1:9" x14ac:dyDescent="0.25">
      <c r="A14131">
        <v>483</v>
      </c>
      <c r="B14131" t="s">
        <v>3945</v>
      </c>
      <c r="C14131" t="s">
        <v>75</v>
      </c>
      <c r="D14131" t="s">
        <v>3946</v>
      </c>
      <c r="E14131">
        <f>2/106</f>
        <v>1.8867924528301886E-2</v>
      </c>
      <c r="F14131">
        <v>1</v>
      </c>
      <c r="G14131">
        <f>LOG(382/(1+1))</f>
        <v>2.2810333672477277</v>
      </c>
      <c r="H14131">
        <f>0.0188679245283018*5.25227342804663</f>
        <v>9.9099498642388789E-2</v>
      </c>
      <c r="I14131">
        <v>9.9099498642389233E-2</v>
      </c>
    </row>
    <row r="14132" spans="1:9" x14ac:dyDescent="0.25">
      <c r="A14132">
        <v>483</v>
      </c>
      <c r="B14132" t="s">
        <v>3945</v>
      </c>
      <c r="C14132" t="s">
        <v>75</v>
      </c>
      <c r="D14132" t="s">
        <v>2231</v>
      </c>
      <c r="E14132">
        <f>2/106</f>
        <v>1.8867924528301886E-2</v>
      </c>
      <c r="F14132">
        <v>23</v>
      </c>
      <c r="G14132">
        <f>LOG(382/(23+1))</f>
        <v>1.2018521212001028</v>
      </c>
      <c r="H14132">
        <f>0.0188679245283018*2.76736677825862</f>
        <v>5.2214467514313349E-2</v>
      </c>
      <c r="I14132">
        <v>5.2214467514313773E-2</v>
      </c>
    </row>
    <row r="14133" spans="1:9" x14ac:dyDescent="0.25">
      <c r="A14133">
        <v>483</v>
      </c>
      <c r="B14133" t="s">
        <v>3945</v>
      </c>
      <c r="C14133" t="s">
        <v>75</v>
      </c>
      <c r="D14133" t="s">
        <v>3947</v>
      </c>
      <c r="E14133">
        <f>1/106</f>
        <v>9.433962264150943E-3</v>
      </c>
      <c r="F14133">
        <v>1</v>
      </c>
      <c r="G14133">
        <f>LOG(382/(1+1))</f>
        <v>2.2810333672477277</v>
      </c>
      <c r="H14133">
        <f>0.00943396226415094*5.25227342804663</f>
        <v>4.9549749321194603E-2</v>
      </c>
      <c r="I14133">
        <v>4.9549749321194617E-2</v>
      </c>
    </row>
    <row r="14134" spans="1:9" x14ac:dyDescent="0.25">
      <c r="A14134">
        <v>483</v>
      </c>
      <c r="B14134" t="s">
        <v>3945</v>
      </c>
      <c r="C14134" t="s">
        <v>75</v>
      </c>
      <c r="D14134" t="s">
        <v>42</v>
      </c>
      <c r="E14134">
        <f>1/106</f>
        <v>9.433962264150943E-3</v>
      </c>
      <c r="F14134">
        <v>251</v>
      </c>
      <c r="G14134">
        <f>LOG(382/(251+1))</f>
        <v>0.18066282213016463</v>
      </c>
      <c r="H14134">
        <f>0.00943396226415094*0.415991521095151</f>
        <v>3.9244483122184036E-3</v>
      </c>
      <c r="I14134">
        <v>3.924448312218414E-3</v>
      </c>
    </row>
    <row r="14135" spans="1:9" x14ac:dyDescent="0.25">
      <c r="A14135">
        <v>483</v>
      </c>
      <c r="B14135" t="s">
        <v>3945</v>
      </c>
      <c r="C14135" t="s">
        <v>75</v>
      </c>
      <c r="D14135" t="s">
        <v>1496</v>
      </c>
      <c r="E14135">
        <f>2/106</f>
        <v>1.8867924528301886E-2</v>
      </c>
      <c r="F14135">
        <v>39</v>
      </c>
      <c r="G14135">
        <f>LOG(382/(39+1))</f>
        <v>0.9800033715837464</v>
      </c>
      <c r="H14135">
        <f>0.0188679245283018*2.25654115449263</f>
        <v>4.2576248197973954E-2</v>
      </c>
      <c r="I14135">
        <v>4.2576248197974322E-2</v>
      </c>
    </row>
    <row r="14136" spans="1:9" x14ac:dyDescent="0.25">
      <c r="A14136">
        <v>483</v>
      </c>
      <c r="B14136" t="s">
        <v>3945</v>
      </c>
      <c r="C14136" t="s">
        <v>75</v>
      </c>
      <c r="D14136" t="s">
        <v>674</v>
      </c>
      <c r="E14136">
        <f>2/106</f>
        <v>1.8867924528301886E-2</v>
      </c>
      <c r="F14136">
        <v>11</v>
      </c>
      <c r="G14136">
        <f>LOG(382/(11+1))</f>
        <v>1.5028821168640838</v>
      </c>
      <c r="H14136">
        <f>0.0188679245283018*3.46051395881857</f>
        <v>6.5292716204123663E-2</v>
      </c>
      <c r="I14136">
        <v>6.5292716204124052E-2</v>
      </c>
    </row>
    <row r="14137" spans="1:9" x14ac:dyDescent="0.25">
      <c r="A14137">
        <v>483</v>
      </c>
      <c r="B14137" t="s">
        <v>3945</v>
      </c>
      <c r="C14137" t="s">
        <v>75</v>
      </c>
      <c r="D14137" t="s">
        <v>636</v>
      </c>
      <c r="E14137">
        <f>4/106</f>
        <v>3.7735849056603772E-2</v>
      </c>
      <c r="F14137">
        <v>31</v>
      </c>
      <c r="G14137">
        <f>LOG(382/(31+1))</f>
        <v>1.0769133845918029</v>
      </c>
      <c r="H14137">
        <f>0.0377358490566037*2.47968470580684</f>
        <v>9.3573007766295666E-2</v>
      </c>
      <c r="I14137">
        <v>9.3573007766296179E-2</v>
      </c>
    </row>
    <row r="14138" spans="1:9" x14ac:dyDescent="0.25">
      <c r="A14138">
        <v>483</v>
      </c>
      <c r="B14138" t="s">
        <v>3945</v>
      </c>
      <c r="C14138" t="s">
        <v>75</v>
      </c>
      <c r="D14138" t="s">
        <v>637</v>
      </c>
      <c r="E14138">
        <f>2/106</f>
        <v>1.8867924528301886E-2</v>
      </c>
      <c r="F14138">
        <v>29</v>
      </c>
      <c r="G14138">
        <f>LOG(382/(29+1))</f>
        <v>1.1049421081920463</v>
      </c>
      <c r="H14138">
        <f>0.0188679245283018*2.54422322694442</f>
        <v>4.8004211829139776E-2</v>
      </c>
      <c r="I14138">
        <v>4.8004211829139998E-2</v>
      </c>
    </row>
    <row r="14139" spans="1:9" x14ac:dyDescent="0.25">
      <c r="A14139">
        <v>483</v>
      </c>
      <c r="B14139" t="s">
        <v>3945</v>
      </c>
      <c r="C14139" t="s">
        <v>75</v>
      </c>
      <c r="D14139" t="s">
        <v>70</v>
      </c>
      <c r="E14139">
        <f>2/106</f>
        <v>1.8867924528301886E-2</v>
      </c>
      <c r="F14139">
        <v>44</v>
      </c>
      <c r="G14139">
        <f>LOG(382/(44+1))</f>
        <v>0.92885084913636506</v>
      </c>
      <c r="H14139">
        <f>0.0188679245283018*2.13875811883625</f>
        <v>4.0353926770495097E-2</v>
      </c>
      <c r="I14139">
        <v>4.0353926770495381E-2</v>
      </c>
    </row>
    <row r="14140" spans="1:9" x14ac:dyDescent="0.25">
      <c r="A14140">
        <v>483</v>
      </c>
      <c r="B14140" t="s">
        <v>3945</v>
      </c>
      <c r="C14140" t="s">
        <v>75</v>
      </c>
      <c r="D14140" t="s">
        <v>19</v>
      </c>
      <c r="E14140">
        <f>2/106</f>
        <v>1.8867924528301886E-2</v>
      </c>
      <c r="F14140">
        <v>220</v>
      </c>
      <c r="G14140">
        <f>LOG(382/(220+1))</f>
        <v>0.23767108922659805</v>
      </c>
      <c r="H14140">
        <f>0.0188679245283018*0.547257907088822</f>
        <v>1.0325620888468293E-2</v>
      </c>
      <c r="I14140">
        <v>1.032562088846835E-2</v>
      </c>
    </row>
    <row r="14141" spans="1:9" x14ac:dyDescent="0.25">
      <c r="A14141">
        <v>483</v>
      </c>
      <c r="B14141" t="s">
        <v>3945</v>
      </c>
      <c r="C14141" t="s">
        <v>75</v>
      </c>
      <c r="D14141" t="s">
        <v>44</v>
      </c>
      <c r="E14141">
        <f>2/106</f>
        <v>1.8867924528301886E-2</v>
      </c>
      <c r="F14141">
        <v>151</v>
      </c>
      <c r="G14141">
        <f>LOG(382/(151+1))</f>
        <v>0.40021977496693617</v>
      </c>
      <c r="H14141">
        <f>0.0188679245283018*0.921540087760298</f>
        <v>1.738754882566592E-2</v>
      </c>
      <c r="I14141">
        <v>1.738754882566601E-2</v>
      </c>
    </row>
    <row r="14142" spans="1:9" x14ac:dyDescent="0.25">
      <c r="A14142">
        <v>483</v>
      </c>
      <c r="B14142" t="s">
        <v>3945</v>
      </c>
      <c r="C14142" t="s">
        <v>75</v>
      </c>
      <c r="D14142" t="s">
        <v>22</v>
      </c>
      <c r="E14142">
        <f>2/106</f>
        <v>1.8867924528301886E-2</v>
      </c>
      <c r="F14142">
        <v>259</v>
      </c>
      <c r="G14142">
        <f>LOG(382/(259+1))</f>
        <v>0.16709001494089079</v>
      </c>
      <c r="H14142">
        <f>0.0188679245283018*0.384738977591047</f>
        <v>7.2592259922838725E-3</v>
      </c>
      <c r="I14142">
        <v>7.259225992283915E-3</v>
      </c>
    </row>
    <row r="14143" spans="1:9" x14ac:dyDescent="0.25">
      <c r="A14143">
        <v>483</v>
      </c>
      <c r="B14143" t="s">
        <v>3945</v>
      </c>
      <c r="C14143" t="s">
        <v>75</v>
      </c>
      <c r="D14143" t="s">
        <v>3948</v>
      </c>
      <c r="E14143">
        <f>1/106</f>
        <v>9.433962264150943E-3</v>
      </c>
      <c r="F14143">
        <v>1</v>
      </c>
      <c r="G14143">
        <f>LOG(382/(1+1))</f>
        <v>2.2810333672477277</v>
      </c>
      <c r="H14143">
        <f>0.00943396226415094*5.25227342804663</f>
        <v>4.9549749321194603E-2</v>
      </c>
      <c r="I14143">
        <v>4.9549749321194617E-2</v>
      </c>
    </row>
    <row r="14144" spans="1:9" x14ac:dyDescent="0.25">
      <c r="A14144">
        <v>483</v>
      </c>
      <c r="B14144" t="s">
        <v>3945</v>
      </c>
      <c r="C14144" t="s">
        <v>75</v>
      </c>
      <c r="D14144" t="s">
        <v>1785</v>
      </c>
      <c r="E14144">
        <f>2/106</f>
        <v>1.8867924528301886E-2</v>
      </c>
      <c r="F14144">
        <v>21</v>
      </c>
      <c r="G14144">
        <f>LOG(382/(21+1))</f>
        <v>1.2396406820895025</v>
      </c>
      <c r="H14144">
        <f>0.0188679245283018*2.85437815524825</f>
        <v>5.3856191608457296E-2</v>
      </c>
      <c r="I14144">
        <v>5.3856191608457719E-2</v>
      </c>
    </row>
    <row r="14145" spans="1:9" x14ac:dyDescent="0.25">
      <c r="A14145">
        <v>483</v>
      </c>
      <c r="B14145" t="s">
        <v>3945</v>
      </c>
      <c r="C14145" t="s">
        <v>75</v>
      </c>
      <c r="D14145" t="s">
        <v>1537</v>
      </c>
      <c r="E14145">
        <f>1/106</f>
        <v>9.433962264150943E-3</v>
      </c>
      <c r="F14145">
        <v>80</v>
      </c>
      <c r="G14145">
        <f>LOG(382/(80+1))</f>
        <v>0.67357834403305894</v>
      </c>
      <c r="H14145">
        <f>0.00943396226415094*1.55097145393413</f>
        <v>1.4631806169189899E-2</v>
      </c>
      <c r="I14145">
        <v>1.463180616918996E-2</v>
      </c>
    </row>
    <row r="14146" spans="1:9" x14ac:dyDescent="0.25">
      <c r="A14146">
        <v>483</v>
      </c>
      <c r="B14146" t="s">
        <v>3945</v>
      </c>
      <c r="C14146" t="s">
        <v>75</v>
      </c>
      <c r="D14146" t="s">
        <v>1060</v>
      </c>
      <c r="E14146">
        <f>1/106</f>
        <v>9.433962264150943E-3</v>
      </c>
      <c r="F14146">
        <v>15</v>
      </c>
      <c r="G14146">
        <f>LOG(382/(15+1))</f>
        <v>1.3779433802557839</v>
      </c>
      <c r="H14146">
        <f>0.00943396226415094*3.17283188636679</f>
        <v>2.9932376286479139E-2</v>
      </c>
      <c r="I14146">
        <v>2.9932376286479191E-2</v>
      </c>
    </row>
    <row r="14147" spans="1:9" x14ac:dyDescent="0.25">
      <c r="A14147">
        <v>483</v>
      </c>
      <c r="B14147" t="s">
        <v>3945</v>
      </c>
      <c r="C14147" t="s">
        <v>75</v>
      </c>
      <c r="D14147" t="s">
        <v>105</v>
      </c>
      <c r="E14147">
        <f>1/106</f>
        <v>9.433962264150943E-3</v>
      </c>
      <c r="F14147">
        <v>122</v>
      </c>
      <c r="G14147">
        <f>LOG(382/(122+1))</f>
        <v>0.49215825147231079</v>
      </c>
      <c r="H14147">
        <f>0.00943396226415094*1.13323625323415</f>
        <v>1.0690908049378769E-2</v>
      </c>
      <c r="I14147">
        <v>1.069090804937884E-2</v>
      </c>
    </row>
    <row r="14148" spans="1:9" x14ac:dyDescent="0.25">
      <c r="A14148">
        <v>483</v>
      </c>
      <c r="B14148" t="s">
        <v>3945</v>
      </c>
      <c r="C14148" t="s">
        <v>75</v>
      </c>
      <c r="D14148" t="s">
        <v>3949</v>
      </c>
      <c r="E14148">
        <f>1/106</f>
        <v>9.433962264150943E-3</v>
      </c>
      <c r="F14148">
        <v>1</v>
      </c>
      <c r="G14148">
        <f>LOG(382/(1+1))</f>
        <v>2.2810333672477277</v>
      </c>
      <c r="H14148">
        <f>0.00943396226415094*5.25227342804663</f>
        <v>4.9549749321194603E-2</v>
      </c>
      <c r="I14148">
        <v>4.9549749321194617E-2</v>
      </c>
    </row>
    <row r="14149" spans="1:9" x14ac:dyDescent="0.25">
      <c r="A14149">
        <v>483</v>
      </c>
      <c r="B14149" t="s">
        <v>3945</v>
      </c>
      <c r="C14149" t="s">
        <v>75</v>
      </c>
      <c r="D14149" t="s">
        <v>1261</v>
      </c>
      <c r="E14149">
        <f>3/106</f>
        <v>2.8301886792452831E-2</v>
      </c>
      <c r="F14149">
        <v>12</v>
      </c>
      <c r="G14149">
        <f>LOG(382/(12+1))</f>
        <v>1.468120010604872</v>
      </c>
      <c r="H14149">
        <f>0.0283018867924528*3.38047125114503</f>
        <v>9.5673714655047912E-2</v>
      </c>
      <c r="I14149">
        <v>9.5673714655048259E-2</v>
      </c>
    </row>
    <row r="14150" spans="1:9" x14ac:dyDescent="0.25">
      <c r="A14150">
        <v>483</v>
      </c>
      <c r="B14150" t="s">
        <v>3945</v>
      </c>
      <c r="C14150" t="s">
        <v>75</v>
      </c>
      <c r="D14150" t="s">
        <v>126</v>
      </c>
      <c r="E14150">
        <f>3/106</f>
        <v>2.8301886792452831E-2</v>
      </c>
      <c r="F14150">
        <v>79</v>
      </c>
      <c r="G14150">
        <f>LOG(382/(79+1))</f>
        <v>0.67897337591976514</v>
      </c>
      <c r="H14150">
        <f>0.0283018867924528*1.56339397393269</f>
        <v>4.4246999262245901E-2</v>
      </c>
      <c r="I14150">
        <v>4.4246999262246053E-2</v>
      </c>
    </row>
    <row r="14151" spans="1:9" x14ac:dyDescent="0.25">
      <c r="A14151">
        <v>483</v>
      </c>
      <c r="B14151" t="s">
        <v>3945</v>
      </c>
      <c r="C14151" t="s">
        <v>75</v>
      </c>
      <c r="D14151" t="s">
        <v>24</v>
      </c>
      <c r="E14151">
        <f>3/106</f>
        <v>2.8301886792452831E-2</v>
      </c>
      <c r="F14151">
        <v>59</v>
      </c>
      <c r="G14151">
        <f>LOG(382/(59+1))</f>
        <v>0.80391211252806505</v>
      </c>
      <c r="H14151">
        <f>0.0283018867924528*1.85107604638447</f>
        <v>5.2388944708994377E-2</v>
      </c>
      <c r="I14151">
        <v>5.2388944708994557E-2</v>
      </c>
    </row>
    <row r="14152" spans="1:9" x14ac:dyDescent="0.25">
      <c r="A14152">
        <v>483</v>
      </c>
      <c r="B14152" t="s">
        <v>3945</v>
      </c>
      <c r="C14152" t="s">
        <v>75</v>
      </c>
      <c r="D14152" t="s">
        <v>1546</v>
      </c>
      <c r="E14152">
        <f>1/106</f>
        <v>9.433962264150943E-3</v>
      </c>
      <c r="F14152">
        <v>44</v>
      </c>
      <c r="G14152">
        <f>LOG(382/(44+1))</f>
        <v>0.92885084913636506</v>
      </c>
      <c r="H14152">
        <f>0.00943396226415094*2.13875811883625</f>
        <v>2.0176963385247632E-2</v>
      </c>
      <c r="I14152">
        <v>2.0176963385247691E-2</v>
      </c>
    </row>
    <row r="14153" spans="1:9" x14ac:dyDescent="0.25">
      <c r="A14153">
        <v>483</v>
      </c>
      <c r="B14153" t="s">
        <v>3945</v>
      </c>
      <c r="C14153" t="s">
        <v>75</v>
      </c>
      <c r="D14153" t="s">
        <v>78</v>
      </c>
      <c r="E14153">
        <f>2/106</f>
        <v>1.8867924528301886E-2</v>
      </c>
      <c r="F14153">
        <v>122</v>
      </c>
      <c r="G14153">
        <f>LOG(382/(122+1))</f>
        <v>0.49215825147231079</v>
      </c>
      <c r="H14153">
        <f>0.0188679245283018*1.13323625323415</f>
        <v>2.1381816098757448E-2</v>
      </c>
      <c r="I14153">
        <v>2.1381816098757691E-2</v>
      </c>
    </row>
    <row r="14154" spans="1:9" x14ac:dyDescent="0.25">
      <c r="A14154">
        <v>483</v>
      </c>
      <c r="B14154" t="s">
        <v>3945</v>
      </c>
      <c r="C14154" t="s">
        <v>75</v>
      </c>
      <c r="D14154" t="s">
        <v>754</v>
      </c>
      <c r="E14154">
        <f>1/106</f>
        <v>9.433962264150943E-3</v>
      </c>
      <c r="F14154">
        <v>111</v>
      </c>
      <c r="G14154">
        <f>LOG(382/(111+1))</f>
        <v>0.53284534024152708</v>
      </c>
      <c r="H14154">
        <f>0.00943396226415094*1.22692173731148</f>
        <v>1.1574733370863014E-2</v>
      </c>
      <c r="I14154">
        <v>1.1574733370863019E-2</v>
      </c>
    </row>
    <row r="14155" spans="1:9" x14ac:dyDescent="0.25">
      <c r="A14155">
        <v>483</v>
      </c>
      <c r="B14155" t="s">
        <v>3945</v>
      </c>
      <c r="C14155" t="s">
        <v>75</v>
      </c>
      <c r="D14155" t="s">
        <v>3324</v>
      </c>
      <c r="E14155">
        <f>1/106</f>
        <v>9.433962264150943E-3</v>
      </c>
      <c r="F14155">
        <v>8</v>
      </c>
      <c r="G14155">
        <f>LOG(382/(8+1))</f>
        <v>1.6278208534723839</v>
      </c>
      <c r="H14155">
        <f>0.00943396226415094*3.74819603127035</f>
        <v>3.5360339917644798E-2</v>
      </c>
      <c r="I14155">
        <v>3.5360339917644867E-2</v>
      </c>
    </row>
    <row r="14156" spans="1:9" x14ac:dyDescent="0.25">
      <c r="A14156">
        <v>483</v>
      </c>
      <c r="B14156" t="s">
        <v>3945</v>
      </c>
      <c r="C14156" t="s">
        <v>75</v>
      </c>
      <c r="D14156" t="s">
        <v>243</v>
      </c>
      <c r="E14156">
        <f>2/106</f>
        <v>1.8867924528301886E-2</v>
      </c>
      <c r="F14156">
        <v>131</v>
      </c>
      <c r="G14156">
        <f>LOG(382/(131+1))</f>
        <v>0.46148943170585888</v>
      </c>
      <c r="H14156">
        <f>0.0188679245283018*1.0626186860202</f>
        <v>2.0049409170192361E-2</v>
      </c>
      <c r="I14156">
        <v>2.0049409170192531E-2</v>
      </c>
    </row>
    <row r="14157" spans="1:9" x14ac:dyDescent="0.25">
      <c r="A14157">
        <v>483</v>
      </c>
      <c r="B14157" t="s">
        <v>3945</v>
      </c>
      <c r="C14157" t="s">
        <v>75</v>
      </c>
      <c r="D14157" t="s">
        <v>453</v>
      </c>
      <c r="E14157">
        <f>1/106</f>
        <v>9.433962264150943E-3</v>
      </c>
      <c r="F14157">
        <v>68</v>
      </c>
      <c r="G14157">
        <f>LOG(382/(68+1))</f>
        <v>0.74321427217445335</v>
      </c>
      <c r="H14157">
        <f>0.00943396226415094*1.71131410400931</f>
        <v>1.6144472679333107E-2</v>
      </c>
      <c r="I14157">
        <v>1.614447267933317E-2</v>
      </c>
    </row>
    <row r="14158" spans="1:9" x14ac:dyDescent="0.25">
      <c r="A14158">
        <v>483</v>
      </c>
      <c r="B14158" t="s">
        <v>3945</v>
      </c>
      <c r="C14158" t="s">
        <v>75</v>
      </c>
      <c r="D14158" t="s">
        <v>1905</v>
      </c>
      <c r="E14158">
        <f>1/106</f>
        <v>9.433962264150943E-3</v>
      </c>
      <c r="F14158">
        <v>24</v>
      </c>
      <c r="G14158">
        <f>LOG(382/(24+1))</f>
        <v>1.1841233542396712</v>
      </c>
      <c r="H14158">
        <f>0.00943396226415094*2.72654478373837</f>
        <v>2.5722120601305364E-2</v>
      </c>
      <c r="I14158">
        <v>2.572212060130542E-2</v>
      </c>
    </row>
    <row r="14159" spans="1:9" x14ac:dyDescent="0.25">
      <c r="A14159">
        <v>483</v>
      </c>
      <c r="B14159" t="s">
        <v>3945</v>
      </c>
      <c r="C14159" t="s">
        <v>75</v>
      </c>
      <c r="D14159" t="s">
        <v>23</v>
      </c>
      <c r="E14159">
        <f>1/106</f>
        <v>9.433962264150943E-3</v>
      </c>
      <c r="F14159">
        <v>275</v>
      </c>
      <c r="G14159">
        <f>LOG(382/(275+1))</f>
        <v>0.14115428084649101</v>
      </c>
      <c r="H14159">
        <f>0.00943396226415094*0.325019742889425</f>
        <v>3.0662239895228758E-3</v>
      </c>
      <c r="I14159">
        <v>3.066223989522878E-3</v>
      </c>
    </row>
    <row r="14160" spans="1:9" x14ac:dyDescent="0.25">
      <c r="A14160">
        <v>483</v>
      </c>
      <c r="B14160" t="s">
        <v>3945</v>
      </c>
      <c r="C14160" t="s">
        <v>75</v>
      </c>
      <c r="D14160" t="s">
        <v>455</v>
      </c>
      <c r="E14160">
        <f>2/106</f>
        <v>1.8867924528301886E-2</v>
      </c>
      <c r="F14160">
        <v>78</v>
      </c>
      <c r="G14160">
        <f>LOG(382/(78+1))</f>
        <v>0.6844362716212673</v>
      </c>
      <c r="H14160">
        <f>0.0188679245283018*1.57597275613955</f>
        <v>2.9735335021500806E-2</v>
      </c>
      <c r="I14160">
        <v>2.9735335021501011E-2</v>
      </c>
    </row>
    <row r="14161" spans="1:9" x14ac:dyDescent="0.25">
      <c r="A14161">
        <v>483</v>
      </c>
      <c r="B14161" t="s">
        <v>3945</v>
      </c>
      <c r="C14161" t="s">
        <v>75</v>
      </c>
      <c r="D14161" t="s">
        <v>456</v>
      </c>
      <c r="E14161">
        <f>2/106</f>
        <v>1.8867924528301886E-2</v>
      </c>
      <c r="F14161">
        <v>71</v>
      </c>
      <c r="G14161">
        <f>LOG(382/(71+1))</f>
        <v>0.72473086648044027</v>
      </c>
      <c r="H14161">
        <f>0.0188679245283018*1.66875448959051</f>
        <v>3.148593376585853E-2</v>
      </c>
      <c r="I14161">
        <v>3.1485933765858863E-2</v>
      </c>
    </row>
    <row r="14162" spans="1:9" x14ac:dyDescent="0.25">
      <c r="A14162">
        <v>483</v>
      </c>
      <c r="B14162" t="s">
        <v>3945</v>
      </c>
      <c r="C14162" t="s">
        <v>75</v>
      </c>
      <c r="D14162" t="s">
        <v>1779</v>
      </c>
      <c r="E14162">
        <f t="shared" ref="E14162:E14172" si="667">1/106</f>
        <v>9.433962264150943E-3</v>
      </c>
      <c r="F14162">
        <v>41</v>
      </c>
      <c r="G14162">
        <f>LOG(382/(41+1))</f>
        <v>0.95881407251380824</v>
      </c>
      <c r="H14162">
        <f>0.00943396226415094*2.2077509903232</f>
        <v>2.0827839531350936E-2</v>
      </c>
      <c r="I14162">
        <v>2.0827839531351009E-2</v>
      </c>
    </row>
    <row r="14163" spans="1:9" x14ac:dyDescent="0.25">
      <c r="A14163">
        <v>483</v>
      </c>
      <c r="B14163" t="s">
        <v>3945</v>
      </c>
      <c r="C14163" t="s">
        <v>75</v>
      </c>
      <c r="D14163" t="s">
        <v>3950</v>
      </c>
      <c r="E14163">
        <f t="shared" si="667"/>
        <v>9.433962264150943E-3</v>
      </c>
      <c r="F14163">
        <v>1</v>
      </c>
      <c r="G14163">
        <f>LOG(382/(1+1))</f>
        <v>2.2810333672477277</v>
      </c>
      <c r="H14163">
        <f>0.00943396226415094*5.25227342804663</f>
        <v>4.9549749321194603E-2</v>
      </c>
      <c r="I14163">
        <v>4.9549749321194617E-2</v>
      </c>
    </row>
    <row r="14164" spans="1:9" x14ac:dyDescent="0.25">
      <c r="A14164">
        <v>483</v>
      </c>
      <c r="B14164" t="s">
        <v>3945</v>
      </c>
      <c r="C14164" t="s">
        <v>75</v>
      </c>
      <c r="D14164" t="s">
        <v>361</v>
      </c>
      <c r="E14164">
        <f t="shared" si="667"/>
        <v>9.433962264150943E-3</v>
      </c>
      <c r="F14164">
        <v>118</v>
      </c>
      <c r="G14164">
        <f>LOG(382/(118+1))</f>
        <v>0.50651640151917798</v>
      </c>
      <c r="H14164">
        <f>0.00943396226415094*1.16629711549504</f>
        <v>1.1002802976368296E-2</v>
      </c>
      <c r="I14164">
        <v>1.100280297636836E-2</v>
      </c>
    </row>
    <row r="14165" spans="1:9" x14ac:dyDescent="0.25">
      <c r="A14165">
        <v>483</v>
      </c>
      <c r="B14165" t="s">
        <v>3945</v>
      </c>
      <c r="C14165" t="s">
        <v>75</v>
      </c>
      <c r="D14165" t="s">
        <v>434</v>
      </c>
      <c r="E14165">
        <f t="shared" si="667"/>
        <v>9.433962264150943E-3</v>
      </c>
      <c r="F14165">
        <v>97</v>
      </c>
      <c r="G14165">
        <f>LOG(382/(97+1))</f>
        <v>0.59083728721921391</v>
      </c>
      <c r="H14165">
        <f>0.00943396226415094*1.360453129936</f>
        <v>1.2834463489962259E-2</v>
      </c>
      <c r="I14165">
        <v>1.283446348996229E-2</v>
      </c>
    </row>
    <row r="14166" spans="1:9" x14ac:dyDescent="0.25">
      <c r="A14166">
        <v>483</v>
      </c>
      <c r="B14166" t="s">
        <v>3945</v>
      </c>
      <c r="C14166" t="s">
        <v>75</v>
      </c>
      <c r="D14166" t="s">
        <v>1972</v>
      </c>
      <c r="E14166">
        <f t="shared" si="667"/>
        <v>9.433962264150943E-3</v>
      </c>
      <c r="F14166">
        <v>9</v>
      </c>
      <c r="G14166">
        <f>LOG(382/(9+1))</f>
        <v>1.5820633629117087</v>
      </c>
      <c r="H14166">
        <f>0.00943396226415094*3.64283551561252</f>
        <v>3.4366372788797346E-2</v>
      </c>
      <c r="I14166">
        <v>3.4366372788797443E-2</v>
      </c>
    </row>
    <row r="14167" spans="1:9" x14ac:dyDescent="0.25">
      <c r="A14167">
        <v>483</v>
      </c>
      <c r="B14167" t="s">
        <v>3945</v>
      </c>
      <c r="C14167" t="s">
        <v>75</v>
      </c>
      <c r="D14167" t="s">
        <v>149</v>
      </c>
      <c r="E14167">
        <f t="shared" si="667"/>
        <v>9.433962264150943E-3</v>
      </c>
      <c r="F14167">
        <v>35</v>
      </c>
      <c r="G14167">
        <f>LOG(382/(35+1))</f>
        <v>1.0257608621444214</v>
      </c>
      <c r="H14167">
        <f>0.00943396226415094*2.36190167015046</f>
        <v>2.2282091227834519E-2</v>
      </c>
      <c r="I14167">
        <v>2.2282091227834571E-2</v>
      </c>
    </row>
    <row r="14168" spans="1:9" x14ac:dyDescent="0.25">
      <c r="A14168">
        <v>483</v>
      </c>
      <c r="B14168" t="s">
        <v>3945</v>
      </c>
      <c r="C14168" t="s">
        <v>75</v>
      </c>
      <c r="D14168" t="s">
        <v>673</v>
      </c>
      <c r="E14168">
        <f t="shared" si="667"/>
        <v>9.433962264150943E-3</v>
      </c>
      <c r="F14168">
        <v>16</v>
      </c>
      <c r="G14168">
        <f>LOG(382/(16+1))</f>
        <v>1.3516144415334348</v>
      </c>
      <c r="H14168">
        <f>0.00943396226415094*3.11220726455035</f>
        <v>2.9360445891984419E-2</v>
      </c>
      <c r="I14168">
        <v>2.936044589198452E-2</v>
      </c>
    </row>
    <row r="14169" spans="1:9" x14ac:dyDescent="0.25">
      <c r="A14169">
        <v>483</v>
      </c>
      <c r="B14169" t="s">
        <v>3945</v>
      </c>
      <c r="C14169" t="s">
        <v>75</v>
      </c>
      <c r="D14169" t="s">
        <v>214</v>
      </c>
      <c r="E14169">
        <f t="shared" si="667"/>
        <v>9.433962264150943E-3</v>
      </c>
      <c r="F14169">
        <v>68</v>
      </c>
      <c r="G14169">
        <f>LOG(382/(68+1))</f>
        <v>0.74321427217445335</v>
      </c>
      <c r="H14169">
        <f>0.00943396226415094*1.71131410400931</f>
        <v>1.6144472679333107E-2</v>
      </c>
      <c r="I14169">
        <v>1.614447267933317E-2</v>
      </c>
    </row>
    <row r="14170" spans="1:9" x14ac:dyDescent="0.25">
      <c r="A14170">
        <v>483</v>
      </c>
      <c r="B14170" t="s">
        <v>3945</v>
      </c>
      <c r="C14170" t="s">
        <v>75</v>
      </c>
      <c r="D14170" t="s">
        <v>322</v>
      </c>
      <c r="E14170">
        <f t="shared" si="667"/>
        <v>9.433962264150943E-3</v>
      </c>
      <c r="F14170">
        <v>128</v>
      </c>
      <c r="G14170">
        <f>LOG(382/(128+1))</f>
        <v>0.47147365261245977</v>
      </c>
      <c r="H14170">
        <f>0.00943396226415094*1.0856082042449</f>
        <v>1.0241586832499053E-2</v>
      </c>
      <c r="I14170">
        <v>1.0241586832499089E-2</v>
      </c>
    </row>
    <row r="14171" spans="1:9" x14ac:dyDescent="0.25">
      <c r="A14171">
        <v>483</v>
      </c>
      <c r="B14171" t="s">
        <v>3945</v>
      </c>
      <c r="C14171" t="s">
        <v>75</v>
      </c>
      <c r="D14171" t="s">
        <v>1773</v>
      </c>
      <c r="E14171">
        <f t="shared" si="667"/>
        <v>9.433962264150943E-3</v>
      </c>
      <c r="F14171">
        <v>24</v>
      </c>
      <c r="G14171">
        <f>LOG(382/(24+1))</f>
        <v>1.1841233542396712</v>
      </c>
      <c r="H14171">
        <f>0.00943396226415094*2.72654478373837</f>
        <v>2.5722120601305364E-2</v>
      </c>
      <c r="I14171">
        <v>2.572212060130542E-2</v>
      </c>
    </row>
    <row r="14172" spans="1:9" x14ac:dyDescent="0.25">
      <c r="A14172">
        <v>483</v>
      </c>
      <c r="B14172" t="s">
        <v>3945</v>
      </c>
      <c r="C14172" t="s">
        <v>75</v>
      </c>
      <c r="D14172" t="s">
        <v>447</v>
      </c>
      <c r="E14172">
        <f t="shared" si="667"/>
        <v>9.433962264150943E-3</v>
      </c>
      <c r="F14172">
        <v>37</v>
      </c>
      <c r="G14172">
        <f>LOG(382/(37+1))</f>
        <v>1.0022797662948986</v>
      </c>
      <c r="H14172">
        <f>0.00943396226415094*2.30783444888018</f>
        <v>2.1772023102643197E-2</v>
      </c>
      <c r="I14172">
        <v>2.1772023102643291E-2</v>
      </c>
    </row>
    <row r="14173" spans="1:9" x14ac:dyDescent="0.25">
      <c r="A14173">
        <v>483</v>
      </c>
      <c r="B14173" t="s">
        <v>3945</v>
      </c>
      <c r="C14173" t="s">
        <v>75</v>
      </c>
      <c r="D14173" t="s">
        <v>81</v>
      </c>
      <c r="E14173">
        <f>2/106</f>
        <v>1.8867924528301886E-2</v>
      </c>
      <c r="F14173">
        <v>114</v>
      </c>
      <c r="G14173">
        <f>LOG(382/(114+1))</f>
        <v>0.52136552255809698</v>
      </c>
      <c r="H14173">
        <f>0.0188679245283018*1.20048848024332</f>
        <v>2.2650726042326687E-2</v>
      </c>
      <c r="I14173">
        <v>2.2650726042326891E-2</v>
      </c>
    </row>
    <row r="14174" spans="1:9" x14ac:dyDescent="0.25">
      <c r="A14174">
        <v>483</v>
      </c>
      <c r="B14174" t="s">
        <v>3945</v>
      </c>
      <c r="C14174" t="s">
        <v>75</v>
      </c>
      <c r="D14174" t="s">
        <v>237</v>
      </c>
      <c r="E14174">
        <f>2/106</f>
        <v>1.8867924528301886E-2</v>
      </c>
      <c r="F14174">
        <v>138</v>
      </c>
      <c r="G14174">
        <f>LOG(382/(138+1))</f>
        <v>0.43904856265761361</v>
      </c>
      <c r="H14174">
        <f>0.0188679245283018*1.01094667547588</f>
        <v>1.9074465575016516E-2</v>
      </c>
      <c r="I14174">
        <v>1.9074465575016668E-2</v>
      </c>
    </row>
    <row r="14175" spans="1:9" x14ac:dyDescent="0.25">
      <c r="A14175">
        <v>483</v>
      </c>
      <c r="B14175" t="s">
        <v>3945</v>
      </c>
      <c r="C14175" t="s">
        <v>75</v>
      </c>
      <c r="D14175" t="s">
        <v>3211</v>
      </c>
      <c r="E14175">
        <f>1/106</f>
        <v>9.433962264150943E-3</v>
      </c>
      <c r="F14175">
        <v>5</v>
      </c>
      <c r="G14175">
        <f>LOG(382/(5+1))</f>
        <v>1.803912112528065</v>
      </c>
      <c r="H14175">
        <f>0.00943396226415094*4.15366113937852</f>
        <v>3.9185482446967151E-2</v>
      </c>
      <c r="I14175">
        <v>3.9185482446967172E-2</v>
      </c>
    </row>
    <row r="14176" spans="1:9" x14ac:dyDescent="0.25">
      <c r="A14176">
        <v>483</v>
      </c>
      <c r="B14176" t="s">
        <v>3945</v>
      </c>
      <c r="C14176" t="s">
        <v>75</v>
      </c>
      <c r="D14176" t="s">
        <v>3944</v>
      </c>
      <c r="E14176">
        <f>1/106</f>
        <v>9.433962264150943E-3</v>
      </c>
      <c r="F14176">
        <v>6</v>
      </c>
      <c r="G14176">
        <f>LOG(382/(6+1))</f>
        <v>1.736965322897452</v>
      </c>
      <c r="H14176">
        <f>0.00943396226415094*3.99951045955126</f>
        <v>3.7731230750483569E-2</v>
      </c>
      <c r="I14176">
        <v>3.7731230750483603E-2</v>
      </c>
    </row>
    <row r="14177" spans="1:9" x14ac:dyDescent="0.25">
      <c r="A14177">
        <v>483</v>
      </c>
      <c r="B14177" t="s">
        <v>3945</v>
      </c>
      <c r="C14177" t="s">
        <v>75</v>
      </c>
      <c r="D14177" t="s">
        <v>1222</v>
      </c>
      <c r="E14177">
        <f>2/106</f>
        <v>1.8867924528301886E-2</v>
      </c>
      <c r="F14177">
        <v>56</v>
      </c>
      <c r="G14177">
        <f>LOG(382/(56+1))</f>
        <v>0.82618850723921733</v>
      </c>
      <c r="H14177">
        <f>0.0188679245283018*1.90236934077202</f>
        <v>3.5893761146641716E-2</v>
      </c>
      <c r="I14177">
        <v>3.589376114664198E-2</v>
      </c>
    </row>
    <row r="14178" spans="1:9" x14ac:dyDescent="0.25">
      <c r="A14178">
        <v>483</v>
      </c>
      <c r="B14178" t="s">
        <v>3945</v>
      </c>
      <c r="C14178" t="s">
        <v>75</v>
      </c>
      <c r="D14178" t="s">
        <v>324</v>
      </c>
      <c r="E14178">
        <f>1/106</f>
        <v>9.433962264150943E-3</v>
      </c>
      <c r="F14178">
        <v>82</v>
      </c>
      <c r="G14178">
        <f>LOG(382/(82+1))</f>
        <v>0.66298527053563483</v>
      </c>
      <c r="H14178">
        <f>0.00943396226415094*1.52658000080997</f>
        <v>1.4401698120848768E-2</v>
      </c>
      <c r="I14178">
        <v>1.4401698120848841E-2</v>
      </c>
    </row>
    <row r="14179" spans="1:9" x14ac:dyDescent="0.25">
      <c r="A14179">
        <v>483</v>
      </c>
      <c r="B14179" t="s">
        <v>3945</v>
      </c>
      <c r="C14179" t="s">
        <v>75</v>
      </c>
      <c r="D14179" t="s">
        <v>485</v>
      </c>
      <c r="E14179">
        <f>1/106</f>
        <v>9.433962264150943E-3</v>
      </c>
      <c r="F14179">
        <v>74</v>
      </c>
      <c r="G14179">
        <f>LOG(382/(74+1))</f>
        <v>0.7070020995200087</v>
      </c>
      <c r="H14179">
        <f>0.00943396226415094*1.62793249507026</f>
        <v>1.5357853727077918E-2</v>
      </c>
      <c r="I14179">
        <v>1.535785372707797E-2</v>
      </c>
    </row>
    <row r="14180" spans="1:9" x14ac:dyDescent="0.25">
      <c r="A14180">
        <v>483</v>
      </c>
      <c r="B14180" t="s">
        <v>3945</v>
      </c>
      <c r="C14180" t="s">
        <v>75</v>
      </c>
      <c r="D14180" t="s">
        <v>388</v>
      </c>
      <c r="E14180">
        <f>1/106</f>
        <v>9.433962264150943E-3</v>
      </c>
      <c r="F14180">
        <v>44</v>
      </c>
      <c r="G14180">
        <f>LOG(382/(44+1))</f>
        <v>0.92885084913636506</v>
      </c>
      <c r="H14180">
        <f>0.00943396226415094*2.13875811883625</f>
        <v>2.0176963385247632E-2</v>
      </c>
      <c r="I14180">
        <v>2.0176963385247691E-2</v>
      </c>
    </row>
    <row r="14181" spans="1:9" x14ac:dyDescent="0.25">
      <c r="A14181">
        <v>483</v>
      </c>
      <c r="B14181" t="s">
        <v>3945</v>
      </c>
      <c r="C14181" t="s">
        <v>75</v>
      </c>
      <c r="D14181" t="s">
        <v>596</v>
      </c>
      <c r="E14181">
        <f>1/106</f>
        <v>9.433962264150943E-3</v>
      </c>
      <c r="F14181">
        <v>60</v>
      </c>
      <c r="G14181">
        <f>LOG(382/(60+1))</f>
        <v>0.79673352790094176</v>
      </c>
      <c r="H14181">
        <f>0.00943396226415094*1.83454674443326</f>
        <v>1.7307044758804332E-2</v>
      </c>
      <c r="I14181">
        <v>1.7307044758804381E-2</v>
      </c>
    </row>
    <row r="14182" spans="1:9" x14ac:dyDescent="0.25">
      <c r="A14182">
        <v>483</v>
      </c>
      <c r="B14182" t="s">
        <v>3945</v>
      </c>
      <c r="C14182" t="s">
        <v>75</v>
      </c>
      <c r="D14182" t="s">
        <v>597</v>
      </c>
      <c r="E14182">
        <f>1/106</f>
        <v>9.433962264150943E-3</v>
      </c>
      <c r="F14182">
        <v>51</v>
      </c>
      <c r="G14182">
        <f>LOG(382/(51+1))</f>
        <v>0.86606001927690957</v>
      </c>
      <c r="H14182">
        <f>0.00943396226415094*1.99417689002514</f>
        <v>1.8812989528539048E-2</v>
      </c>
      <c r="I14182">
        <v>1.8812989528539131E-2</v>
      </c>
    </row>
    <row r="14183" spans="1:9" x14ac:dyDescent="0.25">
      <c r="A14183">
        <v>483</v>
      </c>
      <c r="B14183" t="s">
        <v>3945</v>
      </c>
      <c r="C14183" t="s">
        <v>75</v>
      </c>
      <c r="D14183" t="s">
        <v>770</v>
      </c>
      <c r="E14183">
        <f>3/106</f>
        <v>2.8301886792452831E-2</v>
      </c>
      <c r="F14183">
        <v>47</v>
      </c>
      <c r="G14183">
        <f>LOG(382/(47+1))</f>
        <v>0.90082212553612151</v>
      </c>
      <c r="H14183">
        <f>0.0283018867924528*2.07421959769868</f>
        <v>5.8704328236755032E-2</v>
      </c>
      <c r="I14183">
        <v>5.8704328236755213E-2</v>
      </c>
    </row>
    <row r="14184" spans="1:9" x14ac:dyDescent="0.25">
      <c r="A14184">
        <v>483</v>
      </c>
      <c r="B14184" t="s">
        <v>3945</v>
      </c>
      <c r="C14184" t="s">
        <v>75</v>
      </c>
      <c r="D14184" t="s">
        <v>438</v>
      </c>
      <c r="E14184">
        <f>1/106</f>
        <v>9.433962264150943E-3</v>
      </c>
      <c r="F14184">
        <v>37</v>
      </c>
      <c r="G14184">
        <f>LOG(382/(37+1))</f>
        <v>1.0022797662948986</v>
      </c>
      <c r="H14184">
        <f>0.00943396226415094*2.30783444888018</f>
        <v>2.1772023102643197E-2</v>
      </c>
      <c r="I14184">
        <v>2.1772023102643291E-2</v>
      </c>
    </row>
    <row r="14185" spans="1:9" x14ac:dyDescent="0.25">
      <c r="A14185">
        <v>483</v>
      </c>
      <c r="B14185" t="s">
        <v>3945</v>
      </c>
      <c r="C14185" t="s">
        <v>75</v>
      </c>
      <c r="D14185" t="s">
        <v>209</v>
      </c>
      <c r="E14185">
        <f>1/106</f>
        <v>9.433962264150943E-3</v>
      </c>
      <c r="F14185">
        <v>7</v>
      </c>
      <c r="G14185">
        <f>LOG(382/(7+1))</f>
        <v>1.6789733759197651</v>
      </c>
      <c r="H14185">
        <f>0.00943396226415094*3.86597906692673</f>
        <v>3.6471500631384234E-2</v>
      </c>
      <c r="I14185">
        <v>3.6471500631384331E-2</v>
      </c>
    </row>
    <row r="14186" spans="1:9" x14ac:dyDescent="0.25">
      <c r="A14186">
        <v>483</v>
      </c>
      <c r="B14186" t="s">
        <v>3945</v>
      </c>
      <c r="C14186" t="s">
        <v>75</v>
      </c>
      <c r="D14186" t="s">
        <v>1633</v>
      </c>
      <c r="E14186">
        <f>1/106</f>
        <v>9.433962264150943E-3</v>
      </c>
      <c r="F14186">
        <v>18</v>
      </c>
      <c r="G14186">
        <f>LOG(382/(18+1))</f>
        <v>1.3033097619588798</v>
      </c>
      <c r="H14186">
        <f>0.00943396226415094*3.00098162944013</f>
        <v>2.8311147447548386E-2</v>
      </c>
      <c r="I14186">
        <v>2.8311147447548441E-2</v>
      </c>
    </row>
    <row r="14187" spans="1:9" x14ac:dyDescent="0.25">
      <c r="A14187">
        <v>483</v>
      </c>
      <c r="B14187" t="s">
        <v>3945</v>
      </c>
      <c r="C14187" t="s">
        <v>75</v>
      </c>
      <c r="D14187" t="s">
        <v>2238</v>
      </c>
      <c r="E14187">
        <f>1/106</f>
        <v>9.433962264150943E-3</v>
      </c>
      <c r="F14187">
        <v>68</v>
      </c>
      <c r="G14187">
        <f>LOG(382/(68+1))</f>
        <v>0.74321427217445335</v>
      </c>
      <c r="H14187">
        <f>0.00943396226415094*1.71131410400931</f>
        <v>1.6144472679333107E-2</v>
      </c>
      <c r="I14187">
        <v>1.614447267933317E-2</v>
      </c>
    </row>
    <row r="14188" spans="1:9" x14ac:dyDescent="0.25">
      <c r="A14188">
        <v>483</v>
      </c>
      <c r="B14188" t="s">
        <v>3945</v>
      </c>
      <c r="C14188" t="s">
        <v>75</v>
      </c>
      <c r="D14188" t="s">
        <v>823</v>
      </c>
      <c r="E14188">
        <f>1/106</f>
        <v>9.433962264150943E-3</v>
      </c>
      <c r="F14188">
        <v>45</v>
      </c>
      <c r="G14188">
        <f>LOG(382/(45+1))</f>
        <v>0.9193055312301347</v>
      </c>
      <c r="H14188">
        <f>0.00943396226415094*2.11677921211748</f>
        <v>1.9969615208655464E-2</v>
      </c>
      <c r="I14188">
        <v>1.9969615208655471E-2</v>
      </c>
    </row>
    <row r="14189" spans="1:9" x14ac:dyDescent="0.25">
      <c r="A14189">
        <v>483</v>
      </c>
      <c r="B14189" t="s">
        <v>3945</v>
      </c>
      <c r="C14189" t="s">
        <v>75</v>
      </c>
      <c r="D14189" t="s">
        <v>1730</v>
      </c>
      <c r="E14189">
        <f>2/106</f>
        <v>1.8867924528301886E-2</v>
      </c>
      <c r="F14189">
        <v>35</v>
      </c>
      <c r="G14189">
        <f>LOG(382/(35+1))</f>
        <v>1.0257608621444214</v>
      </c>
      <c r="H14189">
        <f>0.0188679245283018*2.36190167015046</f>
        <v>4.4564182455668851E-2</v>
      </c>
      <c r="I14189">
        <v>4.4564182455669149E-2</v>
      </c>
    </row>
    <row r="14190" spans="1:9" x14ac:dyDescent="0.25">
      <c r="A14190">
        <v>483</v>
      </c>
      <c r="B14190" t="s">
        <v>3945</v>
      </c>
      <c r="C14190" t="s">
        <v>75</v>
      </c>
      <c r="D14190" t="s">
        <v>937</v>
      </c>
      <c r="E14190">
        <f>1/106</f>
        <v>9.433962264150943E-3</v>
      </c>
      <c r="F14190">
        <v>41</v>
      </c>
      <c r="G14190">
        <f>LOG(382/(41+1))</f>
        <v>0.95881407251380824</v>
      </c>
      <c r="H14190">
        <f>0.00943396226415094*2.2077509903232</f>
        <v>2.0827839531350936E-2</v>
      </c>
      <c r="I14190">
        <v>2.0827839531351009E-2</v>
      </c>
    </row>
    <row r="14191" spans="1:9" x14ac:dyDescent="0.25">
      <c r="A14191">
        <v>483</v>
      </c>
      <c r="B14191" t="s">
        <v>3945</v>
      </c>
      <c r="C14191" t="s">
        <v>75</v>
      </c>
      <c r="D14191" t="s">
        <v>3537</v>
      </c>
      <c r="E14191">
        <f>1/106</f>
        <v>9.433962264150943E-3</v>
      </c>
      <c r="F14191">
        <v>10</v>
      </c>
      <c r="G14191">
        <f>LOG(382/(10+1))</f>
        <v>1.5406706777534838</v>
      </c>
      <c r="H14191">
        <f>0.00943396226415094*3.5475253358082</f>
        <v>3.3467220149133947E-2</v>
      </c>
      <c r="I14191">
        <v>3.3467220149134003E-2</v>
      </c>
    </row>
    <row r="14192" spans="1:9" x14ac:dyDescent="0.25">
      <c r="A14192">
        <v>483</v>
      </c>
      <c r="B14192" t="s">
        <v>3945</v>
      </c>
      <c r="C14192" t="s">
        <v>75</v>
      </c>
      <c r="D14192" t="s">
        <v>82</v>
      </c>
      <c r="E14192">
        <f>1/106</f>
        <v>9.433962264150943E-3</v>
      </c>
      <c r="F14192">
        <v>92</v>
      </c>
      <c r="G14192">
        <f>LOG(382/(92+1))</f>
        <v>0.61358041435777355</v>
      </c>
      <c r="H14192">
        <f>0.00943396226415094*1.41282111545331</f>
        <v>1.3328501089182163E-2</v>
      </c>
      <c r="I14192">
        <v>1.332850108918226E-2</v>
      </c>
    </row>
    <row r="14193" spans="1:9" x14ac:dyDescent="0.25">
      <c r="A14193">
        <v>483</v>
      </c>
      <c r="B14193" t="s">
        <v>3945</v>
      </c>
      <c r="C14193" t="s">
        <v>75</v>
      </c>
      <c r="D14193" t="s">
        <v>929</v>
      </c>
      <c r="E14193">
        <f>2/106</f>
        <v>1.8867924528301886E-2</v>
      </c>
      <c r="F14193">
        <v>32</v>
      </c>
      <c r="G14193">
        <f>LOG(382/(32+1))</f>
        <v>1.0635494230338212</v>
      </c>
      <c r="H14193">
        <f>0.0188679245283018*2.44891304714009</f>
        <v>4.6205906549812811E-2</v>
      </c>
      <c r="I14193">
        <v>4.620590654981311E-2</v>
      </c>
    </row>
    <row r="14194" spans="1:9" x14ac:dyDescent="0.25">
      <c r="A14194">
        <v>483</v>
      </c>
      <c r="B14194" t="s">
        <v>3945</v>
      </c>
      <c r="C14194" t="s">
        <v>75</v>
      </c>
      <c r="D14194" t="s">
        <v>1125</v>
      </c>
      <c r="E14194">
        <f>1/106</f>
        <v>9.433962264150943E-3</v>
      </c>
      <c r="F14194">
        <v>19</v>
      </c>
      <c r="G14194">
        <f>LOG(382/(19+1))</f>
        <v>1.2810333672477277</v>
      </c>
      <c r="H14194">
        <f>0.00943396226415094*2.94968833505258</f>
        <v>2.7827248443892252E-2</v>
      </c>
      <c r="I14194">
        <v>2.78272484438923E-2</v>
      </c>
    </row>
    <row r="14195" spans="1:9" x14ac:dyDescent="0.25">
      <c r="A14195">
        <v>483</v>
      </c>
      <c r="B14195" t="s">
        <v>3945</v>
      </c>
      <c r="C14195" t="s">
        <v>75</v>
      </c>
      <c r="D14195" t="s">
        <v>1769</v>
      </c>
      <c r="E14195">
        <f>2/106</f>
        <v>1.8867924528301886E-2</v>
      </c>
      <c r="F14195">
        <v>84</v>
      </c>
      <c r="G14195">
        <f>LOG(382/(84+1))</f>
        <v>0.65264443719741605</v>
      </c>
      <c r="H14195">
        <f>0.0188679245283018*1.50276935211625</f>
        <v>2.8354138719174395E-2</v>
      </c>
      <c r="I14195">
        <v>2.835413871917469E-2</v>
      </c>
    </row>
    <row r="14196" spans="1:9" x14ac:dyDescent="0.25">
      <c r="A14196">
        <v>483</v>
      </c>
      <c r="B14196" t="s">
        <v>3945</v>
      </c>
      <c r="C14196" t="s">
        <v>75</v>
      </c>
      <c r="D14196" t="s">
        <v>3603</v>
      </c>
      <c r="E14196">
        <f>1/106</f>
        <v>9.433962264150943E-3</v>
      </c>
      <c r="F14196">
        <v>3</v>
      </c>
      <c r="G14196">
        <f>LOG(382/(3+1))</f>
        <v>1.9800033715837464</v>
      </c>
      <c r="H14196">
        <f>0.00943396226415094*4.55912624748668</f>
        <v>4.3010624976289415E-2</v>
      </c>
      <c r="I14196">
        <v>4.3010624976289477E-2</v>
      </c>
    </row>
    <row r="14197" spans="1:9" x14ac:dyDescent="0.25">
      <c r="A14197">
        <v>483</v>
      </c>
      <c r="B14197" t="s">
        <v>3945</v>
      </c>
      <c r="C14197" t="s">
        <v>75</v>
      </c>
      <c r="D14197" t="s">
        <v>3951</v>
      </c>
      <c r="E14197">
        <f>1/106</f>
        <v>9.433962264150943E-3</v>
      </c>
      <c r="F14197">
        <v>1</v>
      </c>
      <c r="G14197">
        <f>LOG(382/(1+1))</f>
        <v>2.2810333672477277</v>
      </c>
      <c r="H14197">
        <f>0.00943396226415094*5.25227342804663</f>
        <v>4.9549749321194603E-2</v>
      </c>
      <c r="I14197">
        <v>4.9549749321194617E-2</v>
      </c>
    </row>
    <row r="14198" spans="1:9" x14ac:dyDescent="0.25">
      <c r="A14198">
        <v>483</v>
      </c>
      <c r="B14198" t="s">
        <v>3945</v>
      </c>
      <c r="C14198" t="s">
        <v>75</v>
      </c>
      <c r="D14198" t="s">
        <v>3952</v>
      </c>
      <c r="E14198">
        <f>1/106</f>
        <v>9.433962264150943E-3</v>
      </c>
      <c r="F14198">
        <v>1</v>
      </c>
      <c r="G14198">
        <f>LOG(382/(1+1))</f>
        <v>2.2810333672477277</v>
      </c>
      <c r="H14198">
        <f>0.00943396226415094*5.25227342804663</f>
        <v>4.9549749321194603E-2</v>
      </c>
      <c r="I14198">
        <v>4.9549749321194617E-2</v>
      </c>
    </row>
    <row r="14199" spans="1:9" x14ac:dyDescent="0.25">
      <c r="A14199">
        <v>483</v>
      </c>
      <c r="B14199" t="s">
        <v>3945</v>
      </c>
      <c r="C14199" t="s">
        <v>75</v>
      </c>
      <c r="D14199" t="s">
        <v>1762</v>
      </c>
      <c r="E14199">
        <f>2/106</f>
        <v>1.8867924528301886E-2</v>
      </c>
      <c r="F14199">
        <v>60</v>
      </c>
      <c r="G14199">
        <f>LOG(382/(60+1))</f>
        <v>0.79673352790094176</v>
      </c>
      <c r="H14199">
        <f>0.0188679245283018*1.83454674443326</f>
        <v>3.4614089517608519E-2</v>
      </c>
      <c r="I14199">
        <v>3.4614089517608762E-2</v>
      </c>
    </row>
    <row r="14200" spans="1:9" x14ac:dyDescent="0.25">
      <c r="A14200">
        <v>483</v>
      </c>
      <c r="B14200" t="s">
        <v>3945</v>
      </c>
      <c r="C14200" t="s">
        <v>75</v>
      </c>
      <c r="D14200" t="s">
        <v>201</v>
      </c>
      <c r="E14200">
        <f>1/106</f>
        <v>9.433962264150943E-3</v>
      </c>
      <c r="F14200">
        <v>72</v>
      </c>
      <c r="G14200">
        <f>LOG(382/(72+1))</f>
        <v>0.71874050279125279</v>
      </c>
      <c r="H14200">
        <f>0.00943396226415094*1.65496116745818</f>
        <v>1.5612841202435654E-2</v>
      </c>
      <c r="I14200">
        <v>1.5612841202435701E-2</v>
      </c>
    </row>
    <row r="14201" spans="1:9" x14ac:dyDescent="0.25">
      <c r="A14201">
        <v>483</v>
      </c>
      <c r="B14201" t="s">
        <v>3945</v>
      </c>
      <c r="C14201" t="s">
        <v>75</v>
      </c>
      <c r="D14201" t="s">
        <v>50</v>
      </c>
      <c r="E14201">
        <f>1/106</f>
        <v>9.433962264150943E-3</v>
      </c>
      <c r="F14201">
        <v>109</v>
      </c>
      <c r="G14201">
        <f>LOG(382/(109+1))</f>
        <v>0.54067067775348365</v>
      </c>
      <c r="H14201">
        <f>0.00943396226415094*1.24494024281415</f>
        <v>1.17447192718316E-2</v>
      </c>
      <c r="I14201">
        <v>1.174471927183169E-2</v>
      </c>
    </row>
    <row r="14202" spans="1:9" x14ac:dyDescent="0.25">
      <c r="A14202">
        <v>483</v>
      </c>
      <c r="B14202" t="s">
        <v>3945</v>
      </c>
      <c r="C14202" t="s">
        <v>75</v>
      </c>
      <c r="D14202" t="s">
        <v>307</v>
      </c>
      <c r="E14202">
        <f>1/106</f>
        <v>9.433962264150943E-3</v>
      </c>
      <c r="F14202">
        <v>67</v>
      </c>
      <c r="G14202">
        <f>LOG(382/(67+1))</f>
        <v>0.7495544502054724</v>
      </c>
      <c r="H14202">
        <f>0.00943396226415094*1.72591290343046</f>
        <v>1.6282197202174144E-2</v>
      </c>
      <c r="I14202">
        <v>1.628219720217423E-2</v>
      </c>
    </row>
    <row r="14203" spans="1:9" x14ac:dyDescent="0.25">
      <c r="A14203">
        <v>483</v>
      </c>
      <c r="B14203" t="s">
        <v>3945</v>
      </c>
      <c r="C14203" t="s">
        <v>75</v>
      </c>
      <c r="D14203" t="s">
        <v>342</v>
      </c>
      <c r="E14203">
        <f>1/106</f>
        <v>9.433962264150943E-3</v>
      </c>
      <c r="F14203">
        <v>35</v>
      </c>
      <c r="G14203">
        <f>LOG(382/(35+1))</f>
        <v>1.0257608621444214</v>
      </c>
      <c r="H14203">
        <f>0.00943396226415094*2.36190167015046</f>
        <v>2.2282091227834519E-2</v>
      </c>
      <c r="I14203">
        <v>2.2282091227834571E-2</v>
      </c>
    </row>
    <row r="14204" spans="1:9" x14ac:dyDescent="0.25">
      <c r="A14204">
        <v>483</v>
      </c>
      <c r="B14204" t="s">
        <v>3945</v>
      </c>
      <c r="C14204" t="s">
        <v>75</v>
      </c>
      <c r="D14204" t="s">
        <v>123</v>
      </c>
      <c r="E14204">
        <f>1/106</f>
        <v>9.433962264150943E-3</v>
      </c>
      <c r="F14204">
        <v>74</v>
      </c>
      <c r="G14204">
        <f>LOG(382/(74+1))</f>
        <v>0.7070020995200087</v>
      </c>
      <c r="H14204">
        <f>0.00943396226415094*1.62793249507026</f>
        <v>1.5357853727077918E-2</v>
      </c>
      <c r="I14204">
        <v>1.535785372707797E-2</v>
      </c>
    </row>
    <row r="14205" spans="1:9" x14ac:dyDescent="0.25">
      <c r="A14205">
        <v>484</v>
      </c>
      <c r="B14205" t="s">
        <v>3953</v>
      </c>
      <c r="C14205" t="s">
        <v>138</v>
      </c>
      <c r="D14205" t="s">
        <v>744</v>
      </c>
      <c r="E14205">
        <f>6/102</f>
        <v>5.8823529411764705E-2</v>
      </c>
      <c r="F14205">
        <v>28</v>
      </c>
      <c r="G14205">
        <f>LOG(382/(28+1))</f>
        <v>1.1196653650127526</v>
      </c>
      <c r="H14205">
        <f>0.0588235294117647*2.5781247786201</f>
        <v>0.15165439874235878</v>
      </c>
      <c r="I14205">
        <v>0.15165439874235889</v>
      </c>
    </row>
    <row r="14206" spans="1:9" x14ac:dyDescent="0.25">
      <c r="A14206">
        <v>484</v>
      </c>
      <c r="B14206" t="s">
        <v>3953</v>
      </c>
      <c r="C14206" t="s">
        <v>138</v>
      </c>
      <c r="D14206" t="s">
        <v>1224</v>
      </c>
      <c r="E14206">
        <f>3/102</f>
        <v>2.9411764705882353E-2</v>
      </c>
      <c r="F14206">
        <v>11</v>
      </c>
      <c r="G14206">
        <f>LOG(382/(11+1))</f>
        <v>1.5028821168640838</v>
      </c>
      <c r="H14206">
        <f>0.0294117647058823*3.46051395881857</f>
        <v>0.10177982231819306</v>
      </c>
      <c r="I14206">
        <v>0.10177982231819339</v>
      </c>
    </row>
    <row r="14207" spans="1:9" x14ac:dyDescent="0.25">
      <c r="A14207">
        <v>484</v>
      </c>
      <c r="B14207" t="s">
        <v>3953</v>
      </c>
      <c r="C14207" t="s">
        <v>138</v>
      </c>
      <c r="D14207" t="s">
        <v>2231</v>
      </c>
      <c r="E14207">
        <f>3/102</f>
        <v>2.9411764705882353E-2</v>
      </c>
      <c r="F14207">
        <v>23</v>
      </c>
      <c r="G14207">
        <f>LOG(382/(23+1))</f>
        <v>1.2018521212001028</v>
      </c>
      <c r="H14207">
        <f>0.0294117647058823*2.76736677825862</f>
        <v>8.1393140537018099E-2</v>
      </c>
      <c r="I14207">
        <v>8.1393140537018516E-2</v>
      </c>
    </row>
    <row r="14208" spans="1:9" x14ac:dyDescent="0.25">
      <c r="A14208">
        <v>484</v>
      </c>
      <c r="B14208" t="s">
        <v>3953</v>
      </c>
      <c r="C14208" t="s">
        <v>138</v>
      </c>
      <c r="D14208" t="s">
        <v>3954</v>
      </c>
      <c r="E14208">
        <f>3/102</f>
        <v>2.9411764705882353E-2</v>
      </c>
      <c r="F14208">
        <v>1</v>
      </c>
      <c r="G14208">
        <f>LOG(382/(1+1))</f>
        <v>2.2810333672477277</v>
      </c>
      <c r="H14208">
        <f>0.0294117647058823*5.25227342804663</f>
        <v>0.1544786302366653</v>
      </c>
      <c r="I14208">
        <v>0.15447863023666561</v>
      </c>
    </row>
    <row r="14209" spans="1:9" x14ac:dyDescent="0.25">
      <c r="A14209">
        <v>484</v>
      </c>
      <c r="B14209" t="s">
        <v>3953</v>
      </c>
      <c r="C14209" t="s">
        <v>138</v>
      </c>
      <c r="D14209" t="s">
        <v>42</v>
      </c>
      <c r="E14209">
        <f t="shared" ref="E14209:E14214" si="668">1/102</f>
        <v>9.8039215686274508E-3</v>
      </c>
      <c r="F14209">
        <v>251</v>
      </c>
      <c r="G14209">
        <f>LOG(382/(251+1))</f>
        <v>0.18066282213016463</v>
      </c>
      <c r="H14209">
        <f>0.00980392156862745*0.415991521095151</f>
        <v>4.0783482460308917E-3</v>
      </c>
      <c r="I14209">
        <v>4.0783482460309004E-3</v>
      </c>
    </row>
    <row r="14210" spans="1:9" x14ac:dyDescent="0.25">
      <c r="A14210">
        <v>484</v>
      </c>
      <c r="B14210" t="s">
        <v>3953</v>
      </c>
      <c r="C14210" t="s">
        <v>138</v>
      </c>
      <c r="D14210" t="s">
        <v>1496</v>
      </c>
      <c r="E14210">
        <f t="shared" si="668"/>
        <v>9.8039215686274508E-3</v>
      </c>
      <c r="F14210">
        <v>39</v>
      </c>
      <c r="G14210">
        <f>LOG(382/(39+1))</f>
        <v>0.9800033715837464</v>
      </c>
      <c r="H14210">
        <f>0.00980392156862745*2.25654115449263</f>
        <v>2.2122952495025786E-2</v>
      </c>
      <c r="I14210">
        <v>2.2122952495025869E-2</v>
      </c>
    </row>
    <row r="14211" spans="1:9" x14ac:dyDescent="0.25">
      <c r="A14211">
        <v>484</v>
      </c>
      <c r="B14211" t="s">
        <v>3953</v>
      </c>
      <c r="C14211" t="s">
        <v>138</v>
      </c>
      <c r="D14211" t="s">
        <v>1059</v>
      </c>
      <c r="E14211">
        <f t="shared" si="668"/>
        <v>9.8039215686274508E-3</v>
      </c>
      <c r="F14211">
        <v>16</v>
      </c>
      <c r="G14211">
        <f>LOG(382/(16+1))</f>
        <v>1.3516144415334348</v>
      </c>
      <c r="H14211">
        <f>0.00980392156862745*3.11220726455035</f>
        <v>3.0511835926964215E-2</v>
      </c>
      <c r="I14211">
        <v>3.0511835926964301E-2</v>
      </c>
    </row>
    <row r="14212" spans="1:9" x14ac:dyDescent="0.25">
      <c r="A14212">
        <v>484</v>
      </c>
      <c r="B14212" t="s">
        <v>3953</v>
      </c>
      <c r="C14212" t="s">
        <v>138</v>
      </c>
      <c r="D14212" t="s">
        <v>3241</v>
      </c>
      <c r="E14212">
        <f t="shared" si="668"/>
        <v>9.8039215686274508E-3</v>
      </c>
      <c r="F14212">
        <v>9</v>
      </c>
      <c r="G14212">
        <f>LOG(382/(9+1))</f>
        <v>1.5820633629117087</v>
      </c>
      <c r="H14212">
        <f>0.00980392156862745*3.64283551561252</f>
        <v>3.5714073682475686E-2</v>
      </c>
      <c r="I14212">
        <v>3.5714073682475783E-2</v>
      </c>
    </row>
    <row r="14213" spans="1:9" x14ac:dyDescent="0.25">
      <c r="A14213">
        <v>484</v>
      </c>
      <c r="B14213" t="s">
        <v>3953</v>
      </c>
      <c r="C14213" t="s">
        <v>138</v>
      </c>
      <c r="D14213" t="s">
        <v>3955</v>
      </c>
      <c r="E14213">
        <f t="shared" si="668"/>
        <v>9.8039215686274508E-3</v>
      </c>
      <c r="F14213">
        <v>1</v>
      </c>
      <c r="G14213">
        <f>LOG(382/(1+1))</f>
        <v>2.2810333672477277</v>
      </c>
      <c r="H14213">
        <f>0.00980392156862745*5.25227342804663</f>
        <v>5.1492876745555194E-2</v>
      </c>
      <c r="I14213">
        <v>5.1492876745555187E-2</v>
      </c>
    </row>
    <row r="14214" spans="1:9" x14ac:dyDescent="0.25">
      <c r="A14214">
        <v>484</v>
      </c>
      <c r="B14214" t="s">
        <v>3953</v>
      </c>
      <c r="C14214" t="s">
        <v>138</v>
      </c>
      <c r="D14214" t="s">
        <v>147</v>
      </c>
      <c r="E14214">
        <f t="shared" si="668"/>
        <v>9.8039215686274508E-3</v>
      </c>
      <c r="F14214">
        <v>48</v>
      </c>
      <c r="G14214">
        <f>LOG(382/(48+1))</f>
        <v>0.89186728288319506</v>
      </c>
      <c r="H14214">
        <f>0.00980392156862745*2.05360031049594</f>
        <v>2.0133336377411177E-2</v>
      </c>
      <c r="I14214">
        <v>2.013333637741126E-2</v>
      </c>
    </row>
    <row r="14215" spans="1:9" x14ac:dyDescent="0.25">
      <c r="A14215">
        <v>484</v>
      </c>
      <c r="B14215" t="s">
        <v>3953</v>
      </c>
      <c r="C14215" t="s">
        <v>138</v>
      </c>
      <c r="D14215" t="s">
        <v>1907</v>
      </c>
      <c r="E14215">
        <f>2/102</f>
        <v>1.9607843137254902E-2</v>
      </c>
      <c r="F14215">
        <v>20</v>
      </c>
      <c r="G14215">
        <f>LOG(382/(20+1))</f>
        <v>1.2598440681777894</v>
      </c>
      <c r="H14215">
        <f>0.0196078431372549*2.90089817088315</f>
        <v>5.6880356291826473E-2</v>
      </c>
      <c r="I14215">
        <v>5.6880356291826507E-2</v>
      </c>
    </row>
    <row r="14216" spans="1:9" x14ac:dyDescent="0.25">
      <c r="A14216">
        <v>484</v>
      </c>
      <c r="B14216" t="s">
        <v>3953</v>
      </c>
      <c r="C14216" t="s">
        <v>138</v>
      </c>
      <c r="D14216" t="s">
        <v>1908</v>
      </c>
      <c r="E14216">
        <f>2/102</f>
        <v>1.9607843137254902E-2</v>
      </c>
      <c r="F14216">
        <v>20</v>
      </c>
      <c r="G14216">
        <f>LOG(382/(20+1))</f>
        <v>1.2598440681777894</v>
      </c>
      <c r="H14216">
        <f>0.0196078431372549*2.90089817088315</f>
        <v>5.6880356291826473E-2</v>
      </c>
      <c r="I14216">
        <v>5.6880356291826507E-2</v>
      </c>
    </row>
    <row r="14217" spans="1:9" x14ac:dyDescent="0.25">
      <c r="A14217">
        <v>484</v>
      </c>
      <c r="B14217" t="s">
        <v>3953</v>
      </c>
      <c r="C14217" t="s">
        <v>138</v>
      </c>
      <c r="D14217" t="s">
        <v>91</v>
      </c>
      <c r="E14217">
        <f>2/102</f>
        <v>1.9607843137254902E-2</v>
      </c>
      <c r="F14217">
        <v>33</v>
      </c>
      <c r="G14217">
        <f>LOG(382/(33+1))</f>
        <v>1.0505844458694535</v>
      </c>
      <c r="H14217">
        <f>0.0196078431372549*2.41906008399041</f>
        <v>4.7432550666478633E-2</v>
      </c>
      <c r="I14217">
        <v>4.7432550666478702E-2</v>
      </c>
    </row>
    <row r="14218" spans="1:9" x14ac:dyDescent="0.25">
      <c r="A14218">
        <v>484</v>
      </c>
      <c r="B14218" t="s">
        <v>3953</v>
      </c>
      <c r="C14218" t="s">
        <v>138</v>
      </c>
      <c r="D14218" t="s">
        <v>104</v>
      </c>
      <c r="E14218">
        <f t="shared" ref="E14218:E14224" si="669">1/102</f>
        <v>9.8039215686274508E-3</v>
      </c>
      <c r="F14218">
        <v>49</v>
      </c>
      <c r="G14218">
        <f>LOG(382/(49+1))</f>
        <v>0.88309335857568994</v>
      </c>
      <c r="H14218">
        <f>0.00980392156862745*2.03339760317842</f>
        <v>1.9935270619396275E-2</v>
      </c>
      <c r="I14218">
        <v>1.9935270619396359E-2</v>
      </c>
    </row>
    <row r="14219" spans="1:9" x14ac:dyDescent="0.25">
      <c r="A14219">
        <v>484</v>
      </c>
      <c r="B14219" t="s">
        <v>3953</v>
      </c>
      <c r="C14219" t="s">
        <v>138</v>
      </c>
      <c r="D14219" t="s">
        <v>2394</v>
      </c>
      <c r="E14219">
        <f t="shared" si="669"/>
        <v>9.8039215686274508E-3</v>
      </c>
      <c r="F14219">
        <v>8</v>
      </c>
      <c r="G14219">
        <f>LOG(382/(8+1))</f>
        <v>1.6278208534723839</v>
      </c>
      <c r="H14219">
        <f>0.00980392156862745*3.74819603127035</f>
        <v>3.6747019914415195E-2</v>
      </c>
      <c r="I14219">
        <v>3.6747019914415251E-2</v>
      </c>
    </row>
    <row r="14220" spans="1:9" x14ac:dyDescent="0.25">
      <c r="A14220">
        <v>484</v>
      </c>
      <c r="B14220" t="s">
        <v>3953</v>
      </c>
      <c r="C14220" t="s">
        <v>138</v>
      </c>
      <c r="D14220" t="s">
        <v>19</v>
      </c>
      <c r="E14220">
        <f t="shared" si="669"/>
        <v>9.8039215686274508E-3</v>
      </c>
      <c r="F14220">
        <v>220</v>
      </c>
      <c r="G14220">
        <f>LOG(382/(220+1))</f>
        <v>0.23767108922659805</v>
      </c>
      <c r="H14220">
        <f>0.00980392156862745*0.547257907088822</f>
        <v>5.3652735989100199E-3</v>
      </c>
      <c r="I14220">
        <v>5.3652735989100234E-3</v>
      </c>
    </row>
    <row r="14221" spans="1:9" x14ac:dyDescent="0.25">
      <c r="A14221">
        <v>484</v>
      </c>
      <c r="B14221" t="s">
        <v>3953</v>
      </c>
      <c r="C14221" t="s">
        <v>138</v>
      </c>
      <c r="D14221" t="s">
        <v>195</v>
      </c>
      <c r="E14221">
        <f t="shared" si="669"/>
        <v>9.8039215686274508E-3</v>
      </c>
      <c r="F14221">
        <v>55</v>
      </c>
      <c r="G14221">
        <f>LOG(382/(55+1))</f>
        <v>0.83387533590550833</v>
      </c>
      <c r="H14221">
        <f>0.00980392156862745*1.92006891787142</f>
        <v>1.8824205077170784E-2</v>
      </c>
      <c r="I14221">
        <v>1.8824205077170839E-2</v>
      </c>
    </row>
    <row r="14222" spans="1:9" x14ac:dyDescent="0.25">
      <c r="A14222">
        <v>484</v>
      </c>
      <c r="B14222" t="s">
        <v>3953</v>
      </c>
      <c r="C14222" t="s">
        <v>138</v>
      </c>
      <c r="D14222" t="s">
        <v>22</v>
      </c>
      <c r="E14222">
        <f t="shared" si="669"/>
        <v>9.8039215686274508E-3</v>
      </c>
      <c r="F14222">
        <v>259</v>
      </c>
      <c r="G14222">
        <f>LOG(382/(259+1))</f>
        <v>0.16709001494089079</v>
      </c>
      <c r="H14222">
        <f>0.00980392156862745*0.384738977591047</f>
        <v>3.7719507606965392E-3</v>
      </c>
      <c r="I14222">
        <v>3.771950760696544E-3</v>
      </c>
    </row>
    <row r="14223" spans="1:9" x14ac:dyDescent="0.25">
      <c r="A14223">
        <v>484</v>
      </c>
      <c r="B14223" t="s">
        <v>3953</v>
      </c>
      <c r="C14223" t="s">
        <v>138</v>
      </c>
      <c r="D14223" t="s">
        <v>23</v>
      </c>
      <c r="E14223">
        <f t="shared" si="669"/>
        <v>9.8039215686274508E-3</v>
      </c>
      <c r="F14223">
        <v>275</v>
      </c>
      <c r="G14223">
        <f>LOG(382/(275+1))</f>
        <v>0.14115428084649101</v>
      </c>
      <c r="H14223">
        <f>0.00980392156862745*0.325019742889425</f>
        <v>3.1864680675433819E-3</v>
      </c>
      <c r="I14223">
        <v>3.1864680675433841E-3</v>
      </c>
    </row>
    <row r="14224" spans="1:9" x14ac:dyDescent="0.25">
      <c r="A14224">
        <v>484</v>
      </c>
      <c r="B14224" t="s">
        <v>3953</v>
      </c>
      <c r="C14224" t="s">
        <v>138</v>
      </c>
      <c r="D14224" t="s">
        <v>2291</v>
      </c>
      <c r="E14224">
        <f t="shared" si="669"/>
        <v>9.8039215686274508E-3</v>
      </c>
      <c r="F14224">
        <v>17</v>
      </c>
      <c r="G14224">
        <f>LOG(382/(17+1))</f>
        <v>1.3267908578084027</v>
      </c>
      <c r="H14224">
        <f>0.00980392156862745*3.05504885071041</f>
        <v>2.9951459320690293E-2</v>
      </c>
      <c r="I14224">
        <v>2.99514593206903E-2</v>
      </c>
    </row>
    <row r="14225" spans="1:9" x14ac:dyDescent="0.25">
      <c r="A14225">
        <v>484</v>
      </c>
      <c r="B14225" t="s">
        <v>3953</v>
      </c>
      <c r="C14225" t="s">
        <v>138</v>
      </c>
      <c r="D14225" t="s">
        <v>204</v>
      </c>
      <c r="E14225">
        <f>2/102</f>
        <v>1.9607843137254902E-2</v>
      </c>
      <c r="F14225">
        <v>166</v>
      </c>
      <c r="G14225">
        <f>LOG(382/(166+1))</f>
        <v>0.35934689176412549</v>
      </c>
      <c r="H14225">
        <f>0.0196078431372549*0.82742679618982</f>
        <v>1.6224054827251373E-2</v>
      </c>
      <c r="I14225">
        <v>1.622405482725137E-2</v>
      </c>
    </row>
    <row r="14226" spans="1:9" x14ac:dyDescent="0.25">
      <c r="A14226">
        <v>484</v>
      </c>
      <c r="B14226" t="s">
        <v>3953</v>
      </c>
      <c r="C14226" t="s">
        <v>138</v>
      </c>
      <c r="D14226" t="s">
        <v>322</v>
      </c>
      <c r="E14226">
        <f>4/102</f>
        <v>3.9215686274509803E-2</v>
      </c>
      <c r="F14226">
        <v>128</v>
      </c>
      <c r="G14226">
        <f>LOG(382/(128+1))</f>
        <v>0.47147365261245977</v>
      </c>
      <c r="H14226">
        <f>0.0392156862745098*1.0856082042449</f>
        <v>4.2572870754701959E-2</v>
      </c>
      <c r="I14226">
        <v>4.2572870754702077E-2</v>
      </c>
    </row>
    <row r="14227" spans="1:9" x14ac:dyDescent="0.25">
      <c r="A14227">
        <v>484</v>
      </c>
      <c r="B14227" t="s">
        <v>3953</v>
      </c>
      <c r="C14227" t="s">
        <v>138</v>
      </c>
      <c r="D14227" t="s">
        <v>754</v>
      </c>
      <c r="E14227">
        <f>2/102</f>
        <v>1.9607843137254902E-2</v>
      </c>
      <c r="F14227">
        <v>111</v>
      </c>
      <c r="G14227">
        <f>LOG(382/(111+1))</f>
        <v>0.53284534024152708</v>
      </c>
      <c r="H14227">
        <f>0.0196078431372549*1.22692173731148</f>
        <v>2.4057288966891764E-2</v>
      </c>
      <c r="I14227">
        <v>2.4057288966891782E-2</v>
      </c>
    </row>
    <row r="14228" spans="1:9" x14ac:dyDescent="0.25">
      <c r="A14228">
        <v>484</v>
      </c>
      <c r="B14228" t="s">
        <v>3953</v>
      </c>
      <c r="C14228" t="s">
        <v>138</v>
      </c>
      <c r="D14228" t="s">
        <v>649</v>
      </c>
      <c r="E14228">
        <f>7/102</f>
        <v>6.8627450980392163E-2</v>
      </c>
      <c r="F14228">
        <v>25</v>
      </c>
      <c r="G14228">
        <f>LOG(382/(25+1))</f>
        <v>1.1670900149408907</v>
      </c>
      <c r="H14228">
        <f>0.0686274509803921*2.68732407058509</f>
        <v>0.184424200922506</v>
      </c>
      <c r="I14228">
        <v>0.18442420092250639</v>
      </c>
    </row>
    <row r="14229" spans="1:9" x14ac:dyDescent="0.25">
      <c r="A14229">
        <v>484</v>
      </c>
      <c r="B14229" t="s">
        <v>3953</v>
      </c>
      <c r="C14229" t="s">
        <v>138</v>
      </c>
      <c r="D14229" t="s">
        <v>133</v>
      </c>
      <c r="E14229">
        <f>1/102</f>
        <v>9.8039215686274508E-3</v>
      </c>
      <c r="F14229">
        <v>142</v>
      </c>
      <c r="G14229">
        <f>LOG(382/(142+1))</f>
        <v>0.42672732544664693</v>
      </c>
      <c r="H14229">
        <f>0.00980392156862745*0.982575978346667</f>
        <v>9.6330978269281078E-3</v>
      </c>
      <c r="I14229">
        <v>9.6330978269281164E-3</v>
      </c>
    </row>
    <row r="14230" spans="1:9" x14ac:dyDescent="0.25">
      <c r="A14230">
        <v>484</v>
      </c>
      <c r="B14230" t="s">
        <v>3953</v>
      </c>
      <c r="C14230" t="s">
        <v>138</v>
      </c>
      <c r="D14230" t="s">
        <v>77</v>
      </c>
      <c r="E14230">
        <f>2/102</f>
        <v>1.9607843137254902E-2</v>
      </c>
      <c r="F14230">
        <v>148</v>
      </c>
      <c r="G14230">
        <f>LOG(382/(148+1))</f>
        <v>0.40887709449943471</v>
      </c>
      <c r="H14230">
        <f>0.0196078431372549*0.941474302661116</f>
        <v>1.8460280444335606E-2</v>
      </c>
      <c r="I14230">
        <v>1.8460280444335609E-2</v>
      </c>
    </row>
    <row r="14231" spans="1:9" x14ac:dyDescent="0.25">
      <c r="A14231">
        <v>484</v>
      </c>
      <c r="B14231" t="s">
        <v>3953</v>
      </c>
      <c r="C14231" t="s">
        <v>138</v>
      </c>
      <c r="D14231" t="s">
        <v>40</v>
      </c>
      <c r="E14231">
        <f>2/102</f>
        <v>1.9607843137254902E-2</v>
      </c>
      <c r="F14231">
        <v>159</v>
      </c>
      <c r="G14231">
        <f>LOG(382/(159+1))</f>
        <v>0.377943380255784</v>
      </c>
      <c r="H14231">
        <f>0.0196078431372549*0.870246793372748</f>
        <v>1.7063662615151923E-2</v>
      </c>
      <c r="I14231">
        <v>1.706366261515193E-2</v>
      </c>
    </row>
    <row r="14232" spans="1:9" x14ac:dyDescent="0.25">
      <c r="A14232">
        <v>484</v>
      </c>
      <c r="B14232" t="s">
        <v>3953</v>
      </c>
      <c r="C14232" t="s">
        <v>138</v>
      </c>
      <c r="D14232" t="s">
        <v>41</v>
      </c>
      <c r="E14232">
        <f>2/102</f>
        <v>1.9607843137254902E-2</v>
      </c>
      <c r="F14232">
        <v>195</v>
      </c>
      <c r="G14232">
        <f>LOG(382/(195+1))</f>
        <v>0.28980729155523272</v>
      </c>
      <c r="H14232">
        <f>0.0196078431372549*0.667305949376058</f>
        <v>1.3084430379922705E-2</v>
      </c>
      <c r="I14232">
        <v>1.3084430379922711E-2</v>
      </c>
    </row>
    <row r="14233" spans="1:9" x14ac:dyDescent="0.25">
      <c r="A14233">
        <v>484</v>
      </c>
      <c r="B14233" t="s">
        <v>3953</v>
      </c>
      <c r="C14233" t="s">
        <v>138</v>
      </c>
      <c r="D14233" t="s">
        <v>243</v>
      </c>
      <c r="E14233">
        <f>2/102</f>
        <v>1.9607843137254902E-2</v>
      </c>
      <c r="F14233">
        <v>131</v>
      </c>
      <c r="G14233">
        <f>LOG(382/(131+1))</f>
        <v>0.46148943170585888</v>
      </c>
      <c r="H14233">
        <f>0.0196078431372549*1.0626186860202</f>
        <v>2.0835660510199999E-2</v>
      </c>
      <c r="I14233">
        <v>2.0835660510200079E-2</v>
      </c>
    </row>
    <row r="14234" spans="1:9" x14ac:dyDescent="0.25">
      <c r="A14234">
        <v>484</v>
      </c>
      <c r="B14234" t="s">
        <v>3953</v>
      </c>
      <c r="C14234" t="s">
        <v>138</v>
      </c>
      <c r="D14234" t="s">
        <v>453</v>
      </c>
      <c r="E14234">
        <f>1/102</f>
        <v>9.8039215686274508E-3</v>
      </c>
      <c r="F14234">
        <v>68</v>
      </c>
      <c r="G14234">
        <f>LOG(382/(68+1))</f>
        <v>0.74321427217445335</v>
      </c>
      <c r="H14234">
        <f>0.00980392156862745*1.71131410400931</f>
        <v>1.6777589254993237E-2</v>
      </c>
      <c r="I14234">
        <v>1.6777589254993289E-2</v>
      </c>
    </row>
    <row r="14235" spans="1:9" x14ac:dyDescent="0.25">
      <c r="A14235">
        <v>484</v>
      </c>
      <c r="B14235" t="s">
        <v>3953</v>
      </c>
      <c r="C14235" t="s">
        <v>138</v>
      </c>
      <c r="D14235" t="s">
        <v>455</v>
      </c>
      <c r="E14235">
        <f>2/102</f>
        <v>1.9607843137254902E-2</v>
      </c>
      <c r="F14235">
        <v>78</v>
      </c>
      <c r="G14235">
        <f>LOG(382/(78+1))</f>
        <v>0.6844362716212673</v>
      </c>
      <c r="H14235">
        <f>0.0196078431372549*1.57597275613955</f>
        <v>3.0901426590971569E-2</v>
      </c>
      <c r="I14235">
        <v>3.0901426590971639E-2</v>
      </c>
    </row>
    <row r="14236" spans="1:9" x14ac:dyDescent="0.25">
      <c r="A14236">
        <v>484</v>
      </c>
      <c r="B14236" t="s">
        <v>3953</v>
      </c>
      <c r="C14236" t="s">
        <v>138</v>
      </c>
      <c r="D14236" t="s">
        <v>456</v>
      </c>
      <c r="E14236">
        <f>2/102</f>
        <v>1.9607843137254902E-2</v>
      </c>
      <c r="F14236">
        <v>71</v>
      </c>
      <c r="G14236">
        <f>LOG(382/(71+1))</f>
        <v>0.72473086648044027</v>
      </c>
      <c r="H14236">
        <f>0.0196078431372549*1.66875448959051</f>
        <v>3.2720676266480585E-2</v>
      </c>
      <c r="I14236">
        <v>3.2720676266480779E-2</v>
      </c>
    </row>
    <row r="14237" spans="1:9" x14ac:dyDescent="0.25">
      <c r="A14237">
        <v>484</v>
      </c>
      <c r="B14237" t="s">
        <v>3953</v>
      </c>
      <c r="C14237" t="s">
        <v>138</v>
      </c>
      <c r="D14237" t="s">
        <v>1779</v>
      </c>
      <c r="E14237">
        <f t="shared" ref="E14237:E14243" si="670">1/102</f>
        <v>9.8039215686274508E-3</v>
      </c>
      <c r="F14237">
        <v>41</v>
      </c>
      <c r="G14237">
        <f>LOG(382/(41+1))</f>
        <v>0.95881407251380824</v>
      </c>
      <c r="H14237">
        <f>0.00980392156862745*2.2077509903232</f>
        <v>2.1644617552188238E-2</v>
      </c>
      <c r="I14237">
        <v>2.16446175521883E-2</v>
      </c>
    </row>
    <row r="14238" spans="1:9" x14ac:dyDescent="0.25">
      <c r="A14238">
        <v>484</v>
      </c>
      <c r="B14238" t="s">
        <v>3953</v>
      </c>
      <c r="C14238" t="s">
        <v>138</v>
      </c>
      <c r="D14238" t="s">
        <v>3956</v>
      </c>
      <c r="E14238">
        <f t="shared" si="670"/>
        <v>9.8039215686274508E-3</v>
      </c>
      <c r="F14238">
        <v>8</v>
      </c>
      <c r="G14238">
        <f>LOG(382/(8+1))</f>
        <v>1.6278208534723839</v>
      </c>
      <c r="H14238">
        <f>0.00980392156862745*3.74819603127035</f>
        <v>3.6747019914415195E-2</v>
      </c>
      <c r="I14238">
        <v>3.6747019914415251E-2</v>
      </c>
    </row>
    <row r="14239" spans="1:9" x14ac:dyDescent="0.25">
      <c r="A14239">
        <v>484</v>
      </c>
      <c r="B14239" t="s">
        <v>3953</v>
      </c>
      <c r="C14239" t="s">
        <v>138</v>
      </c>
      <c r="D14239" t="s">
        <v>3957</v>
      </c>
      <c r="E14239">
        <f t="shared" si="670"/>
        <v>9.8039215686274508E-3</v>
      </c>
      <c r="F14239">
        <v>1</v>
      </c>
      <c r="G14239">
        <f>LOG(382/(1+1))</f>
        <v>2.2810333672477277</v>
      </c>
      <c r="H14239">
        <f>0.00980392156862745*5.25227342804663</f>
        <v>5.1492876745555194E-2</v>
      </c>
      <c r="I14239">
        <v>5.1492876745555187E-2</v>
      </c>
    </row>
    <row r="14240" spans="1:9" x14ac:dyDescent="0.25">
      <c r="A14240">
        <v>484</v>
      </c>
      <c r="B14240" t="s">
        <v>3953</v>
      </c>
      <c r="C14240" t="s">
        <v>138</v>
      </c>
      <c r="D14240" t="s">
        <v>823</v>
      </c>
      <c r="E14240">
        <f t="shared" si="670"/>
        <v>9.8039215686274508E-3</v>
      </c>
      <c r="F14240">
        <v>45</v>
      </c>
      <c r="G14240">
        <f>LOG(382/(45+1))</f>
        <v>0.9193055312301347</v>
      </c>
      <c r="H14240">
        <f>0.00980392156862745*2.11677921211748</f>
        <v>2.0752737373700786E-2</v>
      </c>
      <c r="I14240">
        <v>2.0752737373700789E-2</v>
      </c>
    </row>
    <row r="14241" spans="1:9" x14ac:dyDescent="0.25">
      <c r="A14241">
        <v>484</v>
      </c>
      <c r="B14241" t="s">
        <v>3953</v>
      </c>
      <c r="C14241" t="s">
        <v>138</v>
      </c>
      <c r="D14241" t="s">
        <v>762</v>
      </c>
      <c r="E14241">
        <f t="shared" si="670"/>
        <v>9.8039215686274508E-3</v>
      </c>
      <c r="F14241">
        <v>29</v>
      </c>
      <c r="G14241">
        <f>LOG(382/(29+1))</f>
        <v>1.1049421081920463</v>
      </c>
      <c r="H14241">
        <f>0.00980392156862745*2.54422322694442</f>
        <v>2.4943364970043333E-2</v>
      </c>
      <c r="I14241">
        <v>2.494336497004333E-2</v>
      </c>
    </row>
    <row r="14242" spans="1:9" x14ac:dyDescent="0.25">
      <c r="A14242">
        <v>484</v>
      </c>
      <c r="B14242" t="s">
        <v>3953</v>
      </c>
      <c r="C14242" t="s">
        <v>138</v>
      </c>
      <c r="D14242" t="s">
        <v>338</v>
      </c>
      <c r="E14242">
        <f t="shared" si="670"/>
        <v>9.8039215686274508E-3</v>
      </c>
      <c r="F14242">
        <v>54</v>
      </c>
      <c r="G14242">
        <f>LOG(382/(54+1))</f>
        <v>0.84170067341746491</v>
      </c>
      <c r="H14242">
        <f>0.00980392156862745*1.9380874233741</f>
        <v>1.900085709190294E-2</v>
      </c>
      <c r="I14242">
        <v>1.9000857091902981E-2</v>
      </c>
    </row>
    <row r="14243" spans="1:9" x14ac:dyDescent="0.25">
      <c r="A14243">
        <v>484</v>
      </c>
      <c r="B14243" t="s">
        <v>3953</v>
      </c>
      <c r="C14243" t="s">
        <v>138</v>
      </c>
      <c r="D14243" t="s">
        <v>759</v>
      </c>
      <c r="E14243">
        <f t="shared" si="670"/>
        <v>9.8039215686274508E-3</v>
      </c>
      <c r="F14243">
        <v>4</v>
      </c>
      <c r="G14243">
        <f>LOG(382/(4+1))</f>
        <v>1.8830933585756899</v>
      </c>
      <c r="H14243">
        <f>0.00980392156862745*4.33598269617247</f>
        <v>4.2509634276200692E-2</v>
      </c>
      <c r="I14243">
        <v>4.2509634276200733E-2</v>
      </c>
    </row>
    <row r="14244" spans="1:9" x14ac:dyDescent="0.25">
      <c r="A14244">
        <v>484</v>
      </c>
      <c r="B14244" t="s">
        <v>3953</v>
      </c>
      <c r="C14244" t="s">
        <v>138</v>
      </c>
      <c r="D14244" t="s">
        <v>1537</v>
      </c>
      <c r="E14244">
        <f>2/102</f>
        <v>1.9607843137254902E-2</v>
      </c>
      <c r="F14244">
        <v>80</v>
      </c>
      <c r="G14244">
        <f>LOG(382/(80+1))</f>
        <v>0.67357834403305894</v>
      </c>
      <c r="H14244">
        <f>0.0196078431372549*1.55097145393413</f>
        <v>3.0411204979100586E-2</v>
      </c>
      <c r="I14244">
        <v>3.0411204979100711E-2</v>
      </c>
    </row>
    <row r="14245" spans="1:9" x14ac:dyDescent="0.25">
      <c r="A14245">
        <v>484</v>
      </c>
      <c r="B14245" t="s">
        <v>3953</v>
      </c>
      <c r="C14245" t="s">
        <v>138</v>
      </c>
      <c r="D14245" t="s">
        <v>362</v>
      </c>
      <c r="E14245">
        <f t="shared" ref="E14245:E14250" si="671">1/102</f>
        <v>9.8039215686274508E-3</v>
      </c>
      <c r="F14245">
        <v>81</v>
      </c>
      <c r="G14245">
        <f>LOG(382/(81+1))</f>
        <v>0.66824951052799197</v>
      </c>
      <c r="H14245">
        <f>0.00980392156862745*1.53870136134232</f>
        <v>1.5085307464140392E-2</v>
      </c>
      <c r="I14245">
        <v>1.5085307464140409E-2</v>
      </c>
    </row>
    <row r="14246" spans="1:9" x14ac:dyDescent="0.25">
      <c r="A14246">
        <v>484</v>
      </c>
      <c r="B14246" t="s">
        <v>3953</v>
      </c>
      <c r="C14246" t="s">
        <v>138</v>
      </c>
      <c r="D14246" t="s">
        <v>1769</v>
      </c>
      <c r="E14246">
        <f t="shared" si="671"/>
        <v>9.8039215686274508E-3</v>
      </c>
      <c r="F14246">
        <v>84</v>
      </c>
      <c r="G14246">
        <f>LOG(382/(84+1))</f>
        <v>0.65264443719741605</v>
      </c>
      <c r="H14246">
        <f>0.00980392156862745*1.50276935211625</f>
        <v>1.4733032863884804E-2</v>
      </c>
      <c r="I14246">
        <v>1.4733032863884891E-2</v>
      </c>
    </row>
    <row r="14247" spans="1:9" x14ac:dyDescent="0.25">
      <c r="A14247">
        <v>484</v>
      </c>
      <c r="B14247" t="s">
        <v>3953</v>
      </c>
      <c r="C14247" t="s">
        <v>138</v>
      </c>
      <c r="D14247" t="s">
        <v>201</v>
      </c>
      <c r="E14247">
        <f t="shared" si="671"/>
        <v>9.8039215686274508E-3</v>
      </c>
      <c r="F14247">
        <v>72</v>
      </c>
      <c r="G14247">
        <f>LOG(382/(72+1))</f>
        <v>0.71874050279125279</v>
      </c>
      <c r="H14247">
        <f>0.00980392156862745*1.65496116745818</f>
        <v>1.6225109484884117E-2</v>
      </c>
      <c r="I14247">
        <v>1.6225109484884159E-2</v>
      </c>
    </row>
    <row r="14248" spans="1:9" x14ac:dyDescent="0.25">
      <c r="A14248">
        <v>484</v>
      </c>
      <c r="B14248" t="s">
        <v>3953</v>
      </c>
      <c r="C14248" t="s">
        <v>138</v>
      </c>
      <c r="D14248" t="s">
        <v>225</v>
      </c>
      <c r="E14248">
        <f t="shared" si="671"/>
        <v>9.8039215686274508E-3</v>
      </c>
      <c r="F14248">
        <v>30</v>
      </c>
      <c r="G14248">
        <f>LOG(382/(30+1))</f>
        <v>1.090701669077436</v>
      </c>
      <c r="H14248">
        <f>0.00980392156862745*2.51143340412142</f>
        <v>2.4621896118837451E-2</v>
      </c>
      <c r="I14248">
        <v>2.4621896118837541E-2</v>
      </c>
    </row>
    <row r="14249" spans="1:9" x14ac:dyDescent="0.25">
      <c r="A14249">
        <v>484</v>
      </c>
      <c r="B14249" t="s">
        <v>3953</v>
      </c>
      <c r="C14249" t="s">
        <v>138</v>
      </c>
      <c r="D14249" t="s">
        <v>1773</v>
      </c>
      <c r="E14249">
        <f t="shared" si="671"/>
        <v>9.8039215686274508E-3</v>
      </c>
      <c r="F14249">
        <v>24</v>
      </c>
      <c r="G14249">
        <f>LOG(382/(24+1))</f>
        <v>1.1841233542396712</v>
      </c>
      <c r="H14249">
        <f>0.00980392156862745*2.72654478373837</f>
        <v>2.6730831213121274E-2</v>
      </c>
      <c r="I14249">
        <v>2.6730831213121319E-2</v>
      </c>
    </row>
    <row r="14250" spans="1:9" x14ac:dyDescent="0.25">
      <c r="A14250">
        <v>484</v>
      </c>
      <c r="B14250" t="s">
        <v>3953</v>
      </c>
      <c r="C14250" t="s">
        <v>138</v>
      </c>
      <c r="D14250" t="s">
        <v>447</v>
      </c>
      <c r="E14250">
        <f t="shared" si="671"/>
        <v>9.8039215686274508E-3</v>
      </c>
      <c r="F14250">
        <v>37</v>
      </c>
      <c r="G14250">
        <f>LOG(382/(37+1))</f>
        <v>1.0022797662948986</v>
      </c>
      <c r="H14250">
        <f>0.00980392156862745*2.30783444888018</f>
        <v>2.262582793019784E-2</v>
      </c>
      <c r="I14250">
        <v>2.262582793019793E-2</v>
      </c>
    </row>
    <row r="14251" spans="1:9" x14ac:dyDescent="0.25">
      <c r="A14251">
        <v>484</v>
      </c>
      <c r="B14251" t="s">
        <v>3953</v>
      </c>
      <c r="C14251" t="s">
        <v>138</v>
      </c>
      <c r="D14251" t="s">
        <v>81</v>
      </c>
      <c r="E14251">
        <f>2/102</f>
        <v>1.9607843137254902E-2</v>
      </c>
      <c r="F14251">
        <v>114</v>
      </c>
      <c r="G14251">
        <f>LOG(382/(114+1))</f>
        <v>0.52136552255809698</v>
      </c>
      <c r="H14251">
        <f>0.0196078431372549*1.20048848024332</f>
        <v>2.353898980869255E-2</v>
      </c>
      <c r="I14251">
        <v>2.3538989808692651E-2</v>
      </c>
    </row>
    <row r="14252" spans="1:9" x14ac:dyDescent="0.25">
      <c r="A14252">
        <v>484</v>
      </c>
      <c r="B14252" t="s">
        <v>3953</v>
      </c>
      <c r="C14252" t="s">
        <v>138</v>
      </c>
      <c r="D14252" t="s">
        <v>324</v>
      </c>
      <c r="E14252">
        <f>2/102</f>
        <v>1.9607843137254902E-2</v>
      </c>
      <c r="F14252">
        <v>82</v>
      </c>
      <c r="G14252">
        <f>LOG(382/(82+1))</f>
        <v>0.66298527053563483</v>
      </c>
      <c r="H14252">
        <f>0.0196078431372549*1.52658000080997</f>
        <v>2.993294119235235E-2</v>
      </c>
      <c r="I14252">
        <v>2.99329411923525E-2</v>
      </c>
    </row>
    <row r="14253" spans="1:9" x14ac:dyDescent="0.25">
      <c r="A14253">
        <v>484</v>
      </c>
      <c r="B14253" t="s">
        <v>3953</v>
      </c>
      <c r="C14253" t="s">
        <v>138</v>
      </c>
      <c r="D14253" t="s">
        <v>1222</v>
      </c>
      <c r="E14253">
        <f>2/102</f>
        <v>1.9607843137254902E-2</v>
      </c>
      <c r="F14253">
        <v>56</v>
      </c>
      <c r="G14253">
        <f>LOG(382/(56+1))</f>
        <v>0.82618850723921733</v>
      </c>
      <c r="H14253">
        <f>0.0196078431372549*1.90236934077202</f>
        <v>3.7301359622980784E-2</v>
      </c>
      <c r="I14253">
        <v>3.7301359622980881E-2</v>
      </c>
    </row>
    <row r="14254" spans="1:9" x14ac:dyDescent="0.25">
      <c r="A14254">
        <v>484</v>
      </c>
      <c r="B14254" t="s">
        <v>3953</v>
      </c>
      <c r="C14254" t="s">
        <v>138</v>
      </c>
      <c r="D14254" t="s">
        <v>388</v>
      </c>
      <c r="E14254">
        <f>1/102</f>
        <v>9.8039215686274508E-3</v>
      </c>
      <c r="F14254">
        <v>44</v>
      </c>
      <c r="G14254">
        <f>LOG(382/(44+1))</f>
        <v>0.92885084913636506</v>
      </c>
      <c r="H14254">
        <f>0.00980392156862745*2.13875811883625</f>
        <v>2.0968216851335784E-2</v>
      </c>
      <c r="I14254">
        <v>2.096821685133584E-2</v>
      </c>
    </row>
    <row r="14255" spans="1:9" x14ac:dyDescent="0.25">
      <c r="A14255">
        <v>484</v>
      </c>
      <c r="B14255" t="s">
        <v>3953</v>
      </c>
      <c r="C14255" t="s">
        <v>138</v>
      </c>
      <c r="D14255" t="s">
        <v>596</v>
      </c>
      <c r="E14255">
        <f>1/102</f>
        <v>9.8039215686274508E-3</v>
      </c>
      <c r="F14255">
        <v>60</v>
      </c>
      <c r="G14255">
        <f>LOG(382/(60+1))</f>
        <v>0.79673352790094176</v>
      </c>
      <c r="H14255">
        <f>0.00980392156862745*1.83454674443326</f>
        <v>1.7985752396404511E-2</v>
      </c>
      <c r="I14255">
        <v>1.7985752396404549E-2</v>
      </c>
    </row>
    <row r="14256" spans="1:9" x14ac:dyDescent="0.25">
      <c r="A14256">
        <v>484</v>
      </c>
      <c r="B14256" t="s">
        <v>3953</v>
      </c>
      <c r="C14256" t="s">
        <v>138</v>
      </c>
      <c r="D14256" t="s">
        <v>597</v>
      </c>
      <c r="E14256">
        <f>1/102</f>
        <v>9.8039215686274508E-3</v>
      </c>
      <c r="F14256">
        <v>51</v>
      </c>
      <c r="G14256">
        <f>LOG(382/(51+1))</f>
        <v>0.86606001927690957</v>
      </c>
      <c r="H14256">
        <f>0.00980392156862745*1.99417689002514</f>
        <v>1.9550753823775881E-2</v>
      </c>
      <c r="I14256">
        <v>1.9550753823775961E-2</v>
      </c>
    </row>
    <row r="14257" spans="1:9" x14ac:dyDescent="0.25">
      <c r="A14257">
        <v>484</v>
      </c>
      <c r="B14257" t="s">
        <v>3953</v>
      </c>
      <c r="C14257" t="s">
        <v>138</v>
      </c>
      <c r="D14257" t="s">
        <v>772</v>
      </c>
      <c r="E14257">
        <f>2/102</f>
        <v>1.9607843137254902E-2</v>
      </c>
      <c r="F14257">
        <v>31</v>
      </c>
      <c r="G14257">
        <f>LOG(382/(31+1))</f>
        <v>1.0769133845918029</v>
      </c>
      <c r="H14257">
        <f>0.0196078431372549*2.47968470580684</f>
        <v>4.8621268741310585E-2</v>
      </c>
      <c r="I14257">
        <v>4.8621268741310758E-2</v>
      </c>
    </row>
    <row r="14258" spans="1:9" x14ac:dyDescent="0.25">
      <c r="A14258">
        <v>484</v>
      </c>
      <c r="B14258" t="s">
        <v>3953</v>
      </c>
      <c r="C14258" t="s">
        <v>138</v>
      </c>
      <c r="D14258" t="s">
        <v>3334</v>
      </c>
      <c r="E14258">
        <f t="shared" ref="E14258:E14265" si="672">1/102</f>
        <v>9.8039215686274508E-3</v>
      </c>
      <c r="F14258">
        <v>12</v>
      </c>
      <c r="G14258">
        <f>LOG(382/(12+1))</f>
        <v>1.468120010604872</v>
      </c>
      <c r="H14258">
        <f>0.00980392156862745*3.38047125114503</f>
        <v>3.3141875011225785E-2</v>
      </c>
      <c r="I14258">
        <v>3.3141875011225869E-2</v>
      </c>
    </row>
    <row r="14259" spans="1:9" x14ac:dyDescent="0.25">
      <c r="A14259">
        <v>484</v>
      </c>
      <c r="B14259" t="s">
        <v>3953</v>
      </c>
      <c r="C14259" t="s">
        <v>138</v>
      </c>
      <c r="D14259" t="s">
        <v>239</v>
      </c>
      <c r="E14259">
        <f t="shared" si="672"/>
        <v>9.8039215686274508E-3</v>
      </c>
      <c r="F14259">
        <v>40</v>
      </c>
      <c r="G14259">
        <f>LOG(382/(40+1))</f>
        <v>0.96927950619197323</v>
      </c>
      <c r="H14259">
        <f>0.00980392156862745*2.23184854190226</f>
        <v>2.188086805786529E-2</v>
      </c>
      <c r="I14259">
        <v>2.188086805786537E-2</v>
      </c>
    </row>
    <row r="14260" spans="1:9" x14ac:dyDescent="0.25">
      <c r="A14260">
        <v>484</v>
      </c>
      <c r="B14260" t="s">
        <v>3953</v>
      </c>
      <c r="C14260" t="s">
        <v>138</v>
      </c>
      <c r="D14260" t="s">
        <v>144</v>
      </c>
      <c r="E14260">
        <f t="shared" si="672"/>
        <v>9.8039215686274508E-3</v>
      </c>
      <c r="F14260">
        <v>105</v>
      </c>
      <c r="G14260">
        <f>LOG(382/(105+1))</f>
        <v>0.55675749764693849</v>
      </c>
      <c r="H14260">
        <f>0.00980392156862745*1.2819815144945</f>
        <v>1.2568446220534314E-2</v>
      </c>
      <c r="I14260">
        <v>1.256844622053439E-2</v>
      </c>
    </row>
    <row r="14261" spans="1:9" x14ac:dyDescent="0.25">
      <c r="A14261">
        <v>484</v>
      </c>
      <c r="B14261" t="s">
        <v>3953</v>
      </c>
      <c r="C14261" t="s">
        <v>138</v>
      </c>
      <c r="D14261" t="s">
        <v>758</v>
      </c>
      <c r="E14261">
        <f t="shared" si="672"/>
        <v>9.8039215686274508E-3</v>
      </c>
      <c r="F14261">
        <v>26</v>
      </c>
      <c r="G14261">
        <f>LOG(382/(26+1))</f>
        <v>1.1506995987527215</v>
      </c>
      <c r="H14261">
        <f>0.00980392156862745*2.64958374260224</f>
        <v>2.5976311201982745E-2</v>
      </c>
      <c r="I14261">
        <v>2.59763112019828E-2</v>
      </c>
    </row>
    <row r="14262" spans="1:9" x14ac:dyDescent="0.25">
      <c r="A14262">
        <v>484</v>
      </c>
      <c r="B14262" t="s">
        <v>3953</v>
      </c>
      <c r="C14262" t="s">
        <v>138</v>
      </c>
      <c r="D14262" t="s">
        <v>76</v>
      </c>
      <c r="E14262">
        <f t="shared" si="672"/>
        <v>9.8039215686274508E-3</v>
      </c>
      <c r="F14262">
        <v>140</v>
      </c>
      <c r="G14262">
        <f>LOG(382/(140+1))</f>
        <v>0.43284425025632883</v>
      </c>
      <c r="H14262">
        <f>0.00980392156862745*0.996660718228407</f>
        <v>9.7711835120432057E-3</v>
      </c>
      <c r="I14262">
        <v>9.7711835120432057E-3</v>
      </c>
    </row>
    <row r="14263" spans="1:9" x14ac:dyDescent="0.25">
      <c r="A14263">
        <v>484</v>
      </c>
      <c r="B14263" t="s">
        <v>3953</v>
      </c>
      <c r="C14263" t="s">
        <v>138</v>
      </c>
      <c r="D14263" t="s">
        <v>2093</v>
      </c>
      <c r="E14263">
        <f t="shared" si="672"/>
        <v>9.8039215686274508E-3</v>
      </c>
      <c r="F14263">
        <v>7</v>
      </c>
      <c r="G14263">
        <f>LOG(382/(7+1))</f>
        <v>1.6789733759197651</v>
      </c>
      <c r="H14263">
        <f>0.00980392156862745*3.86597906692673</f>
        <v>3.7901755558105196E-2</v>
      </c>
      <c r="I14263">
        <v>3.7901755558105293E-2</v>
      </c>
    </row>
    <row r="14264" spans="1:9" x14ac:dyDescent="0.25">
      <c r="A14264">
        <v>484</v>
      </c>
      <c r="B14264" t="s">
        <v>3953</v>
      </c>
      <c r="C14264" t="s">
        <v>138</v>
      </c>
      <c r="D14264" t="s">
        <v>357</v>
      </c>
      <c r="E14264">
        <f t="shared" si="672"/>
        <v>9.8039215686274508E-3</v>
      </c>
      <c r="F14264">
        <v>7</v>
      </c>
      <c r="G14264">
        <f>LOG(382/(7+1))</f>
        <v>1.6789733759197651</v>
      </c>
      <c r="H14264">
        <f>0.00980392156862745*3.86597906692673</f>
        <v>3.7901755558105196E-2</v>
      </c>
      <c r="I14264">
        <v>3.7901755558105293E-2</v>
      </c>
    </row>
    <row r="14265" spans="1:9" x14ac:dyDescent="0.25">
      <c r="A14265">
        <v>484</v>
      </c>
      <c r="B14265" t="s">
        <v>3953</v>
      </c>
      <c r="C14265" t="s">
        <v>138</v>
      </c>
      <c r="D14265" t="s">
        <v>2238</v>
      </c>
      <c r="E14265">
        <f t="shared" si="672"/>
        <v>9.8039215686274508E-3</v>
      </c>
      <c r="F14265">
        <v>68</v>
      </c>
      <c r="G14265">
        <f>LOG(382/(68+1))</f>
        <v>0.74321427217445335</v>
      </c>
      <c r="H14265">
        <f>0.00980392156862745*1.71131410400931</f>
        <v>1.6777589254993237E-2</v>
      </c>
      <c r="I14265">
        <v>1.6777589254993289E-2</v>
      </c>
    </row>
    <row r="14266" spans="1:9" x14ac:dyDescent="0.25">
      <c r="A14266">
        <v>484</v>
      </c>
      <c r="B14266" t="s">
        <v>3953</v>
      </c>
      <c r="C14266" t="s">
        <v>138</v>
      </c>
      <c r="D14266" t="s">
        <v>770</v>
      </c>
      <c r="E14266">
        <f>2/102</f>
        <v>1.9607843137254902E-2</v>
      </c>
      <c r="F14266">
        <v>47</v>
      </c>
      <c r="G14266">
        <f>LOG(382/(47+1))</f>
        <v>0.90082212553612151</v>
      </c>
      <c r="H14266">
        <f>0.0196078431372549*2.07421959769868</f>
        <v>4.0670972503895689E-2</v>
      </c>
      <c r="I14266">
        <v>4.0670972503895772E-2</v>
      </c>
    </row>
    <row r="14267" spans="1:9" x14ac:dyDescent="0.25">
      <c r="A14267">
        <v>484</v>
      </c>
      <c r="B14267" t="s">
        <v>3953</v>
      </c>
      <c r="C14267" t="s">
        <v>138</v>
      </c>
      <c r="D14267" t="s">
        <v>307</v>
      </c>
      <c r="E14267">
        <f>1/102</f>
        <v>9.8039215686274508E-3</v>
      </c>
      <c r="F14267">
        <v>67</v>
      </c>
      <c r="G14267">
        <f>LOG(382/(67+1))</f>
        <v>0.7495544502054724</v>
      </c>
      <c r="H14267">
        <f>0.00980392156862745*1.72591290343046</f>
        <v>1.6920714739514314E-2</v>
      </c>
      <c r="I14267">
        <v>1.6920714739514391E-2</v>
      </c>
    </row>
    <row r="14268" spans="1:9" x14ac:dyDescent="0.25">
      <c r="A14268">
        <v>484</v>
      </c>
      <c r="B14268" t="s">
        <v>3953</v>
      </c>
      <c r="C14268" t="s">
        <v>138</v>
      </c>
      <c r="D14268" t="s">
        <v>342</v>
      </c>
      <c r="E14268">
        <f>1/102</f>
        <v>9.8039215686274508E-3</v>
      </c>
      <c r="F14268">
        <v>35</v>
      </c>
      <c r="G14268">
        <f>LOG(382/(35+1))</f>
        <v>1.0257608621444214</v>
      </c>
      <c r="H14268">
        <f>0.00980392156862745*2.36190167015046</f>
        <v>2.3155898726965295E-2</v>
      </c>
      <c r="I14268">
        <v>2.315589872696534E-2</v>
      </c>
    </row>
    <row r="14269" spans="1:9" x14ac:dyDescent="0.25">
      <c r="A14269">
        <v>484</v>
      </c>
      <c r="B14269" t="s">
        <v>3953</v>
      </c>
      <c r="C14269" t="s">
        <v>138</v>
      </c>
      <c r="D14269" t="s">
        <v>78</v>
      </c>
      <c r="E14269">
        <f>1/102</f>
        <v>9.8039215686274508E-3</v>
      </c>
      <c r="F14269">
        <v>122</v>
      </c>
      <c r="G14269">
        <f>LOG(382/(122+1))</f>
        <v>0.49215825147231079</v>
      </c>
      <c r="H14269">
        <f>0.00980392156862745*1.13323625323415</f>
        <v>1.1110159345432843E-2</v>
      </c>
      <c r="I14269">
        <v>1.111015934543292E-2</v>
      </c>
    </row>
    <row r="14270" spans="1:9" x14ac:dyDescent="0.25">
      <c r="A14270">
        <v>485</v>
      </c>
      <c r="B14270" t="s">
        <v>3958</v>
      </c>
      <c r="C14270" t="s">
        <v>75</v>
      </c>
      <c r="D14270" t="s">
        <v>3959</v>
      </c>
      <c r="E14270">
        <f t="shared" ref="E14270:E14276" si="673">1/89</f>
        <v>1.1235955056179775E-2</v>
      </c>
      <c r="F14270">
        <v>1</v>
      </c>
      <c r="G14270">
        <f>LOG(382/(1+1))</f>
        <v>2.2810333672477277</v>
      </c>
      <c r="H14270">
        <f>0.0112359550561797*5.25227342804663</f>
        <v>5.9014308180298819E-2</v>
      </c>
      <c r="I14270">
        <v>5.9014308180299208E-2</v>
      </c>
    </row>
    <row r="14271" spans="1:9" x14ac:dyDescent="0.25">
      <c r="A14271">
        <v>485</v>
      </c>
      <c r="B14271" t="s">
        <v>3958</v>
      </c>
      <c r="C14271" t="s">
        <v>75</v>
      </c>
      <c r="D14271" t="s">
        <v>1765</v>
      </c>
      <c r="E14271">
        <f t="shared" si="673"/>
        <v>1.1235955056179775E-2</v>
      </c>
      <c r="F14271">
        <v>14</v>
      </c>
      <c r="G14271">
        <f>LOG(382/(14+1))</f>
        <v>1.4059721038560276</v>
      </c>
      <c r="H14271">
        <f>0.0112359550561797*3.23737040750436</f>
        <v>3.6374948398925147E-2</v>
      </c>
      <c r="I14271">
        <v>3.6374948398925452E-2</v>
      </c>
    </row>
    <row r="14272" spans="1:9" x14ac:dyDescent="0.25">
      <c r="A14272">
        <v>485</v>
      </c>
      <c r="B14272" t="s">
        <v>3958</v>
      </c>
      <c r="C14272" t="s">
        <v>75</v>
      </c>
      <c r="D14272" t="s">
        <v>408</v>
      </c>
      <c r="E14272">
        <f t="shared" si="673"/>
        <v>1.1235955056179775E-2</v>
      </c>
      <c r="F14272">
        <v>27</v>
      </c>
      <c r="G14272">
        <f>LOG(382/(27+1))</f>
        <v>1.1349053315694895</v>
      </c>
      <c r="H14272">
        <f>0.0112359550561797*2.61321609843137</f>
        <v>2.9361978634060142E-2</v>
      </c>
      <c r="I14272">
        <v>2.936197863406035E-2</v>
      </c>
    </row>
    <row r="14273" spans="1:9" x14ac:dyDescent="0.25">
      <c r="A14273">
        <v>485</v>
      </c>
      <c r="B14273" t="s">
        <v>3958</v>
      </c>
      <c r="C14273" t="s">
        <v>75</v>
      </c>
      <c r="D14273" t="s">
        <v>2257</v>
      </c>
      <c r="E14273">
        <f t="shared" si="673"/>
        <v>1.1235955056179775E-2</v>
      </c>
      <c r="F14273">
        <v>11</v>
      </c>
      <c r="G14273">
        <f>LOG(382/(11+1))</f>
        <v>1.5028821168640838</v>
      </c>
      <c r="H14273">
        <f>0.0112359550561797*3.46051395881857</f>
        <v>3.8882179312567947E-2</v>
      </c>
      <c r="I14273">
        <v>3.8882179312568259E-2</v>
      </c>
    </row>
    <row r="14274" spans="1:9" x14ac:dyDescent="0.25">
      <c r="A14274">
        <v>485</v>
      </c>
      <c r="B14274" t="s">
        <v>3958</v>
      </c>
      <c r="C14274" t="s">
        <v>75</v>
      </c>
      <c r="D14274" t="s">
        <v>2554</v>
      </c>
      <c r="E14274">
        <f t="shared" si="673"/>
        <v>1.1235955056179775E-2</v>
      </c>
      <c r="F14274">
        <v>22</v>
      </c>
      <c r="G14274">
        <f>LOG(382/(22+1))</f>
        <v>1.2203355268941158</v>
      </c>
      <c r="H14274">
        <f>0.0112359550561797*2.80992639267742</f>
        <v>3.1572206659296644E-2</v>
      </c>
      <c r="I14274">
        <v>3.1572206659296907E-2</v>
      </c>
    </row>
    <row r="14275" spans="1:9" x14ac:dyDescent="0.25">
      <c r="A14275">
        <v>485</v>
      </c>
      <c r="B14275" t="s">
        <v>3958</v>
      </c>
      <c r="C14275" t="s">
        <v>75</v>
      </c>
      <c r="D14275" t="s">
        <v>1537</v>
      </c>
      <c r="E14275">
        <f t="shared" si="673"/>
        <v>1.1235955056179775E-2</v>
      </c>
      <c r="F14275">
        <v>80</v>
      </c>
      <c r="G14275">
        <f>LOG(382/(80+1))</f>
        <v>0.67357834403305894</v>
      </c>
      <c r="H14275">
        <f>0.0112359550561797*1.55097145393413</f>
        <v>1.7426645549821568E-2</v>
      </c>
      <c r="I14275">
        <v>1.7426645549821759E-2</v>
      </c>
    </row>
    <row r="14276" spans="1:9" x14ac:dyDescent="0.25">
      <c r="A14276">
        <v>485</v>
      </c>
      <c r="B14276" t="s">
        <v>3958</v>
      </c>
      <c r="C14276" t="s">
        <v>75</v>
      </c>
      <c r="D14276" t="s">
        <v>42</v>
      </c>
      <c r="E14276">
        <f t="shared" si="673"/>
        <v>1.1235955056179775E-2</v>
      </c>
      <c r="F14276">
        <v>251</v>
      </c>
      <c r="G14276">
        <f>LOG(382/(251+1))</f>
        <v>0.18066282213016463</v>
      </c>
      <c r="H14276">
        <f>0.0112359550561797*0.415991521095151</f>
        <v>4.6740620347769457E-3</v>
      </c>
      <c r="I14276">
        <v>4.6740620347769874E-3</v>
      </c>
    </row>
    <row r="14277" spans="1:9" x14ac:dyDescent="0.25">
      <c r="A14277">
        <v>485</v>
      </c>
      <c r="B14277" t="s">
        <v>3958</v>
      </c>
      <c r="C14277" t="s">
        <v>75</v>
      </c>
      <c r="D14277" t="s">
        <v>1496</v>
      </c>
      <c r="E14277">
        <f>2/89</f>
        <v>2.247191011235955E-2</v>
      </c>
      <c r="F14277">
        <v>39</v>
      </c>
      <c r="G14277">
        <f>LOG(382/(39+1))</f>
        <v>0.9800033715837464</v>
      </c>
      <c r="H14277">
        <f>0.0224719101123595*2.25654115449263</f>
        <v>5.0708789988598318E-2</v>
      </c>
      <c r="I14277">
        <v>5.0708789988598631E-2</v>
      </c>
    </row>
    <row r="14278" spans="1:9" x14ac:dyDescent="0.25">
      <c r="A14278">
        <v>485</v>
      </c>
      <c r="B14278" t="s">
        <v>3958</v>
      </c>
      <c r="C14278" t="s">
        <v>75</v>
      </c>
      <c r="D14278" t="s">
        <v>1059</v>
      </c>
      <c r="E14278">
        <f>2/89</f>
        <v>2.247191011235955E-2</v>
      </c>
      <c r="F14278">
        <v>16</v>
      </c>
      <c r="G14278">
        <f>LOG(382/(16+1))</f>
        <v>1.3516144415334348</v>
      </c>
      <c r="H14278">
        <f>0.0224719101123595*3.11220726455035</f>
        <v>6.9937241900007704E-2</v>
      </c>
      <c r="I14278">
        <v>6.9937241900008065E-2</v>
      </c>
    </row>
    <row r="14279" spans="1:9" x14ac:dyDescent="0.25">
      <c r="A14279">
        <v>485</v>
      </c>
      <c r="B14279" t="s">
        <v>3958</v>
      </c>
      <c r="C14279" t="s">
        <v>75</v>
      </c>
      <c r="D14279" t="s">
        <v>147</v>
      </c>
      <c r="E14279">
        <f>2/89</f>
        <v>2.247191011235955E-2</v>
      </c>
      <c r="F14279">
        <v>48</v>
      </c>
      <c r="G14279">
        <f>LOG(382/(48+1))</f>
        <v>0.89186728288319506</v>
      </c>
      <c r="H14279">
        <f>0.0224719101123595*2.05360031049594</f>
        <v>4.6148321584178323E-2</v>
      </c>
      <c r="I14279">
        <v>4.6148321584178621E-2</v>
      </c>
    </row>
    <row r="14280" spans="1:9" x14ac:dyDescent="0.25">
      <c r="A14280">
        <v>485</v>
      </c>
      <c r="B14280" t="s">
        <v>3958</v>
      </c>
      <c r="C14280" t="s">
        <v>75</v>
      </c>
      <c r="D14280" t="s">
        <v>17</v>
      </c>
      <c r="E14280">
        <f>1/89</f>
        <v>1.1235955056179775E-2</v>
      </c>
      <c r="F14280">
        <v>169</v>
      </c>
      <c r="G14280">
        <f>LOG(382/(169+1))</f>
        <v>0.3516144415334348</v>
      </c>
      <c r="H14280">
        <f>0.0112359550561797*0.809622171556313</f>
        <v>9.0968783320933434E-3</v>
      </c>
      <c r="I14280">
        <v>9.0968783320934093E-3</v>
      </c>
    </row>
    <row r="14281" spans="1:9" x14ac:dyDescent="0.25">
      <c r="A14281">
        <v>485</v>
      </c>
      <c r="B14281" t="s">
        <v>3958</v>
      </c>
      <c r="C14281" t="s">
        <v>75</v>
      </c>
      <c r="D14281" t="s">
        <v>1907</v>
      </c>
      <c r="E14281">
        <f t="shared" ref="E14281:E14288" si="674">2/89</f>
        <v>2.247191011235955E-2</v>
      </c>
      <c r="F14281">
        <v>20</v>
      </c>
      <c r="G14281">
        <f>LOG(382/(20+1))</f>
        <v>1.2598440681777894</v>
      </c>
      <c r="H14281">
        <f>0.0224719101123595*2.90089817088315</f>
        <v>6.5188722941194238E-2</v>
      </c>
      <c r="I14281">
        <v>6.5188722941194432E-2</v>
      </c>
    </row>
    <row r="14282" spans="1:9" x14ac:dyDescent="0.25">
      <c r="A14282">
        <v>485</v>
      </c>
      <c r="B14282" t="s">
        <v>3958</v>
      </c>
      <c r="C14282" t="s">
        <v>75</v>
      </c>
      <c r="D14282" t="s">
        <v>1908</v>
      </c>
      <c r="E14282">
        <f t="shared" si="674"/>
        <v>2.247191011235955E-2</v>
      </c>
      <c r="F14282">
        <v>20</v>
      </c>
      <c r="G14282">
        <f>LOG(382/(20+1))</f>
        <v>1.2598440681777894</v>
      </c>
      <c r="H14282">
        <f>0.0224719101123595*2.90089817088315</f>
        <v>6.5188722941194238E-2</v>
      </c>
      <c r="I14282">
        <v>6.5188722941194432E-2</v>
      </c>
    </row>
    <row r="14283" spans="1:9" x14ac:dyDescent="0.25">
      <c r="A14283">
        <v>485</v>
      </c>
      <c r="B14283" t="s">
        <v>3958</v>
      </c>
      <c r="C14283" t="s">
        <v>75</v>
      </c>
      <c r="D14283" t="s">
        <v>91</v>
      </c>
      <c r="E14283">
        <f t="shared" si="674"/>
        <v>2.247191011235955E-2</v>
      </c>
      <c r="F14283">
        <v>33</v>
      </c>
      <c r="G14283">
        <f>LOG(382/(33+1))</f>
        <v>1.0505844458694535</v>
      </c>
      <c r="H14283">
        <f>0.0224719101123595*2.41906008399041</f>
        <v>5.4360900763829323E-2</v>
      </c>
      <c r="I14283">
        <v>5.4360900763829517E-2</v>
      </c>
    </row>
    <row r="14284" spans="1:9" x14ac:dyDescent="0.25">
      <c r="A14284">
        <v>485</v>
      </c>
      <c r="B14284" t="s">
        <v>3958</v>
      </c>
      <c r="C14284" t="s">
        <v>75</v>
      </c>
      <c r="D14284" t="s">
        <v>19</v>
      </c>
      <c r="E14284">
        <f t="shared" si="674"/>
        <v>2.247191011235955E-2</v>
      </c>
      <c r="F14284">
        <v>220</v>
      </c>
      <c r="G14284">
        <f>LOG(382/(220+1))</f>
        <v>0.23767108922659805</v>
      </c>
      <c r="H14284">
        <f>0.0224719101123595*0.547257907088822</f>
        <v>1.2297930496377996E-2</v>
      </c>
      <c r="I14284">
        <v>1.2297930496378029E-2</v>
      </c>
    </row>
    <row r="14285" spans="1:9" x14ac:dyDescent="0.25">
      <c r="A14285">
        <v>485</v>
      </c>
      <c r="B14285" t="s">
        <v>3958</v>
      </c>
      <c r="C14285" t="s">
        <v>75</v>
      </c>
      <c r="D14285" t="s">
        <v>195</v>
      </c>
      <c r="E14285">
        <f t="shared" si="674"/>
        <v>2.247191011235955E-2</v>
      </c>
      <c r="F14285">
        <v>55</v>
      </c>
      <c r="G14285">
        <f>LOG(382/(55+1))</f>
        <v>0.83387533590550833</v>
      </c>
      <c r="H14285">
        <f>0.0224719101123595*1.92006891787142</f>
        <v>4.3147616131941929E-2</v>
      </c>
      <c r="I14285">
        <v>4.3147616131942151E-2</v>
      </c>
    </row>
    <row r="14286" spans="1:9" x14ac:dyDescent="0.25">
      <c r="A14286">
        <v>485</v>
      </c>
      <c r="B14286" t="s">
        <v>3958</v>
      </c>
      <c r="C14286" t="s">
        <v>75</v>
      </c>
      <c r="D14286" t="s">
        <v>22</v>
      </c>
      <c r="E14286">
        <f t="shared" si="674"/>
        <v>2.247191011235955E-2</v>
      </c>
      <c r="F14286">
        <v>259</v>
      </c>
      <c r="G14286">
        <f>LOG(382/(259+1))</f>
        <v>0.16709001494089079</v>
      </c>
      <c r="H14286">
        <f>0.0224719101123595*0.384738977591047</f>
        <v>8.6458197211471046E-3</v>
      </c>
      <c r="I14286">
        <v>8.6458197211471358E-3</v>
      </c>
    </row>
    <row r="14287" spans="1:9" x14ac:dyDescent="0.25">
      <c r="A14287">
        <v>485</v>
      </c>
      <c r="B14287" t="s">
        <v>3958</v>
      </c>
      <c r="C14287" t="s">
        <v>75</v>
      </c>
      <c r="D14287" t="s">
        <v>23</v>
      </c>
      <c r="E14287">
        <f t="shared" si="674"/>
        <v>2.247191011235955E-2</v>
      </c>
      <c r="F14287">
        <v>275</v>
      </c>
      <c r="G14287">
        <f>LOG(382/(275+1))</f>
        <v>0.14115428084649101</v>
      </c>
      <c r="H14287">
        <f>0.0224719101123595*0.325019742889425</f>
        <v>7.3038144469533542E-3</v>
      </c>
      <c r="I14287">
        <v>7.3038144469533741E-3</v>
      </c>
    </row>
    <row r="14288" spans="1:9" x14ac:dyDescent="0.25">
      <c r="A14288">
        <v>485</v>
      </c>
      <c r="B14288" t="s">
        <v>3958</v>
      </c>
      <c r="C14288" t="s">
        <v>75</v>
      </c>
      <c r="D14288" t="s">
        <v>2291</v>
      </c>
      <c r="E14288">
        <f t="shared" si="674"/>
        <v>2.247191011235955E-2</v>
      </c>
      <c r="F14288">
        <v>17</v>
      </c>
      <c r="G14288">
        <f>LOG(382/(17+1))</f>
        <v>1.3267908578084027</v>
      </c>
      <c r="H14288">
        <f>0.0224719101123595*3.05504885071041</f>
        <v>6.8652783162031536E-2</v>
      </c>
      <c r="I14288">
        <v>6.8652783162031689E-2</v>
      </c>
    </row>
    <row r="14289" spans="1:9" x14ac:dyDescent="0.25">
      <c r="A14289">
        <v>485</v>
      </c>
      <c r="B14289" t="s">
        <v>3958</v>
      </c>
      <c r="C14289" t="s">
        <v>75</v>
      </c>
      <c r="D14289" t="s">
        <v>105</v>
      </c>
      <c r="E14289">
        <f>1/89</f>
        <v>1.1235955056179775E-2</v>
      </c>
      <c r="F14289">
        <v>122</v>
      </c>
      <c r="G14289">
        <f>LOG(382/(122+1))</f>
        <v>0.49215825147231079</v>
      </c>
      <c r="H14289">
        <f>0.0112359550561797*1.13323625323415</f>
        <v>1.2732991609372387E-2</v>
      </c>
      <c r="I14289">
        <v>1.273299160937256E-2</v>
      </c>
    </row>
    <row r="14290" spans="1:9" x14ac:dyDescent="0.25">
      <c r="A14290">
        <v>485</v>
      </c>
      <c r="B14290" t="s">
        <v>3958</v>
      </c>
      <c r="C14290" t="s">
        <v>75</v>
      </c>
      <c r="D14290" t="s">
        <v>78</v>
      </c>
      <c r="E14290">
        <f>1/89</f>
        <v>1.1235955056179775E-2</v>
      </c>
      <c r="F14290">
        <v>122</v>
      </c>
      <c r="G14290">
        <f>LOG(382/(122+1))</f>
        <v>0.49215825147231079</v>
      </c>
      <c r="H14290">
        <f>0.0112359550561797*1.13323625323415</f>
        <v>1.2732991609372387E-2</v>
      </c>
      <c r="I14290">
        <v>1.273299160937256E-2</v>
      </c>
    </row>
    <row r="14291" spans="1:9" x14ac:dyDescent="0.25">
      <c r="A14291">
        <v>485</v>
      </c>
      <c r="B14291" t="s">
        <v>3958</v>
      </c>
      <c r="C14291" t="s">
        <v>75</v>
      </c>
      <c r="D14291" t="s">
        <v>754</v>
      </c>
      <c r="E14291">
        <f>1/89</f>
        <v>1.1235955056179775E-2</v>
      </c>
      <c r="F14291">
        <v>111</v>
      </c>
      <c r="G14291">
        <f>LOG(382/(111+1))</f>
        <v>0.53284534024152708</v>
      </c>
      <c r="H14291">
        <f>0.0112359550561797*1.22692173731148</f>
        <v>1.3785637497881706E-2</v>
      </c>
      <c r="I14291">
        <v>1.378563749788181E-2</v>
      </c>
    </row>
    <row r="14292" spans="1:9" x14ac:dyDescent="0.25">
      <c r="A14292">
        <v>485</v>
      </c>
      <c r="B14292" t="s">
        <v>3958</v>
      </c>
      <c r="C14292" t="s">
        <v>75</v>
      </c>
      <c r="D14292" t="s">
        <v>362</v>
      </c>
      <c r="E14292">
        <f>2/89</f>
        <v>2.247191011235955E-2</v>
      </c>
      <c r="F14292">
        <v>81</v>
      </c>
      <c r="G14292">
        <f>LOG(382/(81+1))</f>
        <v>0.66824951052799197</v>
      </c>
      <c r="H14292">
        <f>0.0224719101123595*1.53870136134232</f>
        <v>3.4577558681849814E-2</v>
      </c>
      <c r="I14292">
        <v>3.4577558681849932E-2</v>
      </c>
    </row>
    <row r="14293" spans="1:9" x14ac:dyDescent="0.25">
      <c r="A14293">
        <v>485</v>
      </c>
      <c r="B14293" t="s">
        <v>3958</v>
      </c>
      <c r="C14293" t="s">
        <v>75</v>
      </c>
      <c r="D14293" t="s">
        <v>1769</v>
      </c>
      <c r="E14293">
        <f>2/89</f>
        <v>2.247191011235955E-2</v>
      </c>
      <c r="F14293">
        <v>84</v>
      </c>
      <c r="G14293">
        <f>LOG(382/(84+1))</f>
        <v>0.65264443719741605</v>
      </c>
      <c r="H14293">
        <f>0.0224719101123595*1.50276935211625</f>
        <v>3.3770097800365093E-2</v>
      </c>
      <c r="I14293">
        <v>3.3770097800365363E-2</v>
      </c>
    </row>
    <row r="14294" spans="1:9" x14ac:dyDescent="0.25">
      <c r="A14294">
        <v>485</v>
      </c>
      <c r="B14294" t="s">
        <v>3958</v>
      </c>
      <c r="C14294" t="s">
        <v>75</v>
      </c>
      <c r="D14294" t="s">
        <v>201</v>
      </c>
      <c r="E14294">
        <f>3/89</f>
        <v>3.3707865168539325E-2</v>
      </c>
      <c r="F14294">
        <v>72</v>
      </c>
      <c r="G14294">
        <f>LOG(382/(72+1))</f>
        <v>0.71874050279125279</v>
      </c>
      <c r="H14294">
        <f>0.0337078651685393*1.65496116745818</f>
        <v>5.5785207891848716E-2</v>
      </c>
      <c r="I14294">
        <v>5.5785207891848897E-2</v>
      </c>
    </row>
    <row r="14295" spans="1:9" x14ac:dyDescent="0.25">
      <c r="A14295">
        <v>485</v>
      </c>
      <c r="B14295" t="s">
        <v>3958</v>
      </c>
      <c r="C14295" t="s">
        <v>75</v>
      </c>
      <c r="D14295" t="s">
        <v>225</v>
      </c>
      <c r="E14295">
        <f>2/89</f>
        <v>2.247191011235955E-2</v>
      </c>
      <c r="F14295">
        <v>30</v>
      </c>
      <c r="G14295">
        <f>LOG(382/(30+1))</f>
        <v>1.090701669077436</v>
      </c>
      <c r="H14295">
        <f>0.0224719101123595*2.51143340412142</f>
        <v>5.6436705710593588E-2</v>
      </c>
      <c r="I14295">
        <v>5.6436705710593907E-2</v>
      </c>
    </row>
    <row r="14296" spans="1:9" x14ac:dyDescent="0.25">
      <c r="A14296">
        <v>485</v>
      </c>
      <c r="B14296" t="s">
        <v>3958</v>
      </c>
      <c r="C14296" t="s">
        <v>75</v>
      </c>
      <c r="D14296" t="s">
        <v>243</v>
      </c>
      <c r="E14296">
        <f t="shared" ref="E14296:E14308" si="675">1/89</f>
        <v>1.1235955056179775E-2</v>
      </c>
      <c r="F14296">
        <v>131</v>
      </c>
      <c r="G14296">
        <f>LOG(382/(131+1))</f>
        <v>0.46148943170585888</v>
      </c>
      <c r="H14296">
        <f>0.0112359550561797*1.0626186860202</f>
        <v>1.1939535797979696E-2</v>
      </c>
      <c r="I14296">
        <v>1.193953579797982E-2</v>
      </c>
    </row>
    <row r="14297" spans="1:9" x14ac:dyDescent="0.25">
      <c r="A14297">
        <v>485</v>
      </c>
      <c r="B14297" t="s">
        <v>3958</v>
      </c>
      <c r="C14297" t="s">
        <v>75</v>
      </c>
      <c r="D14297" t="s">
        <v>453</v>
      </c>
      <c r="E14297">
        <f t="shared" si="675"/>
        <v>1.1235955056179775E-2</v>
      </c>
      <c r="F14297">
        <v>68</v>
      </c>
      <c r="G14297">
        <f>LOG(382/(68+1))</f>
        <v>0.74321427217445335</v>
      </c>
      <c r="H14297">
        <f>0.0112359550561797*1.71131410400931</f>
        <v>1.9228248359655042E-2</v>
      </c>
      <c r="I14297">
        <v>1.9228248359655229E-2</v>
      </c>
    </row>
    <row r="14298" spans="1:9" x14ac:dyDescent="0.25">
      <c r="A14298">
        <v>485</v>
      </c>
      <c r="B14298" t="s">
        <v>3958</v>
      </c>
      <c r="C14298" t="s">
        <v>75</v>
      </c>
      <c r="D14298" t="s">
        <v>1905</v>
      </c>
      <c r="E14298">
        <f t="shared" si="675"/>
        <v>1.1235955056179775E-2</v>
      </c>
      <c r="F14298">
        <v>24</v>
      </c>
      <c r="G14298">
        <f>LOG(382/(24+1))</f>
        <v>1.1841233542396712</v>
      </c>
      <c r="H14298">
        <f>0.0112359550561797*2.72654478373837</f>
        <v>3.0635334648745523E-2</v>
      </c>
      <c r="I14298">
        <v>3.0635334648745779E-2</v>
      </c>
    </row>
    <row r="14299" spans="1:9" x14ac:dyDescent="0.25">
      <c r="A14299">
        <v>485</v>
      </c>
      <c r="B14299" t="s">
        <v>3958</v>
      </c>
      <c r="C14299" t="s">
        <v>75</v>
      </c>
      <c r="D14299" t="s">
        <v>455</v>
      </c>
      <c r="E14299">
        <f t="shared" si="675"/>
        <v>1.1235955056179775E-2</v>
      </c>
      <c r="F14299">
        <v>78</v>
      </c>
      <c r="G14299">
        <f>LOG(382/(78+1))</f>
        <v>0.6844362716212673</v>
      </c>
      <c r="H14299">
        <f>0.0112359550561797*1.57597275613955</f>
        <v>1.7707559057747634E-2</v>
      </c>
      <c r="I14299">
        <v>1.770755905774779E-2</v>
      </c>
    </row>
    <row r="14300" spans="1:9" x14ac:dyDescent="0.25">
      <c r="A14300">
        <v>485</v>
      </c>
      <c r="B14300" t="s">
        <v>3958</v>
      </c>
      <c r="C14300" t="s">
        <v>75</v>
      </c>
      <c r="D14300" t="s">
        <v>456</v>
      </c>
      <c r="E14300">
        <f t="shared" si="675"/>
        <v>1.1235955056179775E-2</v>
      </c>
      <c r="F14300">
        <v>71</v>
      </c>
      <c r="G14300">
        <f>LOG(382/(71+1))</f>
        <v>0.72473086648044027</v>
      </c>
      <c r="H14300">
        <f>0.0112359550561797*1.66875448959051</f>
        <v>1.8750050444837067E-2</v>
      </c>
      <c r="I14300">
        <v>1.87500504448373E-2</v>
      </c>
    </row>
    <row r="14301" spans="1:9" x14ac:dyDescent="0.25">
      <c r="A14301">
        <v>485</v>
      </c>
      <c r="B14301" t="s">
        <v>3958</v>
      </c>
      <c r="C14301" t="s">
        <v>75</v>
      </c>
      <c r="D14301" t="s">
        <v>1779</v>
      </c>
      <c r="E14301">
        <f t="shared" si="675"/>
        <v>1.1235955056179775E-2</v>
      </c>
      <c r="F14301">
        <v>41</v>
      </c>
      <c r="G14301">
        <f>LOG(382/(41+1))</f>
        <v>0.95881407251380824</v>
      </c>
      <c r="H14301">
        <f>0.0112359550561797*2.2077509903232</f>
        <v>2.4806190902507703E-2</v>
      </c>
      <c r="I14301">
        <v>2.4806190902507939E-2</v>
      </c>
    </row>
    <row r="14302" spans="1:9" x14ac:dyDescent="0.25">
      <c r="A14302">
        <v>485</v>
      </c>
      <c r="B14302" t="s">
        <v>3958</v>
      </c>
      <c r="C14302" t="s">
        <v>75</v>
      </c>
      <c r="D14302" t="s">
        <v>3960</v>
      </c>
      <c r="E14302">
        <f t="shared" si="675"/>
        <v>1.1235955056179775E-2</v>
      </c>
      <c r="F14302">
        <v>1</v>
      </c>
      <c r="G14302">
        <f>LOG(382/(1+1))</f>
        <v>2.2810333672477277</v>
      </c>
      <c r="H14302">
        <f>0.0112359550561797*5.25227342804663</f>
        <v>5.9014308180298819E-2</v>
      </c>
      <c r="I14302">
        <v>5.9014308180299208E-2</v>
      </c>
    </row>
    <row r="14303" spans="1:9" x14ac:dyDescent="0.25">
      <c r="A14303">
        <v>485</v>
      </c>
      <c r="B14303" t="s">
        <v>3958</v>
      </c>
      <c r="C14303" t="s">
        <v>75</v>
      </c>
      <c r="D14303" t="s">
        <v>361</v>
      </c>
      <c r="E14303">
        <f t="shared" si="675"/>
        <v>1.1235955056179775E-2</v>
      </c>
      <c r="F14303">
        <v>118</v>
      </c>
      <c r="G14303">
        <f>LOG(382/(118+1))</f>
        <v>0.50651640151917798</v>
      </c>
      <c r="H14303">
        <f>0.0112359550561797*1.16629711549504</f>
        <v>1.3104461971854293E-2</v>
      </c>
      <c r="I14303">
        <v>1.3104461971854451E-2</v>
      </c>
    </row>
    <row r="14304" spans="1:9" x14ac:dyDescent="0.25">
      <c r="A14304">
        <v>485</v>
      </c>
      <c r="B14304" t="s">
        <v>3958</v>
      </c>
      <c r="C14304" t="s">
        <v>75</v>
      </c>
      <c r="D14304" t="s">
        <v>434</v>
      </c>
      <c r="E14304">
        <f t="shared" si="675"/>
        <v>1.1235955056179775E-2</v>
      </c>
      <c r="F14304">
        <v>97</v>
      </c>
      <c r="G14304">
        <f>LOG(382/(97+1))</f>
        <v>0.59083728721921391</v>
      </c>
      <c r="H14304">
        <f>0.0112359550561797*1.360453129936</f>
        <v>1.52859902239999E-2</v>
      </c>
      <c r="I14304">
        <v>1.528599022400003E-2</v>
      </c>
    </row>
    <row r="14305" spans="1:9" x14ac:dyDescent="0.25">
      <c r="A14305">
        <v>485</v>
      </c>
      <c r="B14305" t="s">
        <v>3958</v>
      </c>
      <c r="C14305" t="s">
        <v>75</v>
      </c>
      <c r="D14305" t="s">
        <v>1972</v>
      </c>
      <c r="E14305">
        <f t="shared" si="675"/>
        <v>1.1235955056179775E-2</v>
      </c>
      <c r="F14305">
        <v>9</v>
      </c>
      <c r="G14305">
        <f>LOG(382/(9+1))</f>
        <v>1.5820633629117087</v>
      </c>
      <c r="H14305">
        <f>0.0112359550561797*3.64283551561252</f>
        <v>4.0930736130477478E-2</v>
      </c>
      <c r="I14305">
        <v>4.093073613047786E-2</v>
      </c>
    </row>
    <row r="14306" spans="1:9" x14ac:dyDescent="0.25">
      <c r="A14306">
        <v>485</v>
      </c>
      <c r="B14306" t="s">
        <v>3958</v>
      </c>
      <c r="C14306" t="s">
        <v>75</v>
      </c>
      <c r="D14306" t="s">
        <v>149</v>
      </c>
      <c r="E14306">
        <f t="shared" si="675"/>
        <v>1.1235955056179775E-2</v>
      </c>
      <c r="F14306">
        <v>35</v>
      </c>
      <c r="G14306">
        <f>LOG(382/(35+1))</f>
        <v>1.0257608621444214</v>
      </c>
      <c r="H14306">
        <f>0.0112359550561797*2.36190167015046</f>
        <v>2.6538221012926341E-2</v>
      </c>
      <c r="I14306">
        <v>2.653822101292657E-2</v>
      </c>
    </row>
    <row r="14307" spans="1:9" x14ac:dyDescent="0.25">
      <c r="A14307">
        <v>485</v>
      </c>
      <c r="B14307" t="s">
        <v>3958</v>
      </c>
      <c r="C14307" t="s">
        <v>75</v>
      </c>
      <c r="D14307" t="s">
        <v>673</v>
      </c>
      <c r="E14307">
        <f t="shared" si="675"/>
        <v>1.1235955056179775E-2</v>
      </c>
      <c r="F14307">
        <v>16</v>
      </c>
      <c r="G14307">
        <f>LOG(382/(16+1))</f>
        <v>1.3516144415334348</v>
      </c>
      <c r="H14307">
        <f>0.0112359550561797*3.11220726455035</f>
        <v>3.49686209500037E-2</v>
      </c>
      <c r="I14307">
        <v>3.4968620950004033E-2</v>
      </c>
    </row>
    <row r="14308" spans="1:9" x14ac:dyDescent="0.25">
      <c r="A14308">
        <v>485</v>
      </c>
      <c r="B14308" t="s">
        <v>3958</v>
      </c>
      <c r="C14308" t="s">
        <v>75</v>
      </c>
      <c r="D14308" t="s">
        <v>214</v>
      </c>
      <c r="E14308">
        <f t="shared" si="675"/>
        <v>1.1235955056179775E-2</v>
      </c>
      <c r="F14308">
        <v>68</v>
      </c>
      <c r="G14308">
        <f>LOG(382/(68+1))</f>
        <v>0.74321427217445335</v>
      </c>
      <c r="H14308">
        <f>0.0112359550561797*1.71131410400931</f>
        <v>1.9228248359655042E-2</v>
      </c>
      <c r="I14308">
        <v>1.9228248359655229E-2</v>
      </c>
    </row>
    <row r="14309" spans="1:9" x14ac:dyDescent="0.25">
      <c r="A14309">
        <v>485</v>
      </c>
      <c r="B14309" t="s">
        <v>3958</v>
      </c>
      <c r="C14309" t="s">
        <v>75</v>
      </c>
      <c r="D14309" t="s">
        <v>322</v>
      </c>
      <c r="E14309">
        <f>2/89</f>
        <v>2.247191011235955E-2</v>
      </c>
      <c r="F14309">
        <v>128</v>
      </c>
      <c r="G14309">
        <f>LOG(382/(128+1))</f>
        <v>0.47147365261245977</v>
      </c>
      <c r="H14309">
        <f>0.0224719101123595*1.0856082042449</f>
        <v>2.4395689983031408E-2</v>
      </c>
      <c r="I14309">
        <v>2.4395689983031529E-2</v>
      </c>
    </row>
    <row r="14310" spans="1:9" x14ac:dyDescent="0.25">
      <c r="A14310">
        <v>485</v>
      </c>
      <c r="B14310" t="s">
        <v>3958</v>
      </c>
      <c r="C14310" t="s">
        <v>75</v>
      </c>
      <c r="D14310" t="s">
        <v>1773</v>
      </c>
      <c r="E14310">
        <f>1/89</f>
        <v>1.1235955056179775E-2</v>
      </c>
      <c r="F14310">
        <v>24</v>
      </c>
      <c r="G14310">
        <f>LOG(382/(24+1))</f>
        <v>1.1841233542396712</v>
      </c>
      <c r="H14310">
        <f>0.0112359550561797*2.72654478373837</f>
        <v>3.0635334648745523E-2</v>
      </c>
      <c r="I14310">
        <v>3.0635334648745779E-2</v>
      </c>
    </row>
    <row r="14311" spans="1:9" x14ac:dyDescent="0.25">
      <c r="A14311">
        <v>485</v>
      </c>
      <c r="B14311" t="s">
        <v>3958</v>
      </c>
      <c r="C14311" t="s">
        <v>75</v>
      </c>
      <c r="D14311" t="s">
        <v>447</v>
      </c>
      <c r="E14311">
        <f>1/89</f>
        <v>1.1235955056179775E-2</v>
      </c>
      <c r="F14311">
        <v>37</v>
      </c>
      <c r="G14311">
        <f>LOG(382/(37+1))</f>
        <v>1.0022797662948986</v>
      </c>
      <c r="H14311">
        <f>0.0112359550561797*2.30783444888018</f>
        <v>2.5930724144720949E-2</v>
      </c>
      <c r="I14311">
        <v>2.593072414472123E-2</v>
      </c>
    </row>
    <row r="14312" spans="1:9" x14ac:dyDescent="0.25">
      <c r="A14312">
        <v>485</v>
      </c>
      <c r="B14312" t="s">
        <v>3958</v>
      </c>
      <c r="C14312" t="s">
        <v>75</v>
      </c>
      <c r="D14312" t="s">
        <v>81</v>
      </c>
      <c r="E14312">
        <f>3/89</f>
        <v>3.3707865168539325E-2</v>
      </c>
      <c r="F14312">
        <v>114</v>
      </c>
      <c r="G14312">
        <f>LOG(382/(114+1))</f>
        <v>0.52136552255809698</v>
      </c>
      <c r="H14312">
        <f>0.0337078651685393*1.20048848024332</f>
        <v>4.0465903828426485E-2</v>
      </c>
      <c r="I14312">
        <v>4.0465903828426693E-2</v>
      </c>
    </row>
    <row r="14313" spans="1:9" x14ac:dyDescent="0.25">
      <c r="A14313">
        <v>485</v>
      </c>
      <c r="B14313" t="s">
        <v>3958</v>
      </c>
      <c r="C14313" t="s">
        <v>75</v>
      </c>
      <c r="D14313" t="s">
        <v>237</v>
      </c>
      <c r="E14313">
        <f>3/89</f>
        <v>3.3707865168539325E-2</v>
      </c>
      <c r="F14313">
        <v>138</v>
      </c>
      <c r="G14313">
        <f>LOG(382/(138+1))</f>
        <v>0.43904856265761361</v>
      </c>
      <c r="H14313">
        <f>0.0337078651685393*1.01094667547588</f>
        <v>3.4076854229524015E-2</v>
      </c>
      <c r="I14313">
        <v>3.407685422952416E-2</v>
      </c>
    </row>
    <row r="14314" spans="1:9" x14ac:dyDescent="0.25">
      <c r="A14314">
        <v>485</v>
      </c>
      <c r="B14314" t="s">
        <v>3958</v>
      </c>
      <c r="C14314" t="s">
        <v>75</v>
      </c>
      <c r="D14314" t="s">
        <v>3211</v>
      </c>
      <c r="E14314">
        <f>1/89</f>
        <v>1.1235955056179775E-2</v>
      </c>
      <c r="F14314">
        <v>5</v>
      </c>
      <c r="G14314">
        <f>LOG(382/(5+1))</f>
        <v>1.803912112528065</v>
      </c>
      <c r="H14314">
        <f>0.0112359550561797*4.15366113937852</f>
        <v>4.6670349880657214E-2</v>
      </c>
      <c r="I14314">
        <v>4.6670349880657533E-2</v>
      </c>
    </row>
    <row r="14315" spans="1:9" x14ac:dyDescent="0.25">
      <c r="A14315">
        <v>485</v>
      </c>
      <c r="B14315" t="s">
        <v>3958</v>
      </c>
      <c r="C14315" t="s">
        <v>75</v>
      </c>
      <c r="D14315" t="s">
        <v>3944</v>
      </c>
      <c r="E14315">
        <f>1/89</f>
        <v>1.1235955056179775E-2</v>
      </c>
      <c r="F14315">
        <v>6</v>
      </c>
      <c r="G14315">
        <f>LOG(382/(6+1))</f>
        <v>1.736965322897452</v>
      </c>
      <c r="H14315">
        <f>0.0112359550561797*3.99951045955126</f>
        <v>4.4938319770238579E-2</v>
      </c>
      <c r="I14315">
        <v>4.4938319770238898E-2</v>
      </c>
    </row>
    <row r="14316" spans="1:9" x14ac:dyDescent="0.25">
      <c r="A14316">
        <v>485</v>
      </c>
      <c r="B14316" t="s">
        <v>3958</v>
      </c>
      <c r="C14316" t="s">
        <v>75</v>
      </c>
      <c r="D14316" t="s">
        <v>3961</v>
      </c>
      <c r="E14316">
        <f>2/89</f>
        <v>2.247191011235955E-2</v>
      </c>
      <c r="F14316">
        <v>2</v>
      </c>
      <c r="G14316">
        <f>LOG(382/(2+1))</f>
        <v>2.1049421081920463</v>
      </c>
      <c r="H14316">
        <f>0.0224719101123595*4.84680831993846</f>
        <v>0.10891704089749324</v>
      </c>
      <c r="I14316">
        <v>0.1089170408974936</v>
      </c>
    </row>
    <row r="14317" spans="1:9" x14ac:dyDescent="0.25">
      <c r="A14317">
        <v>485</v>
      </c>
      <c r="B14317" t="s">
        <v>3958</v>
      </c>
      <c r="C14317" t="s">
        <v>75</v>
      </c>
      <c r="D14317" t="s">
        <v>3962</v>
      </c>
      <c r="E14317">
        <f>1/89</f>
        <v>1.1235955056179775E-2</v>
      </c>
      <c r="F14317">
        <v>5</v>
      </c>
      <c r="G14317">
        <f>LOG(382/(5+1))</f>
        <v>1.803912112528065</v>
      </c>
      <c r="H14317">
        <f>0.0112359550561797*4.15366113937852</f>
        <v>4.6670349880657214E-2</v>
      </c>
      <c r="I14317">
        <v>4.6670349880657533E-2</v>
      </c>
    </row>
    <row r="14318" spans="1:9" x14ac:dyDescent="0.25">
      <c r="A14318">
        <v>485</v>
      </c>
      <c r="B14318" t="s">
        <v>3958</v>
      </c>
      <c r="C14318" t="s">
        <v>75</v>
      </c>
      <c r="D14318" t="s">
        <v>1222</v>
      </c>
      <c r="E14318">
        <f>2/89</f>
        <v>2.247191011235955E-2</v>
      </c>
      <c r="F14318">
        <v>56</v>
      </c>
      <c r="G14318">
        <f>LOG(382/(56+1))</f>
        <v>0.82618850723921733</v>
      </c>
      <c r="H14318">
        <f>0.0224719101123595*1.90236934077202</f>
        <v>4.274987282633743E-2</v>
      </c>
      <c r="I14318">
        <v>4.2749872826337638E-2</v>
      </c>
    </row>
    <row r="14319" spans="1:9" x14ac:dyDescent="0.25">
      <c r="A14319">
        <v>485</v>
      </c>
      <c r="B14319" t="s">
        <v>3958</v>
      </c>
      <c r="C14319" t="s">
        <v>75</v>
      </c>
      <c r="D14319" t="s">
        <v>324</v>
      </c>
      <c r="E14319">
        <f t="shared" ref="E14319:E14328" si="676">1/89</f>
        <v>1.1235955056179775E-2</v>
      </c>
      <c r="F14319">
        <v>82</v>
      </c>
      <c r="G14319">
        <f>LOG(382/(82+1))</f>
        <v>0.66298527053563483</v>
      </c>
      <c r="H14319">
        <f>0.0112359550561797*1.52658000080997</f>
        <v>1.7152584278763594E-2</v>
      </c>
      <c r="I14319">
        <v>1.7152584278763788E-2</v>
      </c>
    </row>
    <row r="14320" spans="1:9" x14ac:dyDescent="0.25">
      <c r="A14320">
        <v>485</v>
      </c>
      <c r="B14320" t="s">
        <v>3958</v>
      </c>
      <c r="C14320" t="s">
        <v>75</v>
      </c>
      <c r="D14320" t="s">
        <v>485</v>
      </c>
      <c r="E14320">
        <f t="shared" si="676"/>
        <v>1.1235955056179775E-2</v>
      </c>
      <c r="F14320">
        <v>74</v>
      </c>
      <c r="G14320">
        <f>LOG(382/(74+1))</f>
        <v>0.7070020995200087</v>
      </c>
      <c r="H14320">
        <f>0.0112359550561797*1.62793249507026</f>
        <v>1.8291376349103924E-2</v>
      </c>
      <c r="I14320">
        <v>1.8291376349104101E-2</v>
      </c>
    </row>
    <row r="14321" spans="1:9" x14ac:dyDescent="0.25">
      <c r="A14321">
        <v>485</v>
      </c>
      <c r="B14321" t="s">
        <v>3958</v>
      </c>
      <c r="C14321" t="s">
        <v>75</v>
      </c>
      <c r="D14321" t="s">
        <v>388</v>
      </c>
      <c r="E14321">
        <f t="shared" si="676"/>
        <v>1.1235955056179775E-2</v>
      </c>
      <c r="F14321">
        <v>44</v>
      </c>
      <c r="G14321">
        <f>LOG(382/(44+1))</f>
        <v>0.92885084913636506</v>
      </c>
      <c r="H14321">
        <f>0.0112359550561797*2.13875811883625</f>
        <v>2.4030990099283545E-2</v>
      </c>
      <c r="I14321">
        <v>2.4030990099283771E-2</v>
      </c>
    </row>
    <row r="14322" spans="1:9" x14ac:dyDescent="0.25">
      <c r="A14322">
        <v>485</v>
      </c>
      <c r="B14322" t="s">
        <v>3958</v>
      </c>
      <c r="C14322" t="s">
        <v>75</v>
      </c>
      <c r="D14322" t="s">
        <v>596</v>
      </c>
      <c r="E14322">
        <f t="shared" si="676"/>
        <v>1.1235955056179775E-2</v>
      </c>
      <c r="F14322">
        <v>60</v>
      </c>
      <c r="G14322">
        <f>LOG(382/(60+1))</f>
        <v>0.79673352790094176</v>
      </c>
      <c r="H14322">
        <f>0.0112359550561797*1.83454674443326</f>
        <v>2.0612884768912897E-2</v>
      </c>
      <c r="I14322">
        <v>2.061288476891308E-2</v>
      </c>
    </row>
    <row r="14323" spans="1:9" x14ac:dyDescent="0.25">
      <c r="A14323">
        <v>485</v>
      </c>
      <c r="B14323" t="s">
        <v>3958</v>
      </c>
      <c r="C14323" t="s">
        <v>75</v>
      </c>
      <c r="D14323" t="s">
        <v>597</v>
      </c>
      <c r="E14323">
        <f t="shared" si="676"/>
        <v>1.1235955056179775E-2</v>
      </c>
      <c r="F14323">
        <v>51</v>
      </c>
      <c r="G14323">
        <f>LOG(382/(51+1))</f>
        <v>0.86606001927690957</v>
      </c>
      <c r="H14323">
        <f>0.0112359550561797*1.99417689002514</f>
        <v>2.2406481910394682E-2</v>
      </c>
      <c r="I14323">
        <v>2.2406481910394922E-2</v>
      </c>
    </row>
    <row r="14324" spans="1:9" x14ac:dyDescent="0.25">
      <c r="A14324">
        <v>485</v>
      </c>
      <c r="B14324" t="s">
        <v>3958</v>
      </c>
      <c r="C14324" t="s">
        <v>75</v>
      </c>
      <c r="D14324" t="s">
        <v>2238</v>
      </c>
      <c r="E14324">
        <f t="shared" si="676"/>
        <v>1.1235955056179775E-2</v>
      </c>
      <c r="F14324">
        <v>68</v>
      </c>
      <c r="G14324">
        <f>LOG(382/(68+1))</f>
        <v>0.74321427217445335</v>
      </c>
      <c r="H14324">
        <f>0.0112359550561797*1.71131410400931</f>
        <v>1.9228248359655042E-2</v>
      </c>
      <c r="I14324">
        <v>1.9228248359655229E-2</v>
      </c>
    </row>
    <row r="14325" spans="1:9" x14ac:dyDescent="0.25">
      <c r="A14325">
        <v>485</v>
      </c>
      <c r="B14325" t="s">
        <v>3958</v>
      </c>
      <c r="C14325" t="s">
        <v>75</v>
      </c>
      <c r="D14325" t="s">
        <v>823</v>
      </c>
      <c r="E14325">
        <f t="shared" si="676"/>
        <v>1.1235955056179775E-2</v>
      </c>
      <c r="F14325">
        <v>45</v>
      </c>
      <c r="G14325">
        <f>LOG(382/(45+1))</f>
        <v>0.9193055312301347</v>
      </c>
      <c r="H14325">
        <f>0.0112359550561797*2.11677921211748</f>
        <v>2.3784036091207484E-2</v>
      </c>
      <c r="I14325">
        <v>2.378403609120764E-2</v>
      </c>
    </row>
    <row r="14326" spans="1:9" x14ac:dyDescent="0.25">
      <c r="A14326">
        <v>485</v>
      </c>
      <c r="B14326" t="s">
        <v>3958</v>
      </c>
      <c r="C14326" t="s">
        <v>75</v>
      </c>
      <c r="D14326" t="s">
        <v>82</v>
      </c>
      <c r="E14326">
        <f t="shared" si="676"/>
        <v>1.1235955056179775E-2</v>
      </c>
      <c r="F14326">
        <v>92</v>
      </c>
      <c r="G14326">
        <f>LOG(382/(92+1))</f>
        <v>0.61358041435777355</v>
      </c>
      <c r="H14326">
        <f>0.0112359550561797*1.41282111545331</f>
        <v>1.587439455565506E-2</v>
      </c>
      <c r="I14326">
        <v>1.5874394555655268E-2</v>
      </c>
    </row>
    <row r="14327" spans="1:9" x14ac:dyDescent="0.25">
      <c r="A14327">
        <v>485</v>
      </c>
      <c r="B14327" t="s">
        <v>3958</v>
      </c>
      <c r="C14327" t="s">
        <v>75</v>
      </c>
      <c r="D14327" t="s">
        <v>50</v>
      </c>
      <c r="E14327">
        <f t="shared" si="676"/>
        <v>1.1235955056179775E-2</v>
      </c>
      <c r="F14327">
        <v>109</v>
      </c>
      <c r="G14327">
        <f>LOG(382/(109+1))</f>
        <v>0.54067067775348365</v>
      </c>
      <c r="H14327">
        <f>0.0112359550561797*1.24494024281415</f>
        <v>1.3988092615889233E-2</v>
      </c>
      <c r="I14327">
        <v>1.398809261588943E-2</v>
      </c>
    </row>
    <row r="14328" spans="1:9" x14ac:dyDescent="0.25">
      <c r="A14328">
        <v>485</v>
      </c>
      <c r="B14328" t="s">
        <v>3958</v>
      </c>
      <c r="C14328" t="s">
        <v>75</v>
      </c>
      <c r="D14328" t="s">
        <v>1762</v>
      </c>
      <c r="E14328">
        <f t="shared" si="676"/>
        <v>1.1235955056179775E-2</v>
      </c>
      <c r="F14328">
        <v>60</v>
      </c>
      <c r="G14328">
        <f>LOG(382/(60+1))</f>
        <v>0.79673352790094176</v>
      </c>
      <c r="H14328">
        <f>0.0112359550561797*1.83454674443326</f>
        <v>2.0612884768912897E-2</v>
      </c>
      <c r="I14328">
        <v>2.061288476891308E-2</v>
      </c>
    </row>
    <row r="14329" spans="1:9" x14ac:dyDescent="0.25">
      <c r="A14329">
        <v>485</v>
      </c>
      <c r="B14329" t="s">
        <v>3958</v>
      </c>
      <c r="C14329" t="s">
        <v>75</v>
      </c>
      <c r="D14329" t="s">
        <v>1921</v>
      </c>
      <c r="E14329">
        <f>2/89</f>
        <v>2.247191011235955E-2</v>
      </c>
      <c r="F14329">
        <v>37</v>
      </c>
      <c r="G14329">
        <f>LOG(382/(37+1))</f>
        <v>1.0022797662948986</v>
      </c>
      <c r="H14329">
        <f>0.0224719101123595*2.30783444888018</f>
        <v>5.1861448289442127E-2</v>
      </c>
      <c r="I14329">
        <v>5.1861448289442447E-2</v>
      </c>
    </row>
    <row r="14330" spans="1:9" x14ac:dyDescent="0.25">
      <c r="A14330">
        <v>485</v>
      </c>
      <c r="B14330" t="s">
        <v>3958</v>
      </c>
      <c r="C14330" t="s">
        <v>75</v>
      </c>
      <c r="D14330" t="s">
        <v>1125</v>
      </c>
      <c r="E14330">
        <f>1/89</f>
        <v>1.1235955056179775E-2</v>
      </c>
      <c r="F14330">
        <v>19</v>
      </c>
      <c r="G14330">
        <f>LOG(382/(19+1))</f>
        <v>1.2810333672477277</v>
      </c>
      <c r="H14330">
        <f>0.0112359550561797*2.94968833505258</f>
        <v>3.3142565562388315E-2</v>
      </c>
      <c r="I14330">
        <v>3.3142565562388593E-2</v>
      </c>
    </row>
    <row r="14331" spans="1:9" x14ac:dyDescent="0.25">
      <c r="A14331">
        <v>485</v>
      </c>
      <c r="B14331" t="s">
        <v>3958</v>
      </c>
      <c r="C14331" t="s">
        <v>75</v>
      </c>
      <c r="D14331" t="s">
        <v>746</v>
      </c>
      <c r="E14331">
        <f>1/89</f>
        <v>1.1235955056179775E-2</v>
      </c>
      <c r="F14331">
        <v>58</v>
      </c>
      <c r="G14331">
        <f>LOG(382/(58+1))</f>
        <v>0.81121135126956456</v>
      </c>
      <c r="H14331">
        <f>0.0112359550561797*1.86788316470085</f>
        <v>2.0987451288773457E-2</v>
      </c>
      <c r="I14331">
        <v>2.0987451288773658E-2</v>
      </c>
    </row>
    <row r="14332" spans="1:9" x14ac:dyDescent="0.25">
      <c r="A14332">
        <v>485</v>
      </c>
      <c r="B14332" t="s">
        <v>3958</v>
      </c>
      <c r="C14332" t="s">
        <v>75</v>
      </c>
      <c r="D14332" t="s">
        <v>1080</v>
      </c>
      <c r="E14332">
        <f>1/89</f>
        <v>1.1235955056179775E-2</v>
      </c>
      <c r="F14332">
        <v>26</v>
      </c>
      <c r="G14332">
        <f>LOG(382/(26+1))</f>
        <v>1.1506995987527215</v>
      </c>
      <c r="H14332">
        <f>0.0112359550561797*2.64958374260224</f>
        <v>2.9770603849463173E-2</v>
      </c>
      <c r="I14332">
        <v>2.977060384946344E-2</v>
      </c>
    </row>
    <row r="14333" spans="1:9" x14ac:dyDescent="0.25">
      <c r="A14333">
        <v>485</v>
      </c>
      <c r="B14333" t="s">
        <v>3958</v>
      </c>
      <c r="C14333" t="s">
        <v>75</v>
      </c>
      <c r="D14333" t="s">
        <v>1742</v>
      </c>
      <c r="E14333">
        <f>1/89</f>
        <v>1.1235955056179775E-2</v>
      </c>
      <c r="F14333">
        <v>7</v>
      </c>
      <c r="G14333">
        <f>LOG(382/(7+1))</f>
        <v>1.6789733759197651</v>
      </c>
      <c r="H14333">
        <f>0.0112359550561797*3.86597906692673</f>
        <v>4.3437967044120278E-2</v>
      </c>
      <c r="I14333">
        <v>4.3437967044120659E-2</v>
      </c>
    </row>
    <row r="14334" spans="1:9" x14ac:dyDescent="0.25">
      <c r="A14334">
        <v>485</v>
      </c>
      <c r="B14334" t="s">
        <v>3958</v>
      </c>
      <c r="C14334" t="s">
        <v>75</v>
      </c>
      <c r="D14334" t="s">
        <v>937</v>
      </c>
      <c r="E14334">
        <f>1/89</f>
        <v>1.1235955056179775E-2</v>
      </c>
      <c r="F14334">
        <v>41</v>
      </c>
      <c r="G14334">
        <f>LOG(382/(41+1))</f>
        <v>0.95881407251380824</v>
      </c>
      <c r="H14334">
        <f>0.0112359550561797*2.2077509903232</f>
        <v>2.4806190902507703E-2</v>
      </c>
      <c r="I14334">
        <v>2.4806190902507939E-2</v>
      </c>
    </row>
    <row r="14335" spans="1:9" x14ac:dyDescent="0.25">
      <c r="A14335">
        <v>486</v>
      </c>
      <c r="B14335" t="s">
        <v>3963</v>
      </c>
      <c r="C14335" t="s">
        <v>75</v>
      </c>
      <c r="D14335" t="s">
        <v>1544</v>
      </c>
      <c r="E14335">
        <f>5/113</f>
        <v>4.4247787610619468E-2</v>
      </c>
      <c r="F14335">
        <v>19</v>
      </c>
      <c r="G14335">
        <f>LOG(382/(19+1))</f>
        <v>1.2810333672477277</v>
      </c>
      <c r="H14335">
        <f>0.0442477876106194*2.94968833505258</f>
        <v>0.1305171829669281</v>
      </c>
      <c r="I14335">
        <v>0.13051718296692849</v>
      </c>
    </row>
    <row r="14336" spans="1:9" x14ac:dyDescent="0.25">
      <c r="A14336">
        <v>486</v>
      </c>
      <c r="B14336" t="s">
        <v>3963</v>
      </c>
      <c r="C14336" t="s">
        <v>75</v>
      </c>
      <c r="D14336" t="s">
        <v>3964</v>
      </c>
      <c r="E14336">
        <f>2/113</f>
        <v>1.7699115044247787E-2</v>
      </c>
      <c r="F14336">
        <v>1</v>
      </c>
      <c r="G14336">
        <f>LOG(382/(1+1))</f>
        <v>2.2810333672477277</v>
      </c>
      <c r="H14336">
        <f>0.0176991150442477*5.25227342804663</f>
        <v>9.2960591646842547E-2</v>
      </c>
      <c r="I14336">
        <v>9.2960591646843005E-2</v>
      </c>
    </row>
    <row r="14337" spans="1:9" x14ac:dyDescent="0.25">
      <c r="A14337">
        <v>486</v>
      </c>
      <c r="B14337" t="s">
        <v>3963</v>
      </c>
      <c r="C14337" t="s">
        <v>75</v>
      </c>
      <c r="D14337" t="s">
        <v>3965</v>
      </c>
      <c r="E14337">
        <f>2/113</f>
        <v>1.7699115044247787E-2</v>
      </c>
      <c r="F14337">
        <v>1</v>
      </c>
      <c r="G14337">
        <f>LOG(382/(1+1))</f>
        <v>2.2810333672477277</v>
      </c>
      <c r="H14337">
        <f>0.0176991150442477*5.25227342804663</f>
        <v>9.2960591646842547E-2</v>
      </c>
      <c r="I14337">
        <v>9.2960591646843005E-2</v>
      </c>
    </row>
    <row r="14338" spans="1:9" x14ac:dyDescent="0.25">
      <c r="A14338">
        <v>486</v>
      </c>
      <c r="B14338" t="s">
        <v>3963</v>
      </c>
      <c r="C14338" t="s">
        <v>75</v>
      </c>
      <c r="D14338" t="s">
        <v>3966</v>
      </c>
      <c r="E14338">
        <f>2/113</f>
        <v>1.7699115044247787E-2</v>
      </c>
      <c r="F14338">
        <v>1</v>
      </c>
      <c r="G14338">
        <f>LOG(382/(1+1))</f>
        <v>2.2810333672477277</v>
      </c>
      <c r="H14338">
        <f>0.0176991150442477*5.25227342804663</f>
        <v>9.2960591646842547E-2</v>
      </c>
      <c r="I14338">
        <v>9.2960591646843005E-2</v>
      </c>
    </row>
    <row r="14339" spans="1:9" x14ac:dyDescent="0.25">
      <c r="A14339">
        <v>486</v>
      </c>
      <c r="B14339" t="s">
        <v>3963</v>
      </c>
      <c r="C14339" t="s">
        <v>75</v>
      </c>
      <c r="D14339" t="s">
        <v>112</v>
      </c>
      <c r="E14339">
        <f>1/113</f>
        <v>8.8495575221238937E-3</v>
      </c>
      <c r="F14339">
        <v>52</v>
      </c>
      <c r="G14339">
        <f>LOG(382/(52+1))</f>
        <v>0.85778749331091964</v>
      </c>
      <c r="H14339">
        <f>0.00884955752212389*1.97512869505445</f>
        <v>1.7479015000481851E-2</v>
      </c>
      <c r="I14339">
        <v>1.7479015000481889E-2</v>
      </c>
    </row>
    <row r="14340" spans="1:9" x14ac:dyDescent="0.25">
      <c r="A14340">
        <v>486</v>
      </c>
      <c r="B14340" t="s">
        <v>3963</v>
      </c>
      <c r="C14340" t="s">
        <v>75</v>
      </c>
      <c r="D14340" t="s">
        <v>82</v>
      </c>
      <c r="E14340">
        <f>2/113</f>
        <v>1.7699115044247787E-2</v>
      </c>
      <c r="F14340">
        <v>92</v>
      </c>
      <c r="G14340">
        <f>LOG(382/(92+1))</f>
        <v>0.61358041435777355</v>
      </c>
      <c r="H14340">
        <f>0.0176991150442477*1.41282111545331</f>
        <v>2.5005683459350496E-2</v>
      </c>
      <c r="I14340">
        <v>2.500568345935078E-2</v>
      </c>
    </row>
    <row r="14341" spans="1:9" x14ac:dyDescent="0.25">
      <c r="A14341">
        <v>486</v>
      </c>
      <c r="B14341" t="s">
        <v>3963</v>
      </c>
      <c r="C14341" t="s">
        <v>75</v>
      </c>
      <c r="D14341" t="s">
        <v>42</v>
      </c>
      <c r="E14341">
        <f>1/113</f>
        <v>8.8495575221238937E-3</v>
      </c>
      <c r="F14341">
        <v>251</v>
      </c>
      <c r="G14341">
        <f>LOG(382/(251+1))</f>
        <v>0.18066282213016463</v>
      </c>
      <c r="H14341">
        <f>0.00884955752212389*0.415991521095151</f>
        <v>3.6813408946473523E-3</v>
      </c>
      <c r="I14341">
        <v>3.6813408946473609E-3</v>
      </c>
    </row>
    <row r="14342" spans="1:9" x14ac:dyDescent="0.25">
      <c r="A14342">
        <v>486</v>
      </c>
      <c r="B14342" t="s">
        <v>3963</v>
      </c>
      <c r="C14342" t="s">
        <v>75</v>
      </c>
      <c r="D14342" t="s">
        <v>600</v>
      </c>
      <c r="E14342">
        <f>2/113</f>
        <v>1.7699115044247787E-2</v>
      </c>
      <c r="F14342">
        <v>102</v>
      </c>
      <c r="G14342">
        <f>LOG(382/(102+1))</f>
        <v>0.56922613820653656</v>
      </c>
      <c r="H14342">
        <f>0.0176991150442477*1.31069162037693</f>
        <v>2.3198081776582721E-2</v>
      </c>
      <c r="I14342">
        <v>2.3198081776583002E-2</v>
      </c>
    </row>
    <row r="14343" spans="1:9" x14ac:dyDescent="0.25">
      <c r="A14343">
        <v>486</v>
      </c>
      <c r="B14343" t="s">
        <v>3963</v>
      </c>
      <c r="C14343" t="s">
        <v>75</v>
      </c>
      <c r="D14343" t="s">
        <v>2180</v>
      </c>
      <c r="E14343">
        <f>2/113</f>
        <v>1.7699115044247787E-2</v>
      </c>
      <c r="F14343">
        <v>7</v>
      </c>
      <c r="G14343">
        <f>LOG(382/(7+1))</f>
        <v>1.6789733759197651</v>
      </c>
      <c r="H14343">
        <f>0.0176991150442477*3.86597906692673</f>
        <v>6.8424408264189579E-2</v>
      </c>
      <c r="I14343">
        <v>6.8424408264190065E-2</v>
      </c>
    </row>
    <row r="14344" spans="1:9" x14ac:dyDescent="0.25">
      <c r="A14344">
        <v>486</v>
      </c>
      <c r="B14344" t="s">
        <v>3963</v>
      </c>
      <c r="C14344" t="s">
        <v>75</v>
      </c>
      <c r="D14344" t="s">
        <v>1196</v>
      </c>
      <c r="E14344">
        <f>2/113</f>
        <v>1.7699115044247787E-2</v>
      </c>
      <c r="F14344">
        <v>7</v>
      </c>
      <c r="G14344">
        <f>LOG(382/(7+1))</f>
        <v>1.6789733759197651</v>
      </c>
      <c r="H14344">
        <f>0.0176991150442477*3.86597906692673</f>
        <v>6.8424408264189579E-2</v>
      </c>
      <c r="I14344">
        <v>6.8424408264190065E-2</v>
      </c>
    </row>
    <row r="14345" spans="1:9" x14ac:dyDescent="0.25">
      <c r="A14345">
        <v>486</v>
      </c>
      <c r="B14345" t="s">
        <v>3963</v>
      </c>
      <c r="C14345" t="s">
        <v>75</v>
      </c>
      <c r="D14345" t="s">
        <v>17</v>
      </c>
      <c r="E14345">
        <f>1/113</f>
        <v>8.8495575221238937E-3</v>
      </c>
      <c r="F14345">
        <v>169</v>
      </c>
      <c r="G14345">
        <f>LOG(382/(169+1))</f>
        <v>0.3516144415334348</v>
      </c>
      <c r="H14345">
        <f>0.00884955752212389*0.809622171556313</f>
        <v>7.1647979783744488E-3</v>
      </c>
      <c r="I14345">
        <v>7.1647979783744549E-3</v>
      </c>
    </row>
    <row r="14346" spans="1:9" x14ac:dyDescent="0.25">
      <c r="A14346">
        <v>486</v>
      </c>
      <c r="B14346" t="s">
        <v>3963</v>
      </c>
      <c r="C14346" t="s">
        <v>75</v>
      </c>
      <c r="D14346" t="s">
        <v>1907</v>
      </c>
      <c r="E14346">
        <f t="shared" ref="E14346:E14353" si="677">2/113</f>
        <v>1.7699115044247787E-2</v>
      </c>
      <c r="F14346">
        <v>20</v>
      </c>
      <c r="G14346">
        <f>LOG(382/(20+1))</f>
        <v>1.2598440681777894</v>
      </c>
      <c r="H14346">
        <f>0.0176991150442477*2.90089817088315</f>
        <v>5.1343330458108599E-2</v>
      </c>
      <c r="I14346">
        <v>5.1343330458108891E-2</v>
      </c>
    </row>
    <row r="14347" spans="1:9" x14ac:dyDescent="0.25">
      <c r="A14347">
        <v>486</v>
      </c>
      <c r="B14347" t="s">
        <v>3963</v>
      </c>
      <c r="C14347" t="s">
        <v>75</v>
      </c>
      <c r="D14347" t="s">
        <v>1908</v>
      </c>
      <c r="E14347">
        <f t="shared" si="677"/>
        <v>1.7699115044247787E-2</v>
      </c>
      <c r="F14347">
        <v>20</v>
      </c>
      <c r="G14347">
        <f>LOG(382/(20+1))</f>
        <v>1.2598440681777894</v>
      </c>
      <c r="H14347">
        <f>0.0176991150442477*2.90089817088315</f>
        <v>5.1343330458108599E-2</v>
      </c>
      <c r="I14347">
        <v>5.1343330458108891E-2</v>
      </c>
    </row>
    <row r="14348" spans="1:9" x14ac:dyDescent="0.25">
      <c r="A14348">
        <v>486</v>
      </c>
      <c r="B14348" t="s">
        <v>3963</v>
      </c>
      <c r="C14348" t="s">
        <v>75</v>
      </c>
      <c r="D14348" t="s">
        <v>91</v>
      </c>
      <c r="E14348">
        <f t="shared" si="677"/>
        <v>1.7699115044247787E-2</v>
      </c>
      <c r="F14348">
        <v>33</v>
      </c>
      <c r="G14348">
        <f>LOG(382/(33+1))</f>
        <v>1.0505844458694535</v>
      </c>
      <c r="H14348">
        <f>0.0176991150442477*2.41906008399041</f>
        <v>4.2815222725493776E-2</v>
      </c>
      <c r="I14348">
        <v>4.2815222725494047E-2</v>
      </c>
    </row>
    <row r="14349" spans="1:9" x14ac:dyDescent="0.25">
      <c r="A14349">
        <v>486</v>
      </c>
      <c r="B14349" t="s">
        <v>3963</v>
      </c>
      <c r="C14349" t="s">
        <v>75</v>
      </c>
      <c r="D14349" t="s">
        <v>19</v>
      </c>
      <c r="E14349">
        <f t="shared" si="677"/>
        <v>1.7699115044247787E-2</v>
      </c>
      <c r="F14349">
        <v>220</v>
      </c>
      <c r="G14349">
        <f>LOG(382/(220+1))</f>
        <v>0.23767108922659805</v>
      </c>
      <c r="H14349">
        <f>0.0176991150442477*0.547257907088822</f>
        <v>9.68598065643928E-3</v>
      </c>
      <c r="I14349">
        <v>9.6859806564393337E-3</v>
      </c>
    </row>
    <row r="14350" spans="1:9" x14ac:dyDescent="0.25">
      <c r="A14350">
        <v>486</v>
      </c>
      <c r="B14350" t="s">
        <v>3963</v>
      </c>
      <c r="C14350" t="s">
        <v>75</v>
      </c>
      <c r="D14350" t="s">
        <v>195</v>
      </c>
      <c r="E14350">
        <f t="shared" si="677"/>
        <v>1.7699115044247787E-2</v>
      </c>
      <c r="F14350">
        <v>55</v>
      </c>
      <c r="G14350">
        <f>LOG(382/(55+1))</f>
        <v>0.83387533590550833</v>
      </c>
      <c r="H14350">
        <f>0.0176991150442477*1.92006891787142</f>
        <v>3.3983520670290451E-2</v>
      </c>
      <c r="I14350">
        <v>3.3983520670290722E-2</v>
      </c>
    </row>
    <row r="14351" spans="1:9" x14ac:dyDescent="0.25">
      <c r="A14351">
        <v>486</v>
      </c>
      <c r="B14351" t="s">
        <v>3963</v>
      </c>
      <c r="C14351" t="s">
        <v>75</v>
      </c>
      <c r="D14351" t="s">
        <v>22</v>
      </c>
      <c r="E14351">
        <f t="shared" si="677"/>
        <v>1.7699115044247787E-2</v>
      </c>
      <c r="F14351">
        <v>259</v>
      </c>
      <c r="G14351">
        <f>LOG(382/(259+1))</f>
        <v>0.16709001494089079</v>
      </c>
      <c r="H14351">
        <f>0.0176991150442477*0.384738977591047</f>
        <v>6.8095394263901791E-3</v>
      </c>
      <c r="I14351">
        <v>6.8095394263902216E-3</v>
      </c>
    </row>
    <row r="14352" spans="1:9" x14ac:dyDescent="0.25">
      <c r="A14352">
        <v>486</v>
      </c>
      <c r="B14352" t="s">
        <v>3963</v>
      </c>
      <c r="C14352" t="s">
        <v>75</v>
      </c>
      <c r="D14352" t="s">
        <v>23</v>
      </c>
      <c r="E14352">
        <f t="shared" si="677"/>
        <v>1.7699115044247787E-2</v>
      </c>
      <c r="F14352">
        <v>275</v>
      </c>
      <c r="G14352">
        <f>LOG(382/(275+1))</f>
        <v>0.14115428084649101</v>
      </c>
      <c r="H14352">
        <f>0.0176991150442477*0.325019742889425</f>
        <v>5.7525618210517411E-3</v>
      </c>
      <c r="I14352">
        <v>5.7525618210517724E-3</v>
      </c>
    </row>
    <row r="14353" spans="1:9" x14ac:dyDescent="0.25">
      <c r="A14353">
        <v>486</v>
      </c>
      <c r="B14353" t="s">
        <v>3963</v>
      </c>
      <c r="C14353" t="s">
        <v>75</v>
      </c>
      <c r="D14353" t="s">
        <v>2291</v>
      </c>
      <c r="E14353">
        <f t="shared" si="677"/>
        <v>1.7699115044247787E-2</v>
      </c>
      <c r="F14353">
        <v>17</v>
      </c>
      <c r="G14353">
        <f>LOG(382/(17+1))</f>
        <v>1.3267908578084027</v>
      </c>
      <c r="H14353">
        <f>0.0176991150442477*3.05504885071041</f>
        <v>5.4071661074520265E-2</v>
      </c>
      <c r="I14353">
        <v>5.4071661074520543E-2</v>
      </c>
    </row>
    <row r="14354" spans="1:9" x14ac:dyDescent="0.25">
      <c r="A14354">
        <v>486</v>
      </c>
      <c r="B14354" t="s">
        <v>3963</v>
      </c>
      <c r="C14354" t="s">
        <v>75</v>
      </c>
      <c r="D14354" t="s">
        <v>105</v>
      </c>
      <c r="E14354">
        <f>1/113</f>
        <v>8.8495575221238937E-3</v>
      </c>
      <c r="F14354">
        <v>122</v>
      </c>
      <c r="G14354">
        <f>LOG(382/(122+1))</f>
        <v>0.49215825147231079</v>
      </c>
      <c r="H14354">
        <f>0.00884955752212389*1.13323625323415</f>
        <v>1.0028639409151765E-2</v>
      </c>
      <c r="I14354">
        <v>1.002863940915184E-2</v>
      </c>
    </row>
    <row r="14355" spans="1:9" x14ac:dyDescent="0.25">
      <c r="A14355">
        <v>486</v>
      </c>
      <c r="B14355" t="s">
        <v>3963</v>
      </c>
      <c r="C14355" t="s">
        <v>75</v>
      </c>
      <c r="D14355" t="s">
        <v>1769</v>
      </c>
      <c r="E14355">
        <f>2/113</f>
        <v>1.7699115044247787E-2</v>
      </c>
      <c r="F14355">
        <v>84</v>
      </c>
      <c r="G14355">
        <f>LOG(382/(84+1))</f>
        <v>0.65264443719741605</v>
      </c>
      <c r="H14355">
        <f>0.0176991150442477*1.50276935211625</f>
        <v>2.6597687648075088E-2</v>
      </c>
      <c r="I14355">
        <v>2.659768764807538E-2</v>
      </c>
    </row>
    <row r="14356" spans="1:9" x14ac:dyDescent="0.25">
      <c r="A14356">
        <v>486</v>
      </c>
      <c r="B14356" t="s">
        <v>3963</v>
      </c>
      <c r="C14356" t="s">
        <v>75</v>
      </c>
      <c r="D14356" t="s">
        <v>126</v>
      </c>
      <c r="E14356">
        <f>2/113</f>
        <v>1.7699115044247787E-2</v>
      </c>
      <c r="F14356">
        <v>79</v>
      </c>
      <c r="G14356">
        <f>LOG(382/(79+1))</f>
        <v>0.67897337591976514</v>
      </c>
      <c r="H14356">
        <f>0.0176991150442477*1.56339397393269</f>
        <v>2.7670689804118274E-2</v>
      </c>
      <c r="I14356">
        <v>2.7670689804118472E-2</v>
      </c>
    </row>
    <row r="14357" spans="1:9" x14ac:dyDescent="0.25">
      <c r="A14357">
        <v>486</v>
      </c>
      <c r="B14357" t="s">
        <v>3963</v>
      </c>
      <c r="C14357" t="s">
        <v>75</v>
      </c>
      <c r="D14357" t="s">
        <v>50</v>
      </c>
      <c r="E14357">
        <f>3/113</f>
        <v>2.6548672566371681E-2</v>
      </c>
      <c r="F14357">
        <v>109</v>
      </c>
      <c r="G14357">
        <f>LOG(382/(109+1))</f>
        <v>0.54067067775348365</v>
      </c>
      <c r="H14357">
        <f>0.0265486725663716*1.24494024281415</f>
        <v>3.3051510871172023E-2</v>
      </c>
      <c r="I14357">
        <v>3.3051510871172363E-2</v>
      </c>
    </row>
    <row r="14358" spans="1:9" x14ac:dyDescent="0.25">
      <c r="A14358">
        <v>486</v>
      </c>
      <c r="B14358" t="s">
        <v>3963</v>
      </c>
      <c r="C14358" t="s">
        <v>75</v>
      </c>
      <c r="D14358" t="s">
        <v>1546</v>
      </c>
      <c r="E14358">
        <f>1/113</f>
        <v>8.8495575221238937E-3</v>
      </c>
      <c r="F14358">
        <v>44</v>
      </c>
      <c r="G14358">
        <f>LOG(382/(44+1))</f>
        <v>0.92885084913636506</v>
      </c>
      <c r="H14358">
        <f>0.00884955752212389*2.13875811883625</f>
        <v>1.8927062998550875E-2</v>
      </c>
      <c r="I14358">
        <v>1.8927062998550931E-2</v>
      </c>
    </row>
    <row r="14359" spans="1:9" x14ac:dyDescent="0.25">
      <c r="A14359">
        <v>486</v>
      </c>
      <c r="B14359" t="s">
        <v>3963</v>
      </c>
      <c r="C14359" t="s">
        <v>75</v>
      </c>
      <c r="D14359" t="s">
        <v>78</v>
      </c>
      <c r="E14359">
        <f>2/113</f>
        <v>1.7699115044247787E-2</v>
      </c>
      <c r="F14359">
        <v>122</v>
      </c>
      <c r="G14359">
        <f>LOG(382/(122+1))</f>
        <v>0.49215825147231079</v>
      </c>
      <c r="H14359">
        <f>0.0176991150442477*1.13323625323415</f>
        <v>2.005727881830344E-2</v>
      </c>
      <c r="I14359">
        <v>2.0057278818303669E-2</v>
      </c>
    </row>
    <row r="14360" spans="1:9" x14ac:dyDescent="0.25">
      <c r="A14360">
        <v>486</v>
      </c>
      <c r="B14360" t="s">
        <v>3963</v>
      </c>
      <c r="C14360" t="s">
        <v>75</v>
      </c>
      <c r="D14360" t="s">
        <v>754</v>
      </c>
      <c r="E14360">
        <f>2/113</f>
        <v>1.7699115044247787E-2</v>
      </c>
      <c r="F14360">
        <v>111</v>
      </c>
      <c r="G14360">
        <f>LOG(382/(111+1))</f>
        <v>0.53284534024152708</v>
      </c>
      <c r="H14360">
        <f>0.0176991150442477*1.22692173731148</f>
        <v>2.1715428978964141E-2</v>
      </c>
      <c r="I14360">
        <v>2.1715428978964259E-2</v>
      </c>
    </row>
    <row r="14361" spans="1:9" x14ac:dyDescent="0.25">
      <c r="A14361">
        <v>486</v>
      </c>
      <c r="B14361" t="s">
        <v>3963</v>
      </c>
      <c r="C14361" t="s">
        <v>75</v>
      </c>
      <c r="D14361" t="s">
        <v>237</v>
      </c>
      <c r="E14361">
        <f>6/113</f>
        <v>5.3097345132743362E-2</v>
      </c>
      <c r="F14361">
        <v>138</v>
      </c>
      <c r="G14361">
        <f>LOG(382/(138+1))</f>
        <v>0.43904856265761361</v>
      </c>
      <c r="H14361">
        <f>0.0530973451327433*1.01094667547588</f>
        <v>5.367858453854224E-2</v>
      </c>
      <c r="I14361">
        <v>5.3678584538542483E-2</v>
      </c>
    </row>
    <row r="14362" spans="1:9" x14ac:dyDescent="0.25">
      <c r="A14362">
        <v>486</v>
      </c>
      <c r="B14362" t="s">
        <v>3963</v>
      </c>
      <c r="C14362" t="s">
        <v>75</v>
      </c>
      <c r="D14362" t="s">
        <v>243</v>
      </c>
      <c r="E14362">
        <f>2/113</f>
        <v>1.7699115044247787E-2</v>
      </c>
      <c r="F14362">
        <v>131</v>
      </c>
      <c r="G14362">
        <f>LOG(382/(131+1))</f>
        <v>0.46148943170585888</v>
      </c>
      <c r="H14362">
        <f>0.0176991150442477*1.0626186860202</f>
        <v>1.8807410372038848E-2</v>
      </c>
      <c r="I14362">
        <v>1.8807410372039011E-2</v>
      </c>
    </row>
    <row r="14363" spans="1:9" x14ac:dyDescent="0.25">
      <c r="A14363">
        <v>486</v>
      </c>
      <c r="B14363" t="s">
        <v>3963</v>
      </c>
      <c r="C14363" t="s">
        <v>75</v>
      </c>
      <c r="D14363" t="s">
        <v>453</v>
      </c>
      <c r="E14363">
        <f>1/113</f>
        <v>8.8495575221238937E-3</v>
      </c>
      <c r="F14363">
        <v>68</v>
      </c>
      <c r="G14363">
        <f>LOG(382/(68+1))</f>
        <v>0.74321427217445335</v>
      </c>
      <c r="H14363">
        <f>0.00884955752212389*1.71131410400931</f>
        <v>1.5144372601852295E-2</v>
      </c>
      <c r="I14363">
        <v>1.5144372601852351E-2</v>
      </c>
    </row>
    <row r="14364" spans="1:9" x14ac:dyDescent="0.25">
      <c r="A14364">
        <v>486</v>
      </c>
      <c r="B14364" t="s">
        <v>3963</v>
      </c>
      <c r="C14364" t="s">
        <v>75</v>
      </c>
      <c r="D14364" t="s">
        <v>1905</v>
      </c>
      <c r="E14364">
        <f>1/113</f>
        <v>8.8495575221238937E-3</v>
      </c>
      <c r="F14364">
        <v>24</v>
      </c>
      <c r="G14364">
        <f>LOG(382/(24+1))</f>
        <v>1.1841233542396712</v>
      </c>
      <c r="H14364">
        <f>0.00884955752212389*2.72654478373837</f>
        <v>2.4128714900339545E-2</v>
      </c>
      <c r="I14364">
        <v>2.412871490033959E-2</v>
      </c>
    </row>
    <row r="14365" spans="1:9" x14ac:dyDescent="0.25">
      <c r="A14365">
        <v>486</v>
      </c>
      <c r="B14365" t="s">
        <v>3963</v>
      </c>
      <c r="C14365" t="s">
        <v>75</v>
      </c>
      <c r="D14365" t="s">
        <v>2394</v>
      </c>
      <c r="E14365">
        <f>1/113</f>
        <v>8.8495575221238937E-3</v>
      </c>
      <c r="F14365">
        <v>8</v>
      </c>
      <c r="G14365">
        <f>LOG(382/(8+1))</f>
        <v>1.6278208534723839</v>
      </c>
      <c r="H14365">
        <f>0.00884955752212389*3.74819603127035</f>
        <v>3.3169876382923437E-2</v>
      </c>
      <c r="I14365">
        <v>3.3169876382923499E-2</v>
      </c>
    </row>
    <row r="14366" spans="1:9" x14ac:dyDescent="0.25">
      <c r="A14366">
        <v>486</v>
      </c>
      <c r="B14366" t="s">
        <v>3963</v>
      </c>
      <c r="C14366" t="s">
        <v>75</v>
      </c>
      <c r="D14366" t="s">
        <v>455</v>
      </c>
      <c r="E14366">
        <f>2/113</f>
        <v>1.7699115044247787E-2</v>
      </c>
      <c r="F14366">
        <v>78</v>
      </c>
      <c r="G14366">
        <f>LOG(382/(78+1))</f>
        <v>0.6844362716212673</v>
      </c>
      <c r="H14366">
        <f>0.0176991150442477*1.57597275613955</f>
        <v>2.7893323117514024E-2</v>
      </c>
      <c r="I14366">
        <v>2.7893323117514229E-2</v>
      </c>
    </row>
    <row r="14367" spans="1:9" x14ac:dyDescent="0.25">
      <c r="A14367">
        <v>486</v>
      </c>
      <c r="B14367" t="s">
        <v>3963</v>
      </c>
      <c r="C14367" t="s">
        <v>75</v>
      </c>
      <c r="D14367" t="s">
        <v>456</v>
      </c>
      <c r="E14367">
        <f>2/113</f>
        <v>1.7699115044247787E-2</v>
      </c>
      <c r="F14367">
        <v>71</v>
      </c>
      <c r="G14367">
        <f>LOG(382/(71+1))</f>
        <v>0.72473086648044027</v>
      </c>
      <c r="H14367">
        <f>0.0176991150442477*1.66875448959051</f>
        <v>2.9535477691867287E-2</v>
      </c>
      <c r="I14367">
        <v>2.9535477691867609E-2</v>
      </c>
    </row>
    <row r="14368" spans="1:9" x14ac:dyDescent="0.25">
      <c r="A14368">
        <v>486</v>
      </c>
      <c r="B14368" t="s">
        <v>3963</v>
      </c>
      <c r="C14368" t="s">
        <v>75</v>
      </c>
      <c r="D14368" t="s">
        <v>3967</v>
      </c>
      <c r="E14368">
        <f>1/113</f>
        <v>8.8495575221238937E-3</v>
      </c>
      <c r="F14368">
        <v>1</v>
      </c>
      <c r="G14368">
        <f>LOG(382/(1+1))</f>
        <v>2.2810333672477277</v>
      </c>
      <c r="H14368">
        <f>0.00884955752212389*5.25227342804663</f>
        <v>4.6480295823421482E-2</v>
      </c>
      <c r="I14368">
        <v>4.6480295823421502E-2</v>
      </c>
    </row>
    <row r="14369" spans="1:9" x14ac:dyDescent="0.25">
      <c r="A14369">
        <v>486</v>
      </c>
      <c r="B14369" t="s">
        <v>3963</v>
      </c>
      <c r="C14369" t="s">
        <v>75</v>
      </c>
      <c r="D14369" t="s">
        <v>361</v>
      </c>
      <c r="E14369">
        <f>2/113</f>
        <v>1.7699115044247787E-2</v>
      </c>
      <c r="F14369">
        <v>118</v>
      </c>
      <c r="G14369">
        <f>LOG(382/(118+1))</f>
        <v>0.50651640151917798</v>
      </c>
      <c r="H14369">
        <f>0.0176991150442477*1.16629711549504</f>
        <v>2.0642426822920959E-2</v>
      </c>
      <c r="I14369">
        <v>2.0642426822921171E-2</v>
      </c>
    </row>
    <row r="14370" spans="1:9" x14ac:dyDescent="0.25">
      <c r="A14370">
        <v>486</v>
      </c>
      <c r="B14370" t="s">
        <v>3963</v>
      </c>
      <c r="C14370" t="s">
        <v>75</v>
      </c>
      <c r="D14370" t="s">
        <v>434</v>
      </c>
      <c r="E14370">
        <f>1/113</f>
        <v>8.8495575221238937E-3</v>
      </c>
      <c r="F14370">
        <v>97</v>
      </c>
      <c r="G14370">
        <f>LOG(382/(97+1))</f>
        <v>0.59083728721921391</v>
      </c>
      <c r="H14370">
        <f>0.00884955752212389*1.360453129936</f>
        <v>1.203940822952212E-2</v>
      </c>
      <c r="I14370">
        <v>1.2039408229522149E-2</v>
      </c>
    </row>
    <row r="14371" spans="1:9" x14ac:dyDescent="0.25">
      <c r="A14371">
        <v>486</v>
      </c>
      <c r="B14371" t="s">
        <v>3963</v>
      </c>
      <c r="C14371" t="s">
        <v>75</v>
      </c>
      <c r="D14371" t="s">
        <v>310</v>
      </c>
      <c r="E14371">
        <f>1/113</f>
        <v>8.8495575221238937E-3</v>
      </c>
      <c r="F14371">
        <v>50</v>
      </c>
      <c r="G14371">
        <f>LOG(382/(50+1))</f>
        <v>0.87449318681377242</v>
      </c>
      <c r="H14371">
        <f>0.00884955752212389*2.01359497588224</f>
        <v>1.7819424565329547E-2</v>
      </c>
      <c r="I14371">
        <v>1.7819424565329641E-2</v>
      </c>
    </row>
    <row r="14372" spans="1:9" x14ac:dyDescent="0.25">
      <c r="A14372">
        <v>486</v>
      </c>
      <c r="B14372" t="s">
        <v>3963</v>
      </c>
      <c r="C14372" t="s">
        <v>75</v>
      </c>
      <c r="D14372" t="s">
        <v>2035</v>
      </c>
      <c r="E14372">
        <f>1/113</f>
        <v>8.8495575221238937E-3</v>
      </c>
      <c r="F14372">
        <v>13</v>
      </c>
      <c r="G14372">
        <f>LOG(382/(13+1))</f>
        <v>1.4359353272334707</v>
      </c>
      <c r="H14372">
        <f>0.00884955752212389*3.30636327899131</f>
        <v>2.9259852026471762E-2</v>
      </c>
      <c r="I14372">
        <v>2.9259852026471831E-2</v>
      </c>
    </row>
    <row r="14373" spans="1:9" x14ac:dyDescent="0.25">
      <c r="A14373">
        <v>486</v>
      </c>
      <c r="B14373" t="s">
        <v>3963</v>
      </c>
      <c r="C14373" t="s">
        <v>75</v>
      </c>
      <c r="D14373" t="s">
        <v>322</v>
      </c>
      <c r="E14373">
        <f>1/113</f>
        <v>8.8495575221238937E-3</v>
      </c>
      <c r="F14373">
        <v>128</v>
      </c>
      <c r="G14373">
        <f>LOG(382/(128+1))</f>
        <v>0.47147365261245977</v>
      </c>
      <c r="H14373">
        <f>0.00884955752212389*1.0856082042449</f>
        <v>9.6071522499548631E-3</v>
      </c>
      <c r="I14373">
        <v>9.6071522499548943E-3</v>
      </c>
    </row>
    <row r="14374" spans="1:9" x14ac:dyDescent="0.25">
      <c r="A14374">
        <v>486</v>
      </c>
      <c r="B14374" t="s">
        <v>3963</v>
      </c>
      <c r="C14374" t="s">
        <v>75</v>
      </c>
      <c r="D14374" t="s">
        <v>1222</v>
      </c>
      <c r="E14374">
        <f>2/113</f>
        <v>1.7699115044247787E-2</v>
      </c>
      <c r="F14374">
        <v>56</v>
      </c>
      <c r="G14374">
        <f>LOG(382/(56+1))</f>
        <v>0.82618850723921733</v>
      </c>
      <c r="H14374">
        <f>0.0176991150442477*1.90236934077202</f>
        <v>3.3670253818973636E-2</v>
      </c>
      <c r="I14374">
        <v>3.3670253818973893E-2</v>
      </c>
    </row>
    <row r="14375" spans="1:9" x14ac:dyDescent="0.25">
      <c r="A14375">
        <v>486</v>
      </c>
      <c r="B14375" t="s">
        <v>3963</v>
      </c>
      <c r="C14375" t="s">
        <v>75</v>
      </c>
      <c r="D14375" t="s">
        <v>81</v>
      </c>
      <c r="E14375">
        <f>2/113</f>
        <v>1.7699115044247787E-2</v>
      </c>
      <c r="F14375">
        <v>114</v>
      </c>
      <c r="G14375">
        <f>LOG(382/(114+1))</f>
        <v>0.52136552255809698</v>
      </c>
      <c r="H14375">
        <f>0.0176991150442477*1.20048848024332</f>
        <v>2.1247583721120605E-2</v>
      </c>
      <c r="I14375">
        <v>2.1247583721120799E-2</v>
      </c>
    </row>
    <row r="14376" spans="1:9" x14ac:dyDescent="0.25">
      <c r="A14376">
        <v>486</v>
      </c>
      <c r="B14376" t="s">
        <v>3963</v>
      </c>
      <c r="C14376" t="s">
        <v>75</v>
      </c>
      <c r="D14376" t="s">
        <v>324</v>
      </c>
      <c r="E14376">
        <f>1/113</f>
        <v>8.8495575221238937E-3</v>
      </c>
      <c r="F14376">
        <v>82</v>
      </c>
      <c r="G14376">
        <f>LOG(382/(82+1))</f>
        <v>0.66298527053563483</v>
      </c>
      <c r="H14376">
        <f>0.00884955752212389*1.52658000080997</f>
        <v>1.3509557529291763E-2</v>
      </c>
      <c r="I14376">
        <v>1.3509557529291829E-2</v>
      </c>
    </row>
    <row r="14377" spans="1:9" x14ac:dyDescent="0.25">
      <c r="A14377">
        <v>486</v>
      </c>
      <c r="B14377" t="s">
        <v>3963</v>
      </c>
      <c r="C14377" t="s">
        <v>75</v>
      </c>
      <c r="D14377" t="s">
        <v>485</v>
      </c>
      <c r="E14377">
        <f>1/113</f>
        <v>8.8495575221238937E-3</v>
      </c>
      <c r="F14377">
        <v>74</v>
      </c>
      <c r="G14377">
        <f>LOG(382/(74+1))</f>
        <v>0.7070020995200087</v>
      </c>
      <c r="H14377">
        <f>0.00884955752212389*1.62793249507026</f>
        <v>1.4406482257258933E-2</v>
      </c>
      <c r="I14377">
        <v>1.440648225725898E-2</v>
      </c>
    </row>
    <row r="14378" spans="1:9" x14ac:dyDescent="0.25">
      <c r="A14378">
        <v>486</v>
      </c>
      <c r="B14378" t="s">
        <v>3963</v>
      </c>
      <c r="C14378" t="s">
        <v>75</v>
      </c>
      <c r="D14378" t="s">
        <v>596</v>
      </c>
      <c r="E14378">
        <f>1/113</f>
        <v>8.8495575221238937E-3</v>
      </c>
      <c r="F14378">
        <v>60</v>
      </c>
      <c r="G14378">
        <f>LOG(382/(60+1))</f>
        <v>0.79673352790094176</v>
      </c>
      <c r="H14378">
        <f>0.00884955752212389*1.83454674443326</f>
        <v>1.6234926941887249E-2</v>
      </c>
      <c r="I14378">
        <v>1.6234926941887291E-2</v>
      </c>
    </row>
    <row r="14379" spans="1:9" x14ac:dyDescent="0.25">
      <c r="A14379">
        <v>486</v>
      </c>
      <c r="B14379" t="s">
        <v>3963</v>
      </c>
      <c r="C14379" t="s">
        <v>75</v>
      </c>
      <c r="D14379" t="s">
        <v>1773</v>
      </c>
      <c r="E14379">
        <f>2/113</f>
        <v>1.7699115044247787E-2</v>
      </c>
      <c r="F14379">
        <v>24</v>
      </c>
      <c r="G14379">
        <f>LOG(382/(24+1))</f>
        <v>1.1841233542396712</v>
      </c>
      <c r="H14379">
        <f>0.0176991150442477*2.72654478373837</f>
        <v>4.8257429800678875E-2</v>
      </c>
      <c r="I14379">
        <v>4.8257429800679187E-2</v>
      </c>
    </row>
    <row r="14380" spans="1:9" x14ac:dyDescent="0.25">
      <c r="A14380">
        <v>486</v>
      </c>
      <c r="B14380" t="s">
        <v>3963</v>
      </c>
      <c r="C14380" t="s">
        <v>75</v>
      </c>
      <c r="D14380" t="s">
        <v>679</v>
      </c>
      <c r="E14380">
        <f t="shared" ref="E14380:E14388" si="678">1/113</f>
        <v>8.8495575221238937E-3</v>
      </c>
      <c r="F14380">
        <v>4</v>
      </c>
      <c r="G14380">
        <f>LOG(382/(4+1))</f>
        <v>1.8830933585756899</v>
      </c>
      <c r="H14380">
        <f>0.00884955752212389*4.33598269617247</f>
        <v>3.837152828471211E-2</v>
      </c>
      <c r="I14380">
        <v>3.8371528284712172E-2</v>
      </c>
    </row>
    <row r="14381" spans="1:9" x14ac:dyDescent="0.25">
      <c r="A14381">
        <v>486</v>
      </c>
      <c r="B14381" t="s">
        <v>3963</v>
      </c>
      <c r="C14381" t="s">
        <v>75</v>
      </c>
      <c r="D14381" t="s">
        <v>339</v>
      </c>
      <c r="E14381">
        <f t="shared" si="678"/>
        <v>8.8495575221238937E-3</v>
      </c>
      <c r="F14381">
        <v>66</v>
      </c>
      <c r="G14381">
        <f>LOG(382/(66+1))</f>
        <v>0.75598856021088234</v>
      </c>
      <c r="H14381">
        <f>0.00884955752212389*1.7407279892156</f>
        <v>1.5404672470934508E-2</v>
      </c>
      <c r="I14381">
        <v>1.5404672470934589E-2</v>
      </c>
    </row>
    <row r="14382" spans="1:9" x14ac:dyDescent="0.25">
      <c r="A14382">
        <v>486</v>
      </c>
      <c r="B14382" t="s">
        <v>3963</v>
      </c>
      <c r="C14382" t="s">
        <v>75</v>
      </c>
      <c r="D14382" t="s">
        <v>447</v>
      </c>
      <c r="E14382">
        <f t="shared" si="678"/>
        <v>8.8495575221238937E-3</v>
      </c>
      <c r="F14382">
        <v>37</v>
      </c>
      <c r="G14382">
        <f>LOG(382/(37+1))</f>
        <v>1.0022797662948986</v>
      </c>
      <c r="H14382">
        <f>0.00884955752212389*2.30783444888018</f>
        <v>2.0423313706904239E-2</v>
      </c>
      <c r="I14382">
        <v>2.0423313706904329E-2</v>
      </c>
    </row>
    <row r="14383" spans="1:9" x14ac:dyDescent="0.25">
      <c r="A14383">
        <v>486</v>
      </c>
      <c r="B14383" t="s">
        <v>3963</v>
      </c>
      <c r="C14383" t="s">
        <v>75</v>
      </c>
      <c r="D14383" t="s">
        <v>2238</v>
      </c>
      <c r="E14383">
        <f t="shared" si="678"/>
        <v>8.8495575221238937E-3</v>
      </c>
      <c r="F14383">
        <v>68</v>
      </c>
      <c r="G14383">
        <f>LOG(382/(68+1))</f>
        <v>0.74321427217445335</v>
      </c>
      <c r="H14383">
        <f>0.00884955752212389*1.71131410400931</f>
        <v>1.5144372601852295E-2</v>
      </c>
      <c r="I14383">
        <v>1.5144372601852351E-2</v>
      </c>
    </row>
    <row r="14384" spans="1:9" x14ac:dyDescent="0.25">
      <c r="A14384">
        <v>486</v>
      </c>
      <c r="B14384" t="s">
        <v>3963</v>
      </c>
      <c r="C14384" t="s">
        <v>75</v>
      </c>
      <c r="D14384" t="s">
        <v>823</v>
      </c>
      <c r="E14384">
        <f t="shared" si="678"/>
        <v>8.8495575221238937E-3</v>
      </c>
      <c r="F14384">
        <v>45</v>
      </c>
      <c r="G14384">
        <f>LOG(382/(45+1))</f>
        <v>0.9193055312301347</v>
      </c>
      <c r="H14384">
        <f>0.00884955752212389*2.11677921211748</f>
        <v>1.8732559399269728E-2</v>
      </c>
      <c r="I14384">
        <v>1.8732559399269731E-2</v>
      </c>
    </row>
    <row r="14385" spans="1:9" x14ac:dyDescent="0.25">
      <c r="A14385">
        <v>486</v>
      </c>
      <c r="B14385" t="s">
        <v>3963</v>
      </c>
      <c r="C14385" t="s">
        <v>75</v>
      </c>
      <c r="D14385" t="s">
        <v>362</v>
      </c>
      <c r="E14385">
        <f t="shared" si="678"/>
        <v>8.8495575221238937E-3</v>
      </c>
      <c r="F14385">
        <v>81</v>
      </c>
      <c r="G14385">
        <f>LOG(382/(81+1))</f>
        <v>0.66824951052799197</v>
      </c>
      <c r="H14385">
        <f>0.00884955752212389*1.53870136134232</f>
        <v>1.3616826206569198E-2</v>
      </c>
      <c r="I14385">
        <v>1.361682620656922E-2</v>
      </c>
    </row>
    <row r="14386" spans="1:9" x14ac:dyDescent="0.25">
      <c r="A14386">
        <v>486</v>
      </c>
      <c r="B14386" t="s">
        <v>3963</v>
      </c>
      <c r="C14386" t="s">
        <v>75</v>
      </c>
      <c r="D14386" t="s">
        <v>1730</v>
      </c>
      <c r="E14386">
        <f t="shared" si="678"/>
        <v>8.8495575221238937E-3</v>
      </c>
      <c r="F14386">
        <v>35</v>
      </c>
      <c r="G14386">
        <f>LOG(382/(35+1))</f>
        <v>1.0257608621444214</v>
      </c>
      <c r="H14386">
        <f>0.00884955752212389*2.36190167015046</f>
        <v>2.0901784691596984E-2</v>
      </c>
      <c r="I14386">
        <v>2.0901784691597029E-2</v>
      </c>
    </row>
    <row r="14387" spans="1:9" x14ac:dyDescent="0.25">
      <c r="A14387">
        <v>486</v>
      </c>
      <c r="B14387" t="s">
        <v>3963</v>
      </c>
      <c r="C14387" t="s">
        <v>75</v>
      </c>
      <c r="D14387" t="s">
        <v>1261</v>
      </c>
      <c r="E14387">
        <f t="shared" si="678"/>
        <v>8.8495575221238937E-3</v>
      </c>
      <c r="F14387">
        <v>12</v>
      </c>
      <c r="G14387">
        <f>LOG(382/(12+1))</f>
        <v>1.468120010604872</v>
      </c>
      <c r="H14387">
        <f>0.00884955752212389*3.38047125114503</f>
        <v>2.9915674788894061E-2</v>
      </c>
      <c r="I14387">
        <v>2.9915674788894151E-2</v>
      </c>
    </row>
    <row r="14388" spans="1:9" x14ac:dyDescent="0.25">
      <c r="A14388">
        <v>486</v>
      </c>
      <c r="B14388" t="s">
        <v>3963</v>
      </c>
      <c r="C14388" t="s">
        <v>75</v>
      </c>
      <c r="D14388" t="s">
        <v>1551</v>
      </c>
      <c r="E14388">
        <f t="shared" si="678"/>
        <v>8.8495575221238937E-3</v>
      </c>
      <c r="F14388">
        <v>15</v>
      </c>
      <c r="G14388">
        <f>LOG(382/(15+1))</f>
        <v>1.3779433802557839</v>
      </c>
      <c r="H14388">
        <f>0.00884955752212389*3.17283188636679</f>
        <v>2.8078158286431759E-2</v>
      </c>
      <c r="I14388">
        <v>2.8078158286431811E-2</v>
      </c>
    </row>
    <row r="14389" spans="1:9" x14ac:dyDescent="0.25">
      <c r="A14389">
        <v>486</v>
      </c>
      <c r="B14389" t="s">
        <v>3963</v>
      </c>
      <c r="C14389" t="s">
        <v>75</v>
      </c>
      <c r="D14389" t="s">
        <v>1762</v>
      </c>
      <c r="E14389">
        <f>2/113</f>
        <v>1.7699115044247787E-2</v>
      </c>
      <c r="F14389">
        <v>60</v>
      </c>
      <c r="G14389">
        <f>LOG(382/(60+1))</f>
        <v>0.79673352790094176</v>
      </c>
      <c r="H14389">
        <f>0.0176991150442477*1.83454674443326</f>
        <v>3.2469853883774352E-2</v>
      </c>
      <c r="I14389">
        <v>3.2469853883774581E-2</v>
      </c>
    </row>
    <row r="14390" spans="1:9" x14ac:dyDescent="0.25">
      <c r="A14390">
        <v>486</v>
      </c>
      <c r="B14390" t="s">
        <v>3963</v>
      </c>
      <c r="C14390" t="s">
        <v>75</v>
      </c>
      <c r="D14390" t="s">
        <v>98</v>
      </c>
      <c r="E14390">
        <f>1/113</f>
        <v>8.8495575221238937E-3</v>
      </c>
      <c r="F14390">
        <v>56</v>
      </c>
      <c r="G14390">
        <f>LOG(382/(56+1))</f>
        <v>0.82618850723921733</v>
      </c>
      <c r="H14390">
        <f>0.00884955752212389*1.90236934077202</f>
        <v>1.6835126909486894E-2</v>
      </c>
      <c r="I14390">
        <v>1.683512690948695E-2</v>
      </c>
    </row>
    <row r="14391" spans="1:9" x14ac:dyDescent="0.25">
      <c r="A14391">
        <v>486</v>
      </c>
      <c r="B14391" t="s">
        <v>3963</v>
      </c>
      <c r="C14391" t="s">
        <v>75</v>
      </c>
      <c r="D14391" t="s">
        <v>1921</v>
      </c>
      <c r="E14391">
        <f>2/113</f>
        <v>1.7699115044247787E-2</v>
      </c>
      <c r="F14391">
        <v>37</v>
      </c>
      <c r="G14391">
        <f>LOG(382/(37+1))</f>
        <v>1.0022797662948986</v>
      </c>
      <c r="H14391">
        <f>0.0176991150442477*2.30783444888018</f>
        <v>4.084662741380829E-2</v>
      </c>
      <c r="I14391">
        <v>4.0846627413808657E-2</v>
      </c>
    </row>
    <row r="14392" spans="1:9" x14ac:dyDescent="0.25">
      <c r="A14392">
        <v>486</v>
      </c>
      <c r="B14392" t="s">
        <v>3963</v>
      </c>
      <c r="C14392" t="s">
        <v>75</v>
      </c>
      <c r="D14392" t="s">
        <v>1125</v>
      </c>
      <c r="E14392">
        <f>1/113</f>
        <v>8.8495575221238937E-3</v>
      </c>
      <c r="F14392">
        <v>19</v>
      </c>
      <c r="G14392">
        <f>LOG(382/(19+1))</f>
        <v>1.2810333672477277</v>
      </c>
      <c r="H14392">
        <f>0.00884955752212389*2.94968833505258</f>
        <v>2.6103436593385654E-2</v>
      </c>
      <c r="I14392">
        <v>2.6103436593385699E-2</v>
      </c>
    </row>
    <row r="14393" spans="1:9" x14ac:dyDescent="0.25">
      <c r="A14393">
        <v>486</v>
      </c>
      <c r="B14393" t="s">
        <v>3963</v>
      </c>
      <c r="C14393" t="s">
        <v>75</v>
      </c>
      <c r="D14393" t="s">
        <v>746</v>
      </c>
      <c r="E14393">
        <f>1/113</f>
        <v>8.8495575221238937E-3</v>
      </c>
      <c r="F14393">
        <v>58</v>
      </c>
      <c r="G14393">
        <f>LOG(382/(58+1))</f>
        <v>0.81121135126956456</v>
      </c>
      <c r="H14393">
        <f>0.00884955752212389*1.86788316470085</f>
        <v>1.6529939510626986E-2</v>
      </c>
      <c r="I14393">
        <v>1.6529939510627041E-2</v>
      </c>
    </row>
    <row r="14394" spans="1:9" x14ac:dyDescent="0.25">
      <c r="A14394">
        <v>486</v>
      </c>
      <c r="B14394" t="s">
        <v>3963</v>
      </c>
      <c r="C14394" t="s">
        <v>75</v>
      </c>
      <c r="D14394" t="s">
        <v>201</v>
      </c>
      <c r="E14394">
        <f>1/113</f>
        <v>8.8495575221238937E-3</v>
      </c>
      <c r="F14394">
        <v>72</v>
      </c>
      <c r="G14394">
        <f>LOG(382/(72+1))</f>
        <v>0.71874050279125279</v>
      </c>
      <c r="H14394">
        <f>0.00884955752212389*1.65496116745818</f>
        <v>1.4645674048302471E-2</v>
      </c>
      <c r="I14394">
        <v>1.464567404830251E-2</v>
      </c>
    </row>
    <row r="14395" spans="1:9" x14ac:dyDescent="0.25">
      <c r="A14395">
        <v>486</v>
      </c>
      <c r="B14395" t="s">
        <v>3963</v>
      </c>
      <c r="C14395" t="s">
        <v>75</v>
      </c>
      <c r="D14395" t="s">
        <v>225</v>
      </c>
      <c r="E14395">
        <f>1/113</f>
        <v>8.8495575221238937E-3</v>
      </c>
      <c r="F14395">
        <v>30</v>
      </c>
      <c r="G14395">
        <f>LOG(382/(30+1))</f>
        <v>1.090701669077436</v>
      </c>
      <c r="H14395">
        <f>0.00884955752212389*2.51143340412142</f>
        <v>2.2225074372755921E-2</v>
      </c>
      <c r="I14395">
        <v>2.2225074372756011E-2</v>
      </c>
    </row>
    <row r="14396" spans="1:9" x14ac:dyDescent="0.25">
      <c r="A14396">
        <v>486</v>
      </c>
      <c r="B14396" t="s">
        <v>3963</v>
      </c>
      <c r="C14396" t="s">
        <v>75</v>
      </c>
      <c r="D14396" t="s">
        <v>772</v>
      </c>
      <c r="E14396">
        <f>2/113</f>
        <v>1.7699115044247787E-2</v>
      </c>
      <c r="F14396">
        <v>31</v>
      </c>
      <c r="G14396">
        <f>LOG(382/(31+1))</f>
        <v>1.0769133845918029</v>
      </c>
      <c r="H14396">
        <f>0.0176991150442477*2.47968470580684</f>
        <v>4.3888224881536771E-2</v>
      </c>
      <c r="I14396">
        <v>4.3888224881537152E-2</v>
      </c>
    </row>
    <row r="14397" spans="1:9" x14ac:dyDescent="0.25">
      <c r="A14397">
        <v>486</v>
      </c>
      <c r="B14397" t="s">
        <v>3963</v>
      </c>
      <c r="C14397" t="s">
        <v>75</v>
      </c>
      <c r="D14397" t="s">
        <v>3334</v>
      </c>
      <c r="E14397">
        <f t="shared" ref="E14397:E14404" si="679">1/113</f>
        <v>8.8495575221238937E-3</v>
      </c>
      <c r="F14397">
        <v>12</v>
      </c>
      <c r="G14397">
        <f>LOG(382/(12+1))</f>
        <v>1.468120010604872</v>
      </c>
      <c r="H14397">
        <f>0.00884955752212389*3.38047125114503</f>
        <v>2.9915674788894061E-2</v>
      </c>
      <c r="I14397">
        <v>2.9915674788894151E-2</v>
      </c>
    </row>
    <row r="14398" spans="1:9" x14ac:dyDescent="0.25">
      <c r="A14398">
        <v>486</v>
      </c>
      <c r="B14398" t="s">
        <v>3963</v>
      </c>
      <c r="C14398" t="s">
        <v>75</v>
      </c>
      <c r="D14398" t="s">
        <v>239</v>
      </c>
      <c r="E14398">
        <f t="shared" si="679"/>
        <v>8.8495575221238937E-3</v>
      </c>
      <c r="F14398">
        <v>40</v>
      </c>
      <c r="G14398">
        <f>LOG(382/(40+1))</f>
        <v>0.96927950619197323</v>
      </c>
      <c r="H14398">
        <f>0.00884955752212389*2.23184854190226</f>
        <v>1.9750872052232381E-2</v>
      </c>
      <c r="I14398">
        <v>1.975087205223245E-2</v>
      </c>
    </row>
    <row r="14399" spans="1:9" x14ac:dyDescent="0.25">
      <c r="A14399">
        <v>486</v>
      </c>
      <c r="B14399" t="s">
        <v>3963</v>
      </c>
      <c r="C14399" t="s">
        <v>75</v>
      </c>
      <c r="D14399" t="s">
        <v>3492</v>
      </c>
      <c r="E14399">
        <f t="shared" si="679"/>
        <v>8.8495575221238937E-3</v>
      </c>
      <c r="F14399">
        <v>12</v>
      </c>
      <c r="G14399">
        <f>LOG(382/(12+1))</f>
        <v>1.468120010604872</v>
      </c>
      <c r="H14399">
        <f>0.00884955752212389*3.38047125114503</f>
        <v>2.9915674788894061E-2</v>
      </c>
      <c r="I14399">
        <v>2.9915674788894151E-2</v>
      </c>
    </row>
    <row r="14400" spans="1:9" x14ac:dyDescent="0.25">
      <c r="A14400">
        <v>486</v>
      </c>
      <c r="B14400" t="s">
        <v>3963</v>
      </c>
      <c r="C14400" t="s">
        <v>75</v>
      </c>
      <c r="D14400" t="s">
        <v>240</v>
      </c>
      <c r="E14400">
        <f t="shared" si="679"/>
        <v>8.8495575221238937E-3</v>
      </c>
      <c r="F14400">
        <v>15</v>
      </c>
      <c r="G14400">
        <f>LOG(382/(15+1))</f>
        <v>1.3779433802557839</v>
      </c>
      <c r="H14400">
        <f>0.00884955752212389*3.17283188636679</f>
        <v>2.8078158286431759E-2</v>
      </c>
      <c r="I14400">
        <v>2.8078158286431811E-2</v>
      </c>
    </row>
    <row r="14401" spans="1:9" x14ac:dyDescent="0.25">
      <c r="A14401">
        <v>486</v>
      </c>
      <c r="B14401" t="s">
        <v>3963</v>
      </c>
      <c r="C14401" t="s">
        <v>75</v>
      </c>
      <c r="D14401" t="s">
        <v>767</v>
      </c>
      <c r="E14401">
        <f t="shared" si="679"/>
        <v>8.8495575221238937E-3</v>
      </c>
      <c r="F14401">
        <v>47</v>
      </c>
      <c r="G14401">
        <f>LOG(382/(47+1))</f>
        <v>0.90082212553612151</v>
      </c>
      <c r="H14401">
        <f>0.00884955752212389*2.07421959769868</f>
        <v>1.8355925643351145E-2</v>
      </c>
      <c r="I14401">
        <v>1.835592564335119E-2</v>
      </c>
    </row>
    <row r="14402" spans="1:9" x14ac:dyDescent="0.25">
      <c r="A14402">
        <v>486</v>
      </c>
      <c r="B14402" t="s">
        <v>3963</v>
      </c>
      <c r="C14402" t="s">
        <v>75</v>
      </c>
      <c r="D14402" t="s">
        <v>256</v>
      </c>
      <c r="E14402">
        <f t="shared" si="679"/>
        <v>8.8495575221238937E-3</v>
      </c>
      <c r="F14402">
        <v>28</v>
      </c>
      <c r="G14402">
        <f>LOG(382/(28+1))</f>
        <v>1.1196653650127526</v>
      </c>
      <c r="H14402">
        <f>0.00884955752212389*2.5781247786201</f>
        <v>2.2815263527611495E-2</v>
      </c>
      <c r="I14402">
        <v>2.2815263527611519E-2</v>
      </c>
    </row>
    <row r="14403" spans="1:9" x14ac:dyDescent="0.25">
      <c r="A14403">
        <v>486</v>
      </c>
      <c r="B14403" t="s">
        <v>3963</v>
      </c>
      <c r="C14403" t="s">
        <v>75</v>
      </c>
      <c r="D14403" t="s">
        <v>2093</v>
      </c>
      <c r="E14403">
        <f t="shared" si="679"/>
        <v>8.8495575221238937E-3</v>
      </c>
      <c r="F14403">
        <v>7</v>
      </c>
      <c r="G14403">
        <f>LOG(382/(7+1))</f>
        <v>1.6789733759197651</v>
      </c>
      <c r="H14403">
        <f>0.00884955752212389*3.86597906692673</f>
        <v>3.4212204132094942E-2</v>
      </c>
      <c r="I14403">
        <v>3.4212204132095032E-2</v>
      </c>
    </row>
    <row r="14404" spans="1:9" x14ac:dyDescent="0.25">
      <c r="A14404">
        <v>486</v>
      </c>
      <c r="B14404" t="s">
        <v>3963</v>
      </c>
      <c r="C14404" t="s">
        <v>75</v>
      </c>
      <c r="D14404" t="s">
        <v>763</v>
      </c>
      <c r="E14404">
        <f t="shared" si="679"/>
        <v>8.8495575221238937E-3</v>
      </c>
      <c r="F14404">
        <v>47</v>
      </c>
      <c r="G14404">
        <f>LOG(382/(47+1))</f>
        <v>0.90082212553612151</v>
      </c>
      <c r="H14404">
        <f>0.00884955752212389*2.07421959769868</f>
        <v>1.8355925643351145E-2</v>
      </c>
      <c r="I14404">
        <v>1.835592564335119E-2</v>
      </c>
    </row>
    <row r="14405" spans="1:9" x14ac:dyDescent="0.25">
      <c r="A14405">
        <v>486</v>
      </c>
      <c r="B14405" t="s">
        <v>3963</v>
      </c>
      <c r="C14405" t="s">
        <v>75</v>
      </c>
      <c r="D14405" t="s">
        <v>770</v>
      </c>
      <c r="E14405">
        <f>2/113</f>
        <v>1.7699115044247787E-2</v>
      </c>
      <c r="F14405">
        <v>47</v>
      </c>
      <c r="G14405">
        <f>LOG(382/(47+1))</f>
        <v>0.90082212553612151</v>
      </c>
      <c r="H14405">
        <f>0.0176991150442477*2.07421959769868</f>
        <v>3.6711851286702124E-2</v>
      </c>
      <c r="I14405">
        <v>3.6711851286702367E-2</v>
      </c>
    </row>
    <row r="14406" spans="1:9" x14ac:dyDescent="0.25">
      <c r="A14406">
        <v>486</v>
      </c>
      <c r="B14406" t="s">
        <v>3963</v>
      </c>
      <c r="C14406" t="s">
        <v>75</v>
      </c>
      <c r="D14406" t="s">
        <v>307</v>
      </c>
      <c r="E14406">
        <f>1/113</f>
        <v>8.8495575221238937E-3</v>
      </c>
      <c r="F14406">
        <v>67</v>
      </c>
      <c r="G14406">
        <f>LOG(382/(67+1))</f>
        <v>0.7495544502054724</v>
      </c>
      <c r="H14406">
        <f>0.00884955752212389*1.72591290343046</f>
        <v>1.5273565517083712E-2</v>
      </c>
      <c r="I14406">
        <v>1.527356551708379E-2</v>
      </c>
    </row>
    <row r="14407" spans="1:9" x14ac:dyDescent="0.25">
      <c r="A14407">
        <v>487</v>
      </c>
      <c r="B14407" t="s">
        <v>3968</v>
      </c>
      <c r="C14407" t="s">
        <v>75</v>
      </c>
      <c r="D14407" t="s">
        <v>3969</v>
      </c>
      <c r="E14407">
        <f>2/117</f>
        <v>1.7094017094017096E-2</v>
      </c>
      <c r="F14407">
        <v>1</v>
      </c>
      <c r="G14407">
        <f>LOG(382/(1+1))</f>
        <v>2.2810333672477277</v>
      </c>
      <c r="H14407">
        <f>0.017094017094017*5.25227342804663</f>
        <v>8.978245176148035E-2</v>
      </c>
      <c r="I14407">
        <v>8.9782451761480864E-2</v>
      </c>
    </row>
    <row r="14408" spans="1:9" x14ac:dyDescent="0.25">
      <c r="A14408">
        <v>487</v>
      </c>
      <c r="B14408" t="s">
        <v>3968</v>
      </c>
      <c r="C14408" t="s">
        <v>75</v>
      </c>
      <c r="D14408" t="s">
        <v>744</v>
      </c>
      <c r="E14408">
        <f>5/117</f>
        <v>4.2735042735042736E-2</v>
      </c>
      <c r="F14408">
        <v>28</v>
      </c>
      <c r="G14408">
        <f>LOG(382/(28+1))</f>
        <v>1.1196653650127526</v>
      </c>
      <c r="H14408">
        <f>0.0427350427350427*2.5781247786201</f>
        <v>0.11017627259060248</v>
      </c>
      <c r="I14408">
        <v>0.1101762725906026</v>
      </c>
    </row>
    <row r="14409" spans="1:9" x14ac:dyDescent="0.25">
      <c r="A14409">
        <v>487</v>
      </c>
      <c r="B14409" t="s">
        <v>3968</v>
      </c>
      <c r="C14409" t="s">
        <v>75</v>
      </c>
      <c r="D14409" t="s">
        <v>408</v>
      </c>
      <c r="E14409">
        <f>2/117</f>
        <v>1.7094017094017096E-2</v>
      </c>
      <c r="F14409">
        <v>27</v>
      </c>
      <c r="G14409">
        <f>LOG(382/(27+1))</f>
        <v>1.1349053315694895</v>
      </c>
      <c r="H14409">
        <f>0.017094017094017*2.61321609843137</f>
        <v>4.4670360656946247E-2</v>
      </c>
      <c r="I14409">
        <v>4.4670360656946517E-2</v>
      </c>
    </row>
    <row r="14410" spans="1:9" x14ac:dyDescent="0.25">
      <c r="A14410">
        <v>487</v>
      </c>
      <c r="B14410" t="s">
        <v>3968</v>
      </c>
      <c r="C14410" t="s">
        <v>75</v>
      </c>
      <c r="D14410" t="s">
        <v>2231</v>
      </c>
      <c r="E14410">
        <f>2/117</f>
        <v>1.7094017094017096E-2</v>
      </c>
      <c r="F14410">
        <v>23</v>
      </c>
      <c r="G14410">
        <f>LOG(382/(23+1))</f>
        <v>1.2018521212001028</v>
      </c>
      <c r="H14410">
        <f>0.017094017094017*2.76736677825862</f>
        <v>4.7305415012967603E-2</v>
      </c>
      <c r="I14410">
        <v>4.7305415012968033E-2</v>
      </c>
    </row>
    <row r="14411" spans="1:9" x14ac:dyDescent="0.25">
      <c r="A14411">
        <v>487</v>
      </c>
      <c r="B14411" t="s">
        <v>3968</v>
      </c>
      <c r="C14411" t="s">
        <v>75</v>
      </c>
      <c r="D14411" t="s">
        <v>747</v>
      </c>
      <c r="E14411">
        <f>1/117</f>
        <v>8.5470085470085479E-3</v>
      </c>
      <c r="F14411">
        <v>14</v>
      </c>
      <c r="G14411">
        <f>LOG(382/(14+1))</f>
        <v>1.4059721038560276</v>
      </c>
      <c r="H14411">
        <f>0.00854700854700854*3.23737040750436</f>
        <v>2.766983254277228E-2</v>
      </c>
      <c r="I14411">
        <v>2.766983254277236E-2</v>
      </c>
    </row>
    <row r="14412" spans="1:9" x14ac:dyDescent="0.25">
      <c r="A14412">
        <v>487</v>
      </c>
      <c r="B14412" t="s">
        <v>3968</v>
      </c>
      <c r="C14412" t="s">
        <v>75</v>
      </c>
      <c r="D14412" t="s">
        <v>42</v>
      </c>
      <c r="E14412">
        <f>1/117</f>
        <v>8.5470085470085479E-3</v>
      </c>
      <c r="F14412">
        <v>251</v>
      </c>
      <c r="G14412">
        <f>LOG(382/(251+1))</f>
        <v>0.18066282213016463</v>
      </c>
      <c r="H14412">
        <f>0.00854700854700854*0.415991521095151</f>
        <v>3.5554830862833385E-3</v>
      </c>
      <c r="I14412">
        <v>3.5554830862833502E-3</v>
      </c>
    </row>
    <row r="14413" spans="1:9" x14ac:dyDescent="0.25">
      <c r="A14413">
        <v>487</v>
      </c>
      <c r="B14413" t="s">
        <v>3968</v>
      </c>
      <c r="C14413" t="s">
        <v>75</v>
      </c>
      <c r="D14413" t="s">
        <v>1496</v>
      </c>
      <c r="E14413">
        <f>2/117</f>
        <v>1.7094017094017096E-2</v>
      </c>
      <c r="F14413">
        <v>39</v>
      </c>
      <c r="G14413">
        <f>LOG(382/(39+1))</f>
        <v>0.9800033715837464</v>
      </c>
      <c r="H14413">
        <f>0.017094017094017*2.25654115449263</f>
        <v>3.8573353068249876E-2</v>
      </c>
      <c r="I14413">
        <v>3.8573353068250243E-2</v>
      </c>
    </row>
    <row r="14414" spans="1:9" x14ac:dyDescent="0.25">
      <c r="A14414">
        <v>487</v>
      </c>
      <c r="B14414" t="s">
        <v>3968</v>
      </c>
      <c r="C14414" t="s">
        <v>75</v>
      </c>
      <c r="D14414" t="s">
        <v>674</v>
      </c>
      <c r="E14414">
        <f>2/117</f>
        <v>1.7094017094017096E-2</v>
      </c>
      <c r="F14414">
        <v>11</v>
      </c>
      <c r="G14414">
        <f>LOG(382/(11+1))</f>
        <v>1.5028821168640838</v>
      </c>
      <c r="H14414">
        <f>0.017094017094017*3.46051395881857</f>
        <v>5.9154084766129073E-2</v>
      </c>
      <c r="I14414">
        <v>5.9154084766129489E-2</v>
      </c>
    </row>
    <row r="14415" spans="1:9" x14ac:dyDescent="0.25">
      <c r="A14415">
        <v>487</v>
      </c>
      <c r="B14415" t="s">
        <v>3968</v>
      </c>
      <c r="C14415" t="s">
        <v>75</v>
      </c>
      <c r="D14415" t="s">
        <v>636</v>
      </c>
      <c r="E14415">
        <f>4/117</f>
        <v>3.4188034188034191E-2</v>
      </c>
      <c r="F14415">
        <v>31</v>
      </c>
      <c r="G14415">
        <f>LOG(382/(31+1))</f>
        <v>1.0769133845918029</v>
      </c>
      <c r="H14415">
        <f>0.0341880341880341*2.47968470580684</f>
        <v>8.4775545497669524E-2</v>
      </c>
      <c r="I14415">
        <v>8.4775545497670052E-2</v>
      </c>
    </row>
    <row r="14416" spans="1:9" x14ac:dyDescent="0.25">
      <c r="A14416">
        <v>487</v>
      </c>
      <c r="B14416" t="s">
        <v>3968</v>
      </c>
      <c r="C14416" t="s">
        <v>75</v>
      </c>
      <c r="D14416" t="s">
        <v>637</v>
      </c>
      <c r="E14416">
        <f>1/117</f>
        <v>8.5470085470085479E-3</v>
      </c>
      <c r="F14416">
        <v>29</v>
      </c>
      <c r="G14416">
        <f>LOG(382/(29+1))</f>
        <v>1.1049421081920463</v>
      </c>
      <c r="H14416">
        <f>0.00854700854700854*2.54422322694442</f>
        <v>2.1745497666191601E-2</v>
      </c>
      <c r="I14416">
        <v>2.1745497666191629E-2</v>
      </c>
    </row>
    <row r="14417" spans="1:9" x14ac:dyDescent="0.25">
      <c r="A14417">
        <v>487</v>
      </c>
      <c r="B14417" t="s">
        <v>3968</v>
      </c>
      <c r="C14417" t="s">
        <v>75</v>
      </c>
      <c r="D14417" t="s">
        <v>19</v>
      </c>
      <c r="E14417">
        <f>2/117</f>
        <v>1.7094017094017096E-2</v>
      </c>
      <c r="F14417">
        <v>220</v>
      </c>
      <c r="G14417">
        <f>LOG(382/(220+1))</f>
        <v>0.23767108922659805</v>
      </c>
      <c r="H14417">
        <f>0.017094017094017*0.547257907088822</f>
        <v>9.3548360186122906E-3</v>
      </c>
      <c r="I14417">
        <v>9.3548360186123496E-3</v>
      </c>
    </row>
    <row r="14418" spans="1:9" x14ac:dyDescent="0.25">
      <c r="A14418">
        <v>487</v>
      </c>
      <c r="B14418" t="s">
        <v>3968</v>
      </c>
      <c r="C14418" t="s">
        <v>75</v>
      </c>
      <c r="D14418" t="s">
        <v>44</v>
      </c>
      <c r="E14418">
        <f>2/117</f>
        <v>1.7094017094017096E-2</v>
      </c>
      <c r="F14418">
        <v>151</v>
      </c>
      <c r="G14418">
        <f>LOG(382/(151+1))</f>
        <v>0.40021977496693617</v>
      </c>
      <c r="H14418">
        <f>0.017094017094017*0.921540087760298</f>
        <v>1.5752822012996461E-2</v>
      </c>
      <c r="I14418">
        <v>1.5752822012996558E-2</v>
      </c>
    </row>
    <row r="14419" spans="1:9" x14ac:dyDescent="0.25">
      <c r="A14419">
        <v>487</v>
      </c>
      <c r="B14419" t="s">
        <v>3968</v>
      </c>
      <c r="C14419" t="s">
        <v>75</v>
      </c>
      <c r="D14419" t="s">
        <v>22</v>
      </c>
      <c r="E14419">
        <f>1/117</f>
        <v>8.5470085470085479E-3</v>
      </c>
      <c r="F14419">
        <v>259</v>
      </c>
      <c r="G14419">
        <f>LOG(382/(259+1))</f>
        <v>0.16709001494089079</v>
      </c>
      <c r="H14419">
        <f>0.00854700854700854*0.384738977591047</f>
        <v>3.2883673298380058E-3</v>
      </c>
      <c r="I14419">
        <v>3.2883673298380132E-3</v>
      </c>
    </row>
    <row r="14420" spans="1:9" x14ac:dyDescent="0.25">
      <c r="A14420">
        <v>487</v>
      </c>
      <c r="B14420" t="s">
        <v>3968</v>
      </c>
      <c r="C14420" t="s">
        <v>75</v>
      </c>
      <c r="D14420" t="s">
        <v>23</v>
      </c>
      <c r="E14420">
        <f>1/117</f>
        <v>8.5470085470085479E-3</v>
      </c>
      <c r="F14420">
        <v>275</v>
      </c>
      <c r="G14420">
        <f>LOG(382/(275+1))</f>
        <v>0.14115428084649101</v>
      </c>
      <c r="H14420">
        <f>0.00854700854700854*0.325019742889425</f>
        <v>2.7779465204224333E-3</v>
      </c>
      <c r="I14420">
        <v>2.7779465204224368E-3</v>
      </c>
    </row>
    <row r="14421" spans="1:9" x14ac:dyDescent="0.25">
      <c r="A14421">
        <v>487</v>
      </c>
      <c r="B14421" t="s">
        <v>3968</v>
      </c>
      <c r="C14421" t="s">
        <v>75</v>
      </c>
      <c r="D14421" t="s">
        <v>1785</v>
      </c>
      <c r="E14421">
        <f>2/117</f>
        <v>1.7094017094017096E-2</v>
      </c>
      <c r="F14421">
        <v>21</v>
      </c>
      <c r="G14421">
        <f>LOG(382/(21+1))</f>
        <v>1.2396406820895025</v>
      </c>
      <c r="H14421">
        <f>0.017094017094017*2.85437815524825</f>
        <v>4.8792788978602293E-2</v>
      </c>
      <c r="I14421">
        <v>4.8792788978602723E-2</v>
      </c>
    </row>
    <row r="14422" spans="1:9" x14ac:dyDescent="0.25">
      <c r="A14422">
        <v>487</v>
      </c>
      <c r="B14422" t="s">
        <v>3968</v>
      </c>
      <c r="C14422" t="s">
        <v>75</v>
      </c>
      <c r="D14422" t="s">
        <v>204</v>
      </c>
      <c r="E14422">
        <f>1/117</f>
        <v>8.5470085470085479E-3</v>
      </c>
      <c r="F14422">
        <v>166</v>
      </c>
      <c r="G14422">
        <f>LOG(382/(166+1))</f>
        <v>0.35934689176412549</v>
      </c>
      <c r="H14422">
        <f>0.00854700854700854*0.82742679618982</f>
        <v>7.0720238990582837E-3</v>
      </c>
      <c r="I14422">
        <v>7.0720238990582924E-3</v>
      </c>
    </row>
    <row r="14423" spans="1:9" x14ac:dyDescent="0.25">
      <c r="A14423">
        <v>487</v>
      </c>
      <c r="B14423" t="s">
        <v>3968</v>
      </c>
      <c r="C14423" t="s">
        <v>75</v>
      </c>
      <c r="D14423" t="s">
        <v>322</v>
      </c>
      <c r="E14423">
        <f>2/117</f>
        <v>1.7094017094017096E-2</v>
      </c>
      <c r="F14423">
        <v>128</v>
      </c>
      <c r="G14423">
        <f>LOG(382/(128+1))</f>
        <v>0.47147365261245977</v>
      </c>
      <c r="H14423">
        <f>0.017094017094017*1.0856082042449</f>
        <v>1.8557405200767419E-2</v>
      </c>
      <c r="I14423">
        <v>1.8557405200767579E-2</v>
      </c>
    </row>
    <row r="14424" spans="1:9" x14ac:dyDescent="0.25">
      <c r="A14424">
        <v>487</v>
      </c>
      <c r="B14424" t="s">
        <v>3968</v>
      </c>
      <c r="C14424" t="s">
        <v>75</v>
      </c>
      <c r="D14424" t="s">
        <v>338</v>
      </c>
      <c r="E14424">
        <f>1/117</f>
        <v>8.5470085470085479E-3</v>
      </c>
      <c r="F14424">
        <v>54</v>
      </c>
      <c r="G14424">
        <f>LOG(382/(54+1))</f>
        <v>0.84170067341746491</v>
      </c>
      <c r="H14424">
        <f>0.00854700854700854*1.9380874233741</f>
        <v>1.656484977242819E-2</v>
      </c>
      <c r="I14424">
        <v>1.6564849772428239E-2</v>
      </c>
    </row>
    <row r="14425" spans="1:9" x14ac:dyDescent="0.25">
      <c r="A14425">
        <v>487</v>
      </c>
      <c r="B14425" t="s">
        <v>3968</v>
      </c>
      <c r="C14425" t="s">
        <v>75</v>
      </c>
      <c r="D14425" t="s">
        <v>754</v>
      </c>
      <c r="E14425">
        <f>2/117</f>
        <v>1.7094017094017096E-2</v>
      </c>
      <c r="F14425">
        <v>111</v>
      </c>
      <c r="G14425">
        <f>LOG(382/(111+1))</f>
        <v>0.53284534024152708</v>
      </c>
      <c r="H14425">
        <f>0.017094017094017*1.22692173731148</f>
        <v>2.0973021150623473E-2</v>
      </c>
      <c r="I14425">
        <v>2.0973021150623609E-2</v>
      </c>
    </row>
    <row r="14426" spans="1:9" x14ac:dyDescent="0.25">
      <c r="A14426">
        <v>487</v>
      </c>
      <c r="B14426" t="s">
        <v>3968</v>
      </c>
      <c r="C14426" t="s">
        <v>75</v>
      </c>
      <c r="D14426" t="s">
        <v>649</v>
      </c>
      <c r="E14426">
        <f>7/117</f>
        <v>5.9829059829059832E-2</v>
      </c>
      <c r="F14426">
        <v>25</v>
      </c>
      <c r="G14426">
        <f>LOG(382/(25+1))</f>
        <v>1.1670900149408907</v>
      </c>
      <c r="H14426">
        <f>0.0598290598290598*2.68732407058509</f>
        <v>0.16078007259910787</v>
      </c>
      <c r="I14426">
        <v>0.16078007259910809</v>
      </c>
    </row>
    <row r="14427" spans="1:9" x14ac:dyDescent="0.25">
      <c r="A14427">
        <v>487</v>
      </c>
      <c r="B14427" t="s">
        <v>3968</v>
      </c>
      <c r="C14427" t="s">
        <v>75</v>
      </c>
      <c r="D14427" t="s">
        <v>1537</v>
      </c>
      <c r="E14427">
        <f>3/117</f>
        <v>2.564102564102564E-2</v>
      </c>
      <c r="F14427">
        <v>80</v>
      </c>
      <c r="G14427">
        <f>LOG(382/(80+1))</f>
        <v>0.67357834403305894</v>
      </c>
      <c r="H14427">
        <f>0.0256410256410256*1.55097145393413</f>
        <v>3.9768498818823779E-2</v>
      </c>
      <c r="I14427">
        <v>3.9768498818824008E-2</v>
      </c>
    </row>
    <row r="14428" spans="1:9" x14ac:dyDescent="0.25">
      <c r="A14428">
        <v>487</v>
      </c>
      <c r="B14428" t="s">
        <v>3968</v>
      </c>
      <c r="C14428" t="s">
        <v>75</v>
      </c>
      <c r="D14428" t="s">
        <v>362</v>
      </c>
      <c r="E14428">
        <f>2/117</f>
        <v>1.7094017094017096E-2</v>
      </c>
      <c r="F14428">
        <v>81</v>
      </c>
      <c r="G14428">
        <f>LOG(382/(81+1))</f>
        <v>0.66824951052799197</v>
      </c>
      <c r="H14428">
        <f>0.017094017094017*1.53870136134232</f>
        <v>2.6302587373372842E-2</v>
      </c>
      <c r="I14428">
        <v>2.6302587373373029E-2</v>
      </c>
    </row>
    <row r="14429" spans="1:9" x14ac:dyDescent="0.25">
      <c r="A14429">
        <v>487</v>
      </c>
      <c r="B14429" t="s">
        <v>3968</v>
      </c>
      <c r="C14429" t="s">
        <v>75</v>
      </c>
      <c r="D14429" t="s">
        <v>1769</v>
      </c>
      <c r="E14429">
        <f>1/117</f>
        <v>8.5470085470085479E-3</v>
      </c>
      <c r="F14429">
        <v>84</v>
      </c>
      <c r="G14429">
        <f>LOG(382/(84+1))</f>
        <v>0.65264443719741605</v>
      </c>
      <c r="H14429">
        <f>0.00854700854700854*1.50276935211625</f>
        <v>1.2844182496720074E-2</v>
      </c>
      <c r="I14429">
        <v>1.2844182496720161E-2</v>
      </c>
    </row>
    <row r="14430" spans="1:9" x14ac:dyDescent="0.25">
      <c r="A14430">
        <v>487</v>
      </c>
      <c r="B14430" t="s">
        <v>3968</v>
      </c>
      <c r="C14430" t="s">
        <v>75</v>
      </c>
      <c r="D14430" t="s">
        <v>201</v>
      </c>
      <c r="E14430">
        <f>1/117</f>
        <v>8.5470085470085479E-3</v>
      </c>
      <c r="F14430">
        <v>72</v>
      </c>
      <c r="G14430">
        <f>LOG(382/(72+1))</f>
        <v>0.71874050279125279</v>
      </c>
      <c r="H14430">
        <f>0.00854700854700854*1.65496116745818</f>
        <v>1.4144967243232293E-2</v>
      </c>
      <c r="I14430">
        <v>1.414496724323234E-2</v>
      </c>
    </row>
    <row r="14431" spans="1:9" x14ac:dyDescent="0.25">
      <c r="A14431">
        <v>487</v>
      </c>
      <c r="B14431" t="s">
        <v>3968</v>
      </c>
      <c r="C14431" t="s">
        <v>75</v>
      </c>
      <c r="D14431" t="s">
        <v>225</v>
      </c>
      <c r="E14431">
        <f>1/117</f>
        <v>8.5470085470085479E-3</v>
      </c>
      <c r="F14431">
        <v>30</v>
      </c>
      <c r="G14431">
        <f>LOG(382/(30+1))</f>
        <v>1.090701669077436</v>
      </c>
      <c r="H14431">
        <f>0.00854700854700854*2.51143340412142</f>
        <v>2.1465242770268528E-2</v>
      </c>
      <c r="I14431">
        <v>2.1465242770268629E-2</v>
      </c>
    </row>
    <row r="14432" spans="1:9" x14ac:dyDescent="0.25">
      <c r="A14432">
        <v>487</v>
      </c>
      <c r="B14432" t="s">
        <v>3968</v>
      </c>
      <c r="C14432" t="s">
        <v>75</v>
      </c>
      <c r="D14432" t="s">
        <v>243</v>
      </c>
      <c r="E14432">
        <f>2/117</f>
        <v>1.7094017094017096E-2</v>
      </c>
      <c r="F14432">
        <v>131</v>
      </c>
      <c r="G14432">
        <f>LOG(382/(131+1))</f>
        <v>0.46148943170585888</v>
      </c>
      <c r="H14432">
        <f>0.017094017094017*1.0626186860202</f>
        <v>1.8164421983251182E-2</v>
      </c>
      <c r="I14432">
        <v>1.8164421983251359E-2</v>
      </c>
    </row>
    <row r="14433" spans="1:9" x14ac:dyDescent="0.25">
      <c r="A14433">
        <v>487</v>
      </c>
      <c r="B14433" t="s">
        <v>3968</v>
      </c>
      <c r="C14433" t="s">
        <v>75</v>
      </c>
      <c r="D14433" t="s">
        <v>453</v>
      </c>
      <c r="E14433">
        <f>1/117</f>
        <v>8.5470085470085479E-3</v>
      </c>
      <c r="F14433">
        <v>68</v>
      </c>
      <c r="G14433">
        <f>LOG(382/(68+1))</f>
        <v>0.74321427217445335</v>
      </c>
      <c r="H14433">
        <f>0.00854700854700854*1.71131410400931</f>
        <v>1.4626616273583833E-2</v>
      </c>
      <c r="I14433">
        <v>1.4626616273583901E-2</v>
      </c>
    </row>
    <row r="14434" spans="1:9" x14ac:dyDescent="0.25">
      <c r="A14434">
        <v>487</v>
      </c>
      <c r="B14434" t="s">
        <v>3968</v>
      </c>
      <c r="C14434" t="s">
        <v>75</v>
      </c>
      <c r="D14434" t="s">
        <v>1905</v>
      </c>
      <c r="E14434">
        <f>1/117</f>
        <v>8.5470085470085479E-3</v>
      </c>
      <c r="F14434">
        <v>24</v>
      </c>
      <c r="G14434">
        <f>LOG(382/(24+1))</f>
        <v>1.1841233542396712</v>
      </c>
      <c r="H14434">
        <f>0.00854700854700854*2.72654478373837</f>
        <v>2.3303801570413396E-2</v>
      </c>
      <c r="I14434">
        <v>2.3303801570413459E-2</v>
      </c>
    </row>
    <row r="14435" spans="1:9" x14ac:dyDescent="0.25">
      <c r="A14435">
        <v>487</v>
      </c>
      <c r="B14435" t="s">
        <v>3968</v>
      </c>
      <c r="C14435" t="s">
        <v>75</v>
      </c>
      <c r="D14435" t="s">
        <v>24</v>
      </c>
      <c r="E14435">
        <f>1/117</f>
        <v>8.5470085470085479E-3</v>
      </c>
      <c r="F14435">
        <v>59</v>
      </c>
      <c r="G14435">
        <f>LOG(382/(59+1))</f>
        <v>0.80391211252806505</v>
      </c>
      <c r="H14435">
        <f>0.00854700854700854*1.85107604638447</f>
        <v>1.5821162789610842E-2</v>
      </c>
      <c r="I14435">
        <v>1.582116278961089E-2</v>
      </c>
    </row>
    <row r="14436" spans="1:9" x14ac:dyDescent="0.25">
      <c r="A14436">
        <v>487</v>
      </c>
      <c r="B14436" t="s">
        <v>3968</v>
      </c>
      <c r="C14436" t="s">
        <v>75</v>
      </c>
      <c r="D14436" t="s">
        <v>455</v>
      </c>
      <c r="E14436">
        <f>1/117</f>
        <v>8.5470085470085479E-3</v>
      </c>
      <c r="F14436">
        <v>78</v>
      </c>
      <c r="G14436">
        <f>LOG(382/(78+1))</f>
        <v>0.6844362716212673</v>
      </c>
      <c r="H14436">
        <f>0.00854700854700854*1.57597275613955</f>
        <v>1.3469852616577339E-2</v>
      </c>
      <c r="I14436">
        <v>1.346985261657738E-2</v>
      </c>
    </row>
    <row r="14437" spans="1:9" x14ac:dyDescent="0.25">
      <c r="A14437">
        <v>487</v>
      </c>
      <c r="B14437" t="s">
        <v>3968</v>
      </c>
      <c r="C14437" t="s">
        <v>75</v>
      </c>
      <c r="D14437" t="s">
        <v>456</v>
      </c>
      <c r="E14437">
        <f>1/117</f>
        <v>8.5470085470085479E-3</v>
      </c>
      <c r="F14437">
        <v>71</v>
      </c>
      <c r="G14437">
        <f>LOG(382/(71+1))</f>
        <v>0.72473086648044027</v>
      </c>
      <c r="H14437">
        <f>0.00854700854700854*1.66875448959051</f>
        <v>1.4262858885388962E-2</v>
      </c>
      <c r="I14437">
        <v>1.426285888538906E-2</v>
      </c>
    </row>
    <row r="14438" spans="1:9" x14ac:dyDescent="0.25">
      <c r="A14438">
        <v>487</v>
      </c>
      <c r="B14438" t="s">
        <v>3968</v>
      </c>
      <c r="C14438" t="s">
        <v>75</v>
      </c>
      <c r="D14438" t="s">
        <v>81</v>
      </c>
      <c r="E14438">
        <f>3/117</f>
        <v>2.564102564102564E-2</v>
      </c>
      <c r="F14438">
        <v>114</v>
      </c>
      <c r="G14438">
        <f>LOG(382/(114+1))</f>
        <v>0.52136552255809698</v>
      </c>
      <c r="H14438">
        <f>0.0256410256410256*1.20048848024332</f>
        <v>3.078175590367482E-2</v>
      </c>
      <c r="I14438">
        <v>3.0781755903675E-2</v>
      </c>
    </row>
    <row r="14439" spans="1:9" x14ac:dyDescent="0.25">
      <c r="A14439">
        <v>487</v>
      </c>
      <c r="B14439" t="s">
        <v>3968</v>
      </c>
      <c r="C14439" t="s">
        <v>75</v>
      </c>
      <c r="D14439" t="s">
        <v>823</v>
      </c>
      <c r="E14439">
        <f>1/117</f>
        <v>8.5470085470085479E-3</v>
      </c>
      <c r="F14439">
        <v>45</v>
      </c>
      <c r="G14439">
        <f>LOG(382/(45+1))</f>
        <v>0.9193055312301347</v>
      </c>
      <c r="H14439">
        <f>0.00854700854700854*2.11677921211748</f>
        <v>1.8092130018098104E-2</v>
      </c>
      <c r="I14439">
        <v>1.8092130018098122E-2</v>
      </c>
    </row>
    <row r="14440" spans="1:9" x14ac:dyDescent="0.25">
      <c r="A14440">
        <v>487</v>
      </c>
      <c r="B14440" t="s">
        <v>3968</v>
      </c>
      <c r="C14440" t="s">
        <v>75</v>
      </c>
      <c r="D14440" t="s">
        <v>746</v>
      </c>
      <c r="E14440">
        <f>1/117</f>
        <v>8.5470085470085479E-3</v>
      </c>
      <c r="F14440">
        <v>58</v>
      </c>
      <c r="G14440">
        <f>LOG(382/(58+1))</f>
        <v>0.81121135126956456</v>
      </c>
      <c r="H14440">
        <f>0.00854700854700854*1.86788316470085</f>
        <v>1.5964813373511525E-2</v>
      </c>
      <c r="I14440">
        <v>1.5964813373511591E-2</v>
      </c>
    </row>
    <row r="14441" spans="1:9" x14ac:dyDescent="0.25">
      <c r="A14441">
        <v>487</v>
      </c>
      <c r="B14441" t="s">
        <v>3968</v>
      </c>
      <c r="C14441" t="s">
        <v>75</v>
      </c>
      <c r="D14441" t="s">
        <v>2238</v>
      </c>
      <c r="E14441">
        <f>1/117</f>
        <v>8.5470085470085479E-3</v>
      </c>
      <c r="F14441">
        <v>68</v>
      </c>
      <c r="G14441">
        <f>LOG(382/(68+1))</f>
        <v>0.74321427217445335</v>
      </c>
      <c r="H14441">
        <f>0.00854700854700854*1.71131410400931</f>
        <v>1.4626616273583833E-2</v>
      </c>
      <c r="I14441">
        <v>1.4626616273583901E-2</v>
      </c>
    </row>
    <row r="14442" spans="1:9" x14ac:dyDescent="0.25">
      <c r="A14442">
        <v>487</v>
      </c>
      <c r="B14442" t="s">
        <v>3968</v>
      </c>
      <c r="C14442" t="s">
        <v>75</v>
      </c>
      <c r="D14442" t="s">
        <v>3290</v>
      </c>
      <c r="E14442">
        <f>1/117</f>
        <v>8.5470085470085479E-3</v>
      </c>
      <c r="F14442">
        <v>12</v>
      </c>
      <c r="G14442">
        <f>LOG(382/(12+1))</f>
        <v>1.468120010604872</v>
      </c>
      <c r="H14442">
        <f>0.00854700854700854*3.38047125114503</f>
        <v>2.8892916676453221E-2</v>
      </c>
      <c r="I14442">
        <v>2.8892916676453329E-2</v>
      </c>
    </row>
    <row r="14443" spans="1:9" x14ac:dyDescent="0.25">
      <c r="A14443">
        <v>487</v>
      </c>
      <c r="B14443" t="s">
        <v>3968</v>
      </c>
      <c r="C14443" t="s">
        <v>75</v>
      </c>
      <c r="D14443" t="s">
        <v>82</v>
      </c>
      <c r="E14443">
        <f>2/117</f>
        <v>1.7094017094017096E-2</v>
      </c>
      <c r="F14443">
        <v>92</v>
      </c>
      <c r="G14443">
        <f>LOG(382/(92+1))</f>
        <v>0.61358041435777355</v>
      </c>
      <c r="H14443">
        <f>0.017094017094017*1.41282111545331</f>
        <v>2.4150788298347044E-2</v>
      </c>
      <c r="I14443">
        <v>2.4150788298347339E-2</v>
      </c>
    </row>
    <row r="14444" spans="1:9" x14ac:dyDescent="0.25">
      <c r="A14444">
        <v>487</v>
      </c>
      <c r="B14444" t="s">
        <v>3968</v>
      </c>
      <c r="C14444" t="s">
        <v>75</v>
      </c>
      <c r="D14444" t="s">
        <v>2369</v>
      </c>
      <c r="E14444">
        <f>1/117</f>
        <v>8.5470085470085479E-3</v>
      </c>
      <c r="F14444">
        <v>15</v>
      </c>
      <c r="G14444">
        <f>LOG(382/(15+1))</f>
        <v>1.3779433802557839</v>
      </c>
      <c r="H14444">
        <f>0.00854700854700854*3.17283188636679</f>
        <v>2.7118221250998182E-2</v>
      </c>
      <c r="I14444">
        <v>2.7118221250998241E-2</v>
      </c>
    </row>
    <row r="14445" spans="1:9" x14ac:dyDescent="0.25">
      <c r="A14445">
        <v>487</v>
      </c>
      <c r="B14445" t="s">
        <v>3968</v>
      </c>
      <c r="C14445" t="s">
        <v>75</v>
      </c>
      <c r="D14445" t="s">
        <v>1727</v>
      </c>
      <c r="E14445">
        <f>1/117</f>
        <v>8.5470085470085479E-3</v>
      </c>
      <c r="F14445">
        <v>27</v>
      </c>
      <c r="G14445">
        <f>LOG(382/(27+1))</f>
        <v>1.1349053315694895</v>
      </c>
      <c r="H14445">
        <f>0.00854700854700854*2.61321609843137</f>
        <v>2.2335180328473227E-2</v>
      </c>
      <c r="I14445">
        <v>2.2335180328473259E-2</v>
      </c>
    </row>
    <row r="14446" spans="1:9" x14ac:dyDescent="0.25">
      <c r="A14446">
        <v>487</v>
      </c>
      <c r="B14446" t="s">
        <v>3968</v>
      </c>
      <c r="C14446" t="s">
        <v>75</v>
      </c>
      <c r="D14446" t="s">
        <v>1773</v>
      </c>
      <c r="E14446">
        <f>1/117</f>
        <v>8.5470085470085479E-3</v>
      </c>
      <c r="F14446">
        <v>24</v>
      </c>
      <c r="G14446">
        <f>LOG(382/(24+1))</f>
        <v>1.1841233542396712</v>
      </c>
      <c r="H14446">
        <f>0.00854700854700854*2.72654478373837</f>
        <v>2.3303801570413396E-2</v>
      </c>
      <c r="I14446">
        <v>2.3303801570413459E-2</v>
      </c>
    </row>
    <row r="14447" spans="1:9" x14ac:dyDescent="0.25">
      <c r="A14447">
        <v>487</v>
      </c>
      <c r="B14447" t="s">
        <v>3968</v>
      </c>
      <c r="C14447" t="s">
        <v>75</v>
      </c>
      <c r="D14447" t="s">
        <v>447</v>
      </c>
      <c r="E14447">
        <f>1/117</f>
        <v>8.5470085470085479E-3</v>
      </c>
      <c r="F14447">
        <v>37</v>
      </c>
      <c r="G14447">
        <f>LOG(382/(37+1))</f>
        <v>1.0022797662948986</v>
      </c>
      <c r="H14447">
        <f>0.00854700854700854*2.30783444888018</f>
        <v>1.972508075965964E-2</v>
      </c>
      <c r="I14447">
        <v>1.972508075965974E-2</v>
      </c>
    </row>
    <row r="14448" spans="1:9" x14ac:dyDescent="0.25">
      <c r="A14448">
        <v>487</v>
      </c>
      <c r="B14448" t="s">
        <v>3968</v>
      </c>
      <c r="C14448" t="s">
        <v>75</v>
      </c>
      <c r="D14448" t="s">
        <v>324</v>
      </c>
      <c r="E14448">
        <f>2/117</f>
        <v>1.7094017094017096E-2</v>
      </c>
      <c r="F14448">
        <v>82</v>
      </c>
      <c r="G14448">
        <f>LOG(382/(82+1))</f>
        <v>0.66298527053563483</v>
      </c>
      <c r="H14448">
        <f>0.017094017094017*1.52658000080997</f>
        <v>2.6095384629230108E-2</v>
      </c>
      <c r="I14448">
        <v>2.6095384629230379E-2</v>
      </c>
    </row>
    <row r="14449" spans="1:9" x14ac:dyDescent="0.25">
      <c r="A14449">
        <v>487</v>
      </c>
      <c r="B14449" t="s">
        <v>3968</v>
      </c>
      <c r="C14449" t="s">
        <v>75</v>
      </c>
      <c r="D14449" t="s">
        <v>311</v>
      </c>
      <c r="E14449">
        <f>1/117</f>
        <v>8.5470085470085479E-3</v>
      </c>
      <c r="F14449">
        <v>7</v>
      </c>
      <c r="G14449">
        <f>LOG(382/(7+1))</f>
        <v>1.6789733759197651</v>
      </c>
      <c r="H14449">
        <f>0.00854700854700854*3.86597906692673</f>
        <v>3.3042556127578858E-2</v>
      </c>
      <c r="I14449">
        <v>3.3042556127578969E-2</v>
      </c>
    </row>
    <row r="14450" spans="1:9" x14ac:dyDescent="0.25">
      <c r="A14450">
        <v>487</v>
      </c>
      <c r="B14450" t="s">
        <v>3968</v>
      </c>
      <c r="C14450" t="s">
        <v>75</v>
      </c>
      <c r="D14450" t="s">
        <v>307</v>
      </c>
      <c r="E14450">
        <f>2/117</f>
        <v>1.7094017094017096E-2</v>
      </c>
      <c r="F14450">
        <v>67</v>
      </c>
      <c r="G14450">
        <f>LOG(382/(67+1))</f>
        <v>0.7495544502054724</v>
      </c>
      <c r="H14450">
        <f>0.017094017094017*1.72591290343046</f>
        <v>2.9502784674024795E-2</v>
      </c>
      <c r="I14450">
        <v>2.95027846740251E-2</v>
      </c>
    </row>
    <row r="14451" spans="1:9" x14ac:dyDescent="0.25">
      <c r="A14451">
        <v>487</v>
      </c>
      <c r="B14451" t="s">
        <v>3968</v>
      </c>
      <c r="C14451" t="s">
        <v>75</v>
      </c>
      <c r="D14451" t="s">
        <v>1222</v>
      </c>
      <c r="E14451">
        <f>2/117</f>
        <v>1.7094017094017096E-2</v>
      </c>
      <c r="F14451">
        <v>56</v>
      </c>
      <c r="G14451">
        <f>LOG(382/(56+1))</f>
        <v>0.82618850723921733</v>
      </c>
      <c r="H14451">
        <f>0.017094017094017*1.90236934077202</f>
        <v>3.2519134030290754E-2</v>
      </c>
      <c r="I14451">
        <v>3.2519134030291032E-2</v>
      </c>
    </row>
    <row r="14452" spans="1:9" x14ac:dyDescent="0.25">
      <c r="A14452">
        <v>487</v>
      </c>
      <c r="B14452" t="s">
        <v>3968</v>
      </c>
      <c r="C14452" t="s">
        <v>75</v>
      </c>
      <c r="D14452" t="s">
        <v>485</v>
      </c>
      <c r="E14452">
        <f>1/117</f>
        <v>8.5470085470085479E-3</v>
      </c>
      <c r="F14452">
        <v>74</v>
      </c>
      <c r="G14452">
        <f>LOG(382/(74+1))</f>
        <v>0.7070020995200087</v>
      </c>
      <c r="H14452">
        <f>0.00854700854700854*1.62793249507026</f>
        <v>1.3913952949318449E-2</v>
      </c>
      <c r="I14452">
        <v>1.3913952949318501E-2</v>
      </c>
    </row>
    <row r="14453" spans="1:9" x14ac:dyDescent="0.25">
      <c r="A14453">
        <v>487</v>
      </c>
      <c r="B14453" t="s">
        <v>3968</v>
      </c>
      <c r="C14453" t="s">
        <v>75</v>
      </c>
      <c r="D14453" t="s">
        <v>388</v>
      </c>
      <c r="E14453">
        <f>1/117</f>
        <v>8.5470085470085479E-3</v>
      </c>
      <c r="F14453">
        <v>44</v>
      </c>
      <c r="G14453">
        <f>LOG(382/(44+1))</f>
        <v>0.92885084913636506</v>
      </c>
      <c r="H14453">
        <f>0.00854700854700854*2.13875811883625</f>
        <v>1.8279983921677331E-2</v>
      </c>
      <c r="I14453">
        <v>1.8279983921677401E-2</v>
      </c>
    </row>
    <row r="14454" spans="1:9" x14ac:dyDescent="0.25">
      <c r="A14454">
        <v>487</v>
      </c>
      <c r="B14454" t="s">
        <v>3968</v>
      </c>
      <c r="C14454" t="s">
        <v>75</v>
      </c>
      <c r="D14454" t="s">
        <v>596</v>
      </c>
      <c r="E14454">
        <f>1/117</f>
        <v>8.5470085470085479E-3</v>
      </c>
      <c r="F14454">
        <v>60</v>
      </c>
      <c r="G14454">
        <f>LOG(382/(60+1))</f>
        <v>0.79673352790094176</v>
      </c>
      <c r="H14454">
        <f>0.00854700854700854*1.83454674443326</f>
        <v>1.5679886704557763E-2</v>
      </c>
      <c r="I14454">
        <v>1.5679886704557808E-2</v>
      </c>
    </row>
    <row r="14455" spans="1:9" x14ac:dyDescent="0.25">
      <c r="A14455">
        <v>487</v>
      </c>
      <c r="B14455" t="s">
        <v>3968</v>
      </c>
      <c r="C14455" t="s">
        <v>75</v>
      </c>
      <c r="D14455" t="s">
        <v>597</v>
      </c>
      <c r="E14455">
        <f>1/117</f>
        <v>8.5470085470085479E-3</v>
      </c>
      <c r="F14455">
        <v>51</v>
      </c>
      <c r="G14455">
        <f>LOG(382/(51+1))</f>
        <v>0.86606001927690957</v>
      </c>
      <c r="H14455">
        <f>0.00854700854700854*1.99417689002514</f>
        <v>1.7044246923291779E-2</v>
      </c>
      <c r="I14455">
        <v>1.7044246923291859E-2</v>
      </c>
    </row>
    <row r="14456" spans="1:9" x14ac:dyDescent="0.25">
      <c r="A14456">
        <v>487</v>
      </c>
      <c r="B14456" t="s">
        <v>3968</v>
      </c>
      <c r="C14456" t="s">
        <v>75</v>
      </c>
      <c r="D14456" t="s">
        <v>767</v>
      </c>
      <c r="E14456">
        <f>3/117</f>
        <v>2.564102564102564E-2</v>
      </c>
      <c r="F14456">
        <v>47</v>
      </c>
      <c r="G14456">
        <f>LOG(382/(47+1))</f>
        <v>0.90082212553612151</v>
      </c>
      <c r="H14456">
        <f>0.0256410256410256*2.07421959769868</f>
        <v>5.3185117889709657E-2</v>
      </c>
      <c r="I14456">
        <v>5.3185117889709838E-2</v>
      </c>
    </row>
    <row r="14457" spans="1:9" x14ac:dyDescent="0.25">
      <c r="A14457">
        <v>487</v>
      </c>
      <c r="B14457" t="s">
        <v>3968</v>
      </c>
      <c r="C14457" t="s">
        <v>75</v>
      </c>
      <c r="D14457" t="s">
        <v>2035</v>
      </c>
      <c r="E14457">
        <f>1/117</f>
        <v>8.5470085470085479E-3</v>
      </c>
      <c r="F14457">
        <v>13</v>
      </c>
      <c r="G14457">
        <f>LOG(382/(13+1))</f>
        <v>1.4359353272334707</v>
      </c>
      <c r="H14457">
        <f>0.00854700854700854*3.30636327899131</f>
        <v>2.8259515205053907E-2</v>
      </c>
      <c r="I14457">
        <v>2.825951520505399E-2</v>
      </c>
    </row>
    <row r="14458" spans="1:9" x14ac:dyDescent="0.25">
      <c r="A14458">
        <v>487</v>
      </c>
      <c r="B14458" t="s">
        <v>3968</v>
      </c>
      <c r="C14458" t="s">
        <v>75</v>
      </c>
      <c r="D14458" t="s">
        <v>361</v>
      </c>
      <c r="E14458">
        <f>2/117</f>
        <v>1.7094017094017096E-2</v>
      </c>
      <c r="F14458">
        <v>118</v>
      </c>
      <c r="G14458">
        <f>LOG(382/(118+1))</f>
        <v>0.50651640151917798</v>
      </c>
      <c r="H14458">
        <f>0.017094017094017*1.16629711549504</f>
        <v>1.9936702828974931E-2</v>
      </c>
      <c r="I14458">
        <v>1.993670282897515E-2</v>
      </c>
    </row>
    <row r="14459" spans="1:9" x14ac:dyDescent="0.25">
      <c r="A14459">
        <v>487</v>
      </c>
      <c r="B14459" t="s">
        <v>3968</v>
      </c>
      <c r="C14459" t="s">
        <v>75</v>
      </c>
      <c r="D14459" t="s">
        <v>3970</v>
      </c>
      <c r="E14459">
        <f t="shared" ref="E14459:E14465" si="680">1/117</f>
        <v>8.5470085470085479E-3</v>
      </c>
      <c r="F14459">
        <v>3</v>
      </c>
      <c r="G14459">
        <f>LOG(382/(3+1))</f>
        <v>1.9800033715837464</v>
      </c>
      <c r="H14459">
        <f>0.00854700854700854*4.55912624748668</f>
        <v>3.8966891004159621E-2</v>
      </c>
      <c r="I14459">
        <v>3.8966891004159697E-2</v>
      </c>
    </row>
    <row r="14460" spans="1:9" x14ac:dyDescent="0.25">
      <c r="A14460">
        <v>487</v>
      </c>
      <c r="B14460" t="s">
        <v>3968</v>
      </c>
      <c r="C14460" t="s">
        <v>75</v>
      </c>
      <c r="D14460" t="s">
        <v>776</v>
      </c>
      <c r="E14460">
        <f t="shared" si="680"/>
        <v>8.5470085470085479E-3</v>
      </c>
      <c r="F14460">
        <v>15</v>
      </c>
      <c r="G14460">
        <f>LOG(382/(15+1))</f>
        <v>1.3779433802557839</v>
      </c>
      <c r="H14460">
        <f>0.00854700854700854*3.17283188636679</f>
        <v>2.7118221250998182E-2</v>
      </c>
      <c r="I14460">
        <v>2.7118221250998241E-2</v>
      </c>
    </row>
    <row r="14461" spans="1:9" x14ac:dyDescent="0.25">
      <c r="A14461">
        <v>487</v>
      </c>
      <c r="B14461" t="s">
        <v>3968</v>
      </c>
      <c r="C14461" t="s">
        <v>75</v>
      </c>
      <c r="D14461" t="s">
        <v>434</v>
      </c>
      <c r="E14461">
        <f t="shared" si="680"/>
        <v>8.5470085470085479E-3</v>
      </c>
      <c r="F14461">
        <v>97</v>
      </c>
      <c r="G14461">
        <f>LOG(382/(97+1))</f>
        <v>0.59083728721921391</v>
      </c>
      <c r="H14461">
        <f>0.00854700854700854*1.360453129936</f>
        <v>1.1627804529367512E-2</v>
      </c>
      <c r="I14461">
        <v>1.162780452936755E-2</v>
      </c>
    </row>
    <row r="14462" spans="1:9" x14ac:dyDescent="0.25">
      <c r="A14462">
        <v>487</v>
      </c>
      <c r="B14462" t="s">
        <v>3968</v>
      </c>
      <c r="C14462" t="s">
        <v>75</v>
      </c>
      <c r="D14462" t="s">
        <v>850</v>
      </c>
      <c r="E14462">
        <f t="shared" si="680"/>
        <v>8.5470085470085479E-3</v>
      </c>
      <c r="F14462">
        <v>14</v>
      </c>
      <c r="G14462">
        <f>LOG(382/(14+1))</f>
        <v>1.4059721038560276</v>
      </c>
      <c r="H14462">
        <f>0.00854700854700854*3.23737040750436</f>
        <v>2.766983254277228E-2</v>
      </c>
      <c r="I14462">
        <v>2.766983254277236E-2</v>
      </c>
    </row>
    <row r="14463" spans="1:9" x14ac:dyDescent="0.25">
      <c r="A14463">
        <v>487</v>
      </c>
      <c r="B14463" t="s">
        <v>3968</v>
      </c>
      <c r="C14463" t="s">
        <v>75</v>
      </c>
      <c r="D14463" t="s">
        <v>149</v>
      </c>
      <c r="E14463">
        <f t="shared" si="680"/>
        <v>8.5470085470085479E-3</v>
      </c>
      <c r="F14463">
        <v>35</v>
      </c>
      <c r="G14463">
        <f>LOG(382/(35+1))</f>
        <v>1.0257608621444214</v>
      </c>
      <c r="H14463">
        <f>0.00854700854700854*2.36190167015046</f>
        <v>2.0187193761969726E-2</v>
      </c>
      <c r="I14463">
        <v>2.0187193761969788E-2</v>
      </c>
    </row>
    <row r="14464" spans="1:9" x14ac:dyDescent="0.25">
      <c r="A14464">
        <v>487</v>
      </c>
      <c r="B14464" t="s">
        <v>3968</v>
      </c>
      <c r="C14464" t="s">
        <v>75</v>
      </c>
      <c r="D14464" t="s">
        <v>673</v>
      </c>
      <c r="E14464">
        <f t="shared" si="680"/>
        <v>8.5470085470085479E-3</v>
      </c>
      <c r="F14464">
        <v>16</v>
      </c>
      <c r="G14464">
        <f>LOG(382/(16+1))</f>
        <v>1.3516144415334348</v>
      </c>
      <c r="H14464">
        <f>0.00854700854700854*3.11220726455035</f>
        <v>2.6600062090173907E-2</v>
      </c>
      <c r="I14464">
        <v>2.6600062090174011E-2</v>
      </c>
    </row>
    <row r="14465" spans="1:9" x14ac:dyDescent="0.25">
      <c r="A14465">
        <v>487</v>
      </c>
      <c r="B14465" t="s">
        <v>3968</v>
      </c>
      <c r="C14465" t="s">
        <v>75</v>
      </c>
      <c r="D14465" t="s">
        <v>214</v>
      </c>
      <c r="E14465">
        <f t="shared" si="680"/>
        <v>8.5470085470085479E-3</v>
      </c>
      <c r="F14465">
        <v>68</v>
      </c>
      <c r="G14465">
        <f>LOG(382/(68+1))</f>
        <v>0.74321427217445335</v>
      </c>
      <c r="H14465">
        <f>0.00854700854700854*1.71131410400931</f>
        <v>1.4626616273583833E-2</v>
      </c>
      <c r="I14465">
        <v>1.4626616273583901E-2</v>
      </c>
    </row>
    <row r="14466" spans="1:9" x14ac:dyDescent="0.25">
      <c r="A14466">
        <v>487</v>
      </c>
      <c r="B14466" t="s">
        <v>3968</v>
      </c>
      <c r="C14466" t="s">
        <v>75</v>
      </c>
      <c r="D14466" t="s">
        <v>772</v>
      </c>
      <c r="E14466">
        <f>2/117</f>
        <v>1.7094017094017096E-2</v>
      </c>
      <c r="F14466">
        <v>31</v>
      </c>
      <c r="G14466">
        <f>LOG(382/(31+1))</f>
        <v>1.0769133845918029</v>
      </c>
      <c r="H14466">
        <f>0.017094017094017*2.47968470580684</f>
        <v>4.238777274883463E-2</v>
      </c>
      <c r="I14466">
        <v>4.2387772748835033E-2</v>
      </c>
    </row>
    <row r="14467" spans="1:9" x14ac:dyDescent="0.25">
      <c r="A14467">
        <v>487</v>
      </c>
      <c r="B14467" t="s">
        <v>3968</v>
      </c>
      <c r="C14467" t="s">
        <v>75</v>
      </c>
      <c r="D14467" t="s">
        <v>755</v>
      </c>
      <c r="E14467">
        <f t="shared" ref="E14467:E14479" si="681">1/117</f>
        <v>8.5470085470085479E-3</v>
      </c>
      <c r="F14467">
        <v>19</v>
      </c>
      <c r="G14467">
        <f>LOG(382/(19+1))</f>
        <v>1.2810333672477277</v>
      </c>
      <c r="H14467">
        <f>0.00854700854700854*2.94968833505258</f>
        <v>2.5211011410705787E-2</v>
      </c>
      <c r="I14467">
        <v>2.521101141070585E-2</v>
      </c>
    </row>
    <row r="14468" spans="1:9" x14ac:dyDescent="0.25">
      <c r="A14468">
        <v>487</v>
      </c>
      <c r="B14468" t="s">
        <v>3968</v>
      </c>
      <c r="C14468" t="s">
        <v>75</v>
      </c>
      <c r="D14468" t="s">
        <v>3334</v>
      </c>
      <c r="E14468">
        <f t="shared" si="681"/>
        <v>8.5470085470085479E-3</v>
      </c>
      <c r="F14468">
        <v>12</v>
      </c>
      <c r="G14468">
        <f>LOG(382/(12+1))</f>
        <v>1.468120010604872</v>
      </c>
      <c r="H14468">
        <f>0.00854700854700854*3.38047125114503</f>
        <v>2.8892916676453221E-2</v>
      </c>
      <c r="I14468">
        <v>2.8892916676453329E-2</v>
      </c>
    </row>
    <row r="14469" spans="1:9" x14ac:dyDescent="0.25">
      <c r="A14469">
        <v>487</v>
      </c>
      <c r="B14469" t="s">
        <v>3968</v>
      </c>
      <c r="C14469" t="s">
        <v>75</v>
      </c>
      <c r="D14469" t="s">
        <v>763</v>
      </c>
      <c r="E14469">
        <f t="shared" si="681"/>
        <v>8.5470085470085479E-3</v>
      </c>
      <c r="F14469">
        <v>47</v>
      </c>
      <c r="G14469">
        <f>LOG(382/(47+1))</f>
        <v>0.90082212553612151</v>
      </c>
      <c r="H14469">
        <f>0.00854700854700854*2.07421959769868</f>
        <v>1.7728372629903233E-2</v>
      </c>
      <c r="I14469">
        <v>1.7728372629903281E-2</v>
      </c>
    </row>
    <row r="14470" spans="1:9" x14ac:dyDescent="0.25">
      <c r="A14470">
        <v>487</v>
      </c>
      <c r="B14470" t="s">
        <v>3968</v>
      </c>
      <c r="C14470" t="s">
        <v>75</v>
      </c>
      <c r="D14470" t="s">
        <v>256</v>
      </c>
      <c r="E14470">
        <f t="shared" si="681"/>
        <v>8.5470085470085479E-3</v>
      </c>
      <c r="F14470">
        <v>28</v>
      </c>
      <c r="G14470">
        <f>LOG(382/(28+1))</f>
        <v>1.1196653650127526</v>
      </c>
      <c r="H14470">
        <f>0.00854700854700854*2.5781247786201</f>
        <v>2.2035254518120492E-2</v>
      </c>
      <c r="I14470">
        <v>2.203525451812053E-2</v>
      </c>
    </row>
    <row r="14471" spans="1:9" x14ac:dyDescent="0.25">
      <c r="A14471">
        <v>487</v>
      </c>
      <c r="B14471" t="s">
        <v>3968</v>
      </c>
      <c r="C14471" t="s">
        <v>75</v>
      </c>
      <c r="D14471" t="s">
        <v>239</v>
      </c>
      <c r="E14471">
        <f t="shared" si="681"/>
        <v>8.5470085470085479E-3</v>
      </c>
      <c r="F14471">
        <v>40</v>
      </c>
      <c r="G14471">
        <f>LOG(382/(40+1))</f>
        <v>0.96927950619197323</v>
      </c>
      <c r="H14471">
        <f>0.00854700854700854*2.23184854190226</f>
        <v>1.9075628563267159E-2</v>
      </c>
      <c r="I14471">
        <v>1.9075628563267239E-2</v>
      </c>
    </row>
    <row r="14472" spans="1:9" x14ac:dyDescent="0.25">
      <c r="A14472">
        <v>487</v>
      </c>
      <c r="B14472" t="s">
        <v>3968</v>
      </c>
      <c r="C14472" t="s">
        <v>75</v>
      </c>
      <c r="D14472" t="s">
        <v>144</v>
      </c>
      <c r="E14472">
        <f t="shared" si="681"/>
        <v>8.5470085470085479E-3</v>
      </c>
      <c r="F14472">
        <v>105</v>
      </c>
      <c r="G14472">
        <f>LOG(382/(105+1))</f>
        <v>0.55675749764693849</v>
      </c>
      <c r="H14472">
        <f>0.00854700854700854*1.2819815144945</f>
        <v>1.0957106961491443E-2</v>
      </c>
      <c r="I14472">
        <v>1.095710696149152E-2</v>
      </c>
    </row>
    <row r="14473" spans="1:9" x14ac:dyDescent="0.25">
      <c r="A14473">
        <v>487</v>
      </c>
      <c r="B14473" t="s">
        <v>3968</v>
      </c>
      <c r="C14473" t="s">
        <v>75</v>
      </c>
      <c r="D14473" t="s">
        <v>758</v>
      </c>
      <c r="E14473">
        <f t="shared" si="681"/>
        <v>8.5470085470085479E-3</v>
      </c>
      <c r="F14473">
        <v>26</v>
      </c>
      <c r="G14473">
        <f>LOG(382/(26+1))</f>
        <v>1.1506995987527215</v>
      </c>
      <c r="H14473">
        <f>0.00854700854700854*2.64958374260224</f>
        <v>2.2646014894036219E-2</v>
      </c>
      <c r="I14473">
        <v>2.2646014894036299E-2</v>
      </c>
    </row>
    <row r="14474" spans="1:9" x14ac:dyDescent="0.25">
      <c r="A14474">
        <v>487</v>
      </c>
      <c r="B14474" t="s">
        <v>3968</v>
      </c>
      <c r="C14474" t="s">
        <v>75</v>
      </c>
      <c r="D14474" t="s">
        <v>339</v>
      </c>
      <c r="E14474">
        <f t="shared" si="681"/>
        <v>8.5470085470085479E-3</v>
      </c>
      <c r="F14474">
        <v>66</v>
      </c>
      <c r="G14474">
        <f>LOG(382/(66+1))</f>
        <v>0.75598856021088234</v>
      </c>
      <c r="H14474">
        <f>0.00854700854700854*1.7407279892156</f>
        <v>1.4878017001842721E-2</v>
      </c>
      <c r="I14474">
        <v>1.4878017001842809E-2</v>
      </c>
    </row>
    <row r="14475" spans="1:9" x14ac:dyDescent="0.25">
      <c r="A14475">
        <v>487</v>
      </c>
      <c r="B14475" t="s">
        <v>3968</v>
      </c>
      <c r="C14475" t="s">
        <v>75</v>
      </c>
      <c r="D14475" t="s">
        <v>340</v>
      </c>
      <c r="E14475">
        <f t="shared" si="681"/>
        <v>8.5470085470085479E-3</v>
      </c>
      <c r="F14475">
        <v>28</v>
      </c>
      <c r="G14475">
        <f>LOG(382/(28+1))</f>
        <v>1.1196653650127526</v>
      </c>
      <c r="H14475">
        <f>0.00854700854700854*2.5781247786201</f>
        <v>2.2035254518120492E-2</v>
      </c>
      <c r="I14475">
        <v>2.203525451812053E-2</v>
      </c>
    </row>
    <row r="14476" spans="1:9" x14ac:dyDescent="0.25">
      <c r="A14476">
        <v>487</v>
      </c>
      <c r="B14476" t="s">
        <v>3968</v>
      </c>
      <c r="C14476" t="s">
        <v>75</v>
      </c>
      <c r="D14476" t="s">
        <v>247</v>
      </c>
      <c r="E14476">
        <f t="shared" si="681"/>
        <v>8.5470085470085479E-3</v>
      </c>
      <c r="F14476">
        <v>121</v>
      </c>
      <c r="G14476">
        <f>LOG(382/(121+1))</f>
        <v>0.49570353223696051</v>
      </c>
      <c r="H14476">
        <f>0.00854700854700854*1.14139956387331</f>
        <v>9.7555518279770007E-3</v>
      </c>
      <c r="I14476">
        <v>9.7555518279770839E-3</v>
      </c>
    </row>
    <row r="14477" spans="1:9" x14ac:dyDescent="0.25">
      <c r="A14477">
        <v>487</v>
      </c>
      <c r="B14477" t="s">
        <v>3968</v>
      </c>
      <c r="C14477" t="s">
        <v>75</v>
      </c>
      <c r="D14477" t="s">
        <v>39</v>
      </c>
      <c r="E14477">
        <f t="shared" si="681"/>
        <v>8.5470085470085479E-3</v>
      </c>
      <c r="F14477">
        <v>145</v>
      </c>
      <c r="G14477">
        <f>LOG(382/(145+1))</f>
        <v>0.41771050712727159</v>
      </c>
      <c r="H14477">
        <f>0.00854700854700854*0.961813986898238</f>
        <v>8.2206323666516E-3</v>
      </c>
      <c r="I14477">
        <v>8.2206323666516139E-3</v>
      </c>
    </row>
    <row r="14478" spans="1:9" x14ac:dyDescent="0.25">
      <c r="A14478">
        <v>487</v>
      </c>
      <c r="B14478" t="s">
        <v>3968</v>
      </c>
      <c r="C14478" t="s">
        <v>75</v>
      </c>
      <c r="D14478" t="s">
        <v>40</v>
      </c>
      <c r="E14478">
        <f t="shared" si="681"/>
        <v>8.5470085470085479E-3</v>
      </c>
      <c r="F14478">
        <v>159</v>
      </c>
      <c r="G14478">
        <f>LOG(382/(159+1))</f>
        <v>0.377943380255784</v>
      </c>
      <c r="H14478">
        <f>0.00854700854700854*0.870246793372748</f>
        <v>7.4380067809636519E-3</v>
      </c>
      <c r="I14478">
        <v>7.4380067809636623E-3</v>
      </c>
    </row>
    <row r="14479" spans="1:9" x14ac:dyDescent="0.25">
      <c r="A14479">
        <v>487</v>
      </c>
      <c r="B14479" t="s">
        <v>3968</v>
      </c>
      <c r="C14479" t="s">
        <v>75</v>
      </c>
      <c r="D14479" t="s">
        <v>41</v>
      </c>
      <c r="E14479">
        <f t="shared" si="681"/>
        <v>8.5470085470085479E-3</v>
      </c>
      <c r="F14479">
        <v>195</v>
      </c>
      <c r="G14479">
        <f>LOG(382/(195+1))</f>
        <v>0.28980729155523272</v>
      </c>
      <c r="H14479">
        <f>0.00854700854700854*0.667305949376058</f>
        <v>5.7034696527868151E-3</v>
      </c>
      <c r="I14479">
        <v>5.7034696527868212E-3</v>
      </c>
    </row>
    <row r="14480" spans="1:9" x14ac:dyDescent="0.25">
      <c r="A14480">
        <v>487</v>
      </c>
      <c r="B14480" t="s">
        <v>3968</v>
      </c>
      <c r="C14480" t="s">
        <v>75</v>
      </c>
      <c r="D14480" t="s">
        <v>770</v>
      </c>
      <c r="E14480">
        <f>2/117</f>
        <v>1.7094017094017096E-2</v>
      </c>
      <c r="F14480">
        <v>47</v>
      </c>
      <c r="G14480">
        <f>LOG(382/(47+1))</f>
        <v>0.90082212553612151</v>
      </c>
      <c r="H14480">
        <f>0.017094017094017*2.07421959769868</f>
        <v>3.5456745259806299E-2</v>
      </c>
      <c r="I14480">
        <v>3.545674525980657E-2</v>
      </c>
    </row>
    <row r="14481" spans="1:9" x14ac:dyDescent="0.25">
      <c r="A14481">
        <v>487</v>
      </c>
      <c r="B14481" t="s">
        <v>3968</v>
      </c>
      <c r="C14481" t="s">
        <v>75</v>
      </c>
      <c r="D14481" t="s">
        <v>773</v>
      </c>
      <c r="E14481">
        <f>1/117</f>
        <v>8.5470085470085479E-3</v>
      </c>
      <c r="F14481">
        <v>10</v>
      </c>
      <c r="G14481">
        <f>LOG(382/(10+1))</f>
        <v>1.5406706777534838</v>
      </c>
      <c r="H14481">
        <f>0.00854700854700854*3.5475253358082</f>
        <v>3.0320729365882024E-2</v>
      </c>
      <c r="I14481">
        <v>3.032072936588209E-2</v>
      </c>
    </row>
    <row r="14482" spans="1:9" x14ac:dyDescent="0.25">
      <c r="A14482">
        <v>487</v>
      </c>
      <c r="B14482" t="s">
        <v>3968</v>
      </c>
      <c r="C14482" t="s">
        <v>75</v>
      </c>
      <c r="D14482" t="s">
        <v>774</v>
      </c>
      <c r="E14482">
        <f>1/117</f>
        <v>8.5470085470085479E-3</v>
      </c>
      <c r="F14482">
        <v>4</v>
      </c>
      <c r="G14482">
        <f>LOG(382/(4+1))</f>
        <v>1.8830933585756899</v>
      </c>
      <c r="H14482">
        <f>0.00854700854700854*4.33598269617247</f>
        <v>3.7059681163867236E-2</v>
      </c>
      <c r="I14482">
        <v>3.7059681163867313E-2</v>
      </c>
    </row>
    <row r="14483" spans="1:9" x14ac:dyDescent="0.25">
      <c r="A14483">
        <v>487</v>
      </c>
      <c r="B14483" t="s">
        <v>3968</v>
      </c>
      <c r="C14483" t="s">
        <v>75</v>
      </c>
      <c r="D14483" t="s">
        <v>1814</v>
      </c>
      <c r="E14483">
        <f>1/117</f>
        <v>8.5470085470085479E-3</v>
      </c>
      <c r="F14483">
        <v>3</v>
      </c>
      <c r="G14483">
        <f>LOG(382/(3+1))</f>
        <v>1.9800033715837464</v>
      </c>
      <c r="H14483">
        <f>0.00854700854700854*4.55912624748668</f>
        <v>3.8966891004159621E-2</v>
      </c>
      <c r="I14483">
        <v>3.8966891004159697E-2</v>
      </c>
    </row>
    <row r="14484" spans="1:9" x14ac:dyDescent="0.25">
      <c r="A14484">
        <v>487</v>
      </c>
      <c r="B14484" t="s">
        <v>3968</v>
      </c>
      <c r="C14484" t="s">
        <v>75</v>
      </c>
      <c r="D14484" t="s">
        <v>3971</v>
      </c>
      <c r="E14484">
        <f>1/117</f>
        <v>8.5470085470085479E-3</v>
      </c>
      <c r="F14484">
        <v>1</v>
      </c>
      <c r="G14484">
        <f>LOG(382/(1+1))</f>
        <v>2.2810333672477277</v>
      </c>
      <c r="H14484">
        <f>0.00854700854700854*5.25227342804663</f>
        <v>4.4891225880740383E-2</v>
      </c>
      <c r="I14484">
        <v>4.4891225880740432E-2</v>
      </c>
    </row>
    <row r="14485" spans="1:9" x14ac:dyDescent="0.25">
      <c r="A14485">
        <v>487</v>
      </c>
      <c r="B14485" t="s">
        <v>3968</v>
      </c>
      <c r="C14485" t="s">
        <v>75</v>
      </c>
      <c r="D14485" t="s">
        <v>506</v>
      </c>
      <c r="E14485">
        <f>1/117</f>
        <v>8.5470085470085479E-3</v>
      </c>
      <c r="F14485">
        <v>6</v>
      </c>
      <c r="G14485">
        <f>LOG(382/(6+1))</f>
        <v>1.736965322897452</v>
      </c>
      <c r="H14485">
        <f>0.00854700854700854*3.99951045955126</f>
        <v>3.4183850081634673E-2</v>
      </c>
      <c r="I14485">
        <v>3.4183850081634722E-2</v>
      </c>
    </row>
    <row r="14486" spans="1:9" x14ac:dyDescent="0.25">
      <c r="A14486">
        <v>488</v>
      </c>
      <c r="B14486" t="s">
        <v>3972</v>
      </c>
      <c r="C14486" t="s">
        <v>75</v>
      </c>
      <c r="D14486" t="s">
        <v>81</v>
      </c>
      <c r="E14486">
        <f t="shared" ref="E14486:E14494" si="682">1/23</f>
        <v>4.3478260869565216E-2</v>
      </c>
      <c r="F14486">
        <v>114</v>
      </c>
      <c r="G14486">
        <f>LOG(382/(114+1))</f>
        <v>0.52136552255809698</v>
      </c>
      <c r="H14486">
        <f>0.0434782608695652*1.20048848024332</f>
        <v>5.2195151314926941E-2</v>
      </c>
      <c r="I14486">
        <v>5.2195151314927177E-2</v>
      </c>
    </row>
    <row r="14487" spans="1:9" x14ac:dyDescent="0.25">
      <c r="A14487">
        <v>488</v>
      </c>
      <c r="B14487" t="s">
        <v>3972</v>
      </c>
      <c r="C14487" t="s">
        <v>75</v>
      </c>
      <c r="D14487" t="s">
        <v>1080</v>
      </c>
      <c r="E14487">
        <f t="shared" si="682"/>
        <v>4.3478260869565216E-2</v>
      </c>
      <c r="F14487">
        <v>26</v>
      </c>
      <c r="G14487">
        <f>LOG(382/(26+1))</f>
        <v>1.1506995987527215</v>
      </c>
      <c r="H14487">
        <f>0.0434782608695652*2.64958374260224</f>
        <v>0.11519929315661909</v>
      </c>
      <c r="I14487">
        <v>0.11519929315661941</v>
      </c>
    </row>
    <row r="14488" spans="1:9" x14ac:dyDescent="0.25">
      <c r="A14488">
        <v>488</v>
      </c>
      <c r="B14488" t="s">
        <v>3972</v>
      </c>
      <c r="C14488" t="s">
        <v>75</v>
      </c>
      <c r="D14488" t="s">
        <v>201</v>
      </c>
      <c r="E14488">
        <f t="shared" si="682"/>
        <v>4.3478260869565216E-2</v>
      </c>
      <c r="F14488">
        <v>72</v>
      </c>
      <c r="G14488">
        <f>LOG(382/(72+1))</f>
        <v>0.71874050279125279</v>
      </c>
      <c r="H14488">
        <f>0.0434782608695652*1.65496116745818</f>
        <v>7.1954833367746926E-2</v>
      </c>
      <c r="I14488">
        <v>7.195483336774712E-2</v>
      </c>
    </row>
    <row r="14489" spans="1:9" x14ac:dyDescent="0.25">
      <c r="A14489">
        <v>488</v>
      </c>
      <c r="B14489" t="s">
        <v>3972</v>
      </c>
      <c r="C14489" t="s">
        <v>75</v>
      </c>
      <c r="D14489" t="s">
        <v>44</v>
      </c>
      <c r="E14489">
        <f t="shared" si="682"/>
        <v>4.3478260869565216E-2</v>
      </c>
      <c r="F14489">
        <v>151</v>
      </c>
      <c r="G14489">
        <f>LOG(382/(151+1))</f>
        <v>0.40021977496693617</v>
      </c>
      <c r="H14489">
        <f>0.0434782608695652*0.921540087760298</f>
        <v>4.0066960337404249E-2</v>
      </c>
      <c r="I14489">
        <v>4.0066960337404291E-2</v>
      </c>
    </row>
    <row r="14490" spans="1:9" x14ac:dyDescent="0.25">
      <c r="A14490">
        <v>488</v>
      </c>
      <c r="B14490" t="s">
        <v>3972</v>
      </c>
      <c r="C14490" t="s">
        <v>75</v>
      </c>
      <c r="D14490" t="s">
        <v>2930</v>
      </c>
      <c r="E14490">
        <f t="shared" si="682"/>
        <v>4.3478260869565216E-2</v>
      </c>
      <c r="F14490">
        <v>15</v>
      </c>
      <c r="G14490">
        <f>LOG(382/(15+1))</f>
        <v>1.3779433802557839</v>
      </c>
      <c r="H14490">
        <f>0.0434782608695652*3.17283188636679</f>
        <v>0.13794921245072997</v>
      </c>
      <c r="I14490">
        <v>0.13794921245073019</v>
      </c>
    </row>
    <row r="14491" spans="1:9" x14ac:dyDescent="0.25">
      <c r="A14491">
        <v>488</v>
      </c>
      <c r="B14491" t="s">
        <v>3972</v>
      </c>
      <c r="C14491" t="s">
        <v>75</v>
      </c>
      <c r="D14491" t="s">
        <v>3973</v>
      </c>
      <c r="E14491">
        <f t="shared" si="682"/>
        <v>4.3478260869565216E-2</v>
      </c>
      <c r="F14491">
        <v>1</v>
      </c>
      <c r="G14491">
        <f>LOG(382/(1+1))</f>
        <v>2.2810333672477277</v>
      </c>
      <c r="H14491">
        <f>0.0434782608695652*5.25227342804663</f>
        <v>0.22835971426289686</v>
      </c>
      <c r="I14491">
        <v>0.22835971426289689</v>
      </c>
    </row>
    <row r="14492" spans="1:9" x14ac:dyDescent="0.25">
      <c r="A14492">
        <v>488</v>
      </c>
      <c r="B14492" t="s">
        <v>3972</v>
      </c>
      <c r="C14492" t="s">
        <v>75</v>
      </c>
      <c r="D14492" t="s">
        <v>243</v>
      </c>
      <c r="E14492">
        <f t="shared" si="682"/>
        <v>4.3478260869565216E-2</v>
      </c>
      <c r="F14492">
        <v>131</v>
      </c>
      <c r="G14492">
        <f>LOG(382/(131+1))</f>
        <v>0.46148943170585888</v>
      </c>
      <c r="H14492">
        <f>0.0434782608695652*1.0626186860202</f>
        <v>4.6200812435660855E-2</v>
      </c>
      <c r="I14492">
        <v>4.6200812435661057E-2</v>
      </c>
    </row>
    <row r="14493" spans="1:9" x14ac:dyDescent="0.25">
      <c r="A14493">
        <v>488</v>
      </c>
      <c r="B14493" t="s">
        <v>3972</v>
      </c>
      <c r="C14493" t="s">
        <v>75</v>
      </c>
      <c r="D14493" t="s">
        <v>859</v>
      </c>
      <c r="E14493">
        <f t="shared" si="682"/>
        <v>4.3478260869565216E-2</v>
      </c>
      <c r="F14493">
        <v>6</v>
      </c>
      <c r="G14493">
        <f>LOG(382/(6+1))</f>
        <v>1.736965322897452</v>
      </c>
      <c r="H14493">
        <f>0.0434782608695652*3.99951045955126</f>
        <v>0.17389175911092428</v>
      </c>
      <c r="I14493">
        <v>0.17389175911092439</v>
      </c>
    </row>
    <row r="14494" spans="1:9" x14ac:dyDescent="0.25">
      <c r="A14494">
        <v>488</v>
      </c>
      <c r="B14494" t="s">
        <v>3972</v>
      </c>
      <c r="C14494" t="s">
        <v>75</v>
      </c>
      <c r="D14494" t="s">
        <v>41</v>
      </c>
      <c r="E14494">
        <f t="shared" si="682"/>
        <v>4.3478260869565216E-2</v>
      </c>
      <c r="F14494">
        <v>195</v>
      </c>
      <c r="G14494">
        <f>LOG(382/(195+1))</f>
        <v>0.28980729155523272</v>
      </c>
      <c r="H14494">
        <f>0.0434782608695652*0.667305949376058</f>
        <v>2.901330214678512E-2</v>
      </c>
      <c r="I14494">
        <v>2.901330214678513E-2</v>
      </c>
    </row>
    <row r="14495" spans="1:9" x14ac:dyDescent="0.25">
      <c r="A14495">
        <v>488</v>
      </c>
      <c r="B14495" t="s">
        <v>3972</v>
      </c>
      <c r="C14495" t="s">
        <v>75</v>
      </c>
      <c r="D14495" t="s">
        <v>36</v>
      </c>
      <c r="E14495">
        <f>2/23</f>
        <v>8.6956521739130432E-2</v>
      </c>
      <c r="F14495">
        <v>58</v>
      </c>
      <c r="G14495">
        <f>LOG(382/(58+1))</f>
        <v>0.81121135126956456</v>
      </c>
      <c r="H14495">
        <f>0.0869565217391304*1.86788316470085</f>
        <v>0.16242462301746516</v>
      </c>
      <c r="I14495">
        <v>0.16242462301746571</v>
      </c>
    </row>
    <row r="14496" spans="1:9" x14ac:dyDescent="0.25">
      <c r="A14496">
        <v>488</v>
      </c>
      <c r="B14496" t="s">
        <v>3972</v>
      </c>
      <c r="C14496" t="s">
        <v>75</v>
      </c>
      <c r="D14496" t="s">
        <v>3974</v>
      </c>
      <c r="E14496">
        <f t="shared" ref="E14496:E14505" si="683">1/23</f>
        <v>4.3478260869565216E-2</v>
      </c>
      <c r="F14496">
        <v>1</v>
      </c>
      <c r="G14496">
        <f>LOG(382/(1+1))</f>
        <v>2.2810333672477277</v>
      </c>
      <c r="H14496">
        <f>0.0434782608695652*5.25227342804663</f>
        <v>0.22835971426289686</v>
      </c>
      <c r="I14496">
        <v>0.22835971426289689</v>
      </c>
    </row>
    <row r="14497" spans="1:9" x14ac:dyDescent="0.25">
      <c r="A14497">
        <v>488</v>
      </c>
      <c r="B14497" t="s">
        <v>3972</v>
      </c>
      <c r="C14497" t="s">
        <v>75</v>
      </c>
      <c r="D14497" t="s">
        <v>3975</v>
      </c>
      <c r="E14497">
        <f t="shared" si="683"/>
        <v>4.3478260869565216E-2</v>
      </c>
      <c r="F14497">
        <v>1</v>
      </c>
      <c r="G14497">
        <f>LOG(382/(1+1))</f>
        <v>2.2810333672477277</v>
      </c>
      <c r="H14497">
        <f>0.0434782608695652*5.25227342804663</f>
        <v>0.22835971426289686</v>
      </c>
      <c r="I14497">
        <v>0.22835971426289689</v>
      </c>
    </row>
    <row r="14498" spans="1:9" x14ac:dyDescent="0.25">
      <c r="A14498">
        <v>488</v>
      </c>
      <c r="B14498" t="s">
        <v>3972</v>
      </c>
      <c r="C14498" t="s">
        <v>75</v>
      </c>
      <c r="D14498" t="s">
        <v>127</v>
      </c>
      <c r="E14498">
        <f t="shared" si="683"/>
        <v>4.3478260869565216E-2</v>
      </c>
      <c r="F14498">
        <v>4</v>
      </c>
      <c r="G14498">
        <f>LOG(382/(4+1))</f>
        <v>1.8830933585756899</v>
      </c>
      <c r="H14498">
        <f>0.0434782608695652*4.33598269617247</f>
        <v>0.18852098679010734</v>
      </c>
      <c r="I14498">
        <v>0.18852098679010759</v>
      </c>
    </row>
    <row r="14499" spans="1:9" x14ac:dyDescent="0.25">
      <c r="A14499">
        <v>488</v>
      </c>
      <c r="B14499" t="s">
        <v>3972</v>
      </c>
      <c r="C14499" t="s">
        <v>75</v>
      </c>
      <c r="D14499" t="s">
        <v>3976</v>
      </c>
      <c r="E14499">
        <f t="shared" si="683"/>
        <v>4.3478260869565216E-2</v>
      </c>
      <c r="F14499">
        <v>1</v>
      </c>
      <c r="G14499">
        <f>LOG(382/(1+1))</f>
        <v>2.2810333672477277</v>
      </c>
      <c r="H14499">
        <f>0.0434782608695652*5.25227342804663</f>
        <v>0.22835971426289686</v>
      </c>
      <c r="I14499">
        <v>0.22835971426289689</v>
      </c>
    </row>
    <row r="14500" spans="1:9" x14ac:dyDescent="0.25">
      <c r="A14500">
        <v>488</v>
      </c>
      <c r="B14500" t="s">
        <v>3972</v>
      </c>
      <c r="C14500" t="s">
        <v>75</v>
      </c>
      <c r="D14500" t="s">
        <v>1474</v>
      </c>
      <c r="E14500">
        <f t="shared" si="683"/>
        <v>4.3478260869565216E-2</v>
      </c>
      <c r="F14500">
        <v>6</v>
      </c>
      <c r="G14500">
        <f>LOG(382/(6+1))</f>
        <v>1.736965322897452</v>
      </c>
      <c r="H14500">
        <f>0.0434782608695652*3.99951045955126</f>
        <v>0.17389175911092428</v>
      </c>
      <c r="I14500">
        <v>0.17389175911092439</v>
      </c>
    </row>
    <row r="14501" spans="1:9" x14ac:dyDescent="0.25">
      <c r="A14501">
        <v>488</v>
      </c>
      <c r="B14501" t="s">
        <v>3972</v>
      </c>
      <c r="C14501" t="s">
        <v>75</v>
      </c>
      <c r="D14501" t="s">
        <v>3977</v>
      </c>
      <c r="E14501">
        <f t="shared" si="683"/>
        <v>4.3478260869565216E-2</v>
      </c>
      <c r="F14501">
        <v>1</v>
      </c>
      <c r="G14501">
        <f>LOG(382/(1+1))</f>
        <v>2.2810333672477277</v>
      </c>
      <c r="H14501">
        <f>0.0434782608695652*5.25227342804663</f>
        <v>0.22835971426289686</v>
      </c>
      <c r="I14501">
        <v>0.22835971426289689</v>
      </c>
    </row>
    <row r="14502" spans="1:9" x14ac:dyDescent="0.25">
      <c r="A14502">
        <v>488</v>
      </c>
      <c r="B14502" t="s">
        <v>3972</v>
      </c>
      <c r="C14502" t="s">
        <v>75</v>
      </c>
      <c r="D14502" t="s">
        <v>3978</v>
      </c>
      <c r="E14502">
        <f t="shared" si="683"/>
        <v>4.3478260869565216E-2</v>
      </c>
      <c r="F14502">
        <v>1</v>
      </c>
      <c r="G14502">
        <f>LOG(382/(1+1))</f>
        <v>2.2810333672477277</v>
      </c>
      <c r="H14502">
        <f>0.0434782608695652*5.25227342804663</f>
        <v>0.22835971426289686</v>
      </c>
      <c r="I14502">
        <v>0.22835971426289689</v>
      </c>
    </row>
    <row r="14503" spans="1:9" x14ac:dyDescent="0.25">
      <c r="A14503">
        <v>488</v>
      </c>
      <c r="B14503" t="s">
        <v>3972</v>
      </c>
      <c r="C14503" t="s">
        <v>75</v>
      </c>
      <c r="D14503" t="s">
        <v>3979</v>
      </c>
      <c r="E14503">
        <f t="shared" si="683"/>
        <v>4.3478260869565216E-2</v>
      </c>
      <c r="F14503">
        <v>1</v>
      </c>
      <c r="G14503">
        <f>LOG(382/(1+1))</f>
        <v>2.2810333672477277</v>
      </c>
      <c r="H14503">
        <f>0.0434782608695652*5.25227342804663</f>
        <v>0.22835971426289686</v>
      </c>
      <c r="I14503">
        <v>0.22835971426289689</v>
      </c>
    </row>
    <row r="14504" spans="1:9" x14ac:dyDescent="0.25">
      <c r="A14504">
        <v>488</v>
      </c>
      <c r="B14504" t="s">
        <v>3972</v>
      </c>
      <c r="C14504" t="s">
        <v>75</v>
      </c>
      <c r="D14504" t="s">
        <v>218</v>
      </c>
      <c r="E14504">
        <f t="shared" si="683"/>
        <v>4.3478260869565216E-2</v>
      </c>
      <c r="F14504">
        <v>35</v>
      </c>
      <c r="G14504">
        <f>LOG(382/(35+1))</f>
        <v>1.0257608621444214</v>
      </c>
      <c r="H14504">
        <f>0.0434782608695652*2.36190167015046</f>
        <v>0.10269137696306345</v>
      </c>
      <c r="I14504">
        <v>0.1026913769630637</v>
      </c>
    </row>
    <row r="14505" spans="1:9" x14ac:dyDescent="0.25">
      <c r="A14505">
        <v>488</v>
      </c>
      <c r="B14505" t="s">
        <v>3972</v>
      </c>
      <c r="C14505" t="s">
        <v>75</v>
      </c>
      <c r="D14505" t="s">
        <v>3980</v>
      </c>
      <c r="E14505">
        <f t="shared" si="683"/>
        <v>4.3478260869565216E-2</v>
      </c>
      <c r="F14505">
        <v>1</v>
      </c>
      <c r="G14505">
        <f>LOG(382/(1+1))</f>
        <v>2.2810333672477277</v>
      </c>
      <c r="H14505">
        <f>0.0434782608695652*5.25227342804663</f>
        <v>0.22835971426289686</v>
      </c>
      <c r="I14505">
        <v>0.22835971426289689</v>
      </c>
    </row>
    <row r="14506" spans="1:9" x14ac:dyDescent="0.25">
      <c r="A14506">
        <v>488</v>
      </c>
      <c r="B14506" t="s">
        <v>3972</v>
      </c>
      <c r="C14506" t="s">
        <v>75</v>
      </c>
      <c r="D14506" t="s">
        <v>3981</v>
      </c>
      <c r="E14506">
        <f>2/23</f>
        <v>8.6956521739130432E-2</v>
      </c>
      <c r="F14506">
        <v>1</v>
      </c>
      <c r="G14506">
        <f>LOG(382/(1+1))</f>
        <v>2.2810333672477277</v>
      </c>
      <c r="H14506">
        <f>0.0869565217391304*5.25227342804663</f>
        <v>0.45671942852579372</v>
      </c>
      <c r="I14506">
        <v>0.45671942852579389</v>
      </c>
    </row>
    <row r="14507" spans="1:9" x14ac:dyDescent="0.25">
      <c r="A14507">
        <v>489</v>
      </c>
      <c r="B14507" t="s">
        <v>3982</v>
      </c>
      <c r="C14507" t="s">
        <v>75</v>
      </c>
      <c r="D14507" t="s">
        <v>3983</v>
      </c>
      <c r="E14507">
        <f>2/110</f>
        <v>1.8181818181818181E-2</v>
      </c>
      <c r="F14507">
        <v>1</v>
      </c>
      <c r="G14507">
        <f>LOG(382/(1+1))</f>
        <v>2.2810333672477277</v>
      </c>
      <c r="H14507">
        <f>0.0181818181818181*5.25227342804663</f>
        <v>9.5495880509938305E-2</v>
      </c>
      <c r="I14507">
        <v>9.5495880509938721E-2</v>
      </c>
    </row>
    <row r="14508" spans="1:9" x14ac:dyDescent="0.25">
      <c r="A14508">
        <v>489</v>
      </c>
      <c r="B14508" t="s">
        <v>3982</v>
      </c>
      <c r="C14508" t="s">
        <v>75</v>
      </c>
      <c r="D14508" t="s">
        <v>41</v>
      </c>
      <c r="E14508">
        <f>3/110</f>
        <v>2.7272727272727271E-2</v>
      </c>
      <c r="F14508">
        <v>195</v>
      </c>
      <c r="G14508">
        <f>LOG(382/(195+1))</f>
        <v>0.28980729155523272</v>
      </c>
      <c r="H14508">
        <f>0.0272727272727272*0.667305949376058</f>
        <v>1.8199253164801532E-2</v>
      </c>
      <c r="I14508">
        <v>1.8199253164801581E-2</v>
      </c>
    </row>
    <row r="14509" spans="1:9" x14ac:dyDescent="0.25">
      <c r="A14509">
        <v>489</v>
      </c>
      <c r="B14509" t="s">
        <v>3982</v>
      </c>
      <c r="C14509" t="s">
        <v>75</v>
      </c>
      <c r="D14509" t="s">
        <v>112</v>
      </c>
      <c r="E14509">
        <f>1/110</f>
        <v>9.0909090909090905E-3</v>
      </c>
      <c r="F14509">
        <v>52</v>
      </c>
      <c r="G14509">
        <f>LOG(382/(52+1))</f>
        <v>0.85778749331091964</v>
      </c>
      <c r="H14509">
        <f>0.00909090909090909*1.97512869505445</f>
        <v>1.7955715409585907E-2</v>
      </c>
      <c r="I14509">
        <v>1.7955715409585939E-2</v>
      </c>
    </row>
    <row r="14510" spans="1:9" x14ac:dyDescent="0.25">
      <c r="A14510">
        <v>489</v>
      </c>
      <c r="B14510" t="s">
        <v>3982</v>
      </c>
      <c r="C14510" t="s">
        <v>75</v>
      </c>
      <c r="D14510" t="s">
        <v>82</v>
      </c>
      <c r="E14510">
        <f>2/110</f>
        <v>1.8181818181818181E-2</v>
      </c>
      <c r="F14510">
        <v>92</v>
      </c>
      <c r="G14510">
        <f>LOG(382/(92+1))</f>
        <v>0.61358041435777355</v>
      </c>
      <c r="H14510">
        <f>0.0181818181818181*1.41282111545331</f>
        <v>2.5687656644605521E-2</v>
      </c>
      <c r="I14510">
        <v>2.5687656644605799E-2</v>
      </c>
    </row>
    <row r="14511" spans="1:9" x14ac:dyDescent="0.25">
      <c r="A14511">
        <v>489</v>
      </c>
      <c r="B14511" t="s">
        <v>3982</v>
      </c>
      <c r="C14511" t="s">
        <v>75</v>
      </c>
      <c r="D14511" t="s">
        <v>42</v>
      </c>
      <c r="E14511">
        <f>1/110</f>
        <v>9.0909090909090905E-3</v>
      </c>
      <c r="F14511">
        <v>251</v>
      </c>
      <c r="G14511">
        <f>LOG(382/(251+1))</f>
        <v>0.18066282213016463</v>
      </c>
      <c r="H14511">
        <f>0.00909090909090909*0.415991521095151</f>
        <v>3.7817411008650085E-3</v>
      </c>
      <c r="I14511">
        <v>3.7817411008650172E-3</v>
      </c>
    </row>
    <row r="14512" spans="1:9" x14ac:dyDescent="0.25">
      <c r="A14512">
        <v>489</v>
      </c>
      <c r="B14512" t="s">
        <v>3982</v>
      </c>
      <c r="C14512" t="s">
        <v>75</v>
      </c>
      <c r="D14512" t="s">
        <v>1496</v>
      </c>
      <c r="E14512">
        <f>2/110</f>
        <v>1.8181818181818181E-2</v>
      </c>
      <c r="F14512">
        <v>39</v>
      </c>
      <c r="G14512">
        <f>LOG(382/(39+1))</f>
        <v>0.9800033715837464</v>
      </c>
      <c r="H14512">
        <f>0.0181818181818181*2.25654115449263</f>
        <v>4.1028020990774912E-2</v>
      </c>
      <c r="I14512">
        <v>4.1028020990775252E-2</v>
      </c>
    </row>
    <row r="14513" spans="1:9" x14ac:dyDescent="0.25">
      <c r="A14513">
        <v>489</v>
      </c>
      <c r="B14513" t="s">
        <v>3982</v>
      </c>
      <c r="C14513" t="s">
        <v>75</v>
      </c>
      <c r="D14513" t="s">
        <v>3644</v>
      </c>
      <c r="E14513">
        <f>2/110</f>
        <v>1.8181818181818181E-2</v>
      </c>
      <c r="F14513">
        <v>4</v>
      </c>
      <c r="G14513">
        <f>LOG(382/(4+1))</f>
        <v>1.8830933585756899</v>
      </c>
      <c r="H14513">
        <f>0.0181818181818181*4.33598269617247</f>
        <v>7.8836049021317287E-2</v>
      </c>
      <c r="I14513">
        <v>7.8836049021317717E-2</v>
      </c>
    </row>
    <row r="14514" spans="1:9" x14ac:dyDescent="0.25">
      <c r="A14514">
        <v>489</v>
      </c>
      <c r="B14514" t="s">
        <v>3982</v>
      </c>
      <c r="C14514" t="s">
        <v>75</v>
      </c>
      <c r="D14514" t="s">
        <v>3899</v>
      </c>
      <c r="E14514">
        <f>2/110</f>
        <v>1.8181818181818181E-2</v>
      </c>
      <c r="F14514">
        <v>3</v>
      </c>
      <c r="G14514">
        <f>LOG(382/(3+1))</f>
        <v>1.9800033715837464</v>
      </c>
      <c r="H14514">
        <f>0.0181818181818181*4.55912624748668</f>
        <v>8.2893204499757456E-2</v>
      </c>
      <c r="I14514">
        <v>8.28932044997579E-2</v>
      </c>
    </row>
    <row r="14515" spans="1:9" x14ac:dyDescent="0.25">
      <c r="A14515">
        <v>489</v>
      </c>
      <c r="B14515" t="s">
        <v>3982</v>
      </c>
      <c r="C14515" t="s">
        <v>75</v>
      </c>
      <c r="D14515" t="s">
        <v>303</v>
      </c>
      <c r="E14515">
        <f>2/110</f>
        <v>1.8181818181818181E-2</v>
      </c>
      <c r="F14515">
        <v>3</v>
      </c>
      <c r="G14515">
        <f>LOG(382/(3+1))</f>
        <v>1.9800033715837464</v>
      </c>
      <c r="H14515">
        <f>0.0181818181818181*4.55912624748668</f>
        <v>8.2893204499757456E-2</v>
      </c>
      <c r="I14515">
        <v>8.28932044997579E-2</v>
      </c>
    </row>
    <row r="14516" spans="1:9" x14ac:dyDescent="0.25">
      <c r="A14516">
        <v>489</v>
      </c>
      <c r="B14516" t="s">
        <v>3982</v>
      </c>
      <c r="C14516" t="s">
        <v>75</v>
      </c>
      <c r="D14516" t="s">
        <v>3984</v>
      </c>
      <c r="E14516">
        <f>2/110</f>
        <v>1.8181818181818181E-2</v>
      </c>
      <c r="F14516">
        <v>1</v>
      </c>
      <c r="G14516">
        <f>LOG(382/(1+1))</f>
        <v>2.2810333672477277</v>
      </c>
      <c r="H14516">
        <f>0.0181818181818181*5.25227342804663</f>
        <v>9.5495880509938305E-2</v>
      </c>
      <c r="I14516">
        <v>9.5495880509938721E-2</v>
      </c>
    </row>
    <row r="14517" spans="1:9" x14ac:dyDescent="0.25">
      <c r="A14517">
        <v>489</v>
      </c>
      <c r="B14517" t="s">
        <v>3982</v>
      </c>
      <c r="C14517" t="s">
        <v>75</v>
      </c>
      <c r="D14517" t="s">
        <v>17</v>
      </c>
      <c r="E14517">
        <f>1/110</f>
        <v>9.0909090909090905E-3</v>
      </c>
      <c r="F14517">
        <v>169</v>
      </c>
      <c r="G14517">
        <f>LOG(382/(169+1))</f>
        <v>0.3516144415334348</v>
      </c>
      <c r="H14517">
        <f>0.00909090909090909*0.809622171556313</f>
        <v>7.3602015596028452E-3</v>
      </c>
      <c r="I14517">
        <v>7.3602015596028487E-3</v>
      </c>
    </row>
    <row r="14518" spans="1:9" x14ac:dyDescent="0.25">
      <c r="A14518">
        <v>489</v>
      </c>
      <c r="B14518" t="s">
        <v>3982</v>
      </c>
      <c r="C14518" t="s">
        <v>75</v>
      </c>
      <c r="D14518" t="s">
        <v>168</v>
      </c>
      <c r="E14518">
        <f>3/110</f>
        <v>2.7272727272727271E-2</v>
      </c>
      <c r="F14518">
        <v>34</v>
      </c>
      <c r="G14518">
        <f>LOG(382/(34+1))</f>
        <v>1.037995318561433</v>
      </c>
      <c r="H14518">
        <f>0.0272727272727272*2.39007254711716</f>
        <v>6.5183796739558736E-2</v>
      </c>
      <c r="I14518">
        <v>6.5183796739558944E-2</v>
      </c>
    </row>
    <row r="14519" spans="1:9" x14ac:dyDescent="0.25">
      <c r="A14519">
        <v>489</v>
      </c>
      <c r="B14519" t="s">
        <v>3982</v>
      </c>
      <c r="C14519" t="s">
        <v>75</v>
      </c>
      <c r="D14519" t="s">
        <v>19</v>
      </c>
      <c r="E14519">
        <f>1/110</f>
        <v>9.0909090909090905E-3</v>
      </c>
      <c r="F14519">
        <v>220</v>
      </c>
      <c r="G14519">
        <f>LOG(382/(220+1))</f>
        <v>0.23767108922659805</v>
      </c>
      <c r="H14519">
        <f>0.00909090909090909*0.547257907088822</f>
        <v>4.975071882625655E-3</v>
      </c>
      <c r="I14519">
        <v>4.9750718826256576E-3</v>
      </c>
    </row>
    <row r="14520" spans="1:9" x14ac:dyDescent="0.25">
      <c r="A14520">
        <v>489</v>
      </c>
      <c r="B14520" t="s">
        <v>3982</v>
      </c>
      <c r="C14520" t="s">
        <v>75</v>
      </c>
      <c r="D14520" t="s">
        <v>22</v>
      </c>
      <c r="E14520">
        <f>2/110</f>
        <v>1.8181818181818181E-2</v>
      </c>
      <c r="F14520">
        <v>259</v>
      </c>
      <c r="G14520">
        <f>LOG(382/(259+1))</f>
        <v>0.16709001494089079</v>
      </c>
      <c r="H14520">
        <f>0.0181818181818181*0.384738977591047</f>
        <v>6.9952541380190062E-3</v>
      </c>
      <c r="I14520">
        <v>6.9952541380190452E-3</v>
      </c>
    </row>
    <row r="14521" spans="1:9" x14ac:dyDescent="0.25">
      <c r="A14521">
        <v>489</v>
      </c>
      <c r="B14521" t="s">
        <v>3982</v>
      </c>
      <c r="C14521" t="s">
        <v>75</v>
      </c>
      <c r="D14521" t="s">
        <v>23</v>
      </c>
      <c r="E14521">
        <f>2/110</f>
        <v>1.8181818181818181E-2</v>
      </c>
      <c r="F14521">
        <v>275</v>
      </c>
      <c r="G14521">
        <f>LOG(382/(275+1))</f>
        <v>0.14115428084649101</v>
      </c>
      <c r="H14521">
        <f>0.0181818181818181*0.325019742889425</f>
        <v>5.9094498707167918E-3</v>
      </c>
      <c r="I14521">
        <v>5.9094498707168196E-3</v>
      </c>
    </row>
    <row r="14522" spans="1:9" x14ac:dyDescent="0.25">
      <c r="A14522">
        <v>489</v>
      </c>
      <c r="B14522" t="s">
        <v>3982</v>
      </c>
      <c r="C14522" t="s">
        <v>75</v>
      </c>
      <c r="D14522" t="s">
        <v>3828</v>
      </c>
      <c r="E14522">
        <f>2/110</f>
        <v>1.8181818181818181E-2</v>
      </c>
      <c r="F14522">
        <v>4</v>
      </c>
      <c r="G14522">
        <f>LOG(382/(4+1))</f>
        <v>1.8830933585756899</v>
      </c>
      <c r="H14522">
        <f>0.0181818181818181*4.33598269617247</f>
        <v>7.8836049021317287E-2</v>
      </c>
      <c r="I14522">
        <v>7.8836049021317717E-2</v>
      </c>
    </row>
    <row r="14523" spans="1:9" x14ac:dyDescent="0.25">
      <c r="A14523">
        <v>489</v>
      </c>
      <c r="B14523" t="s">
        <v>3982</v>
      </c>
      <c r="C14523" t="s">
        <v>75</v>
      </c>
      <c r="D14523" t="s">
        <v>105</v>
      </c>
      <c r="E14523">
        <f>1/110</f>
        <v>9.0909090909090905E-3</v>
      </c>
      <c r="F14523">
        <v>122</v>
      </c>
      <c r="G14523">
        <f>LOG(382/(122+1))</f>
        <v>0.49215825147231079</v>
      </c>
      <c r="H14523">
        <f>0.00909090909090909*1.13323625323415</f>
        <v>1.0302147756674091E-2</v>
      </c>
      <c r="I14523">
        <v>1.030214775667416E-2</v>
      </c>
    </row>
    <row r="14524" spans="1:9" x14ac:dyDescent="0.25">
      <c r="A14524">
        <v>489</v>
      </c>
      <c r="B14524" t="s">
        <v>3982</v>
      </c>
      <c r="C14524" t="s">
        <v>75</v>
      </c>
      <c r="D14524" t="s">
        <v>1769</v>
      </c>
      <c r="E14524">
        <f>2/110</f>
        <v>1.8181818181818181E-2</v>
      </c>
      <c r="F14524">
        <v>84</v>
      </c>
      <c r="G14524">
        <f>LOG(382/(84+1))</f>
        <v>0.65264443719741605</v>
      </c>
      <c r="H14524">
        <f>0.0181818181818181*1.50276935211625</f>
        <v>2.7323079129386241E-2</v>
      </c>
      <c r="I14524">
        <v>2.7323079129386519E-2</v>
      </c>
    </row>
    <row r="14525" spans="1:9" x14ac:dyDescent="0.25">
      <c r="A14525">
        <v>489</v>
      </c>
      <c r="B14525" t="s">
        <v>3982</v>
      </c>
      <c r="C14525" t="s">
        <v>75</v>
      </c>
      <c r="D14525" t="s">
        <v>126</v>
      </c>
      <c r="E14525">
        <f>2/110</f>
        <v>1.8181818181818181E-2</v>
      </c>
      <c r="F14525">
        <v>79</v>
      </c>
      <c r="G14525">
        <f>LOG(382/(79+1))</f>
        <v>0.67897337591976514</v>
      </c>
      <c r="H14525">
        <f>0.0181818181818181*1.56339397393269</f>
        <v>2.8425344980594239E-2</v>
      </c>
      <c r="I14525">
        <v>2.842534498059443E-2</v>
      </c>
    </row>
    <row r="14526" spans="1:9" x14ac:dyDescent="0.25">
      <c r="A14526">
        <v>489</v>
      </c>
      <c r="B14526" t="s">
        <v>3982</v>
      </c>
      <c r="C14526" t="s">
        <v>75</v>
      </c>
      <c r="D14526" t="s">
        <v>50</v>
      </c>
      <c r="E14526">
        <f>3/110</f>
        <v>2.7272727272727271E-2</v>
      </c>
      <c r="F14526">
        <v>109</v>
      </c>
      <c r="G14526">
        <f>LOG(382/(109+1))</f>
        <v>0.54067067775348365</v>
      </c>
      <c r="H14526">
        <f>0.0272727272727272*1.24494024281415</f>
        <v>3.395291571311309E-2</v>
      </c>
      <c r="I14526">
        <v>3.3952915713113423E-2</v>
      </c>
    </row>
    <row r="14527" spans="1:9" x14ac:dyDescent="0.25">
      <c r="A14527">
        <v>489</v>
      </c>
      <c r="B14527" t="s">
        <v>3982</v>
      </c>
      <c r="C14527" t="s">
        <v>75</v>
      </c>
      <c r="D14527" t="s">
        <v>1546</v>
      </c>
      <c r="E14527">
        <f>1/110</f>
        <v>9.0909090909090905E-3</v>
      </c>
      <c r="F14527">
        <v>44</v>
      </c>
      <c r="G14527">
        <f>LOG(382/(44+1))</f>
        <v>0.92885084913636506</v>
      </c>
      <c r="H14527">
        <f>0.00909090909090909*2.13875811883625</f>
        <v>1.9443255625784087E-2</v>
      </c>
      <c r="I14527">
        <v>1.9443255625784139E-2</v>
      </c>
    </row>
    <row r="14528" spans="1:9" x14ac:dyDescent="0.25">
      <c r="A14528">
        <v>489</v>
      </c>
      <c r="B14528" t="s">
        <v>3982</v>
      </c>
      <c r="C14528" t="s">
        <v>75</v>
      </c>
      <c r="D14528" t="s">
        <v>78</v>
      </c>
      <c r="E14528">
        <f>2/110</f>
        <v>1.8181818181818181E-2</v>
      </c>
      <c r="F14528">
        <v>122</v>
      </c>
      <c r="G14528">
        <f>LOG(382/(122+1))</f>
        <v>0.49215825147231079</v>
      </c>
      <c r="H14528">
        <f>0.0181818181818181*1.13323625323415</f>
        <v>2.0604295513348091E-2</v>
      </c>
      <c r="I14528">
        <v>2.060429551334832E-2</v>
      </c>
    </row>
    <row r="14529" spans="1:9" x14ac:dyDescent="0.25">
      <c r="A14529">
        <v>489</v>
      </c>
      <c r="B14529" t="s">
        <v>3982</v>
      </c>
      <c r="C14529" t="s">
        <v>75</v>
      </c>
      <c r="D14529" t="s">
        <v>754</v>
      </c>
      <c r="E14529">
        <f>2/110</f>
        <v>1.8181818181818181E-2</v>
      </c>
      <c r="F14529">
        <v>111</v>
      </c>
      <c r="G14529">
        <f>LOG(382/(111+1))</f>
        <v>0.53284534024152708</v>
      </c>
      <c r="H14529">
        <f>0.0181818181818181*1.22692173731148</f>
        <v>2.2307667951117719E-2</v>
      </c>
      <c r="I14529">
        <v>2.230766795111783E-2</v>
      </c>
    </row>
    <row r="14530" spans="1:9" x14ac:dyDescent="0.25">
      <c r="A14530">
        <v>489</v>
      </c>
      <c r="B14530" t="s">
        <v>3982</v>
      </c>
      <c r="C14530" t="s">
        <v>75</v>
      </c>
      <c r="D14530" t="s">
        <v>237</v>
      </c>
      <c r="E14530">
        <f>6/110</f>
        <v>5.4545454545454543E-2</v>
      </c>
      <c r="F14530">
        <v>138</v>
      </c>
      <c r="G14530">
        <f>LOG(382/(138+1))</f>
        <v>0.43904856265761361</v>
      </c>
      <c r="H14530">
        <f>0.0545454545454545*1.01094667547588</f>
        <v>5.5142545935047957E-2</v>
      </c>
      <c r="I14530">
        <v>5.5142545935048179E-2</v>
      </c>
    </row>
    <row r="14531" spans="1:9" x14ac:dyDescent="0.25">
      <c r="A14531">
        <v>489</v>
      </c>
      <c r="B14531" t="s">
        <v>3982</v>
      </c>
      <c r="C14531" t="s">
        <v>75</v>
      </c>
      <c r="D14531" t="s">
        <v>243</v>
      </c>
      <c r="E14531">
        <f t="shared" ref="E14531:E14542" si="684">1/110</f>
        <v>9.0909090909090905E-3</v>
      </c>
      <c r="F14531">
        <v>131</v>
      </c>
      <c r="G14531">
        <f>LOG(382/(131+1))</f>
        <v>0.46148943170585888</v>
      </c>
      <c r="H14531">
        <f>0.00909090909090909*1.0626186860202</f>
        <v>9.6601698729109082E-3</v>
      </c>
      <c r="I14531">
        <v>9.6601698729109481E-3</v>
      </c>
    </row>
    <row r="14532" spans="1:9" x14ac:dyDescent="0.25">
      <c r="A14532">
        <v>489</v>
      </c>
      <c r="B14532" t="s">
        <v>3982</v>
      </c>
      <c r="C14532" t="s">
        <v>75</v>
      </c>
      <c r="D14532" t="s">
        <v>453</v>
      </c>
      <c r="E14532">
        <f t="shared" si="684"/>
        <v>9.0909090909090905E-3</v>
      </c>
      <c r="F14532">
        <v>68</v>
      </c>
      <c r="G14532">
        <f>LOG(382/(68+1))</f>
        <v>0.74321427217445335</v>
      </c>
      <c r="H14532">
        <f>0.00909090909090909*1.71131410400931</f>
        <v>1.5557400945539182E-2</v>
      </c>
      <c r="I14532">
        <v>1.5557400945539229E-2</v>
      </c>
    </row>
    <row r="14533" spans="1:9" x14ac:dyDescent="0.25">
      <c r="A14533">
        <v>489</v>
      </c>
      <c r="B14533" t="s">
        <v>3982</v>
      </c>
      <c r="C14533" t="s">
        <v>75</v>
      </c>
      <c r="D14533" t="s">
        <v>1905</v>
      </c>
      <c r="E14533">
        <f t="shared" si="684"/>
        <v>9.0909090909090905E-3</v>
      </c>
      <c r="F14533">
        <v>24</v>
      </c>
      <c r="G14533">
        <f>LOG(382/(24+1))</f>
        <v>1.1841233542396712</v>
      </c>
      <c r="H14533">
        <f>0.00909090909090909*2.72654478373837</f>
        <v>2.4786770761257907E-2</v>
      </c>
      <c r="I14533">
        <v>2.4786770761257949E-2</v>
      </c>
    </row>
    <row r="14534" spans="1:9" x14ac:dyDescent="0.25">
      <c r="A14534">
        <v>489</v>
      </c>
      <c r="B14534" t="s">
        <v>3982</v>
      </c>
      <c r="C14534" t="s">
        <v>75</v>
      </c>
      <c r="D14534" t="s">
        <v>2394</v>
      </c>
      <c r="E14534">
        <f t="shared" si="684"/>
        <v>9.0909090909090905E-3</v>
      </c>
      <c r="F14534">
        <v>8</v>
      </c>
      <c r="G14534">
        <f>LOG(382/(8+1))</f>
        <v>1.6278208534723839</v>
      </c>
      <c r="H14534">
        <f>0.00909090909090909*3.74819603127035</f>
        <v>3.4074509375184997E-2</v>
      </c>
      <c r="I14534">
        <v>3.4074509375185053E-2</v>
      </c>
    </row>
    <row r="14535" spans="1:9" x14ac:dyDescent="0.25">
      <c r="A14535">
        <v>489</v>
      </c>
      <c r="B14535" t="s">
        <v>3982</v>
      </c>
      <c r="C14535" t="s">
        <v>75</v>
      </c>
      <c r="D14535" t="s">
        <v>361</v>
      </c>
      <c r="E14535">
        <f t="shared" si="684"/>
        <v>9.0909090909090905E-3</v>
      </c>
      <c r="F14535">
        <v>118</v>
      </c>
      <c r="G14535">
        <f>LOG(382/(118+1))</f>
        <v>0.50651640151917798</v>
      </c>
      <c r="H14535">
        <f>0.00909090909090909*1.16629711549504</f>
        <v>1.0602701049954907E-2</v>
      </c>
      <c r="I14535">
        <v>1.0602701049954959E-2</v>
      </c>
    </row>
    <row r="14536" spans="1:9" x14ac:dyDescent="0.25">
      <c r="A14536">
        <v>489</v>
      </c>
      <c r="B14536" t="s">
        <v>3982</v>
      </c>
      <c r="C14536" t="s">
        <v>75</v>
      </c>
      <c r="D14536" t="s">
        <v>434</v>
      </c>
      <c r="E14536">
        <f t="shared" si="684"/>
        <v>9.0909090909090905E-3</v>
      </c>
      <c r="F14536">
        <v>97</v>
      </c>
      <c r="G14536">
        <f>LOG(382/(97+1))</f>
        <v>0.59083728721921391</v>
      </c>
      <c r="H14536">
        <f>0.00909090909090909*1.360453129936</f>
        <v>1.236775572669091E-2</v>
      </c>
      <c r="I14536">
        <v>1.2367755726690939E-2</v>
      </c>
    </row>
    <row r="14537" spans="1:9" x14ac:dyDescent="0.25">
      <c r="A14537">
        <v>489</v>
      </c>
      <c r="B14537" t="s">
        <v>3982</v>
      </c>
      <c r="C14537" t="s">
        <v>75</v>
      </c>
      <c r="D14537" t="s">
        <v>3401</v>
      </c>
      <c r="E14537">
        <f t="shared" si="684"/>
        <v>9.0909090909090905E-3</v>
      </c>
      <c r="F14537">
        <v>8</v>
      </c>
      <c r="G14537">
        <f>LOG(382/(8+1))</f>
        <v>1.6278208534723839</v>
      </c>
      <c r="H14537">
        <f>0.00909090909090909*3.74819603127035</f>
        <v>3.4074509375184997E-2</v>
      </c>
      <c r="I14537">
        <v>3.4074509375185053E-2</v>
      </c>
    </row>
    <row r="14538" spans="1:9" x14ac:dyDescent="0.25">
      <c r="A14538">
        <v>489</v>
      </c>
      <c r="B14538" t="s">
        <v>3982</v>
      </c>
      <c r="C14538" t="s">
        <v>75</v>
      </c>
      <c r="D14538" t="s">
        <v>3327</v>
      </c>
      <c r="E14538">
        <f t="shared" si="684"/>
        <v>9.0909090909090905E-3</v>
      </c>
      <c r="F14538">
        <v>21</v>
      </c>
      <c r="G14538">
        <f>LOG(382/(21+1))</f>
        <v>1.2396406820895025</v>
      </c>
      <c r="H14538">
        <f>0.00909090909090909*2.85437815524825</f>
        <v>2.5948892320438635E-2</v>
      </c>
      <c r="I14538">
        <v>2.5948892320438718E-2</v>
      </c>
    </row>
    <row r="14539" spans="1:9" x14ac:dyDescent="0.25">
      <c r="A14539">
        <v>489</v>
      </c>
      <c r="B14539" t="s">
        <v>3982</v>
      </c>
      <c r="C14539" t="s">
        <v>75</v>
      </c>
      <c r="D14539" t="s">
        <v>2241</v>
      </c>
      <c r="E14539">
        <f t="shared" si="684"/>
        <v>9.0909090909090905E-3</v>
      </c>
      <c r="F14539">
        <v>12</v>
      </c>
      <c r="G14539">
        <f>LOG(382/(12+1))</f>
        <v>1.468120010604872</v>
      </c>
      <c r="H14539">
        <f>0.00909090909090909*3.38047125114503</f>
        <v>3.0731556828591182E-2</v>
      </c>
      <c r="I14539">
        <v>3.0731556828591262E-2</v>
      </c>
    </row>
    <row r="14540" spans="1:9" x14ac:dyDescent="0.25">
      <c r="A14540">
        <v>489</v>
      </c>
      <c r="B14540" t="s">
        <v>3982</v>
      </c>
      <c r="C14540" t="s">
        <v>75</v>
      </c>
      <c r="D14540" t="s">
        <v>149</v>
      </c>
      <c r="E14540">
        <f t="shared" si="684"/>
        <v>9.0909090909090905E-3</v>
      </c>
      <c r="F14540">
        <v>35</v>
      </c>
      <c r="G14540">
        <f>LOG(382/(35+1))</f>
        <v>1.0257608621444214</v>
      </c>
      <c r="H14540">
        <f>0.00909090909090909*2.36190167015046</f>
        <v>2.1471833365004182E-2</v>
      </c>
      <c r="I14540">
        <v>2.147183336500422E-2</v>
      </c>
    </row>
    <row r="14541" spans="1:9" x14ac:dyDescent="0.25">
      <c r="A14541">
        <v>489</v>
      </c>
      <c r="B14541" t="s">
        <v>3982</v>
      </c>
      <c r="C14541" t="s">
        <v>75</v>
      </c>
      <c r="D14541" t="s">
        <v>673</v>
      </c>
      <c r="E14541">
        <f t="shared" si="684"/>
        <v>9.0909090909090905E-3</v>
      </c>
      <c r="F14541">
        <v>16</v>
      </c>
      <c r="G14541">
        <f>LOG(382/(16+1))</f>
        <v>1.3516144415334348</v>
      </c>
      <c r="H14541">
        <f>0.00909090909090909*3.11220726455035</f>
        <v>2.8292793314094088E-2</v>
      </c>
      <c r="I14541">
        <v>2.8292793314094171E-2</v>
      </c>
    </row>
    <row r="14542" spans="1:9" x14ac:dyDescent="0.25">
      <c r="A14542">
        <v>489</v>
      </c>
      <c r="B14542" t="s">
        <v>3982</v>
      </c>
      <c r="C14542" t="s">
        <v>75</v>
      </c>
      <c r="D14542" t="s">
        <v>214</v>
      </c>
      <c r="E14542">
        <f t="shared" si="684"/>
        <v>9.0909090909090905E-3</v>
      </c>
      <c r="F14542">
        <v>68</v>
      </c>
      <c r="G14542">
        <f>LOG(382/(68+1))</f>
        <v>0.74321427217445335</v>
      </c>
      <c r="H14542">
        <f>0.00909090909090909*1.71131410400931</f>
        <v>1.5557400945539182E-2</v>
      </c>
      <c r="I14542">
        <v>1.5557400945539229E-2</v>
      </c>
    </row>
    <row r="14543" spans="1:9" x14ac:dyDescent="0.25">
      <c r="A14543">
        <v>489</v>
      </c>
      <c r="B14543" t="s">
        <v>3982</v>
      </c>
      <c r="C14543" t="s">
        <v>75</v>
      </c>
      <c r="D14543" t="s">
        <v>767</v>
      </c>
      <c r="E14543">
        <f>3/110</f>
        <v>2.7272727272727271E-2</v>
      </c>
      <c r="F14543">
        <v>47</v>
      </c>
      <c r="G14543">
        <f>LOG(382/(47+1))</f>
        <v>0.90082212553612151</v>
      </c>
      <c r="H14543">
        <f>0.0272727272727272*2.07421959769868</f>
        <v>5.6569625391782029E-2</v>
      </c>
      <c r="I14543">
        <v>5.6569625391782292E-2</v>
      </c>
    </row>
    <row r="14544" spans="1:9" x14ac:dyDescent="0.25">
      <c r="A14544">
        <v>489</v>
      </c>
      <c r="B14544" t="s">
        <v>3982</v>
      </c>
      <c r="C14544" t="s">
        <v>75</v>
      </c>
      <c r="D14544" t="s">
        <v>1983</v>
      </c>
      <c r="E14544">
        <f>2/110</f>
        <v>1.8181818181818181E-2</v>
      </c>
      <c r="F14544">
        <v>2</v>
      </c>
      <c r="G14544">
        <f>LOG(382/(2+1))</f>
        <v>2.1049421081920463</v>
      </c>
      <c r="H14544">
        <f>0.0181818181818181*4.84680831993846</f>
        <v>8.8123787635244338E-2</v>
      </c>
      <c r="I14544">
        <v>8.8123787635244824E-2</v>
      </c>
    </row>
    <row r="14545" spans="1:9" x14ac:dyDescent="0.25">
      <c r="A14545">
        <v>489</v>
      </c>
      <c r="B14545" t="s">
        <v>3982</v>
      </c>
      <c r="C14545" t="s">
        <v>75</v>
      </c>
      <c r="D14545" t="s">
        <v>81</v>
      </c>
      <c r="E14545">
        <f>3/110</f>
        <v>2.7272727272727271E-2</v>
      </c>
      <c r="F14545">
        <v>114</v>
      </c>
      <c r="G14545">
        <f>LOG(382/(114+1))</f>
        <v>0.52136552255809698</v>
      </c>
      <c r="H14545">
        <f>0.0272727272727272*1.20048848024332</f>
        <v>3.2740594915726819E-2</v>
      </c>
      <c r="I14545">
        <v>3.2740594915727048E-2</v>
      </c>
    </row>
    <row r="14546" spans="1:9" x14ac:dyDescent="0.25">
      <c r="A14546">
        <v>489</v>
      </c>
      <c r="B14546" t="s">
        <v>3982</v>
      </c>
      <c r="C14546" t="s">
        <v>75</v>
      </c>
      <c r="D14546" t="s">
        <v>324</v>
      </c>
      <c r="E14546">
        <f>2/110</f>
        <v>1.8181818181818181E-2</v>
      </c>
      <c r="F14546">
        <v>82</v>
      </c>
      <c r="G14546">
        <f>LOG(382/(82+1))</f>
        <v>0.66298527053563483</v>
      </c>
      <c r="H14546">
        <f>0.0181818181818181*1.52658000080997</f>
        <v>2.7756000014726601E-2</v>
      </c>
      <c r="I14546">
        <v>2.7756000014726862E-2</v>
      </c>
    </row>
    <row r="14547" spans="1:9" x14ac:dyDescent="0.25">
      <c r="A14547">
        <v>489</v>
      </c>
      <c r="B14547" t="s">
        <v>3982</v>
      </c>
      <c r="C14547" t="s">
        <v>75</v>
      </c>
      <c r="D14547" t="s">
        <v>888</v>
      </c>
      <c r="E14547">
        <f>1/110</f>
        <v>9.0909090909090905E-3</v>
      </c>
      <c r="F14547">
        <v>21</v>
      </c>
      <c r="G14547">
        <f>LOG(382/(21+1))</f>
        <v>1.2396406820895025</v>
      </c>
      <c r="H14547">
        <f>0.00909090909090909*2.85437815524825</f>
        <v>2.5948892320438635E-2</v>
      </c>
      <c r="I14547">
        <v>2.5948892320438718E-2</v>
      </c>
    </row>
    <row r="14548" spans="1:9" x14ac:dyDescent="0.25">
      <c r="A14548">
        <v>489</v>
      </c>
      <c r="B14548" t="s">
        <v>3982</v>
      </c>
      <c r="C14548" t="s">
        <v>75</v>
      </c>
      <c r="D14548" t="s">
        <v>3985</v>
      </c>
      <c r="E14548">
        <f>1/110</f>
        <v>9.0909090909090905E-3</v>
      </c>
      <c r="F14548">
        <v>1</v>
      </c>
      <c r="G14548">
        <f>LOG(382/(1+1))</f>
        <v>2.2810333672477277</v>
      </c>
      <c r="H14548">
        <f>0.00909090909090909*5.25227342804663</f>
        <v>4.7747940254969361E-2</v>
      </c>
      <c r="I14548">
        <v>4.7747940254969361E-2</v>
      </c>
    </row>
    <row r="14549" spans="1:9" x14ac:dyDescent="0.25">
      <c r="A14549">
        <v>489</v>
      </c>
      <c r="B14549" t="s">
        <v>3982</v>
      </c>
      <c r="C14549" t="s">
        <v>75</v>
      </c>
      <c r="D14549" t="s">
        <v>322</v>
      </c>
      <c r="E14549">
        <f>1/110</f>
        <v>9.0909090909090905E-3</v>
      </c>
      <c r="F14549">
        <v>128</v>
      </c>
      <c r="G14549">
        <f>LOG(382/(128+1))</f>
        <v>0.47147365261245977</v>
      </c>
      <c r="H14549">
        <f>0.00909090909090909*1.0856082042449</f>
        <v>9.8691654931354535E-3</v>
      </c>
      <c r="I14549">
        <v>9.869165493135483E-3</v>
      </c>
    </row>
    <row r="14550" spans="1:9" x14ac:dyDescent="0.25">
      <c r="A14550">
        <v>489</v>
      </c>
      <c r="B14550" t="s">
        <v>3982</v>
      </c>
      <c r="C14550" t="s">
        <v>75</v>
      </c>
      <c r="D14550" t="s">
        <v>1222</v>
      </c>
      <c r="E14550">
        <f>2/110</f>
        <v>1.8181818181818181E-2</v>
      </c>
      <c r="F14550">
        <v>56</v>
      </c>
      <c r="G14550">
        <f>LOG(382/(56+1))</f>
        <v>0.82618850723921733</v>
      </c>
      <c r="H14550">
        <f>0.0181818181818181*1.90236934077202</f>
        <v>3.4588533468582025E-2</v>
      </c>
      <c r="I14550">
        <v>3.4588533468582268E-2</v>
      </c>
    </row>
    <row r="14551" spans="1:9" x14ac:dyDescent="0.25">
      <c r="A14551">
        <v>489</v>
      </c>
      <c r="B14551" t="s">
        <v>3982</v>
      </c>
      <c r="C14551" t="s">
        <v>75</v>
      </c>
      <c r="D14551" t="s">
        <v>485</v>
      </c>
      <c r="E14551">
        <f>1/110</f>
        <v>9.0909090909090905E-3</v>
      </c>
      <c r="F14551">
        <v>74</v>
      </c>
      <c r="G14551">
        <f>LOG(382/(74+1))</f>
        <v>0.7070020995200087</v>
      </c>
      <c r="H14551">
        <f>0.00909090909090909*1.62793249507026</f>
        <v>1.4799386318820546E-2</v>
      </c>
      <c r="I14551">
        <v>1.4799386318820589E-2</v>
      </c>
    </row>
    <row r="14552" spans="1:9" x14ac:dyDescent="0.25">
      <c r="A14552">
        <v>489</v>
      </c>
      <c r="B14552" t="s">
        <v>3982</v>
      </c>
      <c r="C14552" t="s">
        <v>75</v>
      </c>
      <c r="D14552" t="s">
        <v>596</v>
      </c>
      <c r="E14552">
        <f>1/110</f>
        <v>9.0909090909090905E-3</v>
      </c>
      <c r="F14552">
        <v>60</v>
      </c>
      <c r="G14552">
        <f>LOG(382/(60+1))</f>
        <v>0.79673352790094176</v>
      </c>
      <c r="H14552">
        <f>0.00909090909090909*1.83454674443326</f>
        <v>1.6677697676665999E-2</v>
      </c>
      <c r="I14552">
        <v>1.6677697676666031E-2</v>
      </c>
    </row>
    <row r="14553" spans="1:9" x14ac:dyDescent="0.25">
      <c r="A14553">
        <v>489</v>
      </c>
      <c r="B14553" t="s">
        <v>3982</v>
      </c>
      <c r="C14553" t="s">
        <v>75</v>
      </c>
      <c r="D14553" t="s">
        <v>1773</v>
      </c>
      <c r="E14553">
        <f>2/110</f>
        <v>1.8181818181818181E-2</v>
      </c>
      <c r="F14553">
        <v>24</v>
      </c>
      <c r="G14553">
        <f>LOG(382/(24+1))</f>
        <v>1.1841233542396712</v>
      </c>
      <c r="H14553">
        <f>0.0181818181818181*2.72654478373837</f>
        <v>4.9573541522515592E-2</v>
      </c>
      <c r="I14553">
        <v>4.957354152251589E-2</v>
      </c>
    </row>
    <row r="14554" spans="1:9" x14ac:dyDescent="0.25">
      <c r="A14554">
        <v>489</v>
      </c>
      <c r="B14554" t="s">
        <v>3982</v>
      </c>
      <c r="C14554" t="s">
        <v>75</v>
      </c>
      <c r="D14554" t="s">
        <v>679</v>
      </c>
      <c r="E14554">
        <f>1/110</f>
        <v>9.0909090909090905E-3</v>
      </c>
      <c r="F14554">
        <v>4</v>
      </c>
      <c r="G14554">
        <f>LOG(382/(4+1))</f>
        <v>1.8830933585756899</v>
      </c>
      <c r="H14554">
        <f>0.00909090909090909*4.33598269617247</f>
        <v>3.9418024510658817E-2</v>
      </c>
      <c r="I14554">
        <v>3.9418024510658858E-2</v>
      </c>
    </row>
    <row r="14555" spans="1:9" x14ac:dyDescent="0.25">
      <c r="A14555">
        <v>489</v>
      </c>
      <c r="B14555" t="s">
        <v>3982</v>
      </c>
      <c r="C14555" t="s">
        <v>75</v>
      </c>
      <c r="D14555" t="s">
        <v>1544</v>
      </c>
      <c r="E14555">
        <f>3/110</f>
        <v>2.7272727272727271E-2</v>
      </c>
      <c r="F14555">
        <v>19</v>
      </c>
      <c r="G14555">
        <f>LOG(382/(19+1))</f>
        <v>1.2810333672477277</v>
      </c>
      <c r="H14555">
        <f>0.0272727272727272*2.94968833505258</f>
        <v>8.0446045501433777E-2</v>
      </c>
      <c r="I14555">
        <v>8.044604550143411E-2</v>
      </c>
    </row>
    <row r="14556" spans="1:9" x14ac:dyDescent="0.25">
      <c r="A14556">
        <v>489</v>
      </c>
      <c r="B14556" t="s">
        <v>3982</v>
      </c>
      <c r="C14556" t="s">
        <v>75</v>
      </c>
      <c r="D14556" t="s">
        <v>339</v>
      </c>
      <c r="E14556">
        <f t="shared" ref="E14556:E14563" si="685">1/110</f>
        <v>9.0909090909090905E-3</v>
      </c>
      <c r="F14556">
        <v>66</v>
      </c>
      <c r="G14556">
        <f>LOG(382/(66+1))</f>
        <v>0.75598856021088234</v>
      </c>
      <c r="H14556">
        <f>0.00909090909090909*1.7407279892156</f>
        <v>1.582479990196E-2</v>
      </c>
      <c r="I14556">
        <v>1.582479990196008E-2</v>
      </c>
    </row>
    <row r="14557" spans="1:9" x14ac:dyDescent="0.25">
      <c r="A14557">
        <v>489</v>
      </c>
      <c r="B14557" t="s">
        <v>3982</v>
      </c>
      <c r="C14557" t="s">
        <v>75</v>
      </c>
      <c r="D14557" t="s">
        <v>447</v>
      </c>
      <c r="E14557">
        <f t="shared" si="685"/>
        <v>9.0909090909090905E-3</v>
      </c>
      <c r="F14557">
        <v>37</v>
      </c>
      <c r="G14557">
        <f>LOG(382/(37+1))</f>
        <v>1.0022797662948986</v>
      </c>
      <c r="H14557">
        <f>0.00909090909090909*2.30783444888018</f>
        <v>2.0980313171637999E-2</v>
      </c>
      <c r="I14557">
        <v>2.0980313171638079E-2</v>
      </c>
    </row>
    <row r="14558" spans="1:9" x14ac:dyDescent="0.25">
      <c r="A14558">
        <v>489</v>
      </c>
      <c r="B14558" t="s">
        <v>3982</v>
      </c>
      <c r="C14558" t="s">
        <v>75</v>
      </c>
      <c r="D14558" t="s">
        <v>2238</v>
      </c>
      <c r="E14558">
        <f t="shared" si="685"/>
        <v>9.0909090909090905E-3</v>
      </c>
      <c r="F14558">
        <v>68</v>
      </c>
      <c r="G14558">
        <f>LOG(382/(68+1))</f>
        <v>0.74321427217445335</v>
      </c>
      <c r="H14558">
        <f>0.00909090909090909*1.71131410400931</f>
        <v>1.5557400945539182E-2</v>
      </c>
      <c r="I14558">
        <v>1.5557400945539229E-2</v>
      </c>
    </row>
    <row r="14559" spans="1:9" x14ac:dyDescent="0.25">
      <c r="A14559">
        <v>489</v>
      </c>
      <c r="B14559" t="s">
        <v>3982</v>
      </c>
      <c r="C14559" t="s">
        <v>75</v>
      </c>
      <c r="D14559" t="s">
        <v>823</v>
      </c>
      <c r="E14559">
        <f t="shared" si="685"/>
        <v>9.0909090909090905E-3</v>
      </c>
      <c r="F14559">
        <v>45</v>
      </c>
      <c r="G14559">
        <f>LOG(382/(45+1))</f>
        <v>0.9193055312301347</v>
      </c>
      <c r="H14559">
        <f>0.00909090909090909*2.11677921211748</f>
        <v>1.9243447382886181E-2</v>
      </c>
      <c r="I14559">
        <v>1.9243447382886181E-2</v>
      </c>
    </row>
    <row r="14560" spans="1:9" x14ac:dyDescent="0.25">
      <c r="A14560">
        <v>489</v>
      </c>
      <c r="B14560" t="s">
        <v>3982</v>
      </c>
      <c r="C14560" t="s">
        <v>75</v>
      </c>
      <c r="D14560" t="s">
        <v>362</v>
      </c>
      <c r="E14560">
        <f t="shared" si="685"/>
        <v>9.0909090909090905E-3</v>
      </c>
      <c r="F14560">
        <v>81</v>
      </c>
      <c r="G14560">
        <f>LOG(382/(81+1))</f>
        <v>0.66824951052799197</v>
      </c>
      <c r="H14560">
        <f>0.00909090909090909*1.53870136134232</f>
        <v>1.398819419402109E-2</v>
      </c>
      <c r="I14560">
        <v>1.3988194194021111E-2</v>
      </c>
    </row>
    <row r="14561" spans="1:9" x14ac:dyDescent="0.25">
      <c r="A14561">
        <v>489</v>
      </c>
      <c r="B14561" t="s">
        <v>3982</v>
      </c>
      <c r="C14561" t="s">
        <v>75</v>
      </c>
      <c r="D14561" t="s">
        <v>1730</v>
      </c>
      <c r="E14561">
        <f t="shared" si="685"/>
        <v>9.0909090909090905E-3</v>
      </c>
      <c r="F14561">
        <v>35</v>
      </c>
      <c r="G14561">
        <f>LOG(382/(35+1))</f>
        <v>1.0257608621444214</v>
      </c>
      <c r="H14561">
        <f>0.00909090909090909*2.36190167015046</f>
        <v>2.1471833365004182E-2</v>
      </c>
      <c r="I14561">
        <v>2.147183336500422E-2</v>
      </c>
    </row>
    <row r="14562" spans="1:9" x14ac:dyDescent="0.25">
      <c r="A14562">
        <v>489</v>
      </c>
      <c r="B14562" t="s">
        <v>3982</v>
      </c>
      <c r="C14562" t="s">
        <v>75</v>
      </c>
      <c r="D14562" t="s">
        <v>1261</v>
      </c>
      <c r="E14562">
        <f t="shared" si="685"/>
        <v>9.0909090909090905E-3</v>
      </c>
      <c r="F14562">
        <v>12</v>
      </c>
      <c r="G14562">
        <f>LOG(382/(12+1))</f>
        <v>1.468120010604872</v>
      </c>
      <c r="H14562">
        <f>0.00909090909090909*3.38047125114503</f>
        <v>3.0731556828591182E-2</v>
      </c>
      <c r="I14562">
        <v>3.0731556828591262E-2</v>
      </c>
    </row>
    <row r="14563" spans="1:9" x14ac:dyDescent="0.25">
      <c r="A14563">
        <v>489</v>
      </c>
      <c r="B14563" t="s">
        <v>3982</v>
      </c>
      <c r="C14563" t="s">
        <v>75</v>
      </c>
      <c r="D14563" t="s">
        <v>1551</v>
      </c>
      <c r="E14563">
        <f t="shared" si="685"/>
        <v>9.0909090909090905E-3</v>
      </c>
      <c r="F14563">
        <v>15</v>
      </c>
      <c r="G14563">
        <f>LOG(382/(15+1))</f>
        <v>1.3779433802557839</v>
      </c>
      <c r="H14563">
        <f>0.00909090909090909*3.17283188636679</f>
        <v>2.884392623969809E-2</v>
      </c>
      <c r="I14563">
        <v>2.8843926239698128E-2</v>
      </c>
    </row>
    <row r="14564" spans="1:9" x14ac:dyDescent="0.25">
      <c r="A14564">
        <v>489</v>
      </c>
      <c r="B14564" t="s">
        <v>3982</v>
      </c>
      <c r="C14564" t="s">
        <v>75</v>
      </c>
      <c r="D14564" t="s">
        <v>1762</v>
      </c>
      <c r="E14564">
        <f>2/110</f>
        <v>1.8181818181818181E-2</v>
      </c>
      <c r="F14564">
        <v>60</v>
      </c>
      <c r="G14564">
        <f>LOG(382/(60+1))</f>
        <v>0.79673352790094176</v>
      </c>
      <c r="H14564">
        <f>0.0181818181818181*1.83454674443326</f>
        <v>3.3355395353331853E-2</v>
      </c>
      <c r="I14564">
        <v>3.3355395353332068E-2</v>
      </c>
    </row>
    <row r="14565" spans="1:9" x14ac:dyDescent="0.25">
      <c r="A14565">
        <v>489</v>
      </c>
      <c r="B14565" t="s">
        <v>3982</v>
      </c>
      <c r="C14565" t="s">
        <v>75</v>
      </c>
      <c r="D14565" t="s">
        <v>98</v>
      </c>
      <c r="E14565">
        <f>1/110</f>
        <v>9.0909090909090905E-3</v>
      </c>
      <c r="F14565">
        <v>56</v>
      </c>
      <c r="G14565">
        <f>LOG(382/(56+1))</f>
        <v>0.82618850723921733</v>
      </c>
      <c r="H14565">
        <f>0.00909090909090909*1.90236934077202</f>
        <v>1.7294266734291089E-2</v>
      </c>
      <c r="I14565">
        <v>1.7294266734291141E-2</v>
      </c>
    </row>
    <row r="14566" spans="1:9" x14ac:dyDescent="0.25">
      <c r="A14566">
        <v>489</v>
      </c>
      <c r="B14566" t="s">
        <v>3982</v>
      </c>
      <c r="C14566" t="s">
        <v>75</v>
      </c>
      <c r="D14566" t="s">
        <v>1921</v>
      </c>
      <c r="E14566">
        <f>2/110</f>
        <v>1.8181818181818181E-2</v>
      </c>
      <c r="F14566">
        <v>37</v>
      </c>
      <c r="G14566">
        <f>LOG(382/(37+1))</f>
        <v>1.0022797662948986</v>
      </c>
      <c r="H14566">
        <f>0.0181818181818181*2.30783444888018</f>
        <v>4.1960626343275811E-2</v>
      </c>
      <c r="I14566">
        <v>4.1960626343276172E-2</v>
      </c>
    </row>
    <row r="14567" spans="1:9" x14ac:dyDescent="0.25">
      <c r="A14567">
        <v>489</v>
      </c>
      <c r="B14567" t="s">
        <v>3982</v>
      </c>
      <c r="C14567" t="s">
        <v>75</v>
      </c>
      <c r="D14567" t="s">
        <v>1125</v>
      </c>
      <c r="E14567">
        <f>1/110</f>
        <v>9.0909090909090905E-3</v>
      </c>
      <c r="F14567">
        <v>19</v>
      </c>
      <c r="G14567">
        <f>LOG(382/(19+1))</f>
        <v>1.2810333672477277</v>
      </c>
      <c r="H14567">
        <f>0.00909090909090909*2.94968833505258</f>
        <v>2.6815348500477999E-2</v>
      </c>
      <c r="I14567">
        <v>2.681534850047804E-2</v>
      </c>
    </row>
    <row r="14568" spans="1:9" x14ac:dyDescent="0.25">
      <c r="A14568">
        <v>489</v>
      </c>
      <c r="B14568" t="s">
        <v>3982</v>
      </c>
      <c r="C14568" t="s">
        <v>75</v>
      </c>
      <c r="D14568" t="s">
        <v>746</v>
      </c>
      <c r="E14568">
        <f>1/110</f>
        <v>9.0909090909090905E-3</v>
      </c>
      <c r="F14568">
        <v>58</v>
      </c>
      <c r="G14568">
        <f>LOG(382/(58+1))</f>
        <v>0.81121135126956456</v>
      </c>
      <c r="H14568">
        <f>0.00909090909090909*1.86788316470085</f>
        <v>1.6980756042734999E-2</v>
      </c>
      <c r="I14568">
        <v>1.6980756042735051E-2</v>
      </c>
    </row>
    <row r="14569" spans="1:9" x14ac:dyDescent="0.25">
      <c r="A14569">
        <v>489</v>
      </c>
      <c r="B14569" t="s">
        <v>3982</v>
      </c>
      <c r="C14569" t="s">
        <v>75</v>
      </c>
      <c r="D14569" t="s">
        <v>201</v>
      </c>
      <c r="E14569">
        <f>1/110</f>
        <v>9.0909090909090905E-3</v>
      </c>
      <c r="F14569">
        <v>72</v>
      </c>
      <c r="G14569">
        <f>LOG(382/(72+1))</f>
        <v>0.71874050279125279</v>
      </c>
      <c r="H14569">
        <f>0.00909090909090909*1.65496116745818</f>
        <v>1.5045101522347089E-2</v>
      </c>
      <c r="I14569">
        <v>1.5045101522347131E-2</v>
      </c>
    </row>
    <row r="14570" spans="1:9" x14ac:dyDescent="0.25">
      <c r="A14570">
        <v>489</v>
      </c>
      <c r="B14570" t="s">
        <v>3982</v>
      </c>
      <c r="C14570" t="s">
        <v>75</v>
      </c>
      <c r="D14570" t="s">
        <v>225</v>
      </c>
      <c r="E14570">
        <f>1/110</f>
        <v>9.0909090909090905E-3</v>
      </c>
      <c r="F14570">
        <v>30</v>
      </c>
      <c r="G14570">
        <f>LOG(382/(30+1))</f>
        <v>1.090701669077436</v>
      </c>
      <c r="H14570">
        <f>0.00909090909090909*2.51143340412142</f>
        <v>2.2831212764740181E-2</v>
      </c>
      <c r="I14570">
        <v>2.2831212764740261E-2</v>
      </c>
    </row>
    <row r="14571" spans="1:9" x14ac:dyDescent="0.25">
      <c r="A14571">
        <v>489</v>
      </c>
      <c r="B14571" t="s">
        <v>3982</v>
      </c>
      <c r="C14571" t="s">
        <v>75</v>
      </c>
      <c r="D14571" t="s">
        <v>772</v>
      </c>
      <c r="E14571">
        <f>2/110</f>
        <v>1.8181818181818181E-2</v>
      </c>
      <c r="F14571">
        <v>31</v>
      </c>
      <c r="G14571">
        <f>LOG(382/(31+1))</f>
        <v>1.0769133845918029</v>
      </c>
      <c r="H14571">
        <f>0.0181818181818181*2.47968470580684</f>
        <v>4.5085176469215067E-2</v>
      </c>
      <c r="I14571">
        <v>4.5085176469215428E-2</v>
      </c>
    </row>
    <row r="14572" spans="1:9" x14ac:dyDescent="0.25">
      <c r="A14572">
        <v>489</v>
      </c>
      <c r="B14572" t="s">
        <v>3982</v>
      </c>
      <c r="C14572" t="s">
        <v>75</v>
      </c>
      <c r="D14572" t="s">
        <v>3334</v>
      </c>
      <c r="E14572">
        <f t="shared" ref="E14572:E14578" si="686">1/110</f>
        <v>9.0909090909090905E-3</v>
      </c>
      <c r="F14572">
        <v>12</v>
      </c>
      <c r="G14572">
        <f>LOG(382/(12+1))</f>
        <v>1.468120010604872</v>
      </c>
      <c r="H14572">
        <f>0.00909090909090909*3.38047125114503</f>
        <v>3.0731556828591182E-2</v>
      </c>
      <c r="I14572">
        <v>3.0731556828591262E-2</v>
      </c>
    </row>
    <row r="14573" spans="1:9" x14ac:dyDescent="0.25">
      <c r="A14573">
        <v>489</v>
      </c>
      <c r="B14573" t="s">
        <v>3982</v>
      </c>
      <c r="C14573" t="s">
        <v>75</v>
      </c>
      <c r="D14573" t="s">
        <v>239</v>
      </c>
      <c r="E14573">
        <f t="shared" si="686"/>
        <v>9.0909090909090905E-3</v>
      </c>
      <c r="F14573">
        <v>40</v>
      </c>
      <c r="G14573">
        <f>LOG(382/(40+1))</f>
        <v>0.96927950619197323</v>
      </c>
      <c r="H14573">
        <f>0.00909090909090909*2.23184854190226</f>
        <v>2.0289532199111452E-2</v>
      </c>
      <c r="I14573">
        <v>2.0289532199111521E-2</v>
      </c>
    </row>
    <row r="14574" spans="1:9" x14ac:dyDescent="0.25">
      <c r="A14574">
        <v>489</v>
      </c>
      <c r="B14574" t="s">
        <v>3982</v>
      </c>
      <c r="C14574" t="s">
        <v>75</v>
      </c>
      <c r="D14574" t="s">
        <v>3492</v>
      </c>
      <c r="E14574">
        <f t="shared" si="686"/>
        <v>9.0909090909090905E-3</v>
      </c>
      <c r="F14574">
        <v>12</v>
      </c>
      <c r="G14574">
        <f>LOG(382/(12+1))</f>
        <v>1.468120010604872</v>
      </c>
      <c r="H14574">
        <f>0.00909090909090909*3.38047125114503</f>
        <v>3.0731556828591182E-2</v>
      </c>
      <c r="I14574">
        <v>3.0731556828591262E-2</v>
      </c>
    </row>
    <row r="14575" spans="1:9" x14ac:dyDescent="0.25">
      <c r="A14575">
        <v>489</v>
      </c>
      <c r="B14575" t="s">
        <v>3982</v>
      </c>
      <c r="C14575" t="s">
        <v>75</v>
      </c>
      <c r="D14575" t="s">
        <v>240</v>
      </c>
      <c r="E14575">
        <f t="shared" si="686"/>
        <v>9.0909090909090905E-3</v>
      </c>
      <c r="F14575">
        <v>15</v>
      </c>
      <c r="G14575">
        <f>LOG(382/(15+1))</f>
        <v>1.3779433802557839</v>
      </c>
      <c r="H14575">
        <f>0.00909090909090909*3.17283188636679</f>
        <v>2.884392623969809E-2</v>
      </c>
      <c r="I14575">
        <v>2.8843926239698128E-2</v>
      </c>
    </row>
    <row r="14576" spans="1:9" x14ac:dyDescent="0.25">
      <c r="A14576">
        <v>489</v>
      </c>
      <c r="B14576" t="s">
        <v>3982</v>
      </c>
      <c r="C14576" t="s">
        <v>75</v>
      </c>
      <c r="D14576" t="s">
        <v>256</v>
      </c>
      <c r="E14576">
        <f t="shared" si="686"/>
        <v>9.0909090909090905E-3</v>
      </c>
      <c r="F14576">
        <v>28</v>
      </c>
      <c r="G14576">
        <f>LOG(382/(28+1))</f>
        <v>1.1196653650127526</v>
      </c>
      <c r="H14576">
        <f>0.00909090909090909*2.5781247786201</f>
        <v>2.3437497987455452E-2</v>
      </c>
      <c r="I14576">
        <v>2.3437497987455459E-2</v>
      </c>
    </row>
    <row r="14577" spans="1:9" x14ac:dyDescent="0.25">
      <c r="A14577">
        <v>489</v>
      </c>
      <c r="B14577" t="s">
        <v>3982</v>
      </c>
      <c r="C14577" t="s">
        <v>75</v>
      </c>
      <c r="D14577" t="s">
        <v>2093</v>
      </c>
      <c r="E14577">
        <f t="shared" si="686"/>
        <v>9.0909090909090905E-3</v>
      </c>
      <c r="F14577">
        <v>7</v>
      </c>
      <c r="G14577">
        <f>LOG(382/(7+1))</f>
        <v>1.6789733759197651</v>
      </c>
      <c r="H14577">
        <f>0.00909090909090909*3.86597906692673</f>
        <v>3.5145264244788456E-2</v>
      </c>
      <c r="I14577">
        <v>3.5145264244788532E-2</v>
      </c>
    </row>
    <row r="14578" spans="1:9" x14ac:dyDescent="0.25">
      <c r="A14578">
        <v>489</v>
      </c>
      <c r="B14578" t="s">
        <v>3982</v>
      </c>
      <c r="C14578" t="s">
        <v>75</v>
      </c>
      <c r="D14578" t="s">
        <v>763</v>
      </c>
      <c r="E14578">
        <f t="shared" si="686"/>
        <v>9.0909090909090905E-3</v>
      </c>
      <c r="F14578">
        <v>47</v>
      </c>
      <c r="G14578">
        <f>LOG(382/(47+1))</f>
        <v>0.90082212553612151</v>
      </c>
      <c r="H14578">
        <f>0.00909090909090909*2.07421959769868</f>
        <v>1.8856541797260727E-2</v>
      </c>
      <c r="I14578">
        <v>1.8856541797260769E-2</v>
      </c>
    </row>
    <row r="14579" spans="1:9" x14ac:dyDescent="0.25">
      <c r="A14579">
        <v>490</v>
      </c>
      <c r="B14579" t="s">
        <v>3986</v>
      </c>
      <c r="C14579" t="s">
        <v>75</v>
      </c>
      <c r="D14579" t="s">
        <v>3987</v>
      </c>
      <c r="E14579">
        <f>3/117</f>
        <v>2.564102564102564E-2</v>
      </c>
      <c r="F14579">
        <v>2</v>
      </c>
      <c r="G14579">
        <f>LOG(382/(2+1))</f>
        <v>2.1049421081920463</v>
      </c>
      <c r="H14579">
        <f>0.0256410256410256*4.84680831993846</f>
        <v>0.12427713640867825</v>
      </c>
      <c r="I14579">
        <v>0.1242771364086786</v>
      </c>
    </row>
    <row r="14580" spans="1:9" x14ac:dyDescent="0.25">
      <c r="A14580">
        <v>490</v>
      </c>
      <c r="B14580" t="s">
        <v>3986</v>
      </c>
      <c r="C14580" t="s">
        <v>75</v>
      </c>
      <c r="D14580" t="s">
        <v>2231</v>
      </c>
      <c r="E14580">
        <f>2/117</f>
        <v>1.7094017094017096E-2</v>
      </c>
      <c r="F14580">
        <v>23</v>
      </c>
      <c r="G14580">
        <f>LOG(382/(23+1))</f>
        <v>1.2018521212001028</v>
      </c>
      <c r="H14580">
        <f>0.017094017094017*2.76736677825862</f>
        <v>4.7305415012967603E-2</v>
      </c>
      <c r="I14580">
        <v>4.7305415012968033E-2</v>
      </c>
    </row>
    <row r="14581" spans="1:9" x14ac:dyDescent="0.25">
      <c r="A14581">
        <v>490</v>
      </c>
      <c r="B14581" t="s">
        <v>3986</v>
      </c>
      <c r="C14581" t="s">
        <v>75</v>
      </c>
      <c r="D14581" t="s">
        <v>408</v>
      </c>
      <c r="E14581">
        <f>2/117</f>
        <v>1.7094017094017096E-2</v>
      </c>
      <c r="F14581">
        <v>27</v>
      </c>
      <c r="G14581">
        <f>LOG(382/(27+1))</f>
        <v>1.1349053315694895</v>
      </c>
      <c r="H14581">
        <f>0.017094017094017*2.61321609843137</f>
        <v>4.4670360656946247E-2</v>
      </c>
      <c r="I14581">
        <v>4.4670360656946517E-2</v>
      </c>
    </row>
    <row r="14582" spans="1:9" x14ac:dyDescent="0.25">
      <c r="A14582">
        <v>490</v>
      </c>
      <c r="B14582" t="s">
        <v>3986</v>
      </c>
      <c r="C14582" t="s">
        <v>75</v>
      </c>
      <c r="D14582" t="s">
        <v>3988</v>
      </c>
      <c r="E14582">
        <f>1/117</f>
        <v>8.5470085470085479E-3</v>
      </c>
      <c r="F14582">
        <v>1</v>
      </c>
      <c r="G14582">
        <f>LOG(382/(1+1))</f>
        <v>2.2810333672477277</v>
      </c>
      <c r="H14582">
        <f>0.00854700854700854*5.25227342804663</f>
        <v>4.4891225880740383E-2</v>
      </c>
      <c r="I14582">
        <v>4.4891225880740432E-2</v>
      </c>
    </row>
    <row r="14583" spans="1:9" x14ac:dyDescent="0.25">
      <c r="A14583">
        <v>490</v>
      </c>
      <c r="B14583" t="s">
        <v>3986</v>
      </c>
      <c r="C14583" t="s">
        <v>75</v>
      </c>
      <c r="D14583" t="s">
        <v>3016</v>
      </c>
      <c r="E14583">
        <f>1/117</f>
        <v>8.5470085470085479E-3</v>
      </c>
      <c r="F14583">
        <v>2</v>
      </c>
      <c r="G14583">
        <f>LOG(382/(2+1))</f>
        <v>2.1049421081920463</v>
      </c>
      <c r="H14583">
        <f>0.00854700854700854*4.84680831993846</f>
        <v>4.1425712136226117E-2</v>
      </c>
      <c r="I14583">
        <v>4.14257121362262E-2</v>
      </c>
    </row>
    <row r="14584" spans="1:9" x14ac:dyDescent="0.25">
      <c r="A14584">
        <v>490</v>
      </c>
      <c r="B14584" t="s">
        <v>3986</v>
      </c>
      <c r="C14584" t="s">
        <v>75</v>
      </c>
      <c r="D14584" t="s">
        <v>3017</v>
      </c>
      <c r="E14584">
        <f>1/117</f>
        <v>8.5470085470085479E-3</v>
      </c>
      <c r="F14584">
        <v>2</v>
      </c>
      <c r="G14584">
        <f>LOG(382/(2+1))</f>
        <v>2.1049421081920463</v>
      </c>
      <c r="H14584">
        <f>0.00854700854700854*4.84680831993846</f>
        <v>4.1425712136226117E-2</v>
      </c>
      <c r="I14584">
        <v>4.14257121362262E-2</v>
      </c>
    </row>
    <row r="14585" spans="1:9" x14ac:dyDescent="0.25">
      <c r="A14585">
        <v>490</v>
      </c>
      <c r="B14585" t="s">
        <v>3986</v>
      </c>
      <c r="C14585" t="s">
        <v>75</v>
      </c>
      <c r="D14585" t="s">
        <v>3989</v>
      </c>
      <c r="E14585">
        <f>1/117</f>
        <v>8.5470085470085479E-3</v>
      </c>
      <c r="F14585">
        <v>2</v>
      </c>
      <c r="G14585">
        <f>LOG(382/(2+1))</f>
        <v>2.1049421081920463</v>
      </c>
      <c r="H14585">
        <f>0.00854700854700854*4.84680831993846</f>
        <v>4.1425712136226117E-2</v>
      </c>
      <c r="I14585">
        <v>4.14257121362262E-2</v>
      </c>
    </row>
    <row r="14586" spans="1:9" x14ac:dyDescent="0.25">
      <c r="A14586">
        <v>490</v>
      </c>
      <c r="B14586" t="s">
        <v>3986</v>
      </c>
      <c r="C14586" t="s">
        <v>75</v>
      </c>
      <c r="D14586" t="s">
        <v>2406</v>
      </c>
      <c r="E14586">
        <f>1/117</f>
        <v>8.5470085470085479E-3</v>
      </c>
      <c r="F14586">
        <v>2</v>
      </c>
      <c r="G14586">
        <f>LOG(382/(2+1))</f>
        <v>2.1049421081920463</v>
      </c>
      <c r="H14586">
        <f>0.00854700854700854*4.84680831993846</f>
        <v>4.1425712136226117E-2</v>
      </c>
      <c r="I14586">
        <v>4.14257121362262E-2</v>
      </c>
    </row>
    <row r="14587" spans="1:9" x14ac:dyDescent="0.25">
      <c r="A14587">
        <v>490</v>
      </c>
      <c r="B14587" t="s">
        <v>3986</v>
      </c>
      <c r="C14587" t="s">
        <v>75</v>
      </c>
      <c r="D14587" t="s">
        <v>649</v>
      </c>
      <c r="E14587">
        <f>6/117</f>
        <v>5.128205128205128E-2</v>
      </c>
      <c r="F14587">
        <v>25</v>
      </c>
      <c r="G14587">
        <f>LOG(382/(25+1))</f>
        <v>1.1670900149408907</v>
      </c>
      <c r="H14587">
        <f>0.0512820512820512*2.68732407058509</f>
        <v>0.13781149079923516</v>
      </c>
      <c r="I14587">
        <v>0.13781149079923549</v>
      </c>
    </row>
    <row r="14588" spans="1:9" x14ac:dyDescent="0.25">
      <c r="A14588">
        <v>490</v>
      </c>
      <c r="B14588" t="s">
        <v>3986</v>
      </c>
      <c r="C14588" t="s">
        <v>75</v>
      </c>
      <c r="D14588" t="s">
        <v>788</v>
      </c>
      <c r="E14588">
        <f>1/117</f>
        <v>8.5470085470085479E-3</v>
      </c>
      <c r="F14588">
        <v>3</v>
      </c>
      <c r="G14588">
        <f>LOG(382/(3+1))</f>
        <v>1.9800033715837464</v>
      </c>
      <c r="H14588">
        <f>0.00854700854700854*4.55912624748668</f>
        <v>3.8966891004159621E-2</v>
      </c>
      <c r="I14588">
        <v>3.8966891004159697E-2</v>
      </c>
    </row>
    <row r="14589" spans="1:9" x14ac:dyDescent="0.25">
      <c r="A14589">
        <v>490</v>
      </c>
      <c r="B14589" t="s">
        <v>3986</v>
      </c>
      <c r="C14589" t="s">
        <v>75</v>
      </c>
      <c r="D14589" t="s">
        <v>1420</v>
      </c>
      <c r="E14589">
        <f>1/117</f>
        <v>8.5470085470085479E-3</v>
      </c>
      <c r="F14589">
        <v>2</v>
      </c>
      <c r="G14589">
        <f>LOG(382/(2+1))</f>
        <v>2.1049421081920463</v>
      </c>
      <c r="H14589">
        <f>0.00854700854700854*4.84680831993846</f>
        <v>4.1425712136226117E-2</v>
      </c>
      <c r="I14589">
        <v>4.14257121362262E-2</v>
      </c>
    </row>
    <row r="14590" spans="1:9" x14ac:dyDescent="0.25">
      <c r="A14590">
        <v>490</v>
      </c>
      <c r="B14590" t="s">
        <v>3986</v>
      </c>
      <c r="C14590" t="s">
        <v>75</v>
      </c>
      <c r="D14590" t="s">
        <v>42</v>
      </c>
      <c r="E14590">
        <f>1/117</f>
        <v>8.5470085470085479E-3</v>
      </c>
      <c r="F14590">
        <v>251</v>
      </c>
      <c r="G14590">
        <f>LOG(382/(251+1))</f>
        <v>0.18066282213016463</v>
      </c>
      <c r="H14590">
        <f>0.00854700854700854*0.415991521095151</f>
        <v>3.5554830862833385E-3</v>
      </c>
      <c r="I14590">
        <v>3.5554830862833502E-3</v>
      </c>
    </row>
    <row r="14591" spans="1:9" x14ac:dyDescent="0.25">
      <c r="A14591">
        <v>490</v>
      </c>
      <c r="B14591" t="s">
        <v>3986</v>
      </c>
      <c r="C14591" t="s">
        <v>75</v>
      </c>
      <c r="D14591" t="s">
        <v>1496</v>
      </c>
      <c r="E14591">
        <f>1/117</f>
        <v>8.5470085470085479E-3</v>
      </c>
      <c r="F14591">
        <v>39</v>
      </c>
      <c r="G14591">
        <f>LOG(382/(39+1))</f>
        <v>0.9800033715837464</v>
      </c>
      <c r="H14591">
        <f>0.00854700854700854*2.25654115449263</f>
        <v>1.9286676534125028E-2</v>
      </c>
      <c r="I14591">
        <v>1.9286676534125122E-2</v>
      </c>
    </row>
    <row r="14592" spans="1:9" x14ac:dyDescent="0.25">
      <c r="A14592">
        <v>490</v>
      </c>
      <c r="B14592" t="s">
        <v>3986</v>
      </c>
      <c r="C14592" t="s">
        <v>75</v>
      </c>
      <c r="D14592" t="s">
        <v>674</v>
      </c>
      <c r="E14592">
        <f>1/117</f>
        <v>8.5470085470085479E-3</v>
      </c>
      <c r="F14592">
        <v>11</v>
      </c>
      <c r="G14592">
        <f>LOG(382/(11+1))</f>
        <v>1.5028821168640838</v>
      </c>
      <c r="H14592">
        <f>0.00854700854700854*3.46051395881857</f>
        <v>2.9577042383064675E-2</v>
      </c>
      <c r="I14592">
        <v>2.9577042383064741E-2</v>
      </c>
    </row>
    <row r="14593" spans="1:9" x14ac:dyDescent="0.25">
      <c r="A14593">
        <v>490</v>
      </c>
      <c r="B14593" t="s">
        <v>3986</v>
      </c>
      <c r="C14593" t="s">
        <v>75</v>
      </c>
      <c r="D14593" t="s">
        <v>636</v>
      </c>
      <c r="E14593">
        <f>2/117</f>
        <v>1.7094017094017096E-2</v>
      </c>
      <c r="F14593">
        <v>31</v>
      </c>
      <c r="G14593">
        <f>LOG(382/(31+1))</f>
        <v>1.0769133845918029</v>
      </c>
      <c r="H14593">
        <f>0.017094017094017*2.47968470580684</f>
        <v>4.238777274883463E-2</v>
      </c>
      <c r="I14593">
        <v>4.2387772748835033E-2</v>
      </c>
    </row>
    <row r="14594" spans="1:9" x14ac:dyDescent="0.25">
      <c r="A14594">
        <v>490</v>
      </c>
      <c r="B14594" t="s">
        <v>3986</v>
      </c>
      <c r="C14594" t="s">
        <v>75</v>
      </c>
      <c r="D14594" t="s">
        <v>3241</v>
      </c>
      <c r="E14594">
        <f t="shared" ref="E14594:E14602" si="687">1/117</f>
        <v>8.5470085470085479E-3</v>
      </c>
      <c r="F14594">
        <v>9</v>
      </c>
      <c r="G14594">
        <f>LOG(382/(9+1))</f>
        <v>1.5820633629117087</v>
      </c>
      <c r="H14594">
        <f>0.00854700854700854*3.64283551561252</f>
        <v>3.1135346287286467E-2</v>
      </c>
      <c r="I14594">
        <v>3.1135346287286581E-2</v>
      </c>
    </row>
    <row r="14595" spans="1:9" x14ac:dyDescent="0.25">
      <c r="A14595">
        <v>490</v>
      </c>
      <c r="B14595" t="s">
        <v>3986</v>
      </c>
      <c r="C14595" t="s">
        <v>75</v>
      </c>
      <c r="D14595" t="s">
        <v>3990</v>
      </c>
      <c r="E14595">
        <f t="shared" si="687"/>
        <v>8.5470085470085479E-3</v>
      </c>
      <c r="F14595">
        <v>1</v>
      </c>
      <c r="G14595">
        <f>LOG(382/(1+1))</f>
        <v>2.2810333672477277</v>
      </c>
      <c r="H14595">
        <f>0.00854700854700854*5.25227342804663</f>
        <v>4.4891225880740383E-2</v>
      </c>
      <c r="I14595">
        <v>4.4891225880740432E-2</v>
      </c>
    </row>
    <row r="14596" spans="1:9" x14ac:dyDescent="0.25">
      <c r="A14596">
        <v>490</v>
      </c>
      <c r="B14596" t="s">
        <v>3986</v>
      </c>
      <c r="C14596" t="s">
        <v>75</v>
      </c>
      <c r="D14596" t="s">
        <v>637</v>
      </c>
      <c r="E14596">
        <f t="shared" si="687"/>
        <v>8.5470085470085479E-3</v>
      </c>
      <c r="F14596">
        <v>29</v>
      </c>
      <c r="G14596">
        <f>LOG(382/(29+1))</f>
        <v>1.1049421081920463</v>
      </c>
      <c r="H14596">
        <f>0.00854700854700854*2.54422322694442</f>
        <v>2.1745497666191601E-2</v>
      </c>
      <c r="I14596">
        <v>2.1745497666191629E-2</v>
      </c>
    </row>
    <row r="14597" spans="1:9" x14ac:dyDescent="0.25">
      <c r="A14597">
        <v>490</v>
      </c>
      <c r="B14597" t="s">
        <v>3986</v>
      </c>
      <c r="C14597" t="s">
        <v>75</v>
      </c>
      <c r="D14597" t="s">
        <v>70</v>
      </c>
      <c r="E14597">
        <f t="shared" si="687"/>
        <v>8.5470085470085479E-3</v>
      </c>
      <c r="F14597">
        <v>44</v>
      </c>
      <c r="G14597">
        <f>LOG(382/(44+1))</f>
        <v>0.92885084913636506</v>
      </c>
      <c r="H14597">
        <f>0.00854700854700854*2.13875811883625</f>
        <v>1.8279983921677331E-2</v>
      </c>
      <c r="I14597">
        <v>1.8279983921677401E-2</v>
      </c>
    </row>
    <row r="14598" spans="1:9" x14ac:dyDescent="0.25">
      <c r="A14598">
        <v>490</v>
      </c>
      <c r="B14598" t="s">
        <v>3986</v>
      </c>
      <c r="C14598" t="s">
        <v>75</v>
      </c>
      <c r="D14598" t="s">
        <v>19</v>
      </c>
      <c r="E14598">
        <f t="shared" si="687"/>
        <v>8.5470085470085479E-3</v>
      </c>
      <c r="F14598">
        <v>220</v>
      </c>
      <c r="G14598">
        <f>LOG(382/(220+1))</f>
        <v>0.23767108922659805</v>
      </c>
      <c r="H14598">
        <f>0.00854700854700854*0.547257907088822</f>
        <v>4.677418009306167E-3</v>
      </c>
      <c r="I14598">
        <v>4.6774180093061748E-3</v>
      </c>
    </row>
    <row r="14599" spans="1:9" x14ac:dyDescent="0.25">
      <c r="A14599">
        <v>490</v>
      </c>
      <c r="B14599" t="s">
        <v>3986</v>
      </c>
      <c r="C14599" t="s">
        <v>75</v>
      </c>
      <c r="D14599" t="s">
        <v>44</v>
      </c>
      <c r="E14599">
        <f t="shared" si="687"/>
        <v>8.5470085470085479E-3</v>
      </c>
      <c r="F14599">
        <v>151</v>
      </c>
      <c r="G14599">
        <f>LOG(382/(151+1))</f>
        <v>0.40021977496693617</v>
      </c>
      <c r="H14599">
        <f>0.00854700854700854*0.921540087760298</f>
        <v>7.876411006498267E-3</v>
      </c>
      <c r="I14599">
        <v>7.8764110064982809E-3</v>
      </c>
    </row>
    <row r="14600" spans="1:9" x14ac:dyDescent="0.25">
      <c r="A14600">
        <v>490</v>
      </c>
      <c r="B14600" t="s">
        <v>3986</v>
      </c>
      <c r="C14600" t="s">
        <v>75</v>
      </c>
      <c r="D14600" t="s">
        <v>22</v>
      </c>
      <c r="E14600">
        <f t="shared" si="687"/>
        <v>8.5470085470085479E-3</v>
      </c>
      <c r="F14600">
        <v>259</v>
      </c>
      <c r="G14600">
        <f>LOG(382/(259+1))</f>
        <v>0.16709001494089079</v>
      </c>
      <c r="H14600">
        <f>0.00854700854700854*0.384738977591047</f>
        <v>3.2883673298380058E-3</v>
      </c>
      <c r="I14600">
        <v>3.2883673298380132E-3</v>
      </c>
    </row>
    <row r="14601" spans="1:9" x14ac:dyDescent="0.25">
      <c r="A14601">
        <v>490</v>
      </c>
      <c r="B14601" t="s">
        <v>3986</v>
      </c>
      <c r="C14601" t="s">
        <v>75</v>
      </c>
      <c r="D14601" t="s">
        <v>23</v>
      </c>
      <c r="E14601">
        <f t="shared" si="687"/>
        <v>8.5470085470085479E-3</v>
      </c>
      <c r="F14601">
        <v>275</v>
      </c>
      <c r="G14601">
        <f>LOG(382/(275+1))</f>
        <v>0.14115428084649101</v>
      </c>
      <c r="H14601">
        <f>0.00854700854700854*0.325019742889425</f>
        <v>2.7779465204224333E-3</v>
      </c>
      <c r="I14601">
        <v>2.7779465204224368E-3</v>
      </c>
    </row>
    <row r="14602" spans="1:9" x14ac:dyDescent="0.25">
      <c r="A14602">
        <v>490</v>
      </c>
      <c r="B14602" t="s">
        <v>3986</v>
      </c>
      <c r="C14602" t="s">
        <v>75</v>
      </c>
      <c r="D14602" t="s">
        <v>1785</v>
      </c>
      <c r="E14602">
        <f t="shared" si="687"/>
        <v>8.5470085470085479E-3</v>
      </c>
      <c r="F14602">
        <v>21</v>
      </c>
      <c r="G14602">
        <f>LOG(382/(21+1))</f>
        <v>1.2396406820895025</v>
      </c>
      <c r="H14602">
        <f>0.00854700854700854*2.85437815524825</f>
        <v>2.4396394489301258E-2</v>
      </c>
      <c r="I14602">
        <v>2.4396394489301362E-2</v>
      </c>
    </row>
    <row r="14603" spans="1:9" x14ac:dyDescent="0.25">
      <c r="A14603">
        <v>490</v>
      </c>
      <c r="B14603" t="s">
        <v>3986</v>
      </c>
      <c r="C14603" t="s">
        <v>75</v>
      </c>
      <c r="D14603" t="s">
        <v>1537</v>
      </c>
      <c r="E14603">
        <f>2/117</f>
        <v>1.7094017094017096E-2</v>
      </c>
      <c r="F14603">
        <v>80</v>
      </c>
      <c r="G14603">
        <f>LOG(382/(80+1))</f>
        <v>0.67357834403305894</v>
      </c>
      <c r="H14603">
        <f>0.017094017094017*1.55097145393413</f>
        <v>2.6512332545882415E-2</v>
      </c>
      <c r="I14603">
        <v>2.6512332545882679E-2</v>
      </c>
    </row>
    <row r="14604" spans="1:9" x14ac:dyDescent="0.25">
      <c r="A14604">
        <v>490</v>
      </c>
      <c r="B14604" t="s">
        <v>3986</v>
      </c>
      <c r="C14604" t="s">
        <v>75</v>
      </c>
      <c r="D14604" t="s">
        <v>204</v>
      </c>
      <c r="E14604">
        <f>2/117</f>
        <v>1.7094017094017096E-2</v>
      </c>
      <c r="F14604">
        <v>166</v>
      </c>
      <c r="G14604">
        <f>LOG(382/(166+1))</f>
        <v>0.35934689176412549</v>
      </c>
      <c r="H14604">
        <f>0.017094017094017*0.82742679618982</f>
        <v>1.4144047798116502E-2</v>
      </c>
      <c r="I14604">
        <v>1.414404779811658E-2</v>
      </c>
    </row>
    <row r="14605" spans="1:9" x14ac:dyDescent="0.25">
      <c r="A14605">
        <v>490</v>
      </c>
      <c r="B14605" t="s">
        <v>3986</v>
      </c>
      <c r="C14605" t="s">
        <v>75</v>
      </c>
      <c r="D14605" t="s">
        <v>1769</v>
      </c>
      <c r="E14605">
        <f>1/117</f>
        <v>8.5470085470085479E-3</v>
      </c>
      <c r="F14605">
        <v>84</v>
      </c>
      <c r="G14605">
        <f>LOG(382/(84+1))</f>
        <v>0.65264443719741605</v>
      </c>
      <c r="H14605">
        <f>0.00854700854700854*1.50276935211625</f>
        <v>1.2844182496720074E-2</v>
      </c>
      <c r="I14605">
        <v>1.2844182496720161E-2</v>
      </c>
    </row>
    <row r="14606" spans="1:9" x14ac:dyDescent="0.25">
      <c r="A14606">
        <v>490</v>
      </c>
      <c r="B14606" t="s">
        <v>3986</v>
      </c>
      <c r="C14606" t="s">
        <v>75</v>
      </c>
      <c r="D14606" t="s">
        <v>225</v>
      </c>
      <c r="E14606">
        <f>2/117</f>
        <v>1.7094017094017096E-2</v>
      </c>
      <c r="F14606">
        <v>30</v>
      </c>
      <c r="G14606">
        <f>LOG(382/(30+1))</f>
        <v>1.090701669077436</v>
      </c>
      <c r="H14606">
        <f>0.017094017094017*2.51143340412142</f>
        <v>4.2930485540536856E-2</v>
      </c>
      <c r="I14606">
        <v>4.2930485540537251E-2</v>
      </c>
    </row>
    <row r="14607" spans="1:9" x14ac:dyDescent="0.25">
      <c r="A14607">
        <v>490</v>
      </c>
      <c r="B14607" t="s">
        <v>3986</v>
      </c>
      <c r="C14607" t="s">
        <v>75</v>
      </c>
      <c r="D14607" t="s">
        <v>201</v>
      </c>
      <c r="E14607">
        <f>2/117</f>
        <v>1.7094017094017096E-2</v>
      </c>
      <c r="F14607">
        <v>72</v>
      </c>
      <c r="G14607">
        <f>LOG(382/(72+1))</f>
        <v>0.71874050279125279</v>
      </c>
      <c r="H14607">
        <f>0.017094017094017*1.65496116745818</f>
        <v>2.8289934486464455E-2</v>
      </c>
      <c r="I14607">
        <v>2.828993448646468E-2</v>
      </c>
    </row>
    <row r="14608" spans="1:9" x14ac:dyDescent="0.25">
      <c r="A14608">
        <v>490</v>
      </c>
      <c r="B14608" t="s">
        <v>3986</v>
      </c>
      <c r="C14608" t="s">
        <v>75</v>
      </c>
      <c r="D14608" t="s">
        <v>3876</v>
      </c>
      <c r="E14608">
        <f>3/117</f>
        <v>2.564102564102564E-2</v>
      </c>
      <c r="F14608">
        <v>3</v>
      </c>
      <c r="G14608">
        <f>LOG(382/(3+1))</f>
        <v>1.9800033715837464</v>
      </c>
      <c r="H14608">
        <f>0.0256410256410256*4.55912624748668</f>
        <v>0.11690067301247878</v>
      </c>
      <c r="I14608">
        <v>0.1169006730124791</v>
      </c>
    </row>
    <row r="14609" spans="1:9" x14ac:dyDescent="0.25">
      <c r="A14609">
        <v>490</v>
      </c>
      <c r="B14609" t="s">
        <v>3986</v>
      </c>
      <c r="C14609" t="s">
        <v>75</v>
      </c>
      <c r="D14609" t="s">
        <v>3991</v>
      </c>
      <c r="E14609">
        <f>3/117</f>
        <v>2.564102564102564E-2</v>
      </c>
      <c r="F14609">
        <v>3</v>
      </c>
      <c r="G14609">
        <f>LOG(382/(3+1))</f>
        <v>1.9800033715837464</v>
      </c>
      <c r="H14609">
        <f>0.0256410256410256*4.55912624748668</f>
        <v>0.11690067301247878</v>
      </c>
      <c r="I14609">
        <v>0.1169006730124791</v>
      </c>
    </row>
    <row r="14610" spans="1:9" x14ac:dyDescent="0.25">
      <c r="A14610">
        <v>490</v>
      </c>
      <c r="B14610" t="s">
        <v>3986</v>
      </c>
      <c r="C14610" t="s">
        <v>75</v>
      </c>
      <c r="D14610" t="s">
        <v>937</v>
      </c>
      <c r="E14610">
        <f>2/117</f>
        <v>1.7094017094017096E-2</v>
      </c>
      <c r="F14610">
        <v>41</v>
      </c>
      <c r="G14610">
        <f>LOG(382/(41+1))</f>
        <v>0.95881407251380824</v>
      </c>
      <c r="H14610">
        <f>0.017094017094017*2.2077509903232</f>
        <v>3.7739333167917742E-2</v>
      </c>
      <c r="I14610">
        <v>3.7739333167918068E-2</v>
      </c>
    </row>
    <row r="14611" spans="1:9" x14ac:dyDescent="0.25">
      <c r="A14611">
        <v>490</v>
      </c>
      <c r="B14611" t="s">
        <v>3986</v>
      </c>
      <c r="C14611" t="s">
        <v>75</v>
      </c>
      <c r="D14611" t="s">
        <v>1733</v>
      </c>
      <c r="E14611">
        <f>2/117</f>
        <v>1.7094017094017096E-2</v>
      </c>
      <c r="F14611">
        <v>19</v>
      </c>
      <c r="G14611">
        <f>LOG(382/(19+1))</f>
        <v>1.2810333672477277</v>
      </c>
      <c r="H14611">
        <f>0.017094017094017*2.94968833505258</f>
        <v>5.0422022821411346E-2</v>
      </c>
      <c r="I14611">
        <v>5.0422022821411713E-2</v>
      </c>
    </row>
    <row r="14612" spans="1:9" x14ac:dyDescent="0.25">
      <c r="A14612">
        <v>490</v>
      </c>
      <c r="B14612" t="s">
        <v>3986</v>
      </c>
      <c r="C14612" t="s">
        <v>75</v>
      </c>
      <c r="D14612" t="s">
        <v>243</v>
      </c>
      <c r="E14612">
        <f>2/117</f>
        <v>1.7094017094017096E-2</v>
      </c>
      <c r="F14612">
        <v>131</v>
      </c>
      <c r="G14612">
        <f>LOG(382/(131+1))</f>
        <v>0.46148943170585888</v>
      </c>
      <c r="H14612">
        <f>0.017094017094017*1.0626186860202</f>
        <v>1.8164421983251182E-2</v>
      </c>
      <c r="I14612">
        <v>1.8164421983251359E-2</v>
      </c>
    </row>
    <row r="14613" spans="1:9" x14ac:dyDescent="0.25">
      <c r="A14613">
        <v>490</v>
      </c>
      <c r="B14613" t="s">
        <v>3986</v>
      </c>
      <c r="C14613" t="s">
        <v>75</v>
      </c>
      <c r="D14613" t="s">
        <v>453</v>
      </c>
      <c r="E14613">
        <f>1/117</f>
        <v>8.5470085470085479E-3</v>
      </c>
      <c r="F14613">
        <v>68</v>
      </c>
      <c r="G14613">
        <f>LOG(382/(68+1))</f>
        <v>0.74321427217445335</v>
      </c>
      <c r="H14613">
        <f>0.00854700854700854*1.71131410400931</f>
        <v>1.4626616273583833E-2</v>
      </c>
      <c r="I14613">
        <v>1.4626616273583901E-2</v>
      </c>
    </row>
    <row r="14614" spans="1:9" x14ac:dyDescent="0.25">
      <c r="A14614">
        <v>490</v>
      </c>
      <c r="B14614" t="s">
        <v>3986</v>
      </c>
      <c r="C14614" t="s">
        <v>75</v>
      </c>
      <c r="D14614" t="s">
        <v>455</v>
      </c>
      <c r="E14614">
        <f>2/117</f>
        <v>1.7094017094017096E-2</v>
      </c>
      <c r="F14614">
        <v>78</v>
      </c>
      <c r="G14614">
        <f>LOG(382/(78+1))</f>
        <v>0.6844362716212673</v>
      </c>
      <c r="H14614">
        <f>0.017094017094017*1.57597275613955</f>
        <v>2.6939705233154549E-2</v>
      </c>
      <c r="I14614">
        <v>2.6939705233154771E-2</v>
      </c>
    </row>
    <row r="14615" spans="1:9" x14ac:dyDescent="0.25">
      <c r="A14615">
        <v>490</v>
      </c>
      <c r="B14615" t="s">
        <v>3986</v>
      </c>
      <c r="C14615" t="s">
        <v>75</v>
      </c>
      <c r="D14615" t="s">
        <v>456</v>
      </c>
      <c r="E14615">
        <f>2/117</f>
        <v>1.7094017094017096E-2</v>
      </c>
      <c r="F14615">
        <v>71</v>
      </c>
      <c r="G14615">
        <f>LOG(382/(71+1))</f>
        <v>0.72473086648044027</v>
      </c>
      <c r="H14615">
        <f>0.017094017094017*1.66875448959051</f>
        <v>2.8525717770777788E-2</v>
      </c>
      <c r="I14615">
        <v>2.8525717770778121E-2</v>
      </c>
    </row>
    <row r="14616" spans="1:9" x14ac:dyDescent="0.25">
      <c r="A14616">
        <v>490</v>
      </c>
      <c r="B14616" t="s">
        <v>3986</v>
      </c>
      <c r="C14616" t="s">
        <v>75</v>
      </c>
      <c r="D14616" t="s">
        <v>1779</v>
      </c>
      <c r="E14616">
        <f t="shared" ref="E14616:E14627" si="688">1/117</f>
        <v>8.5470085470085479E-3</v>
      </c>
      <c r="F14616">
        <v>41</v>
      </c>
      <c r="G14616">
        <f>LOG(382/(41+1))</f>
        <v>0.95881407251380824</v>
      </c>
      <c r="H14616">
        <f>0.00854700854700854*2.2077509903232</f>
        <v>1.8869666583958958E-2</v>
      </c>
      <c r="I14616">
        <v>1.8869666583959031E-2</v>
      </c>
    </row>
    <row r="14617" spans="1:9" x14ac:dyDescent="0.25">
      <c r="A14617">
        <v>490</v>
      </c>
      <c r="B14617" t="s">
        <v>3986</v>
      </c>
      <c r="C14617" t="s">
        <v>75</v>
      </c>
      <c r="D14617" t="s">
        <v>3956</v>
      </c>
      <c r="E14617">
        <f t="shared" si="688"/>
        <v>8.5470085470085479E-3</v>
      </c>
      <c r="F14617">
        <v>8</v>
      </c>
      <c r="G14617">
        <f>LOG(382/(8+1))</f>
        <v>1.6278208534723839</v>
      </c>
      <c r="H14617">
        <f>0.00854700854700854*3.74819603127035</f>
        <v>3.2035863515131165E-2</v>
      </c>
      <c r="I14617">
        <v>3.2035863515131248E-2</v>
      </c>
    </row>
    <row r="14618" spans="1:9" x14ac:dyDescent="0.25">
      <c r="A14618">
        <v>490</v>
      </c>
      <c r="B14618" t="s">
        <v>3986</v>
      </c>
      <c r="C14618" t="s">
        <v>75</v>
      </c>
      <c r="D14618" t="s">
        <v>3992</v>
      </c>
      <c r="E14618">
        <f t="shared" si="688"/>
        <v>8.5470085470085479E-3</v>
      </c>
      <c r="F14618">
        <v>3</v>
      </c>
      <c r="G14618">
        <f>LOG(382/(3+1))</f>
        <v>1.9800033715837464</v>
      </c>
      <c r="H14618">
        <f>0.00854700854700854*4.55912624748668</f>
        <v>3.8966891004159621E-2</v>
      </c>
      <c r="I14618">
        <v>3.8966891004159697E-2</v>
      </c>
    </row>
    <row r="14619" spans="1:9" x14ac:dyDescent="0.25">
      <c r="A14619">
        <v>490</v>
      </c>
      <c r="B14619" t="s">
        <v>3986</v>
      </c>
      <c r="C14619" t="s">
        <v>75</v>
      </c>
      <c r="D14619" t="s">
        <v>888</v>
      </c>
      <c r="E14619">
        <f t="shared" si="688"/>
        <v>8.5470085470085479E-3</v>
      </c>
      <c r="F14619">
        <v>21</v>
      </c>
      <c r="G14619">
        <f>LOG(382/(21+1))</f>
        <v>1.2396406820895025</v>
      </c>
      <c r="H14619">
        <f>0.00854700854700854*2.85437815524825</f>
        <v>2.4396394489301258E-2</v>
      </c>
      <c r="I14619">
        <v>2.4396394489301362E-2</v>
      </c>
    </row>
    <row r="14620" spans="1:9" x14ac:dyDescent="0.25">
      <c r="A14620">
        <v>490</v>
      </c>
      <c r="B14620" t="s">
        <v>3986</v>
      </c>
      <c r="C14620" t="s">
        <v>75</v>
      </c>
      <c r="D14620" t="s">
        <v>3993</v>
      </c>
      <c r="E14620">
        <f t="shared" si="688"/>
        <v>8.5470085470085479E-3</v>
      </c>
      <c r="F14620">
        <v>1</v>
      </c>
      <c r="G14620">
        <f>LOG(382/(1+1))</f>
        <v>2.2810333672477277</v>
      </c>
      <c r="H14620">
        <f>0.00854700854700854*5.25227342804663</f>
        <v>4.4891225880740383E-2</v>
      </c>
      <c r="I14620">
        <v>4.4891225880740432E-2</v>
      </c>
    </row>
    <row r="14621" spans="1:9" x14ac:dyDescent="0.25">
      <c r="A14621">
        <v>490</v>
      </c>
      <c r="B14621" t="s">
        <v>3986</v>
      </c>
      <c r="C14621" t="s">
        <v>75</v>
      </c>
      <c r="D14621" t="s">
        <v>1025</v>
      </c>
      <c r="E14621">
        <f t="shared" si="688"/>
        <v>8.5470085470085479E-3</v>
      </c>
      <c r="F14621">
        <v>7</v>
      </c>
      <c r="G14621">
        <f>LOG(382/(7+1))</f>
        <v>1.6789733759197651</v>
      </c>
      <c r="H14621">
        <f>0.00854700854700854*3.86597906692673</f>
        <v>3.3042556127578858E-2</v>
      </c>
      <c r="I14621">
        <v>3.3042556127578969E-2</v>
      </c>
    </row>
    <row r="14622" spans="1:9" x14ac:dyDescent="0.25">
      <c r="A14622">
        <v>490</v>
      </c>
      <c r="B14622" t="s">
        <v>3986</v>
      </c>
      <c r="C14622" t="s">
        <v>75</v>
      </c>
      <c r="D14622" t="s">
        <v>361</v>
      </c>
      <c r="E14622">
        <f t="shared" si="688"/>
        <v>8.5470085470085479E-3</v>
      </c>
      <c r="F14622">
        <v>118</v>
      </c>
      <c r="G14622">
        <f>LOG(382/(118+1))</f>
        <v>0.50651640151917798</v>
      </c>
      <c r="H14622">
        <f>0.00854700854700854*1.16629711549504</f>
        <v>9.9683514144875106E-3</v>
      </c>
      <c r="I14622">
        <v>9.968351414487573E-3</v>
      </c>
    </row>
    <row r="14623" spans="1:9" x14ac:dyDescent="0.25">
      <c r="A14623">
        <v>490</v>
      </c>
      <c r="B14623" t="s">
        <v>3986</v>
      </c>
      <c r="C14623" t="s">
        <v>75</v>
      </c>
      <c r="D14623" t="s">
        <v>434</v>
      </c>
      <c r="E14623">
        <f t="shared" si="688"/>
        <v>8.5470085470085479E-3</v>
      </c>
      <c r="F14623">
        <v>97</v>
      </c>
      <c r="G14623">
        <f>LOG(382/(97+1))</f>
        <v>0.59083728721921391</v>
      </c>
      <c r="H14623">
        <f>0.00854700854700854*1.360453129936</f>
        <v>1.1627804529367512E-2</v>
      </c>
      <c r="I14623">
        <v>1.162780452936755E-2</v>
      </c>
    </row>
    <row r="14624" spans="1:9" x14ac:dyDescent="0.25">
      <c r="A14624">
        <v>490</v>
      </c>
      <c r="B14624" t="s">
        <v>3986</v>
      </c>
      <c r="C14624" t="s">
        <v>75</v>
      </c>
      <c r="D14624" t="s">
        <v>850</v>
      </c>
      <c r="E14624">
        <f t="shared" si="688"/>
        <v>8.5470085470085479E-3</v>
      </c>
      <c r="F14624">
        <v>14</v>
      </c>
      <c r="G14624">
        <f>LOG(382/(14+1))</f>
        <v>1.4059721038560276</v>
      </c>
      <c r="H14624">
        <f>0.00854700854700854*3.23737040750436</f>
        <v>2.766983254277228E-2</v>
      </c>
      <c r="I14624">
        <v>2.766983254277236E-2</v>
      </c>
    </row>
    <row r="14625" spans="1:9" x14ac:dyDescent="0.25">
      <c r="A14625">
        <v>490</v>
      </c>
      <c r="B14625" t="s">
        <v>3986</v>
      </c>
      <c r="C14625" t="s">
        <v>75</v>
      </c>
      <c r="D14625" t="s">
        <v>149</v>
      </c>
      <c r="E14625">
        <f t="shared" si="688"/>
        <v>8.5470085470085479E-3</v>
      </c>
      <c r="F14625">
        <v>35</v>
      </c>
      <c r="G14625">
        <f>LOG(382/(35+1))</f>
        <v>1.0257608621444214</v>
      </c>
      <c r="H14625">
        <f>0.00854700854700854*2.36190167015046</f>
        <v>2.0187193761969726E-2</v>
      </c>
      <c r="I14625">
        <v>2.0187193761969788E-2</v>
      </c>
    </row>
    <row r="14626" spans="1:9" x14ac:dyDescent="0.25">
      <c r="A14626">
        <v>490</v>
      </c>
      <c r="B14626" t="s">
        <v>3986</v>
      </c>
      <c r="C14626" t="s">
        <v>75</v>
      </c>
      <c r="D14626" t="s">
        <v>673</v>
      </c>
      <c r="E14626">
        <f t="shared" si="688"/>
        <v>8.5470085470085479E-3</v>
      </c>
      <c r="F14626">
        <v>16</v>
      </c>
      <c r="G14626">
        <f>LOG(382/(16+1))</f>
        <v>1.3516144415334348</v>
      </c>
      <c r="H14626">
        <f>0.00854700854700854*3.11220726455035</f>
        <v>2.6600062090173907E-2</v>
      </c>
      <c r="I14626">
        <v>2.6600062090174011E-2</v>
      </c>
    </row>
    <row r="14627" spans="1:9" x14ac:dyDescent="0.25">
      <c r="A14627">
        <v>490</v>
      </c>
      <c r="B14627" t="s">
        <v>3986</v>
      </c>
      <c r="C14627" t="s">
        <v>75</v>
      </c>
      <c r="D14627" t="s">
        <v>214</v>
      </c>
      <c r="E14627">
        <f t="shared" si="688"/>
        <v>8.5470085470085479E-3</v>
      </c>
      <c r="F14627">
        <v>68</v>
      </c>
      <c r="G14627">
        <f>LOG(382/(68+1))</f>
        <v>0.74321427217445335</v>
      </c>
      <c r="H14627">
        <f>0.00854700854700854*1.71131410400931</f>
        <v>1.4626616273583833E-2</v>
      </c>
      <c r="I14627">
        <v>1.4626616273583901E-2</v>
      </c>
    </row>
    <row r="14628" spans="1:9" x14ac:dyDescent="0.25">
      <c r="A14628">
        <v>490</v>
      </c>
      <c r="B14628" t="s">
        <v>3986</v>
      </c>
      <c r="C14628" t="s">
        <v>75</v>
      </c>
      <c r="D14628" t="s">
        <v>322</v>
      </c>
      <c r="E14628">
        <f>2/117</f>
        <v>1.7094017094017096E-2</v>
      </c>
      <c r="F14628">
        <v>128</v>
      </c>
      <c r="G14628">
        <f>LOG(382/(128+1))</f>
        <v>0.47147365261245977</v>
      </c>
      <c r="H14628">
        <f>0.017094017094017*1.0856082042449</f>
        <v>1.8557405200767419E-2</v>
      </c>
      <c r="I14628">
        <v>1.8557405200767579E-2</v>
      </c>
    </row>
    <row r="14629" spans="1:9" x14ac:dyDescent="0.25">
      <c r="A14629">
        <v>490</v>
      </c>
      <c r="B14629" t="s">
        <v>3986</v>
      </c>
      <c r="C14629" t="s">
        <v>75</v>
      </c>
      <c r="D14629" t="s">
        <v>362</v>
      </c>
      <c r="E14629">
        <f>1/117</f>
        <v>8.5470085470085479E-3</v>
      </c>
      <c r="F14629">
        <v>81</v>
      </c>
      <c r="G14629">
        <f>LOG(382/(81+1))</f>
        <v>0.66824951052799197</v>
      </c>
      <c r="H14629">
        <f>0.00854700854700854*1.53870136134232</f>
        <v>1.3151293686686483E-2</v>
      </c>
      <c r="I14629">
        <v>1.3151293686686509E-2</v>
      </c>
    </row>
    <row r="14630" spans="1:9" x14ac:dyDescent="0.25">
      <c r="A14630">
        <v>490</v>
      </c>
      <c r="B14630" t="s">
        <v>3986</v>
      </c>
      <c r="C14630" t="s">
        <v>75</v>
      </c>
      <c r="D14630" t="s">
        <v>3290</v>
      </c>
      <c r="E14630">
        <f>1/117</f>
        <v>8.5470085470085479E-3</v>
      </c>
      <c r="F14630">
        <v>12</v>
      </c>
      <c r="G14630">
        <f>LOG(382/(12+1))</f>
        <v>1.468120010604872</v>
      </c>
      <c r="H14630">
        <f>0.00854700854700854*3.38047125114503</f>
        <v>2.8892916676453221E-2</v>
      </c>
      <c r="I14630">
        <v>2.8892916676453329E-2</v>
      </c>
    </row>
    <row r="14631" spans="1:9" x14ac:dyDescent="0.25">
      <c r="A14631">
        <v>490</v>
      </c>
      <c r="B14631" t="s">
        <v>3986</v>
      </c>
      <c r="C14631" t="s">
        <v>75</v>
      </c>
      <c r="D14631" t="s">
        <v>82</v>
      </c>
      <c r="E14631">
        <f>3/117</f>
        <v>2.564102564102564E-2</v>
      </c>
      <c r="F14631">
        <v>92</v>
      </c>
      <c r="G14631">
        <f>LOG(382/(92+1))</f>
        <v>0.61358041435777355</v>
      </c>
      <c r="H14631">
        <f>0.0256410256410256*1.41282111545331</f>
        <v>3.6226182447520704E-2</v>
      </c>
      <c r="I14631">
        <v>3.6226182447521002E-2</v>
      </c>
    </row>
    <row r="14632" spans="1:9" x14ac:dyDescent="0.25">
      <c r="A14632">
        <v>490</v>
      </c>
      <c r="B14632" t="s">
        <v>3986</v>
      </c>
      <c r="C14632" t="s">
        <v>75</v>
      </c>
      <c r="D14632" t="s">
        <v>2369</v>
      </c>
      <c r="E14632">
        <f>1/117</f>
        <v>8.5470085470085479E-3</v>
      </c>
      <c r="F14632">
        <v>15</v>
      </c>
      <c r="G14632">
        <f>LOG(382/(15+1))</f>
        <v>1.3779433802557839</v>
      </c>
      <c r="H14632">
        <f>0.00854700854700854*3.17283188636679</f>
        <v>2.7118221250998182E-2</v>
      </c>
      <c r="I14632">
        <v>2.7118221250998241E-2</v>
      </c>
    </row>
    <row r="14633" spans="1:9" x14ac:dyDescent="0.25">
      <c r="A14633">
        <v>490</v>
      </c>
      <c r="B14633" t="s">
        <v>3986</v>
      </c>
      <c r="C14633" t="s">
        <v>75</v>
      </c>
      <c r="D14633" t="s">
        <v>1727</v>
      </c>
      <c r="E14633">
        <f>1/117</f>
        <v>8.5470085470085479E-3</v>
      </c>
      <c r="F14633">
        <v>27</v>
      </c>
      <c r="G14633">
        <f>LOG(382/(27+1))</f>
        <v>1.1349053315694895</v>
      </c>
      <c r="H14633">
        <f>0.00854700854700854*2.61321609843137</f>
        <v>2.2335180328473227E-2</v>
      </c>
      <c r="I14633">
        <v>2.2335180328473259E-2</v>
      </c>
    </row>
    <row r="14634" spans="1:9" x14ac:dyDescent="0.25">
      <c r="A14634">
        <v>490</v>
      </c>
      <c r="B14634" t="s">
        <v>3986</v>
      </c>
      <c r="C14634" t="s">
        <v>75</v>
      </c>
      <c r="D14634" t="s">
        <v>2238</v>
      </c>
      <c r="E14634">
        <f>2/117</f>
        <v>1.7094017094017096E-2</v>
      </c>
      <c r="F14634">
        <v>68</v>
      </c>
      <c r="G14634">
        <f>LOG(382/(68+1))</f>
        <v>0.74321427217445335</v>
      </c>
      <c r="H14634">
        <f>0.017094017094017*1.71131410400931</f>
        <v>2.9253232547167531E-2</v>
      </c>
      <c r="I14634">
        <v>2.9253232547167791E-2</v>
      </c>
    </row>
    <row r="14635" spans="1:9" x14ac:dyDescent="0.25">
      <c r="A14635">
        <v>490</v>
      </c>
      <c r="B14635" t="s">
        <v>3986</v>
      </c>
      <c r="C14635" t="s">
        <v>75</v>
      </c>
      <c r="D14635" t="s">
        <v>2554</v>
      </c>
      <c r="E14635">
        <f>1/117</f>
        <v>8.5470085470085479E-3</v>
      </c>
      <c r="F14635">
        <v>22</v>
      </c>
      <c r="G14635">
        <f>LOG(382/(22+1))</f>
        <v>1.2203355268941158</v>
      </c>
      <c r="H14635">
        <f>0.00854700854700854*2.80992639267742</f>
        <v>2.401646489467878E-2</v>
      </c>
      <c r="I14635">
        <v>2.401646489467885E-2</v>
      </c>
    </row>
    <row r="14636" spans="1:9" x14ac:dyDescent="0.25">
      <c r="A14636">
        <v>490</v>
      </c>
      <c r="B14636" t="s">
        <v>3986</v>
      </c>
      <c r="C14636" t="s">
        <v>75</v>
      </c>
      <c r="D14636" t="s">
        <v>746</v>
      </c>
      <c r="E14636">
        <f>1/117</f>
        <v>8.5470085470085479E-3</v>
      </c>
      <c r="F14636">
        <v>58</v>
      </c>
      <c r="G14636">
        <f>LOG(382/(58+1))</f>
        <v>0.81121135126956456</v>
      </c>
      <c r="H14636">
        <f>0.00854700854700854*1.86788316470085</f>
        <v>1.5964813373511525E-2</v>
      </c>
      <c r="I14636">
        <v>1.5964813373511591E-2</v>
      </c>
    </row>
    <row r="14637" spans="1:9" x14ac:dyDescent="0.25">
      <c r="A14637">
        <v>490</v>
      </c>
      <c r="B14637" t="s">
        <v>3986</v>
      </c>
      <c r="C14637" t="s">
        <v>75</v>
      </c>
      <c r="D14637" t="s">
        <v>1773</v>
      </c>
      <c r="E14637">
        <f>1/117</f>
        <v>8.5470085470085479E-3</v>
      </c>
      <c r="F14637">
        <v>24</v>
      </c>
      <c r="G14637">
        <f>LOG(382/(24+1))</f>
        <v>1.1841233542396712</v>
      </c>
      <c r="H14637">
        <f>0.00854700854700854*2.72654478373837</f>
        <v>2.3303801570413396E-2</v>
      </c>
      <c r="I14637">
        <v>2.3303801570413459E-2</v>
      </c>
    </row>
    <row r="14638" spans="1:9" x14ac:dyDescent="0.25">
      <c r="A14638">
        <v>490</v>
      </c>
      <c r="B14638" t="s">
        <v>3986</v>
      </c>
      <c r="C14638" t="s">
        <v>75</v>
      </c>
      <c r="D14638" t="s">
        <v>447</v>
      </c>
      <c r="E14638">
        <f>1/117</f>
        <v>8.5470085470085479E-3</v>
      </c>
      <c r="F14638">
        <v>37</v>
      </c>
      <c r="G14638">
        <f>LOG(382/(37+1))</f>
        <v>1.0022797662948986</v>
      </c>
      <c r="H14638">
        <f>0.00854700854700854*2.30783444888018</f>
        <v>1.972508075965964E-2</v>
      </c>
      <c r="I14638">
        <v>1.972508075965974E-2</v>
      </c>
    </row>
    <row r="14639" spans="1:9" x14ac:dyDescent="0.25">
      <c r="A14639">
        <v>490</v>
      </c>
      <c r="B14639" t="s">
        <v>3986</v>
      </c>
      <c r="C14639" t="s">
        <v>75</v>
      </c>
      <c r="D14639" t="s">
        <v>81</v>
      </c>
      <c r="E14639">
        <f>2/117</f>
        <v>1.7094017094017096E-2</v>
      </c>
      <c r="F14639">
        <v>114</v>
      </c>
      <c r="G14639">
        <f>LOG(382/(114+1))</f>
        <v>0.52136552255809698</v>
      </c>
      <c r="H14639">
        <f>0.017094017094017*1.20048848024332</f>
        <v>2.05211706024498E-2</v>
      </c>
      <c r="I14639">
        <v>2.0521170602450001E-2</v>
      </c>
    </row>
    <row r="14640" spans="1:9" x14ac:dyDescent="0.25">
      <c r="A14640">
        <v>490</v>
      </c>
      <c r="B14640" t="s">
        <v>3986</v>
      </c>
      <c r="C14640" t="s">
        <v>75</v>
      </c>
      <c r="D14640" t="s">
        <v>324</v>
      </c>
      <c r="E14640">
        <f>2/117</f>
        <v>1.7094017094017096E-2</v>
      </c>
      <c r="F14640">
        <v>82</v>
      </c>
      <c r="G14640">
        <f>LOG(382/(82+1))</f>
        <v>0.66298527053563483</v>
      </c>
      <c r="H14640">
        <f>0.017094017094017*1.52658000080997</f>
        <v>2.6095384629230108E-2</v>
      </c>
      <c r="I14640">
        <v>2.6095384629230379E-2</v>
      </c>
    </row>
    <row r="14641" spans="1:9" x14ac:dyDescent="0.25">
      <c r="A14641">
        <v>490</v>
      </c>
      <c r="B14641" t="s">
        <v>3986</v>
      </c>
      <c r="C14641" t="s">
        <v>75</v>
      </c>
      <c r="D14641" t="s">
        <v>311</v>
      </c>
      <c r="E14641">
        <f>1/117</f>
        <v>8.5470085470085479E-3</v>
      </c>
      <c r="F14641">
        <v>7</v>
      </c>
      <c r="G14641">
        <f>LOG(382/(7+1))</f>
        <v>1.6789733759197651</v>
      </c>
      <c r="H14641">
        <f>0.00854700854700854*3.86597906692673</f>
        <v>3.3042556127578858E-2</v>
      </c>
      <c r="I14641">
        <v>3.3042556127578969E-2</v>
      </c>
    </row>
    <row r="14642" spans="1:9" x14ac:dyDescent="0.25">
      <c r="A14642">
        <v>490</v>
      </c>
      <c r="B14642" t="s">
        <v>3986</v>
      </c>
      <c r="C14642" t="s">
        <v>75</v>
      </c>
      <c r="D14642" t="s">
        <v>754</v>
      </c>
      <c r="E14642">
        <f>2/117</f>
        <v>1.7094017094017096E-2</v>
      </c>
      <c r="F14642">
        <v>111</v>
      </c>
      <c r="G14642">
        <f>LOG(382/(111+1))</f>
        <v>0.53284534024152708</v>
      </c>
      <c r="H14642">
        <f>0.017094017094017*1.22692173731148</f>
        <v>2.0973021150623473E-2</v>
      </c>
      <c r="I14642">
        <v>2.0973021150623609E-2</v>
      </c>
    </row>
    <row r="14643" spans="1:9" x14ac:dyDescent="0.25">
      <c r="A14643">
        <v>490</v>
      </c>
      <c r="B14643" t="s">
        <v>3986</v>
      </c>
      <c r="C14643" t="s">
        <v>75</v>
      </c>
      <c r="D14643" t="s">
        <v>1222</v>
      </c>
      <c r="E14643">
        <f>2/117</f>
        <v>1.7094017094017096E-2</v>
      </c>
      <c r="F14643">
        <v>56</v>
      </c>
      <c r="G14643">
        <f>LOG(382/(56+1))</f>
        <v>0.82618850723921733</v>
      </c>
      <c r="H14643">
        <f>0.017094017094017*1.90236934077202</f>
        <v>3.2519134030290754E-2</v>
      </c>
      <c r="I14643">
        <v>3.2519134030291032E-2</v>
      </c>
    </row>
    <row r="14644" spans="1:9" x14ac:dyDescent="0.25">
      <c r="A14644">
        <v>490</v>
      </c>
      <c r="B14644" t="s">
        <v>3986</v>
      </c>
      <c r="C14644" t="s">
        <v>75</v>
      </c>
      <c r="D14644" t="s">
        <v>485</v>
      </c>
      <c r="E14644">
        <f>1/117</f>
        <v>8.5470085470085479E-3</v>
      </c>
      <c r="F14644">
        <v>74</v>
      </c>
      <c r="G14644">
        <f>LOG(382/(74+1))</f>
        <v>0.7070020995200087</v>
      </c>
      <c r="H14644">
        <f>0.00854700854700854*1.62793249507026</f>
        <v>1.3913952949318449E-2</v>
      </c>
      <c r="I14644">
        <v>1.3913952949318501E-2</v>
      </c>
    </row>
    <row r="14645" spans="1:9" x14ac:dyDescent="0.25">
      <c r="A14645">
        <v>490</v>
      </c>
      <c r="B14645" t="s">
        <v>3986</v>
      </c>
      <c r="C14645" t="s">
        <v>75</v>
      </c>
      <c r="D14645" t="s">
        <v>388</v>
      </c>
      <c r="E14645">
        <f>1/117</f>
        <v>8.5470085470085479E-3</v>
      </c>
      <c r="F14645">
        <v>44</v>
      </c>
      <c r="G14645">
        <f>LOG(382/(44+1))</f>
        <v>0.92885084913636506</v>
      </c>
      <c r="H14645">
        <f>0.00854700854700854*2.13875811883625</f>
        <v>1.8279983921677331E-2</v>
      </c>
      <c r="I14645">
        <v>1.8279983921677401E-2</v>
      </c>
    </row>
    <row r="14646" spans="1:9" x14ac:dyDescent="0.25">
      <c r="A14646">
        <v>490</v>
      </c>
      <c r="B14646" t="s">
        <v>3986</v>
      </c>
      <c r="C14646" t="s">
        <v>75</v>
      </c>
      <c r="D14646" t="s">
        <v>596</v>
      </c>
      <c r="E14646">
        <f>1/117</f>
        <v>8.5470085470085479E-3</v>
      </c>
      <c r="F14646">
        <v>60</v>
      </c>
      <c r="G14646">
        <f>LOG(382/(60+1))</f>
        <v>0.79673352790094176</v>
      </c>
      <c r="H14646">
        <f>0.00854700854700854*1.83454674443326</f>
        <v>1.5679886704557763E-2</v>
      </c>
      <c r="I14646">
        <v>1.5679886704557808E-2</v>
      </c>
    </row>
    <row r="14647" spans="1:9" x14ac:dyDescent="0.25">
      <c r="A14647">
        <v>490</v>
      </c>
      <c r="B14647" t="s">
        <v>3986</v>
      </c>
      <c r="C14647" t="s">
        <v>75</v>
      </c>
      <c r="D14647" t="s">
        <v>597</v>
      </c>
      <c r="E14647">
        <f>1/117</f>
        <v>8.5470085470085479E-3</v>
      </c>
      <c r="F14647">
        <v>51</v>
      </c>
      <c r="G14647">
        <f>LOG(382/(51+1))</f>
        <v>0.86606001927690957</v>
      </c>
      <c r="H14647">
        <f>0.00854700854700854*1.99417689002514</f>
        <v>1.7044246923291779E-2</v>
      </c>
      <c r="I14647">
        <v>1.7044246923291859E-2</v>
      </c>
    </row>
    <row r="14648" spans="1:9" x14ac:dyDescent="0.25">
      <c r="A14648">
        <v>490</v>
      </c>
      <c r="B14648" t="s">
        <v>3986</v>
      </c>
      <c r="C14648" t="s">
        <v>75</v>
      </c>
      <c r="D14648" t="s">
        <v>772</v>
      </c>
      <c r="E14648">
        <f>2/117</f>
        <v>1.7094017094017096E-2</v>
      </c>
      <c r="F14648">
        <v>31</v>
      </c>
      <c r="G14648">
        <f>LOG(382/(31+1))</f>
        <v>1.0769133845918029</v>
      </c>
      <c r="H14648">
        <f>0.017094017094017*2.47968470580684</f>
        <v>4.238777274883463E-2</v>
      </c>
      <c r="I14648">
        <v>4.2387772748835033E-2</v>
      </c>
    </row>
    <row r="14649" spans="1:9" x14ac:dyDescent="0.25">
      <c r="A14649">
        <v>490</v>
      </c>
      <c r="B14649" t="s">
        <v>3986</v>
      </c>
      <c r="C14649" t="s">
        <v>75</v>
      </c>
      <c r="D14649" t="s">
        <v>236</v>
      </c>
      <c r="E14649">
        <f t="shared" ref="E14649:E14657" si="689">1/117</f>
        <v>8.5470085470085479E-3</v>
      </c>
      <c r="F14649">
        <v>87</v>
      </c>
      <c r="G14649">
        <f>LOG(382/(87+1))</f>
        <v>0.63758069076154011</v>
      </c>
      <c r="H14649">
        <f>0.00854700854700854*1.46808379412836</f>
        <v>1.2547724736139817E-2</v>
      </c>
      <c r="I14649">
        <v>1.25477247361399E-2</v>
      </c>
    </row>
    <row r="14650" spans="1:9" x14ac:dyDescent="0.25">
      <c r="A14650">
        <v>490</v>
      </c>
      <c r="B14650" t="s">
        <v>3986</v>
      </c>
      <c r="C14650" t="s">
        <v>75</v>
      </c>
      <c r="D14650" t="s">
        <v>3334</v>
      </c>
      <c r="E14650">
        <f t="shared" si="689"/>
        <v>8.5470085470085479E-3</v>
      </c>
      <c r="F14650">
        <v>12</v>
      </c>
      <c r="G14650">
        <f>LOG(382/(12+1))</f>
        <v>1.468120010604872</v>
      </c>
      <c r="H14650">
        <f>0.00854700854700854*3.38047125114503</f>
        <v>2.8892916676453221E-2</v>
      </c>
      <c r="I14650">
        <v>2.8892916676453329E-2</v>
      </c>
    </row>
    <row r="14651" spans="1:9" x14ac:dyDescent="0.25">
      <c r="A14651">
        <v>490</v>
      </c>
      <c r="B14651" t="s">
        <v>3986</v>
      </c>
      <c r="C14651" t="s">
        <v>75</v>
      </c>
      <c r="D14651" t="s">
        <v>2930</v>
      </c>
      <c r="E14651">
        <f t="shared" si="689"/>
        <v>8.5470085470085479E-3</v>
      </c>
      <c r="F14651">
        <v>15</v>
      </c>
      <c r="G14651">
        <f>LOG(382/(15+1))</f>
        <v>1.3779433802557839</v>
      </c>
      <c r="H14651">
        <f>0.00854700854700854*3.17283188636679</f>
        <v>2.7118221250998182E-2</v>
      </c>
      <c r="I14651">
        <v>2.7118221250998241E-2</v>
      </c>
    </row>
    <row r="14652" spans="1:9" x14ac:dyDescent="0.25">
      <c r="A14652">
        <v>490</v>
      </c>
      <c r="B14652" t="s">
        <v>3986</v>
      </c>
      <c r="C14652" t="s">
        <v>75</v>
      </c>
      <c r="D14652" t="s">
        <v>357</v>
      </c>
      <c r="E14652">
        <f t="shared" si="689"/>
        <v>8.5470085470085479E-3</v>
      </c>
      <c r="F14652">
        <v>7</v>
      </c>
      <c r="G14652">
        <f>LOG(382/(7+1))</f>
        <v>1.6789733759197651</v>
      </c>
      <c r="H14652">
        <f>0.00854700854700854*3.86597906692673</f>
        <v>3.3042556127578858E-2</v>
      </c>
      <c r="I14652">
        <v>3.3042556127578969E-2</v>
      </c>
    </row>
    <row r="14653" spans="1:9" x14ac:dyDescent="0.25">
      <c r="A14653">
        <v>490</v>
      </c>
      <c r="B14653" t="s">
        <v>3986</v>
      </c>
      <c r="C14653" t="s">
        <v>75</v>
      </c>
      <c r="D14653" t="s">
        <v>78</v>
      </c>
      <c r="E14653">
        <f t="shared" si="689"/>
        <v>8.5470085470085479E-3</v>
      </c>
      <c r="F14653">
        <v>122</v>
      </c>
      <c r="G14653">
        <f>LOG(382/(122+1))</f>
        <v>0.49215825147231079</v>
      </c>
      <c r="H14653">
        <f>0.00854700854700854*1.13323625323415</f>
        <v>9.6857799421722138E-3</v>
      </c>
      <c r="I14653">
        <v>9.6857799421722884E-3</v>
      </c>
    </row>
    <row r="14654" spans="1:9" x14ac:dyDescent="0.25">
      <c r="A14654">
        <v>490</v>
      </c>
      <c r="B14654" t="s">
        <v>3986</v>
      </c>
      <c r="C14654" t="s">
        <v>75</v>
      </c>
      <c r="D14654" t="s">
        <v>239</v>
      </c>
      <c r="E14654">
        <f t="shared" si="689"/>
        <v>8.5470085470085479E-3</v>
      </c>
      <c r="F14654">
        <v>40</v>
      </c>
      <c r="G14654">
        <f>LOG(382/(40+1))</f>
        <v>0.96927950619197323</v>
      </c>
      <c r="H14654">
        <f>0.00854700854700854*2.23184854190226</f>
        <v>1.9075628563267159E-2</v>
      </c>
      <c r="I14654">
        <v>1.9075628563267239E-2</v>
      </c>
    </row>
    <row r="14655" spans="1:9" x14ac:dyDescent="0.25">
      <c r="A14655">
        <v>490</v>
      </c>
      <c r="B14655" t="s">
        <v>3986</v>
      </c>
      <c r="C14655" t="s">
        <v>75</v>
      </c>
      <c r="D14655" t="s">
        <v>767</v>
      </c>
      <c r="E14655">
        <f t="shared" si="689"/>
        <v>8.5470085470085479E-3</v>
      </c>
      <c r="F14655">
        <v>47</v>
      </c>
      <c r="G14655">
        <f>LOG(382/(47+1))</f>
        <v>0.90082212553612151</v>
      </c>
      <c r="H14655">
        <f>0.00854700854700854*2.07421959769868</f>
        <v>1.7728372629903233E-2</v>
      </c>
      <c r="I14655">
        <v>1.7728372629903281E-2</v>
      </c>
    </row>
    <row r="14656" spans="1:9" x14ac:dyDescent="0.25">
      <c r="A14656">
        <v>490</v>
      </c>
      <c r="B14656" t="s">
        <v>3986</v>
      </c>
      <c r="C14656" t="s">
        <v>75</v>
      </c>
      <c r="D14656" t="s">
        <v>256</v>
      </c>
      <c r="E14656">
        <f t="shared" si="689"/>
        <v>8.5470085470085479E-3</v>
      </c>
      <c r="F14656">
        <v>28</v>
      </c>
      <c r="G14656">
        <f>LOG(382/(28+1))</f>
        <v>1.1196653650127526</v>
      </c>
      <c r="H14656">
        <f>0.00854700854700854*2.5781247786201</f>
        <v>2.2035254518120492E-2</v>
      </c>
      <c r="I14656">
        <v>2.203525451812053E-2</v>
      </c>
    </row>
    <row r="14657" spans="1:9" x14ac:dyDescent="0.25">
      <c r="A14657">
        <v>490</v>
      </c>
      <c r="B14657" t="s">
        <v>3986</v>
      </c>
      <c r="C14657" t="s">
        <v>75</v>
      </c>
      <c r="D14657" t="s">
        <v>753</v>
      </c>
      <c r="E14657">
        <f t="shared" si="689"/>
        <v>8.5470085470085479E-3</v>
      </c>
      <c r="F14657">
        <v>19</v>
      </c>
      <c r="G14657">
        <f>LOG(382/(19+1))</f>
        <v>1.2810333672477277</v>
      </c>
      <c r="H14657">
        <f>0.00854700854700854*2.94968833505258</f>
        <v>2.5211011410705787E-2</v>
      </c>
      <c r="I14657">
        <v>2.521101141070585E-2</v>
      </c>
    </row>
    <row r="14658" spans="1:9" x14ac:dyDescent="0.25">
      <c r="A14658">
        <v>490</v>
      </c>
      <c r="B14658" t="s">
        <v>3986</v>
      </c>
      <c r="C14658" t="s">
        <v>75</v>
      </c>
      <c r="D14658" t="s">
        <v>770</v>
      </c>
      <c r="E14658">
        <f>2/117</f>
        <v>1.7094017094017096E-2</v>
      </c>
      <c r="F14658">
        <v>47</v>
      </c>
      <c r="G14658">
        <f>LOG(382/(47+1))</f>
        <v>0.90082212553612151</v>
      </c>
      <c r="H14658">
        <f>0.017094017094017*2.07421959769868</f>
        <v>3.5456745259806299E-2</v>
      </c>
      <c r="I14658">
        <v>3.545674525980657E-2</v>
      </c>
    </row>
    <row r="14659" spans="1:9" x14ac:dyDescent="0.25">
      <c r="A14659">
        <v>490</v>
      </c>
      <c r="B14659" t="s">
        <v>3986</v>
      </c>
      <c r="C14659" t="s">
        <v>75</v>
      </c>
      <c r="D14659" t="s">
        <v>307</v>
      </c>
      <c r="E14659">
        <f>1/117</f>
        <v>8.5470085470085479E-3</v>
      </c>
      <c r="F14659">
        <v>67</v>
      </c>
      <c r="G14659">
        <f>LOG(382/(67+1))</f>
        <v>0.7495544502054724</v>
      </c>
      <c r="H14659">
        <f>0.00854700854700854*1.72591290343046</f>
        <v>1.4751392337012467E-2</v>
      </c>
      <c r="I14659">
        <v>1.475139233701255E-2</v>
      </c>
    </row>
    <row r="14660" spans="1:9" x14ac:dyDescent="0.25">
      <c r="A14660">
        <v>490</v>
      </c>
      <c r="B14660" t="s">
        <v>3986</v>
      </c>
      <c r="C14660" t="s">
        <v>75</v>
      </c>
      <c r="D14660" t="s">
        <v>1456</v>
      </c>
      <c r="E14660">
        <f>1/117</f>
        <v>8.5470085470085479E-3</v>
      </c>
      <c r="F14660">
        <v>5</v>
      </c>
      <c r="G14660">
        <f>LOG(382/(5+1))</f>
        <v>1.803912112528065</v>
      </c>
      <c r="H14660">
        <f>0.00854700854700854*4.15366113937852</f>
        <v>3.5501377259645438E-2</v>
      </c>
      <c r="I14660">
        <v>3.5501377259645472E-2</v>
      </c>
    </row>
    <row r="14661" spans="1:9" x14ac:dyDescent="0.25">
      <c r="A14661">
        <v>490</v>
      </c>
      <c r="B14661" t="s">
        <v>3986</v>
      </c>
      <c r="C14661" t="s">
        <v>75</v>
      </c>
      <c r="D14661" t="s">
        <v>1019</v>
      </c>
      <c r="E14661">
        <f>1/117</f>
        <v>8.5470085470085479E-3</v>
      </c>
      <c r="F14661">
        <v>7</v>
      </c>
      <c r="G14661">
        <f>LOG(382/(7+1))</f>
        <v>1.6789733759197651</v>
      </c>
      <c r="H14661">
        <f>0.00854700854700854*3.86597906692673</f>
        <v>3.3042556127578858E-2</v>
      </c>
      <c r="I14661">
        <v>3.3042556127578969E-2</v>
      </c>
    </row>
    <row r="14662" spans="1:9" x14ac:dyDescent="0.25">
      <c r="A14662">
        <v>490</v>
      </c>
      <c r="B14662" t="s">
        <v>3986</v>
      </c>
      <c r="C14662" t="s">
        <v>75</v>
      </c>
      <c r="D14662" t="s">
        <v>2681</v>
      </c>
      <c r="E14662">
        <f>1/117</f>
        <v>8.5470085470085479E-3</v>
      </c>
      <c r="F14662">
        <v>3</v>
      </c>
      <c r="G14662">
        <f>LOG(382/(3+1))</f>
        <v>1.9800033715837464</v>
      </c>
      <c r="H14662">
        <f>0.00854700854700854*4.55912624748668</f>
        <v>3.8966891004159621E-2</v>
      </c>
      <c r="I14662">
        <v>3.8966891004159697E-2</v>
      </c>
    </row>
    <row r="14663" spans="1:9" x14ac:dyDescent="0.25">
      <c r="A14663">
        <v>491</v>
      </c>
      <c r="B14663" t="s">
        <v>3994</v>
      </c>
      <c r="C14663" t="s">
        <v>75</v>
      </c>
      <c r="D14663" t="s">
        <v>3995</v>
      </c>
      <c r="E14663">
        <f>1/26</f>
        <v>3.8461538461538464E-2</v>
      </c>
      <c r="F14663">
        <v>1</v>
      </c>
      <c r="G14663">
        <f>LOG(382/(1+1))</f>
        <v>2.2810333672477277</v>
      </c>
      <c r="H14663">
        <f>0.0384615384615384*5.25227342804663</f>
        <v>0.2020105164633316</v>
      </c>
      <c r="I14663">
        <v>0.2020105164633319</v>
      </c>
    </row>
    <row r="14664" spans="1:9" x14ac:dyDescent="0.25">
      <c r="A14664">
        <v>491</v>
      </c>
      <c r="B14664" t="s">
        <v>3994</v>
      </c>
      <c r="C14664" t="s">
        <v>75</v>
      </c>
      <c r="D14664" t="s">
        <v>2231</v>
      </c>
      <c r="E14664">
        <f>1/26</f>
        <v>3.8461538461538464E-2</v>
      </c>
      <c r="F14664">
        <v>23</v>
      </c>
      <c r="G14664">
        <f>LOG(382/(23+1))</f>
        <v>1.2018521212001028</v>
      </c>
      <c r="H14664">
        <f>0.0384615384615384*2.76736677825862</f>
        <v>0.10643718377917753</v>
      </c>
      <c r="I14664">
        <v>0.1064371837791781</v>
      </c>
    </row>
    <row r="14665" spans="1:9" x14ac:dyDescent="0.25">
      <c r="A14665">
        <v>491</v>
      </c>
      <c r="B14665" t="s">
        <v>3994</v>
      </c>
      <c r="C14665" t="s">
        <v>75</v>
      </c>
      <c r="D14665" t="s">
        <v>3996</v>
      </c>
      <c r="E14665">
        <f>1/26</f>
        <v>3.8461538461538464E-2</v>
      </c>
      <c r="F14665">
        <v>5</v>
      </c>
      <c r="G14665">
        <f>LOG(382/(5+1))</f>
        <v>1.803912112528065</v>
      </c>
      <c r="H14665">
        <f>0.0384615384615384*4.15366113937852</f>
        <v>0.15975619766840435</v>
      </c>
      <c r="I14665">
        <v>0.1597561976684046</v>
      </c>
    </row>
    <row r="14666" spans="1:9" x14ac:dyDescent="0.25">
      <c r="A14666">
        <v>491</v>
      </c>
      <c r="B14666" t="s">
        <v>3994</v>
      </c>
      <c r="C14666" t="s">
        <v>75</v>
      </c>
      <c r="D14666" t="s">
        <v>81</v>
      </c>
      <c r="E14666">
        <f>2/26</f>
        <v>7.6923076923076927E-2</v>
      </c>
      <c r="F14666">
        <v>114</v>
      </c>
      <c r="G14666">
        <f>LOG(382/(114+1))</f>
        <v>0.52136552255809698</v>
      </c>
      <c r="H14666">
        <f>0.0769230769230769*1.20048848024332</f>
        <v>9.2345267711024581E-2</v>
      </c>
      <c r="I14666">
        <v>9.2345267711025011E-2</v>
      </c>
    </row>
    <row r="14667" spans="1:9" x14ac:dyDescent="0.25">
      <c r="A14667">
        <v>491</v>
      </c>
      <c r="B14667" t="s">
        <v>3994</v>
      </c>
      <c r="C14667" t="s">
        <v>75</v>
      </c>
      <c r="D14667" t="s">
        <v>82</v>
      </c>
      <c r="E14667">
        <f>1/26</f>
        <v>3.8461538461538464E-2</v>
      </c>
      <c r="F14667">
        <v>92</v>
      </c>
      <c r="G14667">
        <f>LOG(382/(92+1))</f>
        <v>0.61358041435777355</v>
      </c>
      <c r="H14667">
        <f>0.0384615384615384*1.41282111545331</f>
        <v>5.4339273671281066E-2</v>
      </c>
      <c r="I14667">
        <v>5.433927367128151E-2</v>
      </c>
    </row>
    <row r="14668" spans="1:9" x14ac:dyDescent="0.25">
      <c r="A14668">
        <v>491</v>
      </c>
      <c r="B14668" t="s">
        <v>3994</v>
      </c>
      <c r="C14668" t="s">
        <v>75</v>
      </c>
      <c r="D14668" t="s">
        <v>1730</v>
      </c>
      <c r="E14668">
        <f>3/26</f>
        <v>0.11538461538461539</v>
      </c>
      <c r="F14668">
        <v>35</v>
      </c>
      <c r="G14668">
        <f>LOG(382/(35+1))</f>
        <v>1.0257608621444214</v>
      </c>
      <c r="H14668">
        <f>0.115384615384615*2.36190167015046</f>
        <v>0.27252711578659067</v>
      </c>
      <c r="I14668">
        <v>0.27252711578659211</v>
      </c>
    </row>
    <row r="14669" spans="1:9" x14ac:dyDescent="0.25">
      <c r="A14669">
        <v>491</v>
      </c>
      <c r="B14669" t="s">
        <v>3994</v>
      </c>
      <c r="C14669" t="s">
        <v>75</v>
      </c>
      <c r="D14669" t="s">
        <v>1261</v>
      </c>
      <c r="E14669">
        <f t="shared" ref="E14669:E14685" si="690">1/26</f>
        <v>3.8461538461538464E-2</v>
      </c>
      <c r="F14669">
        <v>12</v>
      </c>
      <c r="G14669">
        <f>LOG(382/(12+1))</f>
        <v>1.468120010604872</v>
      </c>
      <c r="H14669">
        <f>0.0384615384615384*3.38047125114503</f>
        <v>0.13001812504403942</v>
      </c>
      <c r="I14669">
        <v>0.13001812504404001</v>
      </c>
    </row>
    <row r="14670" spans="1:9" x14ac:dyDescent="0.25">
      <c r="A14670">
        <v>491</v>
      </c>
      <c r="B14670" t="s">
        <v>3994</v>
      </c>
      <c r="C14670" t="s">
        <v>75</v>
      </c>
      <c r="D14670" t="s">
        <v>1550</v>
      </c>
      <c r="E14670">
        <f t="shared" si="690"/>
        <v>3.8461538461538464E-2</v>
      </c>
      <c r="F14670">
        <v>16</v>
      </c>
      <c r="G14670">
        <f>LOG(382/(16+1))</f>
        <v>1.3516144415334348</v>
      </c>
      <c r="H14670">
        <f>0.0384615384615384*3.11220726455035</f>
        <v>0.1197002794057825</v>
      </c>
      <c r="I14670">
        <v>0.11970027940578309</v>
      </c>
    </row>
    <row r="14671" spans="1:9" x14ac:dyDescent="0.25">
      <c r="A14671">
        <v>491</v>
      </c>
      <c r="B14671" t="s">
        <v>3994</v>
      </c>
      <c r="C14671" t="s">
        <v>75</v>
      </c>
      <c r="D14671" t="s">
        <v>723</v>
      </c>
      <c r="E14671">
        <f t="shared" si="690"/>
        <v>3.8461538461538464E-2</v>
      </c>
      <c r="F14671">
        <v>3</v>
      </c>
      <c r="G14671">
        <f>LOG(382/(3+1))</f>
        <v>1.9800033715837464</v>
      </c>
      <c r="H14671">
        <f>0.0384615384615384*4.55912624748668</f>
        <v>0.17535100951871818</v>
      </c>
      <c r="I14671">
        <v>0.17535100951871871</v>
      </c>
    </row>
    <row r="14672" spans="1:9" x14ac:dyDescent="0.25">
      <c r="A14672">
        <v>491</v>
      </c>
      <c r="B14672" t="s">
        <v>3994</v>
      </c>
      <c r="C14672" t="s">
        <v>75</v>
      </c>
      <c r="D14672" t="s">
        <v>3997</v>
      </c>
      <c r="E14672">
        <f t="shared" si="690"/>
        <v>3.8461538461538464E-2</v>
      </c>
      <c r="F14672">
        <v>1</v>
      </c>
      <c r="G14672">
        <f>LOG(382/(1+1))</f>
        <v>2.2810333672477277</v>
      </c>
      <c r="H14672">
        <f>0.0384615384615384*5.25227342804663</f>
        <v>0.2020105164633316</v>
      </c>
      <c r="I14672">
        <v>0.2020105164633319</v>
      </c>
    </row>
    <row r="14673" spans="1:9" x14ac:dyDescent="0.25">
      <c r="A14673">
        <v>491</v>
      </c>
      <c r="B14673" t="s">
        <v>3994</v>
      </c>
      <c r="C14673" t="s">
        <v>75</v>
      </c>
      <c r="D14673" t="s">
        <v>1546</v>
      </c>
      <c r="E14673">
        <f t="shared" si="690"/>
        <v>3.8461538461538464E-2</v>
      </c>
      <c r="F14673">
        <v>44</v>
      </c>
      <c r="G14673">
        <f>LOG(382/(44+1))</f>
        <v>0.92885084913636506</v>
      </c>
      <c r="H14673">
        <f>0.0384615384615384*2.13875811883625</f>
        <v>8.2259927647547942E-2</v>
      </c>
      <c r="I14673">
        <v>8.2259927647548275E-2</v>
      </c>
    </row>
    <row r="14674" spans="1:9" x14ac:dyDescent="0.25">
      <c r="A14674">
        <v>491</v>
      </c>
      <c r="B14674" t="s">
        <v>3994</v>
      </c>
      <c r="C14674" t="s">
        <v>75</v>
      </c>
      <c r="D14674" t="s">
        <v>3704</v>
      </c>
      <c r="E14674">
        <f t="shared" si="690"/>
        <v>3.8461538461538464E-2</v>
      </c>
      <c r="F14674">
        <v>2</v>
      </c>
      <c r="G14674">
        <f>LOG(382/(2+1))</f>
        <v>2.1049421081920463</v>
      </c>
      <c r="H14674">
        <f>0.0384615384615384*4.84680831993846</f>
        <v>0.1864157046130174</v>
      </c>
      <c r="I14674">
        <v>0.1864157046130179</v>
      </c>
    </row>
    <row r="14675" spans="1:9" x14ac:dyDescent="0.25">
      <c r="A14675">
        <v>491</v>
      </c>
      <c r="B14675" t="s">
        <v>3994</v>
      </c>
      <c r="C14675" t="s">
        <v>75</v>
      </c>
      <c r="D14675" t="s">
        <v>1537</v>
      </c>
      <c r="E14675">
        <f t="shared" si="690"/>
        <v>3.8461538461538464E-2</v>
      </c>
      <c r="F14675">
        <v>80</v>
      </c>
      <c r="G14675">
        <f>LOG(382/(80+1))</f>
        <v>0.67357834403305894</v>
      </c>
      <c r="H14675">
        <f>0.0384615384615384*1.55097145393413</f>
        <v>5.9652748228235672E-2</v>
      </c>
      <c r="I14675">
        <v>5.9652748228236019E-2</v>
      </c>
    </row>
    <row r="14676" spans="1:9" x14ac:dyDescent="0.25">
      <c r="A14676">
        <v>491</v>
      </c>
      <c r="B14676" t="s">
        <v>3994</v>
      </c>
      <c r="C14676" t="s">
        <v>75</v>
      </c>
      <c r="D14676" t="s">
        <v>630</v>
      </c>
      <c r="E14676">
        <f t="shared" si="690"/>
        <v>3.8461538461538464E-2</v>
      </c>
      <c r="F14676">
        <v>6</v>
      </c>
      <c r="G14676">
        <f>LOG(382/(6+1))</f>
        <v>1.736965322897452</v>
      </c>
      <c r="H14676">
        <f>0.0384615384615384*3.99951045955126</f>
        <v>0.15382732536735591</v>
      </c>
      <c r="I14676">
        <v>0.15382732536735619</v>
      </c>
    </row>
    <row r="14677" spans="1:9" x14ac:dyDescent="0.25">
      <c r="A14677">
        <v>491</v>
      </c>
      <c r="B14677" t="s">
        <v>3994</v>
      </c>
      <c r="C14677" t="s">
        <v>75</v>
      </c>
      <c r="D14677" t="s">
        <v>1916</v>
      </c>
      <c r="E14677">
        <f t="shared" si="690"/>
        <v>3.8461538461538464E-2</v>
      </c>
      <c r="F14677">
        <v>5</v>
      </c>
      <c r="G14677">
        <f>LOG(382/(5+1))</f>
        <v>1.803912112528065</v>
      </c>
      <c r="H14677">
        <f>0.0384615384615384*4.15366113937852</f>
        <v>0.15975619766840435</v>
      </c>
      <c r="I14677">
        <v>0.1597561976684046</v>
      </c>
    </row>
    <row r="14678" spans="1:9" x14ac:dyDescent="0.25">
      <c r="A14678">
        <v>491</v>
      </c>
      <c r="B14678" t="s">
        <v>3994</v>
      </c>
      <c r="C14678" t="s">
        <v>75</v>
      </c>
      <c r="D14678" t="s">
        <v>2099</v>
      </c>
      <c r="E14678">
        <f t="shared" si="690"/>
        <v>3.8461538461538464E-2</v>
      </c>
      <c r="F14678">
        <v>6</v>
      </c>
      <c r="G14678">
        <f>LOG(382/(6+1))</f>
        <v>1.736965322897452</v>
      </c>
      <c r="H14678">
        <f>0.0384615384615384*3.99951045955126</f>
        <v>0.15382732536735591</v>
      </c>
      <c r="I14678">
        <v>0.15382732536735619</v>
      </c>
    </row>
    <row r="14679" spans="1:9" x14ac:dyDescent="0.25">
      <c r="A14679">
        <v>491</v>
      </c>
      <c r="B14679" t="s">
        <v>3994</v>
      </c>
      <c r="C14679" t="s">
        <v>75</v>
      </c>
      <c r="D14679" t="s">
        <v>1453</v>
      </c>
      <c r="E14679">
        <f t="shared" si="690"/>
        <v>3.8461538461538464E-2</v>
      </c>
      <c r="F14679">
        <v>23</v>
      </c>
      <c r="G14679">
        <f>LOG(382/(23+1))</f>
        <v>1.2018521212001028</v>
      </c>
      <c r="H14679">
        <f>0.0384615384615384*2.76736677825862</f>
        <v>0.10643718377917753</v>
      </c>
      <c r="I14679">
        <v>0.1064371837791781</v>
      </c>
    </row>
    <row r="14680" spans="1:9" x14ac:dyDescent="0.25">
      <c r="A14680">
        <v>491</v>
      </c>
      <c r="B14680" t="s">
        <v>3994</v>
      </c>
      <c r="C14680" t="s">
        <v>75</v>
      </c>
      <c r="D14680" t="s">
        <v>324</v>
      </c>
      <c r="E14680">
        <f t="shared" si="690"/>
        <v>3.8461538461538464E-2</v>
      </c>
      <c r="F14680">
        <v>82</v>
      </c>
      <c r="G14680">
        <f>LOG(382/(82+1))</f>
        <v>0.66298527053563483</v>
      </c>
      <c r="H14680">
        <f>0.0384615384615384*1.52658000080997</f>
        <v>5.871461541576798E-2</v>
      </c>
      <c r="I14680">
        <v>5.8714615415768362E-2</v>
      </c>
    </row>
    <row r="14681" spans="1:9" x14ac:dyDescent="0.25">
      <c r="A14681">
        <v>491</v>
      </c>
      <c r="B14681" t="s">
        <v>3994</v>
      </c>
      <c r="C14681" t="s">
        <v>75</v>
      </c>
      <c r="D14681" t="s">
        <v>310</v>
      </c>
      <c r="E14681">
        <f t="shared" si="690"/>
        <v>3.8461538461538464E-2</v>
      </c>
      <c r="F14681">
        <v>50</v>
      </c>
      <c r="G14681">
        <f>LOG(382/(50+1))</f>
        <v>0.87449318681377242</v>
      </c>
      <c r="H14681">
        <f>0.0384615384615384*2.01359497588224</f>
        <v>7.744596061085525E-2</v>
      </c>
      <c r="I14681">
        <v>7.7445960610855763E-2</v>
      </c>
    </row>
    <row r="14682" spans="1:9" x14ac:dyDescent="0.25">
      <c r="A14682">
        <v>491</v>
      </c>
      <c r="B14682" t="s">
        <v>3994</v>
      </c>
      <c r="C14682" t="s">
        <v>75</v>
      </c>
      <c r="D14682" t="s">
        <v>25</v>
      </c>
      <c r="E14682">
        <f t="shared" si="690"/>
        <v>3.8461538461538464E-2</v>
      </c>
      <c r="F14682">
        <v>106</v>
      </c>
      <c r="G14682">
        <f>LOG(382/(106+1))</f>
        <v>0.55267958522649907</v>
      </c>
      <c r="H14682">
        <f>0.0384615384615384*1.27259177414466</f>
        <v>4.8945837467102231E-2</v>
      </c>
      <c r="I14682">
        <v>4.8945837467102661E-2</v>
      </c>
    </row>
    <row r="14683" spans="1:9" x14ac:dyDescent="0.25">
      <c r="A14683">
        <v>491</v>
      </c>
      <c r="B14683" t="s">
        <v>3994</v>
      </c>
      <c r="C14683" t="s">
        <v>75</v>
      </c>
      <c r="D14683" t="s">
        <v>2238</v>
      </c>
      <c r="E14683">
        <f t="shared" si="690"/>
        <v>3.8461538461538464E-2</v>
      </c>
      <c r="F14683">
        <v>68</v>
      </c>
      <c r="G14683">
        <f>LOG(382/(68+1))</f>
        <v>0.74321427217445335</v>
      </c>
      <c r="H14683">
        <f>0.0384615384615384*1.71131410400931</f>
        <v>6.5819773231127213E-2</v>
      </c>
      <c r="I14683">
        <v>6.5819773231127532E-2</v>
      </c>
    </row>
    <row r="14684" spans="1:9" x14ac:dyDescent="0.25">
      <c r="A14684">
        <v>491</v>
      </c>
      <c r="B14684" t="s">
        <v>3994</v>
      </c>
      <c r="C14684" t="s">
        <v>75</v>
      </c>
      <c r="D14684" t="s">
        <v>442</v>
      </c>
      <c r="E14684">
        <f t="shared" si="690"/>
        <v>3.8461538461538464E-2</v>
      </c>
      <c r="F14684">
        <v>9</v>
      </c>
      <c r="G14684">
        <f>LOG(382/(9+1))</f>
        <v>1.5820633629117087</v>
      </c>
      <c r="H14684">
        <f>0.0384615384615384*3.64283551561252</f>
        <v>0.14010905829278902</v>
      </c>
      <c r="I14684">
        <v>0.14010905829278961</v>
      </c>
    </row>
    <row r="14685" spans="1:9" x14ac:dyDescent="0.25">
      <c r="A14685">
        <v>491</v>
      </c>
      <c r="B14685" t="s">
        <v>3994</v>
      </c>
      <c r="C14685" t="s">
        <v>75</v>
      </c>
      <c r="D14685" t="s">
        <v>279</v>
      </c>
      <c r="E14685">
        <f t="shared" si="690"/>
        <v>3.8461538461538464E-2</v>
      </c>
      <c r="F14685">
        <v>22</v>
      </c>
      <c r="G14685">
        <f>LOG(382/(22+1))</f>
        <v>1.2203355268941158</v>
      </c>
      <c r="H14685">
        <f>0.0384615384615384*2.80992639267742</f>
        <v>0.10807409202605443</v>
      </c>
      <c r="I14685">
        <v>0.10807409202605479</v>
      </c>
    </row>
    <row r="14686" spans="1:9" x14ac:dyDescent="0.25">
      <c r="A14686">
        <v>492</v>
      </c>
      <c r="B14686" t="s">
        <v>3998</v>
      </c>
      <c r="C14686" t="s">
        <v>75</v>
      </c>
      <c r="D14686" t="s">
        <v>1537</v>
      </c>
      <c r="E14686">
        <f>3/101</f>
        <v>2.9702970297029702E-2</v>
      </c>
      <c r="F14686">
        <v>80</v>
      </c>
      <c r="G14686">
        <f>LOG(382/(80+1))</f>
        <v>0.67357834403305894</v>
      </c>
      <c r="H14686">
        <f>0.0297029702970297*1.55097145393413</f>
        <v>4.6068459027746429E-2</v>
      </c>
      <c r="I14686">
        <v>4.6068459027746617E-2</v>
      </c>
    </row>
    <row r="14687" spans="1:9" x14ac:dyDescent="0.25">
      <c r="A14687">
        <v>492</v>
      </c>
      <c r="B14687" t="s">
        <v>3998</v>
      </c>
      <c r="C14687" t="s">
        <v>75</v>
      </c>
      <c r="D14687" t="s">
        <v>3999</v>
      </c>
      <c r="E14687">
        <f>1/101</f>
        <v>9.9009900990099011E-3</v>
      </c>
      <c r="F14687">
        <v>2</v>
      </c>
      <c r="G14687">
        <f>LOG(382/(2+1))</f>
        <v>2.1049421081920463</v>
      </c>
      <c r="H14687">
        <f>0.0099009900990099*4.84680831993846</f>
        <v>4.7988201187509495E-2</v>
      </c>
      <c r="I14687">
        <v>4.7988201187509558E-2</v>
      </c>
    </row>
    <row r="14688" spans="1:9" x14ac:dyDescent="0.25">
      <c r="A14688">
        <v>492</v>
      </c>
      <c r="B14688" t="s">
        <v>3998</v>
      </c>
      <c r="C14688" t="s">
        <v>75</v>
      </c>
      <c r="D14688" t="s">
        <v>1784</v>
      </c>
      <c r="E14688">
        <f>1/101</f>
        <v>9.9009900990099011E-3</v>
      </c>
      <c r="F14688">
        <v>6</v>
      </c>
      <c r="G14688">
        <f>LOG(382/(6+1))</f>
        <v>1.736965322897452</v>
      </c>
      <c r="H14688">
        <f>0.0099009900990099*3.99951045955126</f>
        <v>3.9599113460903557E-2</v>
      </c>
      <c r="I14688">
        <v>3.9599113460903577E-2</v>
      </c>
    </row>
    <row r="14689" spans="1:9" x14ac:dyDescent="0.25">
      <c r="A14689">
        <v>492</v>
      </c>
      <c r="B14689" t="s">
        <v>3998</v>
      </c>
      <c r="C14689" t="s">
        <v>75</v>
      </c>
      <c r="D14689" t="s">
        <v>3876</v>
      </c>
      <c r="E14689">
        <f>4/101</f>
        <v>3.9603960396039604E-2</v>
      </c>
      <c r="F14689">
        <v>3</v>
      </c>
      <c r="G14689">
        <f>LOG(382/(3+1))</f>
        <v>1.9800033715837464</v>
      </c>
      <c r="H14689">
        <f>0.0396039603960396*4.55912624748668</f>
        <v>0.18055945534600709</v>
      </c>
      <c r="I14689">
        <v>0.18055945534600731</v>
      </c>
    </row>
    <row r="14690" spans="1:9" x14ac:dyDescent="0.25">
      <c r="A14690">
        <v>492</v>
      </c>
      <c r="B14690" t="s">
        <v>3998</v>
      </c>
      <c r="C14690" t="s">
        <v>75</v>
      </c>
      <c r="D14690" t="s">
        <v>4000</v>
      </c>
      <c r="E14690">
        <f>1/101</f>
        <v>9.9009900990099011E-3</v>
      </c>
      <c r="F14690">
        <v>1</v>
      </c>
      <c r="G14690">
        <f>LOG(382/(1+1))</f>
        <v>2.2810333672477277</v>
      </c>
      <c r="H14690">
        <f>0.0099009900990099*5.25227342804663</f>
        <v>5.2002707208382466E-2</v>
      </c>
      <c r="I14690">
        <v>5.2002707208382473E-2</v>
      </c>
    </row>
    <row r="14691" spans="1:9" x14ac:dyDescent="0.25">
      <c r="A14691">
        <v>492</v>
      </c>
      <c r="B14691" t="s">
        <v>3998</v>
      </c>
      <c r="C14691" t="s">
        <v>75</v>
      </c>
      <c r="D14691" t="s">
        <v>1080</v>
      </c>
      <c r="E14691">
        <f>1/101</f>
        <v>9.9009900990099011E-3</v>
      </c>
      <c r="F14691">
        <v>26</v>
      </c>
      <c r="G14691">
        <f>LOG(382/(26+1))</f>
        <v>1.1506995987527215</v>
      </c>
      <c r="H14691">
        <f>0.0099009900990099*2.64958374260224</f>
        <v>2.6233502402002371E-2</v>
      </c>
      <c r="I14691">
        <v>2.6233502402002441E-2</v>
      </c>
    </row>
    <row r="14692" spans="1:9" x14ac:dyDescent="0.25">
      <c r="A14692">
        <v>492</v>
      </c>
      <c r="B14692" t="s">
        <v>3998</v>
      </c>
      <c r="C14692" t="s">
        <v>75</v>
      </c>
      <c r="D14692" t="s">
        <v>247</v>
      </c>
      <c r="E14692">
        <f>1/101</f>
        <v>9.9009900990099011E-3</v>
      </c>
      <c r="F14692">
        <v>121</v>
      </c>
      <c r="G14692">
        <f>LOG(382/(121+1))</f>
        <v>0.49570353223696051</v>
      </c>
      <c r="H14692">
        <f>0.0099009900990099*1.14139956387331</f>
        <v>1.130098578092386E-2</v>
      </c>
      <c r="I14692">
        <v>1.130098578092395E-2</v>
      </c>
    </row>
    <row r="14693" spans="1:9" x14ac:dyDescent="0.25">
      <c r="A14693">
        <v>492</v>
      </c>
      <c r="B14693" t="s">
        <v>3998</v>
      </c>
      <c r="C14693" t="s">
        <v>75</v>
      </c>
      <c r="D14693" t="s">
        <v>89</v>
      </c>
      <c r="E14693">
        <f>1/101</f>
        <v>9.9009900990099011E-3</v>
      </c>
      <c r="F14693">
        <v>40</v>
      </c>
      <c r="G14693">
        <f>LOG(382/(40+1))</f>
        <v>0.96927950619197323</v>
      </c>
      <c r="H14693">
        <f>0.0099009900990099*2.23184854190226</f>
        <v>2.2097510315863954E-2</v>
      </c>
      <c r="I14693">
        <v>2.209751031586403E-2</v>
      </c>
    </row>
    <row r="14694" spans="1:9" x14ac:dyDescent="0.25">
      <c r="A14694">
        <v>492</v>
      </c>
      <c r="B14694" t="s">
        <v>3998</v>
      </c>
      <c r="C14694" t="s">
        <v>75</v>
      </c>
      <c r="D14694" t="s">
        <v>1079</v>
      </c>
      <c r="E14694">
        <f>1/101</f>
        <v>9.9009900990099011E-3</v>
      </c>
      <c r="F14694">
        <v>34</v>
      </c>
      <c r="G14694">
        <f>LOG(382/(34+1))</f>
        <v>1.037995318561433</v>
      </c>
      <c r="H14694">
        <f>0.0099009900990099*2.39007254711716</f>
        <v>2.3664084624922373E-2</v>
      </c>
      <c r="I14694">
        <v>2.366408462492239E-2</v>
      </c>
    </row>
    <row r="14695" spans="1:9" x14ac:dyDescent="0.25">
      <c r="A14695">
        <v>492</v>
      </c>
      <c r="B14695" t="s">
        <v>3998</v>
      </c>
      <c r="C14695" t="s">
        <v>75</v>
      </c>
      <c r="D14695" t="s">
        <v>636</v>
      </c>
      <c r="E14695">
        <f>2/101</f>
        <v>1.9801980198019802E-2</v>
      </c>
      <c r="F14695">
        <v>31</v>
      </c>
      <c r="G14695">
        <f>LOG(382/(31+1))</f>
        <v>1.0769133845918029</v>
      </c>
      <c r="H14695">
        <f>0.0198019801980198*2.47968470580684</f>
        <v>4.9102667441719594E-2</v>
      </c>
      <c r="I14695">
        <v>4.9102667441719768E-2</v>
      </c>
    </row>
    <row r="14696" spans="1:9" x14ac:dyDescent="0.25">
      <c r="A14696">
        <v>492</v>
      </c>
      <c r="B14696" t="s">
        <v>3998</v>
      </c>
      <c r="C14696" t="s">
        <v>75</v>
      </c>
      <c r="D14696" t="s">
        <v>637</v>
      </c>
      <c r="E14696">
        <f t="shared" ref="E14696:E14706" si="691">1/101</f>
        <v>9.9009900990099011E-3</v>
      </c>
      <c r="F14696">
        <v>29</v>
      </c>
      <c r="G14696">
        <f>LOG(382/(29+1))</f>
        <v>1.1049421081920463</v>
      </c>
      <c r="H14696">
        <f>0.0099009900990099*2.54422322694442</f>
        <v>2.5190328979647719E-2</v>
      </c>
      <c r="I14696">
        <v>2.5190328979647719E-2</v>
      </c>
    </row>
    <row r="14697" spans="1:9" x14ac:dyDescent="0.25">
      <c r="A14697">
        <v>492</v>
      </c>
      <c r="B14697" t="s">
        <v>3998</v>
      </c>
      <c r="C14697" t="s">
        <v>75</v>
      </c>
      <c r="D14697" t="s">
        <v>70</v>
      </c>
      <c r="E14697">
        <f t="shared" si="691"/>
        <v>9.9009900990099011E-3</v>
      </c>
      <c r="F14697">
        <v>44</v>
      </c>
      <c r="G14697">
        <f>LOG(382/(44+1))</f>
        <v>0.92885084913636506</v>
      </c>
      <c r="H14697">
        <f>0.0099009900990099*2.13875811883625</f>
        <v>2.1175822958774747E-2</v>
      </c>
      <c r="I14697">
        <v>2.11758229587748E-2</v>
      </c>
    </row>
    <row r="14698" spans="1:9" x14ac:dyDescent="0.25">
      <c r="A14698">
        <v>492</v>
      </c>
      <c r="B14698" t="s">
        <v>3998</v>
      </c>
      <c r="C14698" t="s">
        <v>75</v>
      </c>
      <c r="D14698" t="s">
        <v>19</v>
      </c>
      <c r="E14698">
        <f t="shared" si="691"/>
        <v>9.9009900990099011E-3</v>
      </c>
      <c r="F14698">
        <v>220</v>
      </c>
      <c r="G14698">
        <f>LOG(382/(220+1))</f>
        <v>0.23767108922659805</v>
      </c>
      <c r="H14698">
        <f>0.0099009900990099*0.547257907088822</f>
        <v>5.4183951196913067E-3</v>
      </c>
      <c r="I14698">
        <v>5.418395119691311E-3</v>
      </c>
    </row>
    <row r="14699" spans="1:9" x14ac:dyDescent="0.25">
      <c r="A14699">
        <v>492</v>
      </c>
      <c r="B14699" t="s">
        <v>3998</v>
      </c>
      <c r="C14699" t="s">
        <v>75</v>
      </c>
      <c r="D14699" t="s">
        <v>44</v>
      </c>
      <c r="E14699">
        <f t="shared" si="691"/>
        <v>9.9009900990099011E-3</v>
      </c>
      <c r="F14699">
        <v>151</v>
      </c>
      <c r="G14699">
        <f>LOG(382/(151+1))</f>
        <v>0.40021977496693617</v>
      </c>
      <c r="H14699">
        <f>0.0099009900990099*0.921540087760298</f>
        <v>9.1241592847554256E-3</v>
      </c>
      <c r="I14699">
        <v>9.1241592847554325E-3</v>
      </c>
    </row>
    <row r="14700" spans="1:9" x14ac:dyDescent="0.25">
      <c r="A14700">
        <v>492</v>
      </c>
      <c r="B14700" t="s">
        <v>3998</v>
      </c>
      <c r="C14700" t="s">
        <v>75</v>
      </c>
      <c r="D14700" t="s">
        <v>22</v>
      </c>
      <c r="E14700">
        <f t="shared" si="691"/>
        <v>9.9009900990099011E-3</v>
      </c>
      <c r="F14700">
        <v>259</v>
      </c>
      <c r="G14700">
        <f>LOG(382/(259+1))</f>
        <v>0.16709001494089079</v>
      </c>
      <c r="H14700">
        <f>0.0099009900990099*0.384738977591047</f>
        <v>3.8092968078321482E-3</v>
      </c>
      <c r="I14700">
        <v>3.8092968078321538E-3</v>
      </c>
    </row>
    <row r="14701" spans="1:9" x14ac:dyDescent="0.25">
      <c r="A14701">
        <v>492</v>
      </c>
      <c r="B14701" t="s">
        <v>3998</v>
      </c>
      <c r="C14701" t="s">
        <v>75</v>
      </c>
      <c r="D14701" t="s">
        <v>23</v>
      </c>
      <c r="E14701">
        <f t="shared" si="691"/>
        <v>9.9009900990099011E-3</v>
      </c>
      <c r="F14701">
        <v>275</v>
      </c>
      <c r="G14701">
        <f>LOG(382/(275+1))</f>
        <v>0.14115428084649101</v>
      </c>
      <c r="H14701">
        <f>0.0099009900990099*0.325019742889425</f>
        <v>3.2180172563309396E-3</v>
      </c>
      <c r="I14701">
        <v>3.2180172563309418E-3</v>
      </c>
    </row>
    <row r="14702" spans="1:9" x14ac:dyDescent="0.25">
      <c r="A14702">
        <v>492</v>
      </c>
      <c r="B14702" t="s">
        <v>3998</v>
      </c>
      <c r="C14702" t="s">
        <v>75</v>
      </c>
      <c r="D14702" t="s">
        <v>42</v>
      </c>
      <c r="E14702">
        <f t="shared" si="691"/>
        <v>9.9009900990099011E-3</v>
      </c>
      <c r="F14702">
        <v>251</v>
      </c>
      <c r="G14702">
        <f>LOG(382/(251+1))</f>
        <v>0.18066282213016463</v>
      </c>
      <c r="H14702">
        <f>0.0099009900990099*0.415991521095151</f>
        <v>4.1187279316351579E-3</v>
      </c>
      <c r="I14702">
        <v>4.1187279316351674E-3</v>
      </c>
    </row>
    <row r="14703" spans="1:9" x14ac:dyDescent="0.25">
      <c r="A14703">
        <v>492</v>
      </c>
      <c r="B14703" t="s">
        <v>3998</v>
      </c>
      <c r="C14703" t="s">
        <v>75</v>
      </c>
      <c r="D14703" t="s">
        <v>1496</v>
      </c>
      <c r="E14703">
        <f t="shared" si="691"/>
        <v>9.9009900990099011E-3</v>
      </c>
      <c r="F14703">
        <v>39</v>
      </c>
      <c r="G14703">
        <f>LOG(382/(39+1))</f>
        <v>0.9800033715837464</v>
      </c>
      <c r="H14703">
        <f>0.0099009900990099*2.25654115449263</f>
        <v>2.2341991628639899E-2</v>
      </c>
      <c r="I14703">
        <v>2.2341991628639989E-2</v>
      </c>
    </row>
    <row r="14704" spans="1:9" x14ac:dyDescent="0.25">
      <c r="A14704">
        <v>492</v>
      </c>
      <c r="B14704" t="s">
        <v>3998</v>
      </c>
      <c r="C14704" t="s">
        <v>75</v>
      </c>
      <c r="D14704" t="s">
        <v>674</v>
      </c>
      <c r="E14704">
        <f t="shared" si="691"/>
        <v>9.9009900990099011E-3</v>
      </c>
      <c r="F14704">
        <v>11</v>
      </c>
      <c r="G14704">
        <f>LOG(382/(11+1))</f>
        <v>1.5028821168640838</v>
      </c>
      <c r="H14704">
        <f>0.0099009900990099*3.46051395881857</f>
        <v>3.4262514443748213E-2</v>
      </c>
      <c r="I14704">
        <v>3.4262514443748268E-2</v>
      </c>
    </row>
    <row r="14705" spans="1:9" x14ac:dyDescent="0.25">
      <c r="A14705">
        <v>492</v>
      </c>
      <c r="B14705" t="s">
        <v>3998</v>
      </c>
      <c r="C14705" t="s">
        <v>75</v>
      </c>
      <c r="D14705" t="s">
        <v>3241</v>
      </c>
      <c r="E14705">
        <f t="shared" si="691"/>
        <v>9.9009900990099011E-3</v>
      </c>
      <c r="F14705">
        <v>9</v>
      </c>
      <c r="G14705">
        <f>LOG(382/(9+1))</f>
        <v>1.5820633629117087</v>
      </c>
      <c r="H14705">
        <f>0.0099009900990099*3.64283551561252</f>
        <v>3.6067678372401185E-2</v>
      </c>
      <c r="I14705">
        <v>3.6067678372401282E-2</v>
      </c>
    </row>
    <row r="14706" spans="1:9" x14ac:dyDescent="0.25">
      <c r="A14706">
        <v>492</v>
      </c>
      <c r="B14706" t="s">
        <v>3998</v>
      </c>
      <c r="C14706" t="s">
        <v>75</v>
      </c>
      <c r="D14706" t="s">
        <v>4001</v>
      </c>
      <c r="E14706">
        <f t="shared" si="691"/>
        <v>9.9009900990099011E-3</v>
      </c>
      <c r="F14706">
        <v>1</v>
      </c>
      <c r="G14706">
        <f>LOG(382/(1+1))</f>
        <v>2.2810333672477277</v>
      </c>
      <c r="H14706">
        <f>0.0099009900990099*5.25227342804663</f>
        <v>5.2002707208382466E-2</v>
      </c>
      <c r="I14706">
        <v>5.2002707208382473E-2</v>
      </c>
    </row>
    <row r="14707" spans="1:9" x14ac:dyDescent="0.25">
      <c r="A14707">
        <v>492</v>
      </c>
      <c r="B14707" t="s">
        <v>3998</v>
      </c>
      <c r="C14707" t="s">
        <v>75</v>
      </c>
      <c r="D14707" t="s">
        <v>204</v>
      </c>
      <c r="E14707">
        <f>2/101</f>
        <v>1.9801980198019802E-2</v>
      </c>
      <c r="F14707">
        <v>166</v>
      </c>
      <c r="G14707">
        <f>LOG(382/(166+1))</f>
        <v>0.35934689176412549</v>
      </c>
      <c r="H14707">
        <f>0.0198019801980198*0.82742679618982</f>
        <v>1.6384689033461779E-2</v>
      </c>
      <c r="I14707">
        <v>1.6384689033461779E-2</v>
      </c>
    </row>
    <row r="14708" spans="1:9" x14ac:dyDescent="0.25">
      <c r="A14708">
        <v>492</v>
      </c>
      <c r="B14708" t="s">
        <v>3998</v>
      </c>
      <c r="C14708" t="s">
        <v>75</v>
      </c>
      <c r="D14708" t="s">
        <v>1769</v>
      </c>
      <c r="E14708">
        <f>1/101</f>
        <v>9.9009900990099011E-3</v>
      </c>
      <c r="F14708">
        <v>84</v>
      </c>
      <c r="G14708">
        <f>LOG(382/(84+1))</f>
        <v>0.65264443719741605</v>
      </c>
      <c r="H14708">
        <f>0.0099009900990099*1.50276935211625</f>
        <v>1.4878904476398513E-2</v>
      </c>
      <c r="I14708">
        <v>1.4878904476398599E-2</v>
      </c>
    </row>
    <row r="14709" spans="1:9" x14ac:dyDescent="0.25">
      <c r="A14709">
        <v>492</v>
      </c>
      <c r="B14709" t="s">
        <v>3998</v>
      </c>
      <c r="C14709" t="s">
        <v>75</v>
      </c>
      <c r="D14709" t="s">
        <v>225</v>
      </c>
      <c r="E14709">
        <f>2/101</f>
        <v>1.9801980198019802E-2</v>
      </c>
      <c r="F14709">
        <v>30</v>
      </c>
      <c r="G14709">
        <f>LOG(382/(30+1))</f>
        <v>1.090701669077436</v>
      </c>
      <c r="H14709">
        <f>0.0198019801980198*2.51143340412142</f>
        <v>4.9731354537057813E-2</v>
      </c>
      <c r="I14709">
        <v>4.9731354537058001E-2</v>
      </c>
    </row>
    <row r="14710" spans="1:9" x14ac:dyDescent="0.25">
      <c r="A14710">
        <v>492</v>
      </c>
      <c r="B14710" t="s">
        <v>3998</v>
      </c>
      <c r="C14710" t="s">
        <v>75</v>
      </c>
      <c r="D14710" t="s">
        <v>201</v>
      </c>
      <c r="E14710">
        <f>2/101</f>
        <v>1.9801980198019802E-2</v>
      </c>
      <c r="F14710">
        <v>72</v>
      </c>
      <c r="G14710">
        <f>LOG(382/(72+1))</f>
        <v>0.71874050279125279</v>
      </c>
      <c r="H14710">
        <f>0.0198019801980198*1.65496116745818</f>
        <v>3.2771508266498606E-2</v>
      </c>
      <c r="I14710">
        <v>3.2771508266498689E-2</v>
      </c>
    </row>
    <row r="14711" spans="1:9" x14ac:dyDescent="0.25">
      <c r="A14711">
        <v>492</v>
      </c>
      <c r="B14711" t="s">
        <v>3998</v>
      </c>
      <c r="C14711" t="s">
        <v>75</v>
      </c>
      <c r="D14711" t="s">
        <v>3991</v>
      </c>
      <c r="E14711">
        <f>3/101</f>
        <v>2.9702970297029702E-2</v>
      </c>
      <c r="F14711">
        <v>3</v>
      </c>
      <c r="G14711">
        <f>LOG(382/(3+1))</f>
        <v>1.9800033715837464</v>
      </c>
      <c r="H14711">
        <f>0.0297029702970297*4.55912624748668</f>
        <v>0.13541959150950533</v>
      </c>
      <c r="I14711">
        <v>0.1354195915095055</v>
      </c>
    </row>
    <row r="14712" spans="1:9" x14ac:dyDescent="0.25">
      <c r="A14712">
        <v>492</v>
      </c>
      <c r="B14712" t="s">
        <v>3998</v>
      </c>
      <c r="C14712" t="s">
        <v>75</v>
      </c>
      <c r="D14712" t="s">
        <v>937</v>
      </c>
      <c r="E14712">
        <f>2/101</f>
        <v>1.9801980198019802E-2</v>
      </c>
      <c r="F14712">
        <v>41</v>
      </c>
      <c r="G14712">
        <f>LOG(382/(41+1))</f>
        <v>0.95881407251380824</v>
      </c>
      <c r="H14712">
        <f>0.0198019801980198*2.2077509903232</f>
        <v>4.3717841392538613E-2</v>
      </c>
      <c r="I14712">
        <v>4.3717841392538752E-2</v>
      </c>
    </row>
    <row r="14713" spans="1:9" x14ac:dyDescent="0.25">
      <c r="A14713">
        <v>492</v>
      </c>
      <c r="B14713" t="s">
        <v>3998</v>
      </c>
      <c r="C14713" t="s">
        <v>75</v>
      </c>
      <c r="D14713" t="s">
        <v>1733</v>
      </c>
      <c r="E14713">
        <f>2/101</f>
        <v>1.9801980198019802E-2</v>
      </c>
      <c r="F14713">
        <v>19</v>
      </c>
      <c r="G14713">
        <f>LOG(382/(19+1))</f>
        <v>1.2810333672477277</v>
      </c>
      <c r="H14713">
        <f>0.0198019801980198*2.94968833505258</f>
        <v>5.8409670001041178E-2</v>
      </c>
      <c r="I14713">
        <v>5.8409670001041282E-2</v>
      </c>
    </row>
    <row r="14714" spans="1:9" x14ac:dyDescent="0.25">
      <c r="A14714">
        <v>492</v>
      </c>
      <c r="B14714" t="s">
        <v>3998</v>
      </c>
      <c r="C14714" t="s">
        <v>75</v>
      </c>
      <c r="D14714" t="s">
        <v>243</v>
      </c>
      <c r="E14714">
        <f t="shared" ref="E14714:E14728" si="692">1/101</f>
        <v>9.9009900990099011E-3</v>
      </c>
      <c r="F14714">
        <v>131</v>
      </c>
      <c r="G14714">
        <f>LOG(382/(131+1))</f>
        <v>0.46148943170585888</v>
      </c>
      <c r="H14714">
        <f>0.0099009900990099*1.0626186860202</f>
        <v>1.052097708930891E-2</v>
      </c>
      <c r="I14714">
        <v>1.052097708930895E-2</v>
      </c>
    </row>
    <row r="14715" spans="1:9" x14ac:dyDescent="0.25">
      <c r="A14715">
        <v>492</v>
      </c>
      <c r="B14715" t="s">
        <v>3998</v>
      </c>
      <c r="C14715" t="s">
        <v>75</v>
      </c>
      <c r="D14715" t="s">
        <v>453</v>
      </c>
      <c r="E14715">
        <f t="shared" si="692"/>
        <v>9.9009900990099011E-3</v>
      </c>
      <c r="F14715">
        <v>68</v>
      </c>
      <c r="G14715">
        <f>LOG(382/(68+1))</f>
        <v>0.74321427217445335</v>
      </c>
      <c r="H14715">
        <f>0.0099009900990099*1.71131410400931</f>
        <v>1.6943704000092177E-2</v>
      </c>
      <c r="I14715">
        <v>1.6943704000092239E-2</v>
      </c>
    </row>
    <row r="14716" spans="1:9" x14ac:dyDescent="0.25">
      <c r="A14716">
        <v>492</v>
      </c>
      <c r="B14716" t="s">
        <v>3998</v>
      </c>
      <c r="C14716" t="s">
        <v>75</v>
      </c>
      <c r="D14716" t="s">
        <v>455</v>
      </c>
      <c r="E14716">
        <f t="shared" si="692"/>
        <v>9.9009900990099011E-3</v>
      </c>
      <c r="F14716">
        <v>78</v>
      </c>
      <c r="G14716">
        <f>LOG(382/(78+1))</f>
        <v>0.6844362716212673</v>
      </c>
      <c r="H14716">
        <f>0.0099009900990099*1.57597275613955</f>
        <v>1.5603690654847027E-2</v>
      </c>
      <c r="I14716">
        <v>1.5603690654847071E-2</v>
      </c>
    </row>
    <row r="14717" spans="1:9" x14ac:dyDescent="0.25">
      <c r="A14717">
        <v>492</v>
      </c>
      <c r="B14717" t="s">
        <v>3998</v>
      </c>
      <c r="C14717" t="s">
        <v>75</v>
      </c>
      <c r="D14717" t="s">
        <v>456</v>
      </c>
      <c r="E14717">
        <f t="shared" si="692"/>
        <v>9.9009900990099011E-3</v>
      </c>
      <c r="F14717">
        <v>71</v>
      </c>
      <c r="G14717">
        <f>LOG(382/(71+1))</f>
        <v>0.72473086648044027</v>
      </c>
      <c r="H14717">
        <f>0.0099009900990099*1.66875448959051</f>
        <v>1.6522321679113959E-2</v>
      </c>
      <c r="I14717">
        <v>1.652232167911406E-2</v>
      </c>
    </row>
    <row r="14718" spans="1:9" x14ac:dyDescent="0.25">
      <c r="A14718">
        <v>492</v>
      </c>
      <c r="B14718" t="s">
        <v>3998</v>
      </c>
      <c r="C14718" t="s">
        <v>75</v>
      </c>
      <c r="D14718" t="s">
        <v>1779</v>
      </c>
      <c r="E14718">
        <f t="shared" si="692"/>
        <v>9.9009900990099011E-3</v>
      </c>
      <c r="F14718">
        <v>41</v>
      </c>
      <c r="G14718">
        <f>LOG(382/(41+1))</f>
        <v>0.95881407251380824</v>
      </c>
      <c r="H14718">
        <f>0.0099009900990099*2.2077509903232</f>
        <v>2.1858920696269307E-2</v>
      </c>
      <c r="I14718">
        <v>2.1858920696269379E-2</v>
      </c>
    </row>
    <row r="14719" spans="1:9" x14ac:dyDescent="0.25">
      <c r="A14719">
        <v>492</v>
      </c>
      <c r="B14719" t="s">
        <v>3998</v>
      </c>
      <c r="C14719" t="s">
        <v>75</v>
      </c>
      <c r="D14719" t="s">
        <v>3956</v>
      </c>
      <c r="E14719">
        <f t="shared" si="692"/>
        <v>9.9009900990099011E-3</v>
      </c>
      <c r="F14719">
        <v>8</v>
      </c>
      <c r="G14719">
        <f>LOG(382/(8+1))</f>
        <v>1.6278208534723839</v>
      </c>
      <c r="H14719">
        <f>0.0099009900990099*3.74819603127035</f>
        <v>3.7110851794755935E-2</v>
      </c>
      <c r="I14719">
        <v>3.7110851794755997E-2</v>
      </c>
    </row>
    <row r="14720" spans="1:9" x14ac:dyDescent="0.25">
      <c r="A14720">
        <v>492</v>
      </c>
      <c r="B14720" t="s">
        <v>3998</v>
      </c>
      <c r="C14720" t="s">
        <v>75</v>
      </c>
      <c r="D14720" t="s">
        <v>3992</v>
      </c>
      <c r="E14720">
        <f t="shared" si="692"/>
        <v>9.9009900990099011E-3</v>
      </c>
      <c r="F14720">
        <v>3</v>
      </c>
      <c r="G14720">
        <f>LOG(382/(3+1))</f>
        <v>1.9800033715837464</v>
      </c>
      <c r="H14720">
        <f>0.0099009900990099*4.55912624748668</f>
        <v>4.5139863836501773E-2</v>
      </c>
      <c r="I14720">
        <v>4.5139863836501828E-2</v>
      </c>
    </row>
    <row r="14721" spans="1:9" x14ac:dyDescent="0.25">
      <c r="A14721">
        <v>492</v>
      </c>
      <c r="B14721" t="s">
        <v>3998</v>
      </c>
      <c r="C14721" t="s">
        <v>75</v>
      </c>
      <c r="D14721" t="s">
        <v>888</v>
      </c>
      <c r="E14721">
        <f t="shared" si="692"/>
        <v>9.9009900990099011E-3</v>
      </c>
      <c r="F14721">
        <v>21</v>
      </c>
      <c r="G14721">
        <f>LOG(382/(21+1))</f>
        <v>1.2396406820895025</v>
      </c>
      <c r="H14721">
        <f>0.0099009900990099*2.85437815524825</f>
        <v>2.8261169853943065E-2</v>
      </c>
      <c r="I14721">
        <v>2.8261169853943158E-2</v>
      </c>
    </row>
    <row r="14722" spans="1:9" x14ac:dyDescent="0.25">
      <c r="A14722">
        <v>492</v>
      </c>
      <c r="B14722" t="s">
        <v>3998</v>
      </c>
      <c r="C14722" t="s">
        <v>75</v>
      </c>
      <c r="D14722" t="s">
        <v>4002</v>
      </c>
      <c r="E14722">
        <f t="shared" si="692"/>
        <v>9.9009900990099011E-3</v>
      </c>
      <c r="F14722">
        <v>1</v>
      </c>
      <c r="G14722">
        <f>LOG(382/(1+1))</f>
        <v>2.2810333672477277</v>
      </c>
      <c r="H14722">
        <f>0.0099009900990099*5.25227342804663</f>
        <v>5.2002707208382466E-2</v>
      </c>
      <c r="I14722">
        <v>5.2002707208382473E-2</v>
      </c>
    </row>
    <row r="14723" spans="1:9" x14ac:dyDescent="0.25">
      <c r="A14723">
        <v>492</v>
      </c>
      <c r="B14723" t="s">
        <v>3998</v>
      </c>
      <c r="C14723" t="s">
        <v>75</v>
      </c>
      <c r="D14723" t="s">
        <v>361</v>
      </c>
      <c r="E14723">
        <f t="shared" si="692"/>
        <v>9.9009900990099011E-3</v>
      </c>
      <c r="F14723">
        <v>118</v>
      </c>
      <c r="G14723">
        <f>LOG(382/(118+1))</f>
        <v>0.50651640151917798</v>
      </c>
      <c r="H14723">
        <f>0.0099009900990099*1.16629711549504</f>
        <v>1.1547496193020194E-2</v>
      </c>
      <c r="I14723">
        <v>1.154749619302026E-2</v>
      </c>
    </row>
    <row r="14724" spans="1:9" x14ac:dyDescent="0.25">
      <c r="A14724">
        <v>492</v>
      </c>
      <c r="B14724" t="s">
        <v>3998</v>
      </c>
      <c r="C14724" t="s">
        <v>75</v>
      </c>
      <c r="D14724" t="s">
        <v>434</v>
      </c>
      <c r="E14724">
        <f t="shared" si="692"/>
        <v>9.9009900990099011E-3</v>
      </c>
      <c r="F14724">
        <v>97</v>
      </c>
      <c r="G14724">
        <f>LOG(382/(97+1))</f>
        <v>0.59083728721921391</v>
      </c>
      <c r="H14724">
        <f>0.0099009900990099*1.360453129936</f>
        <v>1.3469832969663365E-2</v>
      </c>
      <c r="I14724">
        <v>1.3469832969663399E-2</v>
      </c>
    </row>
    <row r="14725" spans="1:9" x14ac:dyDescent="0.25">
      <c r="A14725">
        <v>492</v>
      </c>
      <c r="B14725" t="s">
        <v>3998</v>
      </c>
      <c r="C14725" t="s">
        <v>75</v>
      </c>
      <c r="D14725" t="s">
        <v>850</v>
      </c>
      <c r="E14725">
        <f t="shared" si="692"/>
        <v>9.9009900990099011E-3</v>
      </c>
      <c r="F14725">
        <v>14</v>
      </c>
      <c r="G14725">
        <f>LOG(382/(14+1))</f>
        <v>1.4059721038560276</v>
      </c>
      <c r="H14725">
        <f>0.0099009900990099*3.23737040750436</f>
        <v>3.2053172351528311E-2</v>
      </c>
      <c r="I14725">
        <v>3.2053172351528367E-2</v>
      </c>
    </row>
    <row r="14726" spans="1:9" x14ac:dyDescent="0.25">
      <c r="A14726">
        <v>492</v>
      </c>
      <c r="B14726" t="s">
        <v>3998</v>
      </c>
      <c r="C14726" t="s">
        <v>75</v>
      </c>
      <c r="D14726" t="s">
        <v>149</v>
      </c>
      <c r="E14726">
        <f t="shared" si="692"/>
        <v>9.9009900990099011E-3</v>
      </c>
      <c r="F14726">
        <v>35</v>
      </c>
      <c r="G14726">
        <f>LOG(382/(35+1))</f>
        <v>1.0257608621444214</v>
      </c>
      <c r="H14726">
        <f>0.0099009900990099*2.36190167015046</f>
        <v>2.3385165050994649E-2</v>
      </c>
      <c r="I14726">
        <v>2.3385165050994701E-2</v>
      </c>
    </row>
    <row r="14727" spans="1:9" x14ac:dyDescent="0.25">
      <c r="A14727">
        <v>492</v>
      </c>
      <c r="B14727" t="s">
        <v>3998</v>
      </c>
      <c r="C14727" t="s">
        <v>75</v>
      </c>
      <c r="D14727" t="s">
        <v>673</v>
      </c>
      <c r="E14727">
        <f t="shared" si="692"/>
        <v>9.9009900990099011E-3</v>
      </c>
      <c r="F14727">
        <v>16</v>
      </c>
      <c r="G14727">
        <f>LOG(382/(16+1))</f>
        <v>1.3516144415334348</v>
      </c>
      <c r="H14727">
        <f>0.0099009900990099*3.11220726455035</f>
        <v>3.0813933312379697E-2</v>
      </c>
      <c r="I14727">
        <v>3.081393331237979E-2</v>
      </c>
    </row>
    <row r="14728" spans="1:9" x14ac:dyDescent="0.25">
      <c r="A14728">
        <v>492</v>
      </c>
      <c r="B14728" t="s">
        <v>3998</v>
      </c>
      <c r="C14728" t="s">
        <v>75</v>
      </c>
      <c r="D14728" t="s">
        <v>214</v>
      </c>
      <c r="E14728">
        <f t="shared" si="692"/>
        <v>9.9009900990099011E-3</v>
      </c>
      <c r="F14728">
        <v>68</v>
      </c>
      <c r="G14728">
        <f>LOG(382/(68+1))</f>
        <v>0.74321427217445335</v>
      </c>
      <c r="H14728">
        <f>0.0099009900990099*1.71131410400931</f>
        <v>1.6943704000092177E-2</v>
      </c>
      <c r="I14728">
        <v>1.6943704000092239E-2</v>
      </c>
    </row>
    <row r="14729" spans="1:9" x14ac:dyDescent="0.25">
      <c r="A14729">
        <v>492</v>
      </c>
      <c r="B14729" t="s">
        <v>3998</v>
      </c>
      <c r="C14729" t="s">
        <v>75</v>
      </c>
      <c r="D14729" t="s">
        <v>322</v>
      </c>
      <c r="E14729">
        <f>2/101</f>
        <v>1.9801980198019802E-2</v>
      </c>
      <c r="F14729">
        <v>128</v>
      </c>
      <c r="G14729">
        <f>LOG(382/(128+1))</f>
        <v>0.47147365261245977</v>
      </c>
      <c r="H14729">
        <f>0.0198019801980198*1.0856082042449</f>
        <v>2.1497192163265344E-2</v>
      </c>
      <c r="I14729">
        <v>2.149719216326541E-2</v>
      </c>
    </row>
    <row r="14730" spans="1:9" x14ac:dyDescent="0.25">
      <c r="A14730">
        <v>492</v>
      </c>
      <c r="B14730" t="s">
        <v>3998</v>
      </c>
      <c r="C14730" t="s">
        <v>75</v>
      </c>
      <c r="D14730" t="s">
        <v>362</v>
      </c>
      <c r="E14730">
        <f>1/101</f>
        <v>9.9009900990099011E-3</v>
      </c>
      <c r="F14730">
        <v>81</v>
      </c>
      <c r="G14730">
        <f>LOG(382/(81+1))</f>
        <v>0.66824951052799197</v>
      </c>
      <c r="H14730">
        <f>0.0099009900990099*1.53870136134232</f>
        <v>1.5234666943983363E-2</v>
      </c>
      <c r="I14730">
        <v>1.5234666943983391E-2</v>
      </c>
    </row>
    <row r="14731" spans="1:9" x14ac:dyDescent="0.25">
      <c r="A14731">
        <v>492</v>
      </c>
      <c r="B14731" t="s">
        <v>3998</v>
      </c>
      <c r="C14731" t="s">
        <v>75</v>
      </c>
      <c r="D14731" t="s">
        <v>3290</v>
      </c>
      <c r="E14731">
        <f>1/101</f>
        <v>9.9009900990099011E-3</v>
      </c>
      <c r="F14731">
        <v>12</v>
      </c>
      <c r="G14731">
        <f>LOG(382/(12+1))</f>
        <v>1.468120010604872</v>
      </c>
      <c r="H14731">
        <f>0.0099009900990099*3.38047125114503</f>
        <v>3.3470012387574549E-2</v>
      </c>
      <c r="I14731">
        <v>3.3470012387574639E-2</v>
      </c>
    </row>
    <row r="14732" spans="1:9" x14ac:dyDescent="0.25">
      <c r="A14732">
        <v>492</v>
      </c>
      <c r="B14732" t="s">
        <v>3998</v>
      </c>
      <c r="C14732" t="s">
        <v>75</v>
      </c>
      <c r="D14732" t="s">
        <v>82</v>
      </c>
      <c r="E14732">
        <f>3/101</f>
        <v>2.9702970297029702E-2</v>
      </c>
      <c r="F14732">
        <v>92</v>
      </c>
      <c r="G14732">
        <f>LOG(382/(92+1))</f>
        <v>0.61358041435777355</v>
      </c>
      <c r="H14732">
        <f>0.0297029702970297*1.41282111545331</f>
        <v>4.1964983627326036E-2</v>
      </c>
      <c r="I14732">
        <v>4.1964983627326313E-2</v>
      </c>
    </row>
    <row r="14733" spans="1:9" x14ac:dyDescent="0.25">
      <c r="A14733">
        <v>492</v>
      </c>
      <c r="B14733" t="s">
        <v>3998</v>
      </c>
      <c r="C14733" t="s">
        <v>75</v>
      </c>
      <c r="D14733" t="s">
        <v>2369</v>
      </c>
      <c r="E14733">
        <f>1/101</f>
        <v>9.9009900990099011E-3</v>
      </c>
      <c r="F14733">
        <v>15</v>
      </c>
      <c r="G14733">
        <f>LOG(382/(15+1))</f>
        <v>1.3779433802557839</v>
      </c>
      <c r="H14733">
        <f>0.0099009900990099*3.17283188636679</f>
        <v>3.141417709274049E-2</v>
      </c>
      <c r="I14733">
        <v>3.1414177092740539E-2</v>
      </c>
    </row>
    <row r="14734" spans="1:9" x14ac:dyDescent="0.25">
      <c r="A14734">
        <v>492</v>
      </c>
      <c r="B14734" t="s">
        <v>3998</v>
      </c>
      <c r="C14734" t="s">
        <v>75</v>
      </c>
      <c r="D14734" t="s">
        <v>1727</v>
      </c>
      <c r="E14734">
        <f>1/101</f>
        <v>9.9009900990099011E-3</v>
      </c>
      <c r="F14734">
        <v>27</v>
      </c>
      <c r="G14734">
        <f>LOG(382/(27+1))</f>
        <v>1.1349053315694895</v>
      </c>
      <c r="H14734">
        <f>0.0099009900990099*2.61321609843137</f>
        <v>2.5873426717142274E-2</v>
      </c>
      <c r="I14734">
        <v>2.5873426717142291E-2</v>
      </c>
    </row>
    <row r="14735" spans="1:9" x14ac:dyDescent="0.25">
      <c r="A14735">
        <v>492</v>
      </c>
      <c r="B14735" t="s">
        <v>3998</v>
      </c>
      <c r="C14735" t="s">
        <v>75</v>
      </c>
      <c r="D14735" t="s">
        <v>2238</v>
      </c>
      <c r="E14735">
        <f>2/101</f>
        <v>1.9801980198019802E-2</v>
      </c>
      <c r="F14735">
        <v>68</v>
      </c>
      <c r="G14735">
        <f>LOG(382/(68+1))</f>
        <v>0.74321427217445335</v>
      </c>
      <c r="H14735">
        <f>0.0198019801980198*1.71131410400931</f>
        <v>3.3887408000184353E-2</v>
      </c>
      <c r="I14735">
        <v>3.3887408000184471E-2</v>
      </c>
    </row>
    <row r="14736" spans="1:9" x14ac:dyDescent="0.25">
      <c r="A14736">
        <v>492</v>
      </c>
      <c r="B14736" t="s">
        <v>3998</v>
      </c>
      <c r="C14736" t="s">
        <v>75</v>
      </c>
      <c r="D14736" t="s">
        <v>2554</v>
      </c>
      <c r="E14736">
        <f>1/101</f>
        <v>9.9009900990099011E-3</v>
      </c>
      <c r="F14736">
        <v>22</v>
      </c>
      <c r="G14736">
        <f>LOG(382/(22+1))</f>
        <v>1.2203355268941158</v>
      </c>
      <c r="H14736">
        <f>0.0099009900990099*2.80992639267742</f>
        <v>2.7821053392845737E-2</v>
      </c>
      <c r="I14736">
        <v>2.7821053392845799E-2</v>
      </c>
    </row>
    <row r="14737" spans="1:9" x14ac:dyDescent="0.25">
      <c r="A14737">
        <v>492</v>
      </c>
      <c r="B14737" t="s">
        <v>3998</v>
      </c>
      <c r="C14737" t="s">
        <v>75</v>
      </c>
      <c r="D14737" t="s">
        <v>408</v>
      </c>
      <c r="E14737">
        <f>1/101</f>
        <v>9.9009900990099011E-3</v>
      </c>
      <c r="F14737">
        <v>27</v>
      </c>
      <c r="G14737">
        <f>LOG(382/(27+1))</f>
        <v>1.1349053315694895</v>
      </c>
      <c r="H14737">
        <f>0.0099009900990099*2.61321609843137</f>
        <v>2.5873426717142274E-2</v>
      </c>
      <c r="I14737">
        <v>2.5873426717142291E-2</v>
      </c>
    </row>
    <row r="14738" spans="1:9" x14ac:dyDescent="0.25">
      <c r="A14738">
        <v>492</v>
      </c>
      <c r="B14738" t="s">
        <v>3998</v>
      </c>
      <c r="C14738" t="s">
        <v>75</v>
      </c>
      <c r="D14738" t="s">
        <v>746</v>
      </c>
      <c r="E14738">
        <f>1/101</f>
        <v>9.9009900990099011E-3</v>
      </c>
      <c r="F14738">
        <v>58</v>
      </c>
      <c r="G14738">
        <f>LOG(382/(58+1))</f>
        <v>0.81121135126956456</v>
      </c>
      <c r="H14738">
        <f>0.0099009900990099*1.86788316470085</f>
        <v>1.8493892719810393E-2</v>
      </c>
      <c r="I14738">
        <v>1.8493892719810449E-2</v>
      </c>
    </row>
    <row r="14739" spans="1:9" x14ac:dyDescent="0.25">
      <c r="A14739">
        <v>492</v>
      </c>
      <c r="B14739" t="s">
        <v>3998</v>
      </c>
      <c r="C14739" t="s">
        <v>75</v>
      </c>
      <c r="D14739" t="s">
        <v>1773</v>
      </c>
      <c r="E14739">
        <f>1/101</f>
        <v>9.9009900990099011E-3</v>
      </c>
      <c r="F14739">
        <v>24</v>
      </c>
      <c r="G14739">
        <f>LOG(382/(24+1))</f>
        <v>1.1841233542396712</v>
      </c>
      <c r="H14739">
        <f>0.0099009900990099*2.72654478373837</f>
        <v>2.6995492908300688E-2</v>
      </c>
      <c r="I14739">
        <v>2.699549290830074E-2</v>
      </c>
    </row>
    <row r="14740" spans="1:9" x14ac:dyDescent="0.25">
      <c r="A14740">
        <v>492</v>
      </c>
      <c r="B14740" t="s">
        <v>3998</v>
      </c>
      <c r="C14740" t="s">
        <v>75</v>
      </c>
      <c r="D14740" t="s">
        <v>447</v>
      </c>
      <c r="E14740">
        <f>1/101</f>
        <v>9.9009900990099011E-3</v>
      </c>
      <c r="F14740">
        <v>37</v>
      </c>
      <c r="G14740">
        <f>LOG(382/(37+1))</f>
        <v>1.0022797662948986</v>
      </c>
      <c r="H14740">
        <f>0.0099009900990099*2.30783444888018</f>
        <v>2.284984602851663E-2</v>
      </c>
      <c r="I14740">
        <v>2.284984602851672E-2</v>
      </c>
    </row>
    <row r="14741" spans="1:9" x14ac:dyDescent="0.25">
      <c r="A14741">
        <v>492</v>
      </c>
      <c r="B14741" t="s">
        <v>3998</v>
      </c>
      <c r="C14741" t="s">
        <v>75</v>
      </c>
      <c r="D14741" t="s">
        <v>81</v>
      </c>
      <c r="E14741">
        <f>2/101</f>
        <v>1.9801980198019802E-2</v>
      </c>
      <c r="F14741">
        <v>114</v>
      </c>
      <c r="G14741">
        <f>LOG(382/(114+1))</f>
        <v>0.52136552255809698</v>
      </c>
      <c r="H14741">
        <f>0.0198019801980198*1.20048848024332</f>
        <v>2.3772049113729106E-2</v>
      </c>
      <c r="I14741">
        <v>2.377204911372921E-2</v>
      </c>
    </row>
    <row r="14742" spans="1:9" x14ac:dyDescent="0.25">
      <c r="A14742">
        <v>492</v>
      </c>
      <c r="B14742" t="s">
        <v>3998</v>
      </c>
      <c r="C14742" t="s">
        <v>75</v>
      </c>
      <c r="D14742" t="s">
        <v>324</v>
      </c>
      <c r="E14742">
        <f>2/101</f>
        <v>1.9801980198019802E-2</v>
      </c>
      <c r="F14742">
        <v>82</v>
      </c>
      <c r="G14742">
        <f>LOG(382/(82+1))</f>
        <v>0.66298527053563483</v>
      </c>
      <c r="H14742">
        <f>0.0198019801980198*1.52658000080997</f>
        <v>3.0229306946732072E-2</v>
      </c>
      <c r="I14742">
        <v>3.0229306946732221E-2</v>
      </c>
    </row>
    <row r="14743" spans="1:9" x14ac:dyDescent="0.25">
      <c r="A14743">
        <v>492</v>
      </c>
      <c r="B14743" t="s">
        <v>3998</v>
      </c>
      <c r="C14743" t="s">
        <v>75</v>
      </c>
      <c r="D14743" t="s">
        <v>311</v>
      </c>
      <c r="E14743">
        <f>1/101</f>
        <v>9.9009900990099011E-3</v>
      </c>
      <c r="F14743">
        <v>7</v>
      </c>
      <c r="G14743">
        <f>LOG(382/(7+1))</f>
        <v>1.6789733759197651</v>
      </c>
      <c r="H14743">
        <f>0.0099009900990099*3.86597906692673</f>
        <v>3.8277020464621087E-2</v>
      </c>
      <c r="I14743">
        <v>3.8277020464621177E-2</v>
      </c>
    </row>
    <row r="14744" spans="1:9" x14ac:dyDescent="0.25">
      <c r="A14744">
        <v>492</v>
      </c>
      <c r="B14744" t="s">
        <v>3998</v>
      </c>
      <c r="C14744" t="s">
        <v>75</v>
      </c>
      <c r="D14744" t="s">
        <v>754</v>
      </c>
      <c r="E14744">
        <f>2/101</f>
        <v>1.9801980198019802E-2</v>
      </c>
      <c r="F14744">
        <v>111</v>
      </c>
      <c r="G14744">
        <f>LOG(382/(111+1))</f>
        <v>0.53284534024152708</v>
      </c>
      <c r="H14744">
        <f>0.0198019801980198*1.22692173731148</f>
        <v>2.4295479946761976E-2</v>
      </c>
      <c r="I14744">
        <v>2.429547994676199E-2</v>
      </c>
    </row>
    <row r="14745" spans="1:9" x14ac:dyDescent="0.25">
      <c r="A14745">
        <v>492</v>
      </c>
      <c r="B14745" t="s">
        <v>3998</v>
      </c>
      <c r="C14745" t="s">
        <v>75</v>
      </c>
      <c r="D14745" t="s">
        <v>649</v>
      </c>
      <c r="E14745">
        <f>5/101</f>
        <v>4.9504950495049507E-2</v>
      </c>
      <c r="F14745">
        <v>25</v>
      </c>
      <c r="G14745">
        <f>LOG(382/(25+1))</f>
        <v>1.1670900149408907</v>
      </c>
      <c r="H14745">
        <f>0.0495049504950495*2.68732407058509</f>
        <v>0.1330358450784698</v>
      </c>
      <c r="I14745">
        <v>0.13303584507846999</v>
      </c>
    </row>
    <row r="14746" spans="1:9" x14ac:dyDescent="0.25">
      <c r="A14746">
        <v>492</v>
      </c>
      <c r="B14746" t="s">
        <v>3998</v>
      </c>
      <c r="C14746" t="s">
        <v>75</v>
      </c>
      <c r="D14746" t="s">
        <v>1222</v>
      </c>
      <c r="E14746">
        <f>2/101</f>
        <v>1.9801980198019802E-2</v>
      </c>
      <c r="F14746">
        <v>56</v>
      </c>
      <c r="G14746">
        <f>LOG(382/(56+1))</f>
        <v>0.82618850723921733</v>
      </c>
      <c r="H14746">
        <f>0.0198019801980198*1.90236934077202</f>
        <v>3.7670680015287519E-2</v>
      </c>
      <c r="I14746">
        <v>3.7670680015287623E-2</v>
      </c>
    </row>
    <row r="14747" spans="1:9" x14ac:dyDescent="0.25">
      <c r="A14747">
        <v>492</v>
      </c>
      <c r="B14747" t="s">
        <v>3998</v>
      </c>
      <c r="C14747" t="s">
        <v>75</v>
      </c>
      <c r="D14747" t="s">
        <v>485</v>
      </c>
      <c r="E14747">
        <f>1/101</f>
        <v>9.9009900990099011E-3</v>
      </c>
      <c r="F14747">
        <v>74</v>
      </c>
      <c r="G14747">
        <f>LOG(382/(74+1))</f>
        <v>0.7070020995200087</v>
      </c>
      <c r="H14747">
        <f>0.0099009900990099*1.62793249507026</f>
        <v>1.6118143515547127E-2</v>
      </c>
      <c r="I14747">
        <v>1.6118143515547179E-2</v>
      </c>
    </row>
    <row r="14748" spans="1:9" x14ac:dyDescent="0.25">
      <c r="A14748">
        <v>492</v>
      </c>
      <c r="B14748" t="s">
        <v>3998</v>
      </c>
      <c r="C14748" t="s">
        <v>75</v>
      </c>
      <c r="D14748" t="s">
        <v>388</v>
      </c>
      <c r="E14748">
        <f>1/101</f>
        <v>9.9009900990099011E-3</v>
      </c>
      <c r="F14748">
        <v>44</v>
      </c>
      <c r="G14748">
        <f>LOG(382/(44+1))</f>
        <v>0.92885084913636506</v>
      </c>
      <c r="H14748">
        <f>0.0099009900990099*2.13875811883625</f>
        <v>2.1175822958774747E-2</v>
      </c>
      <c r="I14748">
        <v>2.11758229587748E-2</v>
      </c>
    </row>
    <row r="14749" spans="1:9" x14ac:dyDescent="0.25">
      <c r="A14749">
        <v>492</v>
      </c>
      <c r="B14749" t="s">
        <v>3998</v>
      </c>
      <c r="C14749" t="s">
        <v>75</v>
      </c>
      <c r="D14749" t="s">
        <v>596</v>
      </c>
      <c r="E14749">
        <f>1/101</f>
        <v>9.9009900990099011E-3</v>
      </c>
      <c r="F14749">
        <v>60</v>
      </c>
      <c r="G14749">
        <f>LOG(382/(60+1))</f>
        <v>0.79673352790094176</v>
      </c>
      <c r="H14749">
        <f>0.0099009900990099*1.83454674443326</f>
        <v>1.816382915280455E-2</v>
      </c>
      <c r="I14749">
        <v>1.8163829152804591E-2</v>
      </c>
    </row>
    <row r="14750" spans="1:9" x14ac:dyDescent="0.25">
      <c r="A14750">
        <v>492</v>
      </c>
      <c r="B14750" t="s">
        <v>3998</v>
      </c>
      <c r="C14750" t="s">
        <v>75</v>
      </c>
      <c r="D14750" t="s">
        <v>597</v>
      </c>
      <c r="E14750">
        <f>1/101</f>
        <v>9.9009900990099011E-3</v>
      </c>
      <c r="F14750">
        <v>51</v>
      </c>
      <c r="G14750">
        <f>LOG(382/(51+1))</f>
        <v>0.86606001927690957</v>
      </c>
      <c r="H14750">
        <f>0.0099009900990099*1.99417689002514</f>
        <v>1.9744325643813263E-2</v>
      </c>
      <c r="I14750">
        <v>1.974432564381334E-2</v>
      </c>
    </row>
    <row r="14751" spans="1:9" x14ac:dyDescent="0.25">
      <c r="A14751">
        <v>492</v>
      </c>
      <c r="B14751" t="s">
        <v>3998</v>
      </c>
      <c r="C14751" t="s">
        <v>75</v>
      </c>
      <c r="D14751" t="s">
        <v>772</v>
      </c>
      <c r="E14751">
        <f>2/101</f>
        <v>1.9801980198019802E-2</v>
      </c>
      <c r="F14751">
        <v>31</v>
      </c>
      <c r="G14751">
        <f>LOG(382/(31+1))</f>
        <v>1.0769133845918029</v>
      </c>
      <c r="H14751">
        <f>0.0198019801980198*2.47968470580684</f>
        <v>4.9102667441719594E-2</v>
      </c>
      <c r="I14751">
        <v>4.9102667441719768E-2</v>
      </c>
    </row>
    <row r="14752" spans="1:9" x14ac:dyDescent="0.25">
      <c r="A14752">
        <v>492</v>
      </c>
      <c r="B14752" t="s">
        <v>3998</v>
      </c>
      <c r="C14752" t="s">
        <v>75</v>
      </c>
      <c r="D14752" t="s">
        <v>236</v>
      </c>
      <c r="E14752">
        <f t="shared" ref="E14752:E14760" si="693">1/101</f>
        <v>9.9009900990099011E-3</v>
      </c>
      <c r="F14752">
        <v>87</v>
      </c>
      <c r="G14752">
        <f>LOG(382/(87+1))</f>
        <v>0.63758069076154011</v>
      </c>
      <c r="H14752">
        <f>0.0099009900990099*1.46808379412836</f>
        <v>1.453548311018178E-2</v>
      </c>
      <c r="I14752">
        <v>1.4535483110181871E-2</v>
      </c>
    </row>
    <row r="14753" spans="1:9" x14ac:dyDescent="0.25">
      <c r="A14753">
        <v>492</v>
      </c>
      <c r="B14753" t="s">
        <v>3998</v>
      </c>
      <c r="C14753" t="s">
        <v>75</v>
      </c>
      <c r="D14753" t="s">
        <v>3334</v>
      </c>
      <c r="E14753">
        <f t="shared" si="693"/>
        <v>9.9009900990099011E-3</v>
      </c>
      <c r="F14753">
        <v>12</v>
      </c>
      <c r="G14753">
        <f>LOG(382/(12+1))</f>
        <v>1.468120010604872</v>
      </c>
      <c r="H14753">
        <f>0.0099009900990099*3.38047125114503</f>
        <v>3.3470012387574549E-2</v>
      </c>
      <c r="I14753">
        <v>3.3470012387574639E-2</v>
      </c>
    </row>
    <row r="14754" spans="1:9" x14ac:dyDescent="0.25">
      <c r="A14754">
        <v>492</v>
      </c>
      <c r="B14754" t="s">
        <v>3998</v>
      </c>
      <c r="C14754" t="s">
        <v>75</v>
      </c>
      <c r="D14754" t="s">
        <v>2930</v>
      </c>
      <c r="E14754">
        <f t="shared" si="693"/>
        <v>9.9009900990099011E-3</v>
      </c>
      <c r="F14754">
        <v>15</v>
      </c>
      <c r="G14754">
        <f>LOG(382/(15+1))</f>
        <v>1.3779433802557839</v>
      </c>
      <c r="H14754">
        <f>0.0099009900990099*3.17283188636679</f>
        <v>3.141417709274049E-2</v>
      </c>
      <c r="I14754">
        <v>3.1414177092740539E-2</v>
      </c>
    </row>
    <row r="14755" spans="1:9" x14ac:dyDescent="0.25">
      <c r="A14755">
        <v>492</v>
      </c>
      <c r="B14755" t="s">
        <v>3998</v>
      </c>
      <c r="C14755" t="s">
        <v>75</v>
      </c>
      <c r="D14755" t="s">
        <v>357</v>
      </c>
      <c r="E14755">
        <f t="shared" si="693"/>
        <v>9.9009900990099011E-3</v>
      </c>
      <c r="F14755">
        <v>7</v>
      </c>
      <c r="G14755">
        <f>LOG(382/(7+1))</f>
        <v>1.6789733759197651</v>
      </c>
      <c r="H14755">
        <f>0.0099009900990099*3.86597906692673</f>
        <v>3.8277020464621087E-2</v>
      </c>
      <c r="I14755">
        <v>3.8277020464621177E-2</v>
      </c>
    </row>
    <row r="14756" spans="1:9" x14ac:dyDescent="0.25">
      <c r="A14756">
        <v>492</v>
      </c>
      <c r="B14756" t="s">
        <v>3998</v>
      </c>
      <c r="C14756" t="s">
        <v>75</v>
      </c>
      <c r="D14756" t="s">
        <v>78</v>
      </c>
      <c r="E14756">
        <f t="shared" si="693"/>
        <v>9.9009900990099011E-3</v>
      </c>
      <c r="F14756">
        <v>122</v>
      </c>
      <c r="G14756">
        <f>LOG(382/(122+1))</f>
        <v>0.49215825147231079</v>
      </c>
      <c r="H14756">
        <f>0.0099009900990099*1.13323625323415</f>
        <v>1.1220160923110394E-2</v>
      </c>
      <c r="I14756">
        <v>1.122016092311047E-2</v>
      </c>
    </row>
    <row r="14757" spans="1:9" x14ac:dyDescent="0.25">
      <c r="A14757">
        <v>492</v>
      </c>
      <c r="B14757" t="s">
        <v>3998</v>
      </c>
      <c r="C14757" t="s">
        <v>75</v>
      </c>
      <c r="D14757" t="s">
        <v>239</v>
      </c>
      <c r="E14757">
        <f t="shared" si="693"/>
        <v>9.9009900990099011E-3</v>
      </c>
      <c r="F14757">
        <v>40</v>
      </c>
      <c r="G14757">
        <f>LOG(382/(40+1))</f>
        <v>0.96927950619197323</v>
      </c>
      <c r="H14757">
        <f>0.0099009900990099*2.23184854190226</f>
        <v>2.2097510315863954E-2</v>
      </c>
      <c r="I14757">
        <v>2.209751031586403E-2</v>
      </c>
    </row>
    <row r="14758" spans="1:9" x14ac:dyDescent="0.25">
      <c r="A14758">
        <v>492</v>
      </c>
      <c r="B14758" t="s">
        <v>3998</v>
      </c>
      <c r="C14758" t="s">
        <v>75</v>
      </c>
      <c r="D14758" t="s">
        <v>767</v>
      </c>
      <c r="E14758">
        <f t="shared" si="693"/>
        <v>9.9009900990099011E-3</v>
      </c>
      <c r="F14758">
        <v>47</v>
      </c>
      <c r="G14758">
        <f>LOG(382/(47+1))</f>
        <v>0.90082212553612151</v>
      </c>
      <c r="H14758">
        <f>0.0099009900990099*2.07421959769868</f>
        <v>2.053682769998693E-2</v>
      </c>
      <c r="I14758">
        <v>2.0536827699986972E-2</v>
      </c>
    </row>
    <row r="14759" spans="1:9" x14ac:dyDescent="0.25">
      <c r="A14759">
        <v>492</v>
      </c>
      <c r="B14759" t="s">
        <v>3998</v>
      </c>
      <c r="C14759" t="s">
        <v>75</v>
      </c>
      <c r="D14759" t="s">
        <v>256</v>
      </c>
      <c r="E14759">
        <f t="shared" si="693"/>
        <v>9.9009900990099011E-3</v>
      </c>
      <c r="F14759">
        <v>28</v>
      </c>
      <c r="G14759">
        <f>LOG(382/(28+1))</f>
        <v>1.1196653650127526</v>
      </c>
      <c r="H14759">
        <f>0.0099009900990099*2.5781247786201</f>
        <v>2.5525987907129698E-2</v>
      </c>
      <c r="I14759">
        <v>2.5525987907129719E-2</v>
      </c>
    </row>
    <row r="14760" spans="1:9" x14ac:dyDescent="0.25">
      <c r="A14760">
        <v>492</v>
      </c>
      <c r="B14760" t="s">
        <v>3998</v>
      </c>
      <c r="C14760" t="s">
        <v>75</v>
      </c>
      <c r="D14760" t="s">
        <v>753</v>
      </c>
      <c r="E14760">
        <f t="shared" si="693"/>
        <v>9.9009900990099011E-3</v>
      </c>
      <c r="F14760">
        <v>19</v>
      </c>
      <c r="G14760">
        <f>LOG(382/(19+1))</f>
        <v>1.2810333672477277</v>
      </c>
      <c r="H14760">
        <f>0.0099009900990099*2.94968833505258</f>
        <v>2.9204835000520589E-2</v>
      </c>
      <c r="I14760">
        <v>2.9204835000520641E-2</v>
      </c>
    </row>
    <row r="14761" spans="1:9" x14ac:dyDescent="0.25">
      <c r="A14761">
        <v>493</v>
      </c>
      <c r="B14761" t="s">
        <v>4003</v>
      </c>
      <c r="C14761" t="s">
        <v>75</v>
      </c>
      <c r="D14761" t="s">
        <v>44</v>
      </c>
      <c r="E14761">
        <f>2/78</f>
        <v>2.564102564102564E-2</v>
      </c>
      <c r="F14761">
        <v>151</v>
      </c>
      <c r="G14761">
        <f>LOG(382/(151+1))</f>
        <v>0.40021977496693617</v>
      </c>
      <c r="H14761">
        <f>0.0256410256410256*0.921540087760298</f>
        <v>2.3629233019494784E-2</v>
      </c>
      <c r="I14761">
        <v>2.3629233019494839E-2</v>
      </c>
    </row>
    <row r="14762" spans="1:9" x14ac:dyDescent="0.25">
      <c r="A14762">
        <v>493</v>
      </c>
      <c r="B14762" t="s">
        <v>4003</v>
      </c>
      <c r="C14762" t="s">
        <v>75</v>
      </c>
      <c r="D14762" t="s">
        <v>2427</v>
      </c>
      <c r="E14762">
        <f t="shared" ref="E14762:E14775" si="694">1/78</f>
        <v>1.282051282051282E-2</v>
      </c>
      <c r="F14762">
        <v>3</v>
      </c>
      <c r="G14762">
        <f>LOG(382/(3+1))</f>
        <v>1.9800033715837464</v>
      </c>
      <c r="H14762">
        <f>0.0128205128205128*4.55912624748668</f>
        <v>5.8450336506239389E-2</v>
      </c>
      <c r="I14762">
        <v>5.8450336506239542E-2</v>
      </c>
    </row>
    <row r="14763" spans="1:9" x14ac:dyDescent="0.25">
      <c r="A14763">
        <v>493</v>
      </c>
      <c r="B14763" t="s">
        <v>4003</v>
      </c>
      <c r="C14763" t="s">
        <v>75</v>
      </c>
      <c r="D14763" t="s">
        <v>750</v>
      </c>
      <c r="E14763">
        <f t="shared" si="694"/>
        <v>1.282051282051282E-2</v>
      </c>
      <c r="F14763">
        <v>9</v>
      </c>
      <c r="G14763">
        <f>LOG(382/(9+1))</f>
        <v>1.5820633629117087</v>
      </c>
      <c r="H14763">
        <f>0.0128205128205128*3.64283551561252</f>
        <v>4.6703019430929665E-2</v>
      </c>
      <c r="I14763">
        <v>4.670301943092986E-2</v>
      </c>
    </row>
    <row r="14764" spans="1:9" x14ac:dyDescent="0.25">
      <c r="A14764">
        <v>493</v>
      </c>
      <c r="B14764" t="s">
        <v>4003</v>
      </c>
      <c r="C14764" t="s">
        <v>75</v>
      </c>
      <c r="D14764" t="s">
        <v>247</v>
      </c>
      <c r="E14764">
        <f t="shared" si="694"/>
        <v>1.282051282051282E-2</v>
      </c>
      <c r="F14764">
        <v>121</v>
      </c>
      <c r="G14764">
        <f>LOG(382/(121+1))</f>
        <v>0.49570353223696051</v>
      </c>
      <c r="H14764">
        <f>0.0128205128205128*1.14139956387331</f>
        <v>1.4633327741965491E-2</v>
      </c>
      <c r="I14764">
        <v>1.4633327741965621E-2</v>
      </c>
    </row>
    <row r="14765" spans="1:9" x14ac:dyDescent="0.25">
      <c r="A14765">
        <v>493</v>
      </c>
      <c r="B14765" t="s">
        <v>4003</v>
      </c>
      <c r="C14765" t="s">
        <v>75</v>
      </c>
      <c r="D14765" t="s">
        <v>39</v>
      </c>
      <c r="E14765">
        <f t="shared" si="694"/>
        <v>1.282051282051282E-2</v>
      </c>
      <c r="F14765">
        <v>145</v>
      </c>
      <c r="G14765">
        <f>LOG(382/(145+1))</f>
        <v>0.41771050712727159</v>
      </c>
      <c r="H14765">
        <f>0.0128205128205128*0.961813986898238</f>
        <v>1.233094854997739E-2</v>
      </c>
      <c r="I14765">
        <v>1.2330948549977421E-2</v>
      </c>
    </row>
    <row r="14766" spans="1:9" x14ac:dyDescent="0.25">
      <c r="A14766">
        <v>493</v>
      </c>
      <c r="B14766" t="s">
        <v>4003</v>
      </c>
      <c r="C14766" t="s">
        <v>75</v>
      </c>
      <c r="D14766" t="s">
        <v>42</v>
      </c>
      <c r="E14766">
        <f t="shared" si="694"/>
        <v>1.282051282051282E-2</v>
      </c>
      <c r="F14766">
        <v>251</v>
      </c>
      <c r="G14766">
        <f>LOG(382/(251+1))</f>
        <v>0.18066282213016463</v>
      </c>
      <c r="H14766">
        <f>0.0128205128205128*0.415991521095151</f>
        <v>5.3332246294250036E-3</v>
      </c>
      <c r="I14766">
        <v>5.3332246294250244E-3</v>
      </c>
    </row>
    <row r="14767" spans="1:9" x14ac:dyDescent="0.25">
      <c r="A14767">
        <v>493</v>
      </c>
      <c r="B14767" t="s">
        <v>4003</v>
      </c>
      <c r="C14767" t="s">
        <v>75</v>
      </c>
      <c r="D14767" t="s">
        <v>636</v>
      </c>
      <c r="E14767">
        <f t="shared" si="694"/>
        <v>1.282051282051282E-2</v>
      </c>
      <c r="F14767">
        <v>31</v>
      </c>
      <c r="G14767">
        <f>LOG(382/(31+1))</f>
        <v>1.0769133845918029</v>
      </c>
      <c r="H14767">
        <f>0.0128205128205128*2.47968470580684</f>
        <v>3.1790829561626099E-2</v>
      </c>
      <c r="I14767">
        <v>3.1790829561626273E-2</v>
      </c>
    </row>
    <row r="14768" spans="1:9" x14ac:dyDescent="0.25">
      <c r="A14768">
        <v>493</v>
      </c>
      <c r="B14768" t="s">
        <v>4003</v>
      </c>
      <c r="C14768" t="s">
        <v>75</v>
      </c>
      <c r="D14768" t="s">
        <v>637</v>
      </c>
      <c r="E14768">
        <f t="shared" si="694"/>
        <v>1.282051282051282E-2</v>
      </c>
      <c r="F14768">
        <v>29</v>
      </c>
      <c r="G14768">
        <f>LOG(382/(29+1))</f>
        <v>1.1049421081920463</v>
      </c>
      <c r="H14768">
        <f>0.0128205128205128*2.54422322694442</f>
        <v>3.2618246499287379E-2</v>
      </c>
      <c r="I14768">
        <v>3.2618246499287427E-2</v>
      </c>
    </row>
    <row r="14769" spans="1:9" x14ac:dyDescent="0.25">
      <c r="A14769">
        <v>493</v>
      </c>
      <c r="B14769" t="s">
        <v>4003</v>
      </c>
      <c r="C14769" t="s">
        <v>75</v>
      </c>
      <c r="D14769" t="s">
        <v>70</v>
      </c>
      <c r="E14769">
        <f t="shared" si="694"/>
        <v>1.282051282051282E-2</v>
      </c>
      <c r="F14769">
        <v>44</v>
      </c>
      <c r="G14769">
        <f>LOG(382/(44+1))</f>
        <v>0.92885084913636506</v>
      </c>
      <c r="H14769">
        <f>0.0128205128205128*2.13875811883625</f>
        <v>2.741997588251598E-2</v>
      </c>
      <c r="I14769">
        <v>2.7419975882516091E-2</v>
      </c>
    </row>
    <row r="14770" spans="1:9" x14ac:dyDescent="0.25">
      <c r="A14770">
        <v>493</v>
      </c>
      <c r="B14770" t="s">
        <v>4003</v>
      </c>
      <c r="C14770" t="s">
        <v>75</v>
      </c>
      <c r="D14770" t="s">
        <v>19</v>
      </c>
      <c r="E14770">
        <f t="shared" si="694"/>
        <v>1.282051282051282E-2</v>
      </c>
      <c r="F14770">
        <v>220</v>
      </c>
      <c r="G14770">
        <f>LOG(382/(220+1))</f>
        <v>0.23767108922659805</v>
      </c>
      <c r="H14770">
        <f>0.0128205128205128*0.547257907088822</f>
        <v>7.0161270139592457E-3</v>
      </c>
      <c r="I14770">
        <v>7.0161270139592613E-3</v>
      </c>
    </row>
    <row r="14771" spans="1:9" x14ac:dyDescent="0.25">
      <c r="A14771">
        <v>493</v>
      </c>
      <c r="B14771" t="s">
        <v>4003</v>
      </c>
      <c r="C14771" t="s">
        <v>75</v>
      </c>
      <c r="D14771" t="s">
        <v>22</v>
      </c>
      <c r="E14771">
        <f t="shared" si="694"/>
        <v>1.282051282051282E-2</v>
      </c>
      <c r="F14771">
        <v>259</v>
      </c>
      <c r="G14771">
        <f>LOG(382/(259+1))</f>
        <v>0.16709001494089079</v>
      </c>
      <c r="H14771">
        <f>0.0128205128205128*0.384738977591047</f>
        <v>4.932550994757005E-3</v>
      </c>
      <c r="I14771">
        <v>4.9325509947570198E-3</v>
      </c>
    </row>
    <row r="14772" spans="1:9" x14ac:dyDescent="0.25">
      <c r="A14772">
        <v>493</v>
      </c>
      <c r="B14772" t="s">
        <v>4003</v>
      </c>
      <c r="C14772" t="s">
        <v>75</v>
      </c>
      <c r="D14772" t="s">
        <v>23</v>
      </c>
      <c r="E14772">
        <f t="shared" si="694"/>
        <v>1.282051282051282E-2</v>
      </c>
      <c r="F14772">
        <v>275</v>
      </c>
      <c r="G14772">
        <f>LOG(382/(275+1))</f>
        <v>0.14115428084649101</v>
      </c>
      <c r="H14772">
        <f>0.0128205128205128*0.325019742889425</f>
        <v>4.166919780633647E-3</v>
      </c>
      <c r="I14772">
        <v>4.1669197806336556E-3</v>
      </c>
    </row>
    <row r="14773" spans="1:9" x14ac:dyDescent="0.25">
      <c r="A14773">
        <v>493</v>
      </c>
      <c r="B14773" t="s">
        <v>4003</v>
      </c>
      <c r="C14773" t="s">
        <v>75</v>
      </c>
      <c r="D14773" t="s">
        <v>1785</v>
      </c>
      <c r="E14773">
        <f t="shared" si="694"/>
        <v>1.282051282051282E-2</v>
      </c>
      <c r="F14773">
        <v>21</v>
      </c>
      <c r="G14773">
        <f>LOG(382/(21+1))</f>
        <v>1.2396406820895025</v>
      </c>
      <c r="H14773">
        <f>0.0128205128205128*2.85437815524825</f>
        <v>3.659459173395186E-2</v>
      </c>
      <c r="I14773">
        <v>3.6594591733952041E-2</v>
      </c>
    </row>
    <row r="14774" spans="1:9" x14ac:dyDescent="0.25">
      <c r="A14774">
        <v>493</v>
      </c>
      <c r="B14774" t="s">
        <v>4003</v>
      </c>
      <c r="C14774" t="s">
        <v>75</v>
      </c>
      <c r="D14774" t="s">
        <v>751</v>
      </c>
      <c r="E14774">
        <f t="shared" si="694"/>
        <v>1.282051282051282E-2</v>
      </c>
      <c r="F14774">
        <v>4</v>
      </c>
      <c r="G14774">
        <f>LOG(382/(4+1))</f>
        <v>1.8830933585756899</v>
      </c>
      <c r="H14774">
        <f>0.0128205128205128*4.33598269617247</f>
        <v>5.5589521745800813E-2</v>
      </c>
      <c r="I14774">
        <v>5.5589521745800959E-2</v>
      </c>
    </row>
    <row r="14775" spans="1:9" x14ac:dyDescent="0.25">
      <c r="A14775">
        <v>493</v>
      </c>
      <c r="B14775" t="s">
        <v>4003</v>
      </c>
      <c r="C14775" t="s">
        <v>75</v>
      </c>
      <c r="D14775" t="s">
        <v>204</v>
      </c>
      <c r="E14775">
        <f t="shared" si="694"/>
        <v>1.282051282051282E-2</v>
      </c>
      <c r="F14775">
        <v>166</v>
      </c>
      <c r="G14775">
        <f>LOG(382/(166+1))</f>
        <v>0.35934689176412549</v>
      </c>
      <c r="H14775">
        <f>0.0128205128205128*0.82742679618982</f>
        <v>1.0608035848587417E-2</v>
      </c>
      <c r="I14775">
        <v>1.060803584858744E-2</v>
      </c>
    </row>
    <row r="14776" spans="1:9" x14ac:dyDescent="0.25">
      <c r="A14776">
        <v>493</v>
      </c>
      <c r="B14776" t="s">
        <v>4003</v>
      </c>
      <c r="C14776" t="s">
        <v>75</v>
      </c>
      <c r="D14776" t="s">
        <v>322</v>
      </c>
      <c r="E14776">
        <f>2/78</f>
        <v>2.564102564102564E-2</v>
      </c>
      <c r="F14776">
        <v>128</v>
      </c>
      <c r="G14776">
        <f>LOG(382/(128+1))</f>
        <v>0.47147365261245977</v>
      </c>
      <c r="H14776">
        <f>0.0256410256410256*1.0856082042449</f>
        <v>2.7836107801151234E-2</v>
      </c>
      <c r="I14776">
        <v>2.7836107801151359E-2</v>
      </c>
    </row>
    <row r="14777" spans="1:9" x14ac:dyDescent="0.25">
      <c r="A14777">
        <v>493</v>
      </c>
      <c r="B14777" t="s">
        <v>4003</v>
      </c>
      <c r="C14777" t="s">
        <v>75</v>
      </c>
      <c r="D14777" t="s">
        <v>1537</v>
      </c>
      <c r="E14777">
        <f>2/78</f>
        <v>2.564102564102564E-2</v>
      </c>
      <c r="F14777">
        <v>80</v>
      </c>
      <c r="G14777">
        <f>LOG(382/(80+1))</f>
        <v>0.67357834403305894</v>
      </c>
      <c r="H14777">
        <f>0.0256410256410256*1.55097145393413</f>
        <v>3.9768498818823779E-2</v>
      </c>
      <c r="I14777">
        <v>3.9768498818824008E-2</v>
      </c>
    </row>
    <row r="14778" spans="1:9" x14ac:dyDescent="0.25">
      <c r="A14778">
        <v>493</v>
      </c>
      <c r="B14778" t="s">
        <v>4003</v>
      </c>
      <c r="C14778" t="s">
        <v>75</v>
      </c>
      <c r="D14778" t="s">
        <v>362</v>
      </c>
      <c r="E14778">
        <f>2/78</f>
        <v>2.564102564102564E-2</v>
      </c>
      <c r="F14778">
        <v>81</v>
      </c>
      <c r="G14778">
        <f>LOG(382/(81+1))</f>
        <v>0.66824951052799197</v>
      </c>
      <c r="H14778">
        <f>0.0256410256410256*1.53870136134232</f>
        <v>3.9453881060059419E-2</v>
      </c>
      <c r="I14778">
        <v>3.9453881060059537E-2</v>
      </c>
    </row>
    <row r="14779" spans="1:9" x14ac:dyDescent="0.25">
      <c r="A14779">
        <v>493</v>
      </c>
      <c r="B14779" t="s">
        <v>4003</v>
      </c>
      <c r="C14779" t="s">
        <v>75</v>
      </c>
      <c r="D14779" t="s">
        <v>1769</v>
      </c>
      <c r="E14779">
        <f>1/78</f>
        <v>1.282051282051282E-2</v>
      </c>
      <c r="F14779">
        <v>84</v>
      </c>
      <c r="G14779">
        <f>LOG(382/(84+1))</f>
        <v>0.65264443719741605</v>
      </c>
      <c r="H14779">
        <f>0.0128205128205128*1.50276935211625</f>
        <v>1.9266273745080095E-2</v>
      </c>
      <c r="I14779">
        <v>1.9266273745080241E-2</v>
      </c>
    </row>
    <row r="14780" spans="1:9" x14ac:dyDescent="0.25">
      <c r="A14780">
        <v>493</v>
      </c>
      <c r="B14780" t="s">
        <v>4003</v>
      </c>
      <c r="C14780" t="s">
        <v>75</v>
      </c>
      <c r="D14780" t="s">
        <v>225</v>
      </c>
      <c r="E14780">
        <f>2/78</f>
        <v>2.564102564102564E-2</v>
      </c>
      <c r="F14780">
        <v>30</v>
      </c>
      <c r="G14780">
        <f>LOG(382/(30+1))</f>
        <v>1.090701669077436</v>
      </c>
      <c r="H14780">
        <f>0.0256410256410256*2.51143340412142</f>
        <v>6.4395728310805533E-2</v>
      </c>
      <c r="I14780">
        <v>6.4395728310805866E-2</v>
      </c>
    </row>
    <row r="14781" spans="1:9" x14ac:dyDescent="0.25">
      <c r="A14781">
        <v>493</v>
      </c>
      <c r="B14781" t="s">
        <v>4003</v>
      </c>
      <c r="C14781" t="s">
        <v>75</v>
      </c>
      <c r="D14781" t="s">
        <v>201</v>
      </c>
      <c r="E14781">
        <f>2/78</f>
        <v>2.564102564102564E-2</v>
      </c>
      <c r="F14781">
        <v>72</v>
      </c>
      <c r="G14781">
        <f>LOG(382/(72+1))</f>
        <v>0.71874050279125279</v>
      </c>
      <c r="H14781">
        <f>0.0256410256410256*1.65496116745818</f>
        <v>4.2434901729696849E-2</v>
      </c>
      <c r="I14781">
        <v>4.2434901729697022E-2</v>
      </c>
    </row>
    <row r="14782" spans="1:9" x14ac:dyDescent="0.25">
      <c r="A14782">
        <v>493</v>
      </c>
      <c r="B14782" t="s">
        <v>4003</v>
      </c>
      <c r="C14782" t="s">
        <v>75</v>
      </c>
      <c r="D14782" t="s">
        <v>243</v>
      </c>
      <c r="E14782">
        <f t="shared" ref="E14782:E14797" si="695">1/78</f>
        <v>1.282051282051282E-2</v>
      </c>
      <c r="F14782">
        <v>131</v>
      </c>
      <c r="G14782">
        <f>LOG(382/(131+1))</f>
        <v>0.46148943170585888</v>
      </c>
      <c r="H14782">
        <f>0.0128205128205128*1.0626186860202</f>
        <v>1.362331648743844E-2</v>
      </c>
      <c r="I14782">
        <v>1.362331648743852E-2</v>
      </c>
    </row>
    <row r="14783" spans="1:9" x14ac:dyDescent="0.25">
      <c r="A14783">
        <v>493</v>
      </c>
      <c r="B14783" t="s">
        <v>4003</v>
      </c>
      <c r="C14783" t="s">
        <v>75</v>
      </c>
      <c r="D14783" t="s">
        <v>453</v>
      </c>
      <c r="E14783">
        <f t="shared" si="695"/>
        <v>1.282051282051282E-2</v>
      </c>
      <c r="F14783">
        <v>68</v>
      </c>
      <c r="G14783">
        <f>LOG(382/(68+1))</f>
        <v>0.74321427217445335</v>
      </c>
      <c r="H14783">
        <f>0.0128205128205128*1.71131410400931</f>
        <v>2.1939924410375733E-2</v>
      </c>
      <c r="I14783">
        <v>2.193992441037584E-2</v>
      </c>
    </row>
    <row r="14784" spans="1:9" x14ac:dyDescent="0.25">
      <c r="A14784">
        <v>493</v>
      </c>
      <c r="B14784" t="s">
        <v>4003</v>
      </c>
      <c r="C14784" t="s">
        <v>75</v>
      </c>
      <c r="D14784" t="s">
        <v>455</v>
      </c>
      <c r="E14784">
        <f t="shared" si="695"/>
        <v>1.282051282051282E-2</v>
      </c>
      <c r="F14784">
        <v>78</v>
      </c>
      <c r="G14784">
        <f>LOG(382/(78+1))</f>
        <v>0.6844362716212673</v>
      </c>
      <c r="H14784">
        <f>0.0128205128205128*1.57597275613955</f>
        <v>2.0204778924865992E-2</v>
      </c>
      <c r="I14784">
        <v>2.0204778924866069E-2</v>
      </c>
    </row>
    <row r="14785" spans="1:9" x14ac:dyDescent="0.25">
      <c r="A14785">
        <v>493</v>
      </c>
      <c r="B14785" t="s">
        <v>4003</v>
      </c>
      <c r="C14785" t="s">
        <v>75</v>
      </c>
      <c r="D14785" t="s">
        <v>456</v>
      </c>
      <c r="E14785">
        <f t="shared" si="695"/>
        <v>1.282051282051282E-2</v>
      </c>
      <c r="F14785">
        <v>71</v>
      </c>
      <c r="G14785">
        <f>LOG(382/(71+1))</f>
        <v>0.72473086648044027</v>
      </c>
      <c r="H14785">
        <f>0.0128205128205128*1.66875448959051</f>
        <v>2.1394288328083426E-2</v>
      </c>
      <c r="I14785">
        <v>2.1394288328083589E-2</v>
      </c>
    </row>
    <row r="14786" spans="1:9" x14ac:dyDescent="0.25">
      <c r="A14786">
        <v>493</v>
      </c>
      <c r="B14786" t="s">
        <v>4003</v>
      </c>
      <c r="C14786" t="s">
        <v>75</v>
      </c>
      <c r="D14786" t="s">
        <v>1779</v>
      </c>
      <c r="E14786">
        <f t="shared" si="695"/>
        <v>1.282051282051282E-2</v>
      </c>
      <c r="F14786">
        <v>41</v>
      </c>
      <c r="G14786">
        <f>LOG(382/(41+1))</f>
        <v>0.95881407251380824</v>
      </c>
      <c r="H14786">
        <f>0.0128205128205128*2.2077509903232</f>
        <v>2.8304499875938416E-2</v>
      </c>
      <c r="I14786">
        <v>2.8304499875938551E-2</v>
      </c>
    </row>
    <row r="14787" spans="1:9" x14ac:dyDescent="0.25">
      <c r="A14787">
        <v>493</v>
      </c>
      <c r="B14787" t="s">
        <v>4003</v>
      </c>
      <c r="C14787" t="s">
        <v>75</v>
      </c>
      <c r="D14787" t="s">
        <v>3956</v>
      </c>
      <c r="E14787">
        <f t="shared" si="695"/>
        <v>1.282051282051282E-2</v>
      </c>
      <c r="F14787">
        <v>8</v>
      </c>
      <c r="G14787">
        <f>LOG(382/(8+1))</f>
        <v>1.6278208534723839</v>
      </c>
      <c r="H14787">
        <f>0.0128205128205128*3.74819603127035</f>
        <v>4.8053795272696716E-2</v>
      </c>
      <c r="I14787">
        <v>4.8053795272696868E-2</v>
      </c>
    </row>
    <row r="14788" spans="1:9" x14ac:dyDescent="0.25">
      <c r="A14788">
        <v>493</v>
      </c>
      <c r="B14788" t="s">
        <v>4003</v>
      </c>
      <c r="C14788" t="s">
        <v>75</v>
      </c>
      <c r="D14788" t="s">
        <v>3992</v>
      </c>
      <c r="E14788">
        <f t="shared" si="695"/>
        <v>1.282051282051282E-2</v>
      </c>
      <c r="F14788">
        <v>3</v>
      </c>
      <c r="G14788">
        <f>LOG(382/(3+1))</f>
        <v>1.9800033715837464</v>
      </c>
      <c r="H14788">
        <f>0.0128205128205128*4.55912624748668</f>
        <v>5.8450336506239389E-2</v>
      </c>
      <c r="I14788">
        <v>5.8450336506239542E-2</v>
      </c>
    </row>
    <row r="14789" spans="1:9" x14ac:dyDescent="0.25">
      <c r="A14789">
        <v>493</v>
      </c>
      <c r="B14789" t="s">
        <v>4003</v>
      </c>
      <c r="C14789" t="s">
        <v>75</v>
      </c>
      <c r="D14789" t="s">
        <v>888</v>
      </c>
      <c r="E14789">
        <f t="shared" si="695"/>
        <v>1.282051282051282E-2</v>
      </c>
      <c r="F14789">
        <v>21</v>
      </c>
      <c r="G14789">
        <f>LOG(382/(21+1))</f>
        <v>1.2396406820895025</v>
      </c>
      <c r="H14789">
        <f>0.0128205128205128*2.85437815524825</f>
        <v>3.659459173395186E-2</v>
      </c>
      <c r="I14789">
        <v>3.6594591733952041E-2</v>
      </c>
    </row>
    <row r="14790" spans="1:9" x14ac:dyDescent="0.25">
      <c r="A14790">
        <v>493</v>
      </c>
      <c r="B14790" t="s">
        <v>4003</v>
      </c>
      <c r="C14790" t="s">
        <v>75</v>
      </c>
      <c r="D14790" t="s">
        <v>4004</v>
      </c>
      <c r="E14790">
        <f t="shared" si="695"/>
        <v>1.282051282051282E-2</v>
      </c>
      <c r="F14790">
        <v>1</v>
      </c>
      <c r="G14790">
        <f>LOG(382/(1+1))</f>
        <v>2.2810333672477277</v>
      </c>
      <c r="H14790">
        <f>0.0128205128205128*5.25227342804663</f>
        <v>6.7336838821110523E-2</v>
      </c>
      <c r="I14790">
        <v>6.7336838821110634E-2</v>
      </c>
    </row>
    <row r="14791" spans="1:9" x14ac:dyDescent="0.25">
      <c r="A14791">
        <v>493</v>
      </c>
      <c r="B14791" t="s">
        <v>4003</v>
      </c>
      <c r="C14791" t="s">
        <v>75</v>
      </c>
      <c r="D14791" t="s">
        <v>361</v>
      </c>
      <c r="E14791">
        <f t="shared" si="695"/>
        <v>1.282051282051282E-2</v>
      </c>
      <c r="F14791">
        <v>118</v>
      </c>
      <c r="G14791">
        <f>LOG(382/(118+1))</f>
        <v>0.50651640151917798</v>
      </c>
      <c r="H14791">
        <f>0.0128205128205128*1.16629711549504</f>
        <v>1.4952527121731255E-2</v>
      </c>
      <c r="I14791">
        <v>1.495252712173136E-2</v>
      </c>
    </row>
    <row r="14792" spans="1:9" x14ac:dyDescent="0.25">
      <c r="A14792">
        <v>493</v>
      </c>
      <c r="B14792" t="s">
        <v>4003</v>
      </c>
      <c r="C14792" t="s">
        <v>75</v>
      </c>
      <c r="D14792" t="s">
        <v>434</v>
      </c>
      <c r="E14792">
        <f t="shared" si="695"/>
        <v>1.282051282051282E-2</v>
      </c>
      <c r="F14792">
        <v>97</v>
      </c>
      <c r="G14792">
        <f>LOG(382/(97+1))</f>
        <v>0.59083728721921391</v>
      </c>
      <c r="H14792">
        <f>0.0128205128205128*1.360453129936</f>
        <v>1.7441706794051253E-2</v>
      </c>
      <c r="I14792">
        <v>1.7441706794051319E-2</v>
      </c>
    </row>
    <row r="14793" spans="1:9" x14ac:dyDescent="0.25">
      <c r="A14793">
        <v>493</v>
      </c>
      <c r="B14793" t="s">
        <v>4003</v>
      </c>
      <c r="C14793" t="s">
        <v>75</v>
      </c>
      <c r="D14793" t="s">
        <v>850</v>
      </c>
      <c r="E14793">
        <f t="shared" si="695"/>
        <v>1.282051282051282E-2</v>
      </c>
      <c r="F14793">
        <v>14</v>
      </c>
      <c r="G14793">
        <f>LOG(382/(14+1))</f>
        <v>1.4059721038560276</v>
      </c>
      <c r="H14793">
        <f>0.0128205128205128*3.23737040750436</f>
        <v>4.1504748814158395E-2</v>
      </c>
      <c r="I14793">
        <v>4.1504748814158533E-2</v>
      </c>
    </row>
    <row r="14794" spans="1:9" x14ac:dyDescent="0.25">
      <c r="A14794">
        <v>493</v>
      </c>
      <c r="B14794" t="s">
        <v>4003</v>
      </c>
      <c r="C14794" t="s">
        <v>75</v>
      </c>
      <c r="D14794" t="s">
        <v>149</v>
      </c>
      <c r="E14794">
        <f t="shared" si="695"/>
        <v>1.282051282051282E-2</v>
      </c>
      <c r="F14794">
        <v>35</v>
      </c>
      <c r="G14794">
        <f>LOG(382/(35+1))</f>
        <v>1.0257608621444214</v>
      </c>
      <c r="H14794">
        <f>0.0128205128205128*2.36190167015046</f>
        <v>3.0280790642954566E-2</v>
      </c>
      <c r="I14794">
        <v>3.0280790642954681E-2</v>
      </c>
    </row>
    <row r="14795" spans="1:9" x14ac:dyDescent="0.25">
      <c r="A14795">
        <v>493</v>
      </c>
      <c r="B14795" t="s">
        <v>4003</v>
      </c>
      <c r="C14795" t="s">
        <v>75</v>
      </c>
      <c r="D14795" t="s">
        <v>673</v>
      </c>
      <c r="E14795">
        <f t="shared" si="695"/>
        <v>1.282051282051282E-2</v>
      </c>
      <c r="F14795">
        <v>16</v>
      </c>
      <c r="G14795">
        <f>LOG(382/(16+1))</f>
        <v>1.3516144415334348</v>
      </c>
      <c r="H14795">
        <f>0.0128205128205128*3.11220726455035</f>
        <v>3.9900093135260828E-2</v>
      </c>
      <c r="I14795">
        <v>3.9900093135261022E-2</v>
      </c>
    </row>
    <row r="14796" spans="1:9" x14ac:dyDescent="0.25">
      <c r="A14796">
        <v>493</v>
      </c>
      <c r="B14796" t="s">
        <v>4003</v>
      </c>
      <c r="C14796" t="s">
        <v>75</v>
      </c>
      <c r="D14796" t="s">
        <v>214</v>
      </c>
      <c r="E14796">
        <f t="shared" si="695"/>
        <v>1.282051282051282E-2</v>
      </c>
      <c r="F14796">
        <v>68</v>
      </c>
      <c r="G14796">
        <f>LOG(382/(68+1))</f>
        <v>0.74321427217445335</v>
      </c>
      <c r="H14796">
        <f>0.0128205128205128*1.71131410400931</f>
        <v>2.1939924410375733E-2</v>
      </c>
      <c r="I14796">
        <v>2.193992441037584E-2</v>
      </c>
    </row>
    <row r="14797" spans="1:9" x14ac:dyDescent="0.25">
      <c r="A14797">
        <v>493</v>
      </c>
      <c r="B14797" t="s">
        <v>4003</v>
      </c>
      <c r="C14797" t="s">
        <v>75</v>
      </c>
      <c r="D14797" t="s">
        <v>3290</v>
      </c>
      <c r="E14797">
        <f t="shared" si="695"/>
        <v>1.282051282051282E-2</v>
      </c>
      <c r="F14797">
        <v>12</v>
      </c>
      <c r="G14797">
        <f>LOG(382/(12+1))</f>
        <v>1.468120010604872</v>
      </c>
      <c r="H14797">
        <f>0.0128205128205128*3.38047125114503</f>
        <v>4.3339375014679798E-2</v>
      </c>
      <c r="I14797">
        <v>4.3339375014679979E-2</v>
      </c>
    </row>
    <row r="14798" spans="1:9" x14ac:dyDescent="0.25">
      <c r="A14798">
        <v>493</v>
      </c>
      <c r="B14798" t="s">
        <v>4003</v>
      </c>
      <c r="C14798" t="s">
        <v>75</v>
      </c>
      <c r="D14798" t="s">
        <v>82</v>
      </c>
      <c r="E14798">
        <f>2/78</f>
        <v>2.564102564102564E-2</v>
      </c>
      <c r="F14798">
        <v>92</v>
      </c>
      <c r="G14798">
        <f>LOG(382/(92+1))</f>
        <v>0.61358041435777355</v>
      </c>
      <c r="H14798">
        <f>0.0256410256410256*1.41282111545331</f>
        <v>3.6226182447520704E-2</v>
      </c>
      <c r="I14798">
        <v>3.6226182447521002E-2</v>
      </c>
    </row>
    <row r="14799" spans="1:9" x14ac:dyDescent="0.25">
      <c r="A14799">
        <v>493</v>
      </c>
      <c r="B14799" t="s">
        <v>4003</v>
      </c>
      <c r="C14799" t="s">
        <v>75</v>
      </c>
      <c r="D14799" t="s">
        <v>2369</v>
      </c>
      <c r="E14799">
        <f>1/78</f>
        <v>1.282051282051282E-2</v>
      </c>
      <c r="F14799">
        <v>15</v>
      </c>
      <c r="G14799">
        <f>LOG(382/(15+1))</f>
        <v>1.3779433802557839</v>
      </c>
      <c r="H14799">
        <f>0.0128205128205128*3.17283188636679</f>
        <v>4.067733187649724E-2</v>
      </c>
      <c r="I14799">
        <v>4.0677331876497358E-2</v>
      </c>
    </row>
    <row r="14800" spans="1:9" x14ac:dyDescent="0.25">
      <c r="A14800">
        <v>493</v>
      </c>
      <c r="B14800" t="s">
        <v>4003</v>
      </c>
      <c r="C14800" t="s">
        <v>75</v>
      </c>
      <c r="D14800" t="s">
        <v>1727</v>
      </c>
      <c r="E14800">
        <f>1/78</f>
        <v>1.282051282051282E-2</v>
      </c>
      <c r="F14800">
        <v>27</v>
      </c>
      <c r="G14800">
        <f>LOG(382/(27+1))</f>
        <v>1.1349053315694895</v>
      </c>
      <c r="H14800">
        <f>0.0128205128205128*2.61321609843137</f>
        <v>3.3502770492709819E-2</v>
      </c>
      <c r="I14800">
        <v>3.3502770492709881E-2</v>
      </c>
    </row>
    <row r="14801" spans="1:9" x14ac:dyDescent="0.25">
      <c r="A14801">
        <v>493</v>
      </c>
      <c r="B14801" t="s">
        <v>4003</v>
      </c>
      <c r="C14801" t="s">
        <v>75</v>
      </c>
      <c r="D14801" t="s">
        <v>2238</v>
      </c>
      <c r="E14801">
        <f>1/78</f>
        <v>1.282051282051282E-2</v>
      </c>
      <c r="F14801">
        <v>68</v>
      </c>
      <c r="G14801">
        <f>LOG(382/(68+1))</f>
        <v>0.74321427217445335</v>
      </c>
      <c r="H14801">
        <f>0.0128205128205128*1.71131410400931</f>
        <v>2.1939924410375733E-2</v>
      </c>
      <c r="I14801">
        <v>2.193992441037584E-2</v>
      </c>
    </row>
    <row r="14802" spans="1:9" x14ac:dyDescent="0.25">
      <c r="A14802">
        <v>493</v>
      </c>
      <c r="B14802" t="s">
        <v>4003</v>
      </c>
      <c r="C14802" t="s">
        <v>75</v>
      </c>
      <c r="D14802" t="s">
        <v>762</v>
      </c>
      <c r="E14802">
        <f>2/78</f>
        <v>2.564102564102564E-2</v>
      </c>
      <c r="F14802">
        <v>29</v>
      </c>
      <c r="G14802">
        <f>LOG(382/(29+1))</f>
        <v>1.1049421081920463</v>
      </c>
      <c r="H14802">
        <f>0.0256410256410256*2.54422322694442</f>
        <v>6.5236492998574758E-2</v>
      </c>
      <c r="I14802">
        <v>6.5236492998574869E-2</v>
      </c>
    </row>
    <row r="14803" spans="1:9" x14ac:dyDescent="0.25">
      <c r="A14803">
        <v>493</v>
      </c>
      <c r="B14803" t="s">
        <v>4003</v>
      </c>
      <c r="C14803" t="s">
        <v>75</v>
      </c>
      <c r="D14803" t="s">
        <v>81</v>
      </c>
      <c r="E14803">
        <f>3/78</f>
        <v>3.8461538461538464E-2</v>
      </c>
      <c r="F14803">
        <v>114</v>
      </c>
      <c r="G14803">
        <f>LOG(382/(114+1))</f>
        <v>0.52136552255809698</v>
      </c>
      <c r="H14803">
        <f>0.0384615384615384*1.20048848024332</f>
        <v>4.6172633855512235E-2</v>
      </c>
      <c r="I14803">
        <v>4.6172633855512513E-2</v>
      </c>
    </row>
    <row r="14804" spans="1:9" x14ac:dyDescent="0.25">
      <c r="A14804">
        <v>493</v>
      </c>
      <c r="B14804" t="s">
        <v>4003</v>
      </c>
      <c r="C14804" t="s">
        <v>75</v>
      </c>
      <c r="D14804" t="s">
        <v>4005</v>
      </c>
      <c r="E14804">
        <f>1/78</f>
        <v>1.282051282051282E-2</v>
      </c>
      <c r="F14804">
        <v>5</v>
      </c>
      <c r="G14804">
        <f>LOG(382/(5+1))</f>
        <v>1.803912112528065</v>
      </c>
      <c r="H14804">
        <f>0.0128205128205128*4.15366113937852</f>
        <v>5.3252065889468118E-2</v>
      </c>
      <c r="I14804">
        <v>5.3252065889468202E-2</v>
      </c>
    </row>
    <row r="14805" spans="1:9" x14ac:dyDescent="0.25">
      <c r="A14805">
        <v>493</v>
      </c>
      <c r="B14805" t="s">
        <v>4003</v>
      </c>
      <c r="C14805" t="s">
        <v>75</v>
      </c>
      <c r="D14805" t="s">
        <v>754</v>
      </c>
      <c r="E14805">
        <f>2/78</f>
        <v>2.564102564102564E-2</v>
      </c>
      <c r="F14805">
        <v>111</v>
      </c>
      <c r="G14805">
        <f>LOG(382/(111+1))</f>
        <v>0.53284534024152708</v>
      </c>
      <c r="H14805">
        <f>0.0256410256410256*1.22692173731148</f>
        <v>3.1459531725935332E-2</v>
      </c>
      <c r="I14805">
        <v>3.1459531725935401E-2</v>
      </c>
    </row>
    <row r="14806" spans="1:9" x14ac:dyDescent="0.25">
      <c r="A14806">
        <v>493</v>
      </c>
      <c r="B14806" t="s">
        <v>4003</v>
      </c>
      <c r="C14806" t="s">
        <v>75</v>
      </c>
      <c r="D14806" t="s">
        <v>76</v>
      </c>
      <c r="E14806">
        <f>1/78</f>
        <v>1.282051282051282E-2</v>
      </c>
      <c r="F14806">
        <v>140</v>
      </c>
      <c r="G14806">
        <f>LOG(382/(140+1))</f>
        <v>0.43284425025632883</v>
      </c>
      <c r="H14806">
        <f>0.0128205128205128*0.996660718228407</f>
        <v>1.2777701515748786E-2</v>
      </c>
      <c r="I14806">
        <v>1.2777701515748811E-2</v>
      </c>
    </row>
    <row r="14807" spans="1:9" x14ac:dyDescent="0.25">
      <c r="A14807">
        <v>493</v>
      </c>
      <c r="B14807" t="s">
        <v>4003</v>
      </c>
      <c r="C14807" t="s">
        <v>75</v>
      </c>
      <c r="D14807" t="s">
        <v>40</v>
      </c>
      <c r="E14807">
        <f>1/78</f>
        <v>1.282051282051282E-2</v>
      </c>
      <c r="F14807">
        <v>159</v>
      </c>
      <c r="G14807">
        <f>LOG(382/(159+1))</f>
        <v>0.377943380255784</v>
      </c>
      <c r="H14807">
        <f>0.0128205128205128*0.870246793372748</f>
        <v>1.1157010171445469E-2</v>
      </c>
      <c r="I14807">
        <v>1.115701017144549E-2</v>
      </c>
    </row>
    <row r="14808" spans="1:9" x14ac:dyDescent="0.25">
      <c r="A14808">
        <v>493</v>
      </c>
      <c r="B14808" t="s">
        <v>4003</v>
      </c>
      <c r="C14808" t="s">
        <v>75</v>
      </c>
      <c r="D14808" t="s">
        <v>41</v>
      </c>
      <c r="E14808">
        <f>1/78</f>
        <v>1.282051282051282E-2</v>
      </c>
      <c r="F14808">
        <v>195</v>
      </c>
      <c r="G14808">
        <f>LOG(382/(195+1))</f>
        <v>0.28980729155523272</v>
      </c>
      <c r="H14808">
        <f>0.0128205128205128*0.667305949376058</f>
        <v>8.5552044791802166E-3</v>
      </c>
      <c r="I14808">
        <v>8.5552044791802305E-3</v>
      </c>
    </row>
    <row r="14809" spans="1:9" x14ac:dyDescent="0.25">
      <c r="A14809">
        <v>493</v>
      </c>
      <c r="B14809" t="s">
        <v>4003</v>
      </c>
      <c r="C14809" t="s">
        <v>75</v>
      </c>
      <c r="D14809" t="s">
        <v>1532</v>
      </c>
      <c r="E14809">
        <f>2/78</f>
        <v>2.564102564102564E-2</v>
      </c>
      <c r="F14809">
        <v>28</v>
      </c>
      <c r="G14809">
        <f>LOG(382/(28+1))</f>
        <v>1.1196653650127526</v>
      </c>
      <c r="H14809">
        <f>0.0256410256410256*2.5781247786201</f>
        <v>6.610576355436143E-2</v>
      </c>
      <c r="I14809">
        <v>6.6105763554361568E-2</v>
      </c>
    </row>
    <row r="14810" spans="1:9" x14ac:dyDescent="0.25">
      <c r="A14810">
        <v>493</v>
      </c>
      <c r="B14810" t="s">
        <v>4003</v>
      </c>
      <c r="C14810" t="s">
        <v>75</v>
      </c>
      <c r="D14810" t="s">
        <v>1533</v>
      </c>
      <c r="E14810">
        <f>2/78</f>
        <v>2.564102564102564E-2</v>
      </c>
      <c r="F14810">
        <v>33</v>
      </c>
      <c r="G14810">
        <f>LOG(382/(33+1))</f>
        <v>1.0505844458694535</v>
      </c>
      <c r="H14810">
        <f>0.0256410256410256*2.41906008399041</f>
        <v>6.2027181640779645E-2</v>
      </c>
      <c r="I14810">
        <v>6.202718164077984E-2</v>
      </c>
    </row>
    <row r="14811" spans="1:9" x14ac:dyDescent="0.25">
      <c r="A14811">
        <v>493</v>
      </c>
      <c r="B14811" t="s">
        <v>4003</v>
      </c>
      <c r="C14811" t="s">
        <v>75</v>
      </c>
      <c r="D14811" t="s">
        <v>133</v>
      </c>
      <c r="E14811">
        <f>1/78</f>
        <v>1.282051282051282E-2</v>
      </c>
      <c r="F14811">
        <v>142</v>
      </c>
      <c r="G14811">
        <f>LOG(382/(142+1))</f>
        <v>0.42672732544664693</v>
      </c>
      <c r="H14811">
        <f>0.0128205128205128*0.982575978346667</f>
        <v>1.2597127927521351E-2</v>
      </c>
      <c r="I14811">
        <v>1.2597127927521381E-2</v>
      </c>
    </row>
    <row r="14812" spans="1:9" x14ac:dyDescent="0.25">
      <c r="A14812">
        <v>493</v>
      </c>
      <c r="B14812" t="s">
        <v>4003</v>
      </c>
      <c r="C14812" t="s">
        <v>75</v>
      </c>
      <c r="D14812" t="s">
        <v>649</v>
      </c>
      <c r="E14812">
        <f>3/78</f>
        <v>3.8461538461538464E-2</v>
      </c>
      <c r="F14812">
        <v>25</v>
      </c>
      <c r="G14812">
        <f>LOG(382/(25+1))</f>
        <v>1.1670900149408907</v>
      </c>
      <c r="H14812">
        <f>0.0384615384615384*2.68732407058509</f>
        <v>0.10335861809942638</v>
      </c>
      <c r="I14812">
        <v>0.1033586180994267</v>
      </c>
    </row>
    <row r="14813" spans="1:9" x14ac:dyDescent="0.25">
      <c r="A14813">
        <v>493</v>
      </c>
      <c r="B14813" t="s">
        <v>4003</v>
      </c>
      <c r="C14813" t="s">
        <v>75</v>
      </c>
      <c r="D14813" t="s">
        <v>1773</v>
      </c>
      <c r="E14813">
        <f>1/78</f>
        <v>1.282051282051282E-2</v>
      </c>
      <c r="F14813">
        <v>24</v>
      </c>
      <c r="G14813">
        <f>LOG(382/(24+1))</f>
        <v>1.1841233542396712</v>
      </c>
      <c r="H14813">
        <f>0.0128205128205128*2.72654478373837</f>
        <v>3.4955702355620066E-2</v>
      </c>
      <c r="I14813">
        <v>3.4955702355620177E-2</v>
      </c>
    </row>
    <row r="14814" spans="1:9" x14ac:dyDescent="0.25">
      <c r="A14814">
        <v>493</v>
      </c>
      <c r="B14814" t="s">
        <v>4003</v>
      </c>
      <c r="C14814" t="s">
        <v>75</v>
      </c>
      <c r="D14814" t="s">
        <v>447</v>
      </c>
      <c r="E14814">
        <f>1/78</f>
        <v>1.282051282051282E-2</v>
      </c>
      <c r="F14814">
        <v>37</v>
      </c>
      <c r="G14814">
        <f>LOG(382/(37+1))</f>
        <v>1.0022797662948986</v>
      </c>
      <c r="H14814">
        <f>0.0128205128205128*2.30783444888018</f>
        <v>2.9587621139489435E-2</v>
      </c>
      <c r="I14814">
        <v>2.9587621139489609E-2</v>
      </c>
    </row>
    <row r="14815" spans="1:9" x14ac:dyDescent="0.25">
      <c r="A14815">
        <v>493</v>
      </c>
      <c r="B14815" t="s">
        <v>4003</v>
      </c>
      <c r="C14815" t="s">
        <v>75</v>
      </c>
      <c r="D14815" t="s">
        <v>324</v>
      </c>
      <c r="E14815">
        <f>2/78</f>
        <v>2.564102564102564E-2</v>
      </c>
      <c r="F14815">
        <v>82</v>
      </c>
      <c r="G14815">
        <f>LOG(382/(82+1))</f>
        <v>0.66298527053563483</v>
      </c>
      <c r="H14815">
        <f>0.0256410256410256*1.52658000080997</f>
        <v>3.914307694384532E-2</v>
      </c>
      <c r="I14815">
        <v>3.914307694384557E-2</v>
      </c>
    </row>
    <row r="14816" spans="1:9" x14ac:dyDescent="0.25">
      <c r="A14816">
        <v>493</v>
      </c>
      <c r="B14816" t="s">
        <v>4003</v>
      </c>
      <c r="C14816" t="s">
        <v>75</v>
      </c>
      <c r="D14816" t="s">
        <v>311</v>
      </c>
      <c r="E14816">
        <f>1/78</f>
        <v>1.282051282051282E-2</v>
      </c>
      <c r="F14816">
        <v>7</v>
      </c>
      <c r="G14816">
        <f>LOG(382/(7+1))</f>
        <v>1.6789733759197651</v>
      </c>
      <c r="H14816">
        <f>0.0128205128205128*3.86597906692673</f>
        <v>4.9563834191368256E-2</v>
      </c>
      <c r="I14816">
        <v>4.956383419136845E-2</v>
      </c>
    </row>
    <row r="14817" spans="1:9" x14ac:dyDescent="0.25">
      <c r="A14817">
        <v>493</v>
      </c>
      <c r="B14817" t="s">
        <v>4003</v>
      </c>
      <c r="C14817" t="s">
        <v>75</v>
      </c>
      <c r="D14817" t="s">
        <v>1222</v>
      </c>
      <c r="E14817">
        <f>2/78</f>
        <v>2.564102564102564E-2</v>
      </c>
      <c r="F14817">
        <v>56</v>
      </c>
      <c r="G14817">
        <f>LOG(382/(56+1))</f>
        <v>0.82618850723921733</v>
      </c>
      <c r="H14817">
        <f>0.0256410256410256*1.90236934077202</f>
        <v>4.8778701045436329E-2</v>
      </c>
      <c r="I14817">
        <v>4.8778701045436537E-2</v>
      </c>
    </row>
    <row r="14818" spans="1:9" x14ac:dyDescent="0.25">
      <c r="A14818">
        <v>493</v>
      </c>
      <c r="B14818" t="s">
        <v>4003</v>
      </c>
      <c r="C14818" t="s">
        <v>75</v>
      </c>
      <c r="D14818" t="s">
        <v>485</v>
      </c>
      <c r="E14818">
        <f>1/78</f>
        <v>1.282051282051282E-2</v>
      </c>
      <c r="F14818">
        <v>74</v>
      </c>
      <c r="G14818">
        <f>LOG(382/(74+1))</f>
        <v>0.7070020995200087</v>
      </c>
      <c r="H14818">
        <f>0.0128205128205128*1.62793249507026</f>
        <v>2.0870929423977658E-2</v>
      </c>
      <c r="I14818">
        <v>2.0870929423977749E-2</v>
      </c>
    </row>
    <row r="14819" spans="1:9" x14ac:dyDescent="0.25">
      <c r="A14819">
        <v>493</v>
      </c>
      <c r="B14819" t="s">
        <v>4003</v>
      </c>
      <c r="C14819" t="s">
        <v>75</v>
      </c>
      <c r="D14819" t="s">
        <v>388</v>
      </c>
      <c r="E14819">
        <f>1/78</f>
        <v>1.282051282051282E-2</v>
      </c>
      <c r="F14819">
        <v>44</v>
      </c>
      <c r="G14819">
        <f>LOG(382/(44+1))</f>
        <v>0.92885084913636506</v>
      </c>
      <c r="H14819">
        <f>0.0128205128205128*2.13875811883625</f>
        <v>2.741997588251598E-2</v>
      </c>
      <c r="I14819">
        <v>2.7419975882516091E-2</v>
      </c>
    </row>
    <row r="14820" spans="1:9" x14ac:dyDescent="0.25">
      <c r="A14820">
        <v>493</v>
      </c>
      <c r="B14820" t="s">
        <v>4003</v>
      </c>
      <c r="C14820" t="s">
        <v>75</v>
      </c>
      <c r="D14820" t="s">
        <v>596</v>
      </c>
      <c r="E14820">
        <f>1/78</f>
        <v>1.282051282051282E-2</v>
      </c>
      <c r="F14820">
        <v>60</v>
      </c>
      <c r="G14820">
        <f>LOG(382/(60+1))</f>
        <v>0.79673352790094176</v>
      </c>
      <c r="H14820">
        <f>0.0128205128205128*1.83454674443326</f>
        <v>2.3519830056836628E-2</v>
      </c>
      <c r="I14820">
        <v>2.3519830056836721E-2</v>
      </c>
    </row>
    <row r="14821" spans="1:9" x14ac:dyDescent="0.25">
      <c r="A14821">
        <v>493</v>
      </c>
      <c r="B14821" t="s">
        <v>4003</v>
      </c>
      <c r="C14821" t="s">
        <v>75</v>
      </c>
      <c r="D14821" t="s">
        <v>597</v>
      </c>
      <c r="E14821">
        <f>1/78</f>
        <v>1.282051282051282E-2</v>
      </c>
      <c r="F14821">
        <v>51</v>
      </c>
      <c r="G14821">
        <f>LOG(382/(51+1))</f>
        <v>0.86606001927690957</v>
      </c>
      <c r="H14821">
        <f>0.0128205128205128*1.99417689002514</f>
        <v>2.5566370384937649E-2</v>
      </c>
      <c r="I14821">
        <v>2.5566370384937791E-2</v>
      </c>
    </row>
    <row r="14822" spans="1:9" x14ac:dyDescent="0.25">
      <c r="A14822">
        <v>494</v>
      </c>
      <c r="B14822" t="s">
        <v>4006</v>
      </c>
      <c r="C14822" t="s">
        <v>75</v>
      </c>
      <c r="D14822" t="s">
        <v>4007</v>
      </c>
      <c r="E14822">
        <f t="shared" ref="E14822:E14834" si="696">1/72</f>
        <v>1.3888888888888888E-2</v>
      </c>
      <c r="F14822">
        <v>1</v>
      </c>
      <c r="G14822">
        <f>LOG(382/(1+1))</f>
        <v>2.2810333672477277</v>
      </c>
      <c r="H14822">
        <f>0.0138888888888888*5.25227342804663</f>
        <v>7.294824205620272E-2</v>
      </c>
      <c r="I14822">
        <v>7.2948242056203191E-2</v>
      </c>
    </row>
    <row r="14823" spans="1:9" x14ac:dyDescent="0.25">
      <c r="A14823">
        <v>494</v>
      </c>
      <c r="B14823" t="s">
        <v>4006</v>
      </c>
      <c r="C14823" t="s">
        <v>75</v>
      </c>
      <c r="D14823" t="s">
        <v>2231</v>
      </c>
      <c r="E14823">
        <f t="shared" si="696"/>
        <v>1.3888888888888888E-2</v>
      </c>
      <c r="F14823">
        <v>23</v>
      </c>
      <c r="G14823">
        <f>LOG(382/(23+1))</f>
        <v>1.2018521212001028</v>
      </c>
      <c r="H14823">
        <f>0.0138888888888888*2.76736677825862</f>
        <v>3.8435649698036145E-2</v>
      </c>
      <c r="I14823">
        <v>3.843564969803652E-2</v>
      </c>
    </row>
    <row r="14824" spans="1:9" x14ac:dyDescent="0.25">
      <c r="A14824">
        <v>494</v>
      </c>
      <c r="B14824" t="s">
        <v>4006</v>
      </c>
      <c r="C14824" t="s">
        <v>75</v>
      </c>
      <c r="D14824" t="s">
        <v>247</v>
      </c>
      <c r="E14824">
        <f t="shared" si="696"/>
        <v>1.3888888888888888E-2</v>
      </c>
      <c r="F14824">
        <v>121</v>
      </c>
      <c r="G14824">
        <f>LOG(382/(121+1))</f>
        <v>0.49570353223696051</v>
      </c>
      <c r="H14824">
        <f>0.0138888888888888*1.14139956387331</f>
        <v>1.5852771720462538E-2</v>
      </c>
      <c r="I14824">
        <v>1.5852771720462761E-2</v>
      </c>
    </row>
    <row r="14825" spans="1:9" x14ac:dyDescent="0.25">
      <c r="A14825">
        <v>494</v>
      </c>
      <c r="B14825" t="s">
        <v>4006</v>
      </c>
      <c r="C14825" t="s">
        <v>75</v>
      </c>
      <c r="D14825" t="s">
        <v>89</v>
      </c>
      <c r="E14825">
        <f t="shared" si="696"/>
        <v>1.3888888888888888E-2</v>
      </c>
      <c r="F14825">
        <v>40</v>
      </c>
      <c r="G14825">
        <f>LOG(382/(40+1))</f>
        <v>0.96927950619197323</v>
      </c>
      <c r="H14825">
        <f>0.0138888888888888*2.23184854190226</f>
        <v>3.0997896415308965E-2</v>
      </c>
      <c r="I14825">
        <v>3.099789641530927E-2</v>
      </c>
    </row>
    <row r="14826" spans="1:9" x14ac:dyDescent="0.25">
      <c r="A14826">
        <v>494</v>
      </c>
      <c r="B14826" t="s">
        <v>4006</v>
      </c>
      <c r="C14826" t="s">
        <v>75</v>
      </c>
      <c r="D14826" t="s">
        <v>42</v>
      </c>
      <c r="E14826">
        <f t="shared" si="696"/>
        <v>1.3888888888888888E-2</v>
      </c>
      <c r="F14826">
        <v>251</v>
      </c>
      <c r="G14826">
        <f>LOG(382/(251+1))</f>
        <v>0.18066282213016463</v>
      </c>
      <c r="H14826">
        <f>0.0138888888888888*0.415991521095151</f>
        <v>5.7776600152103933E-3</v>
      </c>
      <c r="I14826">
        <v>5.7776600152104418E-3</v>
      </c>
    </row>
    <row r="14827" spans="1:9" x14ac:dyDescent="0.25">
      <c r="A14827">
        <v>494</v>
      </c>
      <c r="B14827" t="s">
        <v>4006</v>
      </c>
      <c r="C14827" t="s">
        <v>75</v>
      </c>
      <c r="D14827" t="s">
        <v>636</v>
      </c>
      <c r="E14827">
        <f t="shared" si="696"/>
        <v>1.3888888888888888E-2</v>
      </c>
      <c r="F14827">
        <v>31</v>
      </c>
      <c r="G14827">
        <f>LOG(382/(31+1))</f>
        <v>1.0769133845918029</v>
      </c>
      <c r="H14827">
        <f>0.0138888888888888*2.47968470580684</f>
        <v>3.4440065358428112E-2</v>
      </c>
      <c r="I14827">
        <v>3.4440065358428452E-2</v>
      </c>
    </row>
    <row r="14828" spans="1:9" x14ac:dyDescent="0.25">
      <c r="A14828">
        <v>494</v>
      </c>
      <c r="B14828" t="s">
        <v>4006</v>
      </c>
      <c r="C14828" t="s">
        <v>75</v>
      </c>
      <c r="D14828" t="s">
        <v>637</v>
      </c>
      <c r="E14828">
        <f t="shared" si="696"/>
        <v>1.3888888888888888E-2</v>
      </c>
      <c r="F14828">
        <v>29</v>
      </c>
      <c r="G14828">
        <f>LOG(382/(29+1))</f>
        <v>1.1049421081920463</v>
      </c>
      <c r="H14828">
        <f>0.0138888888888888*2.54422322694442</f>
        <v>3.5336433707561163E-2</v>
      </c>
      <c r="I14828">
        <v>3.5336433707561378E-2</v>
      </c>
    </row>
    <row r="14829" spans="1:9" x14ac:dyDescent="0.25">
      <c r="A14829">
        <v>494</v>
      </c>
      <c r="B14829" t="s">
        <v>4006</v>
      </c>
      <c r="C14829" t="s">
        <v>75</v>
      </c>
      <c r="D14829" t="s">
        <v>70</v>
      </c>
      <c r="E14829">
        <f t="shared" si="696"/>
        <v>1.3888888888888888E-2</v>
      </c>
      <c r="F14829">
        <v>44</v>
      </c>
      <c r="G14829">
        <f>LOG(382/(44+1))</f>
        <v>0.92885084913636506</v>
      </c>
      <c r="H14829">
        <f>0.0138888888888888*2.13875811883625</f>
        <v>2.9704973872725502E-2</v>
      </c>
      <c r="I14829">
        <v>2.9704973872725769E-2</v>
      </c>
    </row>
    <row r="14830" spans="1:9" x14ac:dyDescent="0.25">
      <c r="A14830">
        <v>494</v>
      </c>
      <c r="B14830" t="s">
        <v>4006</v>
      </c>
      <c r="C14830" t="s">
        <v>75</v>
      </c>
      <c r="D14830" t="s">
        <v>19</v>
      </c>
      <c r="E14830">
        <f t="shared" si="696"/>
        <v>1.3888888888888888E-2</v>
      </c>
      <c r="F14830">
        <v>220</v>
      </c>
      <c r="G14830">
        <f>LOG(382/(220+1))</f>
        <v>0.23767108922659805</v>
      </c>
      <c r="H14830">
        <f>0.0138888888888888*0.547257907088822</f>
        <v>7.6008042651224796E-3</v>
      </c>
      <c r="I14830">
        <v>7.6008042651225334E-3</v>
      </c>
    </row>
    <row r="14831" spans="1:9" x14ac:dyDescent="0.25">
      <c r="A14831">
        <v>494</v>
      </c>
      <c r="B14831" t="s">
        <v>4006</v>
      </c>
      <c r="C14831" t="s">
        <v>75</v>
      </c>
      <c r="D14831" t="s">
        <v>44</v>
      </c>
      <c r="E14831">
        <f t="shared" si="696"/>
        <v>1.3888888888888888E-2</v>
      </c>
      <c r="F14831">
        <v>151</v>
      </c>
      <c r="G14831">
        <f>LOG(382/(151+1))</f>
        <v>0.40021977496693617</v>
      </c>
      <c r="H14831">
        <f>0.0138888888888888*0.921540087760298</f>
        <v>1.2799167885559614E-2</v>
      </c>
      <c r="I14831">
        <v>1.27991678855597E-2</v>
      </c>
    </row>
    <row r="14832" spans="1:9" x14ac:dyDescent="0.25">
      <c r="A14832">
        <v>494</v>
      </c>
      <c r="B14832" t="s">
        <v>4006</v>
      </c>
      <c r="C14832" t="s">
        <v>75</v>
      </c>
      <c r="D14832" t="s">
        <v>22</v>
      </c>
      <c r="E14832">
        <f t="shared" si="696"/>
        <v>1.3888888888888888E-2</v>
      </c>
      <c r="F14832">
        <v>259</v>
      </c>
      <c r="G14832">
        <f>LOG(382/(259+1))</f>
        <v>0.16709001494089079</v>
      </c>
      <c r="H14832">
        <f>0.0138888888888888*0.384738977591047</f>
        <v>5.3435969109867296E-3</v>
      </c>
      <c r="I14832">
        <v>5.3435969109867712E-3</v>
      </c>
    </row>
    <row r="14833" spans="1:9" x14ac:dyDescent="0.25">
      <c r="A14833">
        <v>494</v>
      </c>
      <c r="B14833" t="s">
        <v>4006</v>
      </c>
      <c r="C14833" t="s">
        <v>75</v>
      </c>
      <c r="D14833" t="s">
        <v>23</v>
      </c>
      <c r="E14833">
        <f t="shared" si="696"/>
        <v>1.3888888888888888E-2</v>
      </c>
      <c r="F14833">
        <v>275</v>
      </c>
      <c r="G14833">
        <f>LOG(382/(275+1))</f>
        <v>0.14115428084649101</v>
      </c>
      <c r="H14833">
        <f>0.0138888888888888*0.325019742889425</f>
        <v>4.5141630956864291E-3</v>
      </c>
      <c r="I14833">
        <v>4.5141630956864603E-3</v>
      </c>
    </row>
    <row r="14834" spans="1:9" x14ac:dyDescent="0.25">
      <c r="A14834">
        <v>494</v>
      </c>
      <c r="B14834" t="s">
        <v>4006</v>
      </c>
      <c r="C14834" t="s">
        <v>75</v>
      </c>
      <c r="D14834" t="s">
        <v>1785</v>
      </c>
      <c r="E14834">
        <f t="shared" si="696"/>
        <v>1.3888888888888888E-2</v>
      </c>
      <c r="F14834">
        <v>21</v>
      </c>
      <c r="G14834">
        <f>LOG(382/(21+1))</f>
        <v>1.2396406820895025</v>
      </c>
      <c r="H14834">
        <f>0.0138888888888888*2.85437815524825</f>
        <v>3.964414104511433E-2</v>
      </c>
      <c r="I14834">
        <v>3.9644141045114711E-2</v>
      </c>
    </row>
    <row r="14835" spans="1:9" x14ac:dyDescent="0.25">
      <c r="A14835">
        <v>494</v>
      </c>
      <c r="B14835" t="s">
        <v>4006</v>
      </c>
      <c r="C14835" t="s">
        <v>75</v>
      </c>
      <c r="D14835" t="s">
        <v>1537</v>
      </c>
      <c r="E14835">
        <f>2/72</f>
        <v>2.7777777777777776E-2</v>
      </c>
      <c r="F14835">
        <v>80</v>
      </c>
      <c r="G14835">
        <f>LOG(382/(80+1))</f>
        <v>0.67357834403305894</v>
      </c>
      <c r="H14835">
        <f>0.0277777777777777*1.55097145393413</f>
        <v>4.3082540387059047E-2</v>
      </c>
      <c r="I14835">
        <v>4.3082540387059338E-2</v>
      </c>
    </row>
    <row r="14836" spans="1:9" x14ac:dyDescent="0.25">
      <c r="A14836">
        <v>494</v>
      </c>
      <c r="B14836" t="s">
        <v>4006</v>
      </c>
      <c r="C14836" t="s">
        <v>75</v>
      </c>
      <c r="D14836" t="s">
        <v>204</v>
      </c>
      <c r="E14836">
        <f>1/72</f>
        <v>1.3888888888888888E-2</v>
      </c>
      <c r="F14836">
        <v>166</v>
      </c>
      <c r="G14836">
        <f>LOG(382/(166+1))</f>
        <v>0.35934689176412549</v>
      </c>
      <c r="H14836">
        <f>0.0138888888888888*0.82742679618982</f>
        <v>1.1492038835969647E-2</v>
      </c>
      <c r="I14836">
        <v>1.149203883596972E-2</v>
      </c>
    </row>
    <row r="14837" spans="1:9" x14ac:dyDescent="0.25">
      <c r="A14837">
        <v>494</v>
      </c>
      <c r="B14837" t="s">
        <v>4006</v>
      </c>
      <c r="C14837" t="s">
        <v>75</v>
      </c>
      <c r="D14837" t="s">
        <v>78</v>
      </c>
      <c r="E14837">
        <f>3/72</f>
        <v>4.1666666666666664E-2</v>
      </c>
      <c r="F14837">
        <v>122</v>
      </c>
      <c r="G14837">
        <f>LOG(382/(122+1))</f>
        <v>0.49215825147231079</v>
      </c>
      <c r="H14837">
        <f>0.0416666666666666*1.13323625323415</f>
        <v>4.7218177218089512E-2</v>
      </c>
      <c r="I14837">
        <v>4.7218177218089893E-2</v>
      </c>
    </row>
    <row r="14838" spans="1:9" x14ac:dyDescent="0.25">
      <c r="A14838">
        <v>494</v>
      </c>
      <c r="B14838" t="s">
        <v>4006</v>
      </c>
      <c r="C14838" t="s">
        <v>75</v>
      </c>
      <c r="D14838" t="s">
        <v>4008</v>
      </c>
      <c r="E14838">
        <f>2/72</f>
        <v>2.7777777777777776E-2</v>
      </c>
      <c r="F14838">
        <v>1</v>
      </c>
      <c r="G14838">
        <f>LOG(382/(1+1))</f>
        <v>2.2810333672477277</v>
      </c>
      <c r="H14838">
        <f>0.0277777777777777*5.25227342804663</f>
        <v>0.14589648411240597</v>
      </c>
      <c r="I14838">
        <v>0.14589648411240641</v>
      </c>
    </row>
    <row r="14839" spans="1:9" x14ac:dyDescent="0.25">
      <c r="A14839">
        <v>494</v>
      </c>
      <c r="B14839" t="s">
        <v>4006</v>
      </c>
      <c r="C14839" t="s">
        <v>75</v>
      </c>
      <c r="D14839" t="s">
        <v>3432</v>
      </c>
      <c r="E14839">
        <f>1/72</f>
        <v>1.3888888888888888E-2</v>
      </c>
      <c r="F14839">
        <v>8</v>
      </c>
      <c r="G14839">
        <f>LOG(382/(8+1))</f>
        <v>1.6278208534723839</v>
      </c>
      <c r="H14839">
        <f>0.0138888888888888*3.74819603127035</f>
        <v>5.2058278212087861E-2</v>
      </c>
      <c r="I14839">
        <v>5.205827821208827E-2</v>
      </c>
    </row>
    <row r="14840" spans="1:9" x14ac:dyDescent="0.25">
      <c r="A14840">
        <v>494</v>
      </c>
      <c r="B14840" t="s">
        <v>4006</v>
      </c>
      <c r="C14840" t="s">
        <v>75</v>
      </c>
      <c r="D14840" t="s">
        <v>256</v>
      </c>
      <c r="E14840">
        <f>3/72</f>
        <v>4.1666666666666664E-2</v>
      </c>
      <c r="F14840">
        <v>28</v>
      </c>
      <c r="G14840">
        <f>LOG(382/(28+1))</f>
        <v>1.1196653650127526</v>
      </c>
      <c r="H14840">
        <f>0.0416666666666666*2.5781247786201</f>
        <v>0.10742186577583733</v>
      </c>
      <c r="I14840">
        <v>0.1074218657758375</v>
      </c>
    </row>
    <row r="14841" spans="1:9" x14ac:dyDescent="0.25">
      <c r="A14841">
        <v>494</v>
      </c>
      <c r="B14841" t="s">
        <v>4006</v>
      </c>
      <c r="C14841" t="s">
        <v>75</v>
      </c>
      <c r="D14841" t="s">
        <v>112</v>
      </c>
      <c r="E14841">
        <f>1/72</f>
        <v>1.3888888888888888E-2</v>
      </c>
      <c r="F14841">
        <v>52</v>
      </c>
      <c r="G14841">
        <f>LOG(382/(52+1))</f>
        <v>0.85778749331091964</v>
      </c>
      <c r="H14841">
        <f>0.0138888888888888*1.97512869505445</f>
        <v>2.7432342986867184E-2</v>
      </c>
      <c r="I14841">
        <v>2.7432342986867409E-2</v>
      </c>
    </row>
    <row r="14842" spans="1:9" x14ac:dyDescent="0.25">
      <c r="A14842">
        <v>494</v>
      </c>
      <c r="B14842" t="s">
        <v>4006</v>
      </c>
      <c r="C14842" t="s">
        <v>75</v>
      </c>
      <c r="D14842" t="s">
        <v>765</v>
      </c>
      <c r="E14842">
        <f>2/72</f>
        <v>2.7777777777777776E-2</v>
      </c>
      <c r="F14842">
        <v>44</v>
      </c>
      <c r="G14842">
        <f>LOG(382/(44+1))</f>
        <v>0.92885084913636506</v>
      </c>
      <c r="H14842">
        <f>0.0277777777777777*2.13875811883625</f>
        <v>5.9409947745451219E-2</v>
      </c>
      <c r="I14842">
        <v>5.9409947745451532E-2</v>
      </c>
    </row>
    <row r="14843" spans="1:9" x14ac:dyDescent="0.25">
      <c r="A14843">
        <v>494</v>
      </c>
      <c r="B14843" t="s">
        <v>4006</v>
      </c>
      <c r="C14843" t="s">
        <v>75</v>
      </c>
      <c r="D14843" t="s">
        <v>754</v>
      </c>
      <c r="E14843">
        <f>2/72</f>
        <v>2.7777777777777776E-2</v>
      </c>
      <c r="F14843">
        <v>111</v>
      </c>
      <c r="G14843">
        <f>LOG(382/(111+1))</f>
        <v>0.53284534024152708</v>
      </c>
      <c r="H14843">
        <f>0.0277777777777777*1.22692173731148</f>
        <v>3.4081159369763241E-2</v>
      </c>
      <c r="I14843">
        <v>3.4081159369763352E-2</v>
      </c>
    </row>
    <row r="14844" spans="1:9" x14ac:dyDescent="0.25">
      <c r="A14844">
        <v>494</v>
      </c>
      <c r="B14844" t="s">
        <v>4006</v>
      </c>
      <c r="C14844" t="s">
        <v>75</v>
      </c>
      <c r="D14844" t="s">
        <v>1775</v>
      </c>
      <c r="E14844">
        <f t="shared" ref="E14844:E14856" si="697">1/72</f>
        <v>1.3888888888888888E-2</v>
      </c>
      <c r="F14844">
        <v>10</v>
      </c>
      <c r="G14844">
        <f>LOG(382/(10+1))</f>
        <v>1.5406706777534838</v>
      </c>
      <c r="H14844">
        <f>0.0138888888888888*3.5475253358082</f>
        <v>4.927118521955802E-2</v>
      </c>
      <c r="I14844">
        <v>4.9271185219558387E-2</v>
      </c>
    </row>
    <row r="14845" spans="1:9" x14ac:dyDescent="0.25">
      <c r="A14845">
        <v>494</v>
      </c>
      <c r="B14845" t="s">
        <v>4006</v>
      </c>
      <c r="C14845" t="s">
        <v>75</v>
      </c>
      <c r="D14845" t="s">
        <v>243</v>
      </c>
      <c r="E14845">
        <f t="shared" si="697"/>
        <v>1.3888888888888888E-2</v>
      </c>
      <c r="F14845">
        <v>131</v>
      </c>
      <c r="G14845">
        <f>LOG(382/(131+1))</f>
        <v>0.46148943170585888</v>
      </c>
      <c r="H14845">
        <f>0.0138888888888888*1.0626186860202</f>
        <v>1.4758592861391572E-2</v>
      </c>
      <c r="I14845">
        <v>1.4758592861391719E-2</v>
      </c>
    </row>
    <row r="14846" spans="1:9" x14ac:dyDescent="0.25">
      <c r="A14846">
        <v>494</v>
      </c>
      <c r="B14846" t="s">
        <v>4006</v>
      </c>
      <c r="C14846" t="s">
        <v>75</v>
      </c>
      <c r="D14846" t="s">
        <v>453</v>
      </c>
      <c r="E14846">
        <f t="shared" si="697"/>
        <v>1.3888888888888888E-2</v>
      </c>
      <c r="F14846">
        <v>68</v>
      </c>
      <c r="G14846">
        <f>LOG(382/(68+1))</f>
        <v>0.74321427217445335</v>
      </c>
      <c r="H14846">
        <f>0.0138888888888888*1.71131410400931</f>
        <v>2.3768251444573597E-2</v>
      </c>
      <c r="I14846">
        <v>2.376825144457383E-2</v>
      </c>
    </row>
    <row r="14847" spans="1:9" x14ac:dyDescent="0.25">
      <c r="A14847">
        <v>494</v>
      </c>
      <c r="B14847" t="s">
        <v>4006</v>
      </c>
      <c r="C14847" t="s">
        <v>75</v>
      </c>
      <c r="D14847" t="s">
        <v>455</v>
      </c>
      <c r="E14847">
        <f t="shared" si="697"/>
        <v>1.3888888888888888E-2</v>
      </c>
      <c r="F14847">
        <v>78</v>
      </c>
      <c r="G14847">
        <f>LOG(382/(78+1))</f>
        <v>0.6844362716212673</v>
      </c>
      <c r="H14847">
        <f>0.0138888888888888*1.57597275613955</f>
        <v>2.1888510501938054E-2</v>
      </c>
      <c r="I14847">
        <v>2.1888510501938241E-2</v>
      </c>
    </row>
    <row r="14848" spans="1:9" x14ac:dyDescent="0.25">
      <c r="A14848">
        <v>494</v>
      </c>
      <c r="B14848" t="s">
        <v>4006</v>
      </c>
      <c r="C14848" t="s">
        <v>75</v>
      </c>
      <c r="D14848" t="s">
        <v>456</v>
      </c>
      <c r="E14848">
        <f t="shared" si="697"/>
        <v>1.3888888888888888E-2</v>
      </c>
      <c r="F14848">
        <v>71</v>
      </c>
      <c r="G14848">
        <f>LOG(382/(71+1))</f>
        <v>0.72473086648044027</v>
      </c>
      <c r="H14848">
        <f>0.0138888888888888*1.66875448959051</f>
        <v>2.3177145688756933E-2</v>
      </c>
      <c r="I14848">
        <v>2.3177145688757221E-2</v>
      </c>
    </row>
    <row r="14849" spans="1:9" x14ac:dyDescent="0.25">
      <c r="A14849">
        <v>494</v>
      </c>
      <c r="B14849" t="s">
        <v>4006</v>
      </c>
      <c r="C14849" t="s">
        <v>75</v>
      </c>
      <c r="D14849" t="s">
        <v>1779</v>
      </c>
      <c r="E14849">
        <f t="shared" si="697"/>
        <v>1.3888888888888888E-2</v>
      </c>
      <c r="F14849">
        <v>41</v>
      </c>
      <c r="G14849">
        <f>LOG(382/(41+1))</f>
        <v>0.95881407251380824</v>
      </c>
      <c r="H14849">
        <f>0.0138888888888888*2.2077509903232</f>
        <v>3.0663208198933138E-2</v>
      </c>
      <c r="I14849">
        <v>3.066320819893343E-2</v>
      </c>
    </row>
    <row r="14850" spans="1:9" x14ac:dyDescent="0.25">
      <c r="A14850">
        <v>494</v>
      </c>
      <c r="B14850" t="s">
        <v>4006</v>
      </c>
      <c r="C14850" t="s">
        <v>75</v>
      </c>
      <c r="D14850" t="s">
        <v>4009</v>
      </c>
      <c r="E14850">
        <f t="shared" si="697"/>
        <v>1.3888888888888888E-2</v>
      </c>
      <c r="F14850">
        <v>1</v>
      </c>
      <c r="G14850">
        <f>LOG(382/(1+1))</f>
        <v>2.2810333672477277</v>
      </c>
      <c r="H14850">
        <f>0.0138888888888888*5.25227342804663</f>
        <v>7.294824205620272E-2</v>
      </c>
      <c r="I14850">
        <v>7.2948242056203191E-2</v>
      </c>
    </row>
    <row r="14851" spans="1:9" x14ac:dyDescent="0.25">
      <c r="A14851">
        <v>494</v>
      </c>
      <c r="B14851" t="s">
        <v>4006</v>
      </c>
      <c r="C14851" t="s">
        <v>75</v>
      </c>
      <c r="D14851" t="s">
        <v>361</v>
      </c>
      <c r="E14851">
        <f t="shared" si="697"/>
        <v>1.3888888888888888E-2</v>
      </c>
      <c r="F14851">
        <v>118</v>
      </c>
      <c r="G14851">
        <f>LOG(382/(118+1))</f>
        <v>0.50651640151917798</v>
      </c>
      <c r="H14851">
        <f>0.0138888888888888*1.16629711549504</f>
        <v>1.6198571048542117E-2</v>
      </c>
      <c r="I14851">
        <v>1.6198571048542301E-2</v>
      </c>
    </row>
    <row r="14852" spans="1:9" x14ac:dyDescent="0.25">
      <c r="A14852">
        <v>494</v>
      </c>
      <c r="B14852" t="s">
        <v>4006</v>
      </c>
      <c r="C14852" t="s">
        <v>75</v>
      </c>
      <c r="D14852" t="s">
        <v>434</v>
      </c>
      <c r="E14852">
        <f t="shared" si="697"/>
        <v>1.3888888888888888E-2</v>
      </c>
      <c r="F14852">
        <v>97</v>
      </c>
      <c r="G14852">
        <f>LOG(382/(97+1))</f>
        <v>0.59083728721921391</v>
      </c>
      <c r="H14852">
        <f>0.0138888888888888*1.360453129936</f>
        <v>1.8895182360222102E-2</v>
      </c>
      <c r="I14852">
        <v>1.8895182360222269E-2</v>
      </c>
    </row>
    <row r="14853" spans="1:9" x14ac:dyDescent="0.25">
      <c r="A14853">
        <v>494</v>
      </c>
      <c r="B14853" t="s">
        <v>4006</v>
      </c>
      <c r="C14853" t="s">
        <v>75</v>
      </c>
      <c r="D14853" t="s">
        <v>1467</v>
      </c>
      <c r="E14853">
        <f t="shared" si="697"/>
        <v>1.3888888888888888E-2</v>
      </c>
      <c r="F14853">
        <v>21</v>
      </c>
      <c r="G14853">
        <f>LOG(382/(21+1))</f>
        <v>1.2396406820895025</v>
      </c>
      <c r="H14853">
        <f>0.0138888888888888*2.85437815524825</f>
        <v>3.964414104511433E-2</v>
      </c>
      <c r="I14853">
        <v>3.9644141045114711E-2</v>
      </c>
    </row>
    <row r="14854" spans="1:9" x14ac:dyDescent="0.25">
      <c r="A14854">
        <v>494</v>
      </c>
      <c r="B14854" t="s">
        <v>4006</v>
      </c>
      <c r="C14854" t="s">
        <v>75</v>
      </c>
      <c r="D14854" t="s">
        <v>149</v>
      </c>
      <c r="E14854">
        <f t="shared" si="697"/>
        <v>1.3888888888888888E-2</v>
      </c>
      <c r="F14854">
        <v>35</v>
      </c>
      <c r="G14854">
        <f>LOG(382/(35+1))</f>
        <v>1.0257608621444214</v>
      </c>
      <c r="H14854">
        <f>0.0138888888888888*2.36190167015046</f>
        <v>3.2804189863200627E-2</v>
      </c>
      <c r="I14854">
        <v>3.2804189863200897E-2</v>
      </c>
    </row>
    <row r="14855" spans="1:9" x14ac:dyDescent="0.25">
      <c r="A14855">
        <v>494</v>
      </c>
      <c r="B14855" t="s">
        <v>4006</v>
      </c>
      <c r="C14855" t="s">
        <v>75</v>
      </c>
      <c r="D14855" t="s">
        <v>1748</v>
      </c>
      <c r="E14855">
        <f t="shared" si="697"/>
        <v>1.3888888888888888E-2</v>
      </c>
      <c r="F14855">
        <v>12</v>
      </c>
      <c r="G14855">
        <f>LOG(382/(12+1))</f>
        <v>1.468120010604872</v>
      </c>
      <c r="H14855">
        <f>0.0138888888888888*3.38047125114503</f>
        <v>4.6950989599236229E-2</v>
      </c>
      <c r="I14855">
        <v>4.6950989599236638E-2</v>
      </c>
    </row>
    <row r="14856" spans="1:9" x14ac:dyDescent="0.25">
      <c r="A14856">
        <v>494</v>
      </c>
      <c r="B14856" t="s">
        <v>4006</v>
      </c>
      <c r="C14856" t="s">
        <v>75</v>
      </c>
      <c r="D14856" t="s">
        <v>214</v>
      </c>
      <c r="E14856">
        <f t="shared" si="697"/>
        <v>1.3888888888888888E-2</v>
      </c>
      <c r="F14856">
        <v>68</v>
      </c>
      <c r="G14856">
        <f>LOG(382/(68+1))</f>
        <v>0.74321427217445335</v>
      </c>
      <c r="H14856">
        <f>0.0138888888888888*1.71131410400931</f>
        <v>2.3768251444573597E-2</v>
      </c>
      <c r="I14856">
        <v>2.376825144457383E-2</v>
      </c>
    </row>
    <row r="14857" spans="1:9" x14ac:dyDescent="0.25">
      <c r="A14857">
        <v>494</v>
      </c>
      <c r="B14857" t="s">
        <v>4006</v>
      </c>
      <c r="C14857" t="s">
        <v>75</v>
      </c>
      <c r="D14857" t="s">
        <v>322</v>
      </c>
      <c r="E14857">
        <f>2/72</f>
        <v>2.7777777777777776E-2</v>
      </c>
      <c r="F14857">
        <v>128</v>
      </c>
      <c r="G14857">
        <f>LOG(382/(128+1))</f>
        <v>0.47147365261245977</v>
      </c>
      <c r="H14857">
        <f>0.0277777777777777*1.0856082042449</f>
        <v>3.0155783451247139E-2</v>
      </c>
      <c r="I14857">
        <v>3.0155783451247309E-2</v>
      </c>
    </row>
    <row r="14858" spans="1:9" x14ac:dyDescent="0.25">
      <c r="A14858">
        <v>494</v>
      </c>
      <c r="B14858" t="s">
        <v>4006</v>
      </c>
      <c r="C14858" t="s">
        <v>75</v>
      </c>
      <c r="D14858" t="s">
        <v>362</v>
      </c>
      <c r="E14858">
        <f t="shared" ref="E14858:E14869" si="698">1/72</f>
        <v>1.3888888888888888E-2</v>
      </c>
      <c r="F14858">
        <v>81</v>
      </c>
      <c r="G14858">
        <f>LOG(382/(81+1))</f>
        <v>0.66824951052799197</v>
      </c>
      <c r="H14858">
        <f>0.0138888888888888*1.53870136134232</f>
        <v>2.1370852240865417E-2</v>
      </c>
      <c r="I14858">
        <v>2.137085224086558E-2</v>
      </c>
    </row>
    <row r="14859" spans="1:9" x14ac:dyDescent="0.25">
      <c r="A14859">
        <v>494</v>
      </c>
      <c r="B14859" t="s">
        <v>4006</v>
      </c>
      <c r="C14859" t="s">
        <v>75</v>
      </c>
      <c r="D14859" t="s">
        <v>1769</v>
      </c>
      <c r="E14859">
        <f t="shared" si="698"/>
        <v>1.3888888888888888E-2</v>
      </c>
      <c r="F14859">
        <v>84</v>
      </c>
      <c r="G14859">
        <f>LOG(382/(84+1))</f>
        <v>0.65264443719741605</v>
      </c>
      <c r="H14859">
        <f>0.0138888888888888*1.50276935211625</f>
        <v>2.0871796557170003E-2</v>
      </c>
      <c r="I14859">
        <v>2.0871796557170259E-2</v>
      </c>
    </row>
    <row r="14860" spans="1:9" x14ac:dyDescent="0.25">
      <c r="A14860">
        <v>494</v>
      </c>
      <c r="B14860" t="s">
        <v>4006</v>
      </c>
      <c r="C14860" t="s">
        <v>75</v>
      </c>
      <c r="D14860" t="s">
        <v>4010</v>
      </c>
      <c r="E14860">
        <f t="shared" si="698"/>
        <v>1.3888888888888888E-2</v>
      </c>
      <c r="F14860">
        <v>2</v>
      </c>
      <c r="G14860">
        <f>LOG(382/(2+1))</f>
        <v>2.1049421081920463</v>
      </c>
      <c r="H14860">
        <f>0.0138888888888888*4.84680831993846</f>
        <v>6.7316782221367069E-2</v>
      </c>
      <c r="I14860">
        <v>6.7316782221367569E-2</v>
      </c>
    </row>
    <row r="14861" spans="1:9" x14ac:dyDescent="0.25">
      <c r="A14861">
        <v>494</v>
      </c>
      <c r="B14861" t="s">
        <v>4006</v>
      </c>
      <c r="C14861" t="s">
        <v>75</v>
      </c>
      <c r="D14861" t="s">
        <v>3996</v>
      </c>
      <c r="E14861">
        <f t="shared" si="698"/>
        <v>1.3888888888888888E-2</v>
      </c>
      <c r="F14861">
        <v>5</v>
      </c>
      <c r="G14861">
        <f>LOG(382/(5+1))</f>
        <v>1.803912112528065</v>
      </c>
      <c r="H14861">
        <f>0.0138888888888888*4.15366113937852</f>
        <v>5.7689738046923518E-2</v>
      </c>
      <c r="I14861">
        <v>5.7689738046923893E-2</v>
      </c>
    </row>
    <row r="14862" spans="1:9" x14ac:dyDescent="0.25">
      <c r="A14862">
        <v>494</v>
      </c>
      <c r="B14862" t="s">
        <v>4006</v>
      </c>
      <c r="C14862" t="s">
        <v>75</v>
      </c>
      <c r="D14862" t="s">
        <v>4011</v>
      </c>
      <c r="E14862">
        <f t="shared" si="698"/>
        <v>1.3888888888888888E-2</v>
      </c>
      <c r="F14862">
        <v>1</v>
      </c>
      <c r="G14862">
        <f>LOG(382/(1+1))</f>
        <v>2.2810333672477277</v>
      </c>
      <c r="H14862">
        <f>0.0138888888888888*5.25227342804663</f>
        <v>7.294824205620272E-2</v>
      </c>
      <c r="I14862">
        <v>7.2948242056203191E-2</v>
      </c>
    </row>
    <row r="14863" spans="1:9" x14ac:dyDescent="0.25">
      <c r="A14863">
        <v>494</v>
      </c>
      <c r="B14863" t="s">
        <v>4006</v>
      </c>
      <c r="C14863" t="s">
        <v>75</v>
      </c>
      <c r="D14863" t="s">
        <v>1762</v>
      </c>
      <c r="E14863">
        <f t="shared" si="698"/>
        <v>1.3888888888888888E-2</v>
      </c>
      <c r="F14863">
        <v>60</v>
      </c>
      <c r="G14863">
        <f>LOG(382/(60+1))</f>
        <v>0.79673352790094176</v>
      </c>
      <c r="H14863">
        <f>0.0138888888888888*1.83454674443326</f>
        <v>2.5479815894906225E-2</v>
      </c>
      <c r="I14863">
        <v>2.547981589490644E-2</v>
      </c>
    </row>
    <row r="14864" spans="1:9" x14ac:dyDescent="0.25">
      <c r="A14864">
        <v>494</v>
      </c>
      <c r="B14864" t="s">
        <v>4006</v>
      </c>
      <c r="C14864" t="s">
        <v>75</v>
      </c>
      <c r="D14864" t="s">
        <v>24</v>
      </c>
      <c r="E14864">
        <f t="shared" si="698"/>
        <v>1.3888888888888888E-2</v>
      </c>
      <c r="F14864">
        <v>59</v>
      </c>
      <c r="G14864">
        <f>LOG(382/(59+1))</f>
        <v>0.80391211252806505</v>
      </c>
      <c r="H14864">
        <f>0.0138888888888888*1.85107604638447</f>
        <v>2.5709389533117473E-2</v>
      </c>
      <c r="I14864">
        <v>2.5709389533117698E-2</v>
      </c>
    </row>
    <row r="14865" spans="1:9" x14ac:dyDescent="0.25">
      <c r="A14865">
        <v>494</v>
      </c>
      <c r="B14865" t="s">
        <v>4006</v>
      </c>
      <c r="C14865" t="s">
        <v>75</v>
      </c>
      <c r="D14865" t="s">
        <v>1639</v>
      </c>
      <c r="E14865">
        <f t="shared" si="698"/>
        <v>1.3888888888888888E-2</v>
      </c>
      <c r="F14865">
        <v>10</v>
      </c>
      <c r="G14865">
        <f>LOG(382/(10+1))</f>
        <v>1.5406706777534838</v>
      </c>
      <c r="H14865">
        <f>0.0138888888888888*3.5475253358082</f>
        <v>4.927118521955802E-2</v>
      </c>
      <c r="I14865">
        <v>4.9271185219558387E-2</v>
      </c>
    </row>
    <row r="14866" spans="1:9" x14ac:dyDescent="0.25">
      <c r="A14866">
        <v>494</v>
      </c>
      <c r="B14866" t="s">
        <v>4006</v>
      </c>
      <c r="C14866" t="s">
        <v>75</v>
      </c>
      <c r="D14866" t="s">
        <v>4012</v>
      </c>
      <c r="E14866">
        <f t="shared" si="698"/>
        <v>1.3888888888888888E-2</v>
      </c>
      <c r="F14866">
        <v>2</v>
      </c>
      <c r="G14866">
        <f>LOG(382/(2+1))</f>
        <v>2.1049421081920463</v>
      </c>
      <c r="H14866">
        <f>0.0138888888888888*4.84680831993846</f>
        <v>6.7316782221367069E-2</v>
      </c>
      <c r="I14866">
        <v>6.7316782221367569E-2</v>
      </c>
    </row>
    <row r="14867" spans="1:9" x14ac:dyDescent="0.25">
      <c r="A14867">
        <v>494</v>
      </c>
      <c r="B14867" t="s">
        <v>4006</v>
      </c>
      <c r="C14867" t="s">
        <v>75</v>
      </c>
      <c r="D14867" t="s">
        <v>764</v>
      </c>
      <c r="E14867">
        <f t="shared" si="698"/>
        <v>1.3888888888888888E-2</v>
      </c>
      <c r="F14867">
        <v>57</v>
      </c>
      <c r="G14867">
        <f>LOG(382/(57+1))</f>
        <v>0.81863536934877146</v>
      </c>
      <c r="H14867">
        <f>0.0138888888888888*1.88497759806015</f>
        <v>2.6180244417501913E-2</v>
      </c>
      <c r="I14867">
        <v>2.618024441750216E-2</v>
      </c>
    </row>
    <row r="14868" spans="1:9" x14ac:dyDescent="0.25">
      <c r="A14868">
        <v>494</v>
      </c>
      <c r="B14868" t="s">
        <v>4006</v>
      </c>
      <c r="C14868" t="s">
        <v>75</v>
      </c>
      <c r="D14868" t="s">
        <v>1083</v>
      </c>
      <c r="E14868">
        <f t="shared" si="698"/>
        <v>1.3888888888888888E-2</v>
      </c>
      <c r="F14868">
        <v>51</v>
      </c>
      <c r="G14868">
        <f>LOG(382/(51+1))</f>
        <v>0.86606001927690957</v>
      </c>
      <c r="H14868">
        <f>0.0138888888888888*1.99417689002514</f>
        <v>2.7696901250348988E-2</v>
      </c>
      <c r="I14868">
        <v>2.7696901250349269E-2</v>
      </c>
    </row>
    <row r="14869" spans="1:9" x14ac:dyDescent="0.25">
      <c r="A14869">
        <v>494</v>
      </c>
      <c r="B14869" t="s">
        <v>4006</v>
      </c>
      <c r="C14869" t="s">
        <v>75</v>
      </c>
      <c r="D14869" t="s">
        <v>2220</v>
      </c>
      <c r="E14869">
        <f t="shared" si="698"/>
        <v>1.3888888888888888E-2</v>
      </c>
      <c r="F14869">
        <v>21</v>
      </c>
      <c r="G14869">
        <f>LOG(382/(21+1))</f>
        <v>1.2396406820895025</v>
      </c>
      <c r="H14869">
        <f>0.0138888888888888*2.85437815524825</f>
        <v>3.964414104511433E-2</v>
      </c>
      <c r="I14869">
        <v>3.9644141045114711E-2</v>
      </c>
    </row>
    <row r="14870" spans="1:9" x14ac:dyDescent="0.25">
      <c r="A14870">
        <v>494</v>
      </c>
      <c r="B14870" t="s">
        <v>4006</v>
      </c>
      <c r="C14870" t="s">
        <v>75</v>
      </c>
      <c r="D14870" t="s">
        <v>772</v>
      </c>
      <c r="E14870">
        <f>2/72</f>
        <v>2.7777777777777776E-2</v>
      </c>
      <c r="F14870">
        <v>31</v>
      </c>
      <c r="G14870">
        <f>LOG(382/(31+1))</f>
        <v>1.0769133845918029</v>
      </c>
      <c r="H14870">
        <f>0.0277777777777777*2.47968470580684</f>
        <v>6.8880130716856475E-2</v>
      </c>
      <c r="I14870">
        <v>6.8880130716856905E-2</v>
      </c>
    </row>
    <row r="14871" spans="1:9" x14ac:dyDescent="0.25">
      <c r="A14871">
        <v>494</v>
      </c>
      <c r="B14871" t="s">
        <v>4006</v>
      </c>
      <c r="C14871" t="s">
        <v>75</v>
      </c>
      <c r="D14871" t="s">
        <v>649</v>
      </c>
      <c r="E14871">
        <f>3/72</f>
        <v>4.1666666666666664E-2</v>
      </c>
      <c r="F14871">
        <v>25</v>
      </c>
      <c r="G14871">
        <f>LOG(382/(25+1))</f>
        <v>1.1670900149408907</v>
      </c>
      <c r="H14871">
        <f>0.0416666666666666*2.68732407058509</f>
        <v>0.11197183627437858</v>
      </c>
      <c r="I14871">
        <v>0.1119718362743789</v>
      </c>
    </row>
    <row r="14872" spans="1:9" x14ac:dyDescent="0.25">
      <c r="A14872">
        <v>494</v>
      </c>
      <c r="B14872" t="s">
        <v>4006</v>
      </c>
      <c r="C14872" t="s">
        <v>75</v>
      </c>
      <c r="D14872" t="s">
        <v>236</v>
      </c>
      <c r="E14872">
        <f t="shared" ref="E14872:E14881" si="699">1/72</f>
        <v>1.3888888888888888E-2</v>
      </c>
      <c r="F14872">
        <v>87</v>
      </c>
      <c r="G14872">
        <f>LOG(382/(87+1))</f>
        <v>0.63758069076154011</v>
      </c>
      <c r="H14872">
        <f>0.0138888888888888*1.46808379412836</f>
        <v>2.0390052696227092E-2</v>
      </c>
      <c r="I14872">
        <v>2.0390052696227338E-2</v>
      </c>
    </row>
    <row r="14873" spans="1:9" x14ac:dyDescent="0.25">
      <c r="A14873">
        <v>494</v>
      </c>
      <c r="B14873" t="s">
        <v>4006</v>
      </c>
      <c r="C14873" t="s">
        <v>75</v>
      </c>
      <c r="D14873" t="s">
        <v>3334</v>
      </c>
      <c r="E14873">
        <f t="shared" si="699"/>
        <v>1.3888888888888888E-2</v>
      </c>
      <c r="F14873">
        <v>12</v>
      </c>
      <c r="G14873">
        <f>LOG(382/(12+1))</f>
        <v>1.468120010604872</v>
      </c>
      <c r="H14873">
        <f>0.0138888888888888*3.38047125114503</f>
        <v>4.6950989599236229E-2</v>
      </c>
      <c r="I14873">
        <v>4.6950989599236638E-2</v>
      </c>
    </row>
    <row r="14874" spans="1:9" x14ac:dyDescent="0.25">
      <c r="A14874">
        <v>494</v>
      </c>
      <c r="B14874" t="s">
        <v>4006</v>
      </c>
      <c r="C14874" t="s">
        <v>75</v>
      </c>
      <c r="D14874" t="s">
        <v>2930</v>
      </c>
      <c r="E14874">
        <f t="shared" si="699"/>
        <v>1.3888888888888888E-2</v>
      </c>
      <c r="F14874">
        <v>15</v>
      </c>
      <c r="G14874">
        <f>LOG(382/(15+1))</f>
        <v>1.3779433802557839</v>
      </c>
      <c r="H14874">
        <f>0.0138888888888888*3.17283188636679</f>
        <v>4.4067109532871802E-2</v>
      </c>
      <c r="I14874">
        <v>4.4067109532872142E-2</v>
      </c>
    </row>
    <row r="14875" spans="1:9" x14ac:dyDescent="0.25">
      <c r="A14875">
        <v>494</v>
      </c>
      <c r="B14875" t="s">
        <v>4006</v>
      </c>
      <c r="C14875" t="s">
        <v>75</v>
      </c>
      <c r="D14875" t="s">
        <v>82</v>
      </c>
      <c r="E14875">
        <f t="shared" si="699"/>
        <v>1.3888888888888888E-2</v>
      </c>
      <c r="F14875">
        <v>92</v>
      </c>
      <c r="G14875">
        <f>LOG(382/(92+1))</f>
        <v>0.61358041435777355</v>
      </c>
      <c r="H14875">
        <f>0.0138888888888888*1.41282111545331</f>
        <v>1.9622515492406956E-2</v>
      </c>
      <c r="I14875">
        <v>1.9622515492407209E-2</v>
      </c>
    </row>
    <row r="14876" spans="1:9" x14ac:dyDescent="0.25">
      <c r="A14876">
        <v>494</v>
      </c>
      <c r="B14876" t="s">
        <v>4006</v>
      </c>
      <c r="C14876" t="s">
        <v>75</v>
      </c>
      <c r="D14876" t="s">
        <v>357</v>
      </c>
      <c r="E14876">
        <f t="shared" si="699"/>
        <v>1.3888888888888888E-2</v>
      </c>
      <c r="F14876">
        <v>7</v>
      </c>
      <c r="G14876">
        <f>LOG(382/(7+1))</f>
        <v>1.6789733759197651</v>
      </c>
      <c r="H14876">
        <f>0.0138888888888888*3.86597906692673</f>
        <v>5.3694153707315354E-2</v>
      </c>
      <c r="I14876">
        <v>5.3694153707315818E-2</v>
      </c>
    </row>
    <row r="14877" spans="1:9" x14ac:dyDescent="0.25">
      <c r="A14877">
        <v>494</v>
      </c>
      <c r="B14877" t="s">
        <v>4006</v>
      </c>
      <c r="C14877" t="s">
        <v>75</v>
      </c>
      <c r="D14877" t="s">
        <v>2238</v>
      </c>
      <c r="E14877">
        <f t="shared" si="699"/>
        <v>1.3888888888888888E-2</v>
      </c>
      <c r="F14877">
        <v>68</v>
      </c>
      <c r="G14877">
        <f>LOG(382/(68+1))</f>
        <v>0.74321427217445335</v>
      </c>
      <c r="H14877">
        <f>0.0138888888888888*1.71131410400931</f>
        <v>2.3768251444573597E-2</v>
      </c>
      <c r="I14877">
        <v>2.376825144457383E-2</v>
      </c>
    </row>
    <row r="14878" spans="1:9" x14ac:dyDescent="0.25">
      <c r="A14878">
        <v>494</v>
      </c>
      <c r="B14878" t="s">
        <v>4006</v>
      </c>
      <c r="C14878" t="s">
        <v>75</v>
      </c>
      <c r="D14878" t="s">
        <v>239</v>
      </c>
      <c r="E14878">
        <f t="shared" si="699"/>
        <v>1.3888888888888888E-2</v>
      </c>
      <c r="F14878">
        <v>40</v>
      </c>
      <c r="G14878">
        <f>LOG(382/(40+1))</f>
        <v>0.96927950619197323</v>
      </c>
      <c r="H14878">
        <f>0.0138888888888888*2.23184854190226</f>
        <v>3.0997896415308965E-2</v>
      </c>
      <c r="I14878">
        <v>3.099789641530927E-2</v>
      </c>
    </row>
    <row r="14879" spans="1:9" x14ac:dyDescent="0.25">
      <c r="A14879">
        <v>494</v>
      </c>
      <c r="B14879" t="s">
        <v>4006</v>
      </c>
      <c r="C14879" t="s">
        <v>75</v>
      </c>
      <c r="D14879" t="s">
        <v>767</v>
      </c>
      <c r="E14879">
        <f t="shared" si="699"/>
        <v>1.3888888888888888E-2</v>
      </c>
      <c r="F14879">
        <v>47</v>
      </c>
      <c r="G14879">
        <f>LOG(382/(47+1))</f>
        <v>0.90082212553612151</v>
      </c>
      <c r="H14879">
        <f>0.0138888888888888*2.07421959769868</f>
        <v>2.8808605523592594E-2</v>
      </c>
      <c r="I14879">
        <v>2.880860552359283E-2</v>
      </c>
    </row>
    <row r="14880" spans="1:9" x14ac:dyDescent="0.25">
      <c r="A14880">
        <v>494</v>
      </c>
      <c r="B14880" t="s">
        <v>4006</v>
      </c>
      <c r="C14880" t="s">
        <v>75</v>
      </c>
      <c r="D14880" t="s">
        <v>753</v>
      </c>
      <c r="E14880">
        <f t="shared" si="699"/>
        <v>1.3888888888888888E-2</v>
      </c>
      <c r="F14880">
        <v>19</v>
      </c>
      <c r="G14880">
        <f>LOG(382/(19+1))</f>
        <v>1.2810333672477277</v>
      </c>
      <c r="H14880">
        <f>0.0138888888888888*2.94968833505258</f>
        <v>4.0967893542396681E-2</v>
      </c>
      <c r="I14880">
        <v>4.0967893542397001E-2</v>
      </c>
    </row>
    <row r="14881" spans="1:9" x14ac:dyDescent="0.25">
      <c r="A14881">
        <v>494</v>
      </c>
      <c r="B14881" t="s">
        <v>4006</v>
      </c>
      <c r="C14881" t="s">
        <v>75</v>
      </c>
      <c r="D14881" t="s">
        <v>1076</v>
      </c>
      <c r="E14881">
        <f t="shared" si="699"/>
        <v>1.3888888888888888E-2</v>
      </c>
      <c r="F14881">
        <v>13</v>
      </c>
      <c r="G14881">
        <f>LOG(382/(13+1))</f>
        <v>1.4359353272334707</v>
      </c>
      <c r="H14881">
        <f>0.0138888888888888*3.30636327899131</f>
        <v>4.5921712208212347E-2</v>
      </c>
      <c r="I14881">
        <v>4.5921712208212728E-2</v>
      </c>
    </row>
    <row r="14882" spans="1:9" x14ac:dyDescent="0.25">
      <c r="A14882">
        <v>495</v>
      </c>
      <c r="B14882" t="s">
        <v>4013</v>
      </c>
      <c r="C14882" t="s">
        <v>75</v>
      </c>
      <c r="D14882" t="s">
        <v>2231</v>
      </c>
      <c r="E14882">
        <f t="shared" ref="E14882:E14887" si="700">1/69</f>
        <v>1.4492753623188406E-2</v>
      </c>
      <c r="F14882">
        <v>23</v>
      </c>
      <c r="G14882">
        <f>LOG(382/(23+1))</f>
        <v>1.2018521212001028</v>
      </c>
      <c r="H14882">
        <f>0.0144927536231884*2.76736677825862</f>
        <v>4.0106764902298829E-2</v>
      </c>
      <c r="I14882">
        <v>4.0106764902298982E-2</v>
      </c>
    </row>
    <row r="14883" spans="1:9" x14ac:dyDescent="0.25">
      <c r="A14883">
        <v>495</v>
      </c>
      <c r="B14883" t="s">
        <v>4013</v>
      </c>
      <c r="C14883" t="s">
        <v>75</v>
      </c>
      <c r="D14883" t="s">
        <v>2067</v>
      </c>
      <c r="E14883">
        <f t="shared" si="700"/>
        <v>1.4492753623188406E-2</v>
      </c>
      <c r="F14883">
        <v>6</v>
      </c>
      <c r="G14883">
        <f>LOG(382/(6+1))</f>
        <v>1.736965322897452</v>
      </c>
      <c r="H14883">
        <f>0.0144927536231884*3.99951045955126</f>
        <v>5.7963919703641432E-2</v>
      </c>
      <c r="I14883">
        <v>5.7963919703641467E-2</v>
      </c>
    </row>
    <row r="14884" spans="1:9" x14ac:dyDescent="0.25">
      <c r="A14884">
        <v>495</v>
      </c>
      <c r="B14884" t="s">
        <v>4013</v>
      </c>
      <c r="C14884" t="s">
        <v>75</v>
      </c>
      <c r="D14884" t="s">
        <v>4014</v>
      </c>
      <c r="E14884">
        <f t="shared" si="700"/>
        <v>1.4492753623188406E-2</v>
      </c>
      <c r="F14884">
        <v>1</v>
      </c>
      <c r="G14884">
        <f>LOG(382/(1+1))</f>
        <v>2.2810333672477277</v>
      </c>
      <c r="H14884">
        <f>0.0144927536231884*5.25227342804663</f>
        <v>7.6119904754298959E-2</v>
      </c>
      <c r="I14884">
        <v>7.6119904754298987E-2</v>
      </c>
    </row>
    <row r="14885" spans="1:9" x14ac:dyDescent="0.25">
      <c r="A14885">
        <v>495</v>
      </c>
      <c r="B14885" t="s">
        <v>4013</v>
      </c>
      <c r="C14885" t="s">
        <v>75</v>
      </c>
      <c r="D14885" t="s">
        <v>247</v>
      </c>
      <c r="E14885">
        <f t="shared" si="700"/>
        <v>1.4492753623188406E-2</v>
      </c>
      <c r="F14885">
        <v>121</v>
      </c>
      <c r="G14885">
        <f>LOG(382/(121+1))</f>
        <v>0.49570353223696051</v>
      </c>
      <c r="H14885">
        <f>0.0144927536231884*1.14139956387331</f>
        <v>1.6542022664830576E-2</v>
      </c>
      <c r="I14885">
        <v>1.6542022664830711E-2</v>
      </c>
    </row>
    <row r="14886" spans="1:9" x14ac:dyDescent="0.25">
      <c r="A14886">
        <v>495</v>
      </c>
      <c r="B14886" t="s">
        <v>4013</v>
      </c>
      <c r="C14886" t="s">
        <v>75</v>
      </c>
      <c r="D14886" t="s">
        <v>89</v>
      </c>
      <c r="E14886">
        <f t="shared" si="700"/>
        <v>1.4492753623188406E-2</v>
      </c>
      <c r="F14886">
        <v>40</v>
      </c>
      <c r="G14886">
        <f>LOG(382/(40+1))</f>
        <v>0.96927950619197323</v>
      </c>
      <c r="H14886">
        <f>0.0144927536231884*2.23184854190226</f>
        <v>3.2345631042061722E-2</v>
      </c>
      <c r="I14886">
        <v>3.2345631042061847E-2</v>
      </c>
    </row>
    <row r="14887" spans="1:9" x14ac:dyDescent="0.25">
      <c r="A14887">
        <v>495</v>
      </c>
      <c r="B14887" t="s">
        <v>4013</v>
      </c>
      <c r="C14887" t="s">
        <v>75</v>
      </c>
      <c r="D14887" t="s">
        <v>42</v>
      </c>
      <c r="E14887">
        <f t="shared" si="700"/>
        <v>1.4492753623188406E-2</v>
      </c>
      <c r="F14887">
        <v>251</v>
      </c>
      <c r="G14887">
        <f>LOG(382/(251+1))</f>
        <v>0.18066282213016463</v>
      </c>
      <c r="H14887">
        <f>0.0144927536231884*0.415991521095151</f>
        <v>6.0288626245674033E-3</v>
      </c>
      <c r="I14887">
        <v>6.028862624567418E-3</v>
      </c>
    </row>
    <row r="14888" spans="1:9" x14ac:dyDescent="0.25">
      <c r="A14888">
        <v>495</v>
      </c>
      <c r="B14888" t="s">
        <v>4013</v>
      </c>
      <c r="C14888" t="s">
        <v>75</v>
      </c>
      <c r="D14888" t="s">
        <v>104</v>
      </c>
      <c r="E14888">
        <f>2/69</f>
        <v>2.8985507246376812E-2</v>
      </c>
      <c r="F14888">
        <v>49</v>
      </c>
      <c r="G14888">
        <f>LOG(382/(49+1))</f>
        <v>0.88309335857568994</v>
      </c>
      <c r="H14888">
        <f>0.0289855072463768*2.03339760317842</f>
        <v>5.893906096169331E-2</v>
      </c>
      <c r="I14888">
        <v>5.8939060961693587E-2</v>
      </c>
    </row>
    <row r="14889" spans="1:9" x14ac:dyDescent="0.25">
      <c r="A14889">
        <v>495</v>
      </c>
      <c r="B14889" t="s">
        <v>4013</v>
      </c>
      <c r="C14889" t="s">
        <v>75</v>
      </c>
      <c r="D14889" t="s">
        <v>17</v>
      </c>
      <c r="E14889">
        <f>1/69</f>
        <v>1.4492753623188406E-2</v>
      </c>
      <c r="F14889">
        <v>169</v>
      </c>
      <c r="G14889">
        <f>LOG(382/(169+1))</f>
        <v>0.3516144415334348</v>
      </c>
      <c r="H14889">
        <f>0.0144927536231884*0.809622171556313</f>
        <v>1.1733654660236415E-2</v>
      </c>
      <c r="I14889">
        <v>1.1733654660236429E-2</v>
      </c>
    </row>
    <row r="14890" spans="1:9" x14ac:dyDescent="0.25">
      <c r="A14890">
        <v>495</v>
      </c>
      <c r="B14890" t="s">
        <v>4013</v>
      </c>
      <c r="C14890" t="s">
        <v>75</v>
      </c>
      <c r="D14890" t="s">
        <v>1907</v>
      </c>
      <c r="E14890">
        <f t="shared" ref="E14890:E14899" si="701">2/69</f>
        <v>2.8985507246376812E-2</v>
      </c>
      <c r="F14890">
        <v>20</v>
      </c>
      <c r="G14890">
        <f>LOG(382/(20+1))</f>
        <v>1.2598440681777894</v>
      </c>
      <c r="H14890">
        <f>0.0289855072463768*2.90089817088315</f>
        <v>8.4084004953134756E-2</v>
      </c>
      <c r="I14890">
        <v>8.4084004953134853E-2</v>
      </c>
    </row>
    <row r="14891" spans="1:9" x14ac:dyDescent="0.25">
      <c r="A14891">
        <v>495</v>
      </c>
      <c r="B14891" t="s">
        <v>4013</v>
      </c>
      <c r="C14891" t="s">
        <v>75</v>
      </c>
      <c r="D14891" t="s">
        <v>1908</v>
      </c>
      <c r="E14891">
        <f t="shared" si="701"/>
        <v>2.8985507246376812E-2</v>
      </c>
      <c r="F14891">
        <v>20</v>
      </c>
      <c r="G14891">
        <f>LOG(382/(20+1))</f>
        <v>1.2598440681777894</v>
      </c>
      <c r="H14891">
        <f>0.0289855072463768*2.90089817088315</f>
        <v>8.4084004953134756E-2</v>
      </c>
      <c r="I14891">
        <v>8.4084004953134853E-2</v>
      </c>
    </row>
    <row r="14892" spans="1:9" x14ac:dyDescent="0.25">
      <c r="A14892">
        <v>495</v>
      </c>
      <c r="B14892" t="s">
        <v>4013</v>
      </c>
      <c r="C14892" t="s">
        <v>75</v>
      </c>
      <c r="D14892" t="s">
        <v>91</v>
      </c>
      <c r="E14892">
        <f t="shared" si="701"/>
        <v>2.8985507246376812E-2</v>
      </c>
      <c r="F14892">
        <v>33</v>
      </c>
      <c r="G14892">
        <f>LOG(382/(33+1))</f>
        <v>1.0505844458694535</v>
      </c>
      <c r="H14892">
        <f>0.0289855072463768*2.41906008399041</f>
        <v>7.0117683593924909E-2</v>
      </c>
      <c r="I14892">
        <v>7.0117683593925034E-2</v>
      </c>
    </row>
    <row r="14893" spans="1:9" x14ac:dyDescent="0.25">
      <c r="A14893">
        <v>495</v>
      </c>
      <c r="B14893" t="s">
        <v>4013</v>
      </c>
      <c r="C14893" t="s">
        <v>75</v>
      </c>
      <c r="D14893" t="s">
        <v>19</v>
      </c>
      <c r="E14893">
        <f t="shared" si="701"/>
        <v>2.8985507246376812E-2</v>
      </c>
      <c r="F14893">
        <v>220</v>
      </c>
      <c r="G14893">
        <f>LOG(382/(220+1))</f>
        <v>0.23767108922659805</v>
      </c>
      <c r="H14893">
        <f>0.0289855072463768*0.547257907088822</f>
        <v>1.5862548031560054E-2</v>
      </c>
      <c r="I14893">
        <v>1.5862548031560071E-2</v>
      </c>
    </row>
    <row r="14894" spans="1:9" x14ac:dyDescent="0.25">
      <c r="A14894">
        <v>495</v>
      </c>
      <c r="B14894" t="s">
        <v>4013</v>
      </c>
      <c r="C14894" t="s">
        <v>75</v>
      </c>
      <c r="D14894" t="s">
        <v>195</v>
      </c>
      <c r="E14894">
        <f t="shared" si="701"/>
        <v>2.8985507246376812E-2</v>
      </c>
      <c r="F14894">
        <v>55</v>
      </c>
      <c r="G14894">
        <f>LOG(382/(55+1))</f>
        <v>0.83387533590550833</v>
      </c>
      <c r="H14894">
        <f>0.0289855072463768*1.92006891787142</f>
        <v>5.5654171532504911E-2</v>
      </c>
      <c r="I14894">
        <v>5.5654171532505098E-2</v>
      </c>
    </row>
    <row r="14895" spans="1:9" x14ac:dyDescent="0.25">
      <c r="A14895">
        <v>495</v>
      </c>
      <c r="B14895" t="s">
        <v>4013</v>
      </c>
      <c r="C14895" t="s">
        <v>75</v>
      </c>
      <c r="D14895" t="s">
        <v>22</v>
      </c>
      <c r="E14895">
        <f t="shared" si="701"/>
        <v>2.8985507246376812E-2</v>
      </c>
      <c r="F14895">
        <v>259</v>
      </c>
      <c r="G14895">
        <f>LOG(382/(259+1))</f>
        <v>0.16709001494089079</v>
      </c>
      <c r="H14895">
        <f>0.0289855072463768*0.384738977591047</f>
        <v>1.1151854422928896E-2</v>
      </c>
      <c r="I14895">
        <v>1.115185442292891E-2</v>
      </c>
    </row>
    <row r="14896" spans="1:9" x14ac:dyDescent="0.25">
      <c r="A14896">
        <v>495</v>
      </c>
      <c r="B14896" t="s">
        <v>4013</v>
      </c>
      <c r="C14896" t="s">
        <v>75</v>
      </c>
      <c r="D14896" t="s">
        <v>23</v>
      </c>
      <c r="E14896">
        <f t="shared" si="701"/>
        <v>2.8985507246376812E-2</v>
      </c>
      <c r="F14896">
        <v>275</v>
      </c>
      <c r="G14896">
        <f>LOG(382/(275+1))</f>
        <v>0.14115428084649101</v>
      </c>
      <c r="H14896">
        <f>0.0289855072463768*0.325019742889425</f>
        <v>9.4208621127369521E-3</v>
      </c>
      <c r="I14896">
        <v>9.4208621127369607E-3</v>
      </c>
    </row>
    <row r="14897" spans="1:9" x14ac:dyDescent="0.25">
      <c r="A14897">
        <v>495</v>
      </c>
      <c r="B14897" t="s">
        <v>4013</v>
      </c>
      <c r="C14897" t="s">
        <v>75</v>
      </c>
      <c r="D14897" t="s">
        <v>2291</v>
      </c>
      <c r="E14897">
        <f t="shared" si="701"/>
        <v>2.8985507246376812E-2</v>
      </c>
      <c r="F14897">
        <v>17</v>
      </c>
      <c r="G14897">
        <f>LOG(382/(17+1))</f>
        <v>1.3267908578084027</v>
      </c>
      <c r="H14897">
        <f>0.0289855072463768*3.05504885071041</f>
        <v>8.8552140600301699E-2</v>
      </c>
      <c r="I14897">
        <v>8.8552140600301754E-2</v>
      </c>
    </row>
    <row r="14898" spans="1:9" x14ac:dyDescent="0.25">
      <c r="A14898">
        <v>495</v>
      </c>
      <c r="B14898" t="s">
        <v>4013</v>
      </c>
      <c r="C14898" t="s">
        <v>75</v>
      </c>
      <c r="D14898" t="s">
        <v>1537</v>
      </c>
      <c r="E14898">
        <f t="shared" si="701"/>
        <v>2.8985507246376812E-2</v>
      </c>
      <c r="F14898">
        <v>80</v>
      </c>
      <c r="G14898">
        <f>LOG(382/(80+1))</f>
        <v>0.67357834403305894</v>
      </c>
      <c r="H14898">
        <f>0.0289855072463768*1.55097145393413</f>
        <v>4.4955694316931284E-2</v>
      </c>
      <c r="I14898">
        <v>4.4955694316931492E-2</v>
      </c>
    </row>
    <row r="14899" spans="1:9" x14ac:dyDescent="0.25">
      <c r="A14899">
        <v>495</v>
      </c>
      <c r="B14899" t="s">
        <v>4013</v>
      </c>
      <c r="C14899" t="s">
        <v>75</v>
      </c>
      <c r="D14899" t="s">
        <v>362</v>
      </c>
      <c r="E14899">
        <f t="shared" si="701"/>
        <v>2.8985507246376812E-2</v>
      </c>
      <c r="F14899">
        <v>81</v>
      </c>
      <c r="G14899">
        <f>LOG(382/(81+1))</f>
        <v>0.66824951052799197</v>
      </c>
      <c r="H14899">
        <f>0.0289855072463768*1.53870136134232</f>
        <v>4.4600039459197667E-2</v>
      </c>
      <c r="I14899">
        <v>4.4600039459197743E-2</v>
      </c>
    </row>
    <row r="14900" spans="1:9" x14ac:dyDescent="0.25">
      <c r="A14900">
        <v>495</v>
      </c>
      <c r="B14900" t="s">
        <v>4013</v>
      </c>
      <c r="C14900" t="s">
        <v>75</v>
      </c>
      <c r="D14900" t="s">
        <v>1762</v>
      </c>
      <c r="E14900">
        <f>1/69</f>
        <v>1.4492753623188406E-2</v>
      </c>
      <c r="F14900">
        <v>60</v>
      </c>
      <c r="G14900">
        <f>LOG(382/(60+1))</f>
        <v>0.79673352790094176</v>
      </c>
      <c r="H14900">
        <f>0.0144927536231884*1.83454674443326</f>
        <v>2.6587633977293613E-2</v>
      </c>
      <c r="I14900">
        <v>2.6587633977293679E-2</v>
      </c>
    </row>
    <row r="14901" spans="1:9" x14ac:dyDescent="0.25">
      <c r="A14901">
        <v>495</v>
      </c>
      <c r="B14901" t="s">
        <v>4013</v>
      </c>
      <c r="C14901" t="s">
        <v>75</v>
      </c>
      <c r="D14901" t="s">
        <v>126</v>
      </c>
      <c r="E14901">
        <f>2/69</f>
        <v>2.8985507246376812E-2</v>
      </c>
      <c r="F14901">
        <v>79</v>
      </c>
      <c r="G14901">
        <f>LOG(382/(79+1))</f>
        <v>0.67897337591976514</v>
      </c>
      <c r="H14901">
        <f>0.0289855072463768*1.56339397393269</f>
        <v>4.5315767360367812E-2</v>
      </c>
      <c r="I14901">
        <v>4.531576736036793E-2</v>
      </c>
    </row>
    <row r="14902" spans="1:9" x14ac:dyDescent="0.25">
      <c r="A14902">
        <v>495</v>
      </c>
      <c r="B14902" t="s">
        <v>4013</v>
      </c>
      <c r="C14902" t="s">
        <v>75</v>
      </c>
      <c r="D14902" t="s">
        <v>3755</v>
      </c>
      <c r="E14902">
        <f>2/69</f>
        <v>2.8985507246376812E-2</v>
      </c>
      <c r="F14902">
        <v>2</v>
      </c>
      <c r="G14902">
        <f>LOG(382/(2+1))</f>
        <v>2.1049421081920463</v>
      </c>
      <c r="H14902">
        <f>0.0289855072463768*4.84680831993846</f>
        <v>0.14048719767937559</v>
      </c>
      <c r="I14902">
        <v>0.14048719767937581</v>
      </c>
    </row>
    <row r="14903" spans="1:9" x14ac:dyDescent="0.25">
      <c r="A14903">
        <v>495</v>
      </c>
      <c r="B14903" t="s">
        <v>4013</v>
      </c>
      <c r="C14903" t="s">
        <v>75</v>
      </c>
      <c r="D14903" t="s">
        <v>240</v>
      </c>
      <c r="E14903">
        <f>2/69</f>
        <v>2.8985507246376812E-2</v>
      </c>
      <c r="F14903">
        <v>15</v>
      </c>
      <c r="G14903">
        <f>LOG(382/(15+1))</f>
        <v>1.3779433802557839</v>
      </c>
      <c r="H14903">
        <f>0.0289855072463768*3.17283188636679</f>
        <v>9.196614163381997E-2</v>
      </c>
      <c r="I14903">
        <v>9.1966141633820123E-2</v>
      </c>
    </row>
    <row r="14904" spans="1:9" x14ac:dyDescent="0.25">
      <c r="A14904">
        <v>495</v>
      </c>
      <c r="B14904" t="s">
        <v>4013</v>
      </c>
      <c r="C14904" t="s">
        <v>75</v>
      </c>
      <c r="D14904" t="s">
        <v>1548</v>
      </c>
      <c r="E14904">
        <f t="shared" ref="E14904:E14936" si="702">1/69</f>
        <v>1.4492753623188406E-2</v>
      </c>
      <c r="F14904">
        <v>6</v>
      </c>
      <c r="G14904">
        <f>LOG(382/(6+1))</f>
        <v>1.736965322897452</v>
      </c>
      <c r="H14904">
        <f>0.0144927536231884*3.99951045955126</f>
        <v>5.7963919703641432E-2</v>
      </c>
      <c r="I14904">
        <v>5.7963919703641467E-2</v>
      </c>
    </row>
    <row r="14905" spans="1:9" x14ac:dyDescent="0.25">
      <c r="A14905">
        <v>495</v>
      </c>
      <c r="B14905" t="s">
        <v>4013</v>
      </c>
      <c r="C14905" t="s">
        <v>75</v>
      </c>
      <c r="D14905" t="s">
        <v>3378</v>
      </c>
      <c r="E14905">
        <f t="shared" si="702"/>
        <v>1.4492753623188406E-2</v>
      </c>
      <c r="F14905">
        <v>5</v>
      </c>
      <c r="G14905">
        <f>LOG(382/(5+1))</f>
        <v>1.803912112528065</v>
      </c>
      <c r="H14905">
        <f>0.0144927536231884*4.15366113937852</f>
        <v>6.0197987527224904E-2</v>
      </c>
      <c r="I14905">
        <v>6.0197987527224918E-2</v>
      </c>
    </row>
    <row r="14906" spans="1:9" x14ac:dyDescent="0.25">
      <c r="A14906">
        <v>495</v>
      </c>
      <c r="B14906" t="s">
        <v>4013</v>
      </c>
      <c r="C14906" t="s">
        <v>75</v>
      </c>
      <c r="D14906" t="s">
        <v>3718</v>
      </c>
      <c r="E14906">
        <f t="shared" si="702"/>
        <v>1.4492753623188406E-2</v>
      </c>
      <c r="F14906">
        <v>4</v>
      </c>
      <c r="G14906">
        <f>LOG(382/(4+1))</f>
        <v>1.8830933585756899</v>
      </c>
      <c r="H14906">
        <f>0.0144927536231884*4.33598269617247</f>
        <v>6.2840328930035785E-2</v>
      </c>
      <c r="I14906">
        <v>6.2840328930035869E-2</v>
      </c>
    </row>
    <row r="14907" spans="1:9" x14ac:dyDescent="0.25">
      <c r="A14907">
        <v>495</v>
      </c>
      <c r="B14907" t="s">
        <v>4013</v>
      </c>
      <c r="C14907" t="s">
        <v>75</v>
      </c>
      <c r="D14907" t="s">
        <v>3452</v>
      </c>
      <c r="E14907">
        <f t="shared" si="702"/>
        <v>1.4492753623188406E-2</v>
      </c>
      <c r="F14907">
        <v>8</v>
      </c>
      <c r="G14907">
        <f>LOG(382/(8+1))</f>
        <v>1.6278208534723839</v>
      </c>
      <c r="H14907">
        <f>0.0144927536231884*3.74819603127035</f>
        <v>5.4321681612613748E-2</v>
      </c>
      <c r="I14907">
        <v>5.4321681612613852E-2</v>
      </c>
    </row>
    <row r="14908" spans="1:9" x14ac:dyDescent="0.25">
      <c r="A14908">
        <v>495</v>
      </c>
      <c r="B14908" t="s">
        <v>4013</v>
      </c>
      <c r="C14908" t="s">
        <v>75</v>
      </c>
      <c r="D14908" t="s">
        <v>98</v>
      </c>
      <c r="E14908">
        <f t="shared" si="702"/>
        <v>1.4492753623188406E-2</v>
      </c>
      <c r="F14908">
        <v>56</v>
      </c>
      <c r="G14908">
        <f>LOG(382/(56+1))</f>
        <v>0.82618850723921733</v>
      </c>
      <c r="H14908">
        <f>0.0144927536231884*1.90236934077202</f>
        <v>2.757057015611622E-2</v>
      </c>
      <c r="I14908">
        <v>2.757057015611631E-2</v>
      </c>
    </row>
    <row r="14909" spans="1:9" x14ac:dyDescent="0.25">
      <c r="A14909">
        <v>495</v>
      </c>
      <c r="B14909" t="s">
        <v>4013</v>
      </c>
      <c r="C14909" t="s">
        <v>75</v>
      </c>
      <c r="D14909" t="s">
        <v>3324</v>
      </c>
      <c r="E14909">
        <f t="shared" si="702"/>
        <v>1.4492753623188406E-2</v>
      </c>
      <c r="F14909">
        <v>8</v>
      </c>
      <c r="G14909">
        <f>LOG(382/(8+1))</f>
        <v>1.6278208534723839</v>
      </c>
      <c r="H14909">
        <f>0.0144927536231884*3.74819603127035</f>
        <v>5.4321681612613748E-2</v>
      </c>
      <c r="I14909">
        <v>5.4321681612613852E-2</v>
      </c>
    </row>
    <row r="14910" spans="1:9" x14ac:dyDescent="0.25">
      <c r="A14910">
        <v>495</v>
      </c>
      <c r="B14910" t="s">
        <v>4013</v>
      </c>
      <c r="C14910" t="s">
        <v>75</v>
      </c>
      <c r="D14910" t="s">
        <v>243</v>
      </c>
      <c r="E14910">
        <f t="shared" si="702"/>
        <v>1.4492753623188406E-2</v>
      </c>
      <c r="F14910">
        <v>131</v>
      </c>
      <c r="G14910">
        <f>LOG(382/(131+1))</f>
        <v>0.46148943170585888</v>
      </c>
      <c r="H14910">
        <f>0.0144927536231884*1.0626186860202</f>
        <v>1.5400270811886952E-2</v>
      </c>
      <c r="I14910">
        <v>1.540027081188702E-2</v>
      </c>
    </row>
    <row r="14911" spans="1:9" x14ac:dyDescent="0.25">
      <c r="A14911">
        <v>495</v>
      </c>
      <c r="B14911" t="s">
        <v>4013</v>
      </c>
      <c r="C14911" t="s">
        <v>75</v>
      </c>
      <c r="D14911" t="s">
        <v>453</v>
      </c>
      <c r="E14911">
        <f t="shared" si="702"/>
        <v>1.4492753623188406E-2</v>
      </c>
      <c r="F14911">
        <v>68</v>
      </c>
      <c r="G14911">
        <f>LOG(382/(68+1))</f>
        <v>0.74321427217445335</v>
      </c>
      <c r="H14911">
        <f>0.0144927536231884*1.71131410400931</f>
        <v>2.480165368129434E-2</v>
      </c>
      <c r="I14911">
        <v>2.480165368129443E-2</v>
      </c>
    </row>
    <row r="14912" spans="1:9" x14ac:dyDescent="0.25">
      <c r="A14912">
        <v>495</v>
      </c>
      <c r="B14912" t="s">
        <v>4013</v>
      </c>
      <c r="C14912" t="s">
        <v>75</v>
      </c>
      <c r="D14912" t="s">
        <v>1905</v>
      </c>
      <c r="E14912">
        <f t="shared" si="702"/>
        <v>1.4492753623188406E-2</v>
      </c>
      <c r="F14912">
        <v>24</v>
      </c>
      <c r="G14912">
        <f>LOG(382/(24+1))</f>
        <v>1.1841233542396712</v>
      </c>
      <c r="H14912">
        <f>0.0144927536231884*2.72654478373837</f>
        <v>3.9515141793309692E-2</v>
      </c>
      <c r="I14912">
        <v>3.9515141793309783E-2</v>
      </c>
    </row>
    <row r="14913" spans="1:9" x14ac:dyDescent="0.25">
      <c r="A14913">
        <v>495</v>
      </c>
      <c r="B14913" t="s">
        <v>4013</v>
      </c>
      <c r="C14913" t="s">
        <v>75</v>
      </c>
      <c r="D14913" t="s">
        <v>1496</v>
      </c>
      <c r="E14913">
        <f t="shared" si="702"/>
        <v>1.4492753623188406E-2</v>
      </c>
      <c r="F14913">
        <v>39</v>
      </c>
      <c r="G14913">
        <f>LOG(382/(39+1))</f>
        <v>0.9800033715837464</v>
      </c>
      <c r="H14913">
        <f>0.0144927536231884*2.25654115449263</f>
        <v>3.2703494992646805E-2</v>
      </c>
      <c r="I14913">
        <v>3.2703494992646943E-2</v>
      </c>
    </row>
    <row r="14914" spans="1:9" x14ac:dyDescent="0.25">
      <c r="A14914">
        <v>495</v>
      </c>
      <c r="B14914" t="s">
        <v>4013</v>
      </c>
      <c r="C14914" t="s">
        <v>75</v>
      </c>
      <c r="D14914" t="s">
        <v>1059</v>
      </c>
      <c r="E14914">
        <f t="shared" si="702"/>
        <v>1.4492753623188406E-2</v>
      </c>
      <c r="F14914">
        <v>16</v>
      </c>
      <c r="G14914">
        <f>LOG(382/(16+1))</f>
        <v>1.3516144415334348</v>
      </c>
      <c r="H14914">
        <f>0.0144927536231884*3.11220726455035</f>
        <v>4.5104453109425346E-2</v>
      </c>
      <c r="I14914">
        <v>4.5104453109425492E-2</v>
      </c>
    </row>
    <row r="14915" spans="1:9" x14ac:dyDescent="0.25">
      <c r="A14915">
        <v>495</v>
      </c>
      <c r="B14915" t="s">
        <v>4013</v>
      </c>
      <c r="C14915" t="s">
        <v>75</v>
      </c>
      <c r="D14915" t="s">
        <v>2394</v>
      </c>
      <c r="E14915">
        <f t="shared" si="702"/>
        <v>1.4492753623188406E-2</v>
      </c>
      <c r="F14915">
        <v>8</v>
      </c>
      <c r="G14915">
        <f>LOG(382/(8+1))</f>
        <v>1.6278208534723839</v>
      </c>
      <c r="H14915">
        <f>0.0144927536231884*3.74819603127035</f>
        <v>5.4321681612613748E-2</v>
      </c>
      <c r="I14915">
        <v>5.4321681612613852E-2</v>
      </c>
    </row>
    <row r="14916" spans="1:9" x14ac:dyDescent="0.25">
      <c r="A14916">
        <v>495</v>
      </c>
      <c r="B14916" t="s">
        <v>4013</v>
      </c>
      <c r="C14916" t="s">
        <v>75</v>
      </c>
      <c r="D14916" t="s">
        <v>455</v>
      </c>
      <c r="E14916">
        <f t="shared" si="702"/>
        <v>1.4492753623188406E-2</v>
      </c>
      <c r="F14916">
        <v>78</v>
      </c>
      <c r="G14916">
        <f>LOG(382/(78+1))</f>
        <v>0.6844362716212673</v>
      </c>
      <c r="H14916">
        <f>0.0144927536231884*1.57597275613955</f>
        <v>2.2840184871587673E-2</v>
      </c>
      <c r="I14916">
        <v>2.2840184871587739E-2</v>
      </c>
    </row>
    <row r="14917" spans="1:9" x14ac:dyDescent="0.25">
      <c r="A14917">
        <v>495</v>
      </c>
      <c r="B14917" t="s">
        <v>4013</v>
      </c>
      <c r="C14917" t="s">
        <v>75</v>
      </c>
      <c r="D14917" t="s">
        <v>456</v>
      </c>
      <c r="E14917">
        <f t="shared" si="702"/>
        <v>1.4492753623188406E-2</v>
      </c>
      <c r="F14917">
        <v>71</v>
      </c>
      <c r="G14917">
        <f>LOG(382/(71+1))</f>
        <v>0.72473086648044027</v>
      </c>
      <c r="H14917">
        <f>0.0144927536231884*1.66875448959051</f>
        <v>2.4184847675224774E-2</v>
      </c>
      <c r="I14917">
        <v>2.418484767522492E-2</v>
      </c>
    </row>
    <row r="14918" spans="1:9" x14ac:dyDescent="0.25">
      <c r="A14918">
        <v>495</v>
      </c>
      <c r="B14918" t="s">
        <v>4013</v>
      </c>
      <c r="C14918" t="s">
        <v>75</v>
      </c>
      <c r="D14918" t="s">
        <v>81</v>
      </c>
      <c r="E14918">
        <f t="shared" si="702"/>
        <v>1.4492753623188406E-2</v>
      </c>
      <c r="F14918">
        <v>114</v>
      </c>
      <c r="G14918">
        <f>LOG(382/(114+1))</f>
        <v>0.52136552255809698</v>
      </c>
      <c r="H14918">
        <f>0.0144927536231884*1.20048848024332</f>
        <v>1.7398383771642312E-2</v>
      </c>
      <c r="I14918">
        <v>1.7398383771642389E-2</v>
      </c>
    </row>
    <row r="14919" spans="1:9" x14ac:dyDescent="0.25">
      <c r="A14919">
        <v>495</v>
      </c>
      <c r="B14919" t="s">
        <v>4013</v>
      </c>
      <c r="C14919" t="s">
        <v>75</v>
      </c>
      <c r="D14919" t="s">
        <v>361</v>
      </c>
      <c r="E14919">
        <f t="shared" si="702"/>
        <v>1.4492753623188406E-2</v>
      </c>
      <c r="F14919">
        <v>118</v>
      </c>
      <c r="G14919">
        <f>LOG(382/(118+1))</f>
        <v>0.50651640151917798</v>
      </c>
      <c r="H14919">
        <f>0.0144927536231884*1.16629711549504</f>
        <v>1.6902856746304921E-2</v>
      </c>
      <c r="I14919">
        <v>1.6902856746305012E-2</v>
      </c>
    </row>
    <row r="14920" spans="1:9" x14ac:dyDescent="0.25">
      <c r="A14920">
        <v>495</v>
      </c>
      <c r="B14920" t="s">
        <v>4013</v>
      </c>
      <c r="C14920" t="s">
        <v>75</v>
      </c>
      <c r="D14920" t="s">
        <v>434</v>
      </c>
      <c r="E14920">
        <f t="shared" si="702"/>
        <v>1.4492753623188406E-2</v>
      </c>
      <c r="F14920">
        <v>97</v>
      </c>
      <c r="G14920">
        <f>LOG(382/(97+1))</f>
        <v>0.59083728721921391</v>
      </c>
      <c r="H14920">
        <f>0.0144927536231884*1.360453129936</f>
        <v>1.9716712028057966E-2</v>
      </c>
      <c r="I14920">
        <v>1.9716712028058019E-2</v>
      </c>
    </row>
    <row r="14921" spans="1:9" x14ac:dyDescent="0.25">
      <c r="A14921">
        <v>495</v>
      </c>
      <c r="B14921" t="s">
        <v>4013</v>
      </c>
      <c r="C14921" t="s">
        <v>75</v>
      </c>
      <c r="D14921" t="s">
        <v>1467</v>
      </c>
      <c r="E14921">
        <f t="shared" si="702"/>
        <v>1.4492753623188406E-2</v>
      </c>
      <c r="F14921">
        <v>21</v>
      </c>
      <c r="G14921">
        <f>LOG(382/(21+1))</f>
        <v>1.2396406820895025</v>
      </c>
      <c r="H14921">
        <f>0.0144927536231884*2.85437815524825</f>
        <v>4.1367799351423894E-2</v>
      </c>
      <c r="I14921">
        <v>4.1367799351424053E-2</v>
      </c>
    </row>
    <row r="14922" spans="1:9" x14ac:dyDescent="0.25">
      <c r="A14922">
        <v>495</v>
      </c>
      <c r="B14922" t="s">
        <v>4013</v>
      </c>
      <c r="C14922" t="s">
        <v>75</v>
      </c>
      <c r="D14922" t="s">
        <v>149</v>
      </c>
      <c r="E14922">
        <f t="shared" si="702"/>
        <v>1.4492753623188406E-2</v>
      </c>
      <c r="F14922">
        <v>35</v>
      </c>
      <c r="G14922">
        <f>LOG(382/(35+1))</f>
        <v>1.0257608621444214</v>
      </c>
      <c r="H14922">
        <f>0.0144927536231884*2.36190167015046</f>
        <v>3.4230458987687812E-2</v>
      </c>
      <c r="I14922">
        <v>3.4230458987687902E-2</v>
      </c>
    </row>
    <row r="14923" spans="1:9" x14ac:dyDescent="0.25">
      <c r="A14923">
        <v>495</v>
      </c>
      <c r="B14923" t="s">
        <v>4013</v>
      </c>
      <c r="C14923" t="s">
        <v>75</v>
      </c>
      <c r="D14923" t="s">
        <v>673</v>
      </c>
      <c r="E14923">
        <f t="shared" si="702"/>
        <v>1.4492753623188406E-2</v>
      </c>
      <c r="F14923">
        <v>16</v>
      </c>
      <c r="G14923">
        <f>LOG(382/(16+1))</f>
        <v>1.3516144415334348</v>
      </c>
      <c r="H14923">
        <f>0.0144927536231884*3.11220726455035</f>
        <v>4.5104453109425346E-2</v>
      </c>
      <c r="I14923">
        <v>4.5104453109425492E-2</v>
      </c>
    </row>
    <row r="14924" spans="1:9" x14ac:dyDescent="0.25">
      <c r="A14924">
        <v>495</v>
      </c>
      <c r="B14924" t="s">
        <v>4013</v>
      </c>
      <c r="C14924" t="s">
        <v>75</v>
      </c>
      <c r="D14924" t="s">
        <v>214</v>
      </c>
      <c r="E14924">
        <f t="shared" si="702"/>
        <v>1.4492753623188406E-2</v>
      </c>
      <c r="F14924">
        <v>68</v>
      </c>
      <c r="G14924">
        <f>LOG(382/(68+1))</f>
        <v>0.74321427217445335</v>
      </c>
      <c r="H14924">
        <f>0.0144927536231884*1.71131410400931</f>
        <v>2.480165368129434E-2</v>
      </c>
      <c r="I14924">
        <v>2.480165368129443E-2</v>
      </c>
    </row>
    <row r="14925" spans="1:9" x14ac:dyDescent="0.25">
      <c r="A14925">
        <v>495</v>
      </c>
      <c r="B14925" t="s">
        <v>4013</v>
      </c>
      <c r="C14925" t="s">
        <v>75</v>
      </c>
      <c r="D14925" t="s">
        <v>322</v>
      </c>
      <c r="E14925">
        <f t="shared" si="702"/>
        <v>1.4492753623188406E-2</v>
      </c>
      <c r="F14925">
        <v>128</v>
      </c>
      <c r="G14925">
        <f>LOG(382/(128+1))</f>
        <v>0.47147365261245977</v>
      </c>
      <c r="H14925">
        <f>0.0144927536231884*1.0856082042449</f>
        <v>1.5733452235433328E-2</v>
      </c>
      <c r="I14925">
        <v>1.573345223543338E-2</v>
      </c>
    </row>
    <row r="14926" spans="1:9" x14ac:dyDescent="0.25">
      <c r="A14926">
        <v>495</v>
      </c>
      <c r="B14926" t="s">
        <v>4013</v>
      </c>
      <c r="C14926" t="s">
        <v>75</v>
      </c>
      <c r="D14926" t="s">
        <v>1769</v>
      </c>
      <c r="E14926">
        <f t="shared" si="702"/>
        <v>1.4492753623188406E-2</v>
      </c>
      <c r="F14926">
        <v>84</v>
      </c>
      <c r="G14926">
        <f>LOG(382/(84+1))</f>
        <v>0.65264443719741605</v>
      </c>
      <c r="H14926">
        <f>0.0144927536231884*1.50276935211625</f>
        <v>2.1779265972699267E-2</v>
      </c>
      <c r="I14926">
        <v>2.1779265972699399E-2</v>
      </c>
    </row>
    <row r="14927" spans="1:9" x14ac:dyDescent="0.25">
      <c r="A14927">
        <v>495</v>
      </c>
      <c r="B14927" t="s">
        <v>4013</v>
      </c>
      <c r="C14927" t="s">
        <v>75</v>
      </c>
      <c r="D14927" t="s">
        <v>3492</v>
      </c>
      <c r="E14927">
        <f t="shared" si="702"/>
        <v>1.4492753623188406E-2</v>
      </c>
      <c r="F14927">
        <v>12</v>
      </c>
      <c r="G14927">
        <f>LOG(382/(12+1))</f>
        <v>1.468120010604872</v>
      </c>
      <c r="H14927">
        <f>0.0144927536231884*3.38047125114503</f>
        <v>4.8992336973116363E-2</v>
      </c>
      <c r="I14927">
        <v>4.8992336973116501E-2</v>
      </c>
    </row>
    <row r="14928" spans="1:9" x14ac:dyDescent="0.25">
      <c r="A14928">
        <v>495</v>
      </c>
      <c r="B14928" t="s">
        <v>4013</v>
      </c>
      <c r="C14928" t="s">
        <v>75</v>
      </c>
      <c r="D14928" t="s">
        <v>78</v>
      </c>
      <c r="E14928">
        <f t="shared" si="702"/>
        <v>1.4492753623188406E-2</v>
      </c>
      <c r="F14928">
        <v>122</v>
      </c>
      <c r="G14928">
        <f>LOG(382/(122+1))</f>
        <v>0.49215825147231079</v>
      </c>
      <c r="H14928">
        <f>0.0144927536231884*1.13323625323415</f>
        <v>1.6423713814987674E-2</v>
      </c>
      <c r="I14928">
        <v>1.6423713814987789E-2</v>
      </c>
    </row>
    <row r="14929" spans="1:9" x14ac:dyDescent="0.25">
      <c r="A14929">
        <v>495</v>
      </c>
      <c r="B14929" t="s">
        <v>4013</v>
      </c>
      <c r="C14929" t="s">
        <v>75</v>
      </c>
      <c r="D14929" t="s">
        <v>1639</v>
      </c>
      <c r="E14929">
        <f t="shared" si="702"/>
        <v>1.4492753623188406E-2</v>
      </c>
      <c r="F14929">
        <v>10</v>
      </c>
      <c r="G14929">
        <f>LOG(382/(10+1))</f>
        <v>1.5406706777534838</v>
      </c>
      <c r="H14929">
        <f>0.0144927536231884*3.5475253358082</f>
        <v>5.1413410663886938E-2</v>
      </c>
      <c r="I14929">
        <v>5.1413410663887021E-2</v>
      </c>
    </row>
    <row r="14930" spans="1:9" x14ac:dyDescent="0.25">
      <c r="A14930">
        <v>495</v>
      </c>
      <c r="B14930" t="s">
        <v>4013</v>
      </c>
      <c r="C14930" t="s">
        <v>75</v>
      </c>
      <c r="D14930" t="s">
        <v>4012</v>
      </c>
      <c r="E14930">
        <f t="shared" si="702"/>
        <v>1.4492753623188406E-2</v>
      </c>
      <c r="F14930">
        <v>2</v>
      </c>
      <c r="G14930">
        <f>LOG(382/(2+1))</f>
        <v>2.1049421081920463</v>
      </c>
      <c r="H14930">
        <f>0.0144927536231884*4.84680831993846</f>
        <v>7.0243598839687796E-2</v>
      </c>
      <c r="I14930">
        <v>7.0243598839687907E-2</v>
      </c>
    </row>
    <row r="14931" spans="1:9" x14ac:dyDescent="0.25">
      <c r="A14931">
        <v>495</v>
      </c>
      <c r="B14931" t="s">
        <v>4013</v>
      </c>
      <c r="C14931" t="s">
        <v>75</v>
      </c>
      <c r="D14931" t="s">
        <v>4015</v>
      </c>
      <c r="E14931">
        <f t="shared" si="702"/>
        <v>1.4492753623188406E-2</v>
      </c>
      <c r="F14931">
        <v>2</v>
      </c>
      <c r="G14931">
        <f>LOG(382/(2+1))</f>
        <v>2.1049421081920463</v>
      </c>
      <c r="H14931">
        <f>0.0144927536231884*4.84680831993846</f>
        <v>7.0243598839687796E-2</v>
      </c>
      <c r="I14931">
        <v>7.0243598839687907E-2</v>
      </c>
    </row>
    <row r="14932" spans="1:9" x14ac:dyDescent="0.25">
      <c r="A14932">
        <v>495</v>
      </c>
      <c r="B14932" t="s">
        <v>4013</v>
      </c>
      <c r="C14932" t="s">
        <v>75</v>
      </c>
      <c r="D14932" t="s">
        <v>763</v>
      </c>
      <c r="E14932">
        <f t="shared" si="702"/>
        <v>1.4492753623188406E-2</v>
      </c>
      <c r="F14932">
        <v>47</v>
      </c>
      <c r="G14932">
        <f>LOG(382/(47+1))</f>
        <v>0.90082212553612151</v>
      </c>
      <c r="H14932">
        <f>0.0144927536231884*2.07421959769868</f>
        <v>3.0061153589835934E-2</v>
      </c>
      <c r="I14932">
        <v>3.0061153589836E-2</v>
      </c>
    </row>
    <row r="14933" spans="1:9" x14ac:dyDescent="0.25">
      <c r="A14933">
        <v>495</v>
      </c>
      <c r="B14933" t="s">
        <v>4013</v>
      </c>
      <c r="C14933" t="s">
        <v>75</v>
      </c>
      <c r="D14933" t="s">
        <v>764</v>
      </c>
      <c r="E14933">
        <f t="shared" si="702"/>
        <v>1.4492753623188406E-2</v>
      </c>
      <c r="F14933">
        <v>57</v>
      </c>
      <c r="G14933">
        <f>LOG(382/(57+1))</f>
        <v>0.81863536934877146</v>
      </c>
      <c r="H14933">
        <f>0.0144927536231884*1.88497759806015</f>
        <v>2.7318515913915209E-2</v>
      </c>
      <c r="I14933">
        <v>2.7318515913915299E-2</v>
      </c>
    </row>
    <row r="14934" spans="1:9" x14ac:dyDescent="0.25">
      <c r="A14934">
        <v>495</v>
      </c>
      <c r="B14934" t="s">
        <v>4013</v>
      </c>
      <c r="C14934" t="s">
        <v>75</v>
      </c>
      <c r="D14934" t="s">
        <v>1083</v>
      </c>
      <c r="E14934">
        <f t="shared" si="702"/>
        <v>1.4492753623188406E-2</v>
      </c>
      <c r="F14934">
        <v>51</v>
      </c>
      <c r="G14934">
        <f>LOG(382/(51+1))</f>
        <v>0.86606001927690957</v>
      </c>
      <c r="H14934">
        <f>0.0144927536231884*1.99417689002514</f>
        <v>2.8901114348190423E-2</v>
      </c>
      <c r="I14934">
        <v>2.8901114348190551E-2</v>
      </c>
    </row>
    <row r="14935" spans="1:9" x14ac:dyDescent="0.25">
      <c r="A14935">
        <v>495</v>
      </c>
      <c r="B14935" t="s">
        <v>4013</v>
      </c>
      <c r="C14935" t="s">
        <v>75</v>
      </c>
      <c r="D14935" t="s">
        <v>765</v>
      </c>
      <c r="E14935">
        <f t="shared" si="702"/>
        <v>1.4492753623188406E-2</v>
      </c>
      <c r="F14935">
        <v>44</v>
      </c>
      <c r="G14935">
        <f>LOG(382/(44+1))</f>
        <v>0.92885084913636506</v>
      </c>
      <c r="H14935">
        <f>0.0144927536231884*2.13875811883625</f>
        <v>3.0996494475887669E-2</v>
      </c>
      <c r="I14935">
        <v>3.0996494475887759E-2</v>
      </c>
    </row>
    <row r="14936" spans="1:9" x14ac:dyDescent="0.25">
      <c r="A14936">
        <v>495</v>
      </c>
      <c r="B14936" t="s">
        <v>4013</v>
      </c>
      <c r="C14936" t="s">
        <v>75</v>
      </c>
      <c r="D14936" t="s">
        <v>2220</v>
      </c>
      <c r="E14936">
        <f t="shared" si="702"/>
        <v>1.4492753623188406E-2</v>
      </c>
      <c r="F14936">
        <v>21</v>
      </c>
      <c r="G14936">
        <f>LOG(382/(21+1))</f>
        <v>1.2396406820895025</v>
      </c>
      <c r="H14936">
        <f>0.0144927536231884*2.85437815524825</f>
        <v>4.1367799351423894E-2</v>
      </c>
      <c r="I14936">
        <v>4.1367799351424053E-2</v>
      </c>
    </row>
    <row r="14937" spans="1:9" x14ac:dyDescent="0.25">
      <c r="A14937">
        <v>496</v>
      </c>
      <c r="B14937" t="s">
        <v>4016</v>
      </c>
      <c r="C14937" t="s">
        <v>75</v>
      </c>
      <c r="D14937" t="s">
        <v>81</v>
      </c>
      <c r="E14937">
        <f>1/27</f>
        <v>3.7037037037037035E-2</v>
      </c>
      <c r="F14937">
        <v>114</v>
      </c>
      <c r="G14937">
        <f>LOG(382/(114+1))</f>
        <v>0.52136552255809698</v>
      </c>
      <c r="H14937">
        <f>0.037037037037037*1.20048848024332</f>
        <v>4.4462536305308102E-2</v>
      </c>
      <c r="I14937">
        <v>4.4462536305308338E-2</v>
      </c>
    </row>
    <row r="14938" spans="1:9" x14ac:dyDescent="0.25">
      <c r="A14938">
        <v>496</v>
      </c>
      <c r="B14938" t="s">
        <v>4016</v>
      </c>
      <c r="C14938" t="s">
        <v>75</v>
      </c>
      <c r="D14938" t="s">
        <v>82</v>
      </c>
      <c r="E14938">
        <f>1/27</f>
        <v>3.7037037037037035E-2</v>
      </c>
      <c r="F14938">
        <v>92</v>
      </c>
      <c r="G14938">
        <f>LOG(382/(92+1))</f>
        <v>0.61358041435777355</v>
      </c>
      <c r="H14938">
        <f>0.037037037037037*1.41282111545331</f>
        <v>5.2326707979752168E-2</v>
      </c>
      <c r="I14938">
        <v>5.2326707979752557E-2</v>
      </c>
    </row>
    <row r="14939" spans="1:9" x14ac:dyDescent="0.25">
      <c r="A14939">
        <v>496</v>
      </c>
      <c r="B14939" t="s">
        <v>4016</v>
      </c>
      <c r="C14939" t="s">
        <v>75</v>
      </c>
      <c r="D14939" t="s">
        <v>4017</v>
      </c>
      <c r="E14939">
        <f>1/27</f>
        <v>3.7037037037037035E-2</v>
      </c>
      <c r="F14939">
        <v>1</v>
      </c>
      <c r="G14939">
        <f>LOG(382/(1+1))</f>
        <v>2.2810333672477277</v>
      </c>
      <c r="H14939">
        <f>0.037037037037037*5.25227342804663</f>
        <v>0.19452864548320833</v>
      </c>
      <c r="I14939">
        <v>0.1945286454832085</v>
      </c>
    </row>
    <row r="14940" spans="1:9" x14ac:dyDescent="0.25">
      <c r="A14940">
        <v>496</v>
      </c>
      <c r="B14940" t="s">
        <v>4016</v>
      </c>
      <c r="C14940" t="s">
        <v>75</v>
      </c>
      <c r="D14940" t="s">
        <v>1732</v>
      </c>
      <c r="E14940">
        <f>5/27</f>
        <v>0.18518518518518517</v>
      </c>
      <c r="F14940">
        <v>16</v>
      </c>
      <c r="G14940">
        <f>LOG(382/(16+1))</f>
        <v>1.3516144415334348</v>
      </c>
      <c r="H14940">
        <f>0.185185185185185*3.11220726455035</f>
        <v>0.57633467862043464</v>
      </c>
      <c r="I14940">
        <v>0.57633467862043686</v>
      </c>
    </row>
    <row r="14941" spans="1:9" x14ac:dyDescent="0.25">
      <c r="A14941">
        <v>496</v>
      </c>
      <c r="B14941" t="s">
        <v>4016</v>
      </c>
      <c r="C14941" t="s">
        <v>75</v>
      </c>
      <c r="D14941" t="s">
        <v>4018</v>
      </c>
      <c r="E14941">
        <f>3/27</f>
        <v>0.1111111111111111</v>
      </c>
      <c r="F14941">
        <v>1</v>
      </c>
      <c r="G14941">
        <f>LOG(382/(1+1))</f>
        <v>2.2810333672477277</v>
      </c>
      <c r="H14941">
        <f>0.111111111111111*5.25227342804663</f>
        <v>0.58358593644962498</v>
      </c>
      <c r="I14941">
        <v>0.58358593644962553</v>
      </c>
    </row>
    <row r="14942" spans="1:9" x14ac:dyDescent="0.25">
      <c r="A14942">
        <v>496</v>
      </c>
      <c r="B14942" t="s">
        <v>4016</v>
      </c>
      <c r="C14942" t="s">
        <v>75</v>
      </c>
      <c r="D14942" t="s">
        <v>1733</v>
      </c>
      <c r="E14942">
        <f>1/27</f>
        <v>3.7037037037037035E-2</v>
      </c>
      <c r="F14942">
        <v>19</v>
      </c>
      <c r="G14942">
        <f>LOG(382/(19+1))</f>
        <v>1.2810333672477277</v>
      </c>
      <c r="H14942">
        <f>0.037037037037037*2.94968833505258</f>
        <v>0.1092477161130584</v>
      </c>
      <c r="I14942">
        <v>0.1092477161130587</v>
      </c>
    </row>
    <row r="14943" spans="1:9" x14ac:dyDescent="0.25">
      <c r="A14943">
        <v>496</v>
      </c>
      <c r="B14943" t="s">
        <v>4016</v>
      </c>
      <c r="C14943" t="s">
        <v>75</v>
      </c>
      <c r="D14943" t="s">
        <v>1738</v>
      </c>
      <c r="E14943">
        <f>3/27</f>
        <v>0.1111111111111111</v>
      </c>
      <c r="F14943">
        <v>24</v>
      </c>
      <c r="G14943">
        <f>LOG(382/(24+1))</f>
        <v>1.1841233542396712</v>
      </c>
      <c r="H14943">
        <f>0.111111111111111*2.72654478373837</f>
        <v>0.30294942041537409</v>
      </c>
      <c r="I14943">
        <v>0.30294942041537493</v>
      </c>
    </row>
    <row r="14944" spans="1:9" x14ac:dyDescent="0.25">
      <c r="A14944">
        <v>496</v>
      </c>
      <c r="B14944" t="s">
        <v>4016</v>
      </c>
      <c r="C14944" t="s">
        <v>75</v>
      </c>
      <c r="D14944" t="s">
        <v>4019</v>
      </c>
      <c r="E14944">
        <f>2/27</f>
        <v>7.407407407407407E-2</v>
      </c>
      <c r="F14944">
        <v>2</v>
      </c>
      <c r="G14944">
        <f>LOG(382/(2+1))</f>
        <v>2.1049421081920463</v>
      </c>
      <c r="H14944">
        <f>0.074074074074074*4.84680831993846</f>
        <v>0.35902283851395966</v>
      </c>
      <c r="I14944">
        <v>0.35902283851396039</v>
      </c>
    </row>
    <row r="14945" spans="1:9" x14ac:dyDescent="0.25">
      <c r="A14945">
        <v>496</v>
      </c>
      <c r="B14945" t="s">
        <v>4016</v>
      </c>
      <c r="C14945" t="s">
        <v>75</v>
      </c>
      <c r="D14945" t="s">
        <v>1294</v>
      </c>
      <c r="E14945">
        <f>3/27</f>
        <v>0.1111111111111111</v>
      </c>
      <c r="F14945">
        <v>4</v>
      </c>
      <c r="G14945">
        <f>LOG(382/(4+1))</f>
        <v>1.8830933585756899</v>
      </c>
      <c r="H14945">
        <f>0.111111111111111*4.33598269617247</f>
        <v>0.48177585513027399</v>
      </c>
      <c r="I14945">
        <v>0.48177585513027488</v>
      </c>
    </row>
    <row r="14946" spans="1:9" x14ac:dyDescent="0.25">
      <c r="A14946">
        <v>496</v>
      </c>
      <c r="B14946" t="s">
        <v>4016</v>
      </c>
      <c r="C14946" t="s">
        <v>75</v>
      </c>
      <c r="D14946" t="s">
        <v>152</v>
      </c>
      <c r="E14946">
        <f>1/27</f>
        <v>3.7037037037037035E-2</v>
      </c>
      <c r="F14946">
        <v>31</v>
      </c>
      <c r="G14946">
        <f>LOG(382/(31+1))</f>
        <v>1.0769133845918029</v>
      </c>
      <c r="H14946">
        <f>0.037037037037037*2.47968470580684</f>
        <v>9.1840174289142124E-2</v>
      </c>
      <c r="I14946">
        <v>9.184017428914254E-2</v>
      </c>
    </row>
    <row r="14947" spans="1:9" x14ac:dyDescent="0.25">
      <c r="A14947">
        <v>496</v>
      </c>
      <c r="B14947" t="s">
        <v>4016</v>
      </c>
      <c r="C14947" t="s">
        <v>75</v>
      </c>
      <c r="D14947" t="s">
        <v>338</v>
      </c>
      <c r="E14947">
        <f>1/27</f>
        <v>3.7037037037037035E-2</v>
      </c>
      <c r="F14947">
        <v>54</v>
      </c>
      <c r="G14947">
        <f>LOG(382/(54+1))</f>
        <v>0.84170067341746491</v>
      </c>
      <c r="H14947">
        <f>0.037037037037037*1.9380874233741</f>
        <v>7.1781015680522142E-2</v>
      </c>
      <c r="I14947">
        <v>7.1781015680522378E-2</v>
      </c>
    </row>
    <row r="14948" spans="1:9" x14ac:dyDescent="0.25">
      <c r="A14948">
        <v>496</v>
      </c>
      <c r="B14948" t="s">
        <v>4016</v>
      </c>
      <c r="C14948" t="s">
        <v>75</v>
      </c>
      <c r="D14948" t="s">
        <v>3601</v>
      </c>
      <c r="E14948">
        <f>1/27</f>
        <v>3.7037037037037035E-2</v>
      </c>
      <c r="F14948">
        <v>2</v>
      </c>
      <c r="G14948">
        <f>LOG(382/(2+1))</f>
        <v>2.1049421081920463</v>
      </c>
      <c r="H14948">
        <f>0.037037037037037*4.84680831993846</f>
        <v>0.17951141925697983</v>
      </c>
      <c r="I14948">
        <v>0.17951141925698019</v>
      </c>
    </row>
    <row r="14949" spans="1:9" x14ac:dyDescent="0.25">
      <c r="A14949">
        <v>496</v>
      </c>
      <c r="B14949" t="s">
        <v>4016</v>
      </c>
      <c r="C14949" t="s">
        <v>75</v>
      </c>
      <c r="D14949" t="s">
        <v>3452</v>
      </c>
      <c r="E14949">
        <f>2/27</f>
        <v>7.407407407407407E-2</v>
      </c>
      <c r="F14949">
        <v>8</v>
      </c>
      <c r="G14949">
        <f>LOG(382/(8+1))</f>
        <v>1.6278208534723839</v>
      </c>
      <c r="H14949">
        <f>0.074074074074074*3.74819603127035</f>
        <v>0.27764415046447011</v>
      </c>
      <c r="I14949">
        <v>0.27764415046447077</v>
      </c>
    </row>
    <row r="14950" spans="1:9" x14ac:dyDescent="0.25">
      <c r="A14950">
        <v>496</v>
      </c>
      <c r="B14950" t="s">
        <v>4016</v>
      </c>
      <c r="C14950" t="s">
        <v>75</v>
      </c>
      <c r="D14950" t="s">
        <v>161</v>
      </c>
      <c r="E14950">
        <f>1/27</f>
        <v>3.7037037037037035E-2</v>
      </c>
      <c r="F14950">
        <v>33</v>
      </c>
      <c r="G14950">
        <f>LOG(382/(33+1))</f>
        <v>1.0505844458694535</v>
      </c>
      <c r="H14950">
        <f>0.037037037037037*2.41906008399041</f>
        <v>8.9594817925570655E-2</v>
      </c>
      <c r="I14950">
        <v>8.9594817925570877E-2</v>
      </c>
    </row>
    <row r="14951" spans="1:9" x14ac:dyDescent="0.25">
      <c r="A14951">
        <v>496</v>
      </c>
      <c r="B14951" t="s">
        <v>4016</v>
      </c>
      <c r="C14951" t="s">
        <v>75</v>
      </c>
      <c r="D14951" t="s">
        <v>4020</v>
      </c>
      <c r="E14951">
        <f>1/27</f>
        <v>3.7037037037037035E-2</v>
      </c>
      <c r="F14951">
        <v>1</v>
      </c>
      <c r="G14951">
        <f>LOG(382/(1+1))</f>
        <v>2.2810333672477277</v>
      </c>
      <c r="H14951">
        <f>0.037037037037037*5.25227342804663</f>
        <v>0.19452864548320833</v>
      </c>
      <c r="I14951">
        <v>0.1945286454832085</v>
      </c>
    </row>
    <row r="14952" spans="1:9" x14ac:dyDescent="0.25">
      <c r="A14952">
        <v>497</v>
      </c>
      <c r="B14952" t="s">
        <v>4021</v>
      </c>
      <c r="C14952" t="s">
        <v>75</v>
      </c>
      <c r="D14952" t="s">
        <v>1740</v>
      </c>
      <c r="E14952">
        <f>1/28</f>
        <v>3.5714285714285712E-2</v>
      </c>
      <c r="F14952">
        <v>5</v>
      </c>
      <c r="G14952">
        <f>LOG(382/(5+1))</f>
        <v>1.803912112528065</v>
      </c>
      <c r="H14952">
        <f>0.0357142857142857*4.15366113937852</f>
        <v>0.14834504069208992</v>
      </c>
      <c r="I14952">
        <v>0.14834504069209001</v>
      </c>
    </row>
    <row r="14953" spans="1:9" x14ac:dyDescent="0.25">
      <c r="A14953">
        <v>497</v>
      </c>
      <c r="B14953" t="s">
        <v>4021</v>
      </c>
      <c r="C14953" t="s">
        <v>75</v>
      </c>
      <c r="D14953" t="s">
        <v>4022</v>
      </c>
      <c r="E14953">
        <f>1/28</f>
        <v>3.5714285714285712E-2</v>
      </c>
      <c r="F14953">
        <v>1</v>
      </c>
      <c r="G14953">
        <f>LOG(382/(1+1))</f>
        <v>2.2810333672477277</v>
      </c>
      <c r="H14953">
        <f>0.0357142857142857*5.25227342804663</f>
        <v>0.18758119385880812</v>
      </c>
      <c r="I14953">
        <v>0.1875811938588082</v>
      </c>
    </row>
    <row r="14954" spans="1:9" x14ac:dyDescent="0.25">
      <c r="A14954">
        <v>497</v>
      </c>
      <c r="B14954" t="s">
        <v>4021</v>
      </c>
      <c r="C14954" t="s">
        <v>75</v>
      </c>
      <c r="D14954" t="s">
        <v>81</v>
      </c>
      <c r="E14954">
        <f>2/28</f>
        <v>7.1428571428571425E-2</v>
      </c>
      <c r="F14954">
        <v>114</v>
      </c>
      <c r="G14954">
        <f>LOG(382/(114+1))</f>
        <v>0.52136552255809698</v>
      </c>
      <c r="H14954">
        <f>0.0714285714285714*1.20048848024332</f>
        <v>8.5749177160237111E-2</v>
      </c>
      <c r="I14954">
        <v>8.57491771602375E-2</v>
      </c>
    </row>
    <row r="14955" spans="1:9" x14ac:dyDescent="0.25">
      <c r="A14955">
        <v>497</v>
      </c>
      <c r="B14955" t="s">
        <v>4021</v>
      </c>
      <c r="C14955" t="s">
        <v>75</v>
      </c>
      <c r="D14955" t="s">
        <v>4023</v>
      </c>
      <c r="E14955">
        <f>4/28</f>
        <v>0.14285714285714285</v>
      </c>
      <c r="F14955">
        <v>1</v>
      </c>
      <c r="G14955">
        <f>LOG(382/(1+1))</f>
        <v>2.2810333672477277</v>
      </c>
      <c r="H14955">
        <f>0.142857142857142*5.25227342804663</f>
        <v>0.75032477543522824</v>
      </c>
      <c r="I14955">
        <v>0.75032477543523279</v>
      </c>
    </row>
    <row r="14956" spans="1:9" x14ac:dyDescent="0.25">
      <c r="A14956">
        <v>497</v>
      </c>
      <c r="B14956" t="s">
        <v>4021</v>
      </c>
      <c r="C14956" t="s">
        <v>75</v>
      </c>
      <c r="D14956" t="s">
        <v>3630</v>
      </c>
      <c r="E14956">
        <f>4/28</f>
        <v>0.14285714285714285</v>
      </c>
      <c r="F14956">
        <v>6</v>
      </c>
      <c r="G14956">
        <f>LOG(382/(6+1))</f>
        <v>1.736965322897452</v>
      </c>
      <c r="H14956">
        <f>0.142857142857142*3.99951045955126</f>
        <v>0.57135863707874801</v>
      </c>
      <c r="I14956">
        <v>0.57135863707875167</v>
      </c>
    </row>
    <row r="14957" spans="1:9" x14ac:dyDescent="0.25">
      <c r="A14957">
        <v>497</v>
      </c>
      <c r="B14957" t="s">
        <v>4021</v>
      </c>
      <c r="C14957" t="s">
        <v>75</v>
      </c>
      <c r="D14957" t="s">
        <v>360</v>
      </c>
      <c r="E14957">
        <f>2/28</f>
        <v>7.1428571428571425E-2</v>
      </c>
      <c r="F14957">
        <v>15</v>
      </c>
      <c r="G14957">
        <f>LOG(382/(15+1))</f>
        <v>1.3779433802557839</v>
      </c>
      <c r="H14957">
        <f>0.0714285714285714*3.17283188636679</f>
        <v>0.2266308490261992</v>
      </c>
      <c r="I14957">
        <v>0.22663084902619959</v>
      </c>
    </row>
    <row r="14958" spans="1:9" x14ac:dyDescent="0.25">
      <c r="A14958">
        <v>497</v>
      </c>
      <c r="B14958" t="s">
        <v>4021</v>
      </c>
      <c r="C14958" t="s">
        <v>75</v>
      </c>
      <c r="D14958" t="s">
        <v>4024</v>
      </c>
      <c r="E14958">
        <f t="shared" ref="E14958:E14971" si="703">1/28</f>
        <v>3.5714285714285712E-2</v>
      </c>
      <c r="F14958">
        <v>1</v>
      </c>
      <c r="G14958">
        <f>LOG(382/(1+1))</f>
        <v>2.2810333672477277</v>
      </c>
      <c r="H14958">
        <f>0.0357142857142857*5.25227342804663</f>
        <v>0.18758119385880812</v>
      </c>
      <c r="I14958">
        <v>0.1875811938588082</v>
      </c>
    </row>
    <row r="14959" spans="1:9" x14ac:dyDescent="0.25">
      <c r="A14959">
        <v>497</v>
      </c>
      <c r="B14959" t="s">
        <v>4021</v>
      </c>
      <c r="C14959" t="s">
        <v>75</v>
      </c>
      <c r="D14959" t="s">
        <v>1922</v>
      </c>
      <c r="E14959">
        <f t="shared" si="703"/>
        <v>3.5714285714285712E-2</v>
      </c>
      <c r="F14959">
        <v>15</v>
      </c>
      <c r="G14959">
        <f>LOG(382/(15+1))</f>
        <v>1.3779433802557839</v>
      </c>
      <c r="H14959">
        <f>0.0357142857142857*3.17283188636679</f>
        <v>0.1133154245130996</v>
      </c>
      <c r="I14959">
        <v>0.1133154245130998</v>
      </c>
    </row>
    <row r="14960" spans="1:9" x14ac:dyDescent="0.25">
      <c r="A14960">
        <v>497</v>
      </c>
      <c r="B14960" t="s">
        <v>4021</v>
      </c>
      <c r="C14960" t="s">
        <v>75</v>
      </c>
      <c r="D14960" t="s">
        <v>4025</v>
      </c>
      <c r="E14960">
        <f t="shared" si="703"/>
        <v>3.5714285714285712E-2</v>
      </c>
      <c r="F14960">
        <v>1</v>
      </c>
      <c r="G14960">
        <f>LOG(382/(1+1))</f>
        <v>2.2810333672477277</v>
      </c>
      <c r="H14960">
        <f>0.0357142857142857*5.25227342804663</f>
        <v>0.18758119385880812</v>
      </c>
      <c r="I14960">
        <v>0.1875811938588082</v>
      </c>
    </row>
    <row r="14961" spans="1:9" x14ac:dyDescent="0.25">
      <c r="A14961">
        <v>497</v>
      </c>
      <c r="B14961" t="s">
        <v>4021</v>
      </c>
      <c r="C14961" t="s">
        <v>75</v>
      </c>
      <c r="D14961" t="s">
        <v>362</v>
      </c>
      <c r="E14961">
        <f t="shared" si="703"/>
        <v>3.5714285714285712E-2</v>
      </c>
      <c r="F14961">
        <v>81</v>
      </c>
      <c r="G14961">
        <f>LOG(382/(81+1))</f>
        <v>0.66824951052799197</v>
      </c>
      <c r="H14961">
        <f>0.0357142857142857*1.53870136134232</f>
        <v>5.4953620047939973E-2</v>
      </c>
      <c r="I14961">
        <v>5.4953620047940063E-2</v>
      </c>
    </row>
    <row r="14962" spans="1:9" x14ac:dyDescent="0.25">
      <c r="A14962">
        <v>497</v>
      </c>
      <c r="B14962" t="s">
        <v>4021</v>
      </c>
      <c r="C14962" t="s">
        <v>75</v>
      </c>
      <c r="D14962" t="s">
        <v>3411</v>
      </c>
      <c r="E14962">
        <f t="shared" si="703"/>
        <v>3.5714285714285712E-2</v>
      </c>
      <c r="F14962">
        <v>6</v>
      </c>
      <c r="G14962">
        <f>LOG(382/(6+1))</f>
        <v>1.736965322897452</v>
      </c>
      <c r="H14962">
        <f>0.0357142857142857*3.99951045955126</f>
        <v>0.14283965926968781</v>
      </c>
      <c r="I14962">
        <v>0.14283965926968789</v>
      </c>
    </row>
    <row r="14963" spans="1:9" x14ac:dyDescent="0.25">
      <c r="A14963">
        <v>497</v>
      </c>
      <c r="B14963" t="s">
        <v>4021</v>
      </c>
      <c r="C14963" t="s">
        <v>75</v>
      </c>
      <c r="D14963" t="s">
        <v>233</v>
      </c>
      <c r="E14963">
        <f t="shared" si="703"/>
        <v>3.5714285714285712E-2</v>
      </c>
      <c r="F14963">
        <v>14</v>
      </c>
      <c r="G14963">
        <f>LOG(382/(14+1))</f>
        <v>1.4059721038560276</v>
      </c>
      <c r="H14963">
        <f>0.0357142857142857*3.23737040750436</f>
        <v>0.11562037169658423</v>
      </c>
      <c r="I14963">
        <v>0.1156203716965845</v>
      </c>
    </row>
    <row r="14964" spans="1:9" x14ac:dyDescent="0.25">
      <c r="A14964">
        <v>497</v>
      </c>
      <c r="B14964" t="s">
        <v>4021</v>
      </c>
      <c r="C14964" t="s">
        <v>75</v>
      </c>
      <c r="D14964" t="s">
        <v>239</v>
      </c>
      <c r="E14964">
        <f t="shared" si="703"/>
        <v>3.5714285714285712E-2</v>
      </c>
      <c r="F14964">
        <v>40</v>
      </c>
      <c r="G14964">
        <f>LOG(382/(40+1))</f>
        <v>0.96927950619197323</v>
      </c>
      <c r="H14964">
        <f>0.0357142857142857*2.23184854190226</f>
        <v>7.9708876496509248E-2</v>
      </c>
      <c r="I14964">
        <v>7.970887649650954E-2</v>
      </c>
    </row>
    <row r="14965" spans="1:9" x14ac:dyDescent="0.25">
      <c r="A14965">
        <v>497</v>
      </c>
      <c r="B14965" t="s">
        <v>4021</v>
      </c>
      <c r="C14965" t="s">
        <v>75</v>
      </c>
      <c r="D14965" t="s">
        <v>1462</v>
      </c>
      <c r="E14965">
        <f t="shared" si="703"/>
        <v>3.5714285714285712E-2</v>
      </c>
      <c r="F14965">
        <v>7</v>
      </c>
      <c r="G14965">
        <f>LOG(382/(7+1))</f>
        <v>1.6789733759197651</v>
      </c>
      <c r="H14965">
        <f>0.0357142857142857*3.86597906692673</f>
        <v>0.13807068096166888</v>
      </c>
      <c r="I14965">
        <v>0.13807068096166919</v>
      </c>
    </row>
    <row r="14966" spans="1:9" x14ac:dyDescent="0.25">
      <c r="A14966">
        <v>497</v>
      </c>
      <c r="B14966" t="s">
        <v>4021</v>
      </c>
      <c r="C14966" t="s">
        <v>75</v>
      </c>
      <c r="D14966" t="s">
        <v>4026</v>
      </c>
      <c r="E14966">
        <f t="shared" si="703"/>
        <v>3.5714285714285712E-2</v>
      </c>
      <c r="F14966">
        <v>1</v>
      </c>
      <c r="G14966">
        <f>LOG(382/(1+1))</f>
        <v>2.2810333672477277</v>
      </c>
      <c r="H14966">
        <f>0.0357142857142857*5.25227342804663</f>
        <v>0.18758119385880812</v>
      </c>
      <c r="I14966">
        <v>0.1875811938588082</v>
      </c>
    </row>
    <row r="14967" spans="1:9" x14ac:dyDescent="0.25">
      <c r="A14967">
        <v>497</v>
      </c>
      <c r="B14967" t="s">
        <v>4021</v>
      </c>
      <c r="C14967" t="s">
        <v>75</v>
      </c>
      <c r="D14967" t="s">
        <v>1866</v>
      </c>
      <c r="E14967">
        <f t="shared" si="703"/>
        <v>3.5714285714285712E-2</v>
      </c>
      <c r="F14967">
        <v>18</v>
      </c>
      <c r="G14967">
        <f>LOG(382/(18+1))</f>
        <v>1.3033097619588798</v>
      </c>
      <c r="H14967">
        <f>0.0357142857142857*3.00098162944013</f>
        <v>0.10717791533714746</v>
      </c>
      <c r="I14967">
        <v>0.1071779153371477</v>
      </c>
    </row>
    <row r="14968" spans="1:9" x14ac:dyDescent="0.25">
      <c r="A14968">
        <v>497</v>
      </c>
      <c r="B14968" t="s">
        <v>4021</v>
      </c>
      <c r="C14968" t="s">
        <v>75</v>
      </c>
      <c r="D14968" t="s">
        <v>737</v>
      </c>
      <c r="E14968">
        <f t="shared" si="703"/>
        <v>3.5714285714285712E-2</v>
      </c>
      <c r="F14968">
        <v>11</v>
      </c>
      <c r="G14968">
        <f>LOG(382/(11+1))</f>
        <v>1.5028821168640838</v>
      </c>
      <c r="H14968">
        <f>0.0357142857142857*3.46051395881857</f>
        <v>0.12358978424352031</v>
      </c>
      <c r="I14968">
        <v>0.1235897842435205</v>
      </c>
    </row>
    <row r="14969" spans="1:9" x14ac:dyDescent="0.25">
      <c r="A14969">
        <v>497</v>
      </c>
      <c r="B14969" t="s">
        <v>4021</v>
      </c>
      <c r="C14969" t="s">
        <v>75</v>
      </c>
      <c r="D14969" t="s">
        <v>72</v>
      </c>
      <c r="E14969">
        <f t="shared" si="703"/>
        <v>3.5714285714285712E-2</v>
      </c>
      <c r="F14969">
        <v>13</v>
      </c>
      <c r="G14969">
        <f>LOG(382/(13+1))</f>
        <v>1.4359353272334707</v>
      </c>
      <c r="H14969">
        <f>0.0357142857142857*3.30636327899131</f>
        <v>0.11808440282111816</v>
      </c>
      <c r="I14969">
        <v>0.1180844028211184</v>
      </c>
    </row>
    <row r="14970" spans="1:9" x14ac:dyDescent="0.25">
      <c r="A14970">
        <v>497</v>
      </c>
      <c r="B14970" t="s">
        <v>4021</v>
      </c>
      <c r="C14970" t="s">
        <v>75</v>
      </c>
      <c r="D14970" t="s">
        <v>4027</v>
      </c>
      <c r="E14970">
        <f t="shared" si="703"/>
        <v>3.5714285714285712E-2</v>
      </c>
      <c r="F14970">
        <v>1</v>
      </c>
      <c r="G14970">
        <f>LOG(382/(1+1))</f>
        <v>2.2810333672477277</v>
      </c>
      <c r="H14970">
        <f>0.0357142857142857*5.25227342804663</f>
        <v>0.18758119385880812</v>
      </c>
      <c r="I14970">
        <v>0.1875811938588082</v>
      </c>
    </row>
    <row r="14971" spans="1:9" x14ac:dyDescent="0.25">
      <c r="A14971">
        <v>497</v>
      </c>
      <c r="B14971" t="s">
        <v>4021</v>
      </c>
      <c r="C14971" t="s">
        <v>75</v>
      </c>
      <c r="D14971" t="s">
        <v>373</v>
      </c>
      <c r="E14971">
        <f t="shared" si="703"/>
        <v>3.5714285714285712E-2</v>
      </c>
      <c r="F14971">
        <v>4</v>
      </c>
      <c r="G14971">
        <f>LOG(382/(4+1))</f>
        <v>1.8830933585756899</v>
      </c>
      <c r="H14971">
        <f>0.0357142857142857*4.33598269617247</f>
        <v>0.15485652486330245</v>
      </c>
      <c r="I14971">
        <v>0.1548565248633027</v>
      </c>
    </row>
    <row r="14972" spans="1:9" x14ac:dyDescent="0.25">
      <c r="A14972">
        <v>498</v>
      </c>
      <c r="B14972" t="s">
        <v>4028</v>
      </c>
      <c r="C14972" t="s">
        <v>75</v>
      </c>
      <c r="D14972" t="s">
        <v>4029</v>
      </c>
      <c r="E14972">
        <f>1/61</f>
        <v>1.6393442622950821E-2</v>
      </c>
      <c r="F14972">
        <v>1</v>
      </c>
      <c r="G14972">
        <f>LOG(382/(1+1))</f>
        <v>2.2810333672477277</v>
      </c>
      <c r="H14972">
        <f>0.0163934426229508*5.25227342804663</f>
        <v>8.6102843082731528E-2</v>
      </c>
      <c r="I14972">
        <v>8.6102843082731639E-2</v>
      </c>
    </row>
    <row r="14973" spans="1:9" x14ac:dyDescent="0.25">
      <c r="A14973">
        <v>498</v>
      </c>
      <c r="B14973" t="s">
        <v>4028</v>
      </c>
      <c r="C14973" t="s">
        <v>75</v>
      </c>
      <c r="D14973" t="s">
        <v>4030</v>
      </c>
      <c r="E14973">
        <f>1/61</f>
        <v>1.6393442622950821E-2</v>
      </c>
      <c r="F14973">
        <v>1</v>
      </c>
      <c r="G14973">
        <f>LOG(382/(1+1))</f>
        <v>2.2810333672477277</v>
      </c>
      <c r="H14973">
        <f>0.0163934426229508*5.25227342804663</f>
        <v>8.6102843082731528E-2</v>
      </c>
      <c r="I14973">
        <v>8.6102843082731639E-2</v>
      </c>
    </row>
    <row r="14974" spans="1:9" x14ac:dyDescent="0.25">
      <c r="A14974">
        <v>498</v>
      </c>
      <c r="B14974" t="s">
        <v>4028</v>
      </c>
      <c r="C14974" t="s">
        <v>75</v>
      </c>
      <c r="D14974" t="s">
        <v>126</v>
      </c>
      <c r="E14974">
        <f>2/61</f>
        <v>3.2786885245901641E-2</v>
      </c>
      <c r="F14974">
        <v>79</v>
      </c>
      <c r="G14974">
        <f>LOG(382/(79+1))</f>
        <v>0.67897337591976514</v>
      </c>
      <c r="H14974">
        <f>0.0327868852459016*1.56339397393269</f>
        <v>5.1258818817465183E-2</v>
      </c>
      <c r="I14974">
        <v>5.1258818817465371E-2</v>
      </c>
    </row>
    <row r="14975" spans="1:9" x14ac:dyDescent="0.25">
      <c r="A14975">
        <v>498</v>
      </c>
      <c r="B14975" t="s">
        <v>4028</v>
      </c>
      <c r="C14975" t="s">
        <v>75</v>
      </c>
      <c r="D14975" t="s">
        <v>50</v>
      </c>
      <c r="E14975">
        <f>2/61</f>
        <v>3.2786885245901641E-2</v>
      </c>
      <c r="F14975">
        <v>109</v>
      </c>
      <c r="G14975">
        <f>LOG(382/(109+1))</f>
        <v>0.54067067775348365</v>
      </c>
      <c r="H14975">
        <f>0.0327868852459016*1.24494024281415</f>
        <v>4.081771287915241E-2</v>
      </c>
      <c r="I14975">
        <v>4.0817712879152757E-2</v>
      </c>
    </row>
    <row r="14976" spans="1:9" x14ac:dyDescent="0.25">
      <c r="A14976">
        <v>498</v>
      </c>
      <c r="B14976" t="s">
        <v>4028</v>
      </c>
      <c r="C14976" t="s">
        <v>75</v>
      </c>
      <c r="D14976" t="s">
        <v>1537</v>
      </c>
      <c r="E14976">
        <f>3/61</f>
        <v>4.9180327868852458E-2</v>
      </c>
      <c r="F14976">
        <v>80</v>
      </c>
      <c r="G14976">
        <f>LOG(382/(80+1))</f>
        <v>0.67357834403305894</v>
      </c>
      <c r="H14976">
        <f>0.0491803278688524*1.55097145393413</f>
        <v>7.6277284619711228E-2</v>
      </c>
      <c r="I14976">
        <v>7.627728461971163E-2</v>
      </c>
    </row>
    <row r="14977" spans="1:9" x14ac:dyDescent="0.25">
      <c r="A14977">
        <v>498</v>
      </c>
      <c r="B14977" t="s">
        <v>4028</v>
      </c>
      <c r="C14977" t="s">
        <v>75</v>
      </c>
      <c r="D14977" t="s">
        <v>42</v>
      </c>
      <c r="E14977">
        <f>1/61</f>
        <v>1.6393442622950821E-2</v>
      </c>
      <c r="F14977">
        <v>251</v>
      </c>
      <c r="G14977">
        <f>LOG(382/(251+1))</f>
        <v>0.18066282213016463</v>
      </c>
      <c r="H14977">
        <f>0.0163934426229508*0.415991521095151</f>
        <v>6.819533132707385E-3</v>
      </c>
      <c r="I14977">
        <v>6.8195331327074076E-3</v>
      </c>
    </row>
    <row r="14978" spans="1:9" x14ac:dyDescent="0.25">
      <c r="A14978">
        <v>498</v>
      </c>
      <c r="B14978" t="s">
        <v>4028</v>
      </c>
      <c r="C14978" t="s">
        <v>75</v>
      </c>
      <c r="D14978" t="s">
        <v>600</v>
      </c>
      <c r="E14978">
        <f>1/61</f>
        <v>1.6393442622950821E-2</v>
      </c>
      <c r="F14978">
        <v>102</v>
      </c>
      <c r="G14978">
        <f>LOG(382/(102+1))</f>
        <v>0.56922613820653656</v>
      </c>
      <c r="H14978">
        <f>0.0163934426229508*1.31069162037693</f>
        <v>2.1486747875031614E-2</v>
      </c>
      <c r="I14978">
        <v>2.1486747875031791E-2</v>
      </c>
    </row>
    <row r="14979" spans="1:9" x14ac:dyDescent="0.25">
      <c r="A14979">
        <v>498</v>
      </c>
      <c r="B14979" t="s">
        <v>4028</v>
      </c>
      <c r="C14979" t="s">
        <v>75</v>
      </c>
      <c r="D14979" t="s">
        <v>157</v>
      </c>
      <c r="E14979">
        <f>1/61</f>
        <v>1.6393442622950821E-2</v>
      </c>
      <c r="F14979">
        <v>16</v>
      </c>
      <c r="G14979">
        <f>LOG(382/(16+1))</f>
        <v>1.3516144415334348</v>
      </c>
      <c r="H14979">
        <f>0.0163934426229508*3.11220726455035</f>
        <v>5.1019791222136818E-2</v>
      </c>
      <c r="I14979">
        <v>5.101979122213704E-2</v>
      </c>
    </row>
    <row r="14980" spans="1:9" x14ac:dyDescent="0.25">
      <c r="A14980">
        <v>498</v>
      </c>
      <c r="B14980" t="s">
        <v>4028</v>
      </c>
      <c r="C14980" t="s">
        <v>75</v>
      </c>
      <c r="D14980" t="s">
        <v>44</v>
      </c>
      <c r="E14980">
        <f>2/61</f>
        <v>3.2786885245901641E-2</v>
      </c>
      <c r="F14980">
        <v>151</v>
      </c>
      <c r="G14980">
        <f>LOG(382/(151+1))</f>
        <v>0.40021977496693617</v>
      </c>
      <c r="H14980">
        <f>0.0327868852459016*0.921540087760298</f>
        <v>3.021442910689498E-2</v>
      </c>
      <c r="I14980">
        <v>3.0214429106895039E-2</v>
      </c>
    </row>
    <row r="14981" spans="1:9" x14ac:dyDescent="0.25">
      <c r="A14981">
        <v>498</v>
      </c>
      <c r="B14981" t="s">
        <v>4028</v>
      </c>
      <c r="C14981" t="s">
        <v>75</v>
      </c>
      <c r="D14981" t="s">
        <v>15</v>
      </c>
      <c r="E14981">
        <f t="shared" ref="E14981:E15027" si="704">1/61</f>
        <v>1.6393442622950821E-2</v>
      </c>
      <c r="F14981">
        <v>112</v>
      </c>
      <c r="G14981">
        <f>LOG(382/(112+1))</f>
        <v>0.52898491942828896</v>
      </c>
      <c r="H14981">
        <f>0.0163934426229508*1.21803278989423</f>
        <v>1.9967750654003746E-2</v>
      </c>
      <c r="I14981">
        <v>1.996775065400385E-2</v>
      </c>
    </row>
    <row r="14982" spans="1:9" x14ac:dyDescent="0.25">
      <c r="A14982">
        <v>498</v>
      </c>
      <c r="B14982" t="s">
        <v>4028</v>
      </c>
      <c r="C14982" t="s">
        <v>75</v>
      </c>
      <c r="D14982" t="s">
        <v>64</v>
      </c>
      <c r="E14982">
        <f t="shared" si="704"/>
        <v>1.6393442622950821E-2</v>
      </c>
      <c r="F14982">
        <v>16</v>
      </c>
      <c r="G14982">
        <f>LOG(382/(16+1))</f>
        <v>1.3516144415334348</v>
      </c>
      <c r="H14982">
        <f>0.0163934426229508*3.11220726455035</f>
        <v>5.1019791222136818E-2</v>
      </c>
      <c r="I14982">
        <v>5.101979122213704E-2</v>
      </c>
    </row>
    <row r="14983" spans="1:9" x14ac:dyDescent="0.25">
      <c r="A14983">
        <v>498</v>
      </c>
      <c r="B14983" t="s">
        <v>4028</v>
      </c>
      <c r="C14983" t="s">
        <v>75</v>
      </c>
      <c r="D14983" t="s">
        <v>73</v>
      </c>
      <c r="E14983">
        <f t="shared" si="704"/>
        <v>1.6393442622950821E-2</v>
      </c>
      <c r="F14983">
        <v>3</v>
      </c>
      <c r="G14983">
        <f>LOG(382/(3+1))</f>
        <v>1.9800033715837464</v>
      </c>
      <c r="H14983">
        <f>0.0163934426229508*4.55912624748668</f>
        <v>7.4739774548961871E-2</v>
      </c>
      <c r="I14983">
        <v>7.4739774548962051E-2</v>
      </c>
    </row>
    <row r="14984" spans="1:9" x14ac:dyDescent="0.25">
      <c r="A14984">
        <v>498</v>
      </c>
      <c r="B14984" t="s">
        <v>4028</v>
      </c>
      <c r="C14984" t="s">
        <v>75</v>
      </c>
      <c r="D14984" t="s">
        <v>17</v>
      </c>
      <c r="E14984">
        <f t="shared" si="704"/>
        <v>1.6393442622950821E-2</v>
      </c>
      <c r="F14984">
        <v>169</v>
      </c>
      <c r="G14984">
        <f>LOG(382/(169+1))</f>
        <v>0.3516144415334348</v>
      </c>
      <c r="H14984">
        <f>0.0163934426229508*0.809622171556313</f>
        <v>1.3272494615677246E-2</v>
      </c>
      <c r="I14984">
        <v>1.3272494615677271E-2</v>
      </c>
    </row>
    <row r="14985" spans="1:9" x14ac:dyDescent="0.25">
      <c r="A14985">
        <v>498</v>
      </c>
      <c r="B14985" t="s">
        <v>4028</v>
      </c>
      <c r="C14985" t="s">
        <v>75</v>
      </c>
      <c r="D14985" t="s">
        <v>70</v>
      </c>
      <c r="E14985">
        <f t="shared" si="704"/>
        <v>1.6393442622950821E-2</v>
      </c>
      <c r="F14985">
        <v>44</v>
      </c>
      <c r="G14985">
        <f>LOG(382/(44+1))</f>
        <v>0.92885084913636506</v>
      </c>
      <c r="H14985">
        <f>0.0163934426229508*2.13875811883625</f>
        <v>3.5061608505512251E-2</v>
      </c>
      <c r="I14985">
        <v>3.5061608505512383E-2</v>
      </c>
    </row>
    <row r="14986" spans="1:9" x14ac:dyDescent="0.25">
      <c r="A14986">
        <v>498</v>
      </c>
      <c r="B14986" t="s">
        <v>4028</v>
      </c>
      <c r="C14986" t="s">
        <v>75</v>
      </c>
      <c r="D14986" t="s">
        <v>19</v>
      </c>
      <c r="E14986">
        <f t="shared" si="704"/>
        <v>1.6393442622950821E-2</v>
      </c>
      <c r="F14986">
        <v>220</v>
      </c>
      <c r="G14986">
        <f>LOG(382/(220+1))</f>
        <v>0.23767108922659805</v>
      </c>
      <c r="H14986">
        <f>0.0163934426229508*0.547257907088822</f>
        <v>8.9714410998167436E-3</v>
      </c>
      <c r="I14986">
        <v>8.9714410998167609E-3</v>
      </c>
    </row>
    <row r="14987" spans="1:9" x14ac:dyDescent="0.25">
      <c r="A14987">
        <v>498</v>
      </c>
      <c r="B14987" t="s">
        <v>4028</v>
      </c>
      <c r="C14987" t="s">
        <v>75</v>
      </c>
      <c r="D14987" t="s">
        <v>22</v>
      </c>
      <c r="E14987">
        <f t="shared" si="704"/>
        <v>1.6393442622950821E-2</v>
      </c>
      <c r="F14987">
        <v>259</v>
      </c>
      <c r="G14987">
        <f>LOG(382/(259+1))</f>
        <v>0.16709001494089079</v>
      </c>
      <c r="H14987">
        <f>0.0163934426229508*0.384738977591047</f>
        <v>6.3071963539515826E-3</v>
      </c>
      <c r="I14987">
        <v>6.3071963539515991E-3</v>
      </c>
    </row>
    <row r="14988" spans="1:9" x14ac:dyDescent="0.25">
      <c r="A14988">
        <v>498</v>
      </c>
      <c r="B14988" t="s">
        <v>4028</v>
      </c>
      <c r="C14988" t="s">
        <v>75</v>
      </c>
      <c r="D14988" t="s">
        <v>23</v>
      </c>
      <c r="E14988">
        <f t="shared" si="704"/>
        <v>1.6393442622950821E-2</v>
      </c>
      <c r="F14988">
        <v>275</v>
      </c>
      <c r="G14988">
        <f>LOG(382/(275+1))</f>
        <v>0.14115428084649101</v>
      </c>
      <c r="H14988">
        <f>0.0163934426229508*0.325019742889425</f>
        <v>5.3281925063840092E-3</v>
      </c>
      <c r="I14988">
        <v>5.3281925063840187E-3</v>
      </c>
    </row>
    <row r="14989" spans="1:9" x14ac:dyDescent="0.25">
      <c r="A14989">
        <v>498</v>
      </c>
      <c r="B14989" t="s">
        <v>4028</v>
      </c>
      <c r="C14989" t="s">
        <v>75</v>
      </c>
      <c r="D14989" t="s">
        <v>1785</v>
      </c>
      <c r="E14989">
        <f t="shared" si="704"/>
        <v>1.6393442622950821E-2</v>
      </c>
      <c r="F14989">
        <v>21</v>
      </c>
      <c r="G14989">
        <f>LOG(382/(21+1))</f>
        <v>1.2396406820895025</v>
      </c>
      <c r="H14989">
        <f>0.0163934426229508*2.85437815524825</f>
        <v>4.6793084512266332E-2</v>
      </c>
      <c r="I14989">
        <v>4.6793084512266547E-2</v>
      </c>
    </row>
    <row r="14990" spans="1:9" x14ac:dyDescent="0.25">
      <c r="A14990">
        <v>498</v>
      </c>
      <c r="B14990" t="s">
        <v>4028</v>
      </c>
      <c r="C14990" t="s">
        <v>75</v>
      </c>
      <c r="D14990" t="s">
        <v>204</v>
      </c>
      <c r="E14990">
        <f t="shared" si="704"/>
        <v>1.6393442622950821E-2</v>
      </c>
      <c r="F14990">
        <v>166</v>
      </c>
      <c r="G14990">
        <f>LOG(382/(166+1))</f>
        <v>0.35934689176412549</v>
      </c>
      <c r="H14990">
        <f>0.0163934426229508*0.82742679618982</f>
        <v>1.3564373708029818E-2</v>
      </c>
      <c r="I14990">
        <v>1.3564373708029841E-2</v>
      </c>
    </row>
    <row r="14991" spans="1:9" x14ac:dyDescent="0.25">
      <c r="A14991">
        <v>498</v>
      </c>
      <c r="B14991" t="s">
        <v>4028</v>
      </c>
      <c r="C14991" t="s">
        <v>75</v>
      </c>
      <c r="D14991" t="s">
        <v>1769</v>
      </c>
      <c r="E14991">
        <f t="shared" si="704"/>
        <v>1.6393442622950821E-2</v>
      </c>
      <c r="F14991">
        <v>84</v>
      </c>
      <c r="G14991">
        <f>LOG(382/(84+1))</f>
        <v>0.65264443719741605</v>
      </c>
      <c r="H14991">
        <f>0.0163934426229508*1.50276935211625</f>
        <v>2.463556314944669E-2</v>
      </c>
      <c r="I14991">
        <v>2.4635563149446871E-2</v>
      </c>
    </row>
    <row r="14992" spans="1:9" x14ac:dyDescent="0.25">
      <c r="A14992">
        <v>498</v>
      </c>
      <c r="B14992" t="s">
        <v>4028</v>
      </c>
      <c r="C14992" t="s">
        <v>75</v>
      </c>
      <c r="D14992" t="s">
        <v>240</v>
      </c>
      <c r="E14992">
        <f t="shared" si="704"/>
        <v>1.6393442622950821E-2</v>
      </c>
      <c r="F14992">
        <v>15</v>
      </c>
      <c r="G14992">
        <f>LOG(382/(15+1))</f>
        <v>1.3779433802557839</v>
      </c>
      <c r="H14992">
        <f>0.0163934426229508*3.17283188636679</f>
        <v>5.2013637481422723E-2</v>
      </c>
      <c r="I14992">
        <v>5.2013637481422847E-2</v>
      </c>
    </row>
    <row r="14993" spans="1:9" x14ac:dyDescent="0.25">
      <c r="A14993">
        <v>498</v>
      </c>
      <c r="B14993" t="s">
        <v>4028</v>
      </c>
      <c r="C14993" t="s">
        <v>75</v>
      </c>
      <c r="D14993" t="s">
        <v>243</v>
      </c>
      <c r="E14993">
        <f t="shared" si="704"/>
        <v>1.6393442622950821E-2</v>
      </c>
      <c r="F14993">
        <v>131</v>
      </c>
      <c r="G14993">
        <f>LOG(382/(131+1))</f>
        <v>0.46148943170585888</v>
      </c>
      <c r="H14993">
        <f>0.0163934426229508*1.0626186860202</f>
        <v>1.7419978459347521E-2</v>
      </c>
      <c r="I14993">
        <v>1.7419978459347611E-2</v>
      </c>
    </row>
    <row r="14994" spans="1:9" x14ac:dyDescent="0.25">
      <c r="A14994">
        <v>498</v>
      </c>
      <c r="B14994" t="s">
        <v>4028</v>
      </c>
      <c r="C14994" t="s">
        <v>75</v>
      </c>
      <c r="D14994" t="s">
        <v>453</v>
      </c>
      <c r="E14994">
        <f t="shared" si="704"/>
        <v>1.6393442622950821E-2</v>
      </c>
      <c r="F14994">
        <v>68</v>
      </c>
      <c r="G14994">
        <f>LOG(382/(68+1))</f>
        <v>0.74321427217445335</v>
      </c>
      <c r="H14994">
        <f>0.0163934426229508*1.71131410400931</f>
        <v>2.8054329573923082E-2</v>
      </c>
      <c r="I14994">
        <v>2.805432957392321E-2</v>
      </c>
    </row>
    <row r="14995" spans="1:9" x14ac:dyDescent="0.25">
      <c r="A14995">
        <v>498</v>
      </c>
      <c r="B14995" t="s">
        <v>4028</v>
      </c>
      <c r="C14995" t="s">
        <v>75</v>
      </c>
      <c r="D14995" t="s">
        <v>455</v>
      </c>
      <c r="E14995">
        <f t="shared" si="704"/>
        <v>1.6393442622950821E-2</v>
      </c>
      <c r="F14995">
        <v>78</v>
      </c>
      <c r="G14995">
        <f>LOG(382/(78+1))</f>
        <v>0.6844362716212673</v>
      </c>
      <c r="H14995">
        <f>0.0163934426229508*1.57597275613955</f>
        <v>2.5835618953107344E-2</v>
      </c>
      <c r="I14995">
        <v>2.5835618953107441E-2</v>
      </c>
    </row>
    <row r="14996" spans="1:9" x14ac:dyDescent="0.25">
      <c r="A14996">
        <v>498</v>
      </c>
      <c r="B14996" t="s">
        <v>4028</v>
      </c>
      <c r="C14996" t="s">
        <v>75</v>
      </c>
      <c r="D14996" t="s">
        <v>456</v>
      </c>
      <c r="E14996">
        <f t="shared" si="704"/>
        <v>1.6393442622950821E-2</v>
      </c>
      <c r="F14996">
        <v>71</v>
      </c>
      <c r="G14996">
        <f>LOG(382/(71+1))</f>
        <v>0.72473086648044027</v>
      </c>
      <c r="H14996">
        <f>0.0163934426229508*1.66875448959051</f>
        <v>2.7356630976893573E-2</v>
      </c>
      <c r="I14996">
        <v>2.7356630976893771E-2</v>
      </c>
    </row>
    <row r="14997" spans="1:9" x14ac:dyDescent="0.25">
      <c r="A14997">
        <v>498</v>
      </c>
      <c r="B14997" t="s">
        <v>4028</v>
      </c>
      <c r="C14997" t="s">
        <v>75</v>
      </c>
      <c r="D14997" t="s">
        <v>4031</v>
      </c>
      <c r="E14997">
        <f t="shared" si="704"/>
        <v>1.6393442622950821E-2</v>
      </c>
      <c r="F14997">
        <v>1</v>
      </c>
      <c r="G14997">
        <f>LOG(382/(1+1))</f>
        <v>2.2810333672477277</v>
      </c>
      <c r="H14997">
        <f>0.0163934426229508*5.25227342804663</f>
        <v>8.6102843082731528E-2</v>
      </c>
      <c r="I14997">
        <v>8.6102843082731639E-2</v>
      </c>
    </row>
    <row r="14998" spans="1:9" x14ac:dyDescent="0.25">
      <c r="A14998">
        <v>498</v>
      </c>
      <c r="B14998" t="s">
        <v>4028</v>
      </c>
      <c r="C14998" t="s">
        <v>75</v>
      </c>
      <c r="D14998" t="s">
        <v>894</v>
      </c>
      <c r="E14998">
        <f t="shared" si="704"/>
        <v>1.6393442622950821E-2</v>
      </c>
      <c r="F14998">
        <v>5</v>
      </c>
      <c r="G14998">
        <f>LOG(382/(5+1))</f>
        <v>1.803912112528065</v>
      </c>
      <c r="H14998">
        <f>0.0163934426229508*4.15366113937852</f>
        <v>6.8092805563582215E-2</v>
      </c>
      <c r="I14998">
        <v>6.8092805563582298E-2</v>
      </c>
    </row>
    <row r="14999" spans="1:9" x14ac:dyDescent="0.25">
      <c r="A14999">
        <v>498</v>
      </c>
      <c r="B14999" t="s">
        <v>4028</v>
      </c>
      <c r="C14999" t="s">
        <v>75</v>
      </c>
      <c r="D14999" t="s">
        <v>1779</v>
      </c>
      <c r="E14999">
        <f t="shared" si="704"/>
        <v>1.6393442622950821E-2</v>
      </c>
      <c r="F14999">
        <v>41</v>
      </c>
      <c r="G14999">
        <f>LOG(382/(41+1))</f>
        <v>0.95881407251380824</v>
      </c>
      <c r="H14999">
        <f>0.0163934426229508*2.2077509903232</f>
        <v>3.6192639185626187E-2</v>
      </c>
      <c r="I14999">
        <v>3.6192639185626353E-2</v>
      </c>
    </row>
    <row r="15000" spans="1:9" x14ac:dyDescent="0.25">
      <c r="A15000">
        <v>498</v>
      </c>
      <c r="B15000" t="s">
        <v>4028</v>
      </c>
      <c r="C15000" t="s">
        <v>75</v>
      </c>
      <c r="D15000" t="s">
        <v>4032</v>
      </c>
      <c r="E15000">
        <f t="shared" si="704"/>
        <v>1.6393442622950821E-2</v>
      </c>
      <c r="F15000">
        <v>1</v>
      </c>
      <c r="G15000">
        <f>LOG(382/(1+1))</f>
        <v>2.2810333672477277</v>
      </c>
      <c r="H15000">
        <f>0.0163934426229508*5.25227342804663</f>
        <v>8.6102843082731528E-2</v>
      </c>
      <c r="I15000">
        <v>8.6102843082731639E-2</v>
      </c>
    </row>
    <row r="15001" spans="1:9" x14ac:dyDescent="0.25">
      <c r="A15001">
        <v>498</v>
      </c>
      <c r="B15001" t="s">
        <v>4028</v>
      </c>
      <c r="C15001" t="s">
        <v>75</v>
      </c>
      <c r="D15001" t="s">
        <v>361</v>
      </c>
      <c r="E15001">
        <f t="shared" si="704"/>
        <v>1.6393442622950821E-2</v>
      </c>
      <c r="F15001">
        <v>118</v>
      </c>
      <c r="G15001">
        <f>LOG(382/(118+1))</f>
        <v>0.50651640151917798</v>
      </c>
      <c r="H15001">
        <f>0.0163934426229508*1.16629711549504</f>
        <v>1.911962484418096E-2</v>
      </c>
      <c r="I15001">
        <v>1.9119624844181081E-2</v>
      </c>
    </row>
    <row r="15002" spans="1:9" x14ac:dyDescent="0.25">
      <c r="A15002">
        <v>498</v>
      </c>
      <c r="B15002" t="s">
        <v>4028</v>
      </c>
      <c r="C15002" t="s">
        <v>75</v>
      </c>
      <c r="D15002" t="s">
        <v>434</v>
      </c>
      <c r="E15002">
        <f t="shared" si="704"/>
        <v>1.6393442622950821E-2</v>
      </c>
      <c r="F15002">
        <v>97</v>
      </c>
      <c r="G15002">
        <f>LOG(382/(97+1))</f>
        <v>0.59083728721921391</v>
      </c>
      <c r="H15002">
        <f>0.0163934426229508*1.360453129936</f>
        <v>2.2302510326819645E-2</v>
      </c>
      <c r="I15002">
        <v>2.2302510326819729E-2</v>
      </c>
    </row>
    <row r="15003" spans="1:9" x14ac:dyDescent="0.25">
      <c r="A15003">
        <v>498</v>
      </c>
      <c r="B15003" t="s">
        <v>4028</v>
      </c>
      <c r="C15003" t="s">
        <v>75</v>
      </c>
      <c r="D15003" t="s">
        <v>1467</v>
      </c>
      <c r="E15003">
        <f t="shared" si="704"/>
        <v>1.6393442622950821E-2</v>
      </c>
      <c r="F15003">
        <v>21</v>
      </c>
      <c r="G15003">
        <f>LOG(382/(21+1))</f>
        <v>1.2396406820895025</v>
      </c>
      <c r="H15003">
        <f>0.0163934426229508*2.85437815524825</f>
        <v>4.6793084512266332E-2</v>
      </c>
      <c r="I15003">
        <v>4.6793084512266547E-2</v>
      </c>
    </row>
    <row r="15004" spans="1:9" x14ac:dyDescent="0.25">
      <c r="A15004">
        <v>498</v>
      </c>
      <c r="B15004" t="s">
        <v>4028</v>
      </c>
      <c r="C15004" t="s">
        <v>75</v>
      </c>
      <c r="D15004" t="s">
        <v>149</v>
      </c>
      <c r="E15004">
        <f t="shared" si="704"/>
        <v>1.6393442622950821E-2</v>
      </c>
      <c r="F15004">
        <v>35</v>
      </c>
      <c r="G15004">
        <f>LOG(382/(35+1))</f>
        <v>1.0257608621444214</v>
      </c>
      <c r="H15004">
        <f>0.0163934426229508*2.36190167015046</f>
        <v>3.871969951066323E-2</v>
      </c>
      <c r="I15004">
        <v>3.8719699510663362E-2</v>
      </c>
    </row>
    <row r="15005" spans="1:9" x14ac:dyDescent="0.25">
      <c r="A15005">
        <v>498</v>
      </c>
      <c r="B15005" t="s">
        <v>4028</v>
      </c>
      <c r="C15005" t="s">
        <v>75</v>
      </c>
      <c r="D15005" t="s">
        <v>673</v>
      </c>
      <c r="E15005">
        <f t="shared" si="704"/>
        <v>1.6393442622950821E-2</v>
      </c>
      <c r="F15005">
        <v>16</v>
      </c>
      <c r="G15005">
        <f>LOG(382/(16+1))</f>
        <v>1.3516144415334348</v>
      </c>
      <c r="H15005">
        <f>0.0163934426229508*3.11220726455035</f>
        <v>5.1019791222136818E-2</v>
      </c>
      <c r="I15005">
        <v>5.101979122213704E-2</v>
      </c>
    </row>
    <row r="15006" spans="1:9" x14ac:dyDescent="0.25">
      <c r="A15006">
        <v>498</v>
      </c>
      <c r="B15006" t="s">
        <v>4028</v>
      </c>
      <c r="C15006" t="s">
        <v>75</v>
      </c>
      <c r="D15006" t="s">
        <v>214</v>
      </c>
      <c r="E15006">
        <f t="shared" si="704"/>
        <v>1.6393442622950821E-2</v>
      </c>
      <c r="F15006">
        <v>68</v>
      </c>
      <c r="G15006">
        <f>LOG(382/(68+1))</f>
        <v>0.74321427217445335</v>
      </c>
      <c r="H15006">
        <f>0.0163934426229508*1.71131410400931</f>
        <v>2.8054329573923082E-2</v>
      </c>
      <c r="I15006">
        <v>2.805432957392321E-2</v>
      </c>
    </row>
    <row r="15007" spans="1:9" x14ac:dyDescent="0.25">
      <c r="A15007">
        <v>498</v>
      </c>
      <c r="B15007" t="s">
        <v>4028</v>
      </c>
      <c r="C15007" t="s">
        <v>75</v>
      </c>
      <c r="D15007" t="s">
        <v>2238</v>
      </c>
      <c r="E15007">
        <f t="shared" si="704"/>
        <v>1.6393442622950821E-2</v>
      </c>
      <c r="F15007">
        <v>68</v>
      </c>
      <c r="G15007">
        <f>LOG(382/(68+1))</f>
        <v>0.74321427217445335</v>
      </c>
      <c r="H15007">
        <f>0.0163934426229508*1.71131410400931</f>
        <v>2.8054329573923082E-2</v>
      </c>
      <c r="I15007">
        <v>2.805432957392321E-2</v>
      </c>
    </row>
    <row r="15008" spans="1:9" x14ac:dyDescent="0.25">
      <c r="A15008">
        <v>498</v>
      </c>
      <c r="B15008" t="s">
        <v>4028</v>
      </c>
      <c r="C15008" t="s">
        <v>75</v>
      </c>
      <c r="D15008" t="s">
        <v>2178</v>
      </c>
      <c r="E15008">
        <f t="shared" si="704"/>
        <v>1.6393442622950821E-2</v>
      </c>
      <c r="F15008">
        <v>11</v>
      </c>
      <c r="G15008">
        <f>LOG(382/(11+1))</f>
        <v>1.5028821168640838</v>
      </c>
      <c r="H15008">
        <f>0.0163934426229508*3.46051395881857</f>
        <v>5.6729737029812558E-2</v>
      </c>
      <c r="I15008">
        <v>5.672973702981271E-2</v>
      </c>
    </row>
    <row r="15009" spans="1:9" x14ac:dyDescent="0.25">
      <c r="A15009">
        <v>498</v>
      </c>
      <c r="B15009" t="s">
        <v>4028</v>
      </c>
      <c r="C15009" t="s">
        <v>75</v>
      </c>
      <c r="D15009" t="s">
        <v>4033</v>
      </c>
      <c r="E15009">
        <f t="shared" si="704"/>
        <v>1.6393442622950821E-2</v>
      </c>
      <c r="F15009">
        <v>1</v>
      </c>
      <c r="G15009">
        <f>LOG(382/(1+1))</f>
        <v>2.2810333672477277</v>
      </c>
      <c r="H15009">
        <f>0.0163934426229508*5.25227342804663</f>
        <v>8.6102843082731528E-2</v>
      </c>
      <c r="I15009">
        <v>8.6102843082731639E-2</v>
      </c>
    </row>
    <row r="15010" spans="1:9" x14ac:dyDescent="0.25">
      <c r="A15010">
        <v>498</v>
      </c>
      <c r="B15010" t="s">
        <v>4028</v>
      </c>
      <c r="C15010" t="s">
        <v>75</v>
      </c>
      <c r="D15010" t="s">
        <v>3924</v>
      </c>
      <c r="E15010">
        <f t="shared" si="704"/>
        <v>1.6393442622950821E-2</v>
      </c>
      <c r="F15010">
        <v>2</v>
      </c>
      <c r="G15010">
        <f>LOG(382/(2+1))</f>
        <v>2.1049421081920463</v>
      </c>
      <c r="H15010">
        <f>0.0163934426229508*4.84680831993846</f>
        <v>7.9455874097351706E-2</v>
      </c>
      <c r="I15010">
        <v>7.94558740973519E-2</v>
      </c>
    </row>
    <row r="15011" spans="1:9" x14ac:dyDescent="0.25">
      <c r="A15011">
        <v>498</v>
      </c>
      <c r="B15011" t="s">
        <v>4028</v>
      </c>
      <c r="C15011" t="s">
        <v>75</v>
      </c>
      <c r="D15011" t="s">
        <v>4034</v>
      </c>
      <c r="E15011">
        <f t="shared" si="704"/>
        <v>1.6393442622950821E-2</v>
      </c>
      <c r="F15011">
        <v>1</v>
      </c>
      <c r="G15011">
        <f>LOG(382/(1+1))</f>
        <v>2.2810333672477277</v>
      </c>
      <c r="H15011">
        <f>0.0163934426229508*5.25227342804663</f>
        <v>8.6102843082731528E-2</v>
      </c>
      <c r="I15011">
        <v>8.6102843082731639E-2</v>
      </c>
    </row>
    <row r="15012" spans="1:9" x14ac:dyDescent="0.25">
      <c r="A15012">
        <v>498</v>
      </c>
      <c r="B15012" t="s">
        <v>4028</v>
      </c>
      <c r="C15012" t="s">
        <v>75</v>
      </c>
      <c r="D15012" t="s">
        <v>1730</v>
      </c>
      <c r="E15012">
        <f t="shared" si="704"/>
        <v>1.6393442622950821E-2</v>
      </c>
      <c r="F15012">
        <v>35</v>
      </c>
      <c r="G15012">
        <f>LOG(382/(35+1))</f>
        <v>1.0257608621444214</v>
      </c>
      <c r="H15012">
        <f>0.0163934426229508*2.36190167015046</f>
        <v>3.871969951066323E-2</v>
      </c>
      <c r="I15012">
        <v>3.8719699510663362E-2</v>
      </c>
    </row>
    <row r="15013" spans="1:9" x14ac:dyDescent="0.25">
      <c r="A15013">
        <v>498</v>
      </c>
      <c r="B15013" t="s">
        <v>4028</v>
      </c>
      <c r="C15013" t="s">
        <v>75</v>
      </c>
      <c r="D15013" t="s">
        <v>4035</v>
      </c>
      <c r="E15013">
        <f t="shared" si="704"/>
        <v>1.6393442622950821E-2</v>
      </c>
      <c r="F15013">
        <v>1</v>
      </c>
      <c r="G15013">
        <f>LOG(382/(1+1))</f>
        <v>2.2810333672477277</v>
      </c>
      <c r="H15013">
        <f>0.0163934426229508*5.25227342804663</f>
        <v>8.6102843082731528E-2</v>
      </c>
      <c r="I15013">
        <v>8.6102843082731639E-2</v>
      </c>
    </row>
    <row r="15014" spans="1:9" x14ac:dyDescent="0.25">
      <c r="A15014">
        <v>498</v>
      </c>
      <c r="B15014" t="s">
        <v>4028</v>
      </c>
      <c r="C15014" t="s">
        <v>75</v>
      </c>
      <c r="D15014" t="s">
        <v>3376</v>
      </c>
      <c r="E15014">
        <f t="shared" si="704"/>
        <v>1.6393442622950821E-2</v>
      </c>
      <c r="F15014">
        <v>21</v>
      </c>
      <c r="G15014">
        <f>LOG(382/(21+1))</f>
        <v>1.2396406820895025</v>
      </c>
      <c r="H15014">
        <f>0.0163934426229508*2.85437815524825</f>
        <v>4.6793084512266332E-2</v>
      </c>
      <c r="I15014">
        <v>4.6793084512266547E-2</v>
      </c>
    </row>
    <row r="15015" spans="1:9" x14ac:dyDescent="0.25">
      <c r="A15015">
        <v>498</v>
      </c>
      <c r="B15015" t="s">
        <v>4028</v>
      </c>
      <c r="C15015" t="s">
        <v>75</v>
      </c>
      <c r="D15015" t="s">
        <v>3509</v>
      </c>
      <c r="E15015">
        <f t="shared" si="704"/>
        <v>1.6393442622950821E-2</v>
      </c>
      <c r="F15015">
        <v>3</v>
      </c>
      <c r="G15015">
        <f>LOG(382/(3+1))</f>
        <v>1.9800033715837464</v>
      </c>
      <c r="H15015">
        <f>0.0163934426229508*4.55912624748668</f>
        <v>7.4739774548961871E-2</v>
      </c>
      <c r="I15015">
        <v>7.4739774548962051E-2</v>
      </c>
    </row>
    <row r="15016" spans="1:9" x14ac:dyDescent="0.25">
      <c r="A15016">
        <v>498</v>
      </c>
      <c r="B15016" t="s">
        <v>4028</v>
      </c>
      <c r="C15016" t="s">
        <v>75</v>
      </c>
      <c r="D15016" t="s">
        <v>3712</v>
      </c>
      <c r="E15016">
        <f t="shared" si="704"/>
        <v>1.6393442622950821E-2</v>
      </c>
      <c r="F15016">
        <v>3</v>
      </c>
      <c r="G15016">
        <f>LOG(382/(3+1))</f>
        <v>1.9800033715837464</v>
      </c>
      <c r="H15016">
        <f>0.0163934426229508*4.55912624748668</f>
        <v>7.4739774548961871E-2</v>
      </c>
      <c r="I15016">
        <v>7.4739774548962051E-2</v>
      </c>
    </row>
    <row r="15017" spans="1:9" x14ac:dyDescent="0.25">
      <c r="A15017">
        <v>498</v>
      </c>
      <c r="B15017" t="s">
        <v>4028</v>
      </c>
      <c r="C15017" t="s">
        <v>75</v>
      </c>
      <c r="D15017" t="s">
        <v>322</v>
      </c>
      <c r="E15017">
        <f t="shared" si="704"/>
        <v>1.6393442622950821E-2</v>
      </c>
      <c r="F15017">
        <v>128</v>
      </c>
      <c r="G15017">
        <f>LOG(382/(128+1))</f>
        <v>0.47147365261245977</v>
      </c>
      <c r="H15017">
        <f>0.0163934426229508*1.0856082042449</f>
        <v>1.779685580729342E-2</v>
      </c>
      <c r="I15017">
        <v>1.77968558072935E-2</v>
      </c>
    </row>
    <row r="15018" spans="1:9" x14ac:dyDescent="0.25">
      <c r="A15018">
        <v>498</v>
      </c>
      <c r="B15018" t="s">
        <v>4028</v>
      </c>
      <c r="C15018" t="s">
        <v>75</v>
      </c>
      <c r="D15018" t="s">
        <v>78</v>
      </c>
      <c r="E15018">
        <f t="shared" si="704"/>
        <v>1.6393442622950821E-2</v>
      </c>
      <c r="F15018">
        <v>122</v>
      </c>
      <c r="G15018">
        <f>LOG(382/(122+1))</f>
        <v>0.49215825147231079</v>
      </c>
      <c r="H15018">
        <f>0.0163934426229508*1.13323625323415</f>
        <v>1.8577643495641782E-2</v>
      </c>
      <c r="I15018">
        <v>1.8577643495641932E-2</v>
      </c>
    </row>
    <row r="15019" spans="1:9" x14ac:dyDescent="0.25">
      <c r="A15019">
        <v>498</v>
      </c>
      <c r="B15019" t="s">
        <v>4028</v>
      </c>
      <c r="C15019" t="s">
        <v>75</v>
      </c>
      <c r="D15019" t="s">
        <v>98</v>
      </c>
      <c r="E15019">
        <f t="shared" si="704"/>
        <v>1.6393442622950821E-2</v>
      </c>
      <c r="F15019">
        <v>56</v>
      </c>
      <c r="G15019">
        <f>LOG(382/(56+1))</f>
        <v>0.82618850723921733</v>
      </c>
      <c r="H15019">
        <f>0.0163934426229508*1.90236934077202</f>
        <v>3.1186382635606847E-2</v>
      </c>
      <c r="I15019">
        <v>3.1186382635606968E-2</v>
      </c>
    </row>
    <row r="15020" spans="1:9" x14ac:dyDescent="0.25">
      <c r="A15020">
        <v>498</v>
      </c>
      <c r="B15020" t="s">
        <v>4028</v>
      </c>
      <c r="C15020" t="s">
        <v>75</v>
      </c>
      <c r="D15020" t="s">
        <v>754</v>
      </c>
      <c r="E15020">
        <f t="shared" si="704"/>
        <v>1.6393442622950821E-2</v>
      </c>
      <c r="F15020">
        <v>111</v>
      </c>
      <c r="G15020">
        <f>LOG(382/(111+1))</f>
        <v>0.53284534024152708</v>
      </c>
      <c r="H15020">
        <f>0.0163934426229508*1.22692173731148</f>
        <v>2.0113471103466861E-2</v>
      </c>
      <c r="I15020">
        <v>2.0113471103466899E-2</v>
      </c>
    </row>
    <row r="15021" spans="1:9" x14ac:dyDescent="0.25">
      <c r="A15021">
        <v>498</v>
      </c>
      <c r="B15021" t="s">
        <v>4028</v>
      </c>
      <c r="C15021" t="s">
        <v>75</v>
      </c>
      <c r="D15021" t="s">
        <v>76</v>
      </c>
      <c r="E15021">
        <f t="shared" si="704"/>
        <v>1.6393442622950821E-2</v>
      </c>
      <c r="F15021">
        <v>140</v>
      </c>
      <c r="G15021">
        <f>LOG(382/(140+1))</f>
        <v>0.43284425025632883</v>
      </c>
      <c r="H15021">
        <f>0.0163934426229508*0.996660718228407</f>
        <v>1.6338700298826322E-2</v>
      </c>
      <c r="I15021">
        <v>1.633870029882634E-2</v>
      </c>
    </row>
    <row r="15022" spans="1:9" x14ac:dyDescent="0.25">
      <c r="A15022">
        <v>498</v>
      </c>
      <c r="B15022" t="s">
        <v>4028</v>
      </c>
      <c r="C15022" t="s">
        <v>75</v>
      </c>
      <c r="D15022" t="s">
        <v>77</v>
      </c>
      <c r="E15022">
        <f t="shared" si="704"/>
        <v>1.6393442622950821E-2</v>
      </c>
      <c r="F15022">
        <v>148</v>
      </c>
      <c r="G15022">
        <f>LOG(382/(148+1))</f>
        <v>0.40887709449943471</v>
      </c>
      <c r="H15022">
        <f>0.0163934426229508*0.941474302661116</f>
        <v>1.5434004961657621E-2</v>
      </c>
      <c r="I15022">
        <v>1.543400496165764E-2</v>
      </c>
    </row>
    <row r="15023" spans="1:9" x14ac:dyDescent="0.25">
      <c r="A15023">
        <v>498</v>
      </c>
      <c r="B15023" t="s">
        <v>4028</v>
      </c>
      <c r="C15023" t="s">
        <v>75</v>
      </c>
      <c r="D15023" t="s">
        <v>40</v>
      </c>
      <c r="E15023">
        <f t="shared" si="704"/>
        <v>1.6393442622950821E-2</v>
      </c>
      <c r="F15023">
        <v>159</v>
      </c>
      <c r="G15023">
        <f>LOG(382/(159+1))</f>
        <v>0.377943380255784</v>
      </c>
      <c r="H15023">
        <f>0.0163934426229508*0.870246793372748</f>
        <v>1.4266340874963064E-2</v>
      </c>
      <c r="I15023">
        <v>1.426634087496309E-2</v>
      </c>
    </row>
    <row r="15024" spans="1:9" x14ac:dyDescent="0.25">
      <c r="A15024">
        <v>498</v>
      </c>
      <c r="B15024" t="s">
        <v>4028</v>
      </c>
      <c r="C15024" t="s">
        <v>75</v>
      </c>
      <c r="D15024" t="s">
        <v>41</v>
      </c>
      <c r="E15024">
        <f t="shared" si="704"/>
        <v>1.6393442622950821E-2</v>
      </c>
      <c r="F15024">
        <v>195</v>
      </c>
      <c r="G15024">
        <f>LOG(382/(195+1))</f>
        <v>0.28980729155523272</v>
      </c>
      <c r="H15024">
        <f>0.0163934426229508*0.667305949376058</f>
        <v>1.0939441793050118E-2</v>
      </c>
      <c r="I15024">
        <v>1.093944179305013E-2</v>
      </c>
    </row>
    <row r="15025" spans="1:9" x14ac:dyDescent="0.25">
      <c r="A15025">
        <v>498</v>
      </c>
      <c r="B15025" t="s">
        <v>4028</v>
      </c>
      <c r="C15025" t="s">
        <v>75</v>
      </c>
      <c r="D15025" t="s">
        <v>767</v>
      </c>
      <c r="E15025">
        <f t="shared" si="704"/>
        <v>1.6393442622950821E-2</v>
      </c>
      <c r="F15025">
        <v>47</v>
      </c>
      <c r="G15025">
        <f>LOG(382/(47+1))</f>
        <v>0.90082212553612151</v>
      </c>
      <c r="H15025">
        <f>0.0163934426229508*2.07421959769868</f>
        <v>3.4003599962273402E-2</v>
      </c>
      <c r="I15025">
        <v>3.4003599962273513E-2</v>
      </c>
    </row>
    <row r="15026" spans="1:9" x14ac:dyDescent="0.25">
      <c r="A15026">
        <v>498</v>
      </c>
      <c r="B15026" t="s">
        <v>4028</v>
      </c>
      <c r="C15026" t="s">
        <v>75</v>
      </c>
      <c r="D15026" t="s">
        <v>256</v>
      </c>
      <c r="E15026">
        <f t="shared" si="704"/>
        <v>1.6393442622950821E-2</v>
      </c>
      <c r="F15026">
        <v>28</v>
      </c>
      <c r="G15026">
        <f>LOG(382/(28+1))</f>
        <v>1.1196653650127526</v>
      </c>
      <c r="H15026">
        <f>0.0163934426229508*2.5781247786201</f>
        <v>4.2264340633116342E-2</v>
      </c>
      <c r="I15026">
        <v>4.2264340633116411E-2</v>
      </c>
    </row>
    <row r="15027" spans="1:9" x14ac:dyDescent="0.25">
      <c r="A15027">
        <v>498</v>
      </c>
      <c r="B15027" t="s">
        <v>4028</v>
      </c>
      <c r="C15027" t="s">
        <v>75</v>
      </c>
      <c r="D15027" t="s">
        <v>2193</v>
      </c>
      <c r="E15027">
        <f t="shared" si="704"/>
        <v>1.6393442622950821E-2</v>
      </c>
      <c r="F15027">
        <v>4</v>
      </c>
      <c r="G15027">
        <f>LOG(382/(4+1))</f>
        <v>1.8830933585756899</v>
      </c>
      <c r="H15027">
        <f>0.0163934426229508*4.33598269617247</f>
        <v>7.1081683543810906E-2</v>
      </c>
      <c r="I15027">
        <v>7.1081683543811072E-2</v>
      </c>
    </row>
    <row r="15028" spans="1:9" x14ac:dyDescent="0.25">
      <c r="A15028">
        <v>499</v>
      </c>
      <c r="B15028" t="s">
        <v>4036</v>
      </c>
      <c r="C15028" t="s">
        <v>75</v>
      </c>
      <c r="D15028" t="s">
        <v>2554</v>
      </c>
      <c r="E15028">
        <f t="shared" ref="E15028:E15038" si="705">1/11</f>
        <v>9.0909090909090912E-2</v>
      </c>
      <c r="F15028">
        <v>22</v>
      </c>
      <c r="G15028">
        <f>LOG(382/(22+1))</f>
        <v>1.2203355268941158</v>
      </c>
      <c r="H15028">
        <f>0.0909090909090909*2.80992639267742</f>
        <v>0.25544785387976543</v>
      </c>
      <c r="I15028">
        <v>0.25544785387976598</v>
      </c>
    </row>
    <row r="15029" spans="1:9" x14ac:dyDescent="0.25">
      <c r="A15029">
        <v>499</v>
      </c>
      <c r="B15029" t="s">
        <v>4036</v>
      </c>
      <c r="C15029" t="s">
        <v>75</v>
      </c>
      <c r="D15029" t="s">
        <v>2238</v>
      </c>
      <c r="E15029">
        <f t="shared" si="705"/>
        <v>9.0909090909090912E-2</v>
      </c>
      <c r="F15029">
        <v>68</v>
      </c>
      <c r="G15029">
        <f>LOG(382/(68+1))</f>
        <v>0.74321427217445335</v>
      </c>
      <c r="H15029">
        <f>0.0909090909090909*1.71131410400931</f>
        <v>0.15557400945539179</v>
      </c>
      <c r="I15029">
        <v>0.15557400945539229</v>
      </c>
    </row>
    <row r="15030" spans="1:9" x14ac:dyDescent="0.25">
      <c r="A15030">
        <v>499</v>
      </c>
      <c r="B15030" t="s">
        <v>4036</v>
      </c>
      <c r="C15030" t="s">
        <v>75</v>
      </c>
      <c r="D15030" t="s">
        <v>216</v>
      </c>
      <c r="E15030">
        <f t="shared" si="705"/>
        <v>9.0909090909090912E-2</v>
      </c>
      <c r="F15030">
        <v>63</v>
      </c>
      <c r="G15030">
        <f>LOG(382/(63+1))</f>
        <v>0.7758833889278216</v>
      </c>
      <c r="H15030">
        <f>0.0909090909090909*1.7865375252469</f>
        <v>0.16241250229517271</v>
      </c>
      <c r="I15030">
        <v>0.16241250229517301</v>
      </c>
    </row>
    <row r="15031" spans="1:9" x14ac:dyDescent="0.25">
      <c r="A15031">
        <v>499</v>
      </c>
      <c r="B15031" t="s">
        <v>4036</v>
      </c>
      <c r="C15031" t="s">
        <v>75</v>
      </c>
      <c r="D15031" t="s">
        <v>4037</v>
      </c>
      <c r="E15031">
        <f t="shared" si="705"/>
        <v>9.0909090909090912E-2</v>
      </c>
      <c r="F15031">
        <v>1</v>
      </c>
      <c r="G15031">
        <f>LOG(382/(1+1))</f>
        <v>2.2810333672477277</v>
      </c>
      <c r="H15031">
        <f>0.0909090909090909*5.25227342804663</f>
        <v>0.47747940254969357</v>
      </c>
      <c r="I15031">
        <v>0.47747940254969362</v>
      </c>
    </row>
    <row r="15032" spans="1:9" x14ac:dyDescent="0.25">
      <c r="A15032">
        <v>499</v>
      </c>
      <c r="B15032" t="s">
        <v>4036</v>
      </c>
      <c r="C15032" t="s">
        <v>75</v>
      </c>
      <c r="D15032" t="s">
        <v>4038</v>
      </c>
      <c r="E15032">
        <f t="shared" si="705"/>
        <v>9.0909090909090912E-2</v>
      </c>
      <c r="F15032">
        <v>1</v>
      </c>
      <c r="G15032">
        <f>LOG(382/(1+1))</f>
        <v>2.2810333672477277</v>
      </c>
      <c r="H15032">
        <f>0.0909090909090909*5.25227342804663</f>
        <v>0.47747940254969357</v>
      </c>
      <c r="I15032">
        <v>0.47747940254969362</v>
      </c>
    </row>
    <row r="15033" spans="1:9" x14ac:dyDescent="0.25">
      <c r="A15033">
        <v>499</v>
      </c>
      <c r="B15033" t="s">
        <v>4036</v>
      </c>
      <c r="C15033" t="s">
        <v>75</v>
      </c>
      <c r="D15033" t="s">
        <v>1080</v>
      </c>
      <c r="E15033">
        <f t="shared" si="705"/>
        <v>9.0909090909090912E-2</v>
      </c>
      <c r="F15033">
        <v>26</v>
      </c>
      <c r="G15033">
        <f>LOG(382/(26+1))</f>
        <v>1.1506995987527215</v>
      </c>
      <c r="H15033">
        <f>0.0909090909090909*2.64958374260224</f>
        <v>0.24087124932747633</v>
      </c>
      <c r="I15033">
        <v>0.24087124932747689</v>
      </c>
    </row>
    <row r="15034" spans="1:9" x14ac:dyDescent="0.25">
      <c r="A15034">
        <v>499</v>
      </c>
      <c r="B15034" t="s">
        <v>4036</v>
      </c>
      <c r="C15034" t="s">
        <v>75</v>
      </c>
      <c r="D15034" t="s">
        <v>4039</v>
      </c>
      <c r="E15034">
        <f t="shared" si="705"/>
        <v>9.0909090909090912E-2</v>
      </c>
      <c r="F15034">
        <v>1</v>
      </c>
      <c r="G15034">
        <f>LOG(382/(1+1))</f>
        <v>2.2810333672477277</v>
      </c>
      <c r="H15034">
        <f>0.0909090909090909*5.25227342804663</f>
        <v>0.47747940254969357</v>
      </c>
      <c r="I15034">
        <v>0.47747940254969362</v>
      </c>
    </row>
    <row r="15035" spans="1:9" x14ac:dyDescent="0.25">
      <c r="A15035">
        <v>499</v>
      </c>
      <c r="B15035" t="s">
        <v>4036</v>
      </c>
      <c r="C15035" t="s">
        <v>75</v>
      </c>
      <c r="D15035" t="s">
        <v>624</v>
      </c>
      <c r="E15035">
        <f t="shared" si="705"/>
        <v>9.0909090909090912E-2</v>
      </c>
      <c r="F15035">
        <v>5</v>
      </c>
      <c r="G15035">
        <f>LOG(382/(5+1))</f>
        <v>1.803912112528065</v>
      </c>
      <c r="H15035">
        <f>0.0909090909090909*4.15366113937852</f>
        <v>0.37760555812531993</v>
      </c>
      <c r="I15035">
        <v>0.37760555812531998</v>
      </c>
    </row>
    <row r="15036" spans="1:9" x14ac:dyDescent="0.25">
      <c r="A15036">
        <v>499</v>
      </c>
      <c r="B15036" t="s">
        <v>4036</v>
      </c>
      <c r="C15036" t="s">
        <v>75</v>
      </c>
      <c r="D15036" t="s">
        <v>1762</v>
      </c>
      <c r="E15036">
        <f t="shared" si="705"/>
        <v>9.0909090909090912E-2</v>
      </c>
      <c r="F15036">
        <v>60</v>
      </c>
      <c r="G15036">
        <f>LOG(382/(60+1))</f>
        <v>0.79673352790094176</v>
      </c>
      <c r="H15036">
        <f>0.0909090909090909*1.83454674443326</f>
        <v>0.16677697676665998</v>
      </c>
      <c r="I15036">
        <v>0.1667769767666604</v>
      </c>
    </row>
    <row r="15037" spans="1:9" x14ac:dyDescent="0.25">
      <c r="A15037">
        <v>499</v>
      </c>
      <c r="B15037" t="s">
        <v>4036</v>
      </c>
      <c r="C15037" t="s">
        <v>75</v>
      </c>
      <c r="D15037" t="s">
        <v>3014</v>
      </c>
      <c r="E15037">
        <f t="shared" si="705"/>
        <v>9.0909090909090912E-2</v>
      </c>
      <c r="F15037">
        <v>11</v>
      </c>
      <c r="G15037">
        <f>LOG(382/(11+1))</f>
        <v>1.5028821168640838</v>
      </c>
      <c r="H15037">
        <f>0.0909090909090909*3.46051395881857</f>
        <v>0.31459217807441542</v>
      </c>
      <c r="I15037">
        <v>0.31459217807441592</v>
      </c>
    </row>
    <row r="15038" spans="1:9" x14ac:dyDescent="0.25">
      <c r="A15038">
        <v>499</v>
      </c>
      <c r="B15038" t="s">
        <v>4036</v>
      </c>
      <c r="C15038" t="s">
        <v>75</v>
      </c>
      <c r="D15038" t="s">
        <v>133</v>
      </c>
      <c r="E15038">
        <f t="shared" si="705"/>
        <v>9.0909090909090912E-2</v>
      </c>
      <c r="F15038">
        <v>142</v>
      </c>
      <c r="G15038">
        <f>LOG(382/(142+1))</f>
        <v>0.42672732544664693</v>
      </c>
      <c r="H15038">
        <f>0.0909090909090909*0.982575978346667</f>
        <v>8.9325088940606076E-2</v>
      </c>
      <c r="I15038">
        <v>8.9325088940606173E-2</v>
      </c>
    </row>
    <row r="15039" spans="1:9" x14ac:dyDescent="0.25">
      <c r="A15039">
        <v>500</v>
      </c>
      <c r="B15039" t="s">
        <v>4040</v>
      </c>
      <c r="C15039" t="s">
        <v>75</v>
      </c>
      <c r="D15039" t="s">
        <v>4041</v>
      </c>
      <c r="E15039">
        <f>3/92</f>
        <v>3.2608695652173912E-2</v>
      </c>
      <c r="F15039">
        <v>1</v>
      </c>
      <c r="G15039">
        <f>LOG(382/(1+1))</f>
        <v>2.2810333672477277</v>
      </c>
      <c r="H15039">
        <f>0.0326086956521739*5.25227342804663</f>
        <v>0.17126978569717263</v>
      </c>
      <c r="I15039">
        <v>0.17126978569717269</v>
      </c>
    </row>
    <row r="15040" spans="1:9" x14ac:dyDescent="0.25">
      <c r="A15040">
        <v>500</v>
      </c>
      <c r="B15040" t="s">
        <v>4040</v>
      </c>
      <c r="C15040" t="s">
        <v>75</v>
      </c>
      <c r="D15040" t="s">
        <v>2257</v>
      </c>
      <c r="E15040">
        <f>3/92</f>
        <v>3.2608695652173912E-2</v>
      </c>
      <c r="F15040">
        <v>11</v>
      </c>
      <c r="G15040">
        <f>LOG(382/(11+1))</f>
        <v>1.5028821168640838</v>
      </c>
      <c r="H15040">
        <f>0.0326086956521739*3.46051395881857</f>
        <v>0.11284284648321419</v>
      </c>
      <c r="I15040">
        <v>0.1128428464832144</v>
      </c>
    </row>
    <row r="15041" spans="1:9" x14ac:dyDescent="0.25">
      <c r="A15041">
        <v>500</v>
      </c>
      <c r="B15041" t="s">
        <v>4040</v>
      </c>
      <c r="C15041" t="s">
        <v>75</v>
      </c>
      <c r="D15041" t="s">
        <v>1224</v>
      </c>
      <c r="E15041">
        <f>3/92</f>
        <v>3.2608695652173912E-2</v>
      </c>
      <c r="F15041">
        <v>11</v>
      </c>
      <c r="G15041">
        <f>LOG(382/(11+1))</f>
        <v>1.5028821168640838</v>
      </c>
      <c r="H15041">
        <f>0.0326086956521739*3.46051395881857</f>
        <v>0.11284284648321419</v>
      </c>
      <c r="I15041">
        <v>0.1128428464832144</v>
      </c>
    </row>
    <row r="15042" spans="1:9" x14ac:dyDescent="0.25">
      <c r="A15042">
        <v>500</v>
      </c>
      <c r="B15042" t="s">
        <v>4040</v>
      </c>
      <c r="C15042" t="s">
        <v>75</v>
      </c>
      <c r="D15042" t="s">
        <v>3057</v>
      </c>
      <c r="E15042">
        <f>3/92</f>
        <v>3.2608695652173912E-2</v>
      </c>
      <c r="F15042">
        <v>7</v>
      </c>
      <c r="G15042">
        <f>LOG(382/(7+1))</f>
        <v>1.6789733759197651</v>
      </c>
      <c r="H15042">
        <f>0.0326086956521739*3.86597906692673</f>
        <v>0.12606453479108898</v>
      </c>
      <c r="I15042">
        <v>0.12606453479108931</v>
      </c>
    </row>
    <row r="15043" spans="1:9" x14ac:dyDescent="0.25">
      <c r="A15043">
        <v>500</v>
      </c>
      <c r="B15043" t="s">
        <v>4040</v>
      </c>
      <c r="C15043" t="s">
        <v>75</v>
      </c>
      <c r="D15043" t="s">
        <v>1537</v>
      </c>
      <c r="E15043">
        <f>1/92</f>
        <v>1.0869565217391304E-2</v>
      </c>
      <c r="F15043">
        <v>80</v>
      </c>
      <c r="G15043">
        <f>LOG(382/(80+1))</f>
        <v>0.67357834403305894</v>
      </c>
      <c r="H15043">
        <f>0.0108695652173913*1.55097145393413</f>
        <v>1.6858385368849232E-2</v>
      </c>
      <c r="I15043">
        <v>1.6858385368849309E-2</v>
      </c>
    </row>
    <row r="15044" spans="1:9" x14ac:dyDescent="0.25">
      <c r="A15044">
        <v>500</v>
      </c>
      <c r="B15044" t="s">
        <v>4040</v>
      </c>
      <c r="C15044" t="s">
        <v>75</v>
      </c>
      <c r="D15044" t="s">
        <v>2554</v>
      </c>
      <c r="E15044">
        <f>2/92</f>
        <v>2.1739130434782608E-2</v>
      </c>
      <c r="F15044">
        <v>22</v>
      </c>
      <c r="G15044">
        <f>LOG(382/(22+1))</f>
        <v>1.2203355268941158</v>
      </c>
      <c r="H15044">
        <f>0.0217391304347826*2.80992639267742</f>
        <v>6.1085356362552586E-2</v>
      </c>
      <c r="I15044">
        <v>6.1085356362552731E-2</v>
      </c>
    </row>
    <row r="15045" spans="1:9" x14ac:dyDescent="0.25">
      <c r="A15045">
        <v>500</v>
      </c>
      <c r="B15045" t="s">
        <v>4040</v>
      </c>
      <c r="C15045" t="s">
        <v>75</v>
      </c>
      <c r="D15045" t="s">
        <v>42</v>
      </c>
      <c r="E15045">
        <f>1/92</f>
        <v>1.0869565217391304E-2</v>
      </c>
      <c r="F15045">
        <v>251</v>
      </c>
      <c r="G15045">
        <f>LOG(382/(251+1))</f>
        <v>0.18066282213016463</v>
      </c>
      <c r="H15045">
        <f>0.0108695652173913*0.415991521095151</f>
        <v>4.5216469684255522E-3</v>
      </c>
      <c r="I15045">
        <v>4.5216469684255644E-3</v>
      </c>
    </row>
    <row r="15046" spans="1:9" x14ac:dyDescent="0.25">
      <c r="A15046">
        <v>500</v>
      </c>
      <c r="B15046" t="s">
        <v>4040</v>
      </c>
      <c r="C15046" t="s">
        <v>75</v>
      </c>
      <c r="D15046" t="s">
        <v>1496</v>
      </c>
      <c r="E15046">
        <f>1/92</f>
        <v>1.0869565217391304E-2</v>
      </c>
      <c r="F15046">
        <v>39</v>
      </c>
      <c r="G15046">
        <f>LOG(382/(39+1))</f>
        <v>0.9800033715837464</v>
      </c>
      <c r="H15046">
        <f>0.0108695652173913*2.25654115449263</f>
        <v>2.4527621244485102E-2</v>
      </c>
      <c r="I15046">
        <v>2.4527621244485209E-2</v>
      </c>
    </row>
    <row r="15047" spans="1:9" x14ac:dyDescent="0.25">
      <c r="A15047">
        <v>500</v>
      </c>
      <c r="B15047" t="s">
        <v>4040</v>
      </c>
      <c r="C15047" t="s">
        <v>75</v>
      </c>
      <c r="D15047" t="s">
        <v>3644</v>
      </c>
      <c r="E15047">
        <f>1/92</f>
        <v>1.0869565217391304E-2</v>
      </c>
      <c r="F15047">
        <v>4</v>
      </c>
      <c r="G15047">
        <f>LOG(382/(4+1))</f>
        <v>1.8830933585756899</v>
      </c>
      <c r="H15047">
        <f>0.0108695652173913*4.33598269617247</f>
        <v>4.7130246697526836E-2</v>
      </c>
      <c r="I15047">
        <v>4.7130246697526898E-2</v>
      </c>
    </row>
    <row r="15048" spans="1:9" x14ac:dyDescent="0.25">
      <c r="A15048">
        <v>500</v>
      </c>
      <c r="B15048" t="s">
        <v>4040</v>
      </c>
      <c r="C15048" t="s">
        <v>75</v>
      </c>
      <c r="D15048" t="s">
        <v>3899</v>
      </c>
      <c r="E15048">
        <f>1/92</f>
        <v>1.0869565217391304E-2</v>
      </c>
      <c r="F15048">
        <v>3</v>
      </c>
      <c r="G15048">
        <f>LOG(382/(3+1))</f>
        <v>1.9800033715837464</v>
      </c>
      <c r="H15048">
        <f>0.0108695652173913*4.55912624748668</f>
        <v>4.9555720081376937E-2</v>
      </c>
      <c r="I15048">
        <v>4.9555720081377007E-2</v>
      </c>
    </row>
    <row r="15049" spans="1:9" x14ac:dyDescent="0.25">
      <c r="A15049">
        <v>500</v>
      </c>
      <c r="B15049" t="s">
        <v>4040</v>
      </c>
      <c r="C15049" t="s">
        <v>75</v>
      </c>
      <c r="D15049" t="s">
        <v>168</v>
      </c>
      <c r="E15049">
        <f>4/92</f>
        <v>4.3478260869565216E-2</v>
      </c>
      <c r="F15049">
        <v>34</v>
      </c>
      <c r="G15049">
        <f>LOG(382/(34+1))</f>
        <v>1.037995318561433</v>
      </c>
      <c r="H15049">
        <f>0.0434782608695652*2.39007254711716</f>
        <v>0.10391619770074605</v>
      </c>
      <c r="I15049">
        <v>0.1039161977007461</v>
      </c>
    </row>
    <row r="15050" spans="1:9" x14ac:dyDescent="0.25">
      <c r="A15050">
        <v>500</v>
      </c>
      <c r="B15050" t="s">
        <v>4040</v>
      </c>
      <c r="C15050" t="s">
        <v>75</v>
      </c>
      <c r="D15050" t="s">
        <v>183</v>
      </c>
      <c r="E15050">
        <f>2/92</f>
        <v>2.1739130434782608E-2</v>
      </c>
      <c r="F15050">
        <v>46</v>
      </c>
      <c r="G15050">
        <f>LOG(382/(46+1))</f>
        <v>0.90996550497599127</v>
      </c>
      <c r="H15050">
        <f>0.0217391304347826*2.09527300689651</f>
        <v>4.5549413193402381E-2</v>
      </c>
      <c r="I15050">
        <v>4.5549413193402527E-2</v>
      </c>
    </row>
    <row r="15051" spans="1:9" x14ac:dyDescent="0.25">
      <c r="A15051">
        <v>500</v>
      </c>
      <c r="B15051" t="s">
        <v>4040</v>
      </c>
      <c r="C15051" t="s">
        <v>75</v>
      </c>
      <c r="D15051" t="s">
        <v>204</v>
      </c>
      <c r="E15051">
        <f>2/92</f>
        <v>2.1739130434782608E-2</v>
      </c>
      <c r="F15051">
        <v>166</v>
      </c>
      <c r="G15051">
        <f>LOG(382/(166+1))</f>
        <v>0.35934689176412549</v>
      </c>
      <c r="H15051">
        <f>0.0217391304347826*0.82742679618982</f>
        <v>1.7987539047604775E-2</v>
      </c>
      <c r="I15051">
        <v>1.7987539047604788E-2</v>
      </c>
    </row>
    <row r="15052" spans="1:9" x14ac:dyDescent="0.25">
      <c r="A15052">
        <v>500</v>
      </c>
      <c r="B15052" t="s">
        <v>4040</v>
      </c>
      <c r="C15052" t="s">
        <v>75</v>
      </c>
      <c r="D15052" t="s">
        <v>331</v>
      </c>
      <c r="E15052">
        <f>3/92</f>
        <v>3.2608695652173912E-2</v>
      </c>
      <c r="F15052">
        <v>130</v>
      </c>
      <c r="G15052">
        <f>LOG(382/(130+1))</f>
        <v>0.46479206725594452</v>
      </c>
      <c r="H15052">
        <f>0.0326086956521739*1.07022328540542</f>
        <v>3.4898585393654986E-2</v>
      </c>
      <c r="I15052">
        <v>3.4898585393655118E-2</v>
      </c>
    </row>
    <row r="15053" spans="1:9" x14ac:dyDescent="0.25">
      <c r="A15053">
        <v>500</v>
      </c>
      <c r="B15053" t="s">
        <v>4040</v>
      </c>
      <c r="C15053" t="s">
        <v>75</v>
      </c>
      <c r="D15053" t="s">
        <v>3633</v>
      </c>
      <c r="E15053">
        <f>1/92</f>
        <v>1.0869565217391304E-2</v>
      </c>
      <c r="F15053">
        <v>6</v>
      </c>
      <c r="G15053">
        <f>LOG(382/(6+1))</f>
        <v>1.736965322897452</v>
      </c>
      <c r="H15053">
        <f>0.0108695652173913*3.99951045955126</f>
        <v>4.3472939777731069E-2</v>
      </c>
      <c r="I15053">
        <v>4.3472939777731097E-2</v>
      </c>
    </row>
    <row r="15054" spans="1:9" x14ac:dyDescent="0.25">
      <c r="A15054">
        <v>500</v>
      </c>
      <c r="B15054" t="s">
        <v>4040</v>
      </c>
      <c r="C15054" t="s">
        <v>75</v>
      </c>
      <c r="D15054" t="s">
        <v>363</v>
      </c>
      <c r="E15054">
        <f>1/92</f>
        <v>1.0869565217391304E-2</v>
      </c>
      <c r="F15054">
        <v>36</v>
      </c>
      <c r="G15054">
        <f>LOG(382/(36+1))</f>
        <v>1.0138616388447137</v>
      </c>
      <c r="H15054">
        <f>0.0108695652173913*2.33450269596235</f>
        <v>2.537502930393858E-2</v>
      </c>
      <c r="I15054">
        <v>2.53750293039386E-2</v>
      </c>
    </row>
    <row r="15055" spans="1:9" x14ac:dyDescent="0.25">
      <c r="A15055">
        <v>500</v>
      </c>
      <c r="B15055" t="s">
        <v>4040</v>
      </c>
      <c r="C15055" t="s">
        <v>75</v>
      </c>
      <c r="D15055" t="s">
        <v>76</v>
      </c>
      <c r="E15055">
        <f>1/92</f>
        <v>1.0869565217391304E-2</v>
      </c>
      <c r="F15055">
        <v>140</v>
      </c>
      <c r="G15055">
        <f>LOG(382/(140+1))</f>
        <v>0.43284425025632883</v>
      </c>
      <c r="H15055">
        <f>0.0108695652173913*0.996660718228407</f>
        <v>1.0833268676395724E-2</v>
      </c>
      <c r="I15055">
        <v>1.0833268676395729E-2</v>
      </c>
    </row>
    <row r="15056" spans="1:9" x14ac:dyDescent="0.25">
      <c r="A15056">
        <v>500</v>
      </c>
      <c r="B15056" t="s">
        <v>4040</v>
      </c>
      <c r="C15056" t="s">
        <v>75</v>
      </c>
      <c r="D15056" t="s">
        <v>77</v>
      </c>
      <c r="E15056">
        <f>2/92</f>
        <v>2.1739130434782608E-2</v>
      </c>
      <c r="F15056">
        <v>148</v>
      </c>
      <c r="G15056">
        <f>LOG(382/(148+1))</f>
        <v>0.40887709449943471</v>
      </c>
      <c r="H15056">
        <f>0.0217391304347826*0.941474302661116</f>
        <v>2.0466832666545993E-2</v>
      </c>
      <c r="I15056">
        <v>2.0466832666546E-2</v>
      </c>
    </row>
    <row r="15057" spans="1:9" x14ac:dyDescent="0.25">
      <c r="A15057">
        <v>500</v>
      </c>
      <c r="B15057" t="s">
        <v>4040</v>
      </c>
      <c r="C15057" t="s">
        <v>75</v>
      </c>
      <c r="D15057" t="s">
        <v>126</v>
      </c>
      <c r="E15057">
        <f>2/92</f>
        <v>2.1739130434782608E-2</v>
      </c>
      <c r="F15057">
        <v>79</v>
      </c>
      <c r="G15057">
        <f>LOG(382/(79+1))</f>
        <v>0.67897337591976514</v>
      </c>
      <c r="H15057">
        <f>0.0217391304347826*1.56339397393269</f>
        <v>3.3986825520275862E-2</v>
      </c>
      <c r="I15057">
        <v>3.3986825520275953E-2</v>
      </c>
    </row>
    <row r="15058" spans="1:9" x14ac:dyDescent="0.25">
      <c r="A15058">
        <v>500</v>
      </c>
      <c r="B15058" t="s">
        <v>4040</v>
      </c>
      <c r="C15058" t="s">
        <v>75</v>
      </c>
      <c r="D15058" t="s">
        <v>994</v>
      </c>
      <c r="E15058">
        <f>1/92</f>
        <v>1.0869565217391304E-2</v>
      </c>
      <c r="F15058">
        <v>37</v>
      </c>
      <c r="G15058">
        <f>LOG(382/(37+1))</f>
        <v>1.0022797662948986</v>
      </c>
      <c r="H15058">
        <f>0.0108695652173913*2.30783444888018</f>
        <v>2.5085157053045426E-2</v>
      </c>
      <c r="I15058">
        <v>2.508515705304553E-2</v>
      </c>
    </row>
    <row r="15059" spans="1:9" x14ac:dyDescent="0.25">
      <c r="A15059">
        <v>500</v>
      </c>
      <c r="B15059" t="s">
        <v>4040</v>
      </c>
      <c r="C15059" t="s">
        <v>75</v>
      </c>
      <c r="D15059" t="s">
        <v>34</v>
      </c>
      <c r="E15059">
        <f>1/92</f>
        <v>1.0869565217391304E-2</v>
      </c>
      <c r="F15059">
        <v>11</v>
      </c>
      <c r="G15059">
        <f>LOG(382/(11+1))</f>
        <v>1.5028821168640838</v>
      </c>
      <c r="H15059">
        <f>0.0108695652173913*3.46051395881857</f>
        <v>3.7614282161071398E-2</v>
      </c>
      <c r="I15059">
        <v>3.7614282161071468E-2</v>
      </c>
    </row>
    <row r="15060" spans="1:9" x14ac:dyDescent="0.25">
      <c r="A15060">
        <v>500</v>
      </c>
      <c r="B15060" t="s">
        <v>4040</v>
      </c>
      <c r="C15060" t="s">
        <v>75</v>
      </c>
      <c r="D15060" t="s">
        <v>1083</v>
      </c>
      <c r="E15060">
        <f>2/92</f>
        <v>2.1739130434782608E-2</v>
      </c>
      <c r="F15060">
        <v>51</v>
      </c>
      <c r="G15060">
        <f>LOG(382/(51+1))</f>
        <v>0.86606001927690957</v>
      </c>
      <c r="H15060">
        <f>0.0217391304347826*1.99417689002514</f>
        <v>4.335167152228564E-2</v>
      </c>
      <c r="I15060">
        <v>4.335167152228582E-2</v>
      </c>
    </row>
    <row r="15061" spans="1:9" x14ac:dyDescent="0.25">
      <c r="A15061">
        <v>500</v>
      </c>
      <c r="B15061" t="s">
        <v>4040</v>
      </c>
      <c r="C15061" t="s">
        <v>75</v>
      </c>
      <c r="D15061" t="s">
        <v>133</v>
      </c>
      <c r="E15061">
        <f>3/92</f>
        <v>3.2608695652173912E-2</v>
      </c>
      <c r="F15061">
        <v>142</v>
      </c>
      <c r="G15061">
        <f>LOG(382/(142+1))</f>
        <v>0.42672732544664693</v>
      </c>
      <c r="H15061">
        <f>0.0326086956521739*0.982575978346667</f>
        <v>3.2040521033043473E-2</v>
      </c>
      <c r="I15061">
        <v>3.2040521033043508E-2</v>
      </c>
    </row>
    <row r="15062" spans="1:9" x14ac:dyDescent="0.25">
      <c r="A15062">
        <v>500</v>
      </c>
      <c r="B15062" t="s">
        <v>4040</v>
      </c>
      <c r="C15062" t="s">
        <v>75</v>
      </c>
      <c r="D15062" t="s">
        <v>1769</v>
      </c>
      <c r="E15062">
        <f>1/92</f>
        <v>1.0869565217391304E-2</v>
      </c>
      <c r="F15062">
        <v>84</v>
      </c>
      <c r="G15062">
        <f>LOG(382/(84+1))</f>
        <v>0.65264443719741605</v>
      </c>
      <c r="H15062">
        <f>0.0108695652173913*1.50276935211625</f>
        <v>1.6334449479524449E-2</v>
      </c>
      <c r="I15062">
        <v>1.6334449479524549E-2</v>
      </c>
    </row>
    <row r="15063" spans="1:9" x14ac:dyDescent="0.25">
      <c r="A15063">
        <v>500</v>
      </c>
      <c r="B15063" t="s">
        <v>4040</v>
      </c>
      <c r="C15063" t="s">
        <v>75</v>
      </c>
      <c r="D15063" t="s">
        <v>1546</v>
      </c>
      <c r="E15063">
        <f>2/92</f>
        <v>2.1739130434782608E-2</v>
      </c>
      <c r="F15063">
        <v>44</v>
      </c>
      <c r="G15063">
        <f>LOG(382/(44+1))</f>
        <v>0.92885084913636506</v>
      </c>
      <c r="H15063">
        <f>0.0217391304347826*2.13875811883625</f>
        <v>4.64947417138315E-2</v>
      </c>
      <c r="I15063">
        <v>4.6494741713831632E-2</v>
      </c>
    </row>
    <row r="15064" spans="1:9" x14ac:dyDescent="0.25">
      <c r="A15064">
        <v>500</v>
      </c>
      <c r="B15064" t="s">
        <v>4040</v>
      </c>
      <c r="C15064" t="s">
        <v>75</v>
      </c>
      <c r="D15064" t="s">
        <v>78</v>
      </c>
      <c r="E15064">
        <f>3/92</f>
        <v>3.2608695652173912E-2</v>
      </c>
      <c r="F15064">
        <v>122</v>
      </c>
      <c r="G15064">
        <f>LOG(382/(122+1))</f>
        <v>0.49215825147231079</v>
      </c>
      <c r="H15064">
        <f>0.0326086956521739*1.13323625323415</f>
        <v>3.6953356083722265E-2</v>
      </c>
      <c r="I15064">
        <v>3.6953356083722529E-2</v>
      </c>
    </row>
    <row r="15065" spans="1:9" x14ac:dyDescent="0.25">
      <c r="A15065">
        <v>500</v>
      </c>
      <c r="B15065" t="s">
        <v>4040</v>
      </c>
      <c r="C15065" t="s">
        <v>75</v>
      </c>
      <c r="D15065" t="s">
        <v>754</v>
      </c>
      <c r="E15065">
        <f t="shared" ref="E15065:E15075" si="706">1/92</f>
        <v>1.0869565217391304E-2</v>
      </c>
      <c r="F15065">
        <v>111</v>
      </c>
      <c r="G15065">
        <f>LOG(382/(111+1))</f>
        <v>0.53284534024152708</v>
      </c>
      <c r="H15065">
        <f>0.0108695652173913*1.22692173731148</f>
        <v>1.333610584034217E-2</v>
      </c>
      <c r="I15065">
        <v>1.333610584034218E-2</v>
      </c>
    </row>
    <row r="15066" spans="1:9" x14ac:dyDescent="0.25">
      <c r="A15066">
        <v>500</v>
      </c>
      <c r="B15066" t="s">
        <v>4040</v>
      </c>
      <c r="C15066" t="s">
        <v>75</v>
      </c>
      <c r="D15066" t="s">
        <v>1714</v>
      </c>
      <c r="E15066">
        <f t="shared" si="706"/>
        <v>1.0869565217391304E-2</v>
      </c>
      <c r="F15066">
        <v>9</v>
      </c>
      <c r="G15066">
        <f>LOG(382/(9+1))</f>
        <v>1.5820633629117087</v>
      </c>
      <c r="H15066">
        <f>0.0108695652173913*3.64283551561252</f>
        <v>3.959603821317955E-2</v>
      </c>
      <c r="I15066">
        <v>3.9596038213179668E-2</v>
      </c>
    </row>
    <row r="15067" spans="1:9" x14ac:dyDescent="0.25">
      <c r="A15067">
        <v>500</v>
      </c>
      <c r="B15067" t="s">
        <v>4040</v>
      </c>
      <c r="C15067" t="s">
        <v>75</v>
      </c>
      <c r="D15067" t="s">
        <v>3015</v>
      </c>
      <c r="E15067">
        <f t="shared" si="706"/>
        <v>1.0869565217391304E-2</v>
      </c>
      <c r="F15067">
        <v>9</v>
      </c>
      <c r="G15067">
        <f>LOG(382/(9+1))</f>
        <v>1.5820633629117087</v>
      </c>
      <c r="H15067">
        <f>0.0108695652173913*3.64283551561252</f>
        <v>3.959603821317955E-2</v>
      </c>
      <c r="I15067">
        <v>3.9596038213179668E-2</v>
      </c>
    </row>
    <row r="15068" spans="1:9" x14ac:dyDescent="0.25">
      <c r="A15068">
        <v>500</v>
      </c>
      <c r="B15068" t="s">
        <v>4040</v>
      </c>
      <c r="C15068" t="s">
        <v>75</v>
      </c>
      <c r="D15068" t="s">
        <v>764</v>
      </c>
      <c r="E15068">
        <f t="shared" si="706"/>
        <v>1.0869565217391304E-2</v>
      </c>
      <c r="F15068">
        <v>57</v>
      </c>
      <c r="G15068">
        <f>LOG(382/(57+1))</f>
        <v>0.81863536934877146</v>
      </c>
      <c r="H15068">
        <f>0.0108695652173913*1.88497759806015</f>
        <v>2.0488886935436407E-2</v>
      </c>
      <c r="I15068">
        <v>2.048888693543648E-2</v>
      </c>
    </row>
    <row r="15069" spans="1:9" x14ac:dyDescent="0.25">
      <c r="A15069">
        <v>500</v>
      </c>
      <c r="B15069" t="s">
        <v>4040</v>
      </c>
      <c r="C15069" t="s">
        <v>75</v>
      </c>
      <c r="D15069" t="s">
        <v>238</v>
      </c>
      <c r="E15069">
        <f t="shared" si="706"/>
        <v>1.0869565217391304E-2</v>
      </c>
      <c r="F15069">
        <v>10</v>
      </c>
      <c r="G15069">
        <f>LOG(382/(10+1))</f>
        <v>1.5406706777534838</v>
      </c>
      <c r="H15069">
        <f>0.0108695652173913*3.5475253358082</f>
        <v>3.8560057997915204E-2</v>
      </c>
      <c r="I15069">
        <v>3.8560057997915273E-2</v>
      </c>
    </row>
    <row r="15070" spans="1:9" x14ac:dyDescent="0.25">
      <c r="A15070">
        <v>500</v>
      </c>
      <c r="B15070" t="s">
        <v>4040</v>
      </c>
      <c r="C15070" t="s">
        <v>75</v>
      </c>
      <c r="D15070" t="s">
        <v>2220</v>
      </c>
      <c r="E15070">
        <f t="shared" si="706"/>
        <v>1.0869565217391304E-2</v>
      </c>
      <c r="F15070">
        <v>21</v>
      </c>
      <c r="G15070">
        <f>LOG(382/(21+1))</f>
        <v>1.2396406820895025</v>
      </c>
      <c r="H15070">
        <f>0.0108695652173913*2.85437815524825</f>
        <v>3.1025849513567922E-2</v>
      </c>
      <c r="I15070">
        <v>3.102584951356803E-2</v>
      </c>
    </row>
    <row r="15071" spans="1:9" x14ac:dyDescent="0.25">
      <c r="A15071">
        <v>500</v>
      </c>
      <c r="B15071" t="s">
        <v>4040</v>
      </c>
      <c r="C15071" t="s">
        <v>75</v>
      </c>
      <c r="D15071" t="s">
        <v>1563</v>
      </c>
      <c r="E15071">
        <f t="shared" si="706"/>
        <v>1.0869565217391304E-2</v>
      </c>
      <c r="F15071">
        <v>3</v>
      </c>
      <c r="G15071">
        <f>LOG(382/(3+1))</f>
        <v>1.9800033715837464</v>
      </c>
      <c r="H15071">
        <f>0.0108695652173913*4.55912624748668</f>
        <v>4.9555720081376937E-2</v>
      </c>
      <c r="I15071">
        <v>4.9555720081377007E-2</v>
      </c>
    </row>
    <row r="15072" spans="1:9" x14ac:dyDescent="0.25">
      <c r="A15072">
        <v>500</v>
      </c>
      <c r="B15072" t="s">
        <v>4040</v>
      </c>
      <c r="C15072" t="s">
        <v>75</v>
      </c>
      <c r="D15072" t="s">
        <v>765</v>
      </c>
      <c r="E15072">
        <f t="shared" si="706"/>
        <v>1.0869565217391304E-2</v>
      </c>
      <c r="F15072">
        <v>44</v>
      </c>
      <c r="G15072">
        <f>LOG(382/(44+1))</f>
        <v>0.92885084913636506</v>
      </c>
      <c r="H15072">
        <f>0.0108695652173913*2.13875811883625</f>
        <v>2.324737085691575E-2</v>
      </c>
      <c r="I15072">
        <v>2.3247370856915819E-2</v>
      </c>
    </row>
    <row r="15073" spans="1:9" x14ac:dyDescent="0.25">
      <c r="A15073">
        <v>500</v>
      </c>
      <c r="B15073" t="s">
        <v>4040</v>
      </c>
      <c r="C15073" t="s">
        <v>75</v>
      </c>
      <c r="D15073" t="s">
        <v>4042</v>
      </c>
      <c r="E15073">
        <f t="shared" si="706"/>
        <v>1.0869565217391304E-2</v>
      </c>
      <c r="F15073">
        <v>1</v>
      </c>
      <c r="G15073">
        <f>LOG(382/(1+1))</f>
        <v>2.2810333672477277</v>
      </c>
      <c r="H15073">
        <f>0.0108695652173913*5.25227342804663</f>
        <v>5.7089928565724216E-2</v>
      </c>
      <c r="I15073">
        <v>5.7089928565724243E-2</v>
      </c>
    </row>
    <row r="15074" spans="1:9" x14ac:dyDescent="0.25">
      <c r="A15074">
        <v>500</v>
      </c>
      <c r="B15074" t="s">
        <v>4040</v>
      </c>
      <c r="C15074" t="s">
        <v>75</v>
      </c>
      <c r="D15074" t="s">
        <v>329</v>
      </c>
      <c r="E15074">
        <f t="shared" si="706"/>
        <v>1.0869565217391304E-2</v>
      </c>
      <c r="F15074">
        <v>9</v>
      </c>
      <c r="G15074">
        <f>LOG(382/(9+1))</f>
        <v>1.5820633629117087</v>
      </c>
      <c r="H15074">
        <f>0.0108695652173913*3.64283551561252</f>
        <v>3.959603821317955E-2</v>
      </c>
      <c r="I15074">
        <v>3.9596038213179668E-2</v>
      </c>
    </row>
    <row r="15075" spans="1:9" x14ac:dyDescent="0.25">
      <c r="A15075">
        <v>500</v>
      </c>
      <c r="B15075" t="s">
        <v>4040</v>
      </c>
      <c r="C15075" t="s">
        <v>75</v>
      </c>
      <c r="D15075" t="s">
        <v>2238</v>
      </c>
      <c r="E15075">
        <f t="shared" si="706"/>
        <v>1.0869565217391304E-2</v>
      </c>
      <c r="F15075">
        <v>68</v>
      </c>
      <c r="G15075">
        <f>LOG(382/(68+1))</f>
        <v>0.74321427217445335</v>
      </c>
      <c r="H15075">
        <f>0.0108695652173913*1.71131410400931</f>
        <v>1.8601240260970753E-2</v>
      </c>
      <c r="I15075">
        <v>1.8601240260970819E-2</v>
      </c>
    </row>
    <row r="15076" spans="1:9" x14ac:dyDescent="0.25">
      <c r="A15076">
        <v>500</v>
      </c>
      <c r="B15076" t="s">
        <v>4040</v>
      </c>
      <c r="C15076" t="s">
        <v>75</v>
      </c>
      <c r="D15076" t="s">
        <v>362</v>
      </c>
      <c r="E15076">
        <f>2/92</f>
        <v>2.1739130434782608E-2</v>
      </c>
      <c r="F15076">
        <v>81</v>
      </c>
      <c r="G15076">
        <f>LOG(382/(81+1))</f>
        <v>0.66824951052799197</v>
      </c>
      <c r="H15076">
        <f>0.0217391304347826*1.53870136134232</f>
        <v>3.3450029594398245E-2</v>
      </c>
      <c r="I15076">
        <v>3.3450029594398301E-2</v>
      </c>
    </row>
    <row r="15077" spans="1:9" x14ac:dyDescent="0.25">
      <c r="A15077">
        <v>500</v>
      </c>
      <c r="B15077" t="s">
        <v>4040</v>
      </c>
      <c r="C15077" t="s">
        <v>75</v>
      </c>
      <c r="D15077" t="s">
        <v>1125</v>
      </c>
      <c r="E15077">
        <f t="shared" ref="E15077:E15082" si="707">1/92</f>
        <v>1.0869565217391304E-2</v>
      </c>
      <c r="F15077">
        <v>19</v>
      </c>
      <c r="G15077">
        <f>LOG(382/(19+1))</f>
        <v>1.2810333672477277</v>
      </c>
      <c r="H15077">
        <f>0.0108695652173913*2.94968833505258</f>
        <v>3.2061829728832383E-2</v>
      </c>
      <c r="I15077">
        <v>3.2061829728832439E-2</v>
      </c>
    </row>
    <row r="15078" spans="1:9" x14ac:dyDescent="0.25">
      <c r="A15078">
        <v>500</v>
      </c>
      <c r="B15078" t="s">
        <v>4040</v>
      </c>
      <c r="C15078" t="s">
        <v>75</v>
      </c>
      <c r="D15078" t="s">
        <v>716</v>
      </c>
      <c r="E15078">
        <f t="shared" si="707"/>
        <v>1.0869565217391304E-2</v>
      </c>
      <c r="F15078">
        <v>13</v>
      </c>
      <c r="G15078">
        <f>LOG(382/(13+1))</f>
        <v>1.4359353272334707</v>
      </c>
      <c r="H15078">
        <f>0.0108695652173913*3.30636327899131</f>
        <v>3.5938731293383791E-2</v>
      </c>
      <c r="I15078">
        <v>3.5938731293383867E-2</v>
      </c>
    </row>
    <row r="15079" spans="1:9" x14ac:dyDescent="0.25">
      <c r="A15079">
        <v>500</v>
      </c>
      <c r="B15079" t="s">
        <v>4040</v>
      </c>
      <c r="C15079" t="s">
        <v>75</v>
      </c>
      <c r="D15079" t="s">
        <v>82</v>
      </c>
      <c r="E15079">
        <f t="shared" si="707"/>
        <v>1.0869565217391304E-2</v>
      </c>
      <c r="F15079">
        <v>92</v>
      </c>
      <c r="G15079">
        <f>LOG(382/(92+1))</f>
        <v>0.61358041435777355</v>
      </c>
      <c r="H15079">
        <f>0.0108695652173913*1.41282111545331</f>
        <v>1.5356751254927276E-2</v>
      </c>
      <c r="I15079">
        <v>1.535675125492738E-2</v>
      </c>
    </row>
    <row r="15080" spans="1:9" x14ac:dyDescent="0.25">
      <c r="A15080">
        <v>500</v>
      </c>
      <c r="B15080" t="s">
        <v>4040</v>
      </c>
      <c r="C15080" t="s">
        <v>75</v>
      </c>
      <c r="D15080" t="s">
        <v>24</v>
      </c>
      <c r="E15080">
        <f t="shared" si="707"/>
        <v>1.0869565217391304E-2</v>
      </c>
      <c r="F15080">
        <v>59</v>
      </c>
      <c r="G15080">
        <f>LOG(382/(59+1))</f>
        <v>0.80391211252806505</v>
      </c>
      <c r="H15080">
        <f>0.0108695652173913*1.85107604638447</f>
        <v>2.0120391808526841E-2</v>
      </c>
      <c r="I15080">
        <v>2.01203918085269E-2</v>
      </c>
    </row>
    <row r="15081" spans="1:9" x14ac:dyDescent="0.25">
      <c r="A15081">
        <v>500</v>
      </c>
      <c r="B15081" t="s">
        <v>4040</v>
      </c>
      <c r="C15081" t="s">
        <v>75</v>
      </c>
      <c r="D15081" t="s">
        <v>4043</v>
      </c>
      <c r="E15081">
        <f t="shared" si="707"/>
        <v>1.0869565217391304E-2</v>
      </c>
      <c r="F15081">
        <v>2</v>
      </c>
      <c r="G15081">
        <f>LOG(382/(2+1))</f>
        <v>2.1049421081920463</v>
      </c>
      <c r="H15081">
        <f>0.0108695652173913*4.84680831993846</f>
        <v>5.268269912976585E-2</v>
      </c>
      <c r="I15081">
        <v>5.2682699129765927E-2</v>
      </c>
    </row>
    <row r="15082" spans="1:9" x14ac:dyDescent="0.25">
      <c r="A15082">
        <v>500</v>
      </c>
      <c r="B15082" t="s">
        <v>4040</v>
      </c>
      <c r="C15082" t="s">
        <v>75</v>
      </c>
      <c r="D15082" t="s">
        <v>670</v>
      </c>
      <c r="E15082">
        <f t="shared" si="707"/>
        <v>1.0869565217391304E-2</v>
      </c>
      <c r="F15082">
        <v>6</v>
      </c>
      <c r="G15082">
        <f>LOG(382/(6+1))</f>
        <v>1.736965322897452</v>
      </c>
      <c r="H15082">
        <f>0.0108695652173913*3.99951045955126</f>
        <v>4.3472939777731069E-2</v>
      </c>
      <c r="I15082">
        <v>4.3472939777731097E-2</v>
      </c>
    </row>
    <row r="15083" spans="1:9" x14ac:dyDescent="0.25">
      <c r="A15083">
        <v>500</v>
      </c>
      <c r="B15083" t="s">
        <v>4040</v>
      </c>
      <c r="C15083" t="s">
        <v>75</v>
      </c>
      <c r="D15083" t="s">
        <v>746</v>
      </c>
      <c r="E15083">
        <f>2/92</f>
        <v>2.1739130434782608E-2</v>
      </c>
      <c r="F15083">
        <v>58</v>
      </c>
      <c r="G15083">
        <f>LOG(382/(58+1))</f>
        <v>0.81121135126956456</v>
      </c>
      <c r="H15083">
        <f>0.0217391304347826*1.86788316470085</f>
        <v>4.060615575436629E-2</v>
      </c>
      <c r="I15083">
        <v>4.0606155754366421E-2</v>
      </c>
    </row>
    <row r="15084" spans="1:9" x14ac:dyDescent="0.25">
      <c r="A15084">
        <v>500</v>
      </c>
      <c r="B15084" t="s">
        <v>4040</v>
      </c>
      <c r="C15084" t="s">
        <v>75</v>
      </c>
      <c r="D15084" t="s">
        <v>1080</v>
      </c>
      <c r="E15084">
        <f>2/92</f>
        <v>2.1739130434782608E-2</v>
      </c>
      <c r="F15084">
        <v>26</v>
      </c>
      <c r="G15084">
        <f>LOG(382/(26+1))</f>
        <v>1.1506995987527215</v>
      </c>
      <c r="H15084">
        <f>0.0217391304347826*2.64958374260224</f>
        <v>5.7599646578309543E-2</v>
      </c>
      <c r="I15084">
        <v>5.7599646578309703E-2</v>
      </c>
    </row>
    <row r="15085" spans="1:9" x14ac:dyDescent="0.25">
      <c r="A15085">
        <v>500</v>
      </c>
      <c r="B15085" t="s">
        <v>4040</v>
      </c>
      <c r="C15085" t="s">
        <v>75</v>
      </c>
      <c r="D15085" t="s">
        <v>119</v>
      </c>
      <c r="E15085">
        <f t="shared" ref="E15085:E15094" si="708">1/92</f>
        <v>1.0869565217391304E-2</v>
      </c>
      <c r="F15085">
        <v>79</v>
      </c>
      <c r="G15085">
        <f>LOG(382/(79+1))</f>
        <v>0.67897337591976514</v>
      </c>
      <c r="H15085">
        <f>0.0108695652173913*1.56339397393269</f>
        <v>1.6993412760137931E-2</v>
      </c>
      <c r="I15085">
        <v>1.6993412760137969E-2</v>
      </c>
    </row>
    <row r="15086" spans="1:9" x14ac:dyDescent="0.25">
      <c r="A15086">
        <v>500</v>
      </c>
      <c r="B15086" t="s">
        <v>4040</v>
      </c>
      <c r="C15086" t="s">
        <v>75</v>
      </c>
      <c r="D15086" t="s">
        <v>1709</v>
      </c>
      <c r="E15086">
        <f t="shared" si="708"/>
        <v>1.0869565217391304E-2</v>
      </c>
      <c r="F15086">
        <v>21</v>
      </c>
      <c r="G15086">
        <f>LOG(382/(21+1))</f>
        <v>1.2396406820895025</v>
      </c>
      <c r="H15086">
        <f>0.0108695652173913*2.85437815524825</f>
        <v>3.1025849513567922E-2</v>
      </c>
      <c r="I15086">
        <v>3.102584951356803E-2</v>
      </c>
    </row>
    <row r="15087" spans="1:9" x14ac:dyDescent="0.25">
      <c r="A15087">
        <v>500</v>
      </c>
      <c r="B15087" t="s">
        <v>4040</v>
      </c>
      <c r="C15087" t="s">
        <v>75</v>
      </c>
      <c r="D15087" t="s">
        <v>936</v>
      </c>
      <c r="E15087">
        <f t="shared" si="708"/>
        <v>1.0869565217391304E-2</v>
      </c>
      <c r="F15087">
        <v>21</v>
      </c>
      <c r="G15087">
        <f>LOG(382/(21+1))</f>
        <v>1.2396406820895025</v>
      </c>
      <c r="H15087">
        <f>0.0108695652173913*2.85437815524825</f>
        <v>3.1025849513567922E-2</v>
      </c>
      <c r="I15087">
        <v>3.102584951356803E-2</v>
      </c>
    </row>
    <row r="15088" spans="1:9" x14ac:dyDescent="0.25">
      <c r="A15088">
        <v>500</v>
      </c>
      <c r="B15088" t="s">
        <v>4040</v>
      </c>
      <c r="C15088" t="s">
        <v>75</v>
      </c>
      <c r="D15088" t="s">
        <v>79</v>
      </c>
      <c r="E15088">
        <f t="shared" si="708"/>
        <v>1.0869565217391304E-2</v>
      </c>
      <c r="F15088">
        <v>26</v>
      </c>
      <c r="G15088">
        <f>LOG(382/(26+1))</f>
        <v>1.1506995987527215</v>
      </c>
      <c r="H15088">
        <f>0.0108695652173913*2.64958374260224</f>
        <v>2.8799823289154772E-2</v>
      </c>
      <c r="I15088">
        <v>2.8799823289154852E-2</v>
      </c>
    </row>
    <row r="15089" spans="1:9" x14ac:dyDescent="0.25">
      <c r="A15089">
        <v>500</v>
      </c>
      <c r="B15089" t="s">
        <v>4040</v>
      </c>
      <c r="C15089" t="s">
        <v>75</v>
      </c>
      <c r="D15089" t="s">
        <v>4044</v>
      </c>
      <c r="E15089">
        <f t="shared" si="708"/>
        <v>1.0869565217391304E-2</v>
      </c>
      <c r="F15089">
        <v>1</v>
      </c>
      <c r="G15089">
        <f>LOG(382/(1+1))</f>
        <v>2.2810333672477277</v>
      </c>
      <c r="H15089">
        <f>0.0108695652173913*5.25227342804663</f>
        <v>5.7089928565724216E-2</v>
      </c>
      <c r="I15089">
        <v>5.7089928565724243E-2</v>
      </c>
    </row>
    <row r="15090" spans="1:9" x14ac:dyDescent="0.25">
      <c r="A15090">
        <v>500</v>
      </c>
      <c r="B15090" t="s">
        <v>4040</v>
      </c>
      <c r="C15090" t="s">
        <v>75</v>
      </c>
      <c r="D15090" t="s">
        <v>767</v>
      </c>
      <c r="E15090">
        <f t="shared" si="708"/>
        <v>1.0869565217391304E-2</v>
      </c>
      <c r="F15090">
        <v>47</v>
      </c>
      <c r="G15090">
        <f>LOG(382/(47+1))</f>
        <v>0.90082212553612151</v>
      </c>
      <c r="H15090">
        <f>0.0108695652173913*2.07421959769868</f>
        <v>2.2545865192376949E-2</v>
      </c>
      <c r="I15090">
        <v>2.2545865192377001E-2</v>
      </c>
    </row>
    <row r="15091" spans="1:9" x14ac:dyDescent="0.25">
      <c r="A15091">
        <v>500</v>
      </c>
      <c r="B15091" t="s">
        <v>4040</v>
      </c>
      <c r="C15091" t="s">
        <v>75</v>
      </c>
      <c r="D15091" t="s">
        <v>256</v>
      </c>
      <c r="E15091">
        <f t="shared" si="708"/>
        <v>1.0869565217391304E-2</v>
      </c>
      <c r="F15091">
        <v>28</v>
      </c>
      <c r="G15091">
        <f>LOG(382/(28+1))</f>
        <v>1.1196653650127526</v>
      </c>
      <c r="H15091">
        <f>0.0108695652173913*2.5781247786201</f>
        <v>2.8023095419783685E-2</v>
      </c>
      <c r="I15091">
        <v>2.8023095419783709E-2</v>
      </c>
    </row>
    <row r="15092" spans="1:9" x14ac:dyDescent="0.25">
      <c r="A15092">
        <v>500</v>
      </c>
      <c r="B15092" t="s">
        <v>4040</v>
      </c>
      <c r="C15092" t="s">
        <v>75</v>
      </c>
      <c r="D15092" t="s">
        <v>4045</v>
      </c>
      <c r="E15092">
        <f t="shared" si="708"/>
        <v>1.0869565217391304E-2</v>
      </c>
      <c r="F15092">
        <v>1</v>
      </c>
      <c r="G15092">
        <f>LOG(382/(1+1))</f>
        <v>2.2810333672477277</v>
      </c>
      <c r="H15092">
        <f>0.0108695652173913*5.25227342804663</f>
        <v>5.7089928565724216E-2</v>
      </c>
      <c r="I15092">
        <v>5.7089928565724243E-2</v>
      </c>
    </row>
    <row r="15093" spans="1:9" x14ac:dyDescent="0.25">
      <c r="A15093">
        <v>500</v>
      </c>
      <c r="B15093" t="s">
        <v>4040</v>
      </c>
      <c r="C15093" t="s">
        <v>75</v>
      </c>
      <c r="D15093" t="s">
        <v>38</v>
      </c>
      <c r="E15093">
        <f t="shared" si="708"/>
        <v>1.0869565217391304E-2</v>
      </c>
      <c r="F15093">
        <v>86</v>
      </c>
      <c r="G15093">
        <f>LOG(382/(86+1))</f>
        <v>0.64254411029309022</v>
      </c>
      <c r="H15093">
        <f>0.0108695652173913*1.47951248995199</f>
        <v>1.6081657499478146E-2</v>
      </c>
      <c r="I15093">
        <v>1.608165749947817E-2</v>
      </c>
    </row>
    <row r="15094" spans="1:9" x14ac:dyDescent="0.25">
      <c r="A15094">
        <v>500</v>
      </c>
      <c r="B15094" t="s">
        <v>4040</v>
      </c>
      <c r="C15094" t="s">
        <v>75</v>
      </c>
      <c r="D15094" t="s">
        <v>247</v>
      </c>
      <c r="E15094">
        <f t="shared" si="708"/>
        <v>1.0869565217391304E-2</v>
      </c>
      <c r="F15094">
        <v>121</v>
      </c>
      <c r="G15094">
        <f>LOG(382/(121+1))</f>
        <v>0.49570353223696051</v>
      </c>
      <c r="H15094">
        <f>0.0108695652173913*1.14139956387331</f>
        <v>1.2406516998622932E-2</v>
      </c>
      <c r="I15094">
        <v>1.2406516998623029E-2</v>
      </c>
    </row>
    <row r="15095" spans="1:9" x14ac:dyDescent="0.25">
      <c r="A15095">
        <v>500</v>
      </c>
      <c r="B15095" t="s">
        <v>4040</v>
      </c>
      <c r="C15095" t="s">
        <v>75</v>
      </c>
      <c r="D15095" t="s">
        <v>89</v>
      </c>
      <c r="E15095">
        <f>2/92</f>
        <v>2.1739130434782608E-2</v>
      </c>
      <c r="F15095">
        <v>40</v>
      </c>
      <c r="G15095">
        <f>LOG(382/(40+1))</f>
        <v>0.96927950619197323</v>
      </c>
      <c r="H15095">
        <f>0.0217391304347826*2.23184854190226</f>
        <v>4.8518446563092586E-2</v>
      </c>
      <c r="I15095">
        <v>4.8518446563092767E-2</v>
      </c>
    </row>
    <row r="15096" spans="1:9" x14ac:dyDescent="0.25">
      <c r="A15096">
        <v>500</v>
      </c>
      <c r="B15096" t="s">
        <v>4040</v>
      </c>
      <c r="C15096" t="s">
        <v>75</v>
      </c>
      <c r="D15096" t="s">
        <v>1652</v>
      </c>
      <c r="E15096">
        <f t="shared" ref="E15096:E15102" si="709">1/92</f>
        <v>1.0869565217391304E-2</v>
      </c>
      <c r="F15096">
        <v>7</v>
      </c>
      <c r="G15096">
        <f>LOG(382/(7+1))</f>
        <v>1.6789733759197651</v>
      </c>
      <c r="H15096">
        <f>0.0108695652173913*3.86597906692673</f>
        <v>4.2021511597029659E-2</v>
      </c>
      <c r="I15096">
        <v>4.202151159702977E-2</v>
      </c>
    </row>
    <row r="15097" spans="1:9" x14ac:dyDescent="0.25">
      <c r="A15097">
        <v>500</v>
      </c>
      <c r="B15097" t="s">
        <v>4040</v>
      </c>
      <c r="C15097" t="s">
        <v>75</v>
      </c>
      <c r="D15097" t="s">
        <v>236</v>
      </c>
      <c r="E15097">
        <f t="shared" si="709"/>
        <v>1.0869565217391304E-2</v>
      </c>
      <c r="F15097">
        <v>87</v>
      </c>
      <c r="G15097">
        <f>LOG(382/(87+1))</f>
        <v>0.63758069076154011</v>
      </c>
      <c r="H15097">
        <f>0.0108695652173913*1.46808379412836</f>
        <v>1.5957432544873473E-2</v>
      </c>
      <c r="I15097">
        <v>1.595743254487357E-2</v>
      </c>
    </row>
    <row r="15098" spans="1:9" x14ac:dyDescent="0.25">
      <c r="A15098">
        <v>500</v>
      </c>
      <c r="B15098" t="s">
        <v>4040</v>
      </c>
      <c r="C15098" t="s">
        <v>75</v>
      </c>
      <c r="D15098" t="s">
        <v>310</v>
      </c>
      <c r="E15098">
        <f t="shared" si="709"/>
        <v>1.0869565217391304E-2</v>
      </c>
      <c r="F15098">
        <v>50</v>
      </c>
      <c r="G15098">
        <f>LOG(382/(50+1))</f>
        <v>0.87449318681377242</v>
      </c>
      <c r="H15098">
        <f>0.0108695652173913*2.01359497588224</f>
        <v>2.1886901911763467E-2</v>
      </c>
      <c r="I15098">
        <v>2.1886901911763582E-2</v>
      </c>
    </row>
    <row r="15099" spans="1:9" x14ac:dyDescent="0.25">
      <c r="A15099">
        <v>500</v>
      </c>
      <c r="B15099" t="s">
        <v>4040</v>
      </c>
      <c r="C15099" t="s">
        <v>75</v>
      </c>
      <c r="D15099" t="s">
        <v>2241</v>
      </c>
      <c r="E15099">
        <f t="shared" si="709"/>
        <v>1.0869565217391304E-2</v>
      </c>
      <c r="F15099">
        <v>12</v>
      </c>
      <c r="G15099">
        <f>LOG(382/(12+1))</f>
        <v>1.468120010604872</v>
      </c>
      <c r="H15099">
        <f>0.0108695652173913*3.38047125114503</f>
        <v>3.6744252729837272E-2</v>
      </c>
      <c r="I15099">
        <v>3.6744252729837383E-2</v>
      </c>
    </row>
    <row r="15100" spans="1:9" x14ac:dyDescent="0.25">
      <c r="A15100">
        <v>500</v>
      </c>
      <c r="B15100" t="s">
        <v>4040</v>
      </c>
      <c r="C15100" t="s">
        <v>75</v>
      </c>
      <c r="D15100" t="s">
        <v>436</v>
      </c>
      <c r="E15100">
        <f t="shared" si="709"/>
        <v>1.0869565217391304E-2</v>
      </c>
      <c r="F15100">
        <v>20</v>
      </c>
      <c r="G15100">
        <f>LOG(382/(20+1))</f>
        <v>1.2598440681777894</v>
      </c>
      <c r="H15100">
        <f>0.0108695652173913*2.90089817088315</f>
        <v>3.153150185742553E-2</v>
      </c>
      <c r="I15100">
        <v>3.1531501857425558E-2</v>
      </c>
    </row>
    <row r="15101" spans="1:9" x14ac:dyDescent="0.25">
      <c r="A15101">
        <v>500</v>
      </c>
      <c r="B15101" t="s">
        <v>4040</v>
      </c>
      <c r="C15101" t="s">
        <v>75</v>
      </c>
      <c r="D15101" t="s">
        <v>1748</v>
      </c>
      <c r="E15101">
        <f t="shared" si="709"/>
        <v>1.0869565217391304E-2</v>
      </c>
      <c r="F15101">
        <v>12</v>
      </c>
      <c r="G15101">
        <f>LOG(382/(12+1))</f>
        <v>1.468120010604872</v>
      </c>
      <c r="H15101">
        <f>0.0108695652173913*3.38047125114503</f>
        <v>3.6744252729837272E-2</v>
      </c>
      <c r="I15101">
        <v>3.6744252729837383E-2</v>
      </c>
    </row>
    <row r="15102" spans="1:9" x14ac:dyDescent="0.25">
      <c r="A15102">
        <v>500</v>
      </c>
      <c r="B15102" t="s">
        <v>4040</v>
      </c>
      <c r="C15102" t="s">
        <v>75</v>
      </c>
      <c r="D15102" t="s">
        <v>483</v>
      </c>
      <c r="E15102">
        <f t="shared" si="709"/>
        <v>1.0869565217391304E-2</v>
      </c>
      <c r="F15102">
        <v>61</v>
      </c>
      <c r="G15102">
        <f>LOG(382/(61+1))</f>
        <v>0.7896716734134549</v>
      </c>
      <c r="H15102">
        <f>0.0108695652173913*1.81828622356148</f>
        <v>1.9763980690885648E-2</v>
      </c>
      <c r="I15102">
        <v>1.9763980690885689E-2</v>
      </c>
    </row>
    <row r="15103" spans="1:9" x14ac:dyDescent="0.25">
      <c r="A15103">
        <v>501</v>
      </c>
      <c r="B15103" t="s">
        <v>4046</v>
      </c>
      <c r="C15103" t="s">
        <v>75</v>
      </c>
      <c r="D15103" t="s">
        <v>1537</v>
      </c>
      <c r="E15103">
        <f>6/78</f>
        <v>7.6923076923076927E-2</v>
      </c>
      <c r="F15103">
        <v>80</v>
      </c>
      <c r="G15103">
        <f>LOG(382/(80+1))</f>
        <v>0.67357834403305894</v>
      </c>
      <c r="H15103">
        <f>0.0769230769230769*1.55097145393413</f>
        <v>0.1193054964564715</v>
      </c>
      <c r="I15103">
        <v>0.119305496456472</v>
      </c>
    </row>
    <row r="15104" spans="1:9" x14ac:dyDescent="0.25">
      <c r="A15104">
        <v>501</v>
      </c>
      <c r="B15104" t="s">
        <v>4046</v>
      </c>
      <c r="C15104" t="s">
        <v>75</v>
      </c>
      <c r="D15104" t="s">
        <v>818</v>
      </c>
      <c r="E15104">
        <f>2/78</f>
        <v>2.564102564102564E-2</v>
      </c>
      <c r="F15104">
        <v>7</v>
      </c>
      <c r="G15104">
        <f>LOG(382/(7+1))</f>
        <v>1.6789733759197651</v>
      </c>
      <c r="H15104">
        <f>0.0256410256410256*3.86597906692673</f>
        <v>9.9127668382736511E-2</v>
      </c>
      <c r="I15104">
        <v>9.91276683827369E-2</v>
      </c>
    </row>
    <row r="15105" spans="1:9" x14ac:dyDescent="0.25">
      <c r="A15105">
        <v>501</v>
      </c>
      <c r="B15105" t="s">
        <v>4046</v>
      </c>
      <c r="C15105" t="s">
        <v>75</v>
      </c>
      <c r="D15105" t="s">
        <v>2067</v>
      </c>
      <c r="E15105">
        <f>4/78</f>
        <v>5.128205128205128E-2</v>
      </c>
      <c r="F15105">
        <v>6</v>
      </c>
      <c r="G15105">
        <f>LOG(382/(6+1))</f>
        <v>1.736965322897452</v>
      </c>
      <c r="H15105">
        <f>0.0512820512820512*3.99951045955126</f>
        <v>0.20510310048980787</v>
      </c>
      <c r="I15105">
        <v>0.20510310048980829</v>
      </c>
    </row>
    <row r="15106" spans="1:9" x14ac:dyDescent="0.25">
      <c r="A15106">
        <v>501</v>
      </c>
      <c r="B15106" t="s">
        <v>4046</v>
      </c>
      <c r="C15106" t="s">
        <v>75</v>
      </c>
      <c r="D15106" t="s">
        <v>72</v>
      </c>
      <c r="E15106">
        <f>2/78</f>
        <v>2.564102564102564E-2</v>
      </c>
      <c r="F15106">
        <v>13</v>
      </c>
      <c r="G15106">
        <f>LOG(382/(13+1))</f>
        <v>1.4359353272334707</v>
      </c>
      <c r="H15106">
        <f>0.0256410256410256*3.30636327899131</f>
        <v>8.4778545615161655E-2</v>
      </c>
      <c r="I15106">
        <v>8.477854561516196E-2</v>
      </c>
    </row>
    <row r="15107" spans="1:9" x14ac:dyDescent="0.25">
      <c r="A15107">
        <v>501</v>
      </c>
      <c r="B15107" t="s">
        <v>4046</v>
      </c>
      <c r="C15107" t="s">
        <v>75</v>
      </c>
      <c r="D15107" t="s">
        <v>42</v>
      </c>
      <c r="E15107">
        <f t="shared" ref="E15107:E15112" si="710">1/78</f>
        <v>1.282051282051282E-2</v>
      </c>
      <c r="F15107">
        <v>251</v>
      </c>
      <c r="G15107">
        <f>LOG(382/(251+1))</f>
        <v>0.18066282213016463</v>
      </c>
      <c r="H15107">
        <f>0.0128205128205128*0.415991521095151</f>
        <v>5.3332246294250036E-3</v>
      </c>
      <c r="I15107">
        <v>5.3332246294250244E-3</v>
      </c>
    </row>
    <row r="15108" spans="1:9" x14ac:dyDescent="0.25">
      <c r="A15108">
        <v>501</v>
      </c>
      <c r="B15108" t="s">
        <v>4046</v>
      </c>
      <c r="C15108" t="s">
        <v>75</v>
      </c>
      <c r="D15108" t="s">
        <v>1496</v>
      </c>
      <c r="E15108">
        <f t="shared" si="710"/>
        <v>1.282051282051282E-2</v>
      </c>
      <c r="F15108">
        <v>39</v>
      </c>
      <c r="G15108">
        <f>LOG(382/(39+1))</f>
        <v>0.9800033715837464</v>
      </c>
      <c r="H15108">
        <f>0.0128205128205128*2.25654115449263</f>
        <v>2.893001480118752E-2</v>
      </c>
      <c r="I15108">
        <v>2.8930014801187679E-2</v>
      </c>
    </row>
    <row r="15109" spans="1:9" x14ac:dyDescent="0.25">
      <c r="A15109">
        <v>501</v>
      </c>
      <c r="B15109" t="s">
        <v>4046</v>
      </c>
      <c r="C15109" t="s">
        <v>75</v>
      </c>
      <c r="D15109" t="s">
        <v>1059</v>
      </c>
      <c r="E15109">
        <f t="shared" si="710"/>
        <v>1.282051282051282E-2</v>
      </c>
      <c r="F15109">
        <v>16</v>
      </c>
      <c r="G15109">
        <f>LOG(382/(16+1))</f>
        <v>1.3516144415334348</v>
      </c>
      <c r="H15109">
        <f>0.0128205128205128*3.11220726455035</f>
        <v>3.9900093135260828E-2</v>
      </c>
      <c r="I15109">
        <v>3.9900093135261022E-2</v>
      </c>
    </row>
    <row r="15110" spans="1:9" x14ac:dyDescent="0.25">
      <c r="A15110">
        <v>501</v>
      </c>
      <c r="B15110" t="s">
        <v>4046</v>
      </c>
      <c r="C15110" t="s">
        <v>75</v>
      </c>
      <c r="D15110" t="s">
        <v>4047</v>
      </c>
      <c r="E15110">
        <f t="shared" si="710"/>
        <v>1.282051282051282E-2</v>
      </c>
      <c r="F15110">
        <v>1</v>
      </c>
      <c r="G15110">
        <f>LOG(382/(1+1))</f>
        <v>2.2810333672477277</v>
      </c>
      <c r="H15110">
        <f>0.0128205128205128*5.25227342804663</f>
        <v>6.7336838821110523E-2</v>
      </c>
      <c r="I15110">
        <v>6.7336838821110634E-2</v>
      </c>
    </row>
    <row r="15111" spans="1:9" x14ac:dyDescent="0.25">
      <c r="A15111">
        <v>501</v>
      </c>
      <c r="B15111" t="s">
        <v>4046</v>
      </c>
      <c r="C15111" t="s">
        <v>75</v>
      </c>
      <c r="D15111" t="s">
        <v>3251</v>
      </c>
      <c r="E15111">
        <f t="shared" si="710"/>
        <v>1.282051282051282E-2</v>
      </c>
      <c r="F15111">
        <v>4</v>
      </c>
      <c r="G15111">
        <f>LOG(382/(4+1))</f>
        <v>1.8830933585756899</v>
      </c>
      <c r="H15111">
        <f>0.0128205128205128*4.33598269617247</f>
        <v>5.5589521745800813E-2</v>
      </c>
      <c r="I15111">
        <v>5.5589521745800959E-2</v>
      </c>
    </row>
    <row r="15112" spans="1:9" x14ac:dyDescent="0.25">
      <c r="A15112">
        <v>501</v>
      </c>
      <c r="B15112" t="s">
        <v>4046</v>
      </c>
      <c r="C15112" t="s">
        <v>75</v>
      </c>
      <c r="D15112" t="s">
        <v>90</v>
      </c>
      <c r="E15112">
        <f t="shared" si="710"/>
        <v>1.282051282051282E-2</v>
      </c>
      <c r="F15112">
        <v>13</v>
      </c>
      <c r="G15112">
        <f>LOG(382/(13+1))</f>
        <v>1.4359353272334707</v>
      </c>
      <c r="H15112">
        <f>0.0128205128205128*3.30636327899131</f>
        <v>4.2389272807580827E-2</v>
      </c>
      <c r="I15112">
        <v>4.238927280758098E-2</v>
      </c>
    </row>
    <row r="15113" spans="1:9" x14ac:dyDescent="0.25">
      <c r="A15113">
        <v>501</v>
      </c>
      <c r="B15113" t="s">
        <v>4046</v>
      </c>
      <c r="C15113" t="s">
        <v>75</v>
      </c>
      <c r="D15113" t="s">
        <v>1401</v>
      </c>
      <c r="E15113">
        <f>2/78</f>
        <v>2.564102564102564E-2</v>
      </c>
      <c r="F15113">
        <v>16</v>
      </c>
      <c r="G15113">
        <f>LOG(382/(16+1))</f>
        <v>1.3516144415334348</v>
      </c>
      <c r="H15113">
        <f>0.0256410256410256*3.11220726455035</f>
        <v>7.9800186270521656E-2</v>
      </c>
      <c r="I15113">
        <v>7.9800186270522031E-2</v>
      </c>
    </row>
    <row r="15114" spans="1:9" x14ac:dyDescent="0.25">
      <c r="A15114">
        <v>501</v>
      </c>
      <c r="B15114" t="s">
        <v>4046</v>
      </c>
      <c r="C15114" t="s">
        <v>75</v>
      </c>
      <c r="D15114" t="s">
        <v>4048</v>
      </c>
      <c r="E15114">
        <f t="shared" ref="E15114:E15121" si="711">1/78</f>
        <v>1.282051282051282E-2</v>
      </c>
      <c r="F15114">
        <v>2</v>
      </c>
      <c r="G15114">
        <f>LOG(382/(2+1))</f>
        <v>2.1049421081920463</v>
      </c>
      <c r="H15114">
        <f>0.0128205128205128*4.84680831993846</f>
        <v>6.2138568204339127E-2</v>
      </c>
      <c r="I15114">
        <v>6.2138568204339287E-2</v>
      </c>
    </row>
    <row r="15115" spans="1:9" x14ac:dyDescent="0.25">
      <c r="A15115">
        <v>501</v>
      </c>
      <c r="B15115" t="s">
        <v>4046</v>
      </c>
      <c r="C15115" t="s">
        <v>75</v>
      </c>
      <c r="D15115" t="s">
        <v>432</v>
      </c>
      <c r="E15115">
        <f t="shared" si="711"/>
        <v>1.282051282051282E-2</v>
      </c>
      <c r="F15115">
        <v>67</v>
      </c>
      <c r="G15115">
        <f>LOG(382/(67+1))</f>
        <v>0.7495544502054724</v>
      </c>
      <c r="H15115">
        <f>0.0128205128205128*1.72591290343046</f>
        <v>2.2127088505518682E-2</v>
      </c>
      <c r="I15115">
        <v>2.2127088505518821E-2</v>
      </c>
    </row>
    <row r="15116" spans="1:9" x14ac:dyDescent="0.25">
      <c r="A15116">
        <v>501</v>
      </c>
      <c r="B15116" t="s">
        <v>4046</v>
      </c>
      <c r="C15116" t="s">
        <v>75</v>
      </c>
      <c r="D15116" t="s">
        <v>814</v>
      </c>
      <c r="E15116">
        <f t="shared" si="711"/>
        <v>1.282051282051282E-2</v>
      </c>
      <c r="F15116">
        <v>18</v>
      </c>
      <c r="G15116">
        <f>LOG(382/(18+1))</f>
        <v>1.3033097619588798</v>
      </c>
      <c r="H15116">
        <f>0.0128205128205128*3.00098162944013</f>
        <v>3.8474123454360576E-2</v>
      </c>
      <c r="I15116">
        <v>3.8474123454360701E-2</v>
      </c>
    </row>
    <row r="15117" spans="1:9" x14ac:dyDescent="0.25">
      <c r="A15117">
        <v>501</v>
      </c>
      <c r="B15117" t="s">
        <v>4046</v>
      </c>
      <c r="C15117" t="s">
        <v>75</v>
      </c>
      <c r="D15117" t="s">
        <v>22</v>
      </c>
      <c r="E15117">
        <f t="shared" si="711"/>
        <v>1.282051282051282E-2</v>
      </c>
      <c r="F15117">
        <v>259</v>
      </c>
      <c r="G15117">
        <f>LOG(382/(259+1))</f>
        <v>0.16709001494089079</v>
      </c>
      <c r="H15117">
        <f>0.0128205128205128*0.384738977591047</f>
        <v>4.932550994757005E-3</v>
      </c>
      <c r="I15117">
        <v>4.9325509947570198E-3</v>
      </c>
    </row>
    <row r="15118" spans="1:9" x14ac:dyDescent="0.25">
      <c r="A15118">
        <v>501</v>
      </c>
      <c r="B15118" t="s">
        <v>4046</v>
      </c>
      <c r="C15118" t="s">
        <v>75</v>
      </c>
      <c r="D15118" t="s">
        <v>23</v>
      </c>
      <c r="E15118">
        <f t="shared" si="711"/>
        <v>1.282051282051282E-2</v>
      </c>
      <c r="F15118">
        <v>275</v>
      </c>
      <c r="G15118">
        <f>LOG(382/(275+1))</f>
        <v>0.14115428084649101</v>
      </c>
      <c r="H15118">
        <f>0.0128205128205128*0.325019742889425</f>
        <v>4.166919780633647E-3</v>
      </c>
      <c r="I15118">
        <v>4.1669197806336556E-3</v>
      </c>
    </row>
    <row r="15119" spans="1:9" x14ac:dyDescent="0.25">
      <c r="A15119">
        <v>501</v>
      </c>
      <c r="B15119" t="s">
        <v>4046</v>
      </c>
      <c r="C15119" t="s">
        <v>75</v>
      </c>
      <c r="D15119" t="s">
        <v>4049</v>
      </c>
      <c r="E15119">
        <f t="shared" si="711"/>
        <v>1.282051282051282E-2</v>
      </c>
      <c r="F15119">
        <v>1</v>
      </c>
      <c r="G15119">
        <f>LOG(382/(1+1))</f>
        <v>2.2810333672477277</v>
      </c>
      <c r="H15119">
        <f>0.0128205128205128*5.25227342804663</f>
        <v>6.7336838821110523E-2</v>
      </c>
      <c r="I15119">
        <v>6.7336838821110634E-2</v>
      </c>
    </row>
    <row r="15120" spans="1:9" x14ac:dyDescent="0.25">
      <c r="A15120">
        <v>501</v>
      </c>
      <c r="B15120" t="s">
        <v>4046</v>
      </c>
      <c r="C15120" t="s">
        <v>75</v>
      </c>
      <c r="D15120" t="s">
        <v>362</v>
      </c>
      <c r="E15120">
        <f t="shared" si="711"/>
        <v>1.282051282051282E-2</v>
      </c>
      <c r="F15120">
        <v>81</v>
      </c>
      <c r="G15120">
        <f>LOG(382/(81+1))</f>
        <v>0.66824951052799197</v>
      </c>
      <c r="H15120">
        <f>0.0128205128205128*1.53870136134232</f>
        <v>1.9726940530029709E-2</v>
      </c>
      <c r="I15120">
        <v>1.9726940530029768E-2</v>
      </c>
    </row>
    <row r="15121" spans="1:9" x14ac:dyDescent="0.25">
      <c r="A15121">
        <v>501</v>
      </c>
      <c r="B15121" t="s">
        <v>4046</v>
      </c>
      <c r="C15121" t="s">
        <v>75</v>
      </c>
      <c r="D15121" t="s">
        <v>1762</v>
      </c>
      <c r="E15121">
        <f t="shared" si="711"/>
        <v>1.282051282051282E-2</v>
      </c>
      <c r="F15121">
        <v>60</v>
      </c>
      <c r="G15121">
        <f>LOG(382/(60+1))</f>
        <v>0.79673352790094176</v>
      </c>
      <c r="H15121">
        <f>0.0128205128205128*1.83454674443326</f>
        <v>2.3519830056836628E-2</v>
      </c>
      <c r="I15121">
        <v>2.3519830056836721E-2</v>
      </c>
    </row>
    <row r="15122" spans="1:9" x14ac:dyDescent="0.25">
      <c r="A15122">
        <v>501</v>
      </c>
      <c r="B15122" t="s">
        <v>4046</v>
      </c>
      <c r="C15122" t="s">
        <v>75</v>
      </c>
      <c r="D15122" t="s">
        <v>126</v>
      </c>
      <c r="E15122">
        <f>4/78</f>
        <v>5.128205128205128E-2</v>
      </c>
      <c r="F15122">
        <v>79</v>
      </c>
      <c r="G15122">
        <f>LOG(382/(79+1))</f>
        <v>0.67897337591976514</v>
      </c>
      <c r="H15122">
        <f>0.0512820512820512*1.56339397393269</f>
        <v>8.0174049945266029E-2</v>
      </c>
      <c r="I15122">
        <v>8.0174049945266335E-2</v>
      </c>
    </row>
    <row r="15123" spans="1:9" x14ac:dyDescent="0.25">
      <c r="A15123">
        <v>501</v>
      </c>
      <c r="B15123" t="s">
        <v>4046</v>
      </c>
      <c r="C15123" t="s">
        <v>75</v>
      </c>
      <c r="D15123" t="s">
        <v>1546</v>
      </c>
      <c r="E15123">
        <f>2/78</f>
        <v>2.564102564102564E-2</v>
      </c>
      <c r="F15123">
        <v>44</v>
      </c>
      <c r="G15123">
        <f>LOG(382/(44+1))</f>
        <v>0.92885084913636506</v>
      </c>
      <c r="H15123">
        <f>0.0256410256410256*2.13875811883625</f>
        <v>5.4839951765031959E-2</v>
      </c>
      <c r="I15123">
        <v>5.4839951765032181E-2</v>
      </c>
    </row>
    <row r="15124" spans="1:9" x14ac:dyDescent="0.25">
      <c r="A15124">
        <v>501</v>
      </c>
      <c r="B15124" t="s">
        <v>4046</v>
      </c>
      <c r="C15124" t="s">
        <v>75</v>
      </c>
      <c r="D15124" t="s">
        <v>746</v>
      </c>
      <c r="E15124">
        <f t="shared" ref="E15124:E15133" si="712">1/78</f>
        <v>1.282051282051282E-2</v>
      </c>
      <c r="F15124">
        <v>58</v>
      </c>
      <c r="G15124">
        <f>LOG(382/(58+1))</f>
        <v>0.81121135126956456</v>
      </c>
      <c r="H15124">
        <f>0.0128205128205128*1.86788316470085</f>
        <v>2.3947220060267269E-2</v>
      </c>
      <c r="I15124">
        <v>2.394722006026738E-2</v>
      </c>
    </row>
    <row r="15125" spans="1:9" x14ac:dyDescent="0.25">
      <c r="A15125">
        <v>501</v>
      </c>
      <c r="B15125" t="s">
        <v>4046</v>
      </c>
      <c r="C15125" t="s">
        <v>75</v>
      </c>
      <c r="D15125" t="s">
        <v>1079</v>
      </c>
      <c r="E15125">
        <f t="shared" si="712"/>
        <v>1.282051282051282E-2</v>
      </c>
      <c r="F15125">
        <v>34</v>
      </c>
      <c r="G15125">
        <f>LOG(382/(34+1))</f>
        <v>1.037995318561433</v>
      </c>
      <c r="H15125">
        <f>0.0128205128205128*2.39007254711716</f>
        <v>3.0641955732271232E-2</v>
      </c>
      <c r="I15125">
        <v>3.0641955732271301E-2</v>
      </c>
    </row>
    <row r="15126" spans="1:9" x14ac:dyDescent="0.25">
      <c r="A15126">
        <v>501</v>
      </c>
      <c r="B15126" t="s">
        <v>4046</v>
      </c>
      <c r="C15126" t="s">
        <v>75</v>
      </c>
      <c r="D15126" t="s">
        <v>1453</v>
      </c>
      <c r="E15126">
        <f t="shared" si="712"/>
        <v>1.282051282051282E-2</v>
      </c>
      <c r="F15126">
        <v>23</v>
      </c>
      <c r="G15126">
        <f>LOG(382/(23+1))</f>
        <v>1.2018521212001028</v>
      </c>
      <c r="H15126">
        <f>0.0128205128205128*2.76736677825862</f>
        <v>3.5479061259725844E-2</v>
      </c>
      <c r="I15126">
        <v>3.5479061259726018E-2</v>
      </c>
    </row>
    <row r="15127" spans="1:9" x14ac:dyDescent="0.25">
      <c r="A15127">
        <v>501</v>
      </c>
      <c r="B15127" t="s">
        <v>4046</v>
      </c>
      <c r="C15127" t="s">
        <v>75</v>
      </c>
      <c r="D15127" t="s">
        <v>201</v>
      </c>
      <c r="E15127">
        <f t="shared" si="712"/>
        <v>1.282051282051282E-2</v>
      </c>
      <c r="F15127">
        <v>72</v>
      </c>
      <c r="G15127">
        <f>LOG(382/(72+1))</f>
        <v>0.71874050279125279</v>
      </c>
      <c r="H15127">
        <f>0.0128205128205128*1.65496116745818</f>
        <v>2.1217450864848424E-2</v>
      </c>
      <c r="I15127">
        <v>2.1217450864848511E-2</v>
      </c>
    </row>
    <row r="15128" spans="1:9" x14ac:dyDescent="0.25">
      <c r="A15128">
        <v>501</v>
      </c>
      <c r="B15128" t="s">
        <v>4046</v>
      </c>
      <c r="C15128" t="s">
        <v>75</v>
      </c>
      <c r="D15128" t="s">
        <v>119</v>
      </c>
      <c r="E15128">
        <f t="shared" si="712"/>
        <v>1.282051282051282E-2</v>
      </c>
      <c r="F15128">
        <v>79</v>
      </c>
      <c r="G15128">
        <f>LOG(382/(79+1))</f>
        <v>0.67897337591976514</v>
      </c>
      <c r="H15128">
        <f>0.0128205128205128*1.56339397393269</f>
        <v>2.0043512486316507E-2</v>
      </c>
      <c r="I15128">
        <v>2.004351248631658E-2</v>
      </c>
    </row>
    <row r="15129" spans="1:9" x14ac:dyDescent="0.25">
      <c r="A15129">
        <v>501</v>
      </c>
      <c r="B15129" t="s">
        <v>4046</v>
      </c>
      <c r="C15129" t="s">
        <v>75</v>
      </c>
      <c r="D15129" t="s">
        <v>310</v>
      </c>
      <c r="E15129">
        <f t="shared" si="712"/>
        <v>1.282051282051282E-2</v>
      </c>
      <c r="F15129">
        <v>50</v>
      </c>
      <c r="G15129">
        <f>LOG(382/(50+1))</f>
        <v>0.87449318681377242</v>
      </c>
      <c r="H15129">
        <f>0.0128205128205128*2.01359497588224</f>
        <v>2.5815320203618417E-2</v>
      </c>
      <c r="I15129">
        <v>2.581532020361858E-2</v>
      </c>
    </row>
    <row r="15130" spans="1:9" x14ac:dyDescent="0.25">
      <c r="A15130">
        <v>501</v>
      </c>
      <c r="B15130" t="s">
        <v>4046</v>
      </c>
      <c r="C15130" t="s">
        <v>75</v>
      </c>
      <c r="D15130" t="s">
        <v>1467</v>
      </c>
      <c r="E15130">
        <f t="shared" si="712"/>
        <v>1.282051282051282E-2</v>
      </c>
      <c r="F15130">
        <v>21</v>
      </c>
      <c r="G15130">
        <f>LOG(382/(21+1))</f>
        <v>1.2396406820895025</v>
      </c>
      <c r="H15130">
        <f>0.0128205128205128*2.85437815524825</f>
        <v>3.659459173395186E-2</v>
      </c>
      <c r="I15130">
        <v>3.6594591733952041E-2</v>
      </c>
    </row>
    <row r="15131" spans="1:9" x14ac:dyDescent="0.25">
      <c r="A15131">
        <v>501</v>
      </c>
      <c r="B15131" t="s">
        <v>4046</v>
      </c>
      <c r="C15131" t="s">
        <v>75</v>
      </c>
      <c r="D15131" t="s">
        <v>1748</v>
      </c>
      <c r="E15131">
        <f t="shared" si="712"/>
        <v>1.282051282051282E-2</v>
      </c>
      <c r="F15131">
        <v>12</v>
      </c>
      <c r="G15131">
        <f>LOG(382/(12+1))</f>
        <v>1.468120010604872</v>
      </c>
      <c r="H15131">
        <f>0.0128205128205128*3.38047125114503</f>
        <v>4.3339375014679798E-2</v>
      </c>
      <c r="I15131">
        <v>4.3339375014679979E-2</v>
      </c>
    </row>
    <row r="15132" spans="1:9" x14ac:dyDescent="0.25">
      <c r="A15132">
        <v>501</v>
      </c>
      <c r="B15132" t="s">
        <v>4046</v>
      </c>
      <c r="C15132" t="s">
        <v>75</v>
      </c>
      <c r="D15132" t="s">
        <v>3501</v>
      </c>
      <c r="E15132">
        <f t="shared" si="712"/>
        <v>1.282051282051282E-2</v>
      </c>
      <c r="F15132">
        <v>3</v>
      </c>
      <c r="G15132">
        <f>LOG(382/(3+1))</f>
        <v>1.9800033715837464</v>
      </c>
      <c r="H15132">
        <f>0.0128205128205128*4.55912624748668</f>
        <v>5.8450336506239389E-2</v>
      </c>
      <c r="I15132">
        <v>5.8450336506239542E-2</v>
      </c>
    </row>
    <row r="15133" spans="1:9" x14ac:dyDescent="0.25">
      <c r="A15133">
        <v>501</v>
      </c>
      <c r="B15133" t="s">
        <v>4046</v>
      </c>
      <c r="C15133" t="s">
        <v>75</v>
      </c>
      <c r="D15133" t="s">
        <v>2238</v>
      </c>
      <c r="E15133">
        <f t="shared" si="712"/>
        <v>1.282051282051282E-2</v>
      </c>
      <c r="F15133">
        <v>68</v>
      </c>
      <c r="G15133">
        <f>LOG(382/(68+1))</f>
        <v>0.74321427217445335</v>
      </c>
      <c r="H15133">
        <f>0.0128205128205128*1.71131410400931</f>
        <v>2.1939924410375733E-2</v>
      </c>
      <c r="I15133">
        <v>2.193992441037584E-2</v>
      </c>
    </row>
    <row r="15134" spans="1:9" x14ac:dyDescent="0.25">
      <c r="A15134">
        <v>501</v>
      </c>
      <c r="B15134" t="s">
        <v>4046</v>
      </c>
      <c r="C15134" t="s">
        <v>75</v>
      </c>
      <c r="D15134" t="s">
        <v>204</v>
      </c>
      <c r="E15134">
        <f>2/78</f>
        <v>2.564102564102564E-2</v>
      </c>
      <c r="F15134">
        <v>166</v>
      </c>
      <c r="G15134">
        <f>LOG(382/(166+1))</f>
        <v>0.35934689176412549</v>
      </c>
      <c r="H15134">
        <f>0.0256410256410256*0.82742679618982</f>
        <v>2.1216071697174835E-2</v>
      </c>
      <c r="I15134">
        <v>2.1216071697174869E-2</v>
      </c>
    </row>
    <row r="15135" spans="1:9" x14ac:dyDescent="0.25">
      <c r="A15135">
        <v>501</v>
      </c>
      <c r="B15135" t="s">
        <v>4046</v>
      </c>
      <c r="C15135" t="s">
        <v>75</v>
      </c>
      <c r="D15135" t="s">
        <v>716</v>
      </c>
      <c r="E15135">
        <f>1/78</f>
        <v>1.282051282051282E-2</v>
      </c>
      <c r="F15135">
        <v>13</v>
      </c>
      <c r="G15135">
        <f>LOG(382/(13+1))</f>
        <v>1.4359353272334707</v>
      </c>
      <c r="H15135">
        <f>0.0128205128205128*3.30636327899131</f>
        <v>4.2389272807580827E-2</v>
      </c>
      <c r="I15135">
        <v>4.238927280758098E-2</v>
      </c>
    </row>
    <row r="15136" spans="1:9" x14ac:dyDescent="0.25">
      <c r="A15136">
        <v>501</v>
      </c>
      <c r="B15136" t="s">
        <v>4046</v>
      </c>
      <c r="C15136" t="s">
        <v>75</v>
      </c>
      <c r="D15136" t="s">
        <v>1769</v>
      </c>
      <c r="E15136">
        <f>1/78</f>
        <v>1.282051282051282E-2</v>
      </c>
      <c r="F15136">
        <v>84</v>
      </c>
      <c r="G15136">
        <f>LOG(382/(84+1))</f>
        <v>0.65264443719741605</v>
      </c>
      <c r="H15136">
        <f>0.0128205128205128*1.50276935211625</f>
        <v>1.9266273745080095E-2</v>
      </c>
      <c r="I15136">
        <v>1.9266273745080241E-2</v>
      </c>
    </row>
    <row r="15137" spans="1:9" x14ac:dyDescent="0.25">
      <c r="A15137">
        <v>501</v>
      </c>
      <c r="B15137" t="s">
        <v>4046</v>
      </c>
      <c r="C15137" t="s">
        <v>75</v>
      </c>
      <c r="D15137" t="s">
        <v>3376</v>
      </c>
      <c r="E15137">
        <f>2/78</f>
        <v>2.564102564102564E-2</v>
      </c>
      <c r="F15137">
        <v>21</v>
      </c>
      <c r="G15137">
        <f>LOG(382/(21+1))</f>
        <v>1.2396406820895025</v>
      </c>
      <c r="H15137">
        <f>0.0256410256410256*2.85437815524825</f>
        <v>7.3189183467903721E-2</v>
      </c>
      <c r="I15137">
        <v>7.3189183467904081E-2</v>
      </c>
    </row>
    <row r="15138" spans="1:9" x14ac:dyDescent="0.25">
      <c r="A15138">
        <v>501</v>
      </c>
      <c r="B15138" t="s">
        <v>4046</v>
      </c>
      <c r="C15138" t="s">
        <v>75</v>
      </c>
      <c r="D15138" t="s">
        <v>1739</v>
      </c>
      <c r="E15138">
        <f>1/78</f>
        <v>1.282051282051282E-2</v>
      </c>
      <c r="F15138">
        <v>30</v>
      </c>
      <c r="G15138">
        <f>LOG(382/(30+1))</f>
        <v>1.090701669077436</v>
      </c>
      <c r="H15138">
        <f>0.0128205128205128*2.51143340412142</f>
        <v>3.2197864155402767E-2</v>
      </c>
      <c r="I15138">
        <v>3.2197864155402933E-2</v>
      </c>
    </row>
    <row r="15139" spans="1:9" x14ac:dyDescent="0.25">
      <c r="A15139">
        <v>501</v>
      </c>
      <c r="B15139" t="s">
        <v>4046</v>
      </c>
      <c r="C15139" t="s">
        <v>75</v>
      </c>
      <c r="D15139" t="s">
        <v>1548</v>
      </c>
      <c r="E15139">
        <f>1/78</f>
        <v>1.282051282051282E-2</v>
      </c>
      <c r="F15139">
        <v>6</v>
      </c>
      <c r="G15139">
        <f>LOG(382/(6+1))</f>
        <v>1.736965322897452</v>
      </c>
      <c r="H15139">
        <f>0.0128205128205128*3.99951045955126</f>
        <v>5.1275775122451968E-2</v>
      </c>
      <c r="I15139">
        <v>5.1275775122452072E-2</v>
      </c>
    </row>
    <row r="15140" spans="1:9" x14ac:dyDescent="0.25">
      <c r="A15140">
        <v>501</v>
      </c>
      <c r="B15140" t="s">
        <v>4046</v>
      </c>
      <c r="C15140" t="s">
        <v>75</v>
      </c>
      <c r="D15140" t="s">
        <v>3452</v>
      </c>
      <c r="E15140">
        <f>2/78</f>
        <v>2.564102564102564E-2</v>
      </c>
      <c r="F15140">
        <v>8</v>
      </c>
      <c r="G15140">
        <f>LOG(382/(8+1))</f>
        <v>1.6278208534723839</v>
      </c>
      <c r="H15140">
        <f>0.0256410256410256*3.74819603127035</f>
        <v>9.6107590545393431E-2</v>
      </c>
      <c r="I15140">
        <v>9.6107590545393737E-2</v>
      </c>
    </row>
    <row r="15141" spans="1:9" x14ac:dyDescent="0.25">
      <c r="A15141">
        <v>501</v>
      </c>
      <c r="B15141" t="s">
        <v>4046</v>
      </c>
      <c r="C15141" t="s">
        <v>75</v>
      </c>
      <c r="D15141" t="s">
        <v>3630</v>
      </c>
      <c r="E15141">
        <f t="shared" ref="E15141:E15162" si="713">1/78</f>
        <v>1.282051282051282E-2</v>
      </c>
      <c r="F15141">
        <v>6</v>
      </c>
      <c r="G15141">
        <f>LOG(382/(6+1))</f>
        <v>1.736965322897452</v>
      </c>
      <c r="H15141">
        <f>0.0128205128205128*3.99951045955126</f>
        <v>5.1275775122451968E-2</v>
      </c>
      <c r="I15141">
        <v>5.1275775122452072E-2</v>
      </c>
    </row>
    <row r="15142" spans="1:9" x14ac:dyDescent="0.25">
      <c r="A15142">
        <v>501</v>
      </c>
      <c r="B15142" t="s">
        <v>4046</v>
      </c>
      <c r="C15142" t="s">
        <v>75</v>
      </c>
      <c r="D15142" t="s">
        <v>105</v>
      </c>
      <c r="E15142">
        <f t="shared" si="713"/>
        <v>1.282051282051282E-2</v>
      </c>
      <c r="F15142">
        <v>122</v>
      </c>
      <c r="G15142">
        <f>LOG(382/(122+1))</f>
        <v>0.49215825147231079</v>
      </c>
      <c r="H15142">
        <f>0.0128205128205128*1.13323625323415</f>
        <v>1.4528669913258309E-2</v>
      </c>
      <c r="I15142">
        <v>1.452866991325843E-2</v>
      </c>
    </row>
    <row r="15143" spans="1:9" x14ac:dyDescent="0.25">
      <c r="A15143">
        <v>501</v>
      </c>
      <c r="B15143" t="s">
        <v>4046</v>
      </c>
      <c r="C15143" t="s">
        <v>75</v>
      </c>
      <c r="D15143" t="s">
        <v>78</v>
      </c>
      <c r="E15143">
        <f t="shared" si="713"/>
        <v>1.282051282051282E-2</v>
      </c>
      <c r="F15143">
        <v>122</v>
      </c>
      <c r="G15143">
        <f>LOG(382/(122+1))</f>
        <v>0.49215825147231079</v>
      </c>
      <c r="H15143">
        <f>0.0128205128205128*1.13323625323415</f>
        <v>1.4528669913258309E-2</v>
      </c>
      <c r="I15143">
        <v>1.452866991325843E-2</v>
      </c>
    </row>
    <row r="15144" spans="1:9" x14ac:dyDescent="0.25">
      <c r="A15144">
        <v>501</v>
      </c>
      <c r="B15144" t="s">
        <v>4046</v>
      </c>
      <c r="C15144" t="s">
        <v>75</v>
      </c>
      <c r="D15144" t="s">
        <v>754</v>
      </c>
      <c r="E15144">
        <f t="shared" si="713"/>
        <v>1.282051282051282E-2</v>
      </c>
      <c r="F15144">
        <v>111</v>
      </c>
      <c r="G15144">
        <f>LOG(382/(111+1))</f>
        <v>0.53284534024152708</v>
      </c>
      <c r="H15144">
        <f>0.0128205128205128*1.22692173731148</f>
        <v>1.5729765862967666E-2</v>
      </c>
      <c r="I15144">
        <v>1.57297658629677E-2</v>
      </c>
    </row>
    <row r="15145" spans="1:9" x14ac:dyDescent="0.25">
      <c r="A15145">
        <v>501</v>
      </c>
      <c r="B15145" t="s">
        <v>4046</v>
      </c>
      <c r="C15145" t="s">
        <v>75</v>
      </c>
      <c r="D15145" t="s">
        <v>767</v>
      </c>
      <c r="E15145">
        <f t="shared" si="713"/>
        <v>1.282051282051282E-2</v>
      </c>
      <c r="F15145">
        <v>47</v>
      </c>
      <c r="G15145">
        <f>LOG(382/(47+1))</f>
        <v>0.90082212553612151</v>
      </c>
      <c r="H15145">
        <f>0.0128205128205128*2.07421959769868</f>
        <v>2.6592558944854829E-2</v>
      </c>
      <c r="I15145">
        <v>2.6592558944854919E-2</v>
      </c>
    </row>
    <row r="15146" spans="1:9" x14ac:dyDescent="0.25">
      <c r="A15146">
        <v>501</v>
      </c>
      <c r="B15146" t="s">
        <v>4046</v>
      </c>
      <c r="C15146" t="s">
        <v>75</v>
      </c>
      <c r="D15146" t="s">
        <v>256</v>
      </c>
      <c r="E15146">
        <f t="shared" si="713"/>
        <v>1.282051282051282E-2</v>
      </c>
      <c r="F15146">
        <v>28</v>
      </c>
      <c r="G15146">
        <f>LOG(382/(28+1))</f>
        <v>1.1196653650127526</v>
      </c>
      <c r="H15146">
        <f>0.0128205128205128*2.5781247786201</f>
        <v>3.3052881777180715E-2</v>
      </c>
      <c r="I15146">
        <v>3.3052881777180777E-2</v>
      </c>
    </row>
    <row r="15147" spans="1:9" x14ac:dyDescent="0.25">
      <c r="A15147">
        <v>501</v>
      </c>
      <c r="B15147" t="s">
        <v>4046</v>
      </c>
      <c r="C15147" t="s">
        <v>75</v>
      </c>
      <c r="D15147" t="s">
        <v>399</v>
      </c>
      <c r="E15147">
        <f t="shared" si="713"/>
        <v>1.282051282051282E-2</v>
      </c>
      <c r="F15147">
        <v>27</v>
      </c>
      <c r="G15147">
        <f>LOG(382/(27+1))</f>
        <v>1.1349053315694895</v>
      </c>
      <c r="H15147">
        <f>0.0128205128205128*2.61321609843137</f>
        <v>3.3502770492709819E-2</v>
      </c>
      <c r="I15147">
        <v>3.3502770492709881E-2</v>
      </c>
    </row>
    <row r="15148" spans="1:9" x14ac:dyDescent="0.25">
      <c r="A15148">
        <v>501</v>
      </c>
      <c r="B15148" t="s">
        <v>4046</v>
      </c>
      <c r="C15148" t="s">
        <v>75</v>
      </c>
      <c r="D15148" t="s">
        <v>772</v>
      </c>
      <c r="E15148">
        <f t="shared" si="713"/>
        <v>1.282051282051282E-2</v>
      </c>
      <c r="F15148">
        <v>31</v>
      </c>
      <c r="G15148">
        <f>LOG(382/(31+1))</f>
        <v>1.0769133845918029</v>
      </c>
      <c r="H15148">
        <f>0.0128205128205128*2.47968470580684</f>
        <v>3.1790829561626099E-2</v>
      </c>
      <c r="I15148">
        <v>3.1790829561626273E-2</v>
      </c>
    </row>
    <row r="15149" spans="1:9" x14ac:dyDescent="0.25">
      <c r="A15149">
        <v>501</v>
      </c>
      <c r="B15149" t="s">
        <v>4046</v>
      </c>
      <c r="C15149" t="s">
        <v>75</v>
      </c>
      <c r="D15149" t="s">
        <v>3332</v>
      </c>
      <c r="E15149">
        <f t="shared" si="713"/>
        <v>1.282051282051282E-2</v>
      </c>
      <c r="F15149">
        <v>3</v>
      </c>
      <c r="G15149">
        <f>LOG(382/(3+1))</f>
        <v>1.9800033715837464</v>
      </c>
      <c r="H15149">
        <f>0.0128205128205128*4.55912624748668</f>
        <v>5.8450336506239389E-2</v>
      </c>
      <c r="I15149">
        <v>5.8450336506239542E-2</v>
      </c>
    </row>
    <row r="15150" spans="1:9" x14ac:dyDescent="0.25">
      <c r="A15150">
        <v>501</v>
      </c>
      <c r="B15150" t="s">
        <v>4046</v>
      </c>
      <c r="C15150" t="s">
        <v>75</v>
      </c>
      <c r="D15150" t="s">
        <v>82</v>
      </c>
      <c r="E15150">
        <f t="shared" si="713"/>
        <v>1.282051282051282E-2</v>
      </c>
      <c r="F15150">
        <v>92</v>
      </c>
      <c r="G15150">
        <f>LOG(382/(92+1))</f>
        <v>0.61358041435777355</v>
      </c>
      <c r="H15150">
        <f>0.0128205128205128*1.41282111545331</f>
        <v>1.8113091223760352E-2</v>
      </c>
      <c r="I15150">
        <v>1.8113091223760501E-2</v>
      </c>
    </row>
    <row r="15151" spans="1:9" x14ac:dyDescent="0.25">
      <c r="A15151">
        <v>501</v>
      </c>
      <c r="B15151" t="s">
        <v>4046</v>
      </c>
      <c r="C15151" t="s">
        <v>75</v>
      </c>
      <c r="D15151" t="s">
        <v>1345</v>
      </c>
      <c r="E15151">
        <f t="shared" si="713"/>
        <v>1.282051282051282E-2</v>
      </c>
      <c r="F15151">
        <v>8</v>
      </c>
      <c r="G15151">
        <f>LOG(382/(8+1))</f>
        <v>1.6278208534723839</v>
      </c>
      <c r="H15151">
        <f>0.0128205128205128*3.74819603127035</f>
        <v>4.8053795272696716E-2</v>
      </c>
      <c r="I15151">
        <v>4.8053795272696868E-2</v>
      </c>
    </row>
    <row r="15152" spans="1:9" x14ac:dyDescent="0.25">
      <c r="A15152">
        <v>501</v>
      </c>
      <c r="B15152" t="s">
        <v>4046</v>
      </c>
      <c r="C15152" t="s">
        <v>75</v>
      </c>
      <c r="D15152" t="s">
        <v>3014</v>
      </c>
      <c r="E15152">
        <f t="shared" si="713"/>
        <v>1.282051282051282E-2</v>
      </c>
      <c r="F15152">
        <v>11</v>
      </c>
      <c r="G15152">
        <f>LOG(382/(11+1))</f>
        <v>1.5028821168640838</v>
      </c>
      <c r="H15152">
        <f>0.0128205128205128*3.46051395881857</f>
        <v>4.4365563574596978E-2</v>
      </c>
      <c r="I15152">
        <v>4.436556357459711E-2</v>
      </c>
    </row>
    <row r="15153" spans="1:9" x14ac:dyDescent="0.25">
      <c r="A15153">
        <v>501</v>
      </c>
      <c r="B15153" t="s">
        <v>4046</v>
      </c>
      <c r="C15153" t="s">
        <v>75</v>
      </c>
      <c r="D15153" t="s">
        <v>2005</v>
      </c>
      <c r="E15153">
        <f t="shared" si="713"/>
        <v>1.282051282051282E-2</v>
      </c>
      <c r="F15153">
        <v>4</v>
      </c>
      <c r="G15153">
        <f>LOG(382/(4+1))</f>
        <v>1.8830933585756899</v>
      </c>
      <c r="H15153">
        <f>0.0128205128205128*4.33598269617247</f>
        <v>5.5589521745800813E-2</v>
      </c>
      <c r="I15153">
        <v>5.5589521745800959E-2</v>
      </c>
    </row>
    <row r="15154" spans="1:9" x14ac:dyDescent="0.25">
      <c r="A15154">
        <v>501</v>
      </c>
      <c r="B15154" t="s">
        <v>4046</v>
      </c>
      <c r="C15154" t="s">
        <v>75</v>
      </c>
      <c r="D15154" t="s">
        <v>4050</v>
      </c>
      <c r="E15154">
        <f t="shared" si="713"/>
        <v>1.282051282051282E-2</v>
      </c>
      <c r="F15154">
        <v>1</v>
      </c>
      <c r="G15154">
        <f>LOG(382/(1+1))</f>
        <v>2.2810333672477277</v>
      </c>
      <c r="H15154">
        <f>0.0128205128205128*5.25227342804663</f>
        <v>6.7336838821110523E-2</v>
      </c>
      <c r="I15154">
        <v>6.7336838821110634E-2</v>
      </c>
    </row>
    <row r="15155" spans="1:9" x14ac:dyDescent="0.25">
      <c r="A15155">
        <v>501</v>
      </c>
      <c r="B15155" t="s">
        <v>4046</v>
      </c>
      <c r="C15155" t="s">
        <v>75</v>
      </c>
      <c r="D15155" t="s">
        <v>3463</v>
      </c>
      <c r="E15155">
        <f t="shared" si="713"/>
        <v>1.282051282051282E-2</v>
      </c>
      <c r="F15155">
        <v>2</v>
      </c>
      <c r="G15155">
        <f>LOG(382/(2+1))</f>
        <v>2.1049421081920463</v>
      </c>
      <c r="H15155">
        <f>0.0128205128205128*4.84680831993846</f>
        <v>6.2138568204339127E-2</v>
      </c>
      <c r="I15155">
        <v>6.2138568204339287E-2</v>
      </c>
    </row>
    <row r="15156" spans="1:9" x14ac:dyDescent="0.25">
      <c r="A15156">
        <v>501</v>
      </c>
      <c r="B15156" t="s">
        <v>4046</v>
      </c>
      <c r="C15156" t="s">
        <v>75</v>
      </c>
      <c r="D15156" t="s">
        <v>243</v>
      </c>
      <c r="E15156">
        <f t="shared" si="713"/>
        <v>1.282051282051282E-2</v>
      </c>
      <c r="F15156">
        <v>131</v>
      </c>
      <c r="G15156">
        <f>LOG(382/(131+1))</f>
        <v>0.46148943170585888</v>
      </c>
      <c r="H15156">
        <f>0.0128205128205128*1.0626186860202</f>
        <v>1.362331648743844E-2</v>
      </c>
      <c r="I15156">
        <v>1.362331648743852E-2</v>
      </c>
    </row>
    <row r="15157" spans="1:9" x14ac:dyDescent="0.25">
      <c r="A15157">
        <v>501</v>
      </c>
      <c r="B15157" t="s">
        <v>4046</v>
      </c>
      <c r="C15157" t="s">
        <v>75</v>
      </c>
      <c r="D15157" t="s">
        <v>770</v>
      </c>
      <c r="E15157">
        <f t="shared" si="713"/>
        <v>1.282051282051282E-2</v>
      </c>
      <c r="F15157">
        <v>47</v>
      </c>
      <c r="G15157">
        <f>LOG(382/(47+1))</f>
        <v>0.90082212553612151</v>
      </c>
      <c r="H15157">
        <f>0.0128205128205128*2.07421959769868</f>
        <v>2.6592558944854829E-2</v>
      </c>
      <c r="I15157">
        <v>2.6592558944854919E-2</v>
      </c>
    </row>
    <row r="15158" spans="1:9" x14ac:dyDescent="0.25">
      <c r="A15158">
        <v>501</v>
      </c>
      <c r="B15158" t="s">
        <v>4046</v>
      </c>
      <c r="C15158" t="s">
        <v>75</v>
      </c>
      <c r="D15158" t="s">
        <v>307</v>
      </c>
      <c r="E15158">
        <f t="shared" si="713"/>
        <v>1.282051282051282E-2</v>
      </c>
      <c r="F15158">
        <v>67</v>
      </c>
      <c r="G15158">
        <f>LOG(382/(67+1))</f>
        <v>0.7495544502054724</v>
      </c>
      <c r="H15158">
        <f>0.0128205128205128*1.72591290343046</f>
        <v>2.2127088505518682E-2</v>
      </c>
      <c r="I15158">
        <v>2.2127088505518821E-2</v>
      </c>
    </row>
    <row r="15159" spans="1:9" x14ac:dyDescent="0.25">
      <c r="A15159">
        <v>501</v>
      </c>
      <c r="B15159" t="s">
        <v>4046</v>
      </c>
      <c r="C15159" t="s">
        <v>75</v>
      </c>
      <c r="D15159" t="s">
        <v>455</v>
      </c>
      <c r="E15159">
        <f t="shared" si="713"/>
        <v>1.282051282051282E-2</v>
      </c>
      <c r="F15159">
        <v>78</v>
      </c>
      <c r="G15159">
        <f>LOG(382/(78+1))</f>
        <v>0.6844362716212673</v>
      </c>
      <c r="H15159">
        <f>0.0128205128205128*1.57597275613955</f>
        <v>2.0204778924865992E-2</v>
      </c>
      <c r="I15159">
        <v>2.0204778924866069E-2</v>
      </c>
    </row>
    <row r="15160" spans="1:9" x14ac:dyDescent="0.25">
      <c r="A15160">
        <v>501</v>
      </c>
      <c r="B15160" t="s">
        <v>4046</v>
      </c>
      <c r="C15160" t="s">
        <v>75</v>
      </c>
      <c r="D15160" t="s">
        <v>456</v>
      </c>
      <c r="E15160">
        <f t="shared" si="713"/>
        <v>1.282051282051282E-2</v>
      </c>
      <c r="F15160">
        <v>71</v>
      </c>
      <c r="G15160">
        <f>LOG(382/(71+1))</f>
        <v>0.72473086648044027</v>
      </c>
      <c r="H15160">
        <f>0.0128205128205128*1.66875448959051</f>
        <v>2.1394288328083426E-2</v>
      </c>
      <c r="I15160">
        <v>2.1394288328083589E-2</v>
      </c>
    </row>
    <row r="15161" spans="1:9" x14ac:dyDescent="0.25">
      <c r="A15161">
        <v>501</v>
      </c>
      <c r="B15161" t="s">
        <v>4046</v>
      </c>
      <c r="C15161" t="s">
        <v>75</v>
      </c>
      <c r="D15161" t="s">
        <v>3761</v>
      </c>
      <c r="E15161">
        <f t="shared" si="713"/>
        <v>1.282051282051282E-2</v>
      </c>
      <c r="F15161">
        <v>2</v>
      </c>
      <c r="G15161">
        <f>LOG(382/(2+1))</f>
        <v>2.1049421081920463</v>
      </c>
      <c r="H15161">
        <f>0.0128205128205128*4.84680831993846</f>
        <v>6.2138568204339127E-2</v>
      </c>
      <c r="I15161">
        <v>6.2138568204339287E-2</v>
      </c>
    </row>
    <row r="15162" spans="1:9" x14ac:dyDescent="0.25">
      <c r="A15162">
        <v>501</v>
      </c>
      <c r="B15162" t="s">
        <v>4046</v>
      </c>
      <c r="C15162" t="s">
        <v>75</v>
      </c>
      <c r="D15162" t="s">
        <v>4051</v>
      </c>
      <c r="E15162">
        <f t="shared" si="713"/>
        <v>1.282051282051282E-2</v>
      </c>
      <c r="F15162">
        <v>1</v>
      </c>
      <c r="G15162">
        <f>LOG(382/(1+1))</f>
        <v>2.2810333672477277</v>
      </c>
      <c r="H15162">
        <f>0.0128205128205128*5.25227342804663</f>
        <v>6.7336838821110523E-2</v>
      </c>
      <c r="I15162">
        <v>6.7336838821110634E-2</v>
      </c>
    </row>
    <row r="15163" spans="1:9" x14ac:dyDescent="0.25">
      <c r="A15163">
        <v>502</v>
      </c>
      <c r="B15163" t="s">
        <v>4052</v>
      </c>
      <c r="C15163" t="s">
        <v>75</v>
      </c>
      <c r="D15163" t="s">
        <v>3488</v>
      </c>
      <c r="E15163">
        <f>6/71</f>
        <v>8.4507042253521125E-2</v>
      </c>
      <c r="F15163">
        <v>6</v>
      </c>
      <c r="G15163">
        <f>LOG(382/(6+1))</f>
        <v>1.736965322897452</v>
      </c>
      <c r="H15163">
        <f>0.0845070422535211*3.99951045955126</f>
        <v>0.33798679939869791</v>
      </c>
      <c r="I15163">
        <v>0.33798679939869819</v>
      </c>
    </row>
    <row r="15164" spans="1:9" x14ac:dyDescent="0.25">
      <c r="A15164">
        <v>502</v>
      </c>
      <c r="B15164" t="s">
        <v>4052</v>
      </c>
      <c r="C15164" t="s">
        <v>75</v>
      </c>
      <c r="D15164" t="s">
        <v>3491</v>
      </c>
      <c r="E15164">
        <f>3/71</f>
        <v>4.2253521126760563E-2</v>
      </c>
      <c r="F15164">
        <v>3</v>
      </c>
      <c r="G15164">
        <f>LOG(382/(3+1))</f>
        <v>1.9800033715837464</v>
      </c>
      <c r="H15164">
        <f>0.0422535211267605*4.55912624748668</f>
        <v>0.19263913721774675</v>
      </c>
      <c r="I15164">
        <v>0.1926391372177472</v>
      </c>
    </row>
    <row r="15165" spans="1:9" x14ac:dyDescent="0.25">
      <c r="A15165">
        <v>502</v>
      </c>
      <c r="B15165" t="s">
        <v>4052</v>
      </c>
      <c r="C15165" t="s">
        <v>75</v>
      </c>
      <c r="D15165" t="s">
        <v>408</v>
      </c>
      <c r="E15165">
        <f>2/71</f>
        <v>2.8169014084507043E-2</v>
      </c>
      <c r="F15165">
        <v>27</v>
      </c>
      <c r="G15165">
        <f>LOG(382/(27+1))</f>
        <v>1.1349053315694895</v>
      </c>
      <c r="H15165">
        <f>0.028169014084507*2.61321609843137</f>
        <v>7.3611721082573703E-2</v>
      </c>
      <c r="I15165">
        <v>7.3611721082573828E-2</v>
      </c>
    </row>
    <row r="15166" spans="1:9" x14ac:dyDescent="0.25">
      <c r="A15166">
        <v>502</v>
      </c>
      <c r="B15166" t="s">
        <v>4052</v>
      </c>
      <c r="C15166" t="s">
        <v>75</v>
      </c>
      <c r="D15166" t="s">
        <v>4053</v>
      </c>
      <c r="E15166">
        <f>3/71</f>
        <v>4.2253521126760563E-2</v>
      </c>
      <c r="F15166">
        <v>1</v>
      </c>
      <c r="G15166">
        <f>LOG(382/(1+1))</f>
        <v>2.2810333672477277</v>
      </c>
      <c r="H15166">
        <f>0.0422535211267605*5.25227342804663</f>
        <v>0.22192704625549106</v>
      </c>
      <c r="I15166">
        <v>0.22192704625549139</v>
      </c>
    </row>
    <row r="15167" spans="1:9" x14ac:dyDescent="0.25">
      <c r="A15167">
        <v>502</v>
      </c>
      <c r="B15167" t="s">
        <v>4052</v>
      </c>
      <c r="C15167" t="s">
        <v>75</v>
      </c>
      <c r="D15167" t="s">
        <v>4054</v>
      </c>
      <c r="E15167">
        <f>2/71</f>
        <v>2.8169014084507043E-2</v>
      </c>
      <c r="F15167">
        <v>1</v>
      </c>
      <c r="G15167">
        <f>LOG(382/(1+1))</f>
        <v>2.2810333672477277</v>
      </c>
      <c r="H15167">
        <f>0.028169014084507*5.25227342804663</f>
        <v>0.14795136417032739</v>
      </c>
      <c r="I15167">
        <v>0.14795136417032759</v>
      </c>
    </row>
    <row r="15168" spans="1:9" x14ac:dyDescent="0.25">
      <c r="A15168">
        <v>502</v>
      </c>
      <c r="B15168" t="s">
        <v>4052</v>
      </c>
      <c r="C15168" t="s">
        <v>75</v>
      </c>
      <c r="D15168" t="s">
        <v>42</v>
      </c>
      <c r="E15168">
        <f t="shared" ref="E15168:E15174" si="714">1/71</f>
        <v>1.4084507042253521E-2</v>
      </c>
      <c r="F15168">
        <v>251</v>
      </c>
      <c r="G15168">
        <f>LOG(382/(251+1))</f>
        <v>0.18066282213016463</v>
      </c>
      <c r="H15168">
        <f>0.0140845070422535*0.415991521095151</f>
        <v>5.8590355083823998E-3</v>
      </c>
      <c r="I15168">
        <v>5.8590355083824206E-3</v>
      </c>
    </row>
    <row r="15169" spans="1:9" x14ac:dyDescent="0.25">
      <c r="A15169">
        <v>502</v>
      </c>
      <c r="B15169" t="s">
        <v>4052</v>
      </c>
      <c r="C15169" t="s">
        <v>75</v>
      </c>
      <c r="D15169" t="s">
        <v>1496</v>
      </c>
      <c r="E15169">
        <f t="shared" si="714"/>
        <v>1.4084507042253521E-2</v>
      </c>
      <c r="F15169">
        <v>39</v>
      </c>
      <c r="G15169">
        <f>LOG(382/(39+1))</f>
        <v>0.9800033715837464</v>
      </c>
      <c r="H15169">
        <f>0.0140845070422535*2.25654115449263</f>
        <v>3.1782269781586291E-2</v>
      </c>
      <c r="I15169">
        <v>3.1782269781586457E-2</v>
      </c>
    </row>
    <row r="15170" spans="1:9" x14ac:dyDescent="0.25">
      <c r="A15170">
        <v>502</v>
      </c>
      <c r="B15170" t="s">
        <v>4052</v>
      </c>
      <c r="C15170" t="s">
        <v>75</v>
      </c>
      <c r="D15170" t="s">
        <v>1059</v>
      </c>
      <c r="E15170">
        <f t="shared" si="714"/>
        <v>1.4084507042253521E-2</v>
      </c>
      <c r="F15170">
        <v>16</v>
      </c>
      <c r="G15170">
        <f>LOG(382/(16+1))</f>
        <v>1.3516144415334348</v>
      </c>
      <c r="H15170">
        <f>0.0140845070422535*3.11220726455035</f>
        <v>4.3833905134511908E-2</v>
      </c>
      <c r="I15170">
        <v>4.3833905134512102E-2</v>
      </c>
    </row>
    <row r="15171" spans="1:9" x14ac:dyDescent="0.25">
      <c r="A15171">
        <v>502</v>
      </c>
      <c r="B15171" t="s">
        <v>4052</v>
      </c>
      <c r="C15171" t="s">
        <v>75</v>
      </c>
      <c r="D15171" t="s">
        <v>368</v>
      </c>
      <c r="E15171">
        <f t="shared" si="714"/>
        <v>1.4084507042253521E-2</v>
      </c>
      <c r="F15171">
        <v>17</v>
      </c>
      <c r="G15171">
        <f>LOG(382/(17+1))</f>
        <v>1.3267908578084027</v>
      </c>
      <c r="H15171">
        <f>0.0140845070422535*3.05504885071041</f>
        <v>4.3028857052259228E-2</v>
      </c>
      <c r="I15171">
        <v>4.3028857052259298E-2</v>
      </c>
    </row>
    <row r="15172" spans="1:9" x14ac:dyDescent="0.25">
      <c r="A15172">
        <v>502</v>
      </c>
      <c r="B15172" t="s">
        <v>4052</v>
      </c>
      <c r="C15172" t="s">
        <v>75</v>
      </c>
      <c r="D15172" t="s">
        <v>1331</v>
      </c>
      <c r="E15172">
        <f t="shared" si="714"/>
        <v>1.4084507042253521E-2</v>
      </c>
      <c r="F15172">
        <v>4</v>
      </c>
      <c r="G15172">
        <f>LOG(382/(4+1))</f>
        <v>1.8830933585756899</v>
      </c>
      <c r="H15172">
        <f>0.0140845070422535*4.33598269617247</f>
        <v>6.1070178819330481E-2</v>
      </c>
      <c r="I15172">
        <v>6.1070178819330627E-2</v>
      </c>
    </row>
    <row r="15173" spans="1:9" x14ac:dyDescent="0.25">
      <c r="A15173">
        <v>502</v>
      </c>
      <c r="B15173" t="s">
        <v>4052</v>
      </c>
      <c r="C15173" t="s">
        <v>75</v>
      </c>
      <c r="D15173" t="s">
        <v>103</v>
      </c>
      <c r="E15173">
        <f t="shared" si="714"/>
        <v>1.4084507042253521E-2</v>
      </c>
      <c r="F15173">
        <v>38</v>
      </c>
      <c r="G15173">
        <f>LOG(382/(38+1))</f>
        <v>0.99099875588520958</v>
      </c>
      <c r="H15173">
        <f>0.0140845070422535*2.28185896247692</f>
        <v>3.2138858626435444E-2</v>
      </c>
      <c r="I15173">
        <v>3.2138858626435618E-2</v>
      </c>
    </row>
    <row r="15174" spans="1:9" x14ac:dyDescent="0.25">
      <c r="A15174">
        <v>502</v>
      </c>
      <c r="B15174" t="s">
        <v>4052</v>
      </c>
      <c r="C15174" t="s">
        <v>75</v>
      </c>
      <c r="D15174" t="s">
        <v>17</v>
      </c>
      <c r="E15174">
        <f t="shared" si="714"/>
        <v>1.4084507042253521E-2</v>
      </c>
      <c r="F15174">
        <v>169</v>
      </c>
      <c r="G15174">
        <f>LOG(382/(169+1))</f>
        <v>0.3516144415334348</v>
      </c>
      <c r="H15174">
        <f>0.0140845070422535*0.809622171556313</f>
        <v>1.1403129176849462E-2</v>
      </c>
      <c r="I15174">
        <v>1.140312917684949E-2</v>
      </c>
    </row>
    <row r="15175" spans="1:9" x14ac:dyDescent="0.25">
      <c r="A15175">
        <v>502</v>
      </c>
      <c r="B15175" t="s">
        <v>4052</v>
      </c>
      <c r="C15175" t="s">
        <v>75</v>
      </c>
      <c r="D15175" t="s">
        <v>168</v>
      </c>
      <c r="E15175">
        <f>2/71</f>
        <v>2.8169014084507043E-2</v>
      </c>
      <c r="F15175">
        <v>34</v>
      </c>
      <c r="G15175">
        <f>LOG(382/(34+1))</f>
        <v>1.037995318561433</v>
      </c>
      <c r="H15175">
        <f>0.028169014084507*2.39007254711716</f>
        <v>6.7325987242736807E-2</v>
      </c>
      <c r="I15175">
        <v>6.7325987242736945E-2</v>
      </c>
    </row>
    <row r="15176" spans="1:9" x14ac:dyDescent="0.25">
      <c r="A15176">
        <v>502</v>
      </c>
      <c r="B15176" t="s">
        <v>4052</v>
      </c>
      <c r="C15176" t="s">
        <v>75</v>
      </c>
      <c r="D15176" t="s">
        <v>19</v>
      </c>
      <c r="E15176">
        <f t="shared" ref="E15176:E15187" si="715">1/71</f>
        <v>1.4084507042253521E-2</v>
      </c>
      <c r="F15176">
        <v>220</v>
      </c>
      <c r="G15176">
        <f>LOG(382/(220+1))</f>
        <v>0.23767108922659805</v>
      </c>
      <c r="H15176">
        <f>0.0140845070422535*0.547257907088822</f>
        <v>7.7078578463214264E-3</v>
      </c>
      <c r="I15176">
        <v>7.707857846321442E-3</v>
      </c>
    </row>
    <row r="15177" spans="1:9" x14ac:dyDescent="0.25">
      <c r="A15177">
        <v>502</v>
      </c>
      <c r="B15177" t="s">
        <v>4052</v>
      </c>
      <c r="C15177" t="s">
        <v>75</v>
      </c>
      <c r="D15177" t="s">
        <v>41</v>
      </c>
      <c r="E15177">
        <f t="shared" si="715"/>
        <v>1.4084507042253521E-2</v>
      </c>
      <c r="F15177">
        <v>195</v>
      </c>
      <c r="G15177">
        <f>LOG(382/(195+1))</f>
        <v>0.28980729155523272</v>
      </c>
      <c r="H15177">
        <f>0.0140845070422535*0.667305949376058</f>
        <v>9.3986753433247475E-3</v>
      </c>
      <c r="I15177">
        <v>9.3986753433247614E-3</v>
      </c>
    </row>
    <row r="15178" spans="1:9" x14ac:dyDescent="0.25">
      <c r="A15178">
        <v>502</v>
      </c>
      <c r="B15178" t="s">
        <v>4052</v>
      </c>
      <c r="C15178" t="s">
        <v>75</v>
      </c>
      <c r="D15178" t="s">
        <v>22</v>
      </c>
      <c r="E15178">
        <f t="shared" si="715"/>
        <v>1.4084507042253521E-2</v>
      </c>
      <c r="F15178">
        <v>259</v>
      </c>
      <c r="G15178">
        <f>LOG(382/(259+1))</f>
        <v>0.16709001494089079</v>
      </c>
      <c r="H15178">
        <f>0.0140845070422535*0.384738977591047</f>
        <v>5.4188588393105138E-3</v>
      </c>
      <c r="I15178">
        <v>5.4188588393105294E-3</v>
      </c>
    </row>
    <row r="15179" spans="1:9" x14ac:dyDescent="0.25">
      <c r="A15179">
        <v>502</v>
      </c>
      <c r="B15179" t="s">
        <v>4052</v>
      </c>
      <c r="C15179" t="s">
        <v>75</v>
      </c>
      <c r="D15179" t="s">
        <v>23</v>
      </c>
      <c r="E15179">
        <f t="shared" si="715"/>
        <v>1.4084507042253521E-2</v>
      </c>
      <c r="F15179">
        <v>275</v>
      </c>
      <c r="G15179">
        <f>LOG(382/(275+1))</f>
        <v>0.14115428084649101</v>
      </c>
      <c r="H15179">
        <f>0.0140845070422535*0.325019742889425</f>
        <v>4.5777428575975287E-3</v>
      </c>
      <c r="I15179">
        <v>4.5777428575975374E-3</v>
      </c>
    </row>
    <row r="15180" spans="1:9" x14ac:dyDescent="0.25">
      <c r="A15180">
        <v>502</v>
      </c>
      <c r="B15180" t="s">
        <v>4052</v>
      </c>
      <c r="C15180" t="s">
        <v>75</v>
      </c>
      <c r="D15180" t="s">
        <v>3828</v>
      </c>
      <c r="E15180">
        <f t="shared" si="715"/>
        <v>1.4084507042253521E-2</v>
      </c>
      <c r="F15180">
        <v>4</v>
      </c>
      <c r="G15180">
        <f>LOG(382/(4+1))</f>
        <v>1.8830933585756899</v>
      </c>
      <c r="H15180">
        <f>0.0140845070422535*4.33598269617247</f>
        <v>6.1070178819330481E-2</v>
      </c>
      <c r="I15180">
        <v>6.1070178819330627E-2</v>
      </c>
    </row>
    <row r="15181" spans="1:9" x14ac:dyDescent="0.25">
      <c r="A15181">
        <v>502</v>
      </c>
      <c r="B15181" t="s">
        <v>4052</v>
      </c>
      <c r="C15181" t="s">
        <v>75</v>
      </c>
      <c r="D15181" t="s">
        <v>105</v>
      </c>
      <c r="E15181">
        <f t="shared" si="715"/>
        <v>1.4084507042253521E-2</v>
      </c>
      <c r="F15181">
        <v>122</v>
      </c>
      <c r="G15181">
        <f>LOG(382/(122+1))</f>
        <v>0.49215825147231079</v>
      </c>
      <c r="H15181">
        <f>0.0140845070422535*1.13323625323415</f>
        <v>1.5961073989213356E-2</v>
      </c>
      <c r="I15181">
        <v>1.5961073989213492E-2</v>
      </c>
    </row>
    <row r="15182" spans="1:9" x14ac:dyDescent="0.25">
      <c r="A15182">
        <v>502</v>
      </c>
      <c r="B15182" t="s">
        <v>4052</v>
      </c>
      <c r="C15182" t="s">
        <v>75</v>
      </c>
      <c r="D15182" t="s">
        <v>1546</v>
      </c>
      <c r="E15182">
        <f t="shared" si="715"/>
        <v>1.4084507042253521E-2</v>
      </c>
      <c r="F15182">
        <v>44</v>
      </c>
      <c r="G15182">
        <f>LOG(382/(44+1))</f>
        <v>0.92885084913636506</v>
      </c>
      <c r="H15182">
        <f>0.0140845070422535*2.13875811883625</f>
        <v>3.012335378642601E-2</v>
      </c>
      <c r="I15182">
        <v>3.0123353786426131E-2</v>
      </c>
    </row>
    <row r="15183" spans="1:9" x14ac:dyDescent="0.25">
      <c r="A15183">
        <v>502</v>
      </c>
      <c r="B15183" t="s">
        <v>4052</v>
      </c>
      <c r="C15183" t="s">
        <v>75</v>
      </c>
      <c r="D15183" t="s">
        <v>361</v>
      </c>
      <c r="E15183">
        <f t="shared" si="715"/>
        <v>1.4084507042253521E-2</v>
      </c>
      <c r="F15183">
        <v>118</v>
      </c>
      <c r="G15183">
        <f>LOG(382/(118+1))</f>
        <v>0.50651640151917798</v>
      </c>
      <c r="H15183">
        <f>0.0140845070422535*1.16629711549504</f>
        <v>1.6426719936549834E-2</v>
      </c>
      <c r="I15183">
        <v>1.6426719936549941E-2</v>
      </c>
    </row>
    <row r="15184" spans="1:9" x14ac:dyDescent="0.25">
      <c r="A15184">
        <v>502</v>
      </c>
      <c r="B15184" t="s">
        <v>4052</v>
      </c>
      <c r="C15184" t="s">
        <v>75</v>
      </c>
      <c r="D15184" t="s">
        <v>434</v>
      </c>
      <c r="E15184">
        <f t="shared" si="715"/>
        <v>1.4084507042253521E-2</v>
      </c>
      <c r="F15184">
        <v>97</v>
      </c>
      <c r="G15184">
        <f>LOG(382/(97+1))</f>
        <v>0.59083728721921391</v>
      </c>
      <c r="H15184">
        <f>0.0140845070422535*1.360453129936</f>
        <v>1.9161311689239409E-2</v>
      </c>
      <c r="I15184">
        <v>1.9161311689239478E-2</v>
      </c>
    </row>
    <row r="15185" spans="1:9" x14ac:dyDescent="0.25">
      <c r="A15185">
        <v>502</v>
      </c>
      <c r="B15185" t="s">
        <v>4052</v>
      </c>
      <c r="C15185" t="s">
        <v>75</v>
      </c>
      <c r="D15185" t="s">
        <v>4055</v>
      </c>
      <c r="E15185">
        <f t="shared" si="715"/>
        <v>1.4084507042253521E-2</v>
      </c>
      <c r="F15185">
        <v>1</v>
      </c>
      <c r="G15185">
        <f>LOG(382/(1+1))</f>
        <v>2.2810333672477277</v>
      </c>
      <c r="H15185">
        <f>0.0140845070422535*5.25227342804663</f>
        <v>7.3975682085163696E-2</v>
      </c>
      <c r="I15185">
        <v>7.3975682085163807E-2</v>
      </c>
    </row>
    <row r="15186" spans="1:9" x14ac:dyDescent="0.25">
      <c r="A15186">
        <v>502</v>
      </c>
      <c r="B15186" t="s">
        <v>4052</v>
      </c>
      <c r="C15186" t="s">
        <v>75</v>
      </c>
      <c r="D15186" t="s">
        <v>850</v>
      </c>
      <c r="E15186">
        <f t="shared" si="715"/>
        <v>1.4084507042253521E-2</v>
      </c>
      <c r="F15186">
        <v>14</v>
      </c>
      <c r="G15186">
        <f>LOG(382/(14+1))</f>
        <v>1.4059721038560276</v>
      </c>
      <c r="H15186">
        <f>0.0140845070422535*3.23737040750436</f>
        <v>4.559676630287824E-2</v>
      </c>
      <c r="I15186">
        <v>4.5596766302878393E-2</v>
      </c>
    </row>
    <row r="15187" spans="1:9" x14ac:dyDescent="0.25">
      <c r="A15187">
        <v>502</v>
      </c>
      <c r="B15187" t="s">
        <v>4052</v>
      </c>
      <c r="C15187" t="s">
        <v>75</v>
      </c>
      <c r="D15187" t="s">
        <v>214</v>
      </c>
      <c r="E15187">
        <f t="shared" si="715"/>
        <v>1.4084507042253521E-2</v>
      </c>
      <c r="F15187">
        <v>68</v>
      </c>
      <c r="G15187">
        <f>LOG(382/(68+1))</f>
        <v>0.74321427217445335</v>
      </c>
      <c r="H15187">
        <f>0.0140845070422535*1.71131410400931</f>
        <v>2.4103015549426867E-2</v>
      </c>
      <c r="I15187">
        <v>2.4103015549426988E-2</v>
      </c>
    </row>
    <row r="15188" spans="1:9" x14ac:dyDescent="0.25">
      <c r="A15188">
        <v>502</v>
      </c>
      <c r="B15188" t="s">
        <v>4052</v>
      </c>
      <c r="C15188" t="s">
        <v>75</v>
      </c>
      <c r="D15188" t="s">
        <v>676</v>
      </c>
      <c r="E15188">
        <f>3/71</f>
        <v>4.2253521126760563E-2</v>
      </c>
      <c r="F15188">
        <v>20</v>
      </c>
      <c r="G15188">
        <f>LOG(382/(20+1))</f>
        <v>1.2598440681777894</v>
      </c>
      <c r="H15188">
        <f>0.0422535211267605*2.90089817088315</f>
        <v>0.12257316214999207</v>
      </c>
      <c r="I15188">
        <v>0.12257316214999241</v>
      </c>
    </row>
    <row r="15189" spans="1:9" x14ac:dyDescent="0.25">
      <c r="A15189">
        <v>502</v>
      </c>
      <c r="B15189" t="s">
        <v>4052</v>
      </c>
      <c r="C15189" t="s">
        <v>75</v>
      </c>
      <c r="D15189" t="s">
        <v>671</v>
      </c>
      <c r="E15189">
        <f t="shared" ref="E15189:E15219" si="716">1/71</f>
        <v>1.4084507042253521E-2</v>
      </c>
      <c r="F15189">
        <v>10</v>
      </c>
      <c r="G15189">
        <f>LOG(382/(10+1))</f>
        <v>1.5406706777534838</v>
      </c>
      <c r="H15189">
        <f>0.0140845070422535*3.5475253358082</f>
        <v>4.9965145574763309E-2</v>
      </c>
      <c r="I15189">
        <v>4.9965145574763448E-2</v>
      </c>
    </row>
    <row r="15190" spans="1:9" x14ac:dyDescent="0.25">
      <c r="A15190">
        <v>502</v>
      </c>
      <c r="B15190" t="s">
        <v>4052</v>
      </c>
      <c r="C15190" t="s">
        <v>75</v>
      </c>
      <c r="D15190" t="s">
        <v>1480</v>
      </c>
      <c r="E15190">
        <f t="shared" si="716"/>
        <v>1.4084507042253521E-2</v>
      </c>
      <c r="F15190">
        <v>11</v>
      </c>
      <c r="G15190">
        <f>LOG(382/(11+1))</f>
        <v>1.5028821168640838</v>
      </c>
      <c r="H15190">
        <f>0.0140845070422535*3.46051395881857</f>
        <v>4.8739633222796688E-2</v>
      </c>
      <c r="I15190">
        <v>4.8739633222796827E-2</v>
      </c>
    </row>
    <row r="15191" spans="1:9" x14ac:dyDescent="0.25">
      <c r="A15191">
        <v>502</v>
      </c>
      <c r="B15191" t="s">
        <v>4052</v>
      </c>
      <c r="C15191" t="s">
        <v>75</v>
      </c>
      <c r="D15191" t="s">
        <v>117</v>
      </c>
      <c r="E15191">
        <f t="shared" si="716"/>
        <v>1.4084507042253521E-2</v>
      </c>
      <c r="F15191">
        <v>8</v>
      </c>
      <c r="G15191">
        <f>LOG(382/(8+1))</f>
        <v>1.6278208534723839</v>
      </c>
      <c r="H15191">
        <f>0.0140845070422535*3.74819603127035</f>
        <v>5.2791493398173864E-2</v>
      </c>
      <c r="I15191">
        <v>5.2791493398174023E-2</v>
      </c>
    </row>
    <row r="15192" spans="1:9" x14ac:dyDescent="0.25">
      <c r="A15192">
        <v>502</v>
      </c>
      <c r="B15192" t="s">
        <v>4052</v>
      </c>
      <c r="C15192" t="s">
        <v>75</v>
      </c>
      <c r="D15192" t="s">
        <v>1618</v>
      </c>
      <c r="E15192">
        <f t="shared" si="716"/>
        <v>1.4084507042253521E-2</v>
      </c>
      <c r="F15192">
        <v>6</v>
      </c>
      <c r="G15192">
        <f>LOG(382/(6+1))</f>
        <v>1.736965322897452</v>
      </c>
      <c r="H15192">
        <f>0.0140845070422535*3.99951045955126</f>
        <v>5.6331133233116254E-2</v>
      </c>
      <c r="I15192">
        <v>5.6331133233116372E-2</v>
      </c>
    </row>
    <row r="15193" spans="1:9" x14ac:dyDescent="0.25">
      <c r="A15193">
        <v>502</v>
      </c>
      <c r="B15193" t="s">
        <v>4052</v>
      </c>
      <c r="C15193" t="s">
        <v>75</v>
      </c>
      <c r="D15193" t="s">
        <v>140</v>
      </c>
      <c r="E15193">
        <f t="shared" si="716"/>
        <v>1.4084507042253521E-2</v>
      </c>
      <c r="F15193">
        <v>7</v>
      </c>
      <c r="G15193">
        <f>LOG(382/(7+1))</f>
        <v>1.6789733759197651</v>
      </c>
      <c r="H15193">
        <f>0.0140845070422535*3.86597906692673</f>
        <v>5.4450409393334148E-2</v>
      </c>
      <c r="I15193">
        <v>5.4450409393334363E-2</v>
      </c>
    </row>
    <row r="15194" spans="1:9" x14ac:dyDescent="0.25">
      <c r="A15194">
        <v>502</v>
      </c>
      <c r="B15194" t="s">
        <v>4052</v>
      </c>
      <c r="C15194" t="s">
        <v>75</v>
      </c>
      <c r="D15194" t="s">
        <v>25</v>
      </c>
      <c r="E15194">
        <f t="shared" si="716"/>
        <v>1.4084507042253521E-2</v>
      </c>
      <c r="F15194">
        <v>106</v>
      </c>
      <c r="G15194">
        <f>LOG(382/(106+1))</f>
        <v>0.55267958522649907</v>
      </c>
      <c r="H15194">
        <f>0.0140845070422535*1.27259177414466</f>
        <v>1.7923827804854339E-2</v>
      </c>
      <c r="I15194">
        <v>1.7923827804854499E-2</v>
      </c>
    </row>
    <row r="15195" spans="1:9" x14ac:dyDescent="0.25">
      <c r="A15195">
        <v>502</v>
      </c>
      <c r="B15195" t="s">
        <v>4052</v>
      </c>
      <c r="C15195" t="s">
        <v>75</v>
      </c>
      <c r="D15195" t="s">
        <v>1073</v>
      </c>
      <c r="E15195">
        <f t="shared" si="716"/>
        <v>1.4084507042253521E-2</v>
      </c>
      <c r="F15195">
        <v>25</v>
      </c>
      <c r="G15195">
        <f>LOG(382/(25+1))</f>
        <v>1.1670900149408907</v>
      </c>
      <c r="H15195">
        <f>0.0140845070422535*2.68732407058509</f>
        <v>3.7849634796973043E-2</v>
      </c>
      <c r="I15195">
        <v>3.7849634796973147E-2</v>
      </c>
    </row>
    <row r="15196" spans="1:9" x14ac:dyDescent="0.25">
      <c r="A15196">
        <v>502</v>
      </c>
      <c r="B15196" t="s">
        <v>4052</v>
      </c>
      <c r="C15196" t="s">
        <v>75</v>
      </c>
      <c r="D15196" t="s">
        <v>718</v>
      </c>
      <c r="E15196">
        <f t="shared" si="716"/>
        <v>1.4084507042253521E-2</v>
      </c>
      <c r="F15196">
        <v>4</v>
      </c>
      <c r="G15196">
        <f>LOG(382/(4+1))</f>
        <v>1.8830933585756899</v>
      </c>
      <c r="H15196">
        <f>0.0140845070422535*4.33598269617247</f>
        <v>6.1070178819330481E-2</v>
      </c>
      <c r="I15196">
        <v>6.1070178819330627E-2</v>
      </c>
    </row>
    <row r="15197" spans="1:9" x14ac:dyDescent="0.25">
      <c r="A15197">
        <v>502</v>
      </c>
      <c r="B15197" t="s">
        <v>4052</v>
      </c>
      <c r="C15197" t="s">
        <v>75</v>
      </c>
      <c r="D15197" t="s">
        <v>279</v>
      </c>
      <c r="E15197">
        <f t="shared" si="716"/>
        <v>1.4084507042253521E-2</v>
      </c>
      <c r="F15197">
        <v>22</v>
      </c>
      <c r="G15197">
        <f>LOG(382/(22+1))</f>
        <v>1.2203355268941158</v>
      </c>
      <c r="H15197">
        <f>0.0140845070422535*2.80992639267742</f>
        <v>3.9576428065879098E-2</v>
      </c>
      <c r="I15197">
        <v>3.9576428065879243E-2</v>
      </c>
    </row>
    <row r="15198" spans="1:9" x14ac:dyDescent="0.25">
      <c r="A15198">
        <v>502</v>
      </c>
      <c r="B15198" t="s">
        <v>4052</v>
      </c>
      <c r="C15198" t="s">
        <v>75</v>
      </c>
      <c r="D15198" t="s">
        <v>220</v>
      </c>
      <c r="E15198">
        <f t="shared" si="716"/>
        <v>1.4084507042253521E-2</v>
      </c>
      <c r="F15198">
        <v>5</v>
      </c>
      <c r="G15198">
        <f>LOG(382/(5+1))</f>
        <v>1.803912112528065</v>
      </c>
      <c r="H15198">
        <f>0.0140845070422535*4.15366113937852</f>
        <v>5.8502269568711462E-2</v>
      </c>
      <c r="I15198">
        <v>5.8502269568711553E-2</v>
      </c>
    </row>
    <row r="15199" spans="1:9" x14ac:dyDescent="0.25">
      <c r="A15199">
        <v>502</v>
      </c>
      <c r="B15199" t="s">
        <v>4052</v>
      </c>
      <c r="C15199" t="s">
        <v>75</v>
      </c>
      <c r="D15199" t="s">
        <v>204</v>
      </c>
      <c r="E15199">
        <f t="shared" si="716"/>
        <v>1.4084507042253521E-2</v>
      </c>
      <c r="F15199">
        <v>166</v>
      </c>
      <c r="G15199">
        <f>LOG(382/(166+1))</f>
        <v>0.35934689176412549</v>
      </c>
      <c r="H15199">
        <f>0.0140845070422535*0.82742679618982</f>
        <v>1.1653898537884771E-2</v>
      </c>
      <c r="I15199">
        <v>1.165389853788479E-2</v>
      </c>
    </row>
    <row r="15200" spans="1:9" x14ac:dyDescent="0.25">
      <c r="A15200">
        <v>502</v>
      </c>
      <c r="B15200" t="s">
        <v>4052</v>
      </c>
      <c r="C15200" t="s">
        <v>75</v>
      </c>
      <c r="D15200" t="s">
        <v>1735</v>
      </c>
      <c r="E15200">
        <f t="shared" si="716"/>
        <v>1.4084507042253521E-2</v>
      </c>
      <c r="F15200">
        <v>2</v>
      </c>
      <c r="G15200">
        <f>LOG(382/(2+1))</f>
        <v>2.1049421081920463</v>
      </c>
      <c r="H15200">
        <f>0.0140845070422535*4.84680831993846</f>
        <v>6.8264905914626098E-2</v>
      </c>
      <c r="I15200">
        <v>6.8264905914626278E-2</v>
      </c>
    </row>
    <row r="15201" spans="1:9" x14ac:dyDescent="0.25">
      <c r="A15201">
        <v>502</v>
      </c>
      <c r="B15201" t="s">
        <v>4052</v>
      </c>
      <c r="C15201" t="s">
        <v>75</v>
      </c>
      <c r="D15201" t="s">
        <v>3991</v>
      </c>
      <c r="E15201">
        <f t="shared" si="716"/>
        <v>1.4084507042253521E-2</v>
      </c>
      <c r="F15201">
        <v>3</v>
      </c>
      <c r="G15201">
        <f>LOG(382/(3+1))</f>
        <v>1.9800033715837464</v>
      </c>
      <c r="H15201">
        <f>0.0140845070422535*4.55912624748668</f>
        <v>6.4213045739248922E-2</v>
      </c>
      <c r="I15201">
        <v>6.4213045739249075E-2</v>
      </c>
    </row>
    <row r="15202" spans="1:9" x14ac:dyDescent="0.25">
      <c r="A15202">
        <v>502</v>
      </c>
      <c r="B15202" t="s">
        <v>4052</v>
      </c>
      <c r="C15202" t="s">
        <v>75</v>
      </c>
      <c r="D15202" t="s">
        <v>98</v>
      </c>
      <c r="E15202">
        <f t="shared" si="716"/>
        <v>1.4084507042253521E-2</v>
      </c>
      <c r="F15202">
        <v>56</v>
      </c>
      <c r="G15202">
        <f>LOG(382/(56+1))</f>
        <v>0.82618850723921733</v>
      </c>
      <c r="H15202">
        <f>0.0140845070422535*1.90236934077202</f>
        <v>2.6793934377070665E-2</v>
      </c>
      <c r="I15202">
        <v>2.6793934377070779E-2</v>
      </c>
    </row>
    <row r="15203" spans="1:9" x14ac:dyDescent="0.25">
      <c r="A15203">
        <v>502</v>
      </c>
      <c r="B15203" t="s">
        <v>4052</v>
      </c>
      <c r="C15203" t="s">
        <v>75</v>
      </c>
      <c r="D15203" t="s">
        <v>126</v>
      </c>
      <c r="E15203">
        <f t="shared" si="716"/>
        <v>1.4084507042253521E-2</v>
      </c>
      <c r="F15203">
        <v>79</v>
      </c>
      <c r="G15203">
        <f>LOG(382/(79+1))</f>
        <v>0.67897337591976514</v>
      </c>
      <c r="H15203">
        <f>0.0140845070422535*1.56339397393269</f>
        <v>2.2019633435671659E-2</v>
      </c>
      <c r="I15203">
        <v>2.2019633435671739E-2</v>
      </c>
    </row>
    <row r="15204" spans="1:9" x14ac:dyDescent="0.25">
      <c r="A15204">
        <v>502</v>
      </c>
      <c r="B15204" t="s">
        <v>4052</v>
      </c>
      <c r="C15204" t="s">
        <v>75</v>
      </c>
      <c r="D15204" t="s">
        <v>50</v>
      </c>
      <c r="E15204">
        <f t="shared" si="716"/>
        <v>1.4084507042253521E-2</v>
      </c>
      <c r="F15204">
        <v>109</v>
      </c>
      <c r="G15204">
        <f>LOG(382/(109+1))</f>
        <v>0.54067067775348365</v>
      </c>
      <c r="H15204">
        <f>0.0140845070422535*1.24494024281415</f>
        <v>1.7534369617100681E-2</v>
      </c>
      <c r="I15204">
        <v>1.753436961710083E-2</v>
      </c>
    </row>
    <row r="15205" spans="1:9" x14ac:dyDescent="0.25">
      <c r="A15205">
        <v>502</v>
      </c>
      <c r="B15205" t="s">
        <v>4052</v>
      </c>
      <c r="C15205" t="s">
        <v>75</v>
      </c>
      <c r="D15205" t="s">
        <v>239</v>
      </c>
      <c r="E15205">
        <f t="shared" si="716"/>
        <v>1.4084507042253521E-2</v>
      </c>
      <c r="F15205">
        <v>40</v>
      </c>
      <c r="G15205">
        <f>LOG(382/(40+1))</f>
        <v>0.96927950619197323</v>
      </c>
      <c r="H15205">
        <f>0.0140845070422535*2.23184854190226</f>
        <v>3.1434486505665583E-2</v>
      </c>
      <c r="I15205">
        <v>3.1434486505665743E-2</v>
      </c>
    </row>
    <row r="15206" spans="1:9" x14ac:dyDescent="0.25">
      <c r="A15206">
        <v>502</v>
      </c>
      <c r="B15206" t="s">
        <v>4052</v>
      </c>
      <c r="C15206" t="s">
        <v>75</v>
      </c>
      <c r="D15206" t="s">
        <v>4056</v>
      </c>
      <c r="E15206">
        <f t="shared" si="716"/>
        <v>1.4084507042253521E-2</v>
      </c>
      <c r="F15206">
        <v>1</v>
      </c>
      <c r="G15206">
        <f>LOG(382/(1+1))</f>
        <v>2.2810333672477277</v>
      </c>
      <c r="H15206">
        <f>0.0140845070422535*5.25227342804663</f>
        <v>7.3975682085163696E-2</v>
      </c>
      <c r="I15206">
        <v>7.3975682085163807E-2</v>
      </c>
    </row>
    <row r="15207" spans="1:9" x14ac:dyDescent="0.25">
      <c r="A15207">
        <v>502</v>
      </c>
      <c r="B15207" t="s">
        <v>4052</v>
      </c>
      <c r="C15207" t="s">
        <v>75</v>
      </c>
      <c r="D15207" t="s">
        <v>731</v>
      </c>
      <c r="E15207">
        <f t="shared" si="716"/>
        <v>1.4084507042253521E-2</v>
      </c>
      <c r="F15207">
        <v>7</v>
      </c>
      <c r="G15207">
        <f>LOG(382/(7+1))</f>
        <v>1.6789733759197651</v>
      </c>
      <c r="H15207">
        <f>0.0140845070422535*3.86597906692673</f>
        <v>5.4450409393334148E-2</v>
      </c>
      <c r="I15207">
        <v>5.4450409393334363E-2</v>
      </c>
    </row>
    <row r="15208" spans="1:9" x14ac:dyDescent="0.25">
      <c r="A15208">
        <v>502</v>
      </c>
      <c r="B15208" t="s">
        <v>4052</v>
      </c>
      <c r="C15208" t="s">
        <v>75</v>
      </c>
      <c r="D15208" t="s">
        <v>238</v>
      </c>
      <c r="E15208">
        <f t="shared" si="716"/>
        <v>1.4084507042253521E-2</v>
      </c>
      <c r="F15208">
        <v>10</v>
      </c>
      <c r="G15208">
        <f>LOG(382/(10+1))</f>
        <v>1.5406706777534838</v>
      </c>
      <c r="H15208">
        <f>0.0140845070422535*3.5475253358082</f>
        <v>4.9965145574763309E-2</v>
      </c>
      <c r="I15208">
        <v>4.9965145574763448E-2</v>
      </c>
    </row>
    <row r="15209" spans="1:9" x14ac:dyDescent="0.25">
      <c r="A15209">
        <v>502</v>
      </c>
      <c r="B15209" t="s">
        <v>4052</v>
      </c>
      <c r="C15209" t="s">
        <v>75</v>
      </c>
      <c r="D15209" t="s">
        <v>1547</v>
      </c>
      <c r="E15209">
        <f t="shared" si="716"/>
        <v>1.4084507042253521E-2</v>
      </c>
      <c r="F15209">
        <v>3</v>
      </c>
      <c r="G15209">
        <f>LOG(382/(3+1))</f>
        <v>1.9800033715837464</v>
      </c>
      <c r="H15209">
        <f>0.0140845070422535*4.55912624748668</f>
        <v>6.4213045739248922E-2</v>
      </c>
      <c r="I15209">
        <v>6.4213045739249075E-2</v>
      </c>
    </row>
    <row r="15210" spans="1:9" x14ac:dyDescent="0.25">
      <c r="A15210">
        <v>502</v>
      </c>
      <c r="B15210" t="s">
        <v>4052</v>
      </c>
      <c r="C15210" t="s">
        <v>75</v>
      </c>
      <c r="D15210" t="s">
        <v>133</v>
      </c>
      <c r="E15210">
        <f t="shared" si="716"/>
        <v>1.4084507042253521E-2</v>
      </c>
      <c r="F15210">
        <v>142</v>
      </c>
      <c r="G15210">
        <f>LOG(382/(142+1))</f>
        <v>0.42672732544664693</v>
      </c>
      <c r="H15210">
        <f>0.0140845070422535*0.982575978346667</f>
        <v>1.3839098286572754E-2</v>
      </c>
      <c r="I15210">
        <v>1.3839098286572789E-2</v>
      </c>
    </row>
    <row r="15211" spans="1:9" x14ac:dyDescent="0.25">
      <c r="A15211">
        <v>502</v>
      </c>
      <c r="B15211" t="s">
        <v>4052</v>
      </c>
      <c r="C15211" t="s">
        <v>75</v>
      </c>
      <c r="D15211" t="s">
        <v>1769</v>
      </c>
      <c r="E15211">
        <f t="shared" si="716"/>
        <v>1.4084507042253521E-2</v>
      </c>
      <c r="F15211">
        <v>84</v>
      </c>
      <c r="G15211">
        <f>LOG(382/(84+1))</f>
        <v>0.65264443719741605</v>
      </c>
      <c r="H15211">
        <f>0.0140845070422535*1.50276935211625</f>
        <v>2.1165765522764054E-2</v>
      </c>
      <c r="I15211">
        <v>2.116576552276421E-2</v>
      </c>
    </row>
    <row r="15212" spans="1:9" x14ac:dyDescent="0.25">
      <c r="A15212">
        <v>502</v>
      </c>
      <c r="B15212" t="s">
        <v>4052</v>
      </c>
      <c r="C15212" t="s">
        <v>75</v>
      </c>
      <c r="D15212" t="s">
        <v>884</v>
      </c>
      <c r="E15212">
        <f t="shared" si="716"/>
        <v>1.4084507042253521E-2</v>
      </c>
      <c r="F15212">
        <v>6</v>
      </c>
      <c r="G15212">
        <f>LOG(382/(6+1))</f>
        <v>1.736965322897452</v>
      </c>
      <c r="H15212">
        <f>0.0140845070422535*3.99951045955126</f>
        <v>5.6331133233116254E-2</v>
      </c>
      <c r="I15212">
        <v>5.6331133233116372E-2</v>
      </c>
    </row>
    <row r="15213" spans="1:9" x14ac:dyDescent="0.25">
      <c r="A15213">
        <v>502</v>
      </c>
      <c r="B15213" t="s">
        <v>4052</v>
      </c>
      <c r="C15213" t="s">
        <v>75</v>
      </c>
      <c r="D15213" t="s">
        <v>243</v>
      </c>
      <c r="E15213">
        <f t="shared" si="716"/>
        <v>1.4084507042253521E-2</v>
      </c>
      <c r="F15213">
        <v>131</v>
      </c>
      <c r="G15213">
        <f>LOG(382/(131+1))</f>
        <v>0.46148943170585888</v>
      </c>
      <c r="H15213">
        <f>0.0140845070422535*1.0626186860202</f>
        <v>1.4966460366481669E-2</v>
      </c>
      <c r="I15213">
        <v>1.496646036648175E-2</v>
      </c>
    </row>
    <row r="15214" spans="1:9" x14ac:dyDescent="0.25">
      <c r="A15214">
        <v>502</v>
      </c>
      <c r="B15214" t="s">
        <v>4052</v>
      </c>
      <c r="C15214" t="s">
        <v>75</v>
      </c>
      <c r="D15214" t="s">
        <v>307</v>
      </c>
      <c r="E15214">
        <f t="shared" si="716"/>
        <v>1.4084507042253521E-2</v>
      </c>
      <c r="F15214">
        <v>67</v>
      </c>
      <c r="G15214">
        <f>LOG(382/(67+1))</f>
        <v>0.7495544502054724</v>
      </c>
      <c r="H15214">
        <f>0.0140845070422535*1.72591290343046</f>
        <v>2.4308632442682502E-2</v>
      </c>
      <c r="I15214">
        <v>2.4308632442682651E-2</v>
      </c>
    </row>
    <row r="15215" spans="1:9" x14ac:dyDescent="0.25">
      <c r="A15215">
        <v>502</v>
      </c>
      <c r="B15215" t="s">
        <v>4052</v>
      </c>
      <c r="C15215" t="s">
        <v>75</v>
      </c>
      <c r="D15215" t="s">
        <v>455</v>
      </c>
      <c r="E15215">
        <f t="shared" si="716"/>
        <v>1.4084507042253521E-2</v>
      </c>
      <c r="F15215">
        <v>78</v>
      </c>
      <c r="G15215">
        <f>LOG(382/(78+1))</f>
        <v>0.6844362716212673</v>
      </c>
      <c r="H15215">
        <f>0.0140845070422535*1.57597275613955</f>
        <v>2.219679938224715E-2</v>
      </c>
      <c r="I15215">
        <v>2.2196799382247241E-2</v>
      </c>
    </row>
    <row r="15216" spans="1:9" x14ac:dyDescent="0.25">
      <c r="A15216">
        <v>502</v>
      </c>
      <c r="B15216" t="s">
        <v>4052</v>
      </c>
      <c r="C15216" t="s">
        <v>75</v>
      </c>
      <c r="D15216" t="s">
        <v>456</v>
      </c>
      <c r="E15216">
        <f t="shared" si="716"/>
        <v>1.4084507042253521E-2</v>
      </c>
      <c r="F15216">
        <v>71</v>
      </c>
      <c r="G15216">
        <f>LOG(382/(71+1))</f>
        <v>0.72473086648044027</v>
      </c>
      <c r="H15216">
        <f>0.0140845070422535*1.66875448959051</f>
        <v>2.3503584360429684E-2</v>
      </c>
      <c r="I15216">
        <v>2.3503584360429861E-2</v>
      </c>
    </row>
    <row r="15217" spans="1:9" x14ac:dyDescent="0.25">
      <c r="A15217">
        <v>502</v>
      </c>
      <c r="B15217" t="s">
        <v>4052</v>
      </c>
      <c r="C15217" t="s">
        <v>75</v>
      </c>
      <c r="D15217" t="s">
        <v>1779</v>
      </c>
      <c r="E15217">
        <f t="shared" si="716"/>
        <v>1.4084507042253521E-2</v>
      </c>
      <c r="F15217">
        <v>41</v>
      </c>
      <c r="G15217">
        <f>LOG(382/(41+1))</f>
        <v>0.95881407251380824</v>
      </c>
      <c r="H15217">
        <f>0.0140845070422535*2.2077509903232</f>
        <v>3.1095084370749253E-2</v>
      </c>
      <c r="I15217">
        <v>3.1095084370749392E-2</v>
      </c>
    </row>
    <row r="15218" spans="1:9" x14ac:dyDescent="0.25">
      <c r="A15218">
        <v>502</v>
      </c>
      <c r="B15218" t="s">
        <v>4052</v>
      </c>
      <c r="C15218" t="s">
        <v>75</v>
      </c>
      <c r="D15218" t="s">
        <v>4057</v>
      </c>
      <c r="E15218">
        <f t="shared" si="716"/>
        <v>1.4084507042253521E-2</v>
      </c>
      <c r="F15218">
        <v>1</v>
      </c>
      <c r="G15218">
        <f>LOG(382/(1+1))</f>
        <v>2.2810333672477277</v>
      </c>
      <c r="H15218">
        <f>0.0140845070422535*5.25227342804663</f>
        <v>7.3975682085163696E-2</v>
      </c>
      <c r="I15218">
        <v>7.3975682085163807E-2</v>
      </c>
    </row>
    <row r="15219" spans="1:9" x14ac:dyDescent="0.25">
      <c r="A15219">
        <v>502</v>
      </c>
      <c r="B15219" t="s">
        <v>4052</v>
      </c>
      <c r="C15219" t="s">
        <v>75</v>
      </c>
      <c r="D15219" t="s">
        <v>4058</v>
      </c>
      <c r="E15219">
        <f t="shared" si="716"/>
        <v>1.4084507042253521E-2</v>
      </c>
      <c r="F15219">
        <v>1</v>
      </c>
      <c r="G15219">
        <f>LOG(382/(1+1))</f>
        <v>2.2810333672477277</v>
      </c>
      <c r="H15219">
        <f>0.0140845070422535*5.25227342804663</f>
        <v>7.3975682085163696E-2</v>
      </c>
      <c r="I15219">
        <v>7.3975682085163807E-2</v>
      </c>
    </row>
    <row r="15220" spans="1:9" x14ac:dyDescent="0.25">
      <c r="A15220">
        <v>503</v>
      </c>
      <c r="B15220" t="s">
        <v>4059</v>
      </c>
      <c r="C15220" t="s">
        <v>75</v>
      </c>
      <c r="D15220" t="s">
        <v>65</v>
      </c>
      <c r="E15220">
        <f>6/128</f>
        <v>4.6875E-2</v>
      </c>
      <c r="F15220">
        <v>32</v>
      </c>
      <c r="G15220">
        <f>LOG(382/(32+1))</f>
        <v>1.0635494230338212</v>
      </c>
      <c r="H15220">
        <f>0.046875*2.44891304714009</f>
        <v>0.11479279908469173</v>
      </c>
      <c r="I15220">
        <v>0.11479279908469189</v>
      </c>
    </row>
    <row r="15221" spans="1:9" x14ac:dyDescent="0.25">
      <c r="A15221">
        <v>503</v>
      </c>
      <c r="B15221" t="s">
        <v>4059</v>
      </c>
      <c r="C15221" t="s">
        <v>75</v>
      </c>
      <c r="D15221" t="s">
        <v>3057</v>
      </c>
      <c r="E15221">
        <f>6/128</f>
        <v>4.6875E-2</v>
      </c>
      <c r="F15221">
        <v>7</v>
      </c>
      <c r="G15221">
        <f>LOG(382/(7+1))</f>
        <v>1.6789733759197651</v>
      </c>
      <c r="H15221">
        <f>0.046875*3.86597906692673</f>
        <v>0.18121776876219048</v>
      </c>
      <c r="I15221">
        <v>0.1812177687621909</v>
      </c>
    </row>
    <row r="15222" spans="1:9" x14ac:dyDescent="0.25">
      <c r="A15222">
        <v>503</v>
      </c>
      <c r="B15222" t="s">
        <v>4059</v>
      </c>
      <c r="C15222" t="s">
        <v>75</v>
      </c>
      <c r="D15222" t="s">
        <v>144</v>
      </c>
      <c r="E15222">
        <f>2/128</f>
        <v>1.5625E-2</v>
      </c>
      <c r="F15222">
        <v>105</v>
      </c>
      <c r="G15222">
        <f>LOG(382/(105+1))</f>
        <v>0.55675749764693849</v>
      </c>
      <c r="H15222">
        <f>0.015625*1.2819815144945</f>
        <v>2.0030961163976561E-2</v>
      </c>
      <c r="I15222">
        <v>2.003096116397669E-2</v>
      </c>
    </row>
    <row r="15223" spans="1:9" x14ac:dyDescent="0.25">
      <c r="A15223">
        <v>503</v>
      </c>
      <c r="B15223" t="s">
        <v>4059</v>
      </c>
      <c r="C15223" t="s">
        <v>75</v>
      </c>
      <c r="D15223" t="s">
        <v>1496</v>
      </c>
      <c r="E15223">
        <f>1/128</f>
        <v>7.8125E-3</v>
      </c>
      <c r="F15223">
        <v>39</v>
      </c>
      <c r="G15223">
        <f>LOG(382/(39+1))</f>
        <v>0.9800033715837464</v>
      </c>
      <c r="H15223">
        <f>0.0078125*2.25654115449263</f>
        <v>1.7629227769473673E-2</v>
      </c>
      <c r="I15223">
        <v>1.7629227769473739E-2</v>
      </c>
    </row>
    <row r="15224" spans="1:9" x14ac:dyDescent="0.25">
      <c r="A15224">
        <v>503</v>
      </c>
      <c r="B15224" t="s">
        <v>4059</v>
      </c>
      <c r="C15224" t="s">
        <v>75</v>
      </c>
      <c r="D15224" t="s">
        <v>40</v>
      </c>
      <c r="E15224">
        <f>4/128</f>
        <v>3.125E-2</v>
      </c>
      <c r="F15224">
        <v>159</v>
      </c>
      <c r="G15224">
        <f>LOG(382/(159+1))</f>
        <v>0.377943380255784</v>
      </c>
      <c r="H15224">
        <f>0.03125*0.870246793372748</f>
        <v>2.7195212292898376E-2</v>
      </c>
      <c r="I15224">
        <v>2.7195212292898389E-2</v>
      </c>
    </row>
    <row r="15225" spans="1:9" x14ac:dyDescent="0.25">
      <c r="A15225">
        <v>503</v>
      </c>
      <c r="B15225" t="s">
        <v>4059</v>
      </c>
      <c r="C15225" t="s">
        <v>75</v>
      </c>
      <c r="D15225" t="s">
        <v>41</v>
      </c>
      <c r="E15225">
        <f>4/128</f>
        <v>3.125E-2</v>
      </c>
      <c r="F15225">
        <v>195</v>
      </c>
      <c r="G15225">
        <f>LOG(382/(195+1))</f>
        <v>0.28980729155523272</v>
      </c>
      <c r="H15225">
        <f>0.03125*0.667305949376058</f>
        <v>2.0853310918001813E-2</v>
      </c>
      <c r="I15225">
        <v>2.085331091800181E-2</v>
      </c>
    </row>
    <row r="15226" spans="1:9" x14ac:dyDescent="0.25">
      <c r="A15226">
        <v>503</v>
      </c>
      <c r="B15226" t="s">
        <v>4059</v>
      </c>
      <c r="C15226" t="s">
        <v>75</v>
      </c>
      <c r="D15226" t="s">
        <v>4060</v>
      </c>
      <c r="E15226">
        <f>1/128</f>
        <v>7.8125E-3</v>
      </c>
      <c r="F15226">
        <v>1</v>
      </c>
      <c r="G15226">
        <f>LOG(382/(1+1))</f>
        <v>2.2810333672477277</v>
      </c>
      <c r="H15226">
        <f>0.0078125*5.25227342804663</f>
        <v>4.1033386156614296E-2</v>
      </c>
      <c r="I15226">
        <v>4.1033386156614303E-2</v>
      </c>
    </row>
    <row r="15227" spans="1:9" x14ac:dyDescent="0.25">
      <c r="A15227">
        <v>503</v>
      </c>
      <c r="B15227" t="s">
        <v>4059</v>
      </c>
      <c r="C15227" t="s">
        <v>75</v>
      </c>
      <c r="D15227" t="s">
        <v>552</v>
      </c>
      <c r="E15227">
        <f>1/128</f>
        <v>7.8125E-3</v>
      </c>
      <c r="F15227">
        <v>14</v>
      </c>
      <c r="G15227">
        <f>LOG(382/(14+1))</f>
        <v>1.4059721038560276</v>
      </c>
      <c r="H15227">
        <f>0.0078125*3.23737040750436</f>
        <v>2.5291956308627812E-2</v>
      </c>
      <c r="I15227">
        <v>2.529195630862785E-2</v>
      </c>
    </row>
    <row r="15228" spans="1:9" x14ac:dyDescent="0.25">
      <c r="A15228">
        <v>503</v>
      </c>
      <c r="B15228" t="s">
        <v>4059</v>
      </c>
      <c r="C15228" t="s">
        <v>75</v>
      </c>
      <c r="D15228" t="s">
        <v>920</v>
      </c>
      <c r="E15228">
        <f>4/128</f>
        <v>3.125E-2</v>
      </c>
      <c r="F15228">
        <v>30</v>
      </c>
      <c r="G15228">
        <f>LOG(382/(30+1))</f>
        <v>1.090701669077436</v>
      </c>
      <c r="H15228">
        <f>0.03125*2.51143340412142</f>
        <v>7.8482293878794379E-2</v>
      </c>
      <c r="I15228">
        <v>7.8482293878794657E-2</v>
      </c>
    </row>
    <row r="15229" spans="1:9" x14ac:dyDescent="0.25">
      <c r="A15229">
        <v>503</v>
      </c>
      <c r="B15229" t="s">
        <v>4059</v>
      </c>
      <c r="C15229" t="s">
        <v>75</v>
      </c>
      <c r="D15229" t="s">
        <v>17</v>
      </c>
      <c r="E15229">
        <f t="shared" ref="E15229:E15234" si="717">1/128</f>
        <v>7.8125E-3</v>
      </c>
      <c r="F15229">
        <v>169</v>
      </c>
      <c r="G15229">
        <f>LOG(382/(169+1))</f>
        <v>0.3516144415334348</v>
      </c>
      <c r="H15229">
        <f>0.0078125*0.809622171556313</f>
        <v>6.3251732152836953E-3</v>
      </c>
      <c r="I15229">
        <v>6.3251732152836988E-3</v>
      </c>
    </row>
    <row r="15230" spans="1:9" x14ac:dyDescent="0.25">
      <c r="A15230">
        <v>503</v>
      </c>
      <c r="B15230" t="s">
        <v>4059</v>
      </c>
      <c r="C15230" t="s">
        <v>75</v>
      </c>
      <c r="D15230" t="s">
        <v>19</v>
      </c>
      <c r="E15230">
        <f t="shared" si="717"/>
        <v>7.8125E-3</v>
      </c>
      <c r="F15230">
        <v>220</v>
      </c>
      <c r="G15230">
        <f>LOG(382/(220+1))</f>
        <v>0.23767108922659805</v>
      </c>
      <c r="H15230">
        <f>0.0078125*0.547257907088822</f>
        <v>4.2754523991314223E-3</v>
      </c>
      <c r="I15230">
        <v>4.2754523991314249E-3</v>
      </c>
    </row>
    <row r="15231" spans="1:9" x14ac:dyDescent="0.25">
      <c r="A15231">
        <v>503</v>
      </c>
      <c r="B15231" t="s">
        <v>4059</v>
      </c>
      <c r="C15231" t="s">
        <v>75</v>
      </c>
      <c r="D15231" t="s">
        <v>44</v>
      </c>
      <c r="E15231">
        <f t="shared" si="717"/>
        <v>7.8125E-3</v>
      </c>
      <c r="F15231">
        <v>151</v>
      </c>
      <c r="G15231">
        <f>LOG(382/(151+1))</f>
        <v>0.40021977496693617</v>
      </c>
      <c r="H15231">
        <f>0.0078125*0.921540087760298</f>
        <v>7.1995319356273286E-3</v>
      </c>
      <c r="I15231">
        <v>7.1995319356273338E-3</v>
      </c>
    </row>
    <row r="15232" spans="1:9" x14ac:dyDescent="0.25">
      <c r="A15232">
        <v>503</v>
      </c>
      <c r="B15232" t="s">
        <v>4059</v>
      </c>
      <c r="C15232" t="s">
        <v>75</v>
      </c>
      <c r="D15232" t="s">
        <v>22</v>
      </c>
      <c r="E15232">
        <f t="shared" si="717"/>
        <v>7.8125E-3</v>
      </c>
      <c r="F15232">
        <v>259</v>
      </c>
      <c r="G15232">
        <f>LOG(382/(259+1))</f>
        <v>0.16709001494089079</v>
      </c>
      <c r="H15232">
        <f>0.0078125*0.384738977591047</f>
        <v>3.0057732624300549E-3</v>
      </c>
      <c r="I15232">
        <v>3.0057732624300588E-3</v>
      </c>
    </row>
    <row r="15233" spans="1:9" x14ac:dyDescent="0.25">
      <c r="A15233">
        <v>503</v>
      </c>
      <c r="B15233" t="s">
        <v>4059</v>
      </c>
      <c r="C15233" t="s">
        <v>75</v>
      </c>
      <c r="D15233" t="s">
        <v>23</v>
      </c>
      <c r="E15233">
        <f t="shared" si="717"/>
        <v>7.8125E-3</v>
      </c>
      <c r="F15233">
        <v>275</v>
      </c>
      <c r="G15233">
        <f>LOG(382/(275+1))</f>
        <v>0.14115428084649101</v>
      </c>
      <c r="H15233">
        <f>0.0078125*0.325019742889425</f>
        <v>2.5392167413236326E-3</v>
      </c>
      <c r="I15233">
        <v>2.5392167413236339E-3</v>
      </c>
    </row>
    <row r="15234" spans="1:9" x14ac:dyDescent="0.25">
      <c r="A15234">
        <v>503</v>
      </c>
      <c r="B15234" t="s">
        <v>4059</v>
      </c>
      <c r="C15234" t="s">
        <v>75</v>
      </c>
      <c r="D15234" t="s">
        <v>3520</v>
      </c>
      <c r="E15234">
        <f t="shared" si="717"/>
        <v>7.8125E-3</v>
      </c>
      <c r="F15234">
        <v>8</v>
      </c>
      <c r="G15234">
        <f>LOG(382/(8+1))</f>
        <v>1.6278208534723839</v>
      </c>
      <c r="H15234">
        <f>0.0078125*3.74819603127035</f>
        <v>2.9282781494299609E-2</v>
      </c>
      <c r="I15234">
        <v>2.9282781494299651E-2</v>
      </c>
    </row>
    <row r="15235" spans="1:9" x14ac:dyDescent="0.25">
      <c r="A15235">
        <v>503</v>
      </c>
      <c r="B15235" t="s">
        <v>4059</v>
      </c>
      <c r="C15235" t="s">
        <v>75</v>
      </c>
      <c r="D15235" t="s">
        <v>2554</v>
      </c>
      <c r="E15235">
        <f>3/128</f>
        <v>2.34375E-2</v>
      </c>
      <c r="F15235">
        <v>22</v>
      </c>
      <c r="G15235">
        <f>LOG(382/(22+1))</f>
        <v>1.2203355268941158</v>
      </c>
      <c r="H15235">
        <f>0.0234375*2.80992639267742</f>
        <v>6.5857649828377024E-2</v>
      </c>
      <c r="I15235">
        <v>6.5857649828377163E-2</v>
      </c>
    </row>
    <row r="15236" spans="1:9" x14ac:dyDescent="0.25">
      <c r="A15236">
        <v>503</v>
      </c>
      <c r="B15236" t="s">
        <v>4059</v>
      </c>
      <c r="C15236" t="s">
        <v>75</v>
      </c>
      <c r="D15236" t="s">
        <v>204</v>
      </c>
      <c r="E15236">
        <f t="shared" ref="E15236:E15245" si="718">1/128</f>
        <v>7.8125E-3</v>
      </c>
      <c r="F15236">
        <v>166</v>
      </c>
      <c r="G15236">
        <f>LOG(382/(166+1))</f>
        <v>0.35934689176412549</v>
      </c>
      <c r="H15236">
        <f>0.0078125*0.82742679618982</f>
        <v>6.4642718452329684E-3</v>
      </c>
      <c r="I15236">
        <v>6.4642718452329693E-3</v>
      </c>
    </row>
    <row r="15237" spans="1:9" x14ac:dyDescent="0.25">
      <c r="A15237">
        <v>503</v>
      </c>
      <c r="B15237" t="s">
        <v>4059</v>
      </c>
      <c r="C15237" t="s">
        <v>75</v>
      </c>
      <c r="D15237" t="s">
        <v>78</v>
      </c>
      <c r="E15237">
        <f t="shared" si="718"/>
        <v>7.8125E-3</v>
      </c>
      <c r="F15237">
        <v>122</v>
      </c>
      <c r="G15237">
        <f>LOG(382/(122+1))</f>
        <v>0.49215825147231079</v>
      </c>
      <c r="H15237">
        <f>0.0078125*1.13323625323415</f>
        <v>8.8534082283917969E-3</v>
      </c>
      <c r="I15237">
        <v>8.8534082283918559E-3</v>
      </c>
    </row>
    <row r="15238" spans="1:9" x14ac:dyDescent="0.25">
      <c r="A15238">
        <v>503</v>
      </c>
      <c r="B15238" t="s">
        <v>4059</v>
      </c>
      <c r="C15238" t="s">
        <v>75</v>
      </c>
      <c r="D15238" t="s">
        <v>754</v>
      </c>
      <c r="E15238">
        <f t="shared" si="718"/>
        <v>7.8125E-3</v>
      </c>
      <c r="F15238">
        <v>111</v>
      </c>
      <c r="G15238">
        <f>LOG(382/(111+1))</f>
        <v>0.53284534024152708</v>
      </c>
      <c r="H15238">
        <f>0.0078125*1.22692173731148</f>
        <v>9.5853260727459377E-3</v>
      </c>
      <c r="I15238">
        <v>9.5853260727459429E-3</v>
      </c>
    </row>
    <row r="15239" spans="1:9" x14ac:dyDescent="0.25">
      <c r="A15239">
        <v>503</v>
      </c>
      <c r="B15239" t="s">
        <v>4059</v>
      </c>
      <c r="C15239" t="s">
        <v>75</v>
      </c>
      <c r="D15239" t="s">
        <v>76</v>
      </c>
      <c r="E15239">
        <f t="shared" si="718"/>
        <v>7.8125E-3</v>
      </c>
      <c r="F15239">
        <v>140</v>
      </c>
      <c r="G15239">
        <f>LOG(382/(140+1))</f>
        <v>0.43284425025632883</v>
      </c>
      <c r="H15239">
        <f>0.0078125*0.996660718228407</f>
        <v>7.7864118611594294E-3</v>
      </c>
      <c r="I15239">
        <v>7.7864118611594294E-3</v>
      </c>
    </row>
    <row r="15240" spans="1:9" x14ac:dyDescent="0.25">
      <c r="A15240">
        <v>503</v>
      </c>
      <c r="B15240" t="s">
        <v>4059</v>
      </c>
      <c r="C15240" t="s">
        <v>75</v>
      </c>
      <c r="D15240" t="s">
        <v>77</v>
      </c>
      <c r="E15240">
        <f t="shared" si="718"/>
        <v>7.8125E-3</v>
      </c>
      <c r="F15240">
        <v>148</v>
      </c>
      <c r="G15240">
        <f>LOG(382/(148+1))</f>
        <v>0.40887709449943471</v>
      </c>
      <c r="H15240">
        <f>0.0078125*0.941474302661116</f>
        <v>7.3552679895399686E-3</v>
      </c>
      <c r="I15240">
        <v>7.3552679895399686E-3</v>
      </c>
    </row>
    <row r="15241" spans="1:9" x14ac:dyDescent="0.25">
      <c r="A15241">
        <v>503</v>
      </c>
      <c r="B15241" t="s">
        <v>4059</v>
      </c>
      <c r="C15241" t="s">
        <v>75</v>
      </c>
      <c r="D15241" t="s">
        <v>994</v>
      </c>
      <c r="E15241">
        <f t="shared" si="718"/>
        <v>7.8125E-3</v>
      </c>
      <c r="F15241">
        <v>37</v>
      </c>
      <c r="G15241">
        <f>LOG(382/(37+1))</f>
        <v>1.0022797662948986</v>
      </c>
      <c r="H15241">
        <f>0.0078125*2.30783444888018</f>
        <v>1.8029956631876405E-2</v>
      </c>
      <c r="I15241">
        <v>1.8029956631876481E-2</v>
      </c>
    </row>
    <row r="15242" spans="1:9" x14ac:dyDescent="0.25">
      <c r="A15242">
        <v>503</v>
      </c>
      <c r="B15242" t="s">
        <v>4059</v>
      </c>
      <c r="C15242" t="s">
        <v>75</v>
      </c>
      <c r="D15242" t="s">
        <v>327</v>
      </c>
      <c r="E15242">
        <f t="shared" si="718"/>
        <v>7.8125E-3</v>
      </c>
      <c r="F15242">
        <v>46</v>
      </c>
      <c r="G15242">
        <f>LOG(382/(46+1))</f>
        <v>0.90996550497599127</v>
      </c>
      <c r="H15242">
        <f>0.0078125*2.09527300689651</f>
        <v>1.6369320366378986E-2</v>
      </c>
      <c r="I15242">
        <v>1.6369320366379031E-2</v>
      </c>
    </row>
    <row r="15243" spans="1:9" x14ac:dyDescent="0.25">
      <c r="A15243">
        <v>503</v>
      </c>
      <c r="B15243" t="s">
        <v>4059</v>
      </c>
      <c r="C15243" t="s">
        <v>75</v>
      </c>
      <c r="D15243" t="s">
        <v>1083</v>
      </c>
      <c r="E15243">
        <f t="shared" si="718"/>
        <v>7.8125E-3</v>
      </c>
      <c r="F15243">
        <v>51</v>
      </c>
      <c r="G15243">
        <f>LOG(382/(51+1))</f>
        <v>0.86606001927690957</v>
      </c>
      <c r="H15243">
        <f>0.0078125*1.99417689002514</f>
        <v>1.5579506953321406E-2</v>
      </c>
      <c r="I15243">
        <v>1.557950695332147E-2</v>
      </c>
    </row>
    <row r="15244" spans="1:9" x14ac:dyDescent="0.25">
      <c r="A15244">
        <v>503</v>
      </c>
      <c r="B15244" t="s">
        <v>4059</v>
      </c>
      <c r="C15244" t="s">
        <v>75</v>
      </c>
      <c r="D15244" t="s">
        <v>133</v>
      </c>
      <c r="E15244">
        <f t="shared" si="718"/>
        <v>7.8125E-3</v>
      </c>
      <c r="F15244">
        <v>142</v>
      </c>
      <c r="G15244">
        <f>LOG(382/(142+1))</f>
        <v>0.42672732544664693</v>
      </c>
      <c r="H15244">
        <f>0.0078125*0.982575978346667</f>
        <v>7.6763748308333359E-3</v>
      </c>
      <c r="I15244">
        <v>7.6763748308333428E-3</v>
      </c>
    </row>
    <row r="15245" spans="1:9" x14ac:dyDescent="0.25">
      <c r="A15245">
        <v>503</v>
      </c>
      <c r="B15245" t="s">
        <v>4059</v>
      </c>
      <c r="C15245" t="s">
        <v>75</v>
      </c>
      <c r="D15245" t="s">
        <v>4061</v>
      </c>
      <c r="E15245">
        <f t="shared" si="718"/>
        <v>7.8125E-3</v>
      </c>
      <c r="F15245">
        <v>2</v>
      </c>
      <c r="G15245">
        <f>LOG(382/(2+1))</f>
        <v>2.1049421081920463</v>
      </c>
      <c r="H15245">
        <f>0.0078125*4.84680831993846</f>
        <v>3.7865689999519218E-2</v>
      </c>
      <c r="I15245">
        <v>3.786568999951926E-2</v>
      </c>
    </row>
    <row r="15246" spans="1:9" x14ac:dyDescent="0.25">
      <c r="A15246">
        <v>503</v>
      </c>
      <c r="B15246" t="s">
        <v>4059</v>
      </c>
      <c r="C15246" t="s">
        <v>75</v>
      </c>
      <c r="D15246" t="s">
        <v>1080</v>
      </c>
      <c r="E15246">
        <f>2/128</f>
        <v>1.5625E-2</v>
      </c>
      <c r="F15246">
        <v>26</v>
      </c>
      <c r="G15246">
        <f>LOG(382/(26+1))</f>
        <v>1.1506995987527215</v>
      </c>
      <c r="H15246">
        <f>0.015625*2.64958374260224</f>
        <v>4.1399745978159999E-2</v>
      </c>
      <c r="I15246">
        <v>4.1399745978160103E-2</v>
      </c>
    </row>
    <row r="15247" spans="1:9" x14ac:dyDescent="0.25">
      <c r="A15247">
        <v>503</v>
      </c>
      <c r="B15247" t="s">
        <v>4059</v>
      </c>
      <c r="C15247" t="s">
        <v>75</v>
      </c>
      <c r="D15247" t="s">
        <v>361</v>
      </c>
      <c r="E15247">
        <f>2/128</f>
        <v>1.5625E-2</v>
      </c>
      <c r="F15247">
        <v>118</v>
      </c>
      <c r="G15247">
        <f>LOG(382/(118+1))</f>
        <v>0.50651640151917798</v>
      </c>
      <c r="H15247">
        <f>0.015625*1.16629711549504</f>
        <v>1.8223392429609998E-2</v>
      </c>
      <c r="I15247">
        <v>1.8223392429610089E-2</v>
      </c>
    </row>
    <row r="15248" spans="1:9" x14ac:dyDescent="0.25">
      <c r="A15248">
        <v>503</v>
      </c>
      <c r="B15248" t="s">
        <v>4059</v>
      </c>
      <c r="C15248" t="s">
        <v>75</v>
      </c>
      <c r="D15248" t="s">
        <v>434</v>
      </c>
      <c r="E15248">
        <f>1/128</f>
        <v>7.8125E-3</v>
      </c>
      <c r="F15248">
        <v>97</v>
      </c>
      <c r="G15248">
        <f>LOG(382/(97+1))</f>
        <v>0.59083728721921391</v>
      </c>
      <c r="H15248">
        <f>0.0078125*1.360453129936</f>
        <v>1.0628540077625001E-2</v>
      </c>
      <c r="I15248">
        <v>1.062854007762503E-2</v>
      </c>
    </row>
    <row r="15249" spans="1:9" x14ac:dyDescent="0.25">
      <c r="A15249">
        <v>503</v>
      </c>
      <c r="B15249" t="s">
        <v>4059</v>
      </c>
      <c r="C15249" t="s">
        <v>75</v>
      </c>
      <c r="D15249" t="s">
        <v>3325</v>
      </c>
      <c r="E15249">
        <f>1/128</f>
        <v>7.8125E-3</v>
      </c>
      <c r="F15249">
        <v>19</v>
      </c>
      <c r="G15249">
        <f>LOG(382/(19+1))</f>
        <v>1.2810333672477277</v>
      </c>
      <c r="H15249">
        <f>0.0078125*2.94968833505258</f>
        <v>2.3044440117598281E-2</v>
      </c>
      <c r="I15249">
        <v>2.3044440117598319E-2</v>
      </c>
    </row>
    <row r="15250" spans="1:9" x14ac:dyDescent="0.25">
      <c r="A15250">
        <v>503</v>
      </c>
      <c r="B15250" t="s">
        <v>4059</v>
      </c>
      <c r="C15250" t="s">
        <v>75</v>
      </c>
      <c r="D15250" t="s">
        <v>210</v>
      </c>
      <c r="E15250">
        <f>1/128</f>
        <v>7.8125E-3</v>
      </c>
      <c r="F15250">
        <v>9</v>
      </c>
      <c r="G15250">
        <f>LOG(382/(9+1))</f>
        <v>1.5820633629117087</v>
      </c>
      <c r="H15250">
        <f>0.0078125*3.64283551561252</f>
        <v>2.8459652465722813E-2</v>
      </c>
      <c r="I15250">
        <v>2.8459652465722889E-2</v>
      </c>
    </row>
    <row r="15251" spans="1:9" x14ac:dyDescent="0.25">
      <c r="A15251">
        <v>503</v>
      </c>
      <c r="B15251" t="s">
        <v>4059</v>
      </c>
      <c r="C15251" t="s">
        <v>75</v>
      </c>
      <c r="D15251" t="s">
        <v>1972</v>
      </c>
      <c r="E15251">
        <f>1/128</f>
        <v>7.8125E-3</v>
      </c>
      <c r="F15251">
        <v>9</v>
      </c>
      <c r="G15251">
        <f>LOG(382/(9+1))</f>
        <v>1.5820633629117087</v>
      </c>
      <c r="H15251">
        <f>0.0078125*3.64283551561252</f>
        <v>2.8459652465722813E-2</v>
      </c>
      <c r="I15251">
        <v>2.8459652465722889E-2</v>
      </c>
    </row>
    <row r="15252" spans="1:9" x14ac:dyDescent="0.25">
      <c r="A15252">
        <v>503</v>
      </c>
      <c r="B15252" t="s">
        <v>4059</v>
      </c>
      <c r="C15252" t="s">
        <v>75</v>
      </c>
      <c r="D15252" t="s">
        <v>1748</v>
      </c>
      <c r="E15252">
        <f>2/128</f>
        <v>1.5625E-2</v>
      </c>
      <c r="F15252">
        <v>12</v>
      </c>
      <c r="G15252">
        <f>LOG(382/(12+1))</f>
        <v>1.468120010604872</v>
      </c>
      <c r="H15252">
        <f>0.015625*3.38047125114503</f>
        <v>5.2819863299141095E-2</v>
      </c>
      <c r="I15252">
        <v>5.2819863299141227E-2</v>
      </c>
    </row>
    <row r="15253" spans="1:9" x14ac:dyDescent="0.25">
      <c r="A15253">
        <v>503</v>
      </c>
      <c r="B15253" t="s">
        <v>4059</v>
      </c>
      <c r="C15253" t="s">
        <v>75</v>
      </c>
      <c r="D15253" t="s">
        <v>214</v>
      </c>
      <c r="E15253">
        <f>2/128</f>
        <v>1.5625E-2</v>
      </c>
      <c r="F15253">
        <v>68</v>
      </c>
      <c r="G15253">
        <f>LOG(382/(68+1))</f>
        <v>0.74321427217445335</v>
      </c>
      <c r="H15253">
        <f>0.015625*1.71131410400931</f>
        <v>2.673928287514547E-2</v>
      </c>
      <c r="I15253">
        <v>2.673928287514556E-2</v>
      </c>
    </row>
    <row r="15254" spans="1:9" x14ac:dyDescent="0.25">
      <c r="A15254">
        <v>503</v>
      </c>
      <c r="B15254" t="s">
        <v>4059</v>
      </c>
      <c r="C15254" t="s">
        <v>75</v>
      </c>
      <c r="D15254" t="s">
        <v>3327</v>
      </c>
      <c r="E15254">
        <f>1/128</f>
        <v>7.8125E-3</v>
      </c>
      <c r="F15254">
        <v>21</v>
      </c>
      <c r="G15254">
        <f>LOG(382/(21+1))</f>
        <v>1.2396406820895025</v>
      </c>
      <c r="H15254">
        <f>0.0078125*2.85437815524825</f>
        <v>2.2299829337876952E-2</v>
      </c>
      <c r="I15254">
        <v>2.2299829337877029E-2</v>
      </c>
    </row>
    <row r="15255" spans="1:9" x14ac:dyDescent="0.25">
      <c r="A15255">
        <v>503</v>
      </c>
      <c r="B15255" t="s">
        <v>4059</v>
      </c>
      <c r="C15255" t="s">
        <v>75</v>
      </c>
      <c r="D15255" t="s">
        <v>4062</v>
      </c>
      <c r="E15255">
        <f>1/128</f>
        <v>7.8125E-3</v>
      </c>
      <c r="F15255">
        <v>3</v>
      </c>
      <c r="G15255">
        <f>LOG(382/(3+1))</f>
        <v>1.9800033715837464</v>
      </c>
      <c r="H15255">
        <f>0.0078125*4.55912624748668</f>
        <v>3.5618173808489688E-2</v>
      </c>
      <c r="I15255">
        <v>3.5618173808489723E-2</v>
      </c>
    </row>
    <row r="15256" spans="1:9" x14ac:dyDescent="0.25">
      <c r="A15256">
        <v>503</v>
      </c>
      <c r="B15256" t="s">
        <v>4059</v>
      </c>
      <c r="C15256" t="s">
        <v>75</v>
      </c>
      <c r="D15256" t="s">
        <v>2238</v>
      </c>
      <c r="E15256">
        <f>1/128</f>
        <v>7.8125E-3</v>
      </c>
      <c r="F15256">
        <v>68</v>
      </c>
      <c r="G15256">
        <f>LOG(382/(68+1))</f>
        <v>0.74321427217445335</v>
      </c>
      <c r="H15256">
        <f>0.0078125*1.71131410400931</f>
        <v>1.3369641437572735E-2</v>
      </c>
      <c r="I15256">
        <v>1.336964143757278E-2</v>
      </c>
    </row>
    <row r="15257" spans="1:9" x14ac:dyDescent="0.25">
      <c r="A15257">
        <v>503</v>
      </c>
      <c r="B15257" t="s">
        <v>4059</v>
      </c>
      <c r="C15257" t="s">
        <v>75</v>
      </c>
      <c r="D15257" t="s">
        <v>716</v>
      </c>
      <c r="E15257">
        <f>1/128</f>
        <v>7.8125E-3</v>
      </c>
      <c r="F15257">
        <v>13</v>
      </c>
      <c r="G15257">
        <f>LOG(382/(13+1))</f>
        <v>1.4359353272334707</v>
      </c>
      <c r="H15257">
        <f>0.0078125*3.30636327899131</f>
        <v>2.5830963117119611E-2</v>
      </c>
      <c r="I15257">
        <v>2.583096311711966E-2</v>
      </c>
    </row>
    <row r="15258" spans="1:9" x14ac:dyDescent="0.25">
      <c r="A15258">
        <v>503</v>
      </c>
      <c r="B15258" t="s">
        <v>4059</v>
      </c>
      <c r="C15258" t="s">
        <v>75</v>
      </c>
      <c r="D15258" t="s">
        <v>746</v>
      </c>
      <c r="E15258">
        <f>2/128</f>
        <v>1.5625E-2</v>
      </c>
      <c r="F15258">
        <v>58</v>
      </c>
      <c r="G15258">
        <f>LOG(382/(58+1))</f>
        <v>0.81121135126956456</v>
      </c>
      <c r="H15258">
        <f>0.015625*1.86788316470085</f>
        <v>2.9185674448450782E-2</v>
      </c>
      <c r="I15258">
        <v>2.9185674448450868E-2</v>
      </c>
    </row>
    <row r="15259" spans="1:9" x14ac:dyDescent="0.25">
      <c r="A15259">
        <v>503</v>
      </c>
      <c r="B15259" t="s">
        <v>4059</v>
      </c>
      <c r="C15259" t="s">
        <v>75</v>
      </c>
      <c r="D15259" t="s">
        <v>2768</v>
      </c>
      <c r="E15259">
        <f>1/128</f>
        <v>7.8125E-3</v>
      </c>
      <c r="F15259">
        <v>4</v>
      </c>
      <c r="G15259">
        <f>LOG(382/(4+1))</f>
        <v>1.8830933585756899</v>
      </c>
      <c r="H15259">
        <f>0.0078125*4.33598269617247</f>
        <v>3.3874864813847425E-2</v>
      </c>
      <c r="I15259">
        <v>3.3874864813847459E-2</v>
      </c>
    </row>
    <row r="15260" spans="1:9" x14ac:dyDescent="0.25">
      <c r="A15260">
        <v>503</v>
      </c>
      <c r="B15260" t="s">
        <v>4059</v>
      </c>
      <c r="C15260" t="s">
        <v>75</v>
      </c>
      <c r="D15260" t="s">
        <v>1922</v>
      </c>
      <c r="E15260">
        <f>1/128</f>
        <v>7.8125E-3</v>
      </c>
      <c r="F15260">
        <v>15</v>
      </c>
      <c r="G15260">
        <f>LOG(382/(15+1))</f>
        <v>1.3779433802557839</v>
      </c>
      <c r="H15260">
        <f>0.0078125*3.17283188636679</f>
        <v>2.4787749112240548E-2</v>
      </c>
      <c r="I15260">
        <v>2.4787749112240579E-2</v>
      </c>
    </row>
    <row r="15261" spans="1:9" x14ac:dyDescent="0.25">
      <c r="A15261">
        <v>503</v>
      </c>
      <c r="B15261" t="s">
        <v>4059</v>
      </c>
      <c r="C15261" t="s">
        <v>75</v>
      </c>
      <c r="D15261" t="s">
        <v>1546</v>
      </c>
      <c r="E15261">
        <f>1/128</f>
        <v>7.8125E-3</v>
      </c>
      <c r="F15261">
        <v>44</v>
      </c>
      <c r="G15261">
        <f>LOG(382/(44+1))</f>
        <v>0.92885084913636506</v>
      </c>
      <c r="H15261">
        <f>0.0078125*2.13875811883625</f>
        <v>1.6709047803408202E-2</v>
      </c>
      <c r="I15261">
        <v>1.670904780340824E-2</v>
      </c>
    </row>
    <row r="15262" spans="1:9" x14ac:dyDescent="0.25">
      <c r="A15262">
        <v>503</v>
      </c>
      <c r="B15262" t="s">
        <v>4059</v>
      </c>
      <c r="C15262" t="s">
        <v>75</v>
      </c>
      <c r="D15262" t="s">
        <v>399</v>
      </c>
      <c r="E15262">
        <f>1/128</f>
        <v>7.8125E-3</v>
      </c>
      <c r="F15262">
        <v>27</v>
      </c>
      <c r="G15262">
        <f>LOG(382/(27+1))</f>
        <v>1.1349053315694895</v>
      </c>
      <c r="H15262">
        <f>0.0078125*2.61321609843137</f>
        <v>2.0415750768995079E-2</v>
      </c>
      <c r="I15262">
        <v>2.041575076899509E-2</v>
      </c>
    </row>
    <row r="15263" spans="1:9" x14ac:dyDescent="0.25">
      <c r="A15263">
        <v>503</v>
      </c>
      <c r="B15263" t="s">
        <v>4059</v>
      </c>
      <c r="C15263" t="s">
        <v>75</v>
      </c>
      <c r="D15263" t="s">
        <v>772</v>
      </c>
      <c r="E15263">
        <f>2/128</f>
        <v>1.5625E-2</v>
      </c>
      <c r="F15263">
        <v>31</v>
      </c>
      <c r="G15263">
        <f>LOG(382/(31+1))</f>
        <v>1.0769133845918029</v>
      </c>
      <c r="H15263">
        <f>0.015625*2.47968470580684</f>
        <v>3.8745073528231873E-2</v>
      </c>
      <c r="I15263">
        <v>3.8745073528232012E-2</v>
      </c>
    </row>
    <row r="15264" spans="1:9" x14ac:dyDescent="0.25">
      <c r="A15264">
        <v>503</v>
      </c>
      <c r="B15264" t="s">
        <v>4059</v>
      </c>
      <c r="C15264" t="s">
        <v>75</v>
      </c>
      <c r="D15264" t="s">
        <v>3332</v>
      </c>
      <c r="E15264">
        <f>1/128</f>
        <v>7.8125E-3</v>
      </c>
      <c r="F15264">
        <v>3</v>
      </c>
      <c r="G15264">
        <f>LOG(382/(3+1))</f>
        <v>1.9800033715837464</v>
      </c>
      <c r="H15264">
        <f>0.0078125*4.55912624748668</f>
        <v>3.5618173808489688E-2</v>
      </c>
      <c r="I15264">
        <v>3.5618173808489723E-2</v>
      </c>
    </row>
    <row r="15265" spans="1:9" x14ac:dyDescent="0.25">
      <c r="A15265">
        <v>503</v>
      </c>
      <c r="B15265" t="s">
        <v>4059</v>
      </c>
      <c r="C15265" t="s">
        <v>75</v>
      </c>
      <c r="D15265" t="s">
        <v>119</v>
      </c>
      <c r="E15265">
        <f>1/128</f>
        <v>7.8125E-3</v>
      </c>
      <c r="F15265">
        <v>79</v>
      </c>
      <c r="G15265">
        <f>LOG(382/(79+1))</f>
        <v>0.67897337591976514</v>
      </c>
      <c r="H15265">
        <f>0.0078125*1.56339397393269</f>
        <v>1.2214015421349141E-2</v>
      </c>
      <c r="I15265">
        <v>1.2214015421349171E-2</v>
      </c>
    </row>
    <row r="15266" spans="1:9" x14ac:dyDescent="0.25">
      <c r="A15266">
        <v>503</v>
      </c>
      <c r="B15266" t="s">
        <v>4059</v>
      </c>
      <c r="C15266" t="s">
        <v>75</v>
      </c>
      <c r="D15266" t="s">
        <v>612</v>
      </c>
      <c r="E15266">
        <f>1/128</f>
        <v>7.8125E-3</v>
      </c>
      <c r="F15266">
        <v>5</v>
      </c>
      <c r="G15266">
        <f>LOG(382/(5+1))</f>
        <v>1.803912112528065</v>
      </c>
      <c r="H15266">
        <f>0.0078125*4.15366113937852</f>
        <v>3.2450477651394687E-2</v>
      </c>
      <c r="I15266">
        <v>3.2450477651394687E-2</v>
      </c>
    </row>
    <row r="15267" spans="1:9" x14ac:dyDescent="0.25">
      <c r="A15267">
        <v>503</v>
      </c>
      <c r="B15267" t="s">
        <v>4059</v>
      </c>
      <c r="C15267" t="s">
        <v>75</v>
      </c>
      <c r="D15267" t="s">
        <v>324</v>
      </c>
      <c r="E15267">
        <f>2/128</f>
        <v>1.5625E-2</v>
      </c>
      <c r="F15267">
        <v>82</v>
      </c>
      <c r="G15267">
        <f>LOG(382/(82+1))</f>
        <v>0.66298527053563483</v>
      </c>
      <c r="H15267">
        <f>0.015625*1.52658000080997</f>
        <v>2.385281251265578E-2</v>
      </c>
      <c r="I15267">
        <v>2.3852812512655891E-2</v>
      </c>
    </row>
    <row r="15268" spans="1:9" x14ac:dyDescent="0.25">
      <c r="A15268">
        <v>503</v>
      </c>
      <c r="B15268" t="s">
        <v>4059</v>
      </c>
      <c r="C15268" t="s">
        <v>75</v>
      </c>
      <c r="D15268" t="s">
        <v>714</v>
      </c>
      <c r="E15268">
        <f>1/128</f>
        <v>7.8125E-3</v>
      </c>
      <c r="F15268">
        <v>12</v>
      </c>
      <c r="G15268">
        <f>LOG(382/(12+1))</f>
        <v>1.468120010604872</v>
      </c>
      <c r="H15268">
        <f>0.0078125*3.38047125114503</f>
        <v>2.6409931649570548E-2</v>
      </c>
      <c r="I15268">
        <v>2.640993164957061E-2</v>
      </c>
    </row>
    <row r="15269" spans="1:9" x14ac:dyDescent="0.25">
      <c r="A15269">
        <v>503</v>
      </c>
      <c r="B15269" t="s">
        <v>4059</v>
      </c>
      <c r="C15269" t="s">
        <v>75</v>
      </c>
      <c r="D15269" t="s">
        <v>82</v>
      </c>
      <c r="E15269">
        <f>2/128</f>
        <v>1.5625E-2</v>
      </c>
      <c r="F15269">
        <v>92</v>
      </c>
      <c r="G15269">
        <f>LOG(382/(92+1))</f>
        <v>0.61358041435777355</v>
      </c>
      <c r="H15269">
        <f>0.015625*1.41282111545331</f>
        <v>2.2075329928957967E-2</v>
      </c>
      <c r="I15269">
        <v>2.207532992895811E-2</v>
      </c>
    </row>
    <row r="15270" spans="1:9" x14ac:dyDescent="0.25">
      <c r="A15270">
        <v>503</v>
      </c>
      <c r="B15270" t="s">
        <v>4059</v>
      </c>
      <c r="C15270" t="s">
        <v>75</v>
      </c>
      <c r="D15270" t="s">
        <v>362</v>
      </c>
      <c r="E15270">
        <f t="shared" ref="E15270:E15284" si="719">1/128</f>
        <v>7.8125E-3</v>
      </c>
      <c r="F15270">
        <v>81</v>
      </c>
      <c r="G15270">
        <f>LOG(382/(81+1))</f>
        <v>0.66824951052799197</v>
      </c>
      <c r="H15270">
        <f>0.0078125*1.53870136134232</f>
        <v>1.2021104385486875E-2</v>
      </c>
      <c r="I15270">
        <v>1.202110438548689E-2</v>
      </c>
    </row>
    <row r="15271" spans="1:9" x14ac:dyDescent="0.25">
      <c r="A15271">
        <v>503</v>
      </c>
      <c r="B15271" t="s">
        <v>4059</v>
      </c>
      <c r="C15271" t="s">
        <v>75</v>
      </c>
      <c r="D15271" t="s">
        <v>393</v>
      </c>
      <c r="E15271">
        <f t="shared" si="719"/>
        <v>7.8125E-3</v>
      </c>
      <c r="F15271">
        <v>6</v>
      </c>
      <c r="G15271">
        <f>LOG(382/(6+1))</f>
        <v>1.736965322897452</v>
      </c>
      <c r="H15271">
        <f>0.0078125*3.99951045955126</f>
        <v>3.1246175465244219E-2</v>
      </c>
      <c r="I15271">
        <v>3.124617546524423E-2</v>
      </c>
    </row>
    <row r="15272" spans="1:9" x14ac:dyDescent="0.25">
      <c r="A15272">
        <v>503</v>
      </c>
      <c r="B15272" t="s">
        <v>4059</v>
      </c>
      <c r="C15272" t="s">
        <v>75</v>
      </c>
      <c r="D15272" t="s">
        <v>509</v>
      </c>
      <c r="E15272">
        <f t="shared" si="719"/>
        <v>7.8125E-3</v>
      </c>
      <c r="F15272">
        <v>5</v>
      </c>
      <c r="G15272">
        <f>LOG(382/(5+1))</f>
        <v>1.803912112528065</v>
      </c>
      <c r="H15272">
        <f>0.0078125*4.15366113937852</f>
        <v>3.2450477651394687E-2</v>
      </c>
      <c r="I15272">
        <v>3.2450477651394687E-2</v>
      </c>
    </row>
    <row r="15273" spans="1:9" x14ac:dyDescent="0.25">
      <c r="A15273">
        <v>503</v>
      </c>
      <c r="B15273" t="s">
        <v>4059</v>
      </c>
      <c r="C15273" t="s">
        <v>75</v>
      </c>
      <c r="D15273" t="s">
        <v>1181</v>
      </c>
      <c r="E15273">
        <f t="shared" si="719"/>
        <v>7.8125E-3</v>
      </c>
      <c r="F15273">
        <v>11</v>
      </c>
      <c r="G15273">
        <f>LOG(382/(11+1))</f>
        <v>1.5028821168640838</v>
      </c>
      <c r="H15273">
        <f>0.0078125*3.46051395881857</f>
        <v>2.7035265303270078E-2</v>
      </c>
      <c r="I15273">
        <v>2.703526530327012E-2</v>
      </c>
    </row>
    <row r="15274" spans="1:9" x14ac:dyDescent="0.25">
      <c r="A15274">
        <v>503</v>
      </c>
      <c r="B15274" t="s">
        <v>4059</v>
      </c>
      <c r="C15274" t="s">
        <v>75</v>
      </c>
      <c r="D15274" t="s">
        <v>2369</v>
      </c>
      <c r="E15274">
        <f t="shared" si="719"/>
        <v>7.8125E-3</v>
      </c>
      <c r="F15274">
        <v>15</v>
      </c>
      <c r="G15274">
        <f>LOG(382/(15+1))</f>
        <v>1.3779433802557839</v>
      </c>
      <c r="H15274">
        <f>0.0078125*3.17283188636679</f>
        <v>2.4787749112240548E-2</v>
      </c>
      <c r="I15274">
        <v>2.4787749112240579E-2</v>
      </c>
    </row>
    <row r="15275" spans="1:9" x14ac:dyDescent="0.25">
      <c r="A15275">
        <v>503</v>
      </c>
      <c r="B15275" t="s">
        <v>4059</v>
      </c>
      <c r="C15275" t="s">
        <v>75</v>
      </c>
      <c r="D15275" t="s">
        <v>1076</v>
      </c>
      <c r="E15275">
        <f t="shared" si="719"/>
        <v>7.8125E-3</v>
      </c>
      <c r="F15275">
        <v>13</v>
      </c>
      <c r="G15275">
        <f>LOG(382/(13+1))</f>
        <v>1.4359353272334707</v>
      </c>
      <c r="H15275">
        <f>0.0078125*3.30636327899131</f>
        <v>2.5830963117119611E-2</v>
      </c>
      <c r="I15275">
        <v>2.583096311711966E-2</v>
      </c>
    </row>
    <row r="15276" spans="1:9" x14ac:dyDescent="0.25">
      <c r="A15276">
        <v>503</v>
      </c>
      <c r="B15276" t="s">
        <v>4059</v>
      </c>
      <c r="C15276" t="s">
        <v>75</v>
      </c>
      <c r="D15276" t="s">
        <v>243</v>
      </c>
      <c r="E15276">
        <f t="shared" si="719"/>
        <v>7.8125E-3</v>
      </c>
      <c r="F15276">
        <v>131</v>
      </c>
      <c r="G15276">
        <f>LOG(382/(131+1))</f>
        <v>0.46148943170585888</v>
      </c>
      <c r="H15276">
        <f>0.0078125*1.0626186860202</f>
        <v>8.3017084845328128E-3</v>
      </c>
      <c r="I15276">
        <v>8.3017084845328458E-3</v>
      </c>
    </row>
    <row r="15277" spans="1:9" x14ac:dyDescent="0.25">
      <c r="A15277">
        <v>503</v>
      </c>
      <c r="B15277" t="s">
        <v>4059</v>
      </c>
      <c r="C15277" t="s">
        <v>75</v>
      </c>
      <c r="D15277" t="s">
        <v>770</v>
      </c>
      <c r="E15277">
        <f t="shared" si="719"/>
        <v>7.8125E-3</v>
      </c>
      <c r="F15277">
        <v>47</v>
      </c>
      <c r="G15277">
        <f>LOG(382/(47+1))</f>
        <v>0.90082212553612151</v>
      </c>
      <c r="H15277">
        <f>0.0078125*2.07421959769868</f>
        <v>1.6204840607020939E-2</v>
      </c>
      <c r="I15277">
        <v>1.620484060702097E-2</v>
      </c>
    </row>
    <row r="15278" spans="1:9" x14ac:dyDescent="0.25">
      <c r="A15278">
        <v>503</v>
      </c>
      <c r="B15278" t="s">
        <v>4059</v>
      </c>
      <c r="C15278" t="s">
        <v>75</v>
      </c>
      <c r="D15278" t="s">
        <v>307</v>
      </c>
      <c r="E15278">
        <f t="shared" si="719"/>
        <v>7.8125E-3</v>
      </c>
      <c r="F15278">
        <v>67</v>
      </c>
      <c r="G15278">
        <f>LOG(382/(67+1))</f>
        <v>0.7495544502054724</v>
      </c>
      <c r="H15278">
        <f>0.0078125*1.72591290343046</f>
        <v>1.348369455805047E-2</v>
      </c>
      <c r="I15278">
        <v>1.348369455805053E-2</v>
      </c>
    </row>
    <row r="15279" spans="1:9" x14ac:dyDescent="0.25">
      <c r="A15279">
        <v>503</v>
      </c>
      <c r="B15279" t="s">
        <v>4059</v>
      </c>
      <c r="C15279" t="s">
        <v>75</v>
      </c>
      <c r="D15279" t="s">
        <v>894</v>
      </c>
      <c r="E15279">
        <f t="shared" si="719"/>
        <v>7.8125E-3</v>
      </c>
      <c r="F15279">
        <v>5</v>
      </c>
      <c r="G15279">
        <f>LOG(382/(5+1))</f>
        <v>1.803912112528065</v>
      </c>
      <c r="H15279">
        <f>0.0078125*4.15366113937852</f>
        <v>3.2450477651394687E-2</v>
      </c>
      <c r="I15279">
        <v>3.2450477651394687E-2</v>
      </c>
    </row>
    <row r="15280" spans="1:9" x14ac:dyDescent="0.25">
      <c r="A15280">
        <v>503</v>
      </c>
      <c r="B15280" t="s">
        <v>4059</v>
      </c>
      <c r="C15280" t="s">
        <v>75</v>
      </c>
      <c r="D15280" t="s">
        <v>455</v>
      </c>
      <c r="E15280">
        <f t="shared" si="719"/>
        <v>7.8125E-3</v>
      </c>
      <c r="F15280">
        <v>78</v>
      </c>
      <c r="G15280">
        <f>LOG(382/(78+1))</f>
        <v>0.6844362716212673</v>
      </c>
      <c r="H15280">
        <f>0.0078125*1.57597275613955</f>
        <v>1.2312287157340234E-2</v>
      </c>
      <c r="I15280">
        <v>1.231228715734026E-2</v>
      </c>
    </row>
    <row r="15281" spans="1:9" x14ac:dyDescent="0.25">
      <c r="A15281">
        <v>503</v>
      </c>
      <c r="B15281" t="s">
        <v>4059</v>
      </c>
      <c r="C15281" t="s">
        <v>75</v>
      </c>
      <c r="D15281" t="s">
        <v>1779</v>
      </c>
      <c r="E15281">
        <f t="shared" si="719"/>
        <v>7.8125E-3</v>
      </c>
      <c r="F15281">
        <v>41</v>
      </c>
      <c r="G15281">
        <f>LOG(382/(41+1))</f>
        <v>0.95881407251380824</v>
      </c>
      <c r="H15281">
        <f>0.0078125*2.2077509903232</f>
        <v>1.7248054611900002E-2</v>
      </c>
      <c r="I15281">
        <v>1.724805461190005E-2</v>
      </c>
    </row>
    <row r="15282" spans="1:9" x14ac:dyDescent="0.25">
      <c r="A15282">
        <v>503</v>
      </c>
      <c r="B15282" t="s">
        <v>4059</v>
      </c>
      <c r="C15282" t="s">
        <v>75</v>
      </c>
      <c r="D15282" t="s">
        <v>4063</v>
      </c>
      <c r="E15282">
        <f t="shared" si="719"/>
        <v>7.8125E-3</v>
      </c>
      <c r="F15282">
        <v>1</v>
      </c>
      <c r="G15282">
        <f>LOG(382/(1+1))</f>
        <v>2.2810333672477277</v>
      </c>
      <c r="H15282">
        <f>0.0078125*5.25227342804663</f>
        <v>4.1033386156614296E-2</v>
      </c>
      <c r="I15282">
        <v>4.1033386156614303E-2</v>
      </c>
    </row>
    <row r="15283" spans="1:9" x14ac:dyDescent="0.25">
      <c r="A15283">
        <v>503</v>
      </c>
      <c r="B15283" t="s">
        <v>4059</v>
      </c>
      <c r="C15283" t="s">
        <v>75</v>
      </c>
      <c r="D15283" t="s">
        <v>676</v>
      </c>
      <c r="E15283">
        <f t="shared" si="719"/>
        <v>7.8125E-3</v>
      </c>
      <c r="F15283">
        <v>20</v>
      </c>
      <c r="G15283">
        <f>LOG(382/(20+1))</f>
        <v>1.2598440681777894</v>
      </c>
      <c r="H15283">
        <f>0.0078125*2.90089817088315</f>
        <v>2.266326696002461E-2</v>
      </c>
      <c r="I15283">
        <v>2.2663266960024631E-2</v>
      </c>
    </row>
    <row r="15284" spans="1:9" x14ac:dyDescent="0.25">
      <c r="A15284">
        <v>503</v>
      </c>
      <c r="B15284" t="s">
        <v>4059</v>
      </c>
      <c r="C15284" t="s">
        <v>75</v>
      </c>
      <c r="D15284" t="s">
        <v>237</v>
      </c>
      <c r="E15284">
        <f t="shared" si="719"/>
        <v>7.8125E-3</v>
      </c>
      <c r="F15284">
        <v>138</v>
      </c>
      <c r="G15284">
        <f>LOG(382/(138+1))</f>
        <v>0.43904856265761361</v>
      </c>
      <c r="H15284">
        <f>0.0078125*1.01094667547588</f>
        <v>7.8980209021553126E-3</v>
      </c>
      <c r="I15284">
        <v>7.8980209021553387E-3</v>
      </c>
    </row>
    <row r="15285" spans="1:9" x14ac:dyDescent="0.25">
      <c r="A15285">
        <v>503</v>
      </c>
      <c r="B15285" t="s">
        <v>4059</v>
      </c>
      <c r="C15285" t="s">
        <v>75</v>
      </c>
      <c r="D15285" t="s">
        <v>482</v>
      </c>
      <c r="E15285">
        <f>4/128</f>
        <v>3.125E-2</v>
      </c>
      <c r="F15285">
        <v>16</v>
      </c>
      <c r="G15285">
        <f>LOG(382/(16+1))</f>
        <v>1.3516144415334348</v>
      </c>
      <c r="H15285">
        <f>0.03125*3.11220726455035</f>
        <v>9.7256477017198431E-2</v>
      </c>
      <c r="I15285">
        <v>9.7256477017198723E-2</v>
      </c>
    </row>
    <row r="15286" spans="1:9" x14ac:dyDescent="0.25">
      <c r="A15286">
        <v>503</v>
      </c>
      <c r="B15286" t="s">
        <v>4059</v>
      </c>
      <c r="C15286" t="s">
        <v>75</v>
      </c>
      <c r="D15286" t="s">
        <v>4064</v>
      </c>
      <c r="E15286">
        <f t="shared" ref="E15286:E15296" si="720">1/128</f>
        <v>7.8125E-3</v>
      </c>
      <c r="F15286">
        <v>1</v>
      </c>
      <c r="G15286">
        <f>LOG(382/(1+1))</f>
        <v>2.2810333672477277</v>
      </c>
      <c r="H15286">
        <f>0.0078125*5.25227342804663</f>
        <v>4.1033386156614296E-2</v>
      </c>
      <c r="I15286">
        <v>4.1033386156614303E-2</v>
      </c>
    </row>
    <row r="15287" spans="1:9" x14ac:dyDescent="0.25">
      <c r="A15287">
        <v>503</v>
      </c>
      <c r="B15287" t="s">
        <v>4059</v>
      </c>
      <c r="C15287" t="s">
        <v>75</v>
      </c>
      <c r="D15287" t="s">
        <v>4065</v>
      </c>
      <c r="E15287">
        <f t="shared" si="720"/>
        <v>7.8125E-3</v>
      </c>
      <c r="F15287">
        <v>1</v>
      </c>
      <c r="G15287">
        <f>LOG(382/(1+1))</f>
        <v>2.2810333672477277</v>
      </c>
      <c r="H15287">
        <f>0.0078125*5.25227342804663</f>
        <v>4.1033386156614296E-2</v>
      </c>
      <c r="I15287">
        <v>4.1033386156614303E-2</v>
      </c>
    </row>
    <row r="15288" spans="1:9" x14ac:dyDescent="0.25">
      <c r="A15288">
        <v>503</v>
      </c>
      <c r="B15288" t="s">
        <v>4059</v>
      </c>
      <c r="C15288" t="s">
        <v>75</v>
      </c>
      <c r="D15288" t="s">
        <v>4066</v>
      </c>
      <c r="E15288">
        <f t="shared" si="720"/>
        <v>7.8125E-3</v>
      </c>
      <c r="F15288">
        <v>1</v>
      </c>
      <c r="G15288">
        <f>LOG(382/(1+1))</f>
        <v>2.2810333672477277</v>
      </c>
      <c r="H15288">
        <f>0.0078125*5.25227342804663</f>
        <v>4.1033386156614296E-2</v>
      </c>
      <c r="I15288">
        <v>4.1033386156614303E-2</v>
      </c>
    </row>
    <row r="15289" spans="1:9" x14ac:dyDescent="0.25">
      <c r="A15289">
        <v>503</v>
      </c>
      <c r="B15289" t="s">
        <v>4059</v>
      </c>
      <c r="C15289" t="s">
        <v>75</v>
      </c>
      <c r="D15289" t="s">
        <v>1106</v>
      </c>
      <c r="E15289">
        <f t="shared" si="720"/>
        <v>7.8125E-3</v>
      </c>
      <c r="F15289">
        <v>7</v>
      </c>
      <c r="G15289">
        <f>LOG(382/(7+1))</f>
        <v>1.6789733759197651</v>
      </c>
      <c r="H15289">
        <f>0.0078125*3.86597906692673</f>
        <v>3.020296146036508E-2</v>
      </c>
      <c r="I15289">
        <v>3.0202961460365149E-2</v>
      </c>
    </row>
    <row r="15290" spans="1:9" x14ac:dyDescent="0.25">
      <c r="A15290">
        <v>503</v>
      </c>
      <c r="B15290" t="s">
        <v>4059</v>
      </c>
      <c r="C15290" t="s">
        <v>75</v>
      </c>
      <c r="D15290" t="s">
        <v>4067</v>
      </c>
      <c r="E15290">
        <f t="shared" si="720"/>
        <v>7.8125E-3</v>
      </c>
      <c r="F15290">
        <v>1</v>
      </c>
      <c r="G15290">
        <f>LOG(382/(1+1))</f>
        <v>2.2810333672477277</v>
      </c>
      <c r="H15290">
        <f>0.0078125*5.25227342804663</f>
        <v>4.1033386156614296E-2</v>
      </c>
      <c r="I15290">
        <v>4.1033386156614303E-2</v>
      </c>
    </row>
    <row r="15291" spans="1:9" x14ac:dyDescent="0.25">
      <c r="A15291">
        <v>503</v>
      </c>
      <c r="B15291" t="s">
        <v>4059</v>
      </c>
      <c r="C15291" t="s">
        <v>75</v>
      </c>
      <c r="D15291" t="s">
        <v>4068</v>
      </c>
      <c r="E15291">
        <f t="shared" si="720"/>
        <v>7.8125E-3</v>
      </c>
      <c r="F15291">
        <v>1</v>
      </c>
      <c r="G15291">
        <f>LOG(382/(1+1))</f>
        <v>2.2810333672477277</v>
      </c>
      <c r="H15291">
        <f>0.0078125*5.25227342804663</f>
        <v>4.1033386156614296E-2</v>
      </c>
      <c r="I15291">
        <v>4.1033386156614303E-2</v>
      </c>
    </row>
    <row r="15292" spans="1:9" x14ac:dyDescent="0.25">
      <c r="A15292">
        <v>503</v>
      </c>
      <c r="B15292" t="s">
        <v>4059</v>
      </c>
      <c r="C15292" t="s">
        <v>75</v>
      </c>
      <c r="D15292" t="s">
        <v>4069</v>
      </c>
      <c r="E15292">
        <f t="shared" si="720"/>
        <v>7.8125E-3</v>
      </c>
      <c r="F15292">
        <v>1</v>
      </c>
      <c r="G15292">
        <f>LOG(382/(1+1))</f>
        <v>2.2810333672477277</v>
      </c>
      <c r="H15292">
        <f>0.0078125*5.25227342804663</f>
        <v>4.1033386156614296E-2</v>
      </c>
      <c r="I15292">
        <v>4.1033386156614303E-2</v>
      </c>
    </row>
    <row r="15293" spans="1:9" x14ac:dyDescent="0.25">
      <c r="A15293">
        <v>503</v>
      </c>
      <c r="B15293" t="s">
        <v>4059</v>
      </c>
      <c r="C15293" t="s">
        <v>75</v>
      </c>
      <c r="D15293" t="s">
        <v>859</v>
      </c>
      <c r="E15293">
        <f t="shared" si="720"/>
        <v>7.8125E-3</v>
      </c>
      <c r="F15293">
        <v>6</v>
      </c>
      <c r="G15293">
        <f>LOG(382/(6+1))</f>
        <v>1.736965322897452</v>
      </c>
      <c r="H15293">
        <f>0.0078125*3.99951045955126</f>
        <v>3.1246175465244219E-2</v>
      </c>
      <c r="I15293">
        <v>3.124617546524423E-2</v>
      </c>
    </row>
    <row r="15294" spans="1:9" x14ac:dyDescent="0.25">
      <c r="A15294">
        <v>503</v>
      </c>
      <c r="B15294" t="s">
        <v>4059</v>
      </c>
      <c r="C15294" t="s">
        <v>75</v>
      </c>
      <c r="D15294" t="s">
        <v>4070</v>
      </c>
      <c r="E15294">
        <f t="shared" si="720"/>
        <v>7.8125E-3</v>
      </c>
      <c r="F15294">
        <v>1</v>
      </c>
      <c r="G15294">
        <f>LOG(382/(1+1))</f>
        <v>2.2810333672477277</v>
      </c>
      <c r="H15294">
        <f>0.0078125*5.25227342804663</f>
        <v>4.1033386156614296E-2</v>
      </c>
      <c r="I15294">
        <v>4.1033386156614303E-2</v>
      </c>
    </row>
    <row r="15295" spans="1:9" x14ac:dyDescent="0.25">
      <c r="A15295">
        <v>503</v>
      </c>
      <c r="B15295" t="s">
        <v>4059</v>
      </c>
      <c r="C15295" t="s">
        <v>75</v>
      </c>
      <c r="D15295" t="s">
        <v>429</v>
      </c>
      <c r="E15295">
        <f t="shared" si="720"/>
        <v>7.8125E-3</v>
      </c>
      <c r="F15295">
        <v>11</v>
      </c>
      <c r="G15295">
        <f>LOG(382/(11+1))</f>
        <v>1.5028821168640838</v>
      </c>
      <c r="H15295">
        <f>0.0078125*3.46051395881857</f>
        <v>2.7035265303270078E-2</v>
      </c>
      <c r="I15295">
        <v>2.703526530327012E-2</v>
      </c>
    </row>
    <row r="15296" spans="1:9" x14ac:dyDescent="0.25">
      <c r="A15296">
        <v>503</v>
      </c>
      <c r="B15296" t="s">
        <v>4059</v>
      </c>
      <c r="C15296" t="s">
        <v>75</v>
      </c>
      <c r="D15296" t="s">
        <v>4071</v>
      </c>
      <c r="E15296">
        <f t="shared" si="720"/>
        <v>7.8125E-3</v>
      </c>
      <c r="F15296">
        <v>1</v>
      </c>
      <c r="G15296">
        <f>LOG(382/(1+1))</f>
        <v>2.2810333672477277</v>
      </c>
      <c r="H15296">
        <f>0.0078125*5.25227342804663</f>
        <v>4.1033386156614296E-2</v>
      </c>
      <c r="I15296">
        <v>4.1033386156614303E-2</v>
      </c>
    </row>
    <row r="15297" spans="1:9" x14ac:dyDescent="0.25">
      <c r="A15297">
        <v>503</v>
      </c>
      <c r="B15297" t="s">
        <v>4059</v>
      </c>
      <c r="C15297" t="s">
        <v>75</v>
      </c>
      <c r="D15297" t="s">
        <v>1224</v>
      </c>
      <c r="E15297">
        <f>2/128</f>
        <v>1.5625E-2</v>
      </c>
      <c r="F15297">
        <v>11</v>
      </c>
      <c r="G15297">
        <f>LOG(382/(11+1))</f>
        <v>1.5028821168640838</v>
      </c>
      <c r="H15297">
        <f>0.015625*3.46051395881857</f>
        <v>5.4070530606540157E-2</v>
      </c>
      <c r="I15297">
        <v>5.4070530606540233E-2</v>
      </c>
    </row>
    <row r="15298" spans="1:9" x14ac:dyDescent="0.25">
      <c r="A15298">
        <v>503</v>
      </c>
      <c r="B15298" t="s">
        <v>4059</v>
      </c>
      <c r="C15298" t="s">
        <v>75</v>
      </c>
      <c r="D15298" t="s">
        <v>4072</v>
      </c>
      <c r="E15298">
        <f t="shared" ref="E15298:E15313" si="721">1/128</f>
        <v>7.8125E-3</v>
      </c>
      <c r="F15298">
        <v>1</v>
      </c>
      <c r="G15298">
        <f>LOG(382/(1+1))</f>
        <v>2.2810333672477277</v>
      </c>
      <c r="H15298">
        <f>0.0078125*5.25227342804663</f>
        <v>4.1033386156614296E-2</v>
      </c>
      <c r="I15298">
        <v>4.1033386156614303E-2</v>
      </c>
    </row>
    <row r="15299" spans="1:9" x14ac:dyDescent="0.25">
      <c r="A15299">
        <v>503</v>
      </c>
      <c r="B15299" t="s">
        <v>4059</v>
      </c>
      <c r="C15299" t="s">
        <v>75</v>
      </c>
      <c r="D15299" t="s">
        <v>4073</v>
      </c>
      <c r="E15299">
        <f t="shared" si="721"/>
        <v>7.8125E-3</v>
      </c>
      <c r="F15299">
        <v>1</v>
      </c>
      <c r="G15299">
        <f>LOG(382/(1+1))</f>
        <v>2.2810333672477277</v>
      </c>
      <c r="H15299">
        <f>0.0078125*5.25227342804663</f>
        <v>4.1033386156614296E-2</v>
      </c>
      <c r="I15299">
        <v>4.1033386156614303E-2</v>
      </c>
    </row>
    <row r="15300" spans="1:9" x14ac:dyDescent="0.25">
      <c r="A15300">
        <v>503</v>
      </c>
      <c r="B15300" t="s">
        <v>4059</v>
      </c>
      <c r="C15300" t="s">
        <v>75</v>
      </c>
      <c r="D15300" t="s">
        <v>4074</v>
      </c>
      <c r="E15300">
        <f t="shared" si="721"/>
        <v>7.8125E-3</v>
      </c>
      <c r="F15300">
        <v>1</v>
      </c>
      <c r="G15300">
        <f>LOG(382/(1+1))</f>
        <v>2.2810333672477277</v>
      </c>
      <c r="H15300">
        <f>0.0078125*5.25227342804663</f>
        <v>4.1033386156614296E-2</v>
      </c>
      <c r="I15300">
        <v>4.1033386156614303E-2</v>
      </c>
    </row>
    <row r="15301" spans="1:9" x14ac:dyDescent="0.25">
      <c r="A15301">
        <v>503</v>
      </c>
      <c r="B15301" t="s">
        <v>4059</v>
      </c>
      <c r="C15301" t="s">
        <v>75</v>
      </c>
      <c r="D15301" t="s">
        <v>4075</v>
      </c>
      <c r="E15301">
        <f t="shared" si="721"/>
        <v>7.8125E-3</v>
      </c>
      <c r="F15301">
        <v>1</v>
      </c>
      <c r="G15301">
        <f>LOG(382/(1+1))</f>
        <v>2.2810333672477277</v>
      </c>
      <c r="H15301">
        <f>0.0078125*5.25227342804663</f>
        <v>4.1033386156614296E-2</v>
      </c>
      <c r="I15301">
        <v>4.1033386156614303E-2</v>
      </c>
    </row>
    <row r="15302" spans="1:9" x14ac:dyDescent="0.25">
      <c r="A15302">
        <v>503</v>
      </c>
      <c r="B15302" t="s">
        <v>4059</v>
      </c>
      <c r="C15302" t="s">
        <v>75</v>
      </c>
      <c r="D15302" t="s">
        <v>1109</v>
      </c>
      <c r="E15302">
        <f t="shared" si="721"/>
        <v>7.8125E-3</v>
      </c>
      <c r="F15302">
        <v>2</v>
      </c>
      <c r="G15302">
        <f>LOG(382/(2+1))</f>
        <v>2.1049421081920463</v>
      </c>
      <c r="H15302">
        <f>0.0078125*4.84680831993846</f>
        <v>3.7865689999519218E-2</v>
      </c>
      <c r="I15302">
        <v>3.786568999951926E-2</v>
      </c>
    </row>
    <row r="15303" spans="1:9" x14ac:dyDescent="0.25">
      <c r="A15303">
        <v>503</v>
      </c>
      <c r="B15303" t="s">
        <v>4059</v>
      </c>
      <c r="C15303" t="s">
        <v>75</v>
      </c>
      <c r="D15303" t="s">
        <v>4076</v>
      </c>
      <c r="E15303">
        <f t="shared" si="721"/>
        <v>7.8125E-3</v>
      </c>
      <c r="F15303">
        <v>1</v>
      </c>
      <c r="G15303">
        <f>LOG(382/(1+1))</f>
        <v>2.2810333672477277</v>
      </c>
      <c r="H15303">
        <f>0.0078125*5.25227342804663</f>
        <v>4.1033386156614296E-2</v>
      </c>
      <c r="I15303">
        <v>4.1033386156614303E-2</v>
      </c>
    </row>
    <row r="15304" spans="1:9" x14ac:dyDescent="0.25">
      <c r="A15304">
        <v>503</v>
      </c>
      <c r="B15304" t="s">
        <v>4059</v>
      </c>
      <c r="C15304" t="s">
        <v>75</v>
      </c>
      <c r="D15304" t="s">
        <v>4077</v>
      </c>
      <c r="E15304">
        <f t="shared" si="721"/>
        <v>7.8125E-3</v>
      </c>
      <c r="F15304">
        <v>1</v>
      </c>
      <c r="G15304">
        <f>LOG(382/(1+1))</f>
        <v>2.2810333672477277</v>
      </c>
      <c r="H15304">
        <f>0.0078125*5.25227342804663</f>
        <v>4.1033386156614296E-2</v>
      </c>
      <c r="I15304">
        <v>4.1033386156614303E-2</v>
      </c>
    </row>
    <row r="15305" spans="1:9" x14ac:dyDescent="0.25">
      <c r="A15305">
        <v>503</v>
      </c>
      <c r="B15305" t="s">
        <v>4059</v>
      </c>
      <c r="C15305" t="s">
        <v>75</v>
      </c>
      <c r="D15305" t="s">
        <v>506</v>
      </c>
      <c r="E15305">
        <f t="shared" si="721"/>
        <v>7.8125E-3</v>
      </c>
      <c r="F15305">
        <v>6</v>
      </c>
      <c r="G15305">
        <f>LOG(382/(6+1))</f>
        <v>1.736965322897452</v>
      </c>
      <c r="H15305">
        <f>0.0078125*3.99951045955126</f>
        <v>3.1246175465244219E-2</v>
      </c>
      <c r="I15305">
        <v>3.124617546524423E-2</v>
      </c>
    </row>
    <row r="15306" spans="1:9" x14ac:dyDescent="0.25">
      <c r="A15306">
        <v>503</v>
      </c>
      <c r="B15306" t="s">
        <v>4059</v>
      </c>
      <c r="C15306" t="s">
        <v>75</v>
      </c>
      <c r="D15306" t="s">
        <v>4078</v>
      </c>
      <c r="E15306">
        <f t="shared" si="721"/>
        <v>7.8125E-3</v>
      </c>
      <c r="F15306">
        <v>1</v>
      </c>
      <c r="G15306">
        <f>LOG(382/(1+1))</f>
        <v>2.2810333672477277</v>
      </c>
      <c r="H15306">
        <f>0.0078125*5.25227342804663</f>
        <v>4.1033386156614296E-2</v>
      </c>
      <c r="I15306">
        <v>4.1033386156614303E-2</v>
      </c>
    </row>
    <row r="15307" spans="1:9" x14ac:dyDescent="0.25">
      <c r="A15307">
        <v>503</v>
      </c>
      <c r="B15307" t="s">
        <v>4059</v>
      </c>
      <c r="C15307" t="s">
        <v>75</v>
      </c>
      <c r="D15307" t="s">
        <v>4079</v>
      </c>
      <c r="E15307">
        <f t="shared" si="721"/>
        <v>7.8125E-3</v>
      </c>
      <c r="F15307">
        <v>1</v>
      </c>
      <c r="G15307">
        <f>LOG(382/(1+1))</f>
        <v>2.2810333672477277</v>
      </c>
      <c r="H15307">
        <f>0.0078125*5.25227342804663</f>
        <v>4.1033386156614296E-2</v>
      </c>
      <c r="I15307">
        <v>4.1033386156614303E-2</v>
      </c>
    </row>
    <row r="15308" spans="1:9" x14ac:dyDescent="0.25">
      <c r="A15308">
        <v>503</v>
      </c>
      <c r="B15308" t="s">
        <v>4059</v>
      </c>
      <c r="C15308" t="s">
        <v>75</v>
      </c>
      <c r="D15308" t="s">
        <v>4080</v>
      </c>
      <c r="E15308">
        <f t="shared" si="721"/>
        <v>7.8125E-3</v>
      </c>
      <c r="F15308">
        <v>1</v>
      </c>
      <c r="G15308">
        <f>LOG(382/(1+1))</f>
        <v>2.2810333672477277</v>
      </c>
      <c r="H15308">
        <f>0.0078125*5.25227342804663</f>
        <v>4.1033386156614296E-2</v>
      </c>
      <c r="I15308">
        <v>4.1033386156614303E-2</v>
      </c>
    </row>
    <row r="15309" spans="1:9" x14ac:dyDescent="0.25">
      <c r="A15309">
        <v>503</v>
      </c>
      <c r="B15309" t="s">
        <v>4059</v>
      </c>
      <c r="C15309" t="s">
        <v>75</v>
      </c>
      <c r="D15309" t="s">
        <v>1453</v>
      </c>
      <c r="E15309">
        <f t="shared" si="721"/>
        <v>7.8125E-3</v>
      </c>
      <c r="F15309">
        <v>23</v>
      </c>
      <c r="G15309">
        <f>LOG(382/(23+1))</f>
        <v>1.2018521212001028</v>
      </c>
      <c r="H15309">
        <f>0.0078125*2.76736677825862</f>
        <v>2.162005295514547E-2</v>
      </c>
      <c r="I15309">
        <v>2.162005295514554E-2</v>
      </c>
    </row>
    <row r="15310" spans="1:9" x14ac:dyDescent="0.25">
      <c r="A15310">
        <v>503</v>
      </c>
      <c r="B15310" t="s">
        <v>4059</v>
      </c>
      <c r="C15310" t="s">
        <v>75</v>
      </c>
      <c r="D15310" t="s">
        <v>329</v>
      </c>
      <c r="E15310">
        <f t="shared" si="721"/>
        <v>7.8125E-3</v>
      </c>
      <c r="F15310">
        <v>9</v>
      </c>
      <c r="G15310">
        <f>LOG(382/(9+1))</f>
        <v>1.5820633629117087</v>
      </c>
      <c r="H15310">
        <f>0.0078125*3.64283551561252</f>
        <v>2.8459652465722813E-2</v>
      </c>
      <c r="I15310">
        <v>2.8459652465722889E-2</v>
      </c>
    </row>
    <row r="15311" spans="1:9" x14ac:dyDescent="0.25">
      <c r="A15311">
        <v>503</v>
      </c>
      <c r="B15311" t="s">
        <v>4059</v>
      </c>
      <c r="C15311" t="s">
        <v>75</v>
      </c>
      <c r="D15311" t="s">
        <v>2424</v>
      </c>
      <c r="E15311">
        <f t="shared" si="721"/>
        <v>7.8125E-3</v>
      </c>
      <c r="F15311">
        <v>9</v>
      </c>
      <c r="G15311">
        <f>LOG(382/(9+1))</f>
        <v>1.5820633629117087</v>
      </c>
      <c r="H15311">
        <f>0.0078125*3.64283551561252</f>
        <v>2.8459652465722813E-2</v>
      </c>
      <c r="I15311">
        <v>2.8459652465722889E-2</v>
      </c>
    </row>
    <row r="15312" spans="1:9" x14ac:dyDescent="0.25">
      <c r="A15312">
        <v>503</v>
      </c>
      <c r="B15312" t="s">
        <v>4059</v>
      </c>
      <c r="C15312" t="s">
        <v>75</v>
      </c>
      <c r="D15312" t="s">
        <v>799</v>
      </c>
      <c r="E15312">
        <f t="shared" si="721"/>
        <v>7.8125E-3</v>
      </c>
      <c r="F15312">
        <v>8</v>
      </c>
      <c r="G15312">
        <f>LOG(382/(8+1))</f>
        <v>1.6278208534723839</v>
      </c>
      <c r="H15312">
        <f>0.0078125*3.74819603127035</f>
        <v>2.9282781494299609E-2</v>
      </c>
      <c r="I15312">
        <v>2.9282781494299651E-2</v>
      </c>
    </row>
    <row r="15313" spans="1:9" x14ac:dyDescent="0.25">
      <c r="A15313">
        <v>503</v>
      </c>
      <c r="B15313" t="s">
        <v>4059</v>
      </c>
      <c r="C15313" t="s">
        <v>75</v>
      </c>
      <c r="D15313" t="s">
        <v>218</v>
      </c>
      <c r="E15313">
        <f t="shared" si="721"/>
        <v>7.8125E-3</v>
      </c>
      <c r="F15313">
        <v>35</v>
      </c>
      <c r="G15313">
        <f>LOG(382/(35+1))</f>
        <v>1.0257608621444214</v>
      </c>
      <c r="H15313">
        <f>0.0078125*2.36190167015046</f>
        <v>1.8452356798050469E-2</v>
      </c>
      <c r="I15313">
        <v>1.8452356798050511E-2</v>
      </c>
    </row>
    <row r="15314" spans="1:9" x14ac:dyDescent="0.25">
      <c r="A15314">
        <v>504</v>
      </c>
      <c r="B15314" t="s">
        <v>4081</v>
      </c>
      <c r="C15314" t="s">
        <v>75</v>
      </c>
      <c r="D15314" t="s">
        <v>1537</v>
      </c>
      <c r="E15314">
        <f>1/65</f>
        <v>1.5384615384615385E-2</v>
      </c>
      <c r="F15314">
        <v>80</v>
      </c>
      <c r="G15314">
        <f>LOG(382/(80+1))</f>
        <v>0.67357834403305894</v>
      </c>
      <c r="H15314">
        <f>0.0153846153846153*1.55097145393413</f>
        <v>2.3861099291294176E-2</v>
      </c>
      <c r="I15314">
        <v>2.3861099291294409E-2</v>
      </c>
    </row>
    <row r="15315" spans="1:9" x14ac:dyDescent="0.25">
      <c r="A15315">
        <v>504</v>
      </c>
      <c r="B15315" t="s">
        <v>4081</v>
      </c>
      <c r="C15315" t="s">
        <v>75</v>
      </c>
      <c r="D15315" t="s">
        <v>362</v>
      </c>
      <c r="E15315">
        <f>1/65</f>
        <v>1.5384615384615385E-2</v>
      </c>
      <c r="F15315">
        <v>81</v>
      </c>
      <c r="G15315">
        <f>LOG(382/(81+1))</f>
        <v>0.66824951052799197</v>
      </c>
      <c r="H15315">
        <f>0.0153846153846153*1.53870136134232</f>
        <v>2.367232863603556E-2</v>
      </c>
      <c r="I15315">
        <v>2.367232863603572E-2</v>
      </c>
    </row>
    <row r="15316" spans="1:9" x14ac:dyDescent="0.25">
      <c r="A15316">
        <v>504</v>
      </c>
      <c r="B15316" t="s">
        <v>4081</v>
      </c>
      <c r="C15316" t="s">
        <v>75</v>
      </c>
      <c r="D15316" t="s">
        <v>1769</v>
      </c>
      <c r="E15316">
        <f>2/65</f>
        <v>3.0769230769230771E-2</v>
      </c>
      <c r="F15316">
        <v>84</v>
      </c>
      <c r="G15316">
        <f>LOG(382/(84+1))</f>
        <v>0.65264443719741605</v>
      </c>
      <c r="H15316">
        <f>0.0307692307692307*1.50276935211625</f>
        <v>4.6239056988192202E-2</v>
      </c>
      <c r="I15316">
        <v>4.6239056988192577E-2</v>
      </c>
    </row>
    <row r="15317" spans="1:9" x14ac:dyDescent="0.25">
      <c r="A15317">
        <v>504</v>
      </c>
      <c r="B15317" t="s">
        <v>4081</v>
      </c>
      <c r="C15317" t="s">
        <v>75</v>
      </c>
      <c r="D15317" t="s">
        <v>126</v>
      </c>
      <c r="E15317">
        <f>2/65</f>
        <v>3.0769230769230771E-2</v>
      </c>
      <c r="F15317">
        <v>79</v>
      </c>
      <c r="G15317">
        <f>LOG(382/(79+1))</f>
        <v>0.67897337591976514</v>
      </c>
      <c r="H15317">
        <f>0.0307692307692307*1.56339397393269</f>
        <v>4.8104429967159586E-2</v>
      </c>
      <c r="I15317">
        <v>4.8104429967159808E-2</v>
      </c>
    </row>
    <row r="15318" spans="1:9" x14ac:dyDescent="0.25">
      <c r="A15318">
        <v>504</v>
      </c>
      <c r="B15318" t="s">
        <v>4081</v>
      </c>
      <c r="C15318" t="s">
        <v>75</v>
      </c>
      <c r="D15318" t="s">
        <v>4019</v>
      </c>
      <c r="E15318">
        <f>4/65</f>
        <v>6.1538461538461542E-2</v>
      </c>
      <c r="F15318">
        <v>2</v>
      </c>
      <c r="G15318">
        <f>LOG(382/(2+1))</f>
        <v>2.1049421081920463</v>
      </c>
      <c r="H15318">
        <f>0.0615384615384615*4.84680831993846</f>
        <v>0.29826512738082811</v>
      </c>
      <c r="I15318">
        <v>0.29826512738082872</v>
      </c>
    </row>
    <row r="15319" spans="1:9" x14ac:dyDescent="0.25">
      <c r="A15319">
        <v>504</v>
      </c>
      <c r="B15319" t="s">
        <v>4081</v>
      </c>
      <c r="C15319" t="s">
        <v>75</v>
      </c>
      <c r="D15319" t="s">
        <v>3420</v>
      </c>
      <c r="E15319">
        <f>1/65</f>
        <v>1.5384615384615385E-2</v>
      </c>
      <c r="F15319">
        <v>12</v>
      </c>
      <c r="G15319">
        <f>LOG(382/(12+1))</f>
        <v>1.468120010604872</v>
      </c>
      <c r="H15319">
        <f>0.0153846153846153*3.38047125114503</f>
        <v>5.2007250017615567E-2</v>
      </c>
      <c r="I15319">
        <v>5.2007250017615983E-2</v>
      </c>
    </row>
    <row r="15320" spans="1:9" x14ac:dyDescent="0.25">
      <c r="A15320">
        <v>504</v>
      </c>
      <c r="B15320" t="s">
        <v>4081</v>
      </c>
      <c r="C15320" t="s">
        <v>75</v>
      </c>
      <c r="D15320" t="s">
        <v>4082</v>
      </c>
      <c r="E15320">
        <f>4/65</f>
        <v>6.1538461538461542E-2</v>
      </c>
      <c r="F15320">
        <v>2</v>
      </c>
      <c r="G15320">
        <f>LOG(382/(2+1))</f>
        <v>2.1049421081920463</v>
      </c>
      <c r="H15320">
        <f>0.0615384615384615*4.84680831993846</f>
        <v>0.29826512738082811</v>
      </c>
      <c r="I15320">
        <v>0.29826512738082872</v>
      </c>
    </row>
    <row r="15321" spans="1:9" x14ac:dyDescent="0.25">
      <c r="A15321">
        <v>504</v>
      </c>
      <c r="B15321" t="s">
        <v>4081</v>
      </c>
      <c r="C15321" t="s">
        <v>75</v>
      </c>
      <c r="D15321" t="s">
        <v>474</v>
      </c>
      <c r="E15321">
        <f>1/65</f>
        <v>1.5384615384615385E-2</v>
      </c>
      <c r="F15321">
        <v>25</v>
      </c>
      <c r="G15321">
        <f>LOG(382/(25+1))</f>
        <v>1.1670900149408907</v>
      </c>
      <c r="H15321">
        <f>0.0153846153846153*2.68732407058509</f>
        <v>4.1343447239770389E-2</v>
      </c>
      <c r="I15321">
        <v>4.1343447239770667E-2</v>
      </c>
    </row>
    <row r="15322" spans="1:9" x14ac:dyDescent="0.25">
      <c r="A15322">
        <v>504</v>
      </c>
      <c r="B15322" t="s">
        <v>4081</v>
      </c>
      <c r="C15322" t="s">
        <v>75</v>
      </c>
      <c r="D15322" t="s">
        <v>1884</v>
      </c>
      <c r="E15322">
        <f>1/65</f>
        <v>1.5384615384615385E-2</v>
      </c>
      <c r="F15322">
        <v>9</v>
      </c>
      <c r="G15322">
        <f>LOG(382/(9+1))</f>
        <v>1.5820633629117087</v>
      </c>
      <c r="H15322">
        <f>0.0153846153846153*3.64283551561252</f>
        <v>5.6043623317115383E-2</v>
      </c>
      <c r="I15322">
        <v>5.6043623317115841E-2</v>
      </c>
    </row>
    <row r="15323" spans="1:9" x14ac:dyDescent="0.25">
      <c r="A15323">
        <v>504</v>
      </c>
      <c r="B15323" t="s">
        <v>4081</v>
      </c>
      <c r="C15323" t="s">
        <v>75</v>
      </c>
      <c r="D15323" t="s">
        <v>131</v>
      </c>
      <c r="E15323">
        <f>1/65</f>
        <v>1.5384615384615385E-2</v>
      </c>
      <c r="F15323">
        <v>38</v>
      </c>
      <c r="G15323">
        <f>LOG(382/(38+1))</f>
        <v>0.99099875588520958</v>
      </c>
      <c r="H15323">
        <f>0.0153846153846153*2.28185896247692</f>
        <v>3.5105522499644735E-2</v>
      </c>
      <c r="I15323">
        <v>3.5105522499645062E-2</v>
      </c>
    </row>
    <row r="15324" spans="1:9" x14ac:dyDescent="0.25">
      <c r="A15324">
        <v>504</v>
      </c>
      <c r="B15324" t="s">
        <v>4081</v>
      </c>
      <c r="C15324" t="s">
        <v>75</v>
      </c>
      <c r="D15324" t="s">
        <v>243</v>
      </c>
      <c r="E15324">
        <f>1/65</f>
        <v>1.5384615384615385E-2</v>
      </c>
      <c r="F15324">
        <v>131</v>
      </c>
      <c r="G15324">
        <f>LOG(382/(131+1))</f>
        <v>0.46148943170585888</v>
      </c>
      <c r="H15324">
        <f>0.0153846153846153*1.0626186860202</f>
        <v>1.6347979784926064E-2</v>
      </c>
      <c r="I15324">
        <v>1.634797978492622E-2</v>
      </c>
    </row>
    <row r="15325" spans="1:9" x14ac:dyDescent="0.25">
      <c r="A15325">
        <v>504</v>
      </c>
      <c r="B15325" t="s">
        <v>4081</v>
      </c>
      <c r="C15325" t="s">
        <v>75</v>
      </c>
      <c r="D15325" t="s">
        <v>1178</v>
      </c>
      <c r="E15325">
        <f>1/65</f>
        <v>1.5384615384615385E-2</v>
      </c>
      <c r="F15325">
        <v>4</v>
      </c>
      <c r="G15325">
        <f>LOG(382/(4+1))</f>
        <v>1.8830933585756899</v>
      </c>
      <c r="H15325">
        <f>0.0153846153846153*4.33598269617247</f>
        <v>6.670742609496072E-2</v>
      </c>
      <c r="I15325">
        <v>6.670742609496115E-2</v>
      </c>
    </row>
    <row r="15326" spans="1:9" x14ac:dyDescent="0.25">
      <c r="A15326">
        <v>504</v>
      </c>
      <c r="B15326" t="s">
        <v>4081</v>
      </c>
      <c r="C15326" t="s">
        <v>75</v>
      </c>
      <c r="D15326" t="s">
        <v>361</v>
      </c>
      <c r="E15326">
        <f>2/65</f>
        <v>3.0769230769230771E-2</v>
      </c>
      <c r="F15326">
        <v>118</v>
      </c>
      <c r="G15326">
        <f>LOG(382/(118+1))</f>
        <v>0.50651640151917798</v>
      </c>
      <c r="H15326">
        <f>0.0307692307692307*1.16629711549504</f>
        <v>3.5886065092154994E-2</v>
      </c>
      <c r="I15326">
        <v>3.5886065092155257E-2</v>
      </c>
    </row>
    <row r="15327" spans="1:9" x14ac:dyDescent="0.25">
      <c r="A15327">
        <v>504</v>
      </c>
      <c r="B15327" t="s">
        <v>4081</v>
      </c>
      <c r="C15327" t="s">
        <v>75</v>
      </c>
      <c r="D15327" t="s">
        <v>434</v>
      </c>
      <c r="E15327">
        <f>1/65</f>
        <v>1.5384615384615385E-2</v>
      </c>
      <c r="F15327">
        <v>97</v>
      </c>
      <c r="G15327">
        <f>LOG(382/(97+1))</f>
        <v>0.59083728721921391</v>
      </c>
      <c r="H15327">
        <f>0.0153846153846153*1.360453129936</f>
        <v>2.0930048152861425E-2</v>
      </c>
      <c r="I15327">
        <v>2.0930048152861591E-2</v>
      </c>
    </row>
    <row r="15328" spans="1:9" x14ac:dyDescent="0.25">
      <c r="A15328">
        <v>504</v>
      </c>
      <c r="B15328" t="s">
        <v>4081</v>
      </c>
      <c r="C15328" t="s">
        <v>75</v>
      </c>
      <c r="D15328" t="s">
        <v>2238</v>
      </c>
      <c r="E15328">
        <f>1/65</f>
        <v>1.5384615384615385E-2</v>
      </c>
      <c r="F15328">
        <v>68</v>
      </c>
      <c r="G15328">
        <f>LOG(382/(68+1))</f>
        <v>0.74321427217445335</v>
      </c>
      <c r="H15328">
        <f>0.0153846153846153*1.71131410400931</f>
        <v>2.6327909292450779E-2</v>
      </c>
      <c r="I15328">
        <v>2.6327909292451011E-2</v>
      </c>
    </row>
    <row r="15329" spans="1:9" x14ac:dyDescent="0.25">
      <c r="A15329">
        <v>504</v>
      </c>
      <c r="B15329" t="s">
        <v>4081</v>
      </c>
      <c r="C15329" t="s">
        <v>75</v>
      </c>
      <c r="D15329" t="s">
        <v>1859</v>
      </c>
      <c r="E15329">
        <f>1/65</f>
        <v>1.5384615384615385E-2</v>
      </c>
      <c r="F15329">
        <v>7</v>
      </c>
      <c r="G15329">
        <f>LOG(382/(7+1))</f>
        <v>1.6789733759197651</v>
      </c>
      <c r="H15329">
        <f>0.0153846153846153*3.86597906692673</f>
        <v>5.9476601029641675E-2</v>
      </c>
      <c r="I15329">
        <v>5.947660102964214E-2</v>
      </c>
    </row>
    <row r="15330" spans="1:9" x14ac:dyDescent="0.25">
      <c r="A15330">
        <v>504</v>
      </c>
      <c r="B15330" t="s">
        <v>4081</v>
      </c>
      <c r="C15330" t="s">
        <v>75</v>
      </c>
      <c r="D15330" t="s">
        <v>237</v>
      </c>
      <c r="E15330">
        <f>3/65</f>
        <v>4.6153846153846156E-2</v>
      </c>
      <c r="F15330">
        <v>138</v>
      </c>
      <c r="G15330">
        <f>LOG(382/(138+1))</f>
        <v>0.43904856265761361</v>
      </c>
      <c r="H15330">
        <f>0.0461538461538461*1.01094667547588</f>
        <v>4.6659077329655949E-2</v>
      </c>
      <c r="I15330">
        <v>4.6659077329656157E-2</v>
      </c>
    </row>
    <row r="15331" spans="1:9" x14ac:dyDescent="0.25">
      <c r="A15331">
        <v>504</v>
      </c>
      <c r="B15331" t="s">
        <v>4081</v>
      </c>
      <c r="C15331" t="s">
        <v>75</v>
      </c>
      <c r="D15331" t="s">
        <v>1448</v>
      </c>
      <c r="E15331">
        <f>1/65</f>
        <v>1.5384615384615385E-2</v>
      </c>
      <c r="F15331">
        <v>11</v>
      </c>
      <c r="G15331">
        <f>LOG(382/(11+1))</f>
        <v>1.5028821168640838</v>
      </c>
      <c r="H15331">
        <f>0.0153846153846153*3.46051395881857</f>
        <v>5.3238676289516174E-2</v>
      </c>
      <c r="I15331">
        <v>5.3238676289516541E-2</v>
      </c>
    </row>
    <row r="15332" spans="1:9" x14ac:dyDescent="0.25">
      <c r="A15332">
        <v>504</v>
      </c>
      <c r="B15332" t="s">
        <v>4081</v>
      </c>
      <c r="C15332" t="s">
        <v>75</v>
      </c>
      <c r="D15332" t="s">
        <v>247</v>
      </c>
      <c r="E15332">
        <f>1/65</f>
        <v>1.5384615384615385E-2</v>
      </c>
      <c r="F15332">
        <v>121</v>
      </c>
      <c r="G15332">
        <f>LOG(382/(121+1))</f>
        <v>0.49570353223696051</v>
      </c>
      <c r="H15332">
        <f>0.0153846153846153*1.14139956387331</f>
        <v>1.7559993290358521E-2</v>
      </c>
      <c r="I15332">
        <v>1.755999329035875E-2</v>
      </c>
    </row>
    <row r="15333" spans="1:9" x14ac:dyDescent="0.25">
      <c r="A15333">
        <v>504</v>
      </c>
      <c r="B15333" t="s">
        <v>4081</v>
      </c>
      <c r="C15333" t="s">
        <v>75</v>
      </c>
      <c r="D15333" t="s">
        <v>89</v>
      </c>
      <c r="E15333">
        <f>2/65</f>
        <v>3.0769230769230771E-2</v>
      </c>
      <c r="F15333">
        <v>40</v>
      </c>
      <c r="G15333">
        <f>LOG(382/(40+1))</f>
        <v>0.96927950619197323</v>
      </c>
      <c r="H15333">
        <f>0.0307692307692307*2.23184854190226</f>
        <v>6.867226282776169E-2</v>
      </c>
      <c r="I15333">
        <v>6.8672262827762079E-2</v>
      </c>
    </row>
    <row r="15334" spans="1:9" x14ac:dyDescent="0.25">
      <c r="A15334">
        <v>504</v>
      </c>
      <c r="B15334" t="s">
        <v>4081</v>
      </c>
      <c r="C15334" t="s">
        <v>75</v>
      </c>
      <c r="D15334" t="s">
        <v>260</v>
      </c>
      <c r="E15334">
        <f>1/65</f>
        <v>1.5384615384615385E-2</v>
      </c>
      <c r="F15334">
        <v>31</v>
      </c>
      <c r="G15334">
        <f>LOG(382/(31+1))</f>
        <v>1.0769133845918029</v>
      </c>
      <c r="H15334">
        <f>0.0153846153846153*2.47968470580684</f>
        <v>3.8148995473951175E-2</v>
      </c>
      <c r="I15334">
        <v>3.8148995473951522E-2</v>
      </c>
    </row>
    <row r="15335" spans="1:9" x14ac:dyDescent="0.25">
      <c r="A15335">
        <v>504</v>
      </c>
      <c r="B15335" t="s">
        <v>4081</v>
      </c>
      <c r="C15335" t="s">
        <v>75</v>
      </c>
      <c r="D15335" t="s">
        <v>41</v>
      </c>
      <c r="E15335">
        <f>1/65</f>
        <v>1.5384615384615385E-2</v>
      </c>
      <c r="F15335">
        <v>195</v>
      </c>
      <c r="G15335">
        <f>LOG(382/(195+1))</f>
        <v>0.28980729155523272</v>
      </c>
      <c r="H15335">
        <f>0.0153846153846153*0.667305949376058</f>
        <v>1.0266245375016221E-2</v>
      </c>
      <c r="I15335">
        <v>1.026624537501628E-2</v>
      </c>
    </row>
    <row r="15336" spans="1:9" x14ac:dyDescent="0.25">
      <c r="A15336">
        <v>504</v>
      </c>
      <c r="B15336" t="s">
        <v>4081</v>
      </c>
      <c r="C15336" t="s">
        <v>75</v>
      </c>
      <c r="D15336" t="s">
        <v>542</v>
      </c>
      <c r="E15336">
        <f>1/65</f>
        <v>1.5384615384615385E-2</v>
      </c>
      <c r="F15336">
        <v>42</v>
      </c>
      <c r="G15336">
        <f>LOG(382/(42+1))</f>
        <v>0.94859490733212215</v>
      </c>
      <c r="H15336">
        <f>0.0153846153846153*2.18422049291301</f>
        <v>3.3603392198661507E-2</v>
      </c>
      <c r="I15336">
        <v>3.3603392198661743E-2</v>
      </c>
    </row>
    <row r="15337" spans="1:9" x14ac:dyDescent="0.25">
      <c r="A15337">
        <v>504</v>
      </c>
      <c r="B15337" t="s">
        <v>4081</v>
      </c>
      <c r="C15337" t="s">
        <v>75</v>
      </c>
      <c r="D15337" t="s">
        <v>144</v>
      </c>
      <c r="E15337">
        <f>1/65</f>
        <v>1.5384615384615385E-2</v>
      </c>
      <c r="F15337">
        <v>105</v>
      </c>
      <c r="G15337">
        <f>LOG(382/(105+1))</f>
        <v>0.55675749764693849</v>
      </c>
      <c r="H15337">
        <f>0.0153846153846153*1.2819815144945</f>
        <v>1.9722792530684506E-2</v>
      </c>
      <c r="I15337">
        <v>1.9722792530684739E-2</v>
      </c>
    </row>
    <row r="15338" spans="1:9" x14ac:dyDescent="0.25">
      <c r="A15338">
        <v>504</v>
      </c>
      <c r="B15338" t="s">
        <v>4081</v>
      </c>
      <c r="C15338" t="s">
        <v>75</v>
      </c>
      <c r="D15338" t="s">
        <v>4083</v>
      </c>
      <c r="E15338">
        <f>1/65</f>
        <v>1.5384615384615385E-2</v>
      </c>
      <c r="F15338">
        <v>1</v>
      </c>
      <c r="G15338">
        <f>LOG(382/(1+1))</f>
        <v>2.2810333672477277</v>
      </c>
      <c r="H15338">
        <f>0.0153846153846153*5.25227342804663</f>
        <v>8.0804206585332328E-2</v>
      </c>
      <c r="I15338">
        <v>8.0804206585332772E-2</v>
      </c>
    </row>
    <row r="15339" spans="1:9" x14ac:dyDescent="0.25">
      <c r="A15339">
        <v>504</v>
      </c>
      <c r="B15339" t="s">
        <v>4081</v>
      </c>
      <c r="C15339" t="s">
        <v>75</v>
      </c>
      <c r="D15339" t="s">
        <v>81</v>
      </c>
      <c r="E15339">
        <f>2/65</f>
        <v>3.0769230769230771E-2</v>
      </c>
      <c r="F15339">
        <v>114</v>
      </c>
      <c r="G15339">
        <f>LOG(382/(114+1))</f>
        <v>0.52136552255809698</v>
      </c>
      <c r="H15339">
        <f>0.0307692307692307*1.20048848024332</f>
        <v>3.6938107084409762E-2</v>
      </c>
      <c r="I15339">
        <v>3.6938107084409998E-2</v>
      </c>
    </row>
    <row r="15340" spans="1:9" x14ac:dyDescent="0.25">
      <c r="A15340">
        <v>504</v>
      </c>
      <c r="B15340" t="s">
        <v>4081</v>
      </c>
      <c r="C15340" t="s">
        <v>75</v>
      </c>
      <c r="D15340" t="s">
        <v>4084</v>
      </c>
      <c r="E15340">
        <f t="shared" ref="E15340:E15346" si="722">1/65</f>
        <v>1.5384615384615385E-2</v>
      </c>
      <c r="F15340">
        <v>1</v>
      </c>
      <c r="G15340">
        <f>LOG(382/(1+1))</f>
        <v>2.2810333672477277</v>
      </c>
      <c r="H15340">
        <f>0.0153846153846153*5.25227342804663</f>
        <v>8.0804206585332328E-2</v>
      </c>
      <c r="I15340">
        <v>8.0804206585332772E-2</v>
      </c>
    </row>
    <row r="15341" spans="1:9" x14ac:dyDescent="0.25">
      <c r="A15341">
        <v>504</v>
      </c>
      <c r="B15341" t="s">
        <v>4081</v>
      </c>
      <c r="C15341" t="s">
        <v>75</v>
      </c>
      <c r="D15341" t="s">
        <v>3285</v>
      </c>
      <c r="E15341">
        <f t="shared" si="722"/>
        <v>1.5384615384615385E-2</v>
      </c>
      <c r="F15341">
        <v>3</v>
      </c>
      <c r="G15341">
        <f>LOG(382/(3+1))</f>
        <v>1.9800033715837464</v>
      </c>
      <c r="H15341">
        <f>0.0153846153846153*4.55912624748668</f>
        <v>7.0140403807486998E-2</v>
      </c>
      <c r="I15341">
        <v>7.0140403807487456E-2</v>
      </c>
    </row>
    <row r="15342" spans="1:9" x14ac:dyDescent="0.25">
      <c r="A15342">
        <v>504</v>
      </c>
      <c r="B15342" t="s">
        <v>4081</v>
      </c>
      <c r="C15342" t="s">
        <v>75</v>
      </c>
      <c r="D15342" t="s">
        <v>438</v>
      </c>
      <c r="E15342">
        <f t="shared" si="722"/>
        <v>1.5384615384615385E-2</v>
      </c>
      <c r="F15342">
        <v>37</v>
      </c>
      <c r="G15342">
        <f>LOG(382/(37+1))</f>
        <v>1.0022797662948986</v>
      </c>
      <c r="H15342">
        <f>0.0153846153846153*2.30783444888018</f>
        <v>3.5505145367387185E-2</v>
      </c>
      <c r="I15342">
        <v>3.5505145367387532E-2</v>
      </c>
    </row>
    <row r="15343" spans="1:9" x14ac:dyDescent="0.25">
      <c r="A15343">
        <v>504</v>
      </c>
      <c r="B15343" t="s">
        <v>4081</v>
      </c>
      <c r="C15343" t="s">
        <v>75</v>
      </c>
      <c r="D15343" t="s">
        <v>82</v>
      </c>
      <c r="E15343">
        <f t="shared" si="722"/>
        <v>1.5384615384615385E-2</v>
      </c>
      <c r="F15343">
        <v>92</v>
      </c>
      <c r="G15343">
        <f>LOG(382/(92+1))</f>
        <v>0.61358041435777355</v>
      </c>
      <c r="H15343">
        <f>0.0153846153846153*1.41282111545331</f>
        <v>2.1735709468512342E-2</v>
      </c>
      <c r="I15343">
        <v>2.173570946851261E-2</v>
      </c>
    </row>
    <row r="15344" spans="1:9" x14ac:dyDescent="0.25">
      <c r="A15344">
        <v>504</v>
      </c>
      <c r="B15344" t="s">
        <v>4081</v>
      </c>
      <c r="C15344" t="s">
        <v>75</v>
      </c>
      <c r="D15344" t="s">
        <v>2369</v>
      </c>
      <c r="E15344">
        <f t="shared" si="722"/>
        <v>1.5384615384615385E-2</v>
      </c>
      <c r="F15344">
        <v>15</v>
      </c>
      <c r="G15344">
        <f>LOG(382/(15+1))</f>
        <v>1.3779433802557839</v>
      </c>
      <c r="H15344">
        <f>0.0153846153846153*3.17283188636679</f>
        <v>4.8812798251796505E-2</v>
      </c>
      <c r="I15344">
        <v>4.8812798251796838E-2</v>
      </c>
    </row>
    <row r="15345" spans="1:9" x14ac:dyDescent="0.25">
      <c r="A15345">
        <v>504</v>
      </c>
      <c r="B15345" t="s">
        <v>4081</v>
      </c>
      <c r="C15345" t="s">
        <v>75</v>
      </c>
      <c r="D15345" t="s">
        <v>437</v>
      </c>
      <c r="E15345">
        <f t="shared" si="722"/>
        <v>1.5384615384615385E-2</v>
      </c>
      <c r="F15345">
        <v>18</v>
      </c>
      <c r="G15345">
        <f>LOG(382/(18+1))</f>
        <v>1.3033097619588798</v>
      </c>
      <c r="H15345">
        <f>0.0153846153846153*3.00098162944013</f>
        <v>4.6168948145232522E-2</v>
      </c>
      <c r="I15345">
        <v>4.6168948145232841E-2</v>
      </c>
    </row>
    <row r="15346" spans="1:9" x14ac:dyDescent="0.25">
      <c r="A15346">
        <v>504</v>
      </c>
      <c r="B15346" t="s">
        <v>4081</v>
      </c>
      <c r="C15346" t="s">
        <v>75</v>
      </c>
      <c r="D15346" t="s">
        <v>772</v>
      </c>
      <c r="E15346">
        <f t="shared" si="722"/>
        <v>1.5384615384615385E-2</v>
      </c>
      <c r="F15346">
        <v>31</v>
      </c>
      <c r="G15346">
        <f>LOG(382/(31+1))</f>
        <v>1.0769133845918029</v>
      </c>
      <c r="H15346">
        <f>0.0153846153846153*2.47968470580684</f>
        <v>3.8148995473951175E-2</v>
      </c>
      <c r="I15346">
        <v>3.8148995473951522E-2</v>
      </c>
    </row>
    <row r="15347" spans="1:9" x14ac:dyDescent="0.25">
      <c r="A15347">
        <v>504</v>
      </c>
      <c r="B15347" t="s">
        <v>4081</v>
      </c>
      <c r="C15347" t="s">
        <v>75</v>
      </c>
      <c r="D15347" t="s">
        <v>482</v>
      </c>
      <c r="E15347">
        <f>4/65</f>
        <v>6.1538461538461542E-2</v>
      </c>
      <c r="F15347">
        <v>16</v>
      </c>
      <c r="G15347">
        <f>LOG(382/(16+1))</f>
        <v>1.3516144415334348</v>
      </c>
      <c r="H15347">
        <f>0.0615384615384615*3.11220726455035</f>
        <v>0.19152044704925217</v>
      </c>
      <c r="I15347">
        <v>0.19152044704925289</v>
      </c>
    </row>
    <row r="15348" spans="1:9" x14ac:dyDescent="0.25">
      <c r="A15348">
        <v>504</v>
      </c>
      <c r="B15348" t="s">
        <v>4081</v>
      </c>
      <c r="C15348" t="s">
        <v>75</v>
      </c>
      <c r="D15348" t="s">
        <v>3707</v>
      </c>
      <c r="E15348">
        <f t="shared" ref="E15348:E15362" si="723">1/65</f>
        <v>1.5384615384615385E-2</v>
      </c>
      <c r="F15348">
        <v>5</v>
      </c>
      <c r="G15348">
        <f>LOG(382/(5+1))</f>
        <v>1.803912112528065</v>
      </c>
      <c r="H15348">
        <f>0.0153846153846153*4.15366113937852</f>
        <v>6.390247906736149E-2</v>
      </c>
      <c r="I15348">
        <v>6.390247906736185E-2</v>
      </c>
    </row>
    <row r="15349" spans="1:9" x14ac:dyDescent="0.25">
      <c r="A15349">
        <v>504</v>
      </c>
      <c r="B15349" t="s">
        <v>4081</v>
      </c>
      <c r="C15349" t="s">
        <v>75</v>
      </c>
      <c r="D15349" t="s">
        <v>937</v>
      </c>
      <c r="E15349">
        <f t="shared" si="723"/>
        <v>1.5384615384615385E-2</v>
      </c>
      <c r="F15349">
        <v>41</v>
      </c>
      <c r="G15349">
        <f>LOG(382/(41+1))</f>
        <v>0.95881407251380824</v>
      </c>
      <c r="H15349">
        <f>0.0153846153846153*2.2077509903232</f>
        <v>3.3965399851125969E-2</v>
      </c>
      <c r="I15349">
        <v>3.396539985112626E-2</v>
      </c>
    </row>
    <row r="15350" spans="1:9" x14ac:dyDescent="0.25">
      <c r="A15350">
        <v>504</v>
      </c>
      <c r="B15350" t="s">
        <v>4081</v>
      </c>
      <c r="C15350" t="s">
        <v>75</v>
      </c>
      <c r="D15350" t="s">
        <v>625</v>
      </c>
      <c r="E15350">
        <f t="shared" si="723"/>
        <v>1.5384615384615385E-2</v>
      </c>
      <c r="F15350">
        <v>5</v>
      </c>
      <c r="G15350">
        <f>LOG(382/(5+1))</f>
        <v>1.803912112528065</v>
      </c>
      <c r="H15350">
        <f>0.0153846153846153*4.15366113937852</f>
        <v>6.390247906736149E-2</v>
      </c>
      <c r="I15350">
        <v>6.390247906736185E-2</v>
      </c>
    </row>
    <row r="15351" spans="1:9" x14ac:dyDescent="0.25">
      <c r="A15351">
        <v>504</v>
      </c>
      <c r="B15351" t="s">
        <v>4081</v>
      </c>
      <c r="C15351" t="s">
        <v>75</v>
      </c>
      <c r="D15351" t="s">
        <v>4015</v>
      </c>
      <c r="E15351">
        <f t="shared" si="723"/>
        <v>1.5384615384615385E-2</v>
      </c>
      <c r="F15351">
        <v>2</v>
      </c>
      <c r="G15351">
        <f>LOG(382/(2+1))</f>
        <v>2.1049421081920463</v>
      </c>
      <c r="H15351">
        <f>0.0153846153846153*4.84680831993846</f>
        <v>7.4566281845206667E-2</v>
      </c>
      <c r="I15351">
        <v>7.4566281845207166E-2</v>
      </c>
    </row>
    <row r="15352" spans="1:9" x14ac:dyDescent="0.25">
      <c r="A15352">
        <v>504</v>
      </c>
      <c r="B15352" t="s">
        <v>4081</v>
      </c>
      <c r="C15352" t="s">
        <v>75</v>
      </c>
      <c r="D15352" t="s">
        <v>754</v>
      </c>
      <c r="E15352">
        <f t="shared" si="723"/>
        <v>1.5384615384615385E-2</v>
      </c>
      <c r="F15352">
        <v>111</v>
      </c>
      <c r="G15352">
        <f>LOG(382/(111+1))</f>
        <v>0.53284534024152708</v>
      </c>
      <c r="H15352">
        <f>0.0153846153846153*1.22692173731148</f>
        <v>1.887571903556113E-2</v>
      </c>
      <c r="I15352">
        <v>1.8875719035561241E-2</v>
      </c>
    </row>
    <row r="15353" spans="1:9" x14ac:dyDescent="0.25">
      <c r="A15353">
        <v>504</v>
      </c>
      <c r="B15353" t="s">
        <v>4081</v>
      </c>
      <c r="C15353" t="s">
        <v>75</v>
      </c>
      <c r="D15353" t="s">
        <v>240</v>
      </c>
      <c r="E15353">
        <f t="shared" si="723"/>
        <v>1.5384615384615385E-2</v>
      </c>
      <c r="F15353">
        <v>15</v>
      </c>
      <c r="G15353">
        <f>LOG(382/(15+1))</f>
        <v>1.3779433802557839</v>
      </c>
      <c r="H15353">
        <f>0.0153846153846153*3.17283188636679</f>
        <v>4.8812798251796505E-2</v>
      </c>
      <c r="I15353">
        <v>4.8812798251796838E-2</v>
      </c>
    </row>
    <row r="15354" spans="1:9" x14ac:dyDescent="0.25">
      <c r="A15354">
        <v>504</v>
      </c>
      <c r="B15354" t="s">
        <v>4081</v>
      </c>
      <c r="C15354" t="s">
        <v>75</v>
      </c>
      <c r="D15354" t="s">
        <v>239</v>
      </c>
      <c r="E15354">
        <f t="shared" si="723"/>
        <v>1.5384615384615385E-2</v>
      </c>
      <c r="F15354">
        <v>40</v>
      </c>
      <c r="G15354">
        <f>LOG(382/(40+1))</f>
        <v>0.96927950619197323</v>
      </c>
      <c r="H15354">
        <f>0.0153846153846153*2.23184854190226</f>
        <v>3.4336131413880734E-2</v>
      </c>
      <c r="I15354">
        <v>3.4336131413881039E-2</v>
      </c>
    </row>
    <row r="15355" spans="1:9" x14ac:dyDescent="0.25">
      <c r="A15355">
        <v>504</v>
      </c>
      <c r="B15355" t="s">
        <v>4081</v>
      </c>
      <c r="C15355" t="s">
        <v>75</v>
      </c>
      <c r="D15355" t="s">
        <v>448</v>
      </c>
      <c r="E15355">
        <f t="shared" si="723"/>
        <v>1.5384615384615385E-2</v>
      </c>
      <c r="F15355">
        <v>19</v>
      </c>
      <c r="G15355">
        <f>LOG(382/(19+1))</f>
        <v>1.2810333672477277</v>
      </c>
      <c r="H15355">
        <f>0.0153846153846153*2.94968833505258</f>
        <v>4.5379820539270213E-2</v>
      </c>
      <c r="I15355">
        <v>4.5379820539270532E-2</v>
      </c>
    </row>
    <row r="15356" spans="1:9" x14ac:dyDescent="0.25">
      <c r="A15356">
        <v>504</v>
      </c>
      <c r="B15356" t="s">
        <v>4081</v>
      </c>
      <c r="C15356" t="s">
        <v>75</v>
      </c>
      <c r="D15356" t="s">
        <v>520</v>
      </c>
      <c r="E15356">
        <f t="shared" si="723"/>
        <v>1.5384615384615385E-2</v>
      </c>
      <c r="F15356">
        <v>25</v>
      </c>
      <c r="G15356">
        <f>LOG(382/(25+1))</f>
        <v>1.1670900149408907</v>
      </c>
      <c r="H15356">
        <f>0.0153846153846153*2.68732407058509</f>
        <v>4.1343447239770389E-2</v>
      </c>
      <c r="I15356">
        <v>4.1343447239770667E-2</v>
      </c>
    </row>
    <row r="15357" spans="1:9" x14ac:dyDescent="0.25">
      <c r="A15357">
        <v>504</v>
      </c>
      <c r="B15357" t="s">
        <v>4081</v>
      </c>
      <c r="C15357" t="s">
        <v>75</v>
      </c>
      <c r="D15357" t="s">
        <v>331</v>
      </c>
      <c r="E15357">
        <f t="shared" si="723"/>
        <v>1.5384615384615385E-2</v>
      </c>
      <c r="F15357">
        <v>130</v>
      </c>
      <c r="G15357">
        <f>LOG(382/(130+1))</f>
        <v>0.46479206725594452</v>
      </c>
      <c r="H15357">
        <f>0.0153846153846153*1.07022328540542</f>
        <v>1.6464973621621758E-2</v>
      </c>
      <c r="I15357">
        <v>1.6464973621621901E-2</v>
      </c>
    </row>
    <row r="15358" spans="1:9" x14ac:dyDescent="0.25">
      <c r="A15358">
        <v>504</v>
      </c>
      <c r="B15358" t="s">
        <v>4081</v>
      </c>
      <c r="C15358" t="s">
        <v>75</v>
      </c>
      <c r="D15358" t="s">
        <v>22</v>
      </c>
      <c r="E15358">
        <f t="shared" si="723"/>
        <v>1.5384615384615385E-2</v>
      </c>
      <c r="F15358">
        <v>259</v>
      </c>
      <c r="G15358">
        <f>LOG(382/(259+1))</f>
        <v>0.16709001494089079</v>
      </c>
      <c r="H15358">
        <f>0.0153846153846153*0.384738977591047</f>
        <v>5.9190611937083833E-3</v>
      </c>
      <c r="I15358">
        <v>5.9190611937084241E-3</v>
      </c>
    </row>
    <row r="15359" spans="1:9" x14ac:dyDescent="0.25">
      <c r="A15359">
        <v>504</v>
      </c>
      <c r="B15359" t="s">
        <v>4081</v>
      </c>
      <c r="C15359" t="s">
        <v>75</v>
      </c>
      <c r="D15359" t="s">
        <v>23</v>
      </c>
      <c r="E15359">
        <f t="shared" si="723"/>
        <v>1.5384615384615385E-2</v>
      </c>
      <c r="F15359">
        <v>275</v>
      </c>
      <c r="G15359">
        <f>LOG(382/(275+1))</f>
        <v>0.14115428084649101</v>
      </c>
      <c r="H15359">
        <f>0.0153846153846153*0.325019742889425</f>
        <v>5.0003037367603569E-3</v>
      </c>
      <c r="I15359">
        <v>5.0003037367603873E-3</v>
      </c>
    </row>
    <row r="15360" spans="1:9" x14ac:dyDescent="0.25">
      <c r="A15360">
        <v>504</v>
      </c>
      <c r="B15360" t="s">
        <v>4081</v>
      </c>
      <c r="C15360" t="s">
        <v>75</v>
      </c>
      <c r="D15360" t="s">
        <v>4085</v>
      </c>
      <c r="E15360">
        <f t="shared" si="723"/>
        <v>1.5384615384615385E-2</v>
      </c>
      <c r="F15360">
        <v>1</v>
      </c>
      <c r="G15360">
        <f>LOG(382/(1+1))</f>
        <v>2.2810333672477277</v>
      </c>
      <c r="H15360">
        <f>0.0153846153846153*5.25227342804663</f>
        <v>8.0804206585332328E-2</v>
      </c>
      <c r="I15360">
        <v>8.0804206585332772E-2</v>
      </c>
    </row>
    <row r="15361" spans="1:9" x14ac:dyDescent="0.25">
      <c r="A15361">
        <v>504</v>
      </c>
      <c r="B15361" t="s">
        <v>4081</v>
      </c>
      <c r="C15361" t="s">
        <v>75</v>
      </c>
      <c r="D15361" t="s">
        <v>4086</v>
      </c>
      <c r="E15361">
        <f t="shared" si="723"/>
        <v>1.5384615384615385E-2</v>
      </c>
      <c r="F15361">
        <v>1</v>
      </c>
      <c r="G15361">
        <f>LOG(382/(1+1))</f>
        <v>2.2810333672477277</v>
      </c>
      <c r="H15361">
        <f>0.0153846153846153*5.25227342804663</f>
        <v>8.0804206585332328E-2</v>
      </c>
      <c r="I15361">
        <v>8.0804206585332772E-2</v>
      </c>
    </row>
    <row r="15362" spans="1:9" x14ac:dyDescent="0.25">
      <c r="A15362">
        <v>504</v>
      </c>
      <c r="B15362" t="s">
        <v>4081</v>
      </c>
      <c r="C15362" t="s">
        <v>75</v>
      </c>
      <c r="D15362" t="s">
        <v>746</v>
      </c>
      <c r="E15362">
        <f t="shared" si="723"/>
        <v>1.5384615384615385E-2</v>
      </c>
      <c r="F15362">
        <v>58</v>
      </c>
      <c r="G15362">
        <f>LOG(382/(58+1))</f>
        <v>0.81121135126956456</v>
      </c>
      <c r="H15362">
        <f>0.0153846153846153*1.86788316470085</f>
        <v>2.8736664072320613E-2</v>
      </c>
      <c r="I15362">
        <v>2.873666407232086E-2</v>
      </c>
    </row>
    <row r="15363" spans="1:9" x14ac:dyDescent="0.25">
      <c r="A15363">
        <v>505</v>
      </c>
      <c r="B15363" t="s">
        <v>4087</v>
      </c>
      <c r="C15363" t="s">
        <v>75</v>
      </c>
      <c r="D15363" t="s">
        <v>4088</v>
      </c>
      <c r="E15363">
        <f>2/80</f>
        <v>2.5000000000000001E-2</v>
      </c>
      <c r="F15363">
        <v>1</v>
      </c>
      <c r="G15363">
        <f>LOG(382/(1+1))</f>
        <v>2.2810333672477277</v>
      </c>
      <c r="H15363">
        <f>0.025*5.25227342804663</f>
        <v>0.13130683570116575</v>
      </c>
      <c r="I15363">
        <v>0.13130683570116569</v>
      </c>
    </row>
    <row r="15364" spans="1:9" x14ac:dyDescent="0.25">
      <c r="A15364">
        <v>505</v>
      </c>
      <c r="B15364" t="s">
        <v>4087</v>
      </c>
      <c r="C15364" t="s">
        <v>75</v>
      </c>
      <c r="D15364" t="s">
        <v>4089</v>
      </c>
      <c r="E15364">
        <f>2/80</f>
        <v>2.5000000000000001E-2</v>
      </c>
      <c r="F15364">
        <v>1</v>
      </c>
      <c r="G15364">
        <f>LOG(382/(1+1))</f>
        <v>2.2810333672477277</v>
      </c>
      <c r="H15364">
        <f>0.025*5.25227342804663</f>
        <v>0.13130683570116575</v>
      </c>
      <c r="I15364">
        <v>0.13130683570116569</v>
      </c>
    </row>
    <row r="15365" spans="1:9" x14ac:dyDescent="0.25">
      <c r="A15365">
        <v>505</v>
      </c>
      <c r="B15365" t="s">
        <v>4087</v>
      </c>
      <c r="C15365" t="s">
        <v>75</v>
      </c>
      <c r="D15365" t="s">
        <v>2554</v>
      </c>
      <c r="E15365">
        <f>4/80</f>
        <v>0.05</v>
      </c>
      <c r="F15365">
        <v>22</v>
      </c>
      <c r="G15365">
        <f>LOG(382/(22+1))</f>
        <v>1.2203355268941158</v>
      </c>
      <c r="H15365">
        <f>0.05*2.80992639267742</f>
        <v>0.14049631963387099</v>
      </c>
      <c r="I15365">
        <v>0.1404963196338713</v>
      </c>
    </row>
    <row r="15366" spans="1:9" x14ac:dyDescent="0.25">
      <c r="A15366">
        <v>505</v>
      </c>
      <c r="B15366" t="s">
        <v>4087</v>
      </c>
      <c r="C15366" t="s">
        <v>75</v>
      </c>
      <c r="D15366" t="s">
        <v>1733</v>
      </c>
      <c r="E15366">
        <f>1/80</f>
        <v>1.2500000000000001E-2</v>
      </c>
      <c r="F15366">
        <v>19</v>
      </c>
      <c r="G15366">
        <f>LOG(382/(19+1))</f>
        <v>1.2810333672477277</v>
      </c>
      <c r="H15366">
        <f>0.0125*2.94968833505258</f>
        <v>3.6871104188157248E-2</v>
      </c>
      <c r="I15366">
        <v>3.6871104188157297E-2</v>
      </c>
    </row>
    <row r="15367" spans="1:9" x14ac:dyDescent="0.25">
      <c r="A15367">
        <v>505</v>
      </c>
      <c r="B15367" t="s">
        <v>4087</v>
      </c>
      <c r="C15367" t="s">
        <v>75</v>
      </c>
      <c r="D15367" t="s">
        <v>1080</v>
      </c>
      <c r="E15367">
        <f>2/80</f>
        <v>2.5000000000000001E-2</v>
      </c>
      <c r="F15367">
        <v>26</v>
      </c>
      <c r="G15367">
        <f>LOG(382/(26+1))</f>
        <v>1.1506995987527215</v>
      </c>
      <c r="H15367">
        <f>0.025*2.64958374260224</f>
        <v>6.6239593565056001E-2</v>
      </c>
      <c r="I15367">
        <v>6.6239593565056154E-2</v>
      </c>
    </row>
    <row r="15368" spans="1:9" x14ac:dyDescent="0.25">
      <c r="A15368">
        <v>505</v>
      </c>
      <c r="B15368" t="s">
        <v>4087</v>
      </c>
      <c r="C15368" t="s">
        <v>75</v>
      </c>
      <c r="D15368" t="s">
        <v>42</v>
      </c>
      <c r="E15368">
        <f t="shared" ref="E15368:E15381" si="724">1/80</f>
        <v>1.2500000000000001E-2</v>
      </c>
      <c r="F15368">
        <v>251</v>
      </c>
      <c r="G15368">
        <f>LOG(382/(251+1))</f>
        <v>0.18066282213016463</v>
      </c>
      <c r="H15368">
        <f>0.0125*0.415991521095151</f>
        <v>5.1998940136893873E-3</v>
      </c>
      <c r="I15368">
        <v>5.1998940136893986E-3</v>
      </c>
    </row>
    <row r="15369" spans="1:9" x14ac:dyDescent="0.25">
      <c r="A15369">
        <v>505</v>
      </c>
      <c r="B15369" t="s">
        <v>4087</v>
      </c>
      <c r="C15369" t="s">
        <v>75</v>
      </c>
      <c r="D15369" t="s">
        <v>4090</v>
      </c>
      <c r="E15369">
        <f t="shared" si="724"/>
        <v>1.2500000000000001E-2</v>
      </c>
      <c r="F15369">
        <v>3</v>
      </c>
      <c r="G15369">
        <f>LOG(382/(3+1))</f>
        <v>1.9800033715837464</v>
      </c>
      <c r="H15369">
        <f>0.0125*4.55912624748668</f>
        <v>5.6989078093583501E-2</v>
      </c>
      <c r="I15369">
        <v>5.6989078093583563E-2</v>
      </c>
    </row>
    <row r="15370" spans="1:9" x14ac:dyDescent="0.25">
      <c r="A15370">
        <v>505</v>
      </c>
      <c r="B15370" t="s">
        <v>4087</v>
      </c>
      <c r="C15370" t="s">
        <v>75</v>
      </c>
      <c r="D15370" t="s">
        <v>4091</v>
      </c>
      <c r="E15370">
        <f t="shared" si="724"/>
        <v>1.2500000000000001E-2</v>
      </c>
      <c r="F15370">
        <v>1</v>
      </c>
      <c r="G15370">
        <f>LOG(382/(1+1))</f>
        <v>2.2810333672477277</v>
      </c>
      <c r="H15370">
        <f>0.0125*5.25227342804663</f>
        <v>6.5653417850582874E-2</v>
      </c>
      <c r="I15370">
        <v>6.5653417850582874E-2</v>
      </c>
    </row>
    <row r="15371" spans="1:9" x14ac:dyDescent="0.25">
      <c r="A15371">
        <v>505</v>
      </c>
      <c r="B15371" t="s">
        <v>4087</v>
      </c>
      <c r="C15371" t="s">
        <v>75</v>
      </c>
      <c r="D15371" t="s">
        <v>17</v>
      </c>
      <c r="E15371">
        <f t="shared" si="724"/>
        <v>1.2500000000000001E-2</v>
      </c>
      <c r="F15371">
        <v>169</v>
      </c>
      <c r="G15371">
        <f>LOG(382/(169+1))</f>
        <v>0.3516144415334348</v>
      </c>
      <c r="H15371">
        <f>0.0125*0.809622171556313</f>
        <v>1.0120277144453913E-2</v>
      </c>
      <c r="I15371">
        <v>1.012027714445392E-2</v>
      </c>
    </row>
    <row r="15372" spans="1:9" x14ac:dyDescent="0.25">
      <c r="A15372">
        <v>505</v>
      </c>
      <c r="B15372" t="s">
        <v>4087</v>
      </c>
      <c r="C15372" t="s">
        <v>75</v>
      </c>
      <c r="D15372" t="s">
        <v>1907</v>
      </c>
      <c r="E15372">
        <f t="shared" si="724"/>
        <v>1.2500000000000001E-2</v>
      </c>
      <c r="F15372">
        <v>20</v>
      </c>
      <c r="G15372">
        <f>LOG(382/(20+1))</f>
        <v>1.2598440681777894</v>
      </c>
      <c r="H15372">
        <f>0.0125*2.90089817088315</f>
        <v>3.6261227136039374E-2</v>
      </c>
      <c r="I15372">
        <v>3.6261227136039402E-2</v>
      </c>
    </row>
    <row r="15373" spans="1:9" x14ac:dyDescent="0.25">
      <c r="A15373">
        <v>505</v>
      </c>
      <c r="B15373" t="s">
        <v>4087</v>
      </c>
      <c r="C15373" t="s">
        <v>75</v>
      </c>
      <c r="D15373" t="s">
        <v>1908</v>
      </c>
      <c r="E15373">
        <f t="shared" si="724"/>
        <v>1.2500000000000001E-2</v>
      </c>
      <c r="F15373">
        <v>20</v>
      </c>
      <c r="G15373">
        <f>LOG(382/(20+1))</f>
        <v>1.2598440681777894</v>
      </c>
      <c r="H15373">
        <f>0.0125*2.90089817088315</f>
        <v>3.6261227136039374E-2</v>
      </c>
      <c r="I15373">
        <v>3.6261227136039402E-2</v>
      </c>
    </row>
    <row r="15374" spans="1:9" x14ac:dyDescent="0.25">
      <c r="A15374">
        <v>505</v>
      </c>
      <c r="B15374" t="s">
        <v>4087</v>
      </c>
      <c r="C15374" t="s">
        <v>75</v>
      </c>
      <c r="D15374" t="s">
        <v>91</v>
      </c>
      <c r="E15374">
        <f t="shared" si="724"/>
        <v>1.2500000000000001E-2</v>
      </c>
      <c r="F15374">
        <v>33</v>
      </c>
      <c r="G15374">
        <f>LOG(382/(33+1))</f>
        <v>1.0505844458694535</v>
      </c>
      <c r="H15374">
        <f>0.0125*2.41906008399041</f>
        <v>3.0238251049880129E-2</v>
      </c>
      <c r="I15374">
        <v>3.023825104988017E-2</v>
      </c>
    </row>
    <row r="15375" spans="1:9" x14ac:dyDescent="0.25">
      <c r="A15375">
        <v>505</v>
      </c>
      <c r="B15375" t="s">
        <v>4087</v>
      </c>
      <c r="C15375" t="s">
        <v>75</v>
      </c>
      <c r="D15375" t="s">
        <v>19</v>
      </c>
      <c r="E15375">
        <f t="shared" si="724"/>
        <v>1.2500000000000001E-2</v>
      </c>
      <c r="F15375">
        <v>220</v>
      </c>
      <c r="G15375">
        <f>LOG(382/(220+1))</f>
        <v>0.23767108922659805</v>
      </c>
      <c r="H15375">
        <f>0.0125*0.547257907088822</f>
        <v>6.8407238386102758E-3</v>
      </c>
      <c r="I15375">
        <v>6.8407238386102801E-3</v>
      </c>
    </row>
    <row r="15376" spans="1:9" x14ac:dyDescent="0.25">
      <c r="A15376">
        <v>505</v>
      </c>
      <c r="B15376" t="s">
        <v>4087</v>
      </c>
      <c r="C15376" t="s">
        <v>75</v>
      </c>
      <c r="D15376" t="s">
        <v>195</v>
      </c>
      <c r="E15376">
        <f t="shared" si="724"/>
        <v>1.2500000000000001E-2</v>
      </c>
      <c r="F15376">
        <v>55</v>
      </c>
      <c r="G15376">
        <f>LOG(382/(55+1))</f>
        <v>0.83387533590550833</v>
      </c>
      <c r="H15376">
        <f>0.0125*1.92006891787142</f>
        <v>2.4000861473392754E-2</v>
      </c>
      <c r="I15376">
        <v>2.400086147339282E-2</v>
      </c>
    </row>
    <row r="15377" spans="1:9" x14ac:dyDescent="0.25">
      <c r="A15377">
        <v>505</v>
      </c>
      <c r="B15377" t="s">
        <v>4087</v>
      </c>
      <c r="C15377" t="s">
        <v>75</v>
      </c>
      <c r="D15377" t="s">
        <v>22</v>
      </c>
      <c r="E15377">
        <f t="shared" si="724"/>
        <v>1.2500000000000001E-2</v>
      </c>
      <c r="F15377">
        <v>259</v>
      </c>
      <c r="G15377">
        <f>LOG(382/(259+1))</f>
        <v>0.16709001494089079</v>
      </c>
      <c r="H15377">
        <f>0.0125*0.384738977591047</f>
        <v>4.8092372198880878E-3</v>
      </c>
      <c r="I15377">
        <v>4.8092372198880948E-3</v>
      </c>
    </row>
    <row r="15378" spans="1:9" x14ac:dyDescent="0.25">
      <c r="A15378">
        <v>505</v>
      </c>
      <c r="B15378" t="s">
        <v>4087</v>
      </c>
      <c r="C15378" t="s">
        <v>75</v>
      </c>
      <c r="D15378" t="s">
        <v>23</v>
      </c>
      <c r="E15378">
        <f t="shared" si="724"/>
        <v>1.2500000000000001E-2</v>
      </c>
      <c r="F15378">
        <v>275</v>
      </c>
      <c r="G15378">
        <f>LOG(382/(275+1))</f>
        <v>0.14115428084649101</v>
      </c>
      <c r="H15378">
        <f>0.0125*0.325019742889425</f>
        <v>4.0627467861178122E-3</v>
      </c>
      <c r="I15378">
        <v>4.0627467861178148E-3</v>
      </c>
    </row>
    <row r="15379" spans="1:9" x14ac:dyDescent="0.25">
      <c r="A15379">
        <v>505</v>
      </c>
      <c r="B15379" t="s">
        <v>4087</v>
      </c>
      <c r="C15379" t="s">
        <v>75</v>
      </c>
      <c r="D15379" t="s">
        <v>2291</v>
      </c>
      <c r="E15379">
        <f t="shared" si="724"/>
        <v>1.2500000000000001E-2</v>
      </c>
      <c r="F15379">
        <v>17</v>
      </c>
      <c r="G15379">
        <f>LOG(382/(17+1))</f>
        <v>1.3267908578084027</v>
      </c>
      <c r="H15379">
        <f>0.0125*3.05504885071041</f>
        <v>3.8188110633880126E-2</v>
      </c>
      <c r="I15379">
        <v>3.8188110633880133E-2</v>
      </c>
    </row>
    <row r="15380" spans="1:9" x14ac:dyDescent="0.25">
      <c r="A15380">
        <v>505</v>
      </c>
      <c r="B15380" t="s">
        <v>4087</v>
      </c>
      <c r="C15380" t="s">
        <v>75</v>
      </c>
      <c r="D15380" t="s">
        <v>204</v>
      </c>
      <c r="E15380">
        <f t="shared" si="724"/>
        <v>1.2500000000000001E-2</v>
      </c>
      <c r="F15380">
        <v>166</v>
      </c>
      <c r="G15380">
        <f>LOG(382/(166+1))</f>
        <v>0.35934689176412549</v>
      </c>
      <c r="H15380">
        <f>0.0125*0.82742679618982</f>
        <v>1.0342834952372751E-2</v>
      </c>
      <c r="I15380">
        <v>1.0342834952372751E-2</v>
      </c>
    </row>
    <row r="15381" spans="1:9" x14ac:dyDescent="0.25">
      <c r="A15381">
        <v>505</v>
      </c>
      <c r="B15381" t="s">
        <v>4087</v>
      </c>
      <c r="C15381" t="s">
        <v>75</v>
      </c>
      <c r="D15381" t="s">
        <v>78</v>
      </c>
      <c r="E15381">
        <f t="shared" si="724"/>
        <v>1.2500000000000001E-2</v>
      </c>
      <c r="F15381">
        <v>122</v>
      </c>
      <c r="G15381">
        <f>LOG(382/(122+1))</f>
        <v>0.49215825147231079</v>
      </c>
      <c r="H15381">
        <f>0.0125*1.13323625323415</f>
        <v>1.4165453165426875E-2</v>
      </c>
      <c r="I15381">
        <v>1.416545316542697E-2</v>
      </c>
    </row>
    <row r="15382" spans="1:9" x14ac:dyDescent="0.25">
      <c r="A15382">
        <v>505</v>
      </c>
      <c r="B15382" t="s">
        <v>4087</v>
      </c>
      <c r="C15382" t="s">
        <v>75</v>
      </c>
      <c r="D15382" t="s">
        <v>754</v>
      </c>
      <c r="E15382">
        <f>2/80</f>
        <v>2.5000000000000001E-2</v>
      </c>
      <c r="F15382">
        <v>111</v>
      </c>
      <c r="G15382">
        <f>LOG(382/(111+1))</f>
        <v>0.53284534024152708</v>
      </c>
      <c r="H15382">
        <f>0.025*1.22692173731148</f>
        <v>3.0673043432787001E-2</v>
      </c>
      <c r="I15382">
        <v>3.0673043432787019E-2</v>
      </c>
    </row>
    <row r="15383" spans="1:9" x14ac:dyDescent="0.25">
      <c r="A15383">
        <v>505</v>
      </c>
      <c r="B15383" t="s">
        <v>4087</v>
      </c>
      <c r="C15383" t="s">
        <v>75</v>
      </c>
      <c r="D15383" t="s">
        <v>76</v>
      </c>
      <c r="E15383">
        <f>1/80</f>
        <v>1.2500000000000001E-2</v>
      </c>
      <c r="F15383">
        <v>140</v>
      </c>
      <c r="G15383">
        <f>LOG(382/(140+1))</f>
        <v>0.43284425025632883</v>
      </c>
      <c r="H15383">
        <f>0.0125*0.996660718228407</f>
        <v>1.2458258977855088E-2</v>
      </c>
      <c r="I15383">
        <v>1.245825897785509E-2</v>
      </c>
    </row>
    <row r="15384" spans="1:9" x14ac:dyDescent="0.25">
      <c r="A15384">
        <v>505</v>
      </c>
      <c r="B15384" t="s">
        <v>4087</v>
      </c>
      <c r="C15384" t="s">
        <v>75</v>
      </c>
      <c r="D15384" t="s">
        <v>218</v>
      </c>
      <c r="E15384">
        <f>2/80</f>
        <v>2.5000000000000001E-2</v>
      </c>
      <c r="F15384">
        <v>35</v>
      </c>
      <c r="G15384">
        <f>LOG(382/(35+1))</f>
        <v>1.0257608621444214</v>
      </c>
      <c r="H15384">
        <f>0.025*2.36190167015046</f>
        <v>5.9047541753761507E-2</v>
      </c>
      <c r="I15384">
        <v>5.9047541753761618E-2</v>
      </c>
    </row>
    <row r="15385" spans="1:9" x14ac:dyDescent="0.25">
      <c r="A15385">
        <v>505</v>
      </c>
      <c r="B15385" t="s">
        <v>4087</v>
      </c>
      <c r="C15385" t="s">
        <v>75</v>
      </c>
      <c r="D15385" t="s">
        <v>40</v>
      </c>
      <c r="E15385">
        <f t="shared" ref="E15385:E15391" si="725">1/80</f>
        <v>1.2500000000000001E-2</v>
      </c>
      <c r="F15385">
        <v>159</v>
      </c>
      <c r="G15385">
        <f>LOG(382/(159+1))</f>
        <v>0.377943380255784</v>
      </c>
      <c r="H15385">
        <f>0.0125*0.870246793372748</f>
        <v>1.0878084917159352E-2</v>
      </c>
      <c r="I15385">
        <v>1.087808491715936E-2</v>
      </c>
    </row>
    <row r="15386" spans="1:9" x14ac:dyDescent="0.25">
      <c r="A15386">
        <v>505</v>
      </c>
      <c r="B15386" t="s">
        <v>4087</v>
      </c>
      <c r="C15386" t="s">
        <v>75</v>
      </c>
      <c r="D15386" t="s">
        <v>41</v>
      </c>
      <c r="E15386">
        <f t="shared" si="725"/>
        <v>1.2500000000000001E-2</v>
      </c>
      <c r="F15386">
        <v>195</v>
      </c>
      <c r="G15386">
        <f>LOG(382/(195+1))</f>
        <v>0.28980729155523272</v>
      </c>
      <c r="H15386">
        <f>0.0125*0.667305949376058</f>
        <v>8.3413243672007253E-3</v>
      </c>
      <c r="I15386">
        <v>8.3413243672007253E-3</v>
      </c>
    </row>
    <row r="15387" spans="1:9" x14ac:dyDescent="0.25">
      <c r="A15387">
        <v>505</v>
      </c>
      <c r="B15387" t="s">
        <v>4087</v>
      </c>
      <c r="C15387" t="s">
        <v>75</v>
      </c>
      <c r="D15387" t="s">
        <v>994</v>
      </c>
      <c r="E15387">
        <f t="shared" si="725"/>
        <v>1.2500000000000001E-2</v>
      </c>
      <c r="F15387">
        <v>37</v>
      </c>
      <c r="G15387">
        <f>LOG(382/(37+1))</f>
        <v>1.0022797662948986</v>
      </c>
      <c r="H15387">
        <f>0.0125*2.30783444888018</f>
        <v>2.884793061100225E-2</v>
      </c>
      <c r="I15387">
        <v>2.8847930611002371E-2</v>
      </c>
    </row>
    <row r="15388" spans="1:9" x14ac:dyDescent="0.25">
      <c r="A15388">
        <v>505</v>
      </c>
      <c r="B15388" t="s">
        <v>4087</v>
      </c>
      <c r="C15388" t="s">
        <v>75</v>
      </c>
      <c r="D15388" t="s">
        <v>327</v>
      </c>
      <c r="E15388">
        <f t="shared" si="725"/>
        <v>1.2500000000000001E-2</v>
      </c>
      <c r="F15388">
        <v>46</v>
      </c>
      <c r="G15388">
        <f>LOG(382/(46+1))</f>
        <v>0.90996550497599127</v>
      </c>
      <c r="H15388">
        <f>0.0125*2.09527300689651</f>
        <v>2.6190912586206379E-2</v>
      </c>
      <c r="I15388">
        <v>2.6190912586206459E-2</v>
      </c>
    </row>
    <row r="15389" spans="1:9" x14ac:dyDescent="0.25">
      <c r="A15389">
        <v>505</v>
      </c>
      <c r="B15389" t="s">
        <v>4087</v>
      </c>
      <c r="C15389" t="s">
        <v>75</v>
      </c>
      <c r="D15389" t="s">
        <v>1083</v>
      </c>
      <c r="E15389">
        <f t="shared" si="725"/>
        <v>1.2500000000000001E-2</v>
      </c>
      <c r="F15389">
        <v>51</v>
      </c>
      <c r="G15389">
        <f>LOG(382/(51+1))</f>
        <v>0.86606001927690957</v>
      </c>
      <c r="H15389">
        <f>0.0125*1.99417689002514</f>
        <v>2.492721112531425E-2</v>
      </c>
      <c r="I15389">
        <v>2.492721112531435E-2</v>
      </c>
    </row>
    <row r="15390" spans="1:9" x14ac:dyDescent="0.25">
      <c r="A15390">
        <v>505</v>
      </c>
      <c r="B15390" t="s">
        <v>4087</v>
      </c>
      <c r="C15390" t="s">
        <v>75</v>
      </c>
      <c r="D15390" t="s">
        <v>600</v>
      </c>
      <c r="E15390">
        <f t="shared" si="725"/>
        <v>1.2500000000000001E-2</v>
      </c>
      <c r="F15390">
        <v>102</v>
      </c>
      <c r="G15390">
        <f>LOG(382/(102+1))</f>
        <v>0.56922613820653656</v>
      </c>
      <c r="H15390">
        <f>0.0125*1.31069162037693</f>
        <v>1.6383645254711626E-2</v>
      </c>
      <c r="I15390">
        <v>1.638364525471174E-2</v>
      </c>
    </row>
    <row r="15391" spans="1:9" x14ac:dyDescent="0.25">
      <c r="A15391">
        <v>505</v>
      </c>
      <c r="B15391" t="s">
        <v>4087</v>
      </c>
      <c r="C15391" t="s">
        <v>75</v>
      </c>
      <c r="D15391" t="s">
        <v>1076</v>
      </c>
      <c r="E15391">
        <f t="shared" si="725"/>
        <v>1.2500000000000001E-2</v>
      </c>
      <c r="F15391">
        <v>13</v>
      </c>
      <c r="G15391">
        <f>LOG(382/(13+1))</f>
        <v>1.4359353272334707</v>
      </c>
      <c r="H15391">
        <f>0.0125*3.30636327899131</f>
        <v>4.1329540987391382E-2</v>
      </c>
      <c r="I15391">
        <v>4.1329540987391458E-2</v>
      </c>
    </row>
    <row r="15392" spans="1:9" x14ac:dyDescent="0.25">
      <c r="A15392">
        <v>505</v>
      </c>
      <c r="B15392" t="s">
        <v>4087</v>
      </c>
      <c r="C15392" t="s">
        <v>75</v>
      </c>
      <c r="D15392" t="s">
        <v>2238</v>
      </c>
      <c r="E15392">
        <f>2/80</f>
        <v>2.5000000000000001E-2</v>
      </c>
      <c r="F15392">
        <v>68</v>
      </c>
      <c r="G15392">
        <f>LOG(382/(68+1))</f>
        <v>0.74321427217445335</v>
      </c>
      <c r="H15392">
        <f>0.025*1.71131410400931</f>
        <v>4.2782852600232756E-2</v>
      </c>
      <c r="I15392">
        <v>4.2782852600232901E-2</v>
      </c>
    </row>
    <row r="15393" spans="1:9" x14ac:dyDescent="0.25">
      <c r="A15393">
        <v>505</v>
      </c>
      <c r="B15393" t="s">
        <v>4087</v>
      </c>
      <c r="C15393" t="s">
        <v>75</v>
      </c>
      <c r="D15393" t="s">
        <v>239</v>
      </c>
      <c r="E15393">
        <f>2/80</f>
        <v>2.5000000000000001E-2</v>
      </c>
      <c r="F15393">
        <v>40</v>
      </c>
      <c r="G15393">
        <f>LOG(382/(40+1))</f>
        <v>0.96927950619197323</v>
      </c>
      <c r="H15393">
        <f>0.025*2.23184854190226</f>
        <v>5.5796213547556497E-2</v>
      </c>
      <c r="I15393">
        <v>5.5796213547556678E-2</v>
      </c>
    </row>
    <row r="15394" spans="1:9" x14ac:dyDescent="0.25">
      <c r="A15394">
        <v>505</v>
      </c>
      <c r="B15394" t="s">
        <v>4087</v>
      </c>
      <c r="C15394" t="s">
        <v>75</v>
      </c>
      <c r="D15394" t="s">
        <v>362</v>
      </c>
      <c r="E15394">
        <f t="shared" ref="E15394:E15403" si="726">1/80</f>
        <v>1.2500000000000001E-2</v>
      </c>
      <c r="F15394">
        <v>81</v>
      </c>
      <c r="G15394">
        <f>LOG(382/(81+1))</f>
        <v>0.66824951052799197</v>
      </c>
      <c r="H15394">
        <f>0.0125*1.53870136134232</f>
        <v>1.9233767016779001E-2</v>
      </c>
      <c r="I15394">
        <v>1.9233767016779021E-2</v>
      </c>
    </row>
    <row r="15395" spans="1:9" x14ac:dyDescent="0.25">
      <c r="A15395">
        <v>505</v>
      </c>
      <c r="B15395" t="s">
        <v>4087</v>
      </c>
      <c r="C15395" t="s">
        <v>75</v>
      </c>
      <c r="D15395" t="s">
        <v>1769</v>
      </c>
      <c r="E15395">
        <f t="shared" si="726"/>
        <v>1.2500000000000001E-2</v>
      </c>
      <c r="F15395">
        <v>84</v>
      </c>
      <c r="G15395">
        <f>LOG(382/(84+1))</f>
        <v>0.65264443719741605</v>
      </c>
      <c r="H15395">
        <f>0.0125*1.50276935211625</f>
        <v>1.8784616901453124E-2</v>
      </c>
      <c r="I15395">
        <v>1.8784616901453239E-2</v>
      </c>
    </row>
    <row r="15396" spans="1:9" x14ac:dyDescent="0.25">
      <c r="A15396">
        <v>505</v>
      </c>
      <c r="B15396" t="s">
        <v>4087</v>
      </c>
      <c r="C15396" t="s">
        <v>75</v>
      </c>
      <c r="D15396" t="s">
        <v>126</v>
      </c>
      <c r="E15396">
        <f t="shared" si="726"/>
        <v>1.2500000000000001E-2</v>
      </c>
      <c r="F15396">
        <v>79</v>
      </c>
      <c r="G15396">
        <f>LOG(382/(79+1))</f>
        <v>0.67897337591976514</v>
      </c>
      <c r="H15396">
        <f>0.0125*1.56339397393269</f>
        <v>1.9542424674158627E-2</v>
      </c>
      <c r="I15396">
        <v>1.9542424674158669E-2</v>
      </c>
    </row>
    <row r="15397" spans="1:9" x14ac:dyDescent="0.25">
      <c r="A15397">
        <v>505</v>
      </c>
      <c r="B15397" t="s">
        <v>4087</v>
      </c>
      <c r="C15397" t="s">
        <v>75</v>
      </c>
      <c r="D15397" t="s">
        <v>1827</v>
      </c>
      <c r="E15397">
        <f t="shared" si="726"/>
        <v>1.2500000000000001E-2</v>
      </c>
      <c r="F15397">
        <v>9</v>
      </c>
      <c r="G15397">
        <f>LOG(382/(9+1))</f>
        <v>1.5820633629117087</v>
      </c>
      <c r="H15397">
        <f>0.0125*3.64283551561252</f>
        <v>4.5535443945156504E-2</v>
      </c>
      <c r="I15397">
        <v>4.5535443945156621E-2</v>
      </c>
    </row>
    <row r="15398" spans="1:9" x14ac:dyDescent="0.25">
      <c r="A15398">
        <v>505</v>
      </c>
      <c r="B15398" t="s">
        <v>4087</v>
      </c>
      <c r="C15398" t="s">
        <v>75</v>
      </c>
      <c r="D15398" t="s">
        <v>24</v>
      </c>
      <c r="E15398">
        <f t="shared" si="726"/>
        <v>1.2500000000000001E-2</v>
      </c>
      <c r="F15398">
        <v>59</v>
      </c>
      <c r="G15398">
        <f>LOG(382/(59+1))</f>
        <v>0.80391211252806505</v>
      </c>
      <c r="H15398">
        <f>0.0125*1.85107604638447</f>
        <v>2.3138450579805875E-2</v>
      </c>
      <c r="I15398">
        <v>2.313845057980593E-2</v>
      </c>
    </row>
    <row r="15399" spans="1:9" x14ac:dyDescent="0.25">
      <c r="A15399">
        <v>505</v>
      </c>
      <c r="B15399" t="s">
        <v>4087</v>
      </c>
      <c r="C15399" t="s">
        <v>75</v>
      </c>
      <c r="D15399" t="s">
        <v>746</v>
      </c>
      <c r="E15399">
        <f t="shared" si="726"/>
        <v>1.2500000000000001E-2</v>
      </c>
      <c r="F15399">
        <v>58</v>
      </c>
      <c r="G15399">
        <f>LOG(382/(58+1))</f>
        <v>0.81121135126956456</v>
      </c>
      <c r="H15399">
        <f>0.0125*1.86788316470085</f>
        <v>2.3348539558760626E-2</v>
      </c>
      <c r="I15399">
        <v>2.3348539558760699E-2</v>
      </c>
    </row>
    <row r="15400" spans="1:9" x14ac:dyDescent="0.25">
      <c r="A15400">
        <v>505</v>
      </c>
      <c r="B15400" t="s">
        <v>4087</v>
      </c>
      <c r="C15400" t="s">
        <v>75</v>
      </c>
      <c r="D15400" t="s">
        <v>1486</v>
      </c>
      <c r="E15400">
        <f t="shared" si="726"/>
        <v>1.2500000000000001E-2</v>
      </c>
      <c r="F15400">
        <v>5</v>
      </c>
      <c r="G15400">
        <f>LOG(382/(5+1))</f>
        <v>1.803912112528065</v>
      </c>
      <c r="H15400">
        <f>0.0125*4.15366113937852</f>
        <v>5.19207642422315E-2</v>
      </c>
      <c r="I15400">
        <v>5.19207642422315E-2</v>
      </c>
    </row>
    <row r="15401" spans="1:9" x14ac:dyDescent="0.25">
      <c r="A15401">
        <v>505</v>
      </c>
      <c r="B15401" t="s">
        <v>4087</v>
      </c>
      <c r="C15401" t="s">
        <v>75</v>
      </c>
      <c r="D15401" t="s">
        <v>4092</v>
      </c>
      <c r="E15401">
        <f t="shared" si="726"/>
        <v>1.2500000000000001E-2</v>
      </c>
      <c r="F15401">
        <v>1</v>
      </c>
      <c r="G15401">
        <f>LOG(382/(1+1))</f>
        <v>2.2810333672477277</v>
      </c>
      <c r="H15401">
        <f>0.0125*5.25227342804663</f>
        <v>6.5653417850582874E-2</v>
      </c>
      <c r="I15401">
        <v>6.5653417850582874E-2</v>
      </c>
    </row>
    <row r="15402" spans="1:9" x14ac:dyDescent="0.25">
      <c r="A15402">
        <v>505</v>
      </c>
      <c r="B15402" t="s">
        <v>4087</v>
      </c>
      <c r="C15402" t="s">
        <v>75</v>
      </c>
      <c r="D15402" t="s">
        <v>4093</v>
      </c>
      <c r="E15402">
        <f t="shared" si="726"/>
        <v>1.2500000000000001E-2</v>
      </c>
      <c r="F15402">
        <v>1</v>
      </c>
      <c r="G15402">
        <f>LOG(382/(1+1))</f>
        <v>2.2810333672477277</v>
      </c>
      <c r="H15402">
        <f>0.0125*5.25227342804663</f>
        <v>6.5653417850582874E-2</v>
      </c>
      <c r="I15402">
        <v>6.5653417850582874E-2</v>
      </c>
    </row>
    <row r="15403" spans="1:9" x14ac:dyDescent="0.25">
      <c r="A15403">
        <v>505</v>
      </c>
      <c r="B15403" t="s">
        <v>4087</v>
      </c>
      <c r="C15403" t="s">
        <v>75</v>
      </c>
      <c r="D15403" t="s">
        <v>4094</v>
      </c>
      <c r="E15403">
        <f t="shared" si="726"/>
        <v>1.2500000000000001E-2</v>
      </c>
      <c r="F15403">
        <v>1</v>
      </c>
      <c r="G15403">
        <f>LOG(382/(1+1))</f>
        <v>2.2810333672477277</v>
      </c>
      <c r="H15403">
        <f>0.0125*5.25227342804663</f>
        <v>6.5653417850582874E-2</v>
      </c>
      <c r="I15403">
        <v>6.5653417850582874E-2</v>
      </c>
    </row>
    <row r="15404" spans="1:9" x14ac:dyDescent="0.25">
      <c r="A15404">
        <v>505</v>
      </c>
      <c r="B15404" t="s">
        <v>4087</v>
      </c>
      <c r="C15404" t="s">
        <v>75</v>
      </c>
      <c r="D15404" t="s">
        <v>361</v>
      </c>
      <c r="E15404">
        <f>3/80</f>
        <v>3.7499999999999999E-2</v>
      </c>
      <c r="F15404">
        <v>118</v>
      </c>
      <c r="G15404">
        <f>LOG(382/(118+1))</f>
        <v>0.50651640151917798</v>
      </c>
      <c r="H15404">
        <f>0.0375*1.16629711549504</f>
        <v>4.3736141831063995E-2</v>
      </c>
      <c r="I15404">
        <v>4.3736141831064217E-2</v>
      </c>
    </row>
    <row r="15405" spans="1:9" x14ac:dyDescent="0.25">
      <c r="A15405">
        <v>505</v>
      </c>
      <c r="B15405" t="s">
        <v>4087</v>
      </c>
      <c r="C15405" t="s">
        <v>75</v>
      </c>
      <c r="D15405" t="s">
        <v>434</v>
      </c>
      <c r="E15405">
        <f>2/80</f>
        <v>2.5000000000000001E-2</v>
      </c>
      <c r="F15405">
        <v>97</v>
      </c>
      <c r="G15405">
        <f>LOG(382/(97+1))</f>
        <v>0.59083728721921391</v>
      </c>
      <c r="H15405">
        <f>0.025*1.360453129936</f>
        <v>3.4011328248400002E-2</v>
      </c>
      <c r="I15405">
        <v>3.4011328248400079E-2</v>
      </c>
    </row>
    <row r="15406" spans="1:9" x14ac:dyDescent="0.25">
      <c r="A15406">
        <v>505</v>
      </c>
      <c r="B15406" t="s">
        <v>4087</v>
      </c>
      <c r="C15406" t="s">
        <v>75</v>
      </c>
      <c r="D15406" t="s">
        <v>243</v>
      </c>
      <c r="E15406">
        <f>1/80</f>
        <v>1.2500000000000001E-2</v>
      </c>
      <c r="F15406">
        <v>131</v>
      </c>
      <c r="G15406">
        <f>LOG(382/(131+1))</f>
        <v>0.46148943170585888</v>
      </c>
      <c r="H15406">
        <f>0.0125*1.0626186860202</f>
        <v>1.3282733575252502E-2</v>
      </c>
      <c r="I15406">
        <v>1.328273357525255E-2</v>
      </c>
    </row>
    <row r="15407" spans="1:9" x14ac:dyDescent="0.25">
      <c r="A15407">
        <v>505</v>
      </c>
      <c r="B15407" t="s">
        <v>4087</v>
      </c>
      <c r="C15407" t="s">
        <v>75</v>
      </c>
      <c r="D15407" t="s">
        <v>81</v>
      </c>
      <c r="E15407">
        <f>2/80</f>
        <v>2.5000000000000001E-2</v>
      </c>
      <c r="F15407">
        <v>114</v>
      </c>
      <c r="G15407">
        <f>LOG(382/(114+1))</f>
        <v>0.52136552255809698</v>
      </c>
      <c r="H15407">
        <f>0.025*1.20048848024332</f>
        <v>3.0012212006083002E-2</v>
      </c>
      <c r="I15407">
        <v>3.001221200608313E-2</v>
      </c>
    </row>
    <row r="15408" spans="1:9" x14ac:dyDescent="0.25">
      <c r="A15408">
        <v>505</v>
      </c>
      <c r="B15408" t="s">
        <v>4087</v>
      </c>
      <c r="C15408" t="s">
        <v>75</v>
      </c>
      <c r="D15408" t="s">
        <v>398</v>
      </c>
      <c r="E15408">
        <f t="shared" ref="E15408:E15416" si="727">1/80</f>
        <v>1.2500000000000001E-2</v>
      </c>
      <c r="F15408">
        <v>14</v>
      </c>
      <c r="G15408">
        <f>LOG(382/(14+1))</f>
        <v>1.4059721038560276</v>
      </c>
      <c r="H15408">
        <f>0.0125*3.23737040750436</f>
        <v>4.0467130093804503E-2</v>
      </c>
      <c r="I15408">
        <v>4.0467130093804572E-2</v>
      </c>
    </row>
    <row r="15409" spans="1:9" x14ac:dyDescent="0.25">
      <c r="A15409">
        <v>505</v>
      </c>
      <c r="B15409" t="s">
        <v>4087</v>
      </c>
      <c r="C15409" t="s">
        <v>75</v>
      </c>
      <c r="D15409" t="s">
        <v>438</v>
      </c>
      <c r="E15409">
        <f t="shared" si="727"/>
        <v>1.2500000000000001E-2</v>
      </c>
      <c r="F15409">
        <v>37</v>
      </c>
      <c r="G15409">
        <f>LOG(382/(37+1))</f>
        <v>1.0022797662948986</v>
      </c>
      <c r="H15409">
        <f>0.0125*2.30783444888018</f>
        <v>2.884793061100225E-2</v>
      </c>
      <c r="I15409">
        <v>2.8847930611002371E-2</v>
      </c>
    </row>
    <row r="15410" spans="1:9" x14ac:dyDescent="0.25">
      <c r="A15410">
        <v>505</v>
      </c>
      <c r="B15410" t="s">
        <v>4087</v>
      </c>
      <c r="C15410" t="s">
        <v>75</v>
      </c>
      <c r="D15410" t="s">
        <v>307</v>
      </c>
      <c r="E15410">
        <f t="shared" si="727"/>
        <v>1.2500000000000001E-2</v>
      </c>
      <c r="F15410">
        <v>67</v>
      </c>
      <c r="G15410">
        <f>LOG(382/(67+1))</f>
        <v>0.7495544502054724</v>
      </c>
      <c r="H15410">
        <f>0.0125*1.72591290343046</f>
        <v>2.1573911292880752E-2</v>
      </c>
      <c r="I15410">
        <v>2.157391129288086E-2</v>
      </c>
    </row>
    <row r="15411" spans="1:9" x14ac:dyDescent="0.25">
      <c r="A15411">
        <v>505</v>
      </c>
      <c r="B15411" t="s">
        <v>4087</v>
      </c>
      <c r="C15411" t="s">
        <v>75</v>
      </c>
      <c r="D15411" t="s">
        <v>887</v>
      </c>
      <c r="E15411">
        <f t="shared" si="727"/>
        <v>1.2500000000000001E-2</v>
      </c>
      <c r="F15411">
        <v>12</v>
      </c>
      <c r="G15411">
        <f>LOG(382/(12+1))</f>
        <v>1.468120010604872</v>
      </c>
      <c r="H15411">
        <f>0.0125*3.38047125114503</f>
        <v>4.2255890639312878E-2</v>
      </c>
      <c r="I15411">
        <v>4.2255890639312982E-2</v>
      </c>
    </row>
    <row r="15412" spans="1:9" x14ac:dyDescent="0.25">
      <c r="A15412">
        <v>505</v>
      </c>
      <c r="B15412" t="s">
        <v>4087</v>
      </c>
      <c r="C15412" t="s">
        <v>75</v>
      </c>
      <c r="D15412" t="s">
        <v>888</v>
      </c>
      <c r="E15412">
        <f t="shared" si="727"/>
        <v>1.2500000000000001E-2</v>
      </c>
      <c r="F15412">
        <v>21</v>
      </c>
      <c r="G15412">
        <f>LOG(382/(21+1))</f>
        <v>1.2396406820895025</v>
      </c>
      <c r="H15412">
        <f>0.0125*2.85437815524825</f>
        <v>3.5679726940603125E-2</v>
      </c>
      <c r="I15412">
        <v>3.5679726940603243E-2</v>
      </c>
    </row>
    <row r="15413" spans="1:9" x14ac:dyDescent="0.25">
      <c r="A15413">
        <v>505</v>
      </c>
      <c r="B15413" t="s">
        <v>4087</v>
      </c>
      <c r="C15413" t="s">
        <v>75</v>
      </c>
      <c r="D15413" t="s">
        <v>4095</v>
      </c>
      <c r="E15413">
        <f t="shared" si="727"/>
        <v>1.2500000000000001E-2</v>
      </c>
      <c r="F15413">
        <v>1</v>
      </c>
      <c r="G15413">
        <f>LOG(382/(1+1))</f>
        <v>2.2810333672477277</v>
      </c>
      <c r="H15413">
        <f>0.0125*5.25227342804663</f>
        <v>6.5653417850582874E-2</v>
      </c>
      <c r="I15413">
        <v>6.5653417850582874E-2</v>
      </c>
    </row>
    <row r="15414" spans="1:9" x14ac:dyDescent="0.25">
      <c r="A15414">
        <v>505</v>
      </c>
      <c r="B15414" t="s">
        <v>4087</v>
      </c>
      <c r="C15414" t="s">
        <v>75</v>
      </c>
      <c r="D15414" t="s">
        <v>455</v>
      </c>
      <c r="E15414">
        <f t="shared" si="727"/>
        <v>1.2500000000000001E-2</v>
      </c>
      <c r="F15414">
        <v>78</v>
      </c>
      <c r="G15414">
        <f>LOG(382/(78+1))</f>
        <v>0.6844362716212673</v>
      </c>
      <c r="H15414">
        <f>0.0125*1.57597275613955</f>
        <v>1.9699659451744376E-2</v>
      </c>
      <c r="I15414">
        <v>1.9699659451744421E-2</v>
      </c>
    </row>
    <row r="15415" spans="1:9" x14ac:dyDescent="0.25">
      <c r="A15415">
        <v>505</v>
      </c>
      <c r="B15415" t="s">
        <v>4087</v>
      </c>
      <c r="C15415" t="s">
        <v>75</v>
      </c>
      <c r="D15415" t="s">
        <v>456</v>
      </c>
      <c r="E15415">
        <f t="shared" si="727"/>
        <v>1.2500000000000001E-2</v>
      </c>
      <c r="F15415">
        <v>71</v>
      </c>
      <c r="G15415">
        <f>LOG(382/(71+1))</f>
        <v>0.72473086648044027</v>
      </c>
      <c r="H15415">
        <f>0.0125*1.66875448959051</f>
        <v>2.0859431119881377E-2</v>
      </c>
      <c r="I15415">
        <v>2.0859431119881498E-2</v>
      </c>
    </row>
    <row r="15416" spans="1:9" x14ac:dyDescent="0.25">
      <c r="A15416">
        <v>505</v>
      </c>
      <c r="B15416" t="s">
        <v>4087</v>
      </c>
      <c r="C15416" t="s">
        <v>75</v>
      </c>
      <c r="D15416" t="s">
        <v>4096</v>
      </c>
      <c r="E15416">
        <f t="shared" si="727"/>
        <v>1.2500000000000001E-2</v>
      </c>
      <c r="F15416">
        <v>1</v>
      </c>
      <c r="G15416">
        <f>LOG(382/(1+1))</f>
        <v>2.2810333672477277</v>
      </c>
      <c r="H15416">
        <f>0.0125*5.25227342804663</f>
        <v>6.5653417850582874E-2</v>
      </c>
      <c r="I15416">
        <v>6.5653417850582874E-2</v>
      </c>
    </row>
    <row r="15417" spans="1:9" x14ac:dyDescent="0.25">
      <c r="A15417">
        <v>505</v>
      </c>
      <c r="B15417" t="s">
        <v>4087</v>
      </c>
      <c r="C15417" t="s">
        <v>75</v>
      </c>
      <c r="D15417" t="s">
        <v>310</v>
      </c>
      <c r="E15417">
        <f>2/80</f>
        <v>2.5000000000000001E-2</v>
      </c>
      <c r="F15417">
        <v>50</v>
      </c>
      <c r="G15417">
        <f>LOG(382/(50+1))</f>
        <v>0.87449318681377242</v>
      </c>
      <c r="H15417">
        <f>0.025*2.01359497588224</f>
        <v>5.0339874397055999E-2</v>
      </c>
      <c r="I15417">
        <v>5.0339874397056242E-2</v>
      </c>
    </row>
    <row r="15418" spans="1:9" x14ac:dyDescent="0.25">
      <c r="A15418">
        <v>505</v>
      </c>
      <c r="B15418" t="s">
        <v>4087</v>
      </c>
      <c r="C15418" t="s">
        <v>75</v>
      </c>
      <c r="D15418" t="s">
        <v>322</v>
      </c>
      <c r="E15418">
        <f>2/80</f>
        <v>2.5000000000000001E-2</v>
      </c>
      <c r="F15418">
        <v>128</v>
      </c>
      <c r="G15418">
        <f>LOG(382/(128+1))</f>
        <v>0.47147365261245977</v>
      </c>
      <c r="H15418">
        <f>0.025*1.0856082042449</f>
        <v>2.71402051061225E-2</v>
      </c>
      <c r="I15418">
        <v>2.714020510612258E-2</v>
      </c>
    </row>
    <row r="15419" spans="1:9" x14ac:dyDescent="0.25">
      <c r="A15419">
        <v>505</v>
      </c>
      <c r="B15419" t="s">
        <v>4087</v>
      </c>
      <c r="C15419" t="s">
        <v>75</v>
      </c>
      <c r="D15419" t="s">
        <v>309</v>
      </c>
      <c r="E15419">
        <f t="shared" ref="E15419:E15426" si="728">1/80</f>
        <v>1.2500000000000001E-2</v>
      </c>
      <c r="F15419">
        <v>25</v>
      </c>
      <c r="G15419">
        <f>LOG(382/(25+1))</f>
        <v>1.1670900149408907</v>
      </c>
      <c r="H15419">
        <f>0.0125*2.68732407058509</f>
        <v>3.359155088231363E-2</v>
      </c>
      <c r="I15419">
        <v>3.3591550882313657E-2</v>
      </c>
    </row>
    <row r="15420" spans="1:9" x14ac:dyDescent="0.25">
      <c r="A15420">
        <v>505</v>
      </c>
      <c r="B15420" t="s">
        <v>4087</v>
      </c>
      <c r="C15420" t="s">
        <v>75</v>
      </c>
      <c r="D15420" t="s">
        <v>311</v>
      </c>
      <c r="E15420">
        <f t="shared" si="728"/>
        <v>1.2500000000000001E-2</v>
      </c>
      <c r="F15420">
        <v>7</v>
      </c>
      <c r="G15420">
        <f>LOG(382/(7+1))</f>
        <v>1.6789733759197651</v>
      </c>
      <c r="H15420">
        <f>0.0125*3.86597906692673</f>
        <v>4.8324738336584128E-2</v>
      </c>
      <c r="I15420">
        <v>4.8324738336584239E-2</v>
      </c>
    </row>
    <row r="15421" spans="1:9" x14ac:dyDescent="0.25">
      <c r="A15421">
        <v>505</v>
      </c>
      <c r="B15421" t="s">
        <v>4087</v>
      </c>
      <c r="C15421" t="s">
        <v>75</v>
      </c>
      <c r="D15421" t="s">
        <v>338</v>
      </c>
      <c r="E15421">
        <f t="shared" si="728"/>
        <v>1.2500000000000001E-2</v>
      </c>
      <c r="F15421">
        <v>54</v>
      </c>
      <c r="G15421">
        <f>LOG(382/(54+1))</f>
        <v>0.84170067341746491</v>
      </c>
      <c r="H15421">
        <f>0.0125*1.9380874233741</f>
        <v>2.4226092792176249E-2</v>
      </c>
      <c r="I15421">
        <v>2.4226092792176301E-2</v>
      </c>
    </row>
    <row r="15422" spans="1:9" x14ac:dyDescent="0.25">
      <c r="A15422">
        <v>505</v>
      </c>
      <c r="B15422" t="s">
        <v>4087</v>
      </c>
      <c r="C15422" t="s">
        <v>75</v>
      </c>
      <c r="D15422" t="s">
        <v>942</v>
      </c>
      <c r="E15422">
        <f t="shared" si="728"/>
        <v>1.2500000000000001E-2</v>
      </c>
      <c r="F15422">
        <v>10</v>
      </c>
      <c r="G15422">
        <f>LOG(382/(10+1))</f>
        <v>1.5406706777534838</v>
      </c>
      <c r="H15422">
        <f>0.0125*3.5475253358082</f>
        <v>4.4344066697602505E-2</v>
      </c>
      <c r="I15422">
        <v>4.434406669760256E-2</v>
      </c>
    </row>
    <row r="15423" spans="1:9" x14ac:dyDescent="0.25">
      <c r="A15423">
        <v>505</v>
      </c>
      <c r="B15423" t="s">
        <v>4087</v>
      </c>
      <c r="C15423" t="s">
        <v>75</v>
      </c>
      <c r="D15423" t="s">
        <v>215</v>
      </c>
      <c r="E15423">
        <f t="shared" si="728"/>
        <v>1.2500000000000001E-2</v>
      </c>
      <c r="F15423">
        <v>25</v>
      </c>
      <c r="G15423">
        <f>LOG(382/(25+1))</f>
        <v>1.1670900149408907</v>
      </c>
      <c r="H15423">
        <f>0.0125*2.68732407058509</f>
        <v>3.359155088231363E-2</v>
      </c>
      <c r="I15423">
        <v>3.3591550882313657E-2</v>
      </c>
    </row>
    <row r="15424" spans="1:9" x14ac:dyDescent="0.25">
      <c r="A15424">
        <v>505</v>
      </c>
      <c r="B15424" t="s">
        <v>4087</v>
      </c>
      <c r="C15424" t="s">
        <v>75</v>
      </c>
      <c r="D15424" t="s">
        <v>4097</v>
      </c>
      <c r="E15424">
        <f t="shared" si="728"/>
        <v>1.2500000000000001E-2</v>
      </c>
      <c r="F15424">
        <v>1</v>
      </c>
      <c r="G15424">
        <f>LOG(382/(1+1))</f>
        <v>2.2810333672477277</v>
      </c>
      <c r="H15424">
        <f>0.0125*5.25227342804663</f>
        <v>6.5653417850582874E-2</v>
      </c>
      <c r="I15424">
        <v>6.5653417850582874E-2</v>
      </c>
    </row>
    <row r="15425" spans="1:9" x14ac:dyDescent="0.25">
      <c r="A15425">
        <v>505</v>
      </c>
      <c r="B15425" t="s">
        <v>4087</v>
      </c>
      <c r="C15425" t="s">
        <v>75</v>
      </c>
      <c r="D15425" t="s">
        <v>4098</v>
      </c>
      <c r="E15425">
        <f t="shared" si="728"/>
        <v>1.2500000000000001E-2</v>
      </c>
      <c r="F15425">
        <v>1</v>
      </c>
      <c r="G15425">
        <f>LOG(382/(1+1))</f>
        <v>2.2810333672477277</v>
      </c>
      <c r="H15425">
        <f>0.0125*5.25227342804663</f>
        <v>6.5653417850582874E-2</v>
      </c>
      <c r="I15425">
        <v>6.5653417850582874E-2</v>
      </c>
    </row>
    <row r="15426" spans="1:9" x14ac:dyDescent="0.25">
      <c r="A15426">
        <v>505</v>
      </c>
      <c r="B15426" t="s">
        <v>4087</v>
      </c>
      <c r="C15426" t="s">
        <v>75</v>
      </c>
      <c r="D15426" t="s">
        <v>1224</v>
      </c>
      <c r="E15426">
        <f t="shared" si="728"/>
        <v>1.2500000000000001E-2</v>
      </c>
      <c r="F15426">
        <v>11</v>
      </c>
      <c r="G15426">
        <f>LOG(382/(11+1))</f>
        <v>1.5028821168640838</v>
      </c>
      <c r="H15426">
        <f>0.0125*3.46051395881857</f>
        <v>4.3256424485232127E-2</v>
      </c>
      <c r="I15426">
        <v>4.3256424485232189E-2</v>
      </c>
    </row>
    <row r="15427" spans="1:9" x14ac:dyDescent="0.25">
      <c r="A15427">
        <v>506</v>
      </c>
      <c r="B15427" t="s">
        <v>4099</v>
      </c>
      <c r="C15427" t="s">
        <v>75</v>
      </c>
      <c r="D15427" t="s">
        <v>2238</v>
      </c>
      <c r="E15427">
        <f>2/37</f>
        <v>5.4054054054054057E-2</v>
      </c>
      <c r="F15427">
        <v>68</v>
      </c>
      <c r="G15427">
        <f>LOG(382/(68+1))</f>
        <v>0.74321427217445335</v>
      </c>
      <c r="H15427">
        <f>0.054054054054054*1.71131410400931</f>
        <v>9.2503465081584232E-2</v>
      </c>
      <c r="I15427">
        <v>9.2503465081584649E-2</v>
      </c>
    </row>
    <row r="15428" spans="1:9" x14ac:dyDescent="0.25">
      <c r="A15428">
        <v>506</v>
      </c>
      <c r="B15428" t="s">
        <v>4099</v>
      </c>
      <c r="C15428" t="s">
        <v>75</v>
      </c>
      <c r="D15428" t="s">
        <v>239</v>
      </c>
      <c r="E15428">
        <f>2/37</f>
        <v>5.4054054054054057E-2</v>
      </c>
      <c r="F15428">
        <v>40</v>
      </c>
      <c r="G15428">
        <f>LOG(382/(40+1))</f>
        <v>0.96927950619197323</v>
      </c>
      <c r="H15428">
        <f>0.054054054054054*2.23184854190226</f>
        <v>0.12064046172444635</v>
      </c>
      <c r="I15428">
        <v>0.1206404617244469</v>
      </c>
    </row>
    <row r="15429" spans="1:9" x14ac:dyDescent="0.25">
      <c r="A15429">
        <v>506</v>
      </c>
      <c r="B15429" t="s">
        <v>4099</v>
      </c>
      <c r="C15429" t="s">
        <v>75</v>
      </c>
      <c r="D15429" t="s">
        <v>1544</v>
      </c>
      <c r="E15429">
        <f>1/37</f>
        <v>2.7027027027027029E-2</v>
      </c>
      <c r="F15429">
        <v>19</v>
      </c>
      <c r="G15429">
        <f>LOG(382/(19+1))</f>
        <v>1.2810333672477277</v>
      </c>
      <c r="H15429">
        <f>0.027027027027027*2.94968833505258</f>
        <v>7.9721306352772359E-2</v>
      </c>
      <c r="I15429">
        <v>7.9721306352772553E-2</v>
      </c>
    </row>
    <row r="15430" spans="1:9" x14ac:dyDescent="0.25">
      <c r="A15430">
        <v>506</v>
      </c>
      <c r="B15430" t="s">
        <v>4099</v>
      </c>
      <c r="C15430" t="s">
        <v>75</v>
      </c>
      <c r="D15430" t="s">
        <v>204</v>
      </c>
      <c r="E15430">
        <f>1/37</f>
        <v>2.7027027027027029E-2</v>
      </c>
      <c r="F15430">
        <v>166</v>
      </c>
      <c r="G15430">
        <f>LOG(382/(166+1))</f>
        <v>0.35934689176412549</v>
      </c>
      <c r="H15430">
        <f>0.027027027027027*0.82742679618982</f>
        <v>2.2362886383508626E-2</v>
      </c>
      <c r="I15430">
        <v>2.236288638350865E-2</v>
      </c>
    </row>
    <row r="15431" spans="1:9" x14ac:dyDescent="0.25">
      <c r="A15431">
        <v>506</v>
      </c>
      <c r="B15431" t="s">
        <v>4099</v>
      </c>
      <c r="C15431" t="s">
        <v>75</v>
      </c>
      <c r="D15431" t="s">
        <v>746</v>
      </c>
      <c r="E15431">
        <f>1/37</f>
        <v>2.7027027027027029E-2</v>
      </c>
      <c r="F15431">
        <v>58</v>
      </c>
      <c r="G15431">
        <f>LOG(382/(58+1))</f>
        <v>0.81121135126956456</v>
      </c>
      <c r="H15431">
        <f>0.027027027027027*1.86788316470085</f>
        <v>5.0483328775698603E-2</v>
      </c>
      <c r="I15431">
        <v>5.0483328775698798E-2</v>
      </c>
    </row>
    <row r="15432" spans="1:9" x14ac:dyDescent="0.25">
      <c r="A15432">
        <v>506</v>
      </c>
      <c r="B15432" t="s">
        <v>4099</v>
      </c>
      <c r="C15432" t="s">
        <v>75</v>
      </c>
      <c r="D15432" t="s">
        <v>448</v>
      </c>
      <c r="E15432">
        <f>1/37</f>
        <v>2.7027027027027029E-2</v>
      </c>
      <c r="F15432">
        <v>19</v>
      </c>
      <c r="G15432">
        <f>LOG(382/(19+1))</f>
        <v>1.2810333672477277</v>
      </c>
      <c r="H15432">
        <f>0.027027027027027*2.94968833505258</f>
        <v>7.9721306352772359E-2</v>
      </c>
      <c r="I15432">
        <v>7.9721306352772553E-2</v>
      </c>
    </row>
    <row r="15433" spans="1:9" x14ac:dyDescent="0.25">
      <c r="A15433">
        <v>506</v>
      </c>
      <c r="B15433" t="s">
        <v>4099</v>
      </c>
      <c r="C15433" t="s">
        <v>75</v>
      </c>
      <c r="D15433" t="s">
        <v>1740</v>
      </c>
      <c r="E15433">
        <f>2/37</f>
        <v>5.4054054054054057E-2</v>
      </c>
      <c r="F15433">
        <v>5</v>
      </c>
      <c r="G15433">
        <f>LOG(382/(5+1))</f>
        <v>1.803912112528065</v>
      </c>
      <c r="H15433">
        <f>0.054054054054054*4.15366113937852</f>
        <v>0.22452222375019004</v>
      </c>
      <c r="I15433">
        <v>0.22452222375019029</v>
      </c>
    </row>
    <row r="15434" spans="1:9" x14ac:dyDescent="0.25">
      <c r="A15434">
        <v>506</v>
      </c>
      <c r="B15434" t="s">
        <v>4099</v>
      </c>
      <c r="C15434" t="s">
        <v>75</v>
      </c>
      <c r="D15434" t="s">
        <v>4100</v>
      </c>
      <c r="E15434">
        <f>2/37</f>
        <v>5.4054054054054057E-2</v>
      </c>
      <c r="F15434">
        <v>1</v>
      </c>
      <c r="G15434">
        <f>LOG(382/(1+1))</f>
        <v>2.2810333672477277</v>
      </c>
      <c r="H15434">
        <f>0.054054054054054*5.25227342804663</f>
        <v>0.28390667178630402</v>
      </c>
      <c r="I15434">
        <v>0.28390667178630441</v>
      </c>
    </row>
    <row r="15435" spans="1:9" x14ac:dyDescent="0.25">
      <c r="A15435">
        <v>506</v>
      </c>
      <c r="B15435" t="s">
        <v>4099</v>
      </c>
      <c r="C15435" t="s">
        <v>75</v>
      </c>
      <c r="D15435" t="s">
        <v>279</v>
      </c>
      <c r="E15435">
        <f>1/37</f>
        <v>2.7027027027027029E-2</v>
      </c>
      <c r="F15435">
        <v>22</v>
      </c>
      <c r="G15435">
        <f>LOG(382/(22+1))</f>
        <v>1.2203355268941158</v>
      </c>
      <c r="H15435">
        <f>0.027027027027027*2.80992639267742</f>
        <v>7.5943956558849113E-2</v>
      </c>
      <c r="I15435">
        <v>7.5943956558849349E-2</v>
      </c>
    </row>
    <row r="15436" spans="1:9" x14ac:dyDescent="0.25">
      <c r="A15436">
        <v>506</v>
      </c>
      <c r="B15436" t="s">
        <v>4099</v>
      </c>
      <c r="C15436" t="s">
        <v>75</v>
      </c>
      <c r="D15436" t="s">
        <v>4101</v>
      </c>
      <c r="E15436">
        <f>1/37</f>
        <v>2.7027027027027029E-2</v>
      </c>
      <c r="F15436">
        <v>1</v>
      </c>
      <c r="G15436">
        <f>LOG(382/(1+1))</f>
        <v>2.2810333672477277</v>
      </c>
      <c r="H15436">
        <f>0.027027027027027*5.25227342804663</f>
        <v>0.14195333589315201</v>
      </c>
      <c r="I15436">
        <v>0.1419533358931522</v>
      </c>
    </row>
    <row r="15437" spans="1:9" x14ac:dyDescent="0.25">
      <c r="A15437">
        <v>506</v>
      </c>
      <c r="B15437" t="s">
        <v>4099</v>
      </c>
      <c r="C15437" t="s">
        <v>75</v>
      </c>
      <c r="D15437" t="s">
        <v>3335</v>
      </c>
      <c r="E15437">
        <f>1/37</f>
        <v>2.7027027027027029E-2</v>
      </c>
      <c r="F15437">
        <v>16</v>
      </c>
      <c r="G15437">
        <f>LOG(382/(16+1))</f>
        <v>1.3516144415334348</v>
      </c>
      <c r="H15437">
        <f>0.027027027027027*3.11220726455035</f>
        <v>8.4113709852712076E-2</v>
      </c>
      <c r="I15437">
        <v>8.4113709852712409E-2</v>
      </c>
    </row>
    <row r="15438" spans="1:9" x14ac:dyDescent="0.25">
      <c r="A15438">
        <v>506</v>
      </c>
      <c r="B15438" t="s">
        <v>4099</v>
      </c>
      <c r="C15438" t="s">
        <v>75</v>
      </c>
      <c r="D15438" t="s">
        <v>3376</v>
      </c>
      <c r="E15438">
        <f>2/37</f>
        <v>5.4054054054054057E-2</v>
      </c>
      <c r="F15438">
        <v>21</v>
      </c>
      <c r="G15438">
        <f>LOG(382/(21+1))</f>
        <v>1.2396406820895025</v>
      </c>
      <c r="H15438">
        <f>0.054054054054054*2.85437815524825</f>
        <v>0.15429071109449985</v>
      </c>
      <c r="I15438">
        <v>0.15429071109450049</v>
      </c>
    </row>
    <row r="15439" spans="1:9" x14ac:dyDescent="0.25">
      <c r="A15439">
        <v>506</v>
      </c>
      <c r="B15439" t="s">
        <v>4099</v>
      </c>
      <c r="C15439" t="s">
        <v>75</v>
      </c>
      <c r="D15439" t="s">
        <v>1738</v>
      </c>
      <c r="E15439">
        <f>1/37</f>
        <v>2.7027027027027029E-2</v>
      </c>
      <c r="F15439">
        <v>24</v>
      </c>
      <c r="G15439">
        <f>LOG(382/(24+1))</f>
        <v>1.1841233542396712</v>
      </c>
      <c r="H15439">
        <f>0.027027027027027*2.72654478373837</f>
        <v>7.3690399560496417E-2</v>
      </c>
      <c r="I15439">
        <v>7.3690399560496611E-2</v>
      </c>
    </row>
    <row r="15440" spans="1:9" x14ac:dyDescent="0.25">
      <c r="A15440">
        <v>506</v>
      </c>
      <c r="B15440" t="s">
        <v>4099</v>
      </c>
      <c r="C15440" t="s">
        <v>75</v>
      </c>
      <c r="D15440" t="s">
        <v>1739</v>
      </c>
      <c r="E15440">
        <f>1/37</f>
        <v>2.7027027027027029E-2</v>
      </c>
      <c r="F15440">
        <v>30</v>
      </c>
      <c r="G15440">
        <f>LOG(382/(30+1))</f>
        <v>1.090701669077436</v>
      </c>
      <c r="H15440">
        <f>0.027027027027027*2.51143340412142</f>
        <v>6.7876578489768052E-2</v>
      </c>
      <c r="I15440">
        <v>6.7876578489768358E-2</v>
      </c>
    </row>
    <row r="15441" spans="1:9" x14ac:dyDescent="0.25">
      <c r="A15441">
        <v>506</v>
      </c>
      <c r="B15441" t="s">
        <v>4099</v>
      </c>
      <c r="C15441" t="s">
        <v>75</v>
      </c>
      <c r="D15441" t="s">
        <v>4102</v>
      </c>
      <c r="E15441">
        <f>1/37</f>
        <v>2.7027027027027029E-2</v>
      </c>
      <c r="F15441">
        <v>1</v>
      </c>
      <c r="G15441">
        <f>LOG(382/(1+1))</f>
        <v>2.2810333672477277</v>
      </c>
      <c r="H15441">
        <f>0.027027027027027*5.25227342804663</f>
        <v>0.14195333589315201</v>
      </c>
      <c r="I15441">
        <v>0.1419533358931522</v>
      </c>
    </row>
    <row r="15442" spans="1:9" x14ac:dyDescent="0.25">
      <c r="A15442">
        <v>506</v>
      </c>
      <c r="B15442" t="s">
        <v>4099</v>
      </c>
      <c r="C15442" t="s">
        <v>75</v>
      </c>
      <c r="D15442" t="s">
        <v>361</v>
      </c>
      <c r="E15442">
        <f>3/37</f>
        <v>8.1081081081081086E-2</v>
      </c>
      <c r="F15442">
        <v>118</v>
      </c>
      <c r="G15442">
        <f>LOG(382/(118+1))</f>
        <v>0.50651640151917798</v>
      </c>
      <c r="H15442">
        <f>0.081081081081081*1.16629711549504</f>
        <v>9.4564630986084225E-2</v>
      </c>
      <c r="I15442">
        <v>9.4564630986084808E-2</v>
      </c>
    </row>
    <row r="15443" spans="1:9" x14ac:dyDescent="0.25">
      <c r="A15443">
        <v>506</v>
      </c>
      <c r="B15443" t="s">
        <v>4099</v>
      </c>
      <c r="C15443" t="s">
        <v>75</v>
      </c>
      <c r="D15443" t="s">
        <v>434</v>
      </c>
      <c r="E15443">
        <f>2/37</f>
        <v>5.4054054054054057E-2</v>
      </c>
      <c r="F15443">
        <v>97</v>
      </c>
      <c r="G15443">
        <f>LOG(382/(97+1))</f>
        <v>0.59083728721921391</v>
      </c>
      <c r="H15443">
        <f>0.054054054054054*1.360453129936</f>
        <v>7.3538007023567498E-2</v>
      </c>
      <c r="I15443">
        <v>7.3538007023567747E-2</v>
      </c>
    </row>
    <row r="15444" spans="1:9" x14ac:dyDescent="0.25">
      <c r="A15444">
        <v>506</v>
      </c>
      <c r="B15444" t="s">
        <v>4099</v>
      </c>
      <c r="C15444" t="s">
        <v>75</v>
      </c>
      <c r="D15444" t="s">
        <v>243</v>
      </c>
      <c r="E15444">
        <f>1/37</f>
        <v>2.7027027027027029E-2</v>
      </c>
      <c r="F15444">
        <v>131</v>
      </c>
      <c r="G15444">
        <f>LOG(382/(131+1))</f>
        <v>0.46148943170585888</v>
      </c>
      <c r="H15444">
        <f>0.027027027027027*1.0626186860202</f>
        <v>2.8719423946491865E-2</v>
      </c>
      <c r="I15444">
        <v>2.8719423946492011E-2</v>
      </c>
    </row>
    <row r="15445" spans="1:9" x14ac:dyDescent="0.25">
      <c r="A15445">
        <v>506</v>
      </c>
      <c r="B15445" t="s">
        <v>4099</v>
      </c>
      <c r="C15445" t="s">
        <v>75</v>
      </c>
      <c r="D15445" t="s">
        <v>81</v>
      </c>
      <c r="E15445">
        <f>2/37</f>
        <v>5.4054054054054057E-2</v>
      </c>
      <c r="F15445">
        <v>114</v>
      </c>
      <c r="G15445">
        <f>LOG(382/(114+1))</f>
        <v>0.52136552255809698</v>
      </c>
      <c r="H15445">
        <f>0.054054054054054*1.20048848024332</f>
        <v>6.4891269202341562E-2</v>
      </c>
      <c r="I15445">
        <v>6.4891269202341895E-2</v>
      </c>
    </row>
    <row r="15446" spans="1:9" x14ac:dyDescent="0.25">
      <c r="A15446">
        <v>506</v>
      </c>
      <c r="B15446" t="s">
        <v>4099</v>
      </c>
      <c r="C15446" t="s">
        <v>75</v>
      </c>
      <c r="D15446" t="s">
        <v>398</v>
      </c>
      <c r="E15446">
        <f t="shared" ref="E15446:E15454" si="729">1/37</f>
        <v>2.7027027027027029E-2</v>
      </c>
      <c r="F15446">
        <v>14</v>
      </c>
      <c r="G15446">
        <f>LOG(382/(14+1))</f>
        <v>1.4059721038560276</v>
      </c>
      <c r="H15446">
        <f>0.027027027027027*3.23737040750436</f>
        <v>8.7496497500117745E-2</v>
      </c>
      <c r="I15446">
        <v>8.7496497500117981E-2</v>
      </c>
    </row>
    <row r="15447" spans="1:9" x14ac:dyDescent="0.25">
      <c r="A15447">
        <v>506</v>
      </c>
      <c r="B15447" t="s">
        <v>4099</v>
      </c>
      <c r="C15447" t="s">
        <v>75</v>
      </c>
      <c r="D15447" t="s">
        <v>438</v>
      </c>
      <c r="E15447">
        <f t="shared" si="729"/>
        <v>2.7027027027027029E-2</v>
      </c>
      <c r="F15447">
        <v>37</v>
      </c>
      <c r="G15447">
        <f>LOG(382/(37+1))</f>
        <v>1.0022797662948986</v>
      </c>
      <c r="H15447">
        <f>0.027027027027027*2.30783444888018</f>
        <v>6.2373904023788583E-2</v>
      </c>
      <c r="I15447">
        <v>6.2373904023788902E-2</v>
      </c>
    </row>
    <row r="15448" spans="1:9" x14ac:dyDescent="0.25">
      <c r="A15448">
        <v>506</v>
      </c>
      <c r="B15448" t="s">
        <v>4099</v>
      </c>
      <c r="C15448" t="s">
        <v>75</v>
      </c>
      <c r="D15448" t="s">
        <v>307</v>
      </c>
      <c r="E15448">
        <f t="shared" si="729"/>
        <v>2.7027027027027029E-2</v>
      </c>
      <c r="F15448">
        <v>67</v>
      </c>
      <c r="G15448">
        <f>LOG(382/(67+1))</f>
        <v>0.7495544502054724</v>
      </c>
      <c r="H15448">
        <f>0.027027027027027*1.72591290343046</f>
        <v>4.6646294687309686E-2</v>
      </c>
      <c r="I15448">
        <v>4.6646294687309957E-2</v>
      </c>
    </row>
    <row r="15449" spans="1:9" x14ac:dyDescent="0.25">
      <c r="A15449">
        <v>506</v>
      </c>
      <c r="B15449" t="s">
        <v>4099</v>
      </c>
      <c r="C15449" t="s">
        <v>75</v>
      </c>
      <c r="D15449" t="s">
        <v>218</v>
      </c>
      <c r="E15449">
        <f t="shared" si="729"/>
        <v>2.7027027027027029E-2</v>
      </c>
      <c r="F15449">
        <v>35</v>
      </c>
      <c r="G15449">
        <f>LOG(382/(35+1))</f>
        <v>1.0257608621444214</v>
      </c>
      <c r="H15449">
        <f>0.027027027027027*2.36190167015046</f>
        <v>6.3835180274336698E-2</v>
      </c>
      <c r="I15449">
        <v>6.3835180274336892E-2</v>
      </c>
    </row>
    <row r="15450" spans="1:9" x14ac:dyDescent="0.25">
      <c r="A15450">
        <v>506</v>
      </c>
      <c r="B15450" t="s">
        <v>4099</v>
      </c>
      <c r="C15450" t="s">
        <v>75</v>
      </c>
      <c r="D15450" t="s">
        <v>237</v>
      </c>
      <c r="E15450">
        <f t="shared" si="729"/>
        <v>2.7027027027027029E-2</v>
      </c>
      <c r="F15450">
        <v>138</v>
      </c>
      <c r="G15450">
        <f>LOG(382/(138+1))</f>
        <v>0.43904856265761361</v>
      </c>
      <c r="H15450">
        <f>0.027027027027027*1.01094667547588</f>
        <v>2.7322883120969702E-2</v>
      </c>
      <c r="I15450">
        <v>2.732288312096982E-2</v>
      </c>
    </row>
    <row r="15451" spans="1:9" x14ac:dyDescent="0.25">
      <c r="A15451">
        <v>506</v>
      </c>
      <c r="B15451" t="s">
        <v>4099</v>
      </c>
      <c r="C15451" t="s">
        <v>75</v>
      </c>
      <c r="D15451" t="s">
        <v>82</v>
      </c>
      <c r="E15451">
        <f t="shared" si="729"/>
        <v>2.7027027027027029E-2</v>
      </c>
      <c r="F15451">
        <v>92</v>
      </c>
      <c r="G15451">
        <f>LOG(382/(92+1))</f>
        <v>0.61358041435777355</v>
      </c>
      <c r="H15451">
        <f>0.027027027027027*1.41282111545331</f>
        <v>3.8184354471711042E-2</v>
      </c>
      <c r="I15451">
        <v>3.8184354471711333E-2</v>
      </c>
    </row>
    <row r="15452" spans="1:9" x14ac:dyDescent="0.25">
      <c r="A15452">
        <v>506</v>
      </c>
      <c r="B15452" t="s">
        <v>4099</v>
      </c>
      <c r="C15452" t="s">
        <v>75</v>
      </c>
      <c r="D15452" t="s">
        <v>2369</v>
      </c>
      <c r="E15452">
        <f t="shared" si="729"/>
        <v>2.7027027027027029E-2</v>
      </c>
      <c r="F15452">
        <v>15</v>
      </c>
      <c r="G15452">
        <f>LOG(382/(15+1))</f>
        <v>1.3779433802557839</v>
      </c>
      <c r="H15452">
        <f>0.027027027027027*3.17283188636679</f>
        <v>8.5752213145048301E-2</v>
      </c>
      <c r="I15452">
        <v>8.5752213145048495E-2</v>
      </c>
    </row>
    <row r="15453" spans="1:9" x14ac:dyDescent="0.25">
      <c r="A15453">
        <v>506</v>
      </c>
      <c r="B15453" t="s">
        <v>4099</v>
      </c>
      <c r="C15453" t="s">
        <v>75</v>
      </c>
      <c r="D15453" t="s">
        <v>1727</v>
      </c>
      <c r="E15453">
        <f t="shared" si="729"/>
        <v>2.7027027027027029E-2</v>
      </c>
      <c r="F15453">
        <v>27</v>
      </c>
      <c r="G15453">
        <f>LOG(382/(27+1))</f>
        <v>1.1349053315694895</v>
      </c>
      <c r="H15453">
        <f>0.027027027027027*2.61321609843137</f>
        <v>7.0627462119766699E-2</v>
      </c>
      <c r="I15453">
        <v>7.0627462119766782E-2</v>
      </c>
    </row>
    <row r="15454" spans="1:9" x14ac:dyDescent="0.25">
      <c r="A15454">
        <v>506</v>
      </c>
      <c r="B15454" t="s">
        <v>4099</v>
      </c>
      <c r="C15454" t="s">
        <v>75</v>
      </c>
      <c r="D15454" t="s">
        <v>767</v>
      </c>
      <c r="E15454">
        <f t="shared" si="729"/>
        <v>2.7027027027027029E-2</v>
      </c>
      <c r="F15454">
        <v>47</v>
      </c>
      <c r="G15454">
        <f>LOG(382/(47+1))</f>
        <v>0.90082212553612151</v>
      </c>
      <c r="H15454">
        <f>0.027027027027027*2.07421959769868</f>
        <v>5.6059989126991304E-2</v>
      </c>
      <c r="I15454">
        <v>5.6059989126991457E-2</v>
      </c>
    </row>
    <row r="15455" spans="1:9" x14ac:dyDescent="0.25">
      <c r="A15455">
        <v>507</v>
      </c>
      <c r="B15455" t="s">
        <v>4103</v>
      </c>
      <c r="C15455" t="s">
        <v>75</v>
      </c>
      <c r="D15455" t="s">
        <v>1537</v>
      </c>
      <c r="E15455">
        <f>3/72</f>
        <v>4.1666666666666664E-2</v>
      </c>
      <c r="F15455">
        <v>80</v>
      </c>
      <c r="G15455">
        <f>LOG(382/(80+1))</f>
        <v>0.67357834403305894</v>
      </c>
      <c r="H15455">
        <f>0.0416666666666666*1.55097145393413</f>
        <v>6.462381058058865E-2</v>
      </c>
      <c r="I15455">
        <v>6.4623810580589011E-2</v>
      </c>
    </row>
    <row r="15456" spans="1:9" x14ac:dyDescent="0.25">
      <c r="A15456">
        <v>507</v>
      </c>
      <c r="B15456" t="s">
        <v>4103</v>
      </c>
      <c r="C15456" t="s">
        <v>75</v>
      </c>
      <c r="D15456" t="s">
        <v>204</v>
      </c>
      <c r="E15456">
        <f>2/72</f>
        <v>2.7777777777777776E-2</v>
      </c>
      <c r="F15456">
        <v>166</v>
      </c>
      <c r="G15456">
        <f>LOG(382/(166+1))</f>
        <v>0.35934689176412549</v>
      </c>
      <c r="H15456">
        <f>0.0277777777777777*0.82742679618982</f>
        <v>2.2984077671939378E-2</v>
      </c>
      <c r="I15456">
        <v>2.298407767193944E-2</v>
      </c>
    </row>
    <row r="15457" spans="1:9" x14ac:dyDescent="0.25">
      <c r="A15457">
        <v>507</v>
      </c>
      <c r="B15457" t="s">
        <v>4103</v>
      </c>
      <c r="C15457" t="s">
        <v>75</v>
      </c>
      <c r="D15457" t="s">
        <v>2448</v>
      </c>
      <c r="E15457">
        <f>1/72</f>
        <v>1.3888888888888888E-2</v>
      </c>
      <c r="F15457">
        <v>4</v>
      </c>
      <c r="G15457">
        <f>LOG(382/(4+1))</f>
        <v>1.8830933585756899</v>
      </c>
      <c r="H15457">
        <f>0.0138888888888888*4.33598269617247</f>
        <v>6.0221981891283922E-2</v>
      </c>
      <c r="I15457">
        <v>6.0221981891284367E-2</v>
      </c>
    </row>
    <row r="15458" spans="1:9" x14ac:dyDescent="0.25">
      <c r="A15458">
        <v>507</v>
      </c>
      <c r="B15458" t="s">
        <v>4103</v>
      </c>
      <c r="C15458" t="s">
        <v>75</v>
      </c>
      <c r="D15458" t="s">
        <v>363</v>
      </c>
      <c r="E15458">
        <f>1/72</f>
        <v>1.3888888888888888E-2</v>
      </c>
      <c r="F15458">
        <v>36</v>
      </c>
      <c r="G15458">
        <f>LOG(382/(36+1))</f>
        <v>1.0138616388447137</v>
      </c>
      <c r="H15458">
        <f>0.0138888888888888*2.33450269596235</f>
        <v>3.2423648555032429E-2</v>
      </c>
      <c r="I15458">
        <v>3.2423648555032651E-2</v>
      </c>
    </row>
    <row r="15459" spans="1:9" x14ac:dyDescent="0.25">
      <c r="A15459">
        <v>507</v>
      </c>
      <c r="B15459" t="s">
        <v>4103</v>
      </c>
      <c r="C15459" t="s">
        <v>75</v>
      </c>
      <c r="D15459" t="s">
        <v>89</v>
      </c>
      <c r="E15459">
        <f>1/72</f>
        <v>1.3888888888888888E-2</v>
      </c>
      <c r="F15459">
        <v>40</v>
      </c>
      <c r="G15459">
        <f>LOG(382/(40+1))</f>
        <v>0.96927950619197323</v>
      </c>
      <c r="H15459">
        <f>0.0138888888888888*2.23184854190226</f>
        <v>3.0997896415308965E-2</v>
      </c>
      <c r="I15459">
        <v>3.099789641530927E-2</v>
      </c>
    </row>
    <row r="15460" spans="1:9" x14ac:dyDescent="0.25">
      <c r="A15460">
        <v>507</v>
      </c>
      <c r="B15460" t="s">
        <v>4103</v>
      </c>
      <c r="C15460" t="s">
        <v>75</v>
      </c>
      <c r="D15460" t="s">
        <v>4010</v>
      </c>
      <c r="E15460">
        <f>1/72</f>
        <v>1.3888888888888888E-2</v>
      </c>
      <c r="F15460">
        <v>2</v>
      </c>
      <c r="G15460">
        <f>LOG(382/(2+1))</f>
        <v>2.1049421081920463</v>
      </c>
      <c r="H15460">
        <f>0.0138888888888888*4.84680831993846</f>
        <v>6.7316782221367069E-2</v>
      </c>
      <c r="I15460">
        <v>6.7316782221367569E-2</v>
      </c>
    </row>
    <row r="15461" spans="1:9" x14ac:dyDescent="0.25">
      <c r="A15461">
        <v>507</v>
      </c>
      <c r="B15461" t="s">
        <v>4103</v>
      </c>
      <c r="C15461" t="s">
        <v>75</v>
      </c>
      <c r="D15461" t="s">
        <v>3492</v>
      </c>
      <c r="E15461">
        <f>2/72</f>
        <v>2.7777777777777776E-2</v>
      </c>
      <c r="F15461">
        <v>12</v>
      </c>
      <c r="G15461">
        <f>LOG(382/(12+1))</f>
        <v>1.468120010604872</v>
      </c>
      <c r="H15461">
        <f>0.0277777777777777*3.38047125114503</f>
        <v>9.390197919847279E-2</v>
      </c>
      <c r="I15461">
        <v>9.390197919847329E-2</v>
      </c>
    </row>
    <row r="15462" spans="1:9" x14ac:dyDescent="0.25">
      <c r="A15462">
        <v>507</v>
      </c>
      <c r="B15462" t="s">
        <v>4103</v>
      </c>
      <c r="C15462" t="s">
        <v>75</v>
      </c>
      <c r="D15462" t="s">
        <v>126</v>
      </c>
      <c r="E15462">
        <f>3/72</f>
        <v>4.1666666666666664E-2</v>
      </c>
      <c r="F15462">
        <v>79</v>
      </c>
      <c r="G15462">
        <f>LOG(382/(79+1))</f>
        <v>0.67897337591976514</v>
      </c>
      <c r="H15462">
        <f>0.0416666666666666*1.56339397393269</f>
        <v>6.5141415580528647E-2</v>
      </c>
      <c r="I15462">
        <v>6.5141415580528897E-2</v>
      </c>
    </row>
    <row r="15463" spans="1:9" x14ac:dyDescent="0.25">
      <c r="A15463">
        <v>507</v>
      </c>
      <c r="B15463" t="s">
        <v>4103</v>
      </c>
      <c r="C15463" t="s">
        <v>75</v>
      </c>
      <c r="D15463" t="s">
        <v>50</v>
      </c>
      <c r="E15463">
        <f>1/72</f>
        <v>1.3888888888888888E-2</v>
      </c>
      <c r="F15463">
        <v>109</v>
      </c>
      <c r="G15463">
        <f>LOG(382/(109+1))</f>
        <v>0.54067067775348365</v>
      </c>
      <c r="H15463">
        <f>0.0138888888888888*1.24494024281415</f>
        <v>1.7290836705751975E-2</v>
      </c>
      <c r="I15463">
        <v>1.7290836705752211E-2</v>
      </c>
    </row>
    <row r="15464" spans="1:9" x14ac:dyDescent="0.25">
      <c r="A15464">
        <v>507</v>
      </c>
      <c r="B15464" t="s">
        <v>4103</v>
      </c>
      <c r="C15464" t="s">
        <v>75</v>
      </c>
      <c r="D15464" t="s">
        <v>3631</v>
      </c>
      <c r="E15464">
        <f>4/72</f>
        <v>5.5555555555555552E-2</v>
      </c>
      <c r="F15464">
        <v>4</v>
      </c>
      <c r="G15464">
        <f>LOG(382/(4+1))</f>
        <v>1.8830933585756899</v>
      </c>
      <c r="H15464">
        <f>0.0555555555555555*4.33598269617247</f>
        <v>0.24088792756513699</v>
      </c>
      <c r="I15464">
        <v>0.24088792756513749</v>
      </c>
    </row>
    <row r="15465" spans="1:9" x14ac:dyDescent="0.25">
      <c r="A15465">
        <v>507</v>
      </c>
      <c r="B15465" t="s">
        <v>4103</v>
      </c>
      <c r="C15465" t="s">
        <v>75</v>
      </c>
      <c r="D15465" t="s">
        <v>3731</v>
      </c>
      <c r="E15465">
        <f>1/72</f>
        <v>1.3888888888888888E-2</v>
      </c>
      <c r="F15465">
        <v>7</v>
      </c>
      <c r="G15465">
        <f>LOG(382/(7+1))</f>
        <v>1.6789733759197651</v>
      </c>
      <c r="H15465">
        <f>0.0138888888888888*3.86597906692673</f>
        <v>5.3694153707315354E-2</v>
      </c>
      <c r="I15465">
        <v>5.3694153707315818E-2</v>
      </c>
    </row>
    <row r="15466" spans="1:9" x14ac:dyDescent="0.25">
      <c r="A15466">
        <v>507</v>
      </c>
      <c r="B15466" t="s">
        <v>4103</v>
      </c>
      <c r="C15466" t="s">
        <v>75</v>
      </c>
      <c r="D15466" t="s">
        <v>22</v>
      </c>
      <c r="E15466">
        <f>1/72</f>
        <v>1.3888888888888888E-2</v>
      </c>
      <c r="F15466">
        <v>259</v>
      </c>
      <c r="G15466">
        <f>LOG(382/(259+1))</f>
        <v>0.16709001494089079</v>
      </c>
      <c r="H15466">
        <f>0.0138888888888888*0.384738977591047</f>
        <v>5.3435969109867296E-3</v>
      </c>
      <c r="I15466">
        <v>5.3435969109867712E-3</v>
      </c>
    </row>
    <row r="15467" spans="1:9" x14ac:dyDescent="0.25">
      <c r="A15467">
        <v>507</v>
      </c>
      <c r="B15467" t="s">
        <v>4103</v>
      </c>
      <c r="C15467" t="s">
        <v>75</v>
      </c>
      <c r="D15467" t="s">
        <v>23</v>
      </c>
      <c r="E15467">
        <f>1/72</f>
        <v>1.3888888888888888E-2</v>
      </c>
      <c r="F15467">
        <v>275</v>
      </c>
      <c r="G15467">
        <f>LOG(382/(275+1))</f>
        <v>0.14115428084649101</v>
      </c>
      <c r="H15467">
        <f>0.0138888888888888*0.325019742889425</f>
        <v>4.5141630956864291E-3</v>
      </c>
      <c r="I15467">
        <v>4.5141630956864603E-3</v>
      </c>
    </row>
    <row r="15468" spans="1:9" x14ac:dyDescent="0.25">
      <c r="A15468">
        <v>507</v>
      </c>
      <c r="B15468" t="s">
        <v>4103</v>
      </c>
      <c r="C15468" t="s">
        <v>75</v>
      </c>
      <c r="D15468" t="s">
        <v>38</v>
      </c>
      <c r="E15468">
        <f>1/72</f>
        <v>1.3888888888888888E-2</v>
      </c>
      <c r="F15468">
        <v>86</v>
      </c>
      <c r="G15468">
        <f>LOG(382/(86+1))</f>
        <v>0.64254411029309022</v>
      </c>
      <c r="H15468">
        <f>0.0138888888888888*1.47951248995199</f>
        <v>2.0548784582666395E-2</v>
      </c>
      <c r="I15468">
        <v>2.0548784582666541E-2</v>
      </c>
    </row>
    <row r="15469" spans="1:9" x14ac:dyDescent="0.25">
      <c r="A15469">
        <v>507</v>
      </c>
      <c r="B15469" t="s">
        <v>4103</v>
      </c>
      <c r="C15469" t="s">
        <v>75</v>
      </c>
      <c r="D15469" t="s">
        <v>1257</v>
      </c>
      <c r="E15469">
        <f>1/72</f>
        <v>1.3888888888888888E-2</v>
      </c>
      <c r="F15469">
        <v>10</v>
      </c>
      <c r="G15469">
        <f>LOG(382/(10+1))</f>
        <v>1.5406706777534838</v>
      </c>
      <c r="H15469">
        <f>0.0138888888888888*3.5475253358082</f>
        <v>4.927118521955802E-2</v>
      </c>
      <c r="I15469">
        <v>4.9271185219558387E-2</v>
      </c>
    </row>
    <row r="15470" spans="1:9" x14ac:dyDescent="0.25">
      <c r="A15470">
        <v>507</v>
      </c>
      <c r="B15470" t="s">
        <v>4103</v>
      </c>
      <c r="C15470" t="s">
        <v>75</v>
      </c>
      <c r="D15470" t="s">
        <v>823</v>
      </c>
      <c r="E15470">
        <f>2/72</f>
        <v>2.7777777777777776E-2</v>
      </c>
      <c r="F15470">
        <v>45</v>
      </c>
      <c r="G15470">
        <f>LOG(382/(45+1))</f>
        <v>0.9193055312301347</v>
      </c>
      <c r="H15470">
        <f>0.0277777777777777*2.11677921211748</f>
        <v>5.8799422558818731E-2</v>
      </c>
      <c r="I15470">
        <v>5.8799422558818891E-2</v>
      </c>
    </row>
    <row r="15471" spans="1:9" x14ac:dyDescent="0.25">
      <c r="A15471">
        <v>507</v>
      </c>
      <c r="B15471" t="s">
        <v>4103</v>
      </c>
      <c r="C15471" t="s">
        <v>75</v>
      </c>
      <c r="D15471" t="s">
        <v>2238</v>
      </c>
      <c r="E15471">
        <f>2/72</f>
        <v>2.7777777777777776E-2</v>
      </c>
      <c r="F15471">
        <v>68</v>
      </c>
      <c r="G15471">
        <f>LOG(382/(68+1))</f>
        <v>0.74321427217445335</v>
      </c>
      <c r="H15471">
        <f>0.0277777777777777*1.71131410400931</f>
        <v>4.7536502889147368E-2</v>
      </c>
      <c r="I15471">
        <v>4.753650288914766E-2</v>
      </c>
    </row>
    <row r="15472" spans="1:9" x14ac:dyDescent="0.25">
      <c r="A15472">
        <v>507</v>
      </c>
      <c r="B15472" t="s">
        <v>4103</v>
      </c>
      <c r="C15472" t="s">
        <v>75</v>
      </c>
      <c r="D15472" t="s">
        <v>3996</v>
      </c>
      <c r="E15472">
        <f>3/72</f>
        <v>4.1666666666666664E-2</v>
      </c>
      <c r="F15472">
        <v>5</v>
      </c>
      <c r="G15472">
        <f>LOG(382/(5+1))</f>
        <v>1.803912112528065</v>
      </c>
      <c r="H15472">
        <f>0.0416666666666666*4.15366113937852</f>
        <v>0.17306921414077139</v>
      </c>
      <c r="I15472">
        <v>0.17306921414077159</v>
      </c>
    </row>
    <row r="15473" spans="1:9" x14ac:dyDescent="0.25">
      <c r="A15473">
        <v>507</v>
      </c>
      <c r="B15473" t="s">
        <v>4103</v>
      </c>
      <c r="C15473" t="s">
        <v>75</v>
      </c>
      <c r="D15473" t="s">
        <v>362</v>
      </c>
      <c r="E15473">
        <f t="shared" ref="E15473:E15488" si="730">1/72</f>
        <v>1.3888888888888888E-2</v>
      </c>
      <c r="F15473">
        <v>81</v>
      </c>
      <c r="G15473">
        <f>LOG(382/(81+1))</f>
        <v>0.66824951052799197</v>
      </c>
      <c r="H15473">
        <f>0.0138888888888888*1.53870136134232</f>
        <v>2.1370852240865417E-2</v>
      </c>
      <c r="I15473">
        <v>2.137085224086558E-2</v>
      </c>
    </row>
    <row r="15474" spans="1:9" x14ac:dyDescent="0.25">
      <c r="A15474">
        <v>507</v>
      </c>
      <c r="B15474" t="s">
        <v>4103</v>
      </c>
      <c r="C15474" t="s">
        <v>75</v>
      </c>
      <c r="D15474" t="s">
        <v>3895</v>
      </c>
      <c r="E15474">
        <f t="shared" si="730"/>
        <v>1.3888888888888888E-2</v>
      </c>
      <c r="F15474">
        <v>4</v>
      </c>
      <c r="G15474">
        <f>LOG(382/(4+1))</f>
        <v>1.8830933585756899</v>
      </c>
      <c r="H15474">
        <f>0.0138888888888888*4.33598269617247</f>
        <v>6.0221981891283922E-2</v>
      </c>
      <c r="I15474">
        <v>6.0221981891284367E-2</v>
      </c>
    </row>
    <row r="15475" spans="1:9" x14ac:dyDescent="0.25">
      <c r="A15475">
        <v>507</v>
      </c>
      <c r="B15475" t="s">
        <v>4103</v>
      </c>
      <c r="C15475" t="s">
        <v>75</v>
      </c>
      <c r="D15475" t="s">
        <v>3381</v>
      </c>
      <c r="E15475">
        <f t="shared" si="730"/>
        <v>1.3888888888888888E-2</v>
      </c>
      <c r="F15475">
        <v>6</v>
      </c>
      <c r="G15475">
        <f>LOG(382/(6+1))</f>
        <v>1.736965322897452</v>
      </c>
      <c r="H15475">
        <f>0.0138888888888888*3.99951045955126</f>
        <v>5.554875638265603E-2</v>
      </c>
      <c r="I15475">
        <v>5.5548756382656411E-2</v>
      </c>
    </row>
    <row r="15476" spans="1:9" x14ac:dyDescent="0.25">
      <c r="A15476">
        <v>507</v>
      </c>
      <c r="B15476" t="s">
        <v>4103</v>
      </c>
      <c r="C15476" t="s">
        <v>75</v>
      </c>
      <c r="D15476" t="s">
        <v>4104</v>
      </c>
      <c r="E15476">
        <f t="shared" si="730"/>
        <v>1.3888888888888888E-2</v>
      </c>
      <c r="F15476">
        <v>1</v>
      </c>
      <c r="G15476">
        <f>LOG(382/(1+1))</f>
        <v>2.2810333672477277</v>
      </c>
      <c r="H15476">
        <f>0.0138888888888888*5.25227342804663</f>
        <v>7.294824205620272E-2</v>
      </c>
      <c r="I15476">
        <v>7.2948242056203191E-2</v>
      </c>
    </row>
    <row r="15477" spans="1:9" x14ac:dyDescent="0.25">
      <c r="A15477">
        <v>507</v>
      </c>
      <c r="B15477" t="s">
        <v>4103</v>
      </c>
      <c r="C15477" t="s">
        <v>75</v>
      </c>
      <c r="D15477" t="s">
        <v>4105</v>
      </c>
      <c r="E15477">
        <f t="shared" si="730"/>
        <v>1.3888888888888888E-2</v>
      </c>
      <c r="F15477">
        <v>2</v>
      </c>
      <c r="G15477">
        <f>LOG(382/(2+1))</f>
        <v>2.1049421081920463</v>
      </c>
      <c r="H15477">
        <f>0.0138888888888888*4.84680831993846</f>
        <v>6.7316782221367069E-2</v>
      </c>
      <c r="I15477">
        <v>6.7316782221367569E-2</v>
      </c>
    </row>
    <row r="15478" spans="1:9" x14ac:dyDescent="0.25">
      <c r="A15478">
        <v>507</v>
      </c>
      <c r="B15478" t="s">
        <v>4103</v>
      </c>
      <c r="C15478" t="s">
        <v>75</v>
      </c>
      <c r="D15478" t="s">
        <v>3412</v>
      </c>
      <c r="E15478">
        <f t="shared" si="730"/>
        <v>1.3888888888888888E-2</v>
      </c>
      <c r="F15478">
        <v>4</v>
      </c>
      <c r="G15478">
        <f>LOG(382/(4+1))</f>
        <v>1.8830933585756899</v>
      </c>
      <c r="H15478">
        <f>0.0138888888888888*4.33598269617247</f>
        <v>6.0221981891283922E-2</v>
      </c>
      <c r="I15478">
        <v>6.0221981891284367E-2</v>
      </c>
    </row>
    <row r="15479" spans="1:9" x14ac:dyDescent="0.25">
      <c r="A15479">
        <v>507</v>
      </c>
      <c r="B15479" t="s">
        <v>4103</v>
      </c>
      <c r="C15479" t="s">
        <v>75</v>
      </c>
      <c r="D15479" t="s">
        <v>1333</v>
      </c>
      <c r="E15479">
        <f t="shared" si="730"/>
        <v>1.3888888888888888E-2</v>
      </c>
      <c r="F15479">
        <v>3</v>
      </c>
      <c r="G15479">
        <f>LOG(382/(3+1))</f>
        <v>1.9800033715837464</v>
      </c>
      <c r="H15479">
        <f>0.0138888888888888*4.55912624748668</f>
        <v>6.3321197881759037E-2</v>
      </c>
      <c r="I15479">
        <v>6.3321197881759508E-2</v>
      </c>
    </row>
    <row r="15480" spans="1:9" x14ac:dyDescent="0.25">
      <c r="A15480">
        <v>507</v>
      </c>
      <c r="B15480" t="s">
        <v>4103</v>
      </c>
      <c r="C15480" t="s">
        <v>75</v>
      </c>
      <c r="D15480" t="s">
        <v>2133</v>
      </c>
      <c r="E15480">
        <f t="shared" si="730"/>
        <v>1.3888888888888888E-2</v>
      </c>
      <c r="F15480">
        <v>3</v>
      </c>
      <c r="G15480">
        <f>LOG(382/(3+1))</f>
        <v>1.9800033715837464</v>
      </c>
      <c r="H15480">
        <f>0.0138888888888888*4.55912624748668</f>
        <v>6.3321197881759037E-2</v>
      </c>
      <c r="I15480">
        <v>6.3321197881759508E-2</v>
      </c>
    </row>
    <row r="15481" spans="1:9" x14ac:dyDescent="0.25">
      <c r="A15481">
        <v>507</v>
      </c>
      <c r="B15481" t="s">
        <v>4103</v>
      </c>
      <c r="C15481" t="s">
        <v>75</v>
      </c>
      <c r="D15481" t="s">
        <v>4106</v>
      </c>
      <c r="E15481">
        <f t="shared" si="730"/>
        <v>1.3888888888888888E-2</v>
      </c>
      <c r="F15481">
        <v>1</v>
      </c>
      <c r="G15481">
        <f>LOG(382/(1+1))</f>
        <v>2.2810333672477277</v>
      </c>
      <c r="H15481">
        <f>0.0138888888888888*5.25227342804663</f>
        <v>7.294824205620272E-2</v>
      </c>
      <c r="I15481">
        <v>7.2948242056203191E-2</v>
      </c>
    </row>
    <row r="15482" spans="1:9" x14ac:dyDescent="0.25">
      <c r="A15482">
        <v>507</v>
      </c>
      <c r="B15482" t="s">
        <v>4103</v>
      </c>
      <c r="C15482" t="s">
        <v>75</v>
      </c>
      <c r="D15482" t="s">
        <v>219</v>
      </c>
      <c r="E15482">
        <f t="shared" si="730"/>
        <v>1.3888888888888888E-2</v>
      </c>
      <c r="F15482">
        <v>19</v>
      </c>
      <c r="G15482">
        <f>LOG(382/(19+1))</f>
        <v>1.2810333672477277</v>
      </c>
      <c r="H15482">
        <f>0.0138888888888888*2.94968833505258</f>
        <v>4.0967893542396681E-2</v>
      </c>
      <c r="I15482">
        <v>4.0967893542397001E-2</v>
      </c>
    </row>
    <row r="15483" spans="1:9" x14ac:dyDescent="0.25">
      <c r="A15483">
        <v>507</v>
      </c>
      <c r="B15483" t="s">
        <v>4103</v>
      </c>
      <c r="C15483" t="s">
        <v>75</v>
      </c>
      <c r="D15483" t="s">
        <v>42</v>
      </c>
      <c r="E15483">
        <f t="shared" si="730"/>
        <v>1.3888888888888888E-2</v>
      </c>
      <c r="F15483">
        <v>251</v>
      </c>
      <c r="G15483">
        <f>LOG(382/(251+1))</f>
        <v>0.18066282213016463</v>
      </c>
      <c r="H15483">
        <f>0.0138888888888888*0.415991521095151</f>
        <v>5.7776600152103933E-3</v>
      </c>
      <c r="I15483">
        <v>5.7776600152104418E-3</v>
      </c>
    </row>
    <row r="15484" spans="1:9" x14ac:dyDescent="0.25">
      <c r="A15484">
        <v>507</v>
      </c>
      <c r="B15484" t="s">
        <v>4103</v>
      </c>
      <c r="C15484" t="s">
        <v>75</v>
      </c>
      <c r="D15484" t="s">
        <v>889</v>
      </c>
      <c r="E15484">
        <f t="shared" si="730"/>
        <v>1.3888888888888888E-2</v>
      </c>
      <c r="F15484">
        <v>3</v>
      </c>
      <c r="G15484">
        <f>LOG(382/(3+1))</f>
        <v>1.9800033715837464</v>
      </c>
      <c r="H15484">
        <f>0.0138888888888888*4.55912624748668</f>
        <v>6.3321197881759037E-2</v>
      </c>
      <c r="I15484">
        <v>6.3321197881759508E-2</v>
      </c>
    </row>
    <row r="15485" spans="1:9" x14ac:dyDescent="0.25">
      <c r="A15485">
        <v>507</v>
      </c>
      <c r="B15485" t="s">
        <v>4103</v>
      </c>
      <c r="C15485" t="s">
        <v>75</v>
      </c>
      <c r="D15485" t="s">
        <v>3411</v>
      </c>
      <c r="E15485">
        <f t="shared" si="730"/>
        <v>1.3888888888888888E-2</v>
      </c>
      <c r="F15485">
        <v>6</v>
      </c>
      <c r="G15485">
        <f>LOG(382/(6+1))</f>
        <v>1.736965322897452</v>
      </c>
      <c r="H15485">
        <f>0.0138888888888888*3.99951045955126</f>
        <v>5.554875638265603E-2</v>
      </c>
      <c r="I15485">
        <v>5.5548756382656411E-2</v>
      </c>
    </row>
    <row r="15486" spans="1:9" x14ac:dyDescent="0.25">
      <c r="A15486">
        <v>507</v>
      </c>
      <c r="B15486" t="s">
        <v>4103</v>
      </c>
      <c r="C15486" t="s">
        <v>75</v>
      </c>
      <c r="D15486" t="s">
        <v>737</v>
      </c>
      <c r="E15486">
        <f t="shared" si="730"/>
        <v>1.3888888888888888E-2</v>
      </c>
      <c r="F15486">
        <v>11</v>
      </c>
      <c r="G15486">
        <f>LOG(382/(11+1))</f>
        <v>1.5028821168640838</v>
      </c>
      <c r="H15486">
        <f>0.0138888888888888*3.46051395881857</f>
        <v>4.8062693872479828E-2</v>
      </c>
      <c r="I15486">
        <v>4.8062693872480203E-2</v>
      </c>
    </row>
    <row r="15487" spans="1:9" x14ac:dyDescent="0.25">
      <c r="A15487">
        <v>507</v>
      </c>
      <c r="B15487" t="s">
        <v>4103</v>
      </c>
      <c r="C15487" t="s">
        <v>75</v>
      </c>
      <c r="D15487" t="s">
        <v>3630</v>
      </c>
      <c r="E15487">
        <f t="shared" si="730"/>
        <v>1.3888888888888888E-2</v>
      </c>
      <c r="F15487">
        <v>6</v>
      </c>
      <c r="G15487">
        <f>LOG(382/(6+1))</f>
        <v>1.736965322897452</v>
      </c>
      <c r="H15487">
        <f>0.0138888888888888*3.99951045955126</f>
        <v>5.554875638265603E-2</v>
      </c>
      <c r="I15487">
        <v>5.5548756382656411E-2</v>
      </c>
    </row>
    <row r="15488" spans="1:9" x14ac:dyDescent="0.25">
      <c r="A15488">
        <v>507</v>
      </c>
      <c r="B15488" t="s">
        <v>4103</v>
      </c>
      <c r="C15488" t="s">
        <v>75</v>
      </c>
      <c r="D15488" t="s">
        <v>3864</v>
      </c>
      <c r="E15488">
        <f t="shared" si="730"/>
        <v>1.3888888888888888E-2</v>
      </c>
      <c r="F15488">
        <v>3</v>
      </c>
      <c r="G15488">
        <f>LOG(382/(3+1))</f>
        <v>1.9800033715837464</v>
      </c>
      <c r="H15488">
        <f>0.0138888888888888*4.55912624748668</f>
        <v>6.3321197881759037E-2</v>
      </c>
      <c r="I15488">
        <v>6.3321197881759508E-2</v>
      </c>
    </row>
    <row r="15489" spans="1:9" x14ac:dyDescent="0.25">
      <c r="A15489">
        <v>507</v>
      </c>
      <c r="B15489" t="s">
        <v>4103</v>
      </c>
      <c r="C15489" t="s">
        <v>75</v>
      </c>
      <c r="D15489" t="s">
        <v>3376</v>
      </c>
      <c r="E15489">
        <f>3/72</f>
        <v>4.1666666666666664E-2</v>
      </c>
      <c r="F15489">
        <v>21</v>
      </c>
      <c r="G15489">
        <f>LOG(382/(21+1))</f>
        <v>1.2396406820895025</v>
      </c>
      <c r="H15489">
        <f>0.0416666666666666*2.85437815524825</f>
        <v>0.11893242313534357</v>
      </c>
      <c r="I15489">
        <v>0.11893242313534411</v>
      </c>
    </row>
    <row r="15490" spans="1:9" x14ac:dyDescent="0.25">
      <c r="A15490">
        <v>507</v>
      </c>
      <c r="B15490" t="s">
        <v>4103</v>
      </c>
      <c r="C15490" t="s">
        <v>75</v>
      </c>
      <c r="D15490" t="s">
        <v>1261</v>
      </c>
      <c r="E15490">
        <f>1/72</f>
        <v>1.3888888888888888E-2</v>
      </c>
      <c r="F15490">
        <v>12</v>
      </c>
      <c r="G15490">
        <f>LOG(382/(12+1))</f>
        <v>1.468120010604872</v>
      </c>
      <c r="H15490">
        <f>0.0138888888888888*3.38047125114503</f>
        <v>4.6950989599236229E-2</v>
      </c>
      <c r="I15490">
        <v>4.6950989599236638E-2</v>
      </c>
    </row>
    <row r="15491" spans="1:9" x14ac:dyDescent="0.25">
      <c r="A15491">
        <v>507</v>
      </c>
      <c r="B15491" t="s">
        <v>4103</v>
      </c>
      <c r="C15491" t="s">
        <v>75</v>
      </c>
      <c r="D15491" t="s">
        <v>1739</v>
      </c>
      <c r="E15491">
        <f>1/72</f>
        <v>1.3888888888888888E-2</v>
      </c>
      <c r="F15491">
        <v>30</v>
      </c>
      <c r="G15491">
        <f>LOG(382/(30+1))</f>
        <v>1.090701669077436</v>
      </c>
      <c r="H15491">
        <f>0.0138888888888888*2.51143340412142</f>
        <v>3.4881019501686164E-2</v>
      </c>
      <c r="I15491">
        <v>3.4881019501686511E-2</v>
      </c>
    </row>
    <row r="15492" spans="1:9" x14ac:dyDescent="0.25">
      <c r="A15492">
        <v>507</v>
      </c>
      <c r="B15492" t="s">
        <v>4103</v>
      </c>
      <c r="C15492" t="s">
        <v>75</v>
      </c>
      <c r="D15492" t="s">
        <v>3451</v>
      </c>
      <c r="E15492">
        <f>1/72</f>
        <v>1.3888888888888888E-2</v>
      </c>
      <c r="F15492">
        <v>5</v>
      </c>
      <c r="G15492">
        <f>LOG(382/(5+1))</f>
        <v>1.803912112528065</v>
      </c>
      <c r="H15492">
        <f>0.0138888888888888*4.15366113937852</f>
        <v>5.7689738046923518E-2</v>
      </c>
      <c r="I15492">
        <v>5.7689738046923893E-2</v>
      </c>
    </row>
    <row r="15493" spans="1:9" x14ac:dyDescent="0.25">
      <c r="A15493">
        <v>507</v>
      </c>
      <c r="B15493" t="s">
        <v>4103</v>
      </c>
      <c r="C15493" t="s">
        <v>75</v>
      </c>
      <c r="D15493" t="s">
        <v>3452</v>
      </c>
      <c r="E15493">
        <f>1/72</f>
        <v>1.3888888888888888E-2</v>
      </c>
      <c r="F15493">
        <v>8</v>
      </c>
      <c r="G15493">
        <f>LOG(382/(8+1))</f>
        <v>1.6278208534723839</v>
      </c>
      <c r="H15493">
        <f>0.0138888888888888*3.74819603127035</f>
        <v>5.2058278212087861E-2</v>
      </c>
      <c r="I15493">
        <v>5.205827821208827E-2</v>
      </c>
    </row>
    <row r="15494" spans="1:9" x14ac:dyDescent="0.25">
      <c r="A15494">
        <v>507</v>
      </c>
      <c r="B15494" t="s">
        <v>4103</v>
      </c>
      <c r="C15494" t="s">
        <v>75</v>
      </c>
      <c r="D15494" t="s">
        <v>2621</v>
      </c>
      <c r="E15494">
        <f>1/72</f>
        <v>1.3888888888888888E-2</v>
      </c>
      <c r="F15494">
        <v>2</v>
      </c>
      <c r="G15494">
        <f>LOG(382/(2+1))</f>
        <v>2.1049421081920463</v>
      </c>
      <c r="H15494">
        <f>0.0138888888888888*4.84680831993846</f>
        <v>6.7316782221367069E-2</v>
      </c>
      <c r="I15494">
        <v>6.7316782221367569E-2</v>
      </c>
    </row>
    <row r="15495" spans="1:9" x14ac:dyDescent="0.25">
      <c r="A15495">
        <v>507</v>
      </c>
      <c r="B15495" t="s">
        <v>4103</v>
      </c>
      <c r="C15495" t="s">
        <v>75</v>
      </c>
      <c r="D15495" t="s">
        <v>361</v>
      </c>
      <c r="E15495">
        <f>3/72</f>
        <v>4.1666666666666664E-2</v>
      </c>
      <c r="F15495">
        <v>118</v>
      </c>
      <c r="G15495">
        <f>LOG(382/(118+1))</f>
        <v>0.50651640151917798</v>
      </c>
      <c r="H15495">
        <f>0.0416666666666666*1.16629711549504</f>
        <v>4.8595713145626586E-2</v>
      </c>
      <c r="I15495">
        <v>4.8595713145626912E-2</v>
      </c>
    </row>
    <row r="15496" spans="1:9" x14ac:dyDescent="0.25">
      <c r="A15496">
        <v>507</v>
      </c>
      <c r="B15496" t="s">
        <v>4103</v>
      </c>
      <c r="C15496" t="s">
        <v>75</v>
      </c>
      <c r="D15496" t="s">
        <v>434</v>
      </c>
      <c r="E15496">
        <f>2/72</f>
        <v>2.7777777777777776E-2</v>
      </c>
      <c r="F15496">
        <v>97</v>
      </c>
      <c r="G15496">
        <f>LOG(382/(97+1))</f>
        <v>0.59083728721921391</v>
      </c>
      <c r="H15496">
        <f>0.0277777777777777*1.360453129936</f>
        <v>3.7790364720444343E-2</v>
      </c>
      <c r="I15496">
        <v>3.779036472044453E-2</v>
      </c>
    </row>
    <row r="15497" spans="1:9" x14ac:dyDescent="0.25">
      <c r="A15497">
        <v>507</v>
      </c>
      <c r="B15497" t="s">
        <v>4103</v>
      </c>
      <c r="C15497" t="s">
        <v>75</v>
      </c>
      <c r="D15497" t="s">
        <v>243</v>
      </c>
      <c r="E15497">
        <f>1/72</f>
        <v>1.3888888888888888E-2</v>
      </c>
      <c r="F15497">
        <v>131</v>
      </c>
      <c r="G15497">
        <f>LOG(382/(131+1))</f>
        <v>0.46148943170585888</v>
      </c>
      <c r="H15497">
        <f>0.0138888888888888*1.0626186860202</f>
        <v>1.4758592861391572E-2</v>
      </c>
      <c r="I15497">
        <v>1.4758592861391719E-2</v>
      </c>
    </row>
    <row r="15498" spans="1:9" x14ac:dyDescent="0.25">
      <c r="A15498">
        <v>507</v>
      </c>
      <c r="B15498" t="s">
        <v>4103</v>
      </c>
      <c r="C15498" t="s">
        <v>75</v>
      </c>
      <c r="D15498" t="s">
        <v>81</v>
      </c>
      <c r="E15498">
        <f>2/72</f>
        <v>2.7777777777777776E-2</v>
      </c>
      <c r="F15498">
        <v>114</v>
      </c>
      <c r="G15498">
        <f>LOG(382/(114+1))</f>
        <v>0.52136552255809698</v>
      </c>
      <c r="H15498">
        <f>0.0277777777777777*1.20048848024332</f>
        <v>3.3346902228981019E-2</v>
      </c>
      <c r="I15498">
        <v>3.3346902228981248E-2</v>
      </c>
    </row>
    <row r="15499" spans="1:9" x14ac:dyDescent="0.25">
      <c r="A15499">
        <v>507</v>
      </c>
      <c r="B15499" t="s">
        <v>4103</v>
      </c>
      <c r="C15499" t="s">
        <v>75</v>
      </c>
      <c r="D15499" t="s">
        <v>398</v>
      </c>
      <c r="E15499">
        <f t="shared" ref="E15499:E15507" si="731">1/72</f>
        <v>1.3888888888888888E-2</v>
      </c>
      <c r="F15499">
        <v>14</v>
      </c>
      <c r="G15499">
        <f>LOG(382/(14+1))</f>
        <v>1.4059721038560276</v>
      </c>
      <c r="H15499">
        <f>0.0138888888888888*3.23737040750436</f>
        <v>4.4963477882004707E-2</v>
      </c>
      <c r="I15499">
        <v>4.4963477882005068E-2</v>
      </c>
    </row>
    <row r="15500" spans="1:9" x14ac:dyDescent="0.25">
      <c r="A15500">
        <v>507</v>
      </c>
      <c r="B15500" t="s">
        <v>4103</v>
      </c>
      <c r="C15500" t="s">
        <v>75</v>
      </c>
      <c r="D15500" t="s">
        <v>438</v>
      </c>
      <c r="E15500">
        <f t="shared" si="731"/>
        <v>1.3888888888888888E-2</v>
      </c>
      <c r="F15500">
        <v>37</v>
      </c>
      <c r="G15500">
        <f>LOG(382/(37+1))</f>
        <v>1.0022797662948986</v>
      </c>
      <c r="H15500">
        <f>0.0138888888888888*2.30783444888018</f>
        <v>3.2053256234446735E-2</v>
      </c>
      <c r="I15500">
        <v>3.2053256234447068E-2</v>
      </c>
    </row>
    <row r="15501" spans="1:9" x14ac:dyDescent="0.25">
      <c r="A15501">
        <v>507</v>
      </c>
      <c r="B15501" t="s">
        <v>4103</v>
      </c>
      <c r="C15501" t="s">
        <v>75</v>
      </c>
      <c r="D15501" t="s">
        <v>307</v>
      </c>
      <c r="E15501">
        <f t="shared" si="731"/>
        <v>1.3888888888888888E-2</v>
      </c>
      <c r="F15501">
        <v>67</v>
      </c>
      <c r="G15501">
        <f>LOG(382/(67+1))</f>
        <v>0.7495544502054724</v>
      </c>
      <c r="H15501">
        <f>0.0138888888888888*1.72591290343046</f>
        <v>2.3971012547645124E-2</v>
      </c>
      <c r="I15501">
        <v>2.3971012547645391E-2</v>
      </c>
    </row>
    <row r="15502" spans="1:9" x14ac:dyDescent="0.25">
      <c r="A15502">
        <v>507</v>
      </c>
      <c r="B15502" t="s">
        <v>4103</v>
      </c>
      <c r="C15502" t="s">
        <v>75</v>
      </c>
      <c r="D15502" t="s">
        <v>218</v>
      </c>
      <c r="E15502">
        <f t="shared" si="731"/>
        <v>1.3888888888888888E-2</v>
      </c>
      <c r="F15502">
        <v>35</v>
      </c>
      <c r="G15502">
        <f>LOG(382/(35+1))</f>
        <v>1.0257608621444214</v>
      </c>
      <c r="H15502">
        <f>0.0138888888888888*2.36190167015046</f>
        <v>3.2804189863200627E-2</v>
      </c>
      <c r="I15502">
        <v>3.2804189863200897E-2</v>
      </c>
    </row>
    <row r="15503" spans="1:9" x14ac:dyDescent="0.25">
      <c r="A15503">
        <v>507</v>
      </c>
      <c r="B15503" t="s">
        <v>4103</v>
      </c>
      <c r="C15503" t="s">
        <v>75</v>
      </c>
      <c r="D15503" t="s">
        <v>237</v>
      </c>
      <c r="E15503">
        <f t="shared" si="731"/>
        <v>1.3888888888888888E-2</v>
      </c>
      <c r="F15503">
        <v>138</v>
      </c>
      <c r="G15503">
        <f>LOG(382/(138+1))</f>
        <v>0.43904856265761361</v>
      </c>
      <c r="H15503">
        <f>0.0138888888888888*1.01094667547588</f>
        <v>1.4040926048276021E-2</v>
      </c>
      <c r="I15503">
        <v>1.404092604827616E-2</v>
      </c>
    </row>
    <row r="15504" spans="1:9" x14ac:dyDescent="0.25">
      <c r="A15504">
        <v>507</v>
      </c>
      <c r="B15504" t="s">
        <v>4103</v>
      </c>
      <c r="C15504" t="s">
        <v>75</v>
      </c>
      <c r="D15504" t="s">
        <v>82</v>
      </c>
      <c r="E15504">
        <f t="shared" si="731"/>
        <v>1.3888888888888888E-2</v>
      </c>
      <c r="F15504">
        <v>92</v>
      </c>
      <c r="G15504">
        <f>LOG(382/(92+1))</f>
        <v>0.61358041435777355</v>
      </c>
      <c r="H15504">
        <f>0.0138888888888888*1.41282111545331</f>
        <v>1.9622515492406956E-2</v>
      </c>
      <c r="I15504">
        <v>1.9622515492407209E-2</v>
      </c>
    </row>
    <row r="15505" spans="1:9" x14ac:dyDescent="0.25">
      <c r="A15505">
        <v>507</v>
      </c>
      <c r="B15505" t="s">
        <v>4103</v>
      </c>
      <c r="C15505" t="s">
        <v>75</v>
      </c>
      <c r="D15505" t="s">
        <v>2369</v>
      </c>
      <c r="E15505">
        <f t="shared" si="731"/>
        <v>1.3888888888888888E-2</v>
      </c>
      <c r="F15505">
        <v>15</v>
      </c>
      <c r="G15505">
        <f>LOG(382/(15+1))</f>
        <v>1.3779433802557839</v>
      </c>
      <c r="H15505">
        <f>0.0138888888888888*3.17283188636679</f>
        <v>4.4067109532871802E-2</v>
      </c>
      <c r="I15505">
        <v>4.4067109532872142E-2</v>
      </c>
    </row>
    <row r="15506" spans="1:9" x14ac:dyDescent="0.25">
      <c r="A15506">
        <v>507</v>
      </c>
      <c r="B15506" t="s">
        <v>4103</v>
      </c>
      <c r="C15506" t="s">
        <v>75</v>
      </c>
      <c r="D15506" t="s">
        <v>1727</v>
      </c>
      <c r="E15506">
        <f t="shared" si="731"/>
        <v>1.3888888888888888E-2</v>
      </c>
      <c r="F15506">
        <v>27</v>
      </c>
      <c r="G15506">
        <f>LOG(382/(27+1))</f>
        <v>1.1349053315694895</v>
      </c>
      <c r="H15506">
        <f>0.0138888888888888*2.61321609843137</f>
        <v>3.6294668033768795E-2</v>
      </c>
      <c r="I15506">
        <v>3.6294668033769038E-2</v>
      </c>
    </row>
    <row r="15507" spans="1:9" x14ac:dyDescent="0.25">
      <c r="A15507">
        <v>507</v>
      </c>
      <c r="B15507" t="s">
        <v>4103</v>
      </c>
      <c r="C15507" t="s">
        <v>75</v>
      </c>
      <c r="D15507" t="s">
        <v>767</v>
      </c>
      <c r="E15507">
        <f t="shared" si="731"/>
        <v>1.3888888888888888E-2</v>
      </c>
      <c r="F15507">
        <v>47</v>
      </c>
      <c r="G15507">
        <f>LOG(382/(47+1))</f>
        <v>0.90082212553612151</v>
      </c>
      <c r="H15507">
        <f>0.0138888888888888*2.07421959769868</f>
        <v>2.8808605523592594E-2</v>
      </c>
      <c r="I15507">
        <v>2.880860552359283E-2</v>
      </c>
    </row>
    <row r="15508" spans="1:9" x14ac:dyDescent="0.25">
      <c r="A15508">
        <v>508</v>
      </c>
      <c r="B15508" t="s">
        <v>4107</v>
      </c>
      <c r="C15508" t="s">
        <v>75</v>
      </c>
      <c r="D15508" t="s">
        <v>1544</v>
      </c>
      <c r="E15508">
        <f>4/55</f>
        <v>7.2727272727272724E-2</v>
      </c>
      <c r="F15508">
        <v>19</v>
      </c>
      <c r="G15508">
        <f>LOG(382/(19+1))</f>
        <v>1.2810333672477277</v>
      </c>
      <c r="H15508">
        <f>0.0727272727272727*2.94968833505258</f>
        <v>0.21452278800382391</v>
      </c>
      <c r="I15508">
        <v>0.21452278800382429</v>
      </c>
    </row>
    <row r="15509" spans="1:9" x14ac:dyDescent="0.25">
      <c r="A15509">
        <v>508</v>
      </c>
      <c r="B15509" t="s">
        <v>4107</v>
      </c>
      <c r="C15509" t="s">
        <v>75</v>
      </c>
      <c r="D15509" t="s">
        <v>3437</v>
      </c>
      <c r="E15509">
        <f>3/55</f>
        <v>5.4545454545454543E-2</v>
      </c>
      <c r="F15509">
        <v>5</v>
      </c>
      <c r="G15509">
        <f>LOG(382/(5+1))</f>
        <v>1.803912112528065</v>
      </c>
      <c r="H15509">
        <f>0.0545454545454545*4.15366113937852</f>
        <v>0.22656333487519181</v>
      </c>
      <c r="I15509">
        <v>0.22656333487519201</v>
      </c>
    </row>
    <row r="15510" spans="1:9" x14ac:dyDescent="0.25">
      <c r="A15510">
        <v>508</v>
      </c>
      <c r="B15510" t="s">
        <v>4107</v>
      </c>
      <c r="C15510" t="s">
        <v>75</v>
      </c>
      <c r="D15510" t="s">
        <v>4108</v>
      </c>
      <c r="E15510">
        <f>2/55</f>
        <v>3.6363636363636362E-2</v>
      </c>
      <c r="F15510">
        <v>1</v>
      </c>
      <c r="G15510">
        <f>LOG(382/(1+1))</f>
        <v>2.2810333672477277</v>
      </c>
      <c r="H15510">
        <f>0.0363636363636363*5.25227342804663</f>
        <v>0.19099176101987711</v>
      </c>
      <c r="I15510">
        <v>0.19099176101987739</v>
      </c>
    </row>
    <row r="15511" spans="1:9" x14ac:dyDescent="0.25">
      <c r="A15511">
        <v>508</v>
      </c>
      <c r="B15511" t="s">
        <v>4107</v>
      </c>
      <c r="C15511" t="s">
        <v>75</v>
      </c>
      <c r="D15511" t="s">
        <v>42</v>
      </c>
      <c r="E15511">
        <f>1/55</f>
        <v>1.8181818181818181E-2</v>
      </c>
      <c r="F15511">
        <v>251</v>
      </c>
      <c r="G15511">
        <f>LOG(382/(251+1))</f>
        <v>0.18066282213016463</v>
      </c>
      <c r="H15511">
        <f>0.0181818181818181*0.415991521095151</f>
        <v>7.5634822017299841E-3</v>
      </c>
      <c r="I15511">
        <v>7.5634822017300344E-3</v>
      </c>
    </row>
    <row r="15512" spans="1:9" x14ac:dyDescent="0.25">
      <c r="A15512">
        <v>508</v>
      </c>
      <c r="B15512" t="s">
        <v>4107</v>
      </c>
      <c r="C15512" t="s">
        <v>75</v>
      </c>
      <c r="D15512" t="s">
        <v>115</v>
      </c>
      <c r="E15512">
        <f>3/55</f>
        <v>5.4545454545454543E-2</v>
      </c>
      <c r="F15512">
        <v>17</v>
      </c>
      <c r="G15512">
        <f>LOG(382/(17+1))</f>
        <v>1.3267908578084027</v>
      </c>
      <c r="H15512">
        <f>0.0545454545454545*3.05504885071041</f>
        <v>0.16663902822056767</v>
      </c>
      <c r="I15512">
        <v>0.16663902822056781</v>
      </c>
    </row>
    <row r="15513" spans="1:9" x14ac:dyDescent="0.25">
      <c r="A15513">
        <v>508</v>
      </c>
      <c r="B15513" t="s">
        <v>4107</v>
      </c>
      <c r="C15513" t="s">
        <v>75</v>
      </c>
      <c r="D15513" t="s">
        <v>1502</v>
      </c>
      <c r="E15513">
        <f>3/55</f>
        <v>5.4545454545454543E-2</v>
      </c>
      <c r="F15513">
        <v>3</v>
      </c>
      <c r="G15513">
        <f>LOG(382/(3+1))</f>
        <v>1.9800033715837464</v>
      </c>
      <c r="H15513">
        <f>0.0545454545454545*4.55912624748668</f>
        <v>0.24867961349927326</v>
      </c>
      <c r="I15513">
        <v>0.2486796134992737</v>
      </c>
    </row>
    <row r="15514" spans="1:9" x14ac:dyDescent="0.25">
      <c r="A15514">
        <v>508</v>
      </c>
      <c r="B15514" t="s">
        <v>4107</v>
      </c>
      <c r="C15514" t="s">
        <v>75</v>
      </c>
      <c r="D15514" t="s">
        <v>17</v>
      </c>
      <c r="E15514">
        <f>1/55</f>
        <v>1.8181818181818181E-2</v>
      </c>
      <c r="F15514">
        <v>169</v>
      </c>
      <c r="G15514">
        <f>LOG(382/(169+1))</f>
        <v>0.3516144415334348</v>
      </c>
      <c r="H15514">
        <f>0.0181818181818181*0.809622171556313</f>
        <v>1.4720403119205626E-2</v>
      </c>
      <c r="I15514">
        <v>1.4720403119205701E-2</v>
      </c>
    </row>
    <row r="15515" spans="1:9" x14ac:dyDescent="0.25">
      <c r="A15515">
        <v>508</v>
      </c>
      <c r="B15515" t="s">
        <v>4107</v>
      </c>
      <c r="C15515" t="s">
        <v>75</v>
      </c>
      <c r="D15515" t="s">
        <v>168</v>
      </c>
      <c r="E15515">
        <f>2/55</f>
        <v>3.6363636363636362E-2</v>
      </c>
      <c r="F15515">
        <v>34</v>
      </c>
      <c r="G15515">
        <f>LOG(382/(34+1))</f>
        <v>1.037995318561433</v>
      </c>
      <c r="H15515">
        <f>0.0363636363636363*2.39007254711716</f>
        <v>8.6911728986078393E-2</v>
      </c>
      <c r="I15515">
        <v>8.6911728986078587E-2</v>
      </c>
    </row>
    <row r="15516" spans="1:9" x14ac:dyDescent="0.25">
      <c r="A15516">
        <v>508</v>
      </c>
      <c r="B15516" t="s">
        <v>4107</v>
      </c>
      <c r="C15516" t="s">
        <v>75</v>
      </c>
      <c r="D15516" t="s">
        <v>19</v>
      </c>
      <c r="E15516">
        <f>1/55</f>
        <v>1.8181818181818181E-2</v>
      </c>
      <c r="F15516">
        <v>220</v>
      </c>
      <c r="G15516">
        <f>LOG(382/(220+1))</f>
        <v>0.23767108922659805</v>
      </c>
      <c r="H15516">
        <f>0.0181818181818181*0.547257907088822</f>
        <v>9.950143765251265E-3</v>
      </c>
      <c r="I15516">
        <v>9.9501437652513153E-3</v>
      </c>
    </row>
    <row r="15517" spans="1:9" x14ac:dyDescent="0.25">
      <c r="A15517">
        <v>508</v>
      </c>
      <c r="B15517" t="s">
        <v>4107</v>
      </c>
      <c r="C15517" t="s">
        <v>75</v>
      </c>
      <c r="D15517" t="s">
        <v>41</v>
      </c>
      <c r="E15517">
        <f>2/55</f>
        <v>3.6363636363636362E-2</v>
      </c>
      <c r="F15517">
        <v>195</v>
      </c>
      <c r="G15517">
        <f>LOG(382/(195+1))</f>
        <v>0.28980729155523272</v>
      </c>
      <c r="H15517">
        <f>0.0363636363636363*0.667305949376058</f>
        <v>2.4265670886402066E-2</v>
      </c>
      <c r="I15517">
        <v>2.4265670886402111E-2</v>
      </c>
    </row>
    <row r="15518" spans="1:9" x14ac:dyDescent="0.25">
      <c r="A15518">
        <v>508</v>
      </c>
      <c r="B15518" t="s">
        <v>4107</v>
      </c>
      <c r="C15518" t="s">
        <v>75</v>
      </c>
      <c r="D15518" t="s">
        <v>22</v>
      </c>
      <c r="E15518">
        <f>2/55</f>
        <v>3.6363636363636362E-2</v>
      </c>
      <c r="F15518">
        <v>259</v>
      </c>
      <c r="G15518">
        <f>LOG(382/(259+1))</f>
        <v>0.16709001494089079</v>
      </c>
      <c r="H15518">
        <f>0.0363636363636363*0.384738977591047</f>
        <v>1.3990508276038049E-2</v>
      </c>
      <c r="I15518">
        <v>1.399050827603809E-2</v>
      </c>
    </row>
    <row r="15519" spans="1:9" x14ac:dyDescent="0.25">
      <c r="A15519">
        <v>508</v>
      </c>
      <c r="B15519" t="s">
        <v>4107</v>
      </c>
      <c r="C15519" t="s">
        <v>75</v>
      </c>
      <c r="D15519" t="s">
        <v>23</v>
      </c>
      <c r="E15519">
        <f>2/55</f>
        <v>3.6363636363636362E-2</v>
      </c>
      <c r="F15519">
        <v>275</v>
      </c>
      <c r="G15519">
        <f>LOG(382/(275+1))</f>
        <v>0.14115428084649101</v>
      </c>
      <c r="H15519">
        <f>0.0363636363636363*0.325019742889425</f>
        <v>1.1818899741433615E-2</v>
      </c>
      <c r="I15519">
        <v>1.1818899741433639E-2</v>
      </c>
    </row>
    <row r="15520" spans="1:9" x14ac:dyDescent="0.25">
      <c r="A15520">
        <v>508</v>
      </c>
      <c r="B15520" t="s">
        <v>4107</v>
      </c>
      <c r="C15520" t="s">
        <v>75</v>
      </c>
      <c r="D15520" t="s">
        <v>204</v>
      </c>
      <c r="E15520">
        <f t="shared" ref="E15520:E15533" si="732">1/55</f>
        <v>1.8181818181818181E-2</v>
      </c>
      <c r="F15520">
        <v>166</v>
      </c>
      <c r="G15520">
        <f>LOG(382/(166+1))</f>
        <v>0.35934689176412549</v>
      </c>
      <c r="H15520">
        <f>0.0181818181818181*0.82742679618982</f>
        <v>1.5044123567087569E-2</v>
      </c>
      <c r="I15520">
        <v>1.504412356708764E-2</v>
      </c>
    </row>
    <row r="15521" spans="1:9" x14ac:dyDescent="0.25">
      <c r="A15521">
        <v>508</v>
      </c>
      <c r="B15521" t="s">
        <v>4107</v>
      </c>
      <c r="C15521" t="s">
        <v>75</v>
      </c>
      <c r="D15521" t="s">
        <v>1769</v>
      </c>
      <c r="E15521">
        <f t="shared" si="732"/>
        <v>1.8181818181818181E-2</v>
      </c>
      <c r="F15521">
        <v>84</v>
      </c>
      <c r="G15521">
        <f>LOG(382/(84+1))</f>
        <v>0.65264443719741605</v>
      </c>
      <c r="H15521">
        <f>0.0181818181818181*1.50276935211625</f>
        <v>2.7323079129386241E-2</v>
      </c>
      <c r="I15521">
        <v>2.7323079129386519E-2</v>
      </c>
    </row>
    <row r="15522" spans="1:9" x14ac:dyDescent="0.25">
      <c r="A15522">
        <v>508</v>
      </c>
      <c r="B15522" t="s">
        <v>4107</v>
      </c>
      <c r="C15522" t="s">
        <v>75</v>
      </c>
      <c r="D15522" t="s">
        <v>3014</v>
      </c>
      <c r="E15522">
        <f t="shared" si="732"/>
        <v>1.8181818181818181E-2</v>
      </c>
      <c r="F15522">
        <v>11</v>
      </c>
      <c r="G15522">
        <f>LOG(382/(11+1))</f>
        <v>1.5028821168640838</v>
      </c>
      <c r="H15522">
        <f>0.0181818181818181*3.46051395881857</f>
        <v>6.2918435614882806E-2</v>
      </c>
      <c r="I15522">
        <v>6.2918435614883181E-2</v>
      </c>
    </row>
    <row r="15523" spans="1:9" x14ac:dyDescent="0.25">
      <c r="A15523">
        <v>508</v>
      </c>
      <c r="B15523" t="s">
        <v>4107</v>
      </c>
      <c r="C15523" t="s">
        <v>75</v>
      </c>
      <c r="D15523" t="s">
        <v>764</v>
      </c>
      <c r="E15523">
        <f t="shared" si="732"/>
        <v>1.8181818181818181E-2</v>
      </c>
      <c r="F15523">
        <v>57</v>
      </c>
      <c r="G15523">
        <f>LOG(382/(57+1))</f>
        <v>0.81863536934877146</v>
      </c>
      <c r="H15523">
        <f>0.0181818181818181*1.88497759806015</f>
        <v>3.4272319964729847E-2</v>
      </c>
      <c r="I15523">
        <v>3.4272319964730097E-2</v>
      </c>
    </row>
    <row r="15524" spans="1:9" x14ac:dyDescent="0.25">
      <c r="A15524">
        <v>508</v>
      </c>
      <c r="B15524" t="s">
        <v>4107</v>
      </c>
      <c r="C15524" t="s">
        <v>75</v>
      </c>
      <c r="D15524" t="s">
        <v>119</v>
      </c>
      <c r="E15524">
        <f t="shared" si="732"/>
        <v>1.8181818181818181E-2</v>
      </c>
      <c r="F15524">
        <v>79</v>
      </c>
      <c r="G15524">
        <f>LOG(382/(79+1))</f>
        <v>0.67897337591976514</v>
      </c>
      <c r="H15524">
        <f>0.0181818181818181*1.56339397393269</f>
        <v>2.8425344980594239E-2</v>
      </c>
      <c r="I15524">
        <v>2.842534498059443E-2</v>
      </c>
    </row>
    <row r="15525" spans="1:9" x14ac:dyDescent="0.25">
      <c r="A15525">
        <v>508</v>
      </c>
      <c r="B15525" t="s">
        <v>4107</v>
      </c>
      <c r="C15525" t="s">
        <v>75</v>
      </c>
      <c r="D15525" t="s">
        <v>236</v>
      </c>
      <c r="E15525">
        <f t="shared" si="732"/>
        <v>1.8181818181818181E-2</v>
      </c>
      <c r="F15525">
        <v>87</v>
      </c>
      <c r="G15525">
        <f>LOG(382/(87+1))</f>
        <v>0.63758069076154011</v>
      </c>
      <c r="H15525">
        <f>0.0181818181818181*1.46808379412836</f>
        <v>2.6692432620515516E-2</v>
      </c>
      <c r="I15525">
        <v>2.669243262051579E-2</v>
      </c>
    </row>
    <row r="15526" spans="1:9" x14ac:dyDescent="0.25">
      <c r="A15526">
        <v>508</v>
      </c>
      <c r="B15526" t="s">
        <v>4107</v>
      </c>
      <c r="C15526" t="s">
        <v>75</v>
      </c>
      <c r="D15526" t="s">
        <v>315</v>
      </c>
      <c r="E15526">
        <f t="shared" si="732"/>
        <v>1.8181818181818181E-2</v>
      </c>
      <c r="F15526">
        <v>55</v>
      </c>
      <c r="G15526">
        <f>LOG(382/(55+1))</f>
        <v>0.83387533590550833</v>
      </c>
      <c r="H15526">
        <f>0.0181818181818181*1.92006891787142</f>
        <v>3.4910343961298392E-2</v>
      </c>
      <c r="I15526">
        <v>3.4910343961298648E-2</v>
      </c>
    </row>
    <row r="15527" spans="1:9" x14ac:dyDescent="0.25">
      <c r="A15527">
        <v>508</v>
      </c>
      <c r="B15527" t="s">
        <v>4107</v>
      </c>
      <c r="C15527" t="s">
        <v>75</v>
      </c>
      <c r="D15527" t="s">
        <v>4109</v>
      </c>
      <c r="E15527">
        <f t="shared" si="732"/>
        <v>1.8181818181818181E-2</v>
      </c>
      <c r="F15527">
        <v>1</v>
      </c>
      <c r="G15527">
        <f>LOG(382/(1+1))</f>
        <v>2.2810333672477277</v>
      </c>
      <c r="H15527">
        <f>0.0181818181818181*5.25227342804663</f>
        <v>9.5495880509938305E-2</v>
      </c>
      <c r="I15527">
        <v>9.5495880509938721E-2</v>
      </c>
    </row>
    <row r="15528" spans="1:9" x14ac:dyDescent="0.25">
      <c r="A15528">
        <v>508</v>
      </c>
      <c r="B15528" t="s">
        <v>4107</v>
      </c>
      <c r="C15528" t="s">
        <v>75</v>
      </c>
      <c r="D15528" t="s">
        <v>243</v>
      </c>
      <c r="E15528">
        <f t="shared" si="732"/>
        <v>1.8181818181818181E-2</v>
      </c>
      <c r="F15528">
        <v>131</v>
      </c>
      <c r="G15528">
        <f>LOG(382/(131+1))</f>
        <v>0.46148943170585888</v>
      </c>
      <c r="H15528">
        <f>0.0181818181818181*1.0626186860202</f>
        <v>1.9320339745821733E-2</v>
      </c>
      <c r="I15528">
        <v>1.93203397458219E-2</v>
      </c>
    </row>
    <row r="15529" spans="1:9" x14ac:dyDescent="0.25">
      <c r="A15529">
        <v>508</v>
      </c>
      <c r="B15529" t="s">
        <v>4107</v>
      </c>
      <c r="C15529" t="s">
        <v>75</v>
      </c>
      <c r="D15529" t="s">
        <v>453</v>
      </c>
      <c r="E15529">
        <f t="shared" si="732"/>
        <v>1.8181818181818181E-2</v>
      </c>
      <c r="F15529">
        <v>68</v>
      </c>
      <c r="G15529">
        <f>LOG(382/(68+1))</f>
        <v>0.74321427217445335</v>
      </c>
      <c r="H15529">
        <f>0.0181818181818181*1.71131410400931</f>
        <v>3.1114801891078226E-2</v>
      </c>
      <c r="I15529">
        <v>3.1114801891078469E-2</v>
      </c>
    </row>
    <row r="15530" spans="1:9" x14ac:dyDescent="0.25">
      <c r="A15530">
        <v>508</v>
      </c>
      <c r="B15530" t="s">
        <v>4107</v>
      </c>
      <c r="C15530" t="s">
        <v>75</v>
      </c>
      <c r="D15530" t="s">
        <v>1905</v>
      </c>
      <c r="E15530">
        <f t="shared" si="732"/>
        <v>1.8181818181818181E-2</v>
      </c>
      <c r="F15530">
        <v>24</v>
      </c>
      <c r="G15530">
        <f>LOG(382/(24+1))</f>
        <v>1.1841233542396712</v>
      </c>
      <c r="H15530">
        <f>0.0181818181818181*2.72654478373837</f>
        <v>4.9573541522515592E-2</v>
      </c>
      <c r="I15530">
        <v>4.957354152251589E-2</v>
      </c>
    </row>
    <row r="15531" spans="1:9" x14ac:dyDescent="0.25">
      <c r="A15531">
        <v>508</v>
      </c>
      <c r="B15531" t="s">
        <v>4107</v>
      </c>
      <c r="C15531" t="s">
        <v>75</v>
      </c>
      <c r="D15531" t="s">
        <v>455</v>
      </c>
      <c r="E15531">
        <f t="shared" si="732"/>
        <v>1.8181818181818181E-2</v>
      </c>
      <c r="F15531">
        <v>78</v>
      </c>
      <c r="G15531">
        <f>LOG(382/(78+1))</f>
        <v>0.6844362716212673</v>
      </c>
      <c r="H15531">
        <f>0.0181818181818181*1.57597275613955</f>
        <v>2.8654050111628054E-2</v>
      </c>
      <c r="I15531">
        <v>2.8654050111628249E-2</v>
      </c>
    </row>
    <row r="15532" spans="1:9" x14ac:dyDescent="0.25">
      <c r="A15532">
        <v>508</v>
      </c>
      <c r="B15532" t="s">
        <v>4107</v>
      </c>
      <c r="C15532" t="s">
        <v>75</v>
      </c>
      <c r="D15532" t="s">
        <v>456</v>
      </c>
      <c r="E15532">
        <f t="shared" si="732"/>
        <v>1.8181818181818181E-2</v>
      </c>
      <c r="F15532">
        <v>71</v>
      </c>
      <c r="G15532">
        <f>LOG(382/(71+1))</f>
        <v>0.72473086648044027</v>
      </c>
      <c r="H15532">
        <f>0.0181818181818181*1.66875448959051</f>
        <v>3.0340990719827321E-2</v>
      </c>
      <c r="I15532">
        <v>3.034099071982763E-2</v>
      </c>
    </row>
    <row r="15533" spans="1:9" x14ac:dyDescent="0.25">
      <c r="A15533">
        <v>508</v>
      </c>
      <c r="B15533" t="s">
        <v>4107</v>
      </c>
      <c r="C15533" t="s">
        <v>75</v>
      </c>
      <c r="D15533" t="s">
        <v>4110</v>
      </c>
      <c r="E15533">
        <f t="shared" si="732"/>
        <v>1.8181818181818181E-2</v>
      </c>
      <c r="F15533">
        <v>1</v>
      </c>
      <c r="G15533">
        <f>LOG(382/(1+1))</f>
        <v>2.2810333672477277</v>
      </c>
      <c r="H15533">
        <f>0.0181818181818181*5.25227342804663</f>
        <v>9.5495880509938305E-2</v>
      </c>
      <c r="I15533">
        <v>9.5495880509938721E-2</v>
      </c>
    </row>
    <row r="15534" spans="1:9" x14ac:dyDescent="0.25">
      <c r="A15534">
        <v>508</v>
      </c>
      <c r="B15534" t="s">
        <v>4107</v>
      </c>
      <c r="C15534" t="s">
        <v>75</v>
      </c>
      <c r="D15534" t="s">
        <v>3444</v>
      </c>
      <c r="E15534">
        <f>2/55</f>
        <v>3.6363636363636362E-2</v>
      </c>
      <c r="F15534">
        <v>10</v>
      </c>
      <c r="G15534">
        <f>LOG(382/(10+1))</f>
        <v>1.5406706777534838</v>
      </c>
      <c r="H15534">
        <f>0.0363636363636363*3.5475253358082</f>
        <v>0.12900092130211616</v>
      </c>
      <c r="I15534">
        <v>0.12900092130211649</v>
      </c>
    </row>
    <row r="15535" spans="1:9" x14ac:dyDescent="0.25">
      <c r="A15535">
        <v>508</v>
      </c>
      <c r="B15535" t="s">
        <v>4107</v>
      </c>
      <c r="C15535" t="s">
        <v>75</v>
      </c>
      <c r="D15535" t="s">
        <v>361</v>
      </c>
      <c r="E15535">
        <f t="shared" ref="E15535:E15540" si="733">1/55</f>
        <v>1.8181818181818181E-2</v>
      </c>
      <c r="F15535">
        <v>118</v>
      </c>
      <c r="G15535">
        <f>LOG(382/(118+1))</f>
        <v>0.50651640151917798</v>
      </c>
      <c r="H15535">
        <f>0.0181818181818181*1.16629711549504</f>
        <v>2.1205402099909721E-2</v>
      </c>
      <c r="I15535">
        <v>2.1205402099909929E-2</v>
      </c>
    </row>
    <row r="15536" spans="1:9" x14ac:dyDescent="0.25">
      <c r="A15536">
        <v>508</v>
      </c>
      <c r="B15536" t="s">
        <v>4107</v>
      </c>
      <c r="C15536" t="s">
        <v>75</v>
      </c>
      <c r="D15536" t="s">
        <v>434</v>
      </c>
      <c r="E15536">
        <f t="shared" si="733"/>
        <v>1.8181818181818181E-2</v>
      </c>
      <c r="F15536">
        <v>97</v>
      </c>
      <c r="G15536">
        <f>LOG(382/(97+1))</f>
        <v>0.59083728721921391</v>
      </c>
      <c r="H15536">
        <f>0.0181818181818181*1.360453129936</f>
        <v>2.4735511453381709E-2</v>
      </c>
      <c r="I15536">
        <v>2.4735511453381879E-2</v>
      </c>
    </row>
    <row r="15537" spans="1:9" x14ac:dyDescent="0.25">
      <c r="A15537">
        <v>508</v>
      </c>
      <c r="B15537" t="s">
        <v>4107</v>
      </c>
      <c r="C15537" t="s">
        <v>75</v>
      </c>
      <c r="D15537" t="s">
        <v>310</v>
      </c>
      <c r="E15537">
        <f t="shared" si="733"/>
        <v>1.8181818181818181E-2</v>
      </c>
      <c r="F15537">
        <v>50</v>
      </c>
      <c r="G15537">
        <f>LOG(382/(50+1))</f>
        <v>0.87449318681377242</v>
      </c>
      <c r="H15537">
        <f>0.0181818181818181*2.01359497588224</f>
        <v>3.661081774331329E-2</v>
      </c>
      <c r="I15537">
        <v>3.661081774331363E-2</v>
      </c>
    </row>
    <row r="15538" spans="1:9" x14ac:dyDescent="0.25">
      <c r="A15538">
        <v>508</v>
      </c>
      <c r="B15538" t="s">
        <v>4107</v>
      </c>
      <c r="C15538" t="s">
        <v>75</v>
      </c>
      <c r="D15538" t="s">
        <v>850</v>
      </c>
      <c r="E15538">
        <f t="shared" si="733"/>
        <v>1.8181818181818181E-2</v>
      </c>
      <c r="F15538">
        <v>14</v>
      </c>
      <c r="G15538">
        <f>LOG(382/(14+1))</f>
        <v>1.4059721038560276</v>
      </c>
      <c r="H15538">
        <f>0.0181818181818181*3.23737040750436</f>
        <v>5.8861280136442644E-2</v>
      </c>
      <c r="I15538">
        <v>5.8861280136442998E-2</v>
      </c>
    </row>
    <row r="15539" spans="1:9" x14ac:dyDescent="0.25">
      <c r="A15539">
        <v>508</v>
      </c>
      <c r="B15539" t="s">
        <v>4107</v>
      </c>
      <c r="C15539" t="s">
        <v>75</v>
      </c>
      <c r="D15539" t="s">
        <v>4111</v>
      </c>
      <c r="E15539">
        <f t="shared" si="733"/>
        <v>1.8181818181818181E-2</v>
      </c>
      <c r="F15539">
        <v>1</v>
      </c>
      <c r="G15539">
        <f>LOG(382/(1+1))</f>
        <v>2.2810333672477277</v>
      </c>
      <c r="H15539">
        <f>0.0181818181818181*5.25227342804663</f>
        <v>9.5495880509938305E-2</v>
      </c>
      <c r="I15539">
        <v>9.5495880509938721E-2</v>
      </c>
    </row>
    <row r="15540" spans="1:9" x14ac:dyDescent="0.25">
      <c r="A15540">
        <v>508</v>
      </c>
      <c r="B15540" t="s">
        <v>4107</v>
      </c>
      <c r="C15540" t="s">
        <v>75</v>
      </c>
      <c r="D15540" t="s">
        <v>214</v>
      </c>
      <c r="E15540">
        <f t="shared" si="733"/>
        <v>1.8181818181818181E-2</v>
      </c>
      <c r="F15540">
        <v>68</v>
      </c>
      <c r="G15540">
        <f>LOG(382/(68+1))</f>
        <v>0.74321427217445335</v>
      </c>
      <c r="H15540">
        <f>0.0181818181818181*1.71131410400931</f>
        <v>3.1114801891078226E-2</v>
      </c>
      <c r="I15540">
        <v>3.1114801891078469E-2</v>
      </c>
    </row>
    <row r="15541" spans="1:9" x14ac:dyDescent="0.25">
      <c r="A15541">
        <v>508</v>
      </c>
      <c r="B15541" t="s">
        <v>4107</v>
      </c>
      <c r="C15541" t="s">
        <v>75</v>
      </c>
      <c r="D15541" t="s">
        <v>322</v>
      </c>
      <c r="E15541">
        <f>2/55</f>
        <v>3.6363636363636362E-2</v>
      </c>
      <c r="F15541">
        <v>128</v>
      </c>
      <c r="G15541">
        <f>LOG(382/(128+1))</f>
        <v>0.47147365261245977</v>
      </c>
      <c r="H15541">
        <f>0.0363636363636363*1.0856082042449</f>
        <v>3.9476661972541752E-2</v>
      </c>
      <c r="I15541">
        <v>3.9476661972541932E-2</v>
      </c>
    </row>
    <row r="15542" spans="1:9" x14ac:dyDescent="0.25">
      <c r="A15542">
        <v>508</v>
      </c>
      <c r="B15542" t="s">
        <v>4107</v>
      </c>
      <c r="C15542" t="s">
        <v>75</v>
      </c>
      <c r="D15542" t="s">
        <v>81</v>
      </c>
      <c r="E15542">
        <f>1/55</f>
        <v>1.8181818181818181E-2</v>
      </c>
      <c r="F15542">
        <v>114</v>
      </c>
      <c r="G15542">
        <f>LOG(382/(114+1))</f>
        <v>0.52136552255809698</v>
      </c>
      <c r="H15542">
        <f>0.0181818181818181*1.20048848024332</f>
        <v>2.1827063277151174E-2</v>
      </c>
      <c r="I15542">
        <v>2.1827063277151369E-2</v>
      </c>
    </row>
    <row r="15543" spans="1:9" x14ac:dyDescent="0.25">
      <c r="A15543">
        <v>508</v>
      </c>
      <c r="B15543" t="s">
        <v>4107</v>
      </c>
      <c r="C15543" t="s">
        <v>75</v>
      </c>
      <c r="D15543" t="s">
        <v>1879</v>
      </c>
      <c r="E15543">
        <f>1/55</f>
        <v>1.8181818181818181E-2</v>
      </c>
      <c r="F15543">
        <v>2</v>
      </c>
      <c r="G15543">
        <f>LOG(382/(2+1))</f>
        <v>2.1049421081920463</v>
      </c>
      <c r="H15543">
        <f>0.0181818181818181*4.84680831993846</f>
        <v>8.8123787635244338E-2</v>
      </c>
      <c r="I15543">
        <v>8.8123787635244824E-2</v>
      </c>
    </row>
    <row r="15544" spans="1:9" x14ac:dyDescent="0.25">
      <c r="A15544">
        <v>508</v>
      </c>
      <c r="B15544" t="s">
        <v>4107</v>
      </c>
      <c r="C15544" t="s">
        <v>75</v>
      </c>
      <c r="D15544" t="s">
        <v>237</v>
      </c>
      <c r="E15544">
        <f>1/55</f>
        <v>1.8181818181818181E-2</v>
      </c>
      <c r="F15544">
        <v>138</v>
      </c>
      <c r="G15544">
        <f>LOG(382/(138+1))</f>
        <v>0.43904856265761361</v>
      </c>
      <c r="H15544">
        <f>0.0181818181818181*1.01094667547588</f>
        <v>1.8380848645015917E-2</v>
      </c>
      <c r="I15544">
        <v>1.838084864501606E-2</v>
      </c>
    </row>
    <row r="15545" spans="1:9" x14ac:dyDescent="0.25">
      <c r="A15545">
        <v>508</v>
      </c>
      <c r="B15545" t="s">
        <v>4107</v>
      </c>
      <c r="C15545" t="s">
        <v>75</v>
      </c>
      <c r="D15545" t="s">
        <v>1307</v>
      </c>
      <c r="E15545">
        <f>1/55</f>
        <v>1.8181818181818181E-2</v>
      </c>
      <c r="F15545">
        <v>4</v>
      </c>
      <c r="G15545">
        <f>LOG(382/(4+1))</f>
        <v>1.8830933585756899</v>
      </c>
      <c r="H15545">
        <f>0.0181818181818181*4.33598269617247</f>
        <v>7.8836049021317287E-2</v>
      </c>
      <c r="I15545">
        <v>7.8836049021317717E-2</v>
      </c>
    </row>
    <row r="15546" spans="1:9" x14ac:dyDescent="0.25">
      <c r="A15546">
        <v>508</v>
      </c>
      <c r="B15546" t="s">
        <v>4107</v>
      </c>
      <c r="C15546" t="s">
        <v>75</v>
      </c>
      <c r="D15546" t="s">
        <v>3160</v>
      </c>
      <c r="E15546">
        <f>1/55</f>
        <v>1.8181818181818181E-2</v>
      </c>
      <c r="F15546">
        <v>3</v>
      </c>
      <c r="G15546">
        <f>LOG(382/(3+1))</f>
        <v>1.9800033715837464</v>
      </c>
      <c r="H15546">
        <f>0.0181818181818181*4.55912624748668</f>
        <v>8.2893204499757456E-2</v>
      </c>
      <c r="I15546">
        <v>8.28932044997579E-2</v>
      </c>
    </row>
    <row r="15547" spans="1:9" x14ac:dyDescent="0.25">
      <c r="A15547">
        <v>509</v>
      </c>
      <c r="B15547" t="s">
        <v>4112</v>
      </c>
      <c r="C15547" t="s">
        <v>75</v>
      </c>
      <c r="D15547" t="s">
        <v>1765</v>
      </c>
      <c r="E15547">
        <f>2/58</f>
        <v>3.4482758620689655E-2</v>
      </c>
      <c r="F15547">
        <v>14</v>
      </c>
      <c r="G15547">
        <f>LOG(382/(14+1))</f>
        <v>1.4059721038560276</v>
      </c>
      <c r="H15547">
        <f>0.0344827586206896*3.23737040750436</f>
        <v>0.11163346232773637</v>
      </c>
      <c r="I15547">
        <v>0.1116334623277367</v>
      </c>
    </row>
    <row r="15548" spans="1:9" x14ac:dyDescent="0.25">
      <c r="A15548">
        <v>509</v>
      </c>
      <c r="B15548" t="s">
        <v>4112</v>
      </c>
      <c r="C15548" t="s">
        <v>75</v>
      </c>
      <c r="D15548" t="s">
        <v>4113</v>
      </c>
      <c r="E15548">
        <f>2/58</f>
        <v>3.4482758620689655E-2</v>
      </c>
      <c r="F15548">
        <v>1</v>
      </c>
      <c r="G15548">
        <f>LOG(382/(1+1))</f>
        <v>2.2810333672477277</v>
      </c>
      <c r="H15548">
        <f>0.0344827586206896*5.25227342804663</f>
        <v>0.18111287682919383</v>
      </c>
      <c r="I15548">
        <v>0.18111287682919411</v>
      </c>
    </row>
    <row r="15549" spans="1:9" x14ac:dyDescent="0.25">
      <c r="A15549">
        <v>509</v>
      </c>
      <c r="B15549" t="s">
        <v>4112</v>
      </c>
      <c r="C15549" t="s">
        <v>75</v>
      </c>
      <c r="D15549" t="s">
        <v>2554</v>
      </c>
      <c r="E15549">
        <f>3/58</f>
        <v>5.1724137931034482E-2</v>
      </c>
      <c r="F15549">
        <v>22</v>
      </c>
      <c r="G15549">
        <f>LOG(382/(22+1))</f>
        <v>1.2203355268941158</v>
      </c>
      <c r="H15549">
        <f>0.0517241379310344*2.80992639267742</f>
        <v>0.14534102031090079</v>
      </c>
      <c r="I15549">
        <v>0.14534102031090129</v>
      </c>
    </row>
    <row r="15550" spans="1:9" x14ac:dyDescent="0.25">
      <c r="A15550">
        <v>509</v>
      </c>
      <c r="B15550" t="s">
        <v>4112</v>
      </c>
      <c r="C15550" t="s">
        <v>75</v>
      </c>
      <c r="D15550" t="s">
        <v>42</v>
      </c>
      <c r="E15550">
        <f>1/58</f>
        <v>1.7241379310344827E-2</v>
      </c>
      <c r="F15550">
        <v>251</v>
      </c>
      <c r="G15550">
        <f>LOG(382/(251+1))</f>
        <v>0.18066282213016463</v>
      </c>
      <c r="H15550">
        <f>0.0172413793103448*0.415991521095151</f>
        <v>7.172267605088798E-3</v>
      </c>
      <c r="I15550">
        <v>7.1722676050888249E-3</v>
      </c>
    </row>
    <row r="15551" spans="1:9" x14ac:dyDescent="0.25">
      <c r="A15551">
        <v>509</v>
      </c>
      <c r="B15551" t="s">
        <v>4112</v>
      </c>
      <c r="C15551" t="s">
        <v>75</v>
      </c>
      <c r="D15551" t="s">
        <v>4114</v>
      </c>
      <c r="E15551">
        <f>1/58</f>
        <v>1.7241379310344827E-2</v>
      </c>
      <c r="F15551">
        <v>1</v>
      </c>
      <c r="G15551">
        <f>LOG(382/(1+1))</f>
        <v>2.2810333672477277</v>
      </c>
      <c r="H15551">
        <f>0.0172413793103448*5.25227342804663</f>
        <v>9.0556438414596915E-2</v>
      </c>
      <c r="I15551">
        <v>9.0556438414597068E-2</v>
      </c>
    </row>
    <row r="15552" spans="1:9" x14ac:dyDescent="0.25">
      <c r="A15552">
        <v>509</v>
      </c>
      <c r="B15552" t="s">
        <v>4112</v>
      </c>
      <c r="C15552" t="s">
        <v>75</v>
      </c>
      <c r="D15552" t="s">
        <v>168</v>
      </c>
      <c r="E15552">
        <f>2/58</f>
        <v>3.4482758620689655E-2</v>
      </c>
      <c r="F15552">
        <v>34</v>
      </c>
      <c r="G15552">
        <f>LOG(382/(34+1))</f>
        <v>1.037995318561433</v>
      </c>
      <c r="H15552">
        <f>0.0344827586206896*2.39007254711716</f>
        <v>8.2416294728177797E-2</v>
      </c>
      <c r="I15552">
        <v>8.2416294728177977E-2</v>
      </c>
    </row>
    <row r="15553" spans="1:9" x14ac:dyDescent="0.25">
      <c r="A15553">
        <v>509</v>
      </c>
      <c r="B15553" t="s">
        <v>4112</v>
      </c>
      <c r="C15553" t="s">
        <v>75</v>
      </c>
      <c r="D15553" t="s">
        <v>41</v>
      </c>
      <c r="E15553">
        <f>1/58</f>
        <v>1.7241379310344827E-2</v>
      </c>
      <c r="F15553">
        <v>195</v>
      </c>
      <c r="G15553">
        <f>LOG(382/(195+1))</f>
        <v>0.28980729155523272</v>
      </c>
      <c r="H15553">
        <f>0.0172413793103448*0.667305949376058</f>
        <v>1.1505274989242361E-2</v>
      </c>
      <c r="I15553">
        <v>1.150527498924238E-2</v>
      </c>
    </row>
    <row r="15554" spans="1:9" x14ac:dyDescent="0.25">
      <c r="A15554">
        <v>509</v>
      </c>
      <c r="B15554" t="s">
        <v>4112</v>
      </c>
      <c r="C15554" t="s">
        <v>75</v>
      </c>
      <c r="D15554" t="s">
        <v>44</v>
      </c>
      <c r="E15554">
        <f>1/58</f>
        <v>1.7241379310344827E-2</v>
      </c>
      <c r="F15554">
        <v>151</v>
      </c>
      <c r="G15554">
        <f>LOG(382/(151+1))</f>
        <v>0.40021977496693617</v>
      </c>
      <c r="H15554">
        <f>0.0172413793103448*0.921540087760298</f>
        <v>1.5888622202763734E-2</v>
      </c>
      <c r="I15554">
        <v>1.5888622202763769E-2</v>
      </c>
    </row>
    <row r="15555" spans="1:9" x14ac:dyDescent="0.25">
      <c r="A15555">
        <v>509</v>
      </c>
      <c r="B15555" t="s">
        <v>4112</v>
      </c>
      <c r="C15555" t="s">
        <v>75</v>
      </c>
      <c r="D15555" t="s">
        <v>22</v>
      </c>
      <c r="E15555">
        <f>1/58</f>
        <v>1.7241379310344827E-2</v>
      </c>
      <c r="F15555">
        <v>259</v>
      </c>
      <c r="G15555">
        <f>LOG(382/(259+1))</f>
        <v>0.16709001494089079</v>
      </c>
      <c r="H15555">
        <f>0.0172413793103448*0.384738977591047</f>
        <v>6.6334306481214897E-3</v>
      </c>
      <c r="I15555">
        <v>6.6334306481215088E-3</v>
      </c>
    </row>
    <row r="15556" spans="1:9" x14ac:dyDescent="0.25">
      <c r="A15556">
        <v>509</v>
      </c>
      <c r="B15556" t="s">
        <v>4112</v>
      </c>
      <c r="C15556" t="s">
        <v>75</v>
      </c>
      <c r="D15556" t="s">
        <v>23</v>
      </c>
      <c r="E15556">
        <f>1/58</f>
        <v>1.7241379310344827E-2</v>
      </c>
      <c r="F15556">
        <v>275</v>
      </c>
      <c r="G15556">
        <f>LOG(382/(275+1))</f>
        <v>0.14115428084649101</v>
      </c>
      <c r="H15556">
        <f>0.0172413793103448*0.325019742889425</f>
        <v>5.6037886705073182E-3</v>
      </c>
      <c r="I15556">
        <v>5.6037886705073304E-3</v>
      </c>
    </row>
    <row r="15557" spans="1:9" x14ac:dyDescent="0.25">
      <c r="A15557">
        <v>509</v>
      </c>
      <c r="B15557" t="s">
        <v>4112</v>
      </c>
      <c r="C15557" t="s">
        <v>75</v>
      </c>
      <c r="D15557" t="s">
        <v>204</v>
      </c>
      <c r="E15557">
        <f>1/58</f>
        <v>1.7241379310344827E-2</v>
      </c>
      <c r="F15557">
        <v>166</v>
      </c>
      <c r="G15557">
        <f>LOG(382/(166+1))</f>
        <v>0.35934689176412549</v>
      </c>
      <c r="H15557">
        <f>0.0172413793103448*0.82742679618982</f>
        <v>1.4265979244652045E-2</v>
      </c>
      <c r="I15557">
        <v>1.4265979244652069E-2</v>
      </c>
    </row>
    <row r="15558" spans="1:9" x14ac:dyDescent="0.25">
      <c r="A15558">
        <v>509</v>
      </c>
      <c r="B15558" t="s">
        <v>4112</v>
      </c>
      <c r="C15558" t="s">
        <v>75</v>
      </c>
      <c r="D15558" t="s">
        <v>78</v>
      </c>
      <c r="E15558">
        <f>3/58</f>
        <v>5.1724137931034482E-2</v>
      </c>
      <c r="F15558">
        <v>122</v>
      </c>
      <c r="G15558">
        <f>LOG(382/(122+1))</f>
        <v>0.49215825147231079</v>
      </c>
      <c r="H15558">
        <f>0.0517241379310344*1.13323625323415</f>
        <v>5.8615668270731801E-2</v>
      </c>
      <c r="I15558">
        <v>5.8615668270732293E-2</v>
      </c>
    </row>
    <row r="15559" spans="1:9" x14ac:dyDescent="0.25">
      <c r="A15559">
        <v>509</v>
      </c>
      <c r="B15559" t="s">
        <v>4112</v>
      </c>
      <c r="C15559" t="s">
        <v>75</v>
      </c>
      <c r="D15559" t="s">
        <v>4115</v>
      </c>
      <c r="E15559">
        <f>1/58</f>
        <v>1.7241379310344827E-2</v>
      </c>
      <c r="F15559">
        <v>1</v>
      </c>
      <c r="G15559">
        <f>LOG(382/(1+1))</f>
        <v>2.2810333672477277</v>
      </c>
      <c r="H15559">
        <f>0.0172413793103448*5.25227342804663</f>
        <v>9.0556438414596915E-2</v>
      </c>
      <c r="I15559">
        <v>9.0556438414597068E-2</v>
      </c>
    </row>
    <row r="15560" spans="1:9" x14ac:dyDescent="0.25">
      <c r="A15560">
        <v>509</v>
      </c>
      <c r="B15560" t="s">
        <v>4112</v>
      </c>
      <c r="C15560" t="s">
        <v>75</v>
      </c>
      <c r="D15560" t="s">
        <v>754</v>
      </c>
      <c r="E15560">
        <f>2/58</f>
        <v>3.4482758620689655E-2</v>
      </c>
      <c r="F15560">
        <v>111</v>
      </c>
      <c r="G15560">
        <f>LOG(382/(111+1))</f>
        <v>0.53284534024152708</v>
      </c>
      <c r="H15560">
        <f>0.0344827586206896*1.22692173731148</f>
        <v>4.2307646114188899E-2</v>
      </c>
      <c r="I15560">
        <v>4.2307646114188989E-2</v>
      </c>
    </row>
    <row r="15561" spans="1:9" x14ac:dyDescent="0.25">
      <c r="A15561">
        <v>509</v>
      </c>
      <c r="B15561" t="s">
        <v>4112</v>
      </c>
      <c r="C15561" t="s">
        <v>75</v>
      </c>
      <c r="D15561" t="s">
        <v>994</v>
      </c>
      <c r="E15561">
        <f>1/58</f>
        <v>1.7241379310344827E-2</v>
      </c>
      <c r="F15561">
        <v>37</v>
      </c>
      <c r="G15561">
        <f>LOG(382/(37+1))</f>
        <v>1.0022797662948986</v>
      </c>
      <c r="H15561">
        <f>0.0172413793103448*2.30783444888018</f>
        <v>3.9790249118623729E-2</v>
      </c>
      <c r="I15561">
        <v>3.9790249118623951E-2</v>
      </c>
    </row>
    <row r="15562" spans="1:9" x14ac:dyDescent="0.25">
      <c r="A15562">
        <v>509</v>
      </c>
      <c r="B15562" t="s">
        <v>4112</v>
      </c>
      <c r="C15562" t="s">
        <v>75</v>
      </c>
      <c r="D15562" t="s">
        <v>327</v>
      </c>
      <c r="E15562">
        <f>1/58</f>
        <v>1.7241379310344827E-2</v>
      </c>
      <c r="F15562">
        <v>46</v>
      </c>
      <c r="G15562">
        <f>LOG(382/(46+1))</f>
        <v>0.90996550497599127</v>
      </c>
      <c r="H15562">
        <f>0.0172413793103448*2.09527300689651</f>
        <v>3.6125396670629424E-2</v>
      </c>
      <c r="I15562">
        <v>3.6125396670629591E-2</v>
      </c>
    </row>
    <row r="15563" spans="1:9" x14ac:dyDescent="0.25">
      <c r="A15563">
        <v>509</v>
      </c>
      <c r="B15563" t="s">
        <v>4112</v>
      </c>
      <c r="C15563" t="s">
        <v>75</v>
      </c>
      <c r="D15563" t="s">
        <v>1083</v>
      </c>
      <c r="E15563">
        <f>1/58</f>
        <v>1.7241379310344827E-2</v>
      </c>
      <c r="F15563">
        <v>51</v>
      </c>
      <c r="G15563">
        <f>LOG(382/(51+1))</f>
        <v>0.86606001927690957</v>
      </c>
      <c r="H15563">
        <f>0.0172413793103448*1.99417689002514</f>
        <v>3.4382360172847189E-2</v>
      </c>
      <c r="I15563">
        <v>3.4382360172847383E-2</v>
      </c>
    </row>
    <row r="15564" spans="1:9" x14ac:dyDescent="0.25">
      <c r="A15564">
        <v>509</v>
      </c>
      <c r="B15564" t="s">
        <v>4112</v>
      </c>
      <c r="C15564" t="s">
        <v>75</v>
      </c>
      <c r="D15564" t="s">
        <v>133</v>
      </c>
      <c r="E15564">
        <f>2/58</f>
        <v>3.4482758620689655E-2</v>
      </c>
      <c r="F15564">
        <v>142</v>
      </c>
      <c r="G15564">
        <f>LOG(382/(142+1))</f>
        <v>0.42672732544664693</v>
      </c>
      <c r="H15564">
        <f>0.0344827586206896*0.982575978346667</f>
        <v>3.3881930287816046E-2</v>
      </c>
      <c r="I15564">
        <v>3.3881930287816137E-2</v>
      </c>
    </row>
    <row r="15565" spans="1:9" x14ac:dyDescent="0.25">
      <c r="A15565">
        <v>509</v>
      </c>
      <c r="B15565" t="s">
        <v>4112</v>
      </c>
      <c r="C15565" t="s">
        <v>75</v>
      </c>
      <c r="D15565" t="s">
        <v>1769</v>
      </c>
      <c r="E15565">
        <f>1/58</f>
        <v>1.7241379310344827E-2</v>
      </c>
      <c r="F15565">
        <v>84</v>
      </c>
      <c r="G15565">
        <f>LOG(382/(84+1))</f>
        <v>0.65264443719741605</v>
      </c>
      <c r="H15565">
        <f>0.0172413793103448*1.50276935211625</f>
        <v>2.5909816415797371E-2</v>
      </c>
      <c r="I15565">
        <v>2.5909816415797569E-2</v>
      </c>
    </row>
    <row r="15566" spans="1:9" x14ac:dyDescent="0.25">
      <c r="A15566">
        <v>509</v>
      </c>
      <c r="B15566" t="s">
        <v>4112</v>
      </c>
      <c r="C15566" t="s">
        <v>75</v>
      </c>
      <c r="D15566" t="s">
        <v>3401</v>
      </c>
      <c r="E15566">
        <f>1/58</f>
        <v>1.7241379310344827E-2</v>
      </c>
      <c r="F15566">
        <v>8</v>
      </c>
      <c r="G15566">
        <f>LOG(382/(8+1))</f>
        <v>1.6278208534723839</v>
      </c>
      <c r="H15566">
        <f>0.0172413793103448*3.74819603127035</f>
        <v>6.4624069504661097E-2</v>
      </c>
      <c r="I15566">
        <v>6.4624069504661305E-2</v>
      </c>
    </row>
    <row r="15567" spans="1:9" x14ac:dyDescent="0.25">
      <c r="A15567">
        <v>509</v>
      </c>
      <c r="B15567" t="s">
        <v>4112</v>
      </c>
      <c r="C15567" t="s">
        <v>75</v>
      </c>
      <c r="D15567" t="s">
        <v>3327</v>
      </c>
      <c r="E15567">
        <f>1/58</f>
        <v>1.7241379310344827E-2</v>
      </c>
      <c r="F15567">
        <v>21</v>
      </c>
      <c r="G15567">
        <f>LOG(382/(21+1))</f>
        <v>1.2396406820895025</v>
      </c>
      <c r="H15567">
        <f>0.0172413793103448*2.85437815524825</f>
        <v>4.9213416469797329E-2</v>
      </c>
      <c r="I15567">
        <v>4.9213416469797572E-2</v>
      </c>
    </row>
    <row r="15568" spans="1:9" x14ac:dyDescent="0.25">
      <c r="A15568">
        <v>509</v>
      </c>
      <c r="B15568" t="s">
        <v>4112</v>
      </c>
      <c r="C15568" t="s">
        <v>75</v>
      </c>
      <c r="D15568" t="s">
        <v>237</v>
      </c>
      <c r="E15568">
        <f>1/58</f>
        <v>1.7241379310344827E-2</v>
      </c>
      <c r="F15568">
        <v>138</v>
      </c>
      <c r="G15568">
        <f>LOG(382/(138+1))</f>
        <v>0.43904856265761361</v>
      </c>
      <c r="H15568">
        <f>0.0172413793103448*1.01094667547588</f>
        <v>1.7430115094411697E-2</v>
      </c>
      <c r="I15568">
        <v>1.743011509441178E-2</v>
      </c>
    </row>
    <row r="15569" spans="1:9" x14ac:dyDescent="0.25">
      <c r="A15569">
        <v>509</v>
      </c>
      <c r="B15569" t="s">
        <v>4112</v>
      </c>
      <c r="C15569" t="s">
        <v>75</v>
      </c>
      <c r="D15569" t="s">
        <v>3962</v>
      </c>
      <c r="E15569">
        <f>2/58</f>
        <v>3.4482758620689655E-2</v>
      </c>
      <c r="F15569">
        <v>5</v>
      </c>
      <c r="G15569">
        <f>LOG(382/(5+1))</f>
        <v>1.803912112528065</v>
      </c>
      <c r="H15569">
        <f>0.0344827586206896*4.15366113937852</f>
        <v>0.14322969446132805</v>
      </c>
      <c r="I15569">
        <v>0.1432296944613283</v>
      </c>
    </row>
    <row r="15570" spans="1:9" x14ac:dyDescent="0.25">
      <c r="A15570">
        <v>509</v>
      </c>
      <c r="B15570" t="s">
        <v>4112</v>
      </c>
      <c r="C15570" t="s">
        <v>75</v>
      </c>
      <c r="D15570" t="s">
        <v>1747</v>
      </c>
      <c r="E15570">
        <f>2/58</f>
        <v>3.4482758620689655E-2</v>
      </c>
      <c r="F15570">
        <v>4</v>
      </c>
      <c r="G15570">
        <f>LOG(382/(4+1))</f>
        <v>1.8830933585756899</v>
      </c>
      <c r="H15570">
        <f>0.0344827586206896*4.33598269617247</f>
        <v>0.14951664469560219</v>
      </c>
      <c r="I15570">
        <v>0.14951664469560261</v>
      </c>
    </row>
    <row r="15571" spans="1:9" x14ac:dyDescent="0.25">
      <c r="A15571">
        <v>509</v>
      </c>
      <c r="B15571" t="s">
        <v>4112</v>
      </c>
      <c r="C15571" t="s">
        <v>75</v>
      </c>
      <c r="D15571" t="s">
        <v>1168</v>
      </c>
      <c r="E15571">
        <f>2/58</f>
        <v>3.4482758620689655E-2</v>
      </c>
      <c r="F15571">
        <v>5</v>
      </c>
      <c r="G15571">
        <f>LOG(382/(5+1))</f>
        <v>1.803912112528065</v>
      </c>
      <c r="H15571">
        <f>0.0344827586206896*4.15366113937852</f>
        <v>0.14322969446132805</v>
      </c>
      <c r="I15571">
        <v>0.1432296944613283</v>
      </c>
    </row>
    <row r="15572" spans="1:9" x14ac:dyDescent="0.25">
      <c r="A15572">
        <v>509</v>
      </c>
      <c r="B15572" t="s">
        <v>4112</v>
      </c>
      <c r="C15572" t="s">
        <v>75</v>
      </c>
      <c r="D15572" t="s">
        <v>1397</v>
      </c>
      <c r="E15572">
        <f t="shared" ref="E15572:E15592" si="734">1/58</f>
        <v>1.7241379310344827E-2</v>
      </c>
      <c r="F15572">
        <v>29</v>
      </c>
      <c r="G15572">
        <f>LOG(382/(29+1))</f>
        <v>1.1049421081920463</v>
      </c>
      <c r="H15572">
        <f>0.0172413793103448*2.54422322694442</f>
        <v>4.3865917705938201E-2</v>
      </c>
      <c r="I15572">
        <v>4.386591770593827E-2</v>
      </c>
    </row>
    <row r="15573" spans="1:9" x14ac:dyDescent="0.25">
      <c r="A15573">
        <v>509</v>
      </c>
      <c r="B15573" t="s">
        <v>4112</v>
      </c>
      <c r="C15573" t="s">
        <v>75</v>
      </c>
      <c r="D15573" t="s">
        <v>3432</v>
      </c>
      <c r="E15573">
        <f t="shared" si="734"/>
        <v>1.7241379310344827E-2</v>
      </c>
      <c r="F15573">
        <v>8</v>
      </c>
      <c r="G15573">
        <f>LOG(382/(8+1))</f>
        <v>1.6278208534723839</v>
      </c>
      <c r="H15573">
        <f>0.0172413793103448*3.74819603127035</f>
        <v>6.4624069504661097E-2</v>
      </c>
      <c r="I15573">
        <v>6.4624069504661305E-2</v>
      </c>
    </row>
    <row r="15574" spans="1:9" x14ac:dyDescent="0.25">
      <c r="A15574">
        <v>509</v>
      </c>
      <c r="B15574" t="s">
        <v>4112</v>
      </c>
      <c r="C15574" t="s">
        <v>75</v>
      </c>
      <c r="D15574" t="s">
        <v>361</v>
      </c>
      <c r="E15574">
        <f t="shared" si="734"/>
        <v>1.7241379310344827E-2</v>
      </c>
      <c r="F15574">
        <v>118</v>
      </c>
      <c r="G15574">
        <f>LOG(382/(118+1))</f>
        <v>0.50651640151917798</v>
      </c>
      <c r="H15574">
        <f>0.0172413793103448*1.16629711549504</f>
        <v>2.0108570956811001E-2</v>
      </c>
      <c r="I15574">
        <v>2.010857095681114E-2</v>
      </c>
    </row>
    <row r="15575" spans="1:9" x14ac:dyDescent="0.25">
      <c r="A15575">
        <v>509</v>
      </c>
      <c r="B15575" t="s">
        <v>4112</v>
      </c>
      <c r="C15575" t="s">
        <v>75</v>
      </c>
      <c r="D15575" t="s">
        <v>434</v>
      </c>
      <c r="E15575">
        <f t="shared" si="734"/>
        <v>1.7241379310344827E-2</v>
      </c>
      <c r="F15575">
        <v>97</v>
      </c>
      <c r="G15575">
        <f>LOG(382/(97+1))</f>
        <v>0.59083728721921391</v>
      </c>
      <c r="H15575">
        <f>0.0172413793103448*1.360453129936</f>
        <v>2.3456088447172379E-2</v>
      </c>
      <c r="I15575">
        <v>2.3456088447172469E-2</v>
      </c>
    </row>
    <row r="15576" spans="1:9" x14ac:dyDescent="0.25">
      <c r="A15576">
        <v>509</v>
      </c>
      <c r="B15576" t="s">
        <v>4112</v>
      </c>
      <c r="C15576" t="s">
        <v>75</v>
      </c>
      <c r="D15576" t="s">
        <v>1776</v>
      </c>
      <c r="E15576">
        <f t="shared" si="734"/>
        <v>1.7241379310344827E-2</v>
      </c>
      <c r="F15576">
        <v>3</v>
      </c>
      <c r="G15576">
        <f>LOG(382/(3+1))</f>
        <v>1.9800033715837464</v>
      </c>
      <c r="H15576">
        <f>0.0172413793103448*4.55912624748668</f>
        <v>7.8605624956666773E-2</v>
      </c>
      <c r="I15576">
        <v>7.8605624956666967E-2</v>
      </c>
    </row>
    <row r="15577" spans="1:9" x14ac:dyDescent="0.25">
      <c r="A15577">
        <v>509</v>
      </c>
      <c r="B15577" t="s">
        <v>4112</v>
      </c>
      <c r="C15577" t="s">
        <v>75</v>
      </c>
      <c r="D15577" t="s">
        <v>436</v>
      </c>
      <c r="E15577">
        <f t="shared" si="734"/>
        <v>1.7241379310344827E-2</v>
      </c>
      <c r="F15577">
        <v>20</v>
      </c>
      <c r="G15577">
        <f>LOG(382/(20+1))</f>
        <v>1.2598440681777894</v>
      </c>
      <c r="H15577">
        <f>0.0172413793103448*2.90089817088315</f>
        <v>5.0015485704881818E-2</v>
      </c>
      <c r="I15577">
        <v>5.0015485704881943E-2</v>
      </c>
    </row>
    <row r="15578" spans="1:9" x14ac:dyDescent="0.25">
      <c r="A15578">
        <v>509</v>
      </c>
      <c r="B15578" t="s">
        <v>4112</v>
      </c>
      <c r="C15578" t="s">
        <v>75</v>
      </c>
      <c r="D15578" t="s">
        <v>4116</v>
      </c>
      <c r="E15578">
        <f t="shared" si="734"/>
        <v>1.7241379310344827E-2</v>
      </c>
      <c r="F15578">
        <v>1</v>
      </c>
      <c r="G15578">
        <f>LOG(382/(1+1))</f>
        <v>2.2810333672477277</v>
      </c>
      <c r="H15578">
        <f>0.0172413793103448*5.25227342804663</f>
        <v>9.0556438414596915E-2</v>
      </c>
      <c r="I15578">
        <v>9.0556438414597068E-2</v>
      </c>
    </row>
    <row r="15579" spans="1:9" x14ac:dyDescent="0.25">
      <c r="A15579">
        <v>509</v>
      </c>
      <c r="B15579" t="s">
        <v>4112</v>
      </c>
      <c r="C15579" t="s">
        <v>75</v>
      </c>
      <c r="D15579" t="s">
        <v>1727</v>
      </c>
      <c r="E15579">
        <f t="shared" si="734"/>
        <v>1.7241379310344827E-2</v>
      </c>
      <c r="F15579">
        <v>27</v>
      </c>
      <c r="G15579">
        <f>LOG(382/(27+1))</f>
        <v>1.1349053315694895</v>
      </c>
      <c r="H15579">
        <f>0.0172413793103448*2.61321609843137</f>
        <v>4.5055449972954582E-2</v>
      </c>
      <c r="I15579">
        <v>4.5055449972954673E-2</v>
      </c>
    </row>
    <row r="15580" spans="1:9" x14ac:dyDescent="0.25">
      <c r="A15580">
        <v>509</v>
      </c>
      <c r="B15580" t="s">
        <v>4112</v>
      </c>
      <c r="C15580" t="s">
        <v>75</v>
      </c>
      <c r="D15580" t="s">
        <v>243</v>
      </c>
      <c r="E15580">
        <f t="shared" si="734"/>
        <v>1.7241379310344827E-2</v>
      </c>
      <c r="F15580">
        <v>131</v>
      </c>
      <c r="G15580">
        <f>LOG(382/(131+1))</f>
        <v>0.46148943170585888</v>
      </c>
      <c r="H15580">
        <f>0.0172413793103448*1.0626186860202</f>
        <v>1.8321011827934455E-2</v>
      </c>
      <c r="I15580">
        <v>1.8321011827934559E-2</v>
      </c>
    </row>
    <row r="15581" spans="1:9" x14ac:dyDescent="0.25">
      <c r="A15581">
        <v>509</v>
      </c>
      <c r="B15581" t="s">
        <v>4112</v>
      </c>
      <c r="C15581" t="s">
        <v>75</v>
      </c>
      <c r="D15581" t="s">
        <v>770</v>
      </c>
      <c r="E15581">
        <f t="shared" si="734"/>
        <v>1.7241379310344827E-2</v>
      </c>
      <c r="F15581">
        <v>47</v>
      </c>
      <c r="G15581">
        <f>LOG(382/(47+1))</f>
        <v>0.90082212553612151</v>
      </c>
      <c r="H15581">
        <f>0.0172413793103448*2.07421959769868</f>
        <v>3.5762406856873735E-2</v>
      </c>
      <c r="I15581">
        <v>3.5762406856873867E-2</v>
      </c>
    </row>
    <row r="15582" spans="1:9" x14ac:dyDescent="0.25">
      <c r="A15582">
        <v>509</v>
      </c>
      <c r="B15582" t="s">
        <v>4112</v>
      </c>
      <c r="C15582" t="s">
        <v>75</v>
      </c>
      <c r="D15582" t="s">
        <v>307</v>
      </c>
      <c r="E15582">
        <f t="shared" si="734"/>
        <v>1.7241379310344827E-2</v>
      </c>
      <c r="F15582">
        <v>67</v>
      </c>
      <c r="G15582">
        <f>LOG(382/(67+1))</f>
        <v>0.7495544502054724</v>
      </c>
      <c r="H15582">
        <f>0.0172413793103448*1.72591290343046</f>
        <v>2.9757119024663058E-2</v>
      </c>
      <c r="I15582">
        <v>2.9757119024663249E-2</v>
      </c>
    </row>
    <row r="15583" spans="1:9" x14ac:dyDescent="0.25">
      <c r="A15583">
        <v>509</v>
      </c>
      <c r="B15583" t="s">
        <v>4112</v>
      </c>
      <c r="C15583" t="s">
        <v>75</v>
      </c>
      <c r="D15583" t="s">
        <v>455</v>
      </c>
      <c r="E15583">
        <f t="shared" si="734"/>
        <v>1.7241379310344827E-2</v>
      </c>
      <c r="F15583">
        <v>78</v>
      </c>
      <c r="G15583">
        <f>LOG(382/(78+1))</f>
        <v>0.6844362716212673</v>
      </c>
      <c r="H15583">
        <f>0.0172413793103448*1.57597275613955</f>
        <v>2.7171944071371509E-2</v>
      </c>
      <c r="I15583">
        <v>2.717194407137162E-2</v>
      </c>
    </row>
    <row r="15584" spans="1:9" x14ac:dyDescent="0.25">
      <c r="A15584">
        <v>509</v>
      </c>
      <c r="B15584" t="s">
        <v>4112</v>
      </c>
      <c r="C15584" t="s">
        <v>75</v>
      </c>
      <c r="D15584" t="s">
        <v>456</v>
      </c>
      <c r="E15584">
        <f t="shared" si="734"/>
        <v>1.7241379310344827E-2</v>
      </c>
      <c r="F15584">
        <v>71</v>
      </c>
      <c r="G15584">
        <f>LOG(382/(71+1))</f>
        <v>0.72473086648044027</v>
      </c>
      <c r="H15584">
        <f>0.0172413793103448*1.66875448959051</f>
        <v>2.8771629130870814E-2</v>
      </c>
      <c r="I15584">
        <v>2.8771629130871029E-2</v>
      </c>
    </row>
    <row r="15585" spans="1:9" x14ac:dyDescent="0.25">
      <c r="A15585">
        <v>509</v>
      </c>
      <c r="B15585" t="s">
        <v>4112</v>
      </c>
      <c r="C15585" t="s">
        <v>75</v>
      </c>
      <c r="D15585" t="s">
        <v>4117</v>
      </c>
      <c r="E15585">
        <f t="shared" si="734"/>
        <v>1.7241379310344827E-2</v>
      </c>
      <c r="F15585">
        <v>1</v>
      </c>
      <c r="G15585">
        <f>LOG(382/(1+1))</f>
        <v>2.2810333672477277</v>
      </c>
      <c r="H15585">
        <f>0.0172413793103448*5.25227342804663</f>
        <v>9.0556438414596915E-2</v>
      </c>
      <c r="I15585">
        <v>9.0556438414597068E-2</v>
      </c>
    </row>
    <row r="15586" spans="1:9" x14ac:dyDescent="0.25">
      <c r="A15586">
        <v>509</v>
      </c>
      <c r="B15586" t="s">
        <v>4112</v>
      </c>
      <c r="C15586" t="s">
        <v>75</v>
      </c>
      <c r="D15586" t="s">
        <v>894</v>
      </c>
      <c r="E15586">
        <f t="shared" si="734"/>
        <v>1.7241379310344827E-2</v>
      </c>
      <c r="F15586">
        <v>5</v>
      </c>
      <c r="G15586">
        <f>LOG(382/(5+1))</f>
        <v>1.803912112528065</v>
      </c>
      <c r="H15586">
        <f>0.0172413793103448*4.15366113937852</f>
        <v>7.1614847230664025E-2</v>
      </c>
      <c r="I15586">
        <v>7.1614847230664136E-2</v>
      </c>
    </row>
    <row r="15587" spans="1:9" x14ac:dyDescent="0.25">
      <c r="A15587">
        <v>509</v>
      </c>
      <c r="B15587" t="s">
        <v>4112</v>
      </c>
      <c r="C15587" t="s">
        <v>75</v>
      </c>
      <c r="D15587" t="s">
        <v>4118</v>
      </c>
      <c r="E15587">
        <f t="shared" si="734"/>
        <v>1.7241379310344827E-2</v>
      </c>
      <c r="F15587">
        <v>1</v>
      </c>
      <c r="G15587">
        <f>LOG(382/(1+1))</f>
        <v>2.2810333672477277</v>
      </c>
      <c r="H15587">
        <f>0.0172413793103448*5.25227342804663</f>
        <v>9.0556438414596915E-2</v>
      </c>
      <c r="I15587">
        <v>9.0556438414597068E-2</v>
      </c>
    </row>
    <row r="15588" spans="1:9" x14ac:dyDescent="0.25">
      <c r="A15588">
        <v>509</v>
      </c>
      <c r="B15588" t="s">
        <v>4112</v>
      </c>
      <c r="C15588" t="s">
        <v>75</v>
      </c>
      <c r="D15588" t="s">
        <v>247</v>
      </c>
      <c r="E15588">
        <f t="shared" si="734"/>
        <v>1.7241379310344827E-2</v>
      </c>
      <c r="F15588">
        <v>121</v>
      </c>
      <c r="G15588">
        <f>LOG(382/(121+1))</f>
        <v>0.49570353223696051</v>
      </c>
      <c r="H15588">
        <f>0.0172413793103448*1.14139956387331</f>
        <v>1.9679302825401868E-2</v>
      </c>
      <c r="I15588">
        <v>1.9679302825402051E-2</v>
      </c>
    </row>
    <row r="15589" spans="1:9" x14ac:dyDescent="0.25">
      <c r="A15589">
        <v>509</v>
      </c>
      <c r="B15589" t="s">
        <v>4112</v>
      </c>
      <c r="C15589" t="s">
        <v>75</v>
      </c>
      <c r="D15589" t="s">
        <v>520</v>
      </c>
      <c r="E15589">
        <f t="shared" si="734"/>
        <v>1.7241379310344827E-2</v>
      </c>
      <c r="F15589">
        <v>25</v>
      </c>
      <c r="G15589">
        <f>LOG(382/(25+1))</f>
        <v>1.1670900149408907</v>
      </c>
      <c r="H15589">
        <f>0.0172413793103448*2.68732407058509</f>
        <v>4.6333173630777338E-2</v>
      </c>
      <c r="I15589">
        <v>4.633317363077747E-2</v>
      </c>
    </row>
    <row r="15590" spans="1:9" x14ac:dyDescent="0.25">
      <c r="A15590">
        <v>509</v>
      </c>
      <c r="B15590" t="s">
        <v>4112</v>
      </c>
      <c r="C15590" t="s">
        <v>75</v>
      </c>
      <c r="D15590" t="s">
        <v>3633</v>
      </c>
      <c r="E15590">
        <f t="shared" si="734"/>
        <v>1.7241379310344827E-2</v>
      </c>
      <c r="F15590">
        <v>6</v>
      </c>
      <c r="G15590">
        <f>LOG(382/(6+1))</f>
        <v>1.736965322897452</v>
      </c>
      <c r="H15590">
        <f>0.0172413793103448*3.99951045955126</f>
        <v>6.8957076888814722E-2</v>
      </c>
      <c r="I15590">
        <v>6.8957076888814861E-2</v>
      </c>
    </row>
    <row r="15591" spans="1:9" x14ac:dyDescent="0.25">
      <c r="A15591">
        <v>509</v>
      </c>
      <c r="B15591" t="s">
        <v>4112</v>
      </c>
      <c r="C15591" t="s">
        <v>75</v>
      </c>
      <c r="D15591" t="s">
        <v>767</v>
      </c>
      <c r="E15591">
        <f t="shared" si="734"/>
        <v>1.7241379310344827E-2</v>
      </c>
      <c r="F15591">
        <v>47</v>
      </c>
      <c r="G15591">
        <f>LOG(382/(47+1))</f>
        <v>0.90082212553612151</v>
      </c>
      <c r="H15591">
        <f>0.0172413793103448*2.07421959769868</f>
        <v>3.5762406856873735E-2</v>
      </c>
      <c r="I15591">
        <v>3.5762406856873867E-2</v>
      </c>
    </row>
    <row r="15592" spans="1:9" x14ac:dyDescent="0.25">
      <c r="A15592">
        <v>509</v>
      </c>
      <c r="B15592" t="s">
        <v>4112</v>
      </c>
      <c r="C15592" t="s">
        <v>75</v>
      </c>
      <c r="D15592" t="s">
        <v>4119</v>
      </c>
      <c r="E15592">
        <f t="shared" si="734"/>
        <v>1.7241379310344827E-2</v>
      </c>
      <c r="F15592">
        <v>1</v>
      </c>
      <c r="G15592">
        <f>LOG(382/(1+1))</f>
        <v>2.2810333672477277</v>
      </c>
      <c r="H15592">
        <f>0.0172413793103448*5.25227342804663</f>
        <v>9.0556438414596915E-2</v>
      </c>
      <c r="I15592">
        <v>9.0556438414597068E-2</v>
      </c>
    </row>
    <row r="15593" spans="1:9" x14ac:dyDescent="0.25">
      <c r="A15593">
        <v>510</v>
      </c>
      <c r="B15593" t="s">
        <v>4120</v>
      </c>
      <c r="C15593" t="s">
        <v>75</v>
      </c>
      <c r="D15593" t="s">
        <v>2318</v>
      </c>
      <c r="E15593">
        <f t="shared" ref="E15593:E15602" si="735">1/25</f>
        <v>0.04</v>
      </c>
      <c r="F15593">
        <v>2</v>
      </c>
      <c r="G15593">
        <f>LOG(382/(2+1))</f>
        <v>2.1049421081920463</v>
      </c>
      <c r="H15593">
        <f>0.04*4.84680831993846</f>
        <v>0.1938723327975384</v>
      </c>
      <c r="I15593">
        <v>0.1938723327975386</v>
      </c>
    </row>
    <row r="15594" spans="1:9" x14ac:dyDescent="0.25">
      <c r="A15594">
        <v>510</v>
      </c>
      <c r="B15594" t="s">
        <v>4120</v>
      </c>
      <c r="C15594" t="s">
        <v>75</v>
      </c>
      <c r="D15594" t="s">
        <v>3145</v>
      </c>
      <c r="E15594">
        <f t="shared" si="735"/>
        <v>0.04</v>
      </c>
      <c r="F15594">
        <v>3</v>
      </c>
      <c r="G15594">
        <f>LOG(382/(3+1))</f>
        <v>1.9800033715837464</v>
      </c>
      <c r="H15594">
        <f>0.04*4.55912624748668</f>
        <v>0.1823650498994672</v>
      </c>
      <c r="I15594">
        <v>0.18236504989946739</v>
      </c>
    </row>
    <row r="15595" spans="1:9" x14ac:dyDescent="0.25">
      <c r="A15595">
        <v>510</v>
      </c>
      <c r="B15595" t="s">
        <v>4120</v>
      </c>
      <c r="C15595" t="s">
        <v>75</v>
      </c>
      <c r="D15595" t="s">
        <v>4121</v>
      </c>
      <c r="E15595">
        <f t="shared" si="735"/>
        <v>0.04</v>
      </c>
      <c r="F15595">
        <v>1</v>
      </c>
      <c r="G15595">
        <f>LOG(382/(1+1))</f>
        <v>2.2810333672477277</v>
      </c>
      <c r="H15595">
        <f>0.04*5.25227342804663</f>
        <v>0.21009093712186519</v>
      </c>
      <c r="I15595">
        <v>0.21009093712186519</v>
      </c>
    </row>
    <row r="15596" spans="1:9" x14ac:dyDescent="0.25">
      <c r="A15596">
        <v>510</v>
      </c>
      <c r="B15596" t="s">
        <v>4120</v>
      </c>
      <c r="C15596" t="s">
        <v>75</v>
      </c>
      <c r="D15596" t="s">
        <v>2231</v>
      </c>
      <c r="E15596">
        <f t="shared" si="735"/>
        <v>0.04</v>
      </c>
      <c r="F15596">
        <v>23</v>
      </c>
      <c r="G15596">
        <f>LOG(382/(23+1))</f>
        <v>1.2018521212001028</v>
      </c>
      <c r="H15596">
        <f>0.04*2.76736677825862</f>
        <v>0.11069467113034481</v>
      </c>
      <c r="I15596">
        <v>0.1106946711303452</v>
      </c>
    </row>
    <row r="15597" spans="1:9" x14ac:dyDescent="0.25">
      <c r="A15597">
        <v>510</v>
      </c>
      <c r="B15597" t="s">
        <v>4120</v>
      </c>
      <c r="C15597" t="s">
        <v>75</v>
      </c>
      <c r="D15597" t="s">
        <v>636</v>
      </c>
      <c r="E15597">
        <f t="shared" si="735"/>
        <v>0.04</v>
      </c>
      <c r="F15597">
        <v>31</v>
      </c>
      <c r="G15597">
        <f>LOG(382/(31+1))</f>
        <v>1.0769133845918029</v>
      </c>
      <c r="H15597">
        <f>0.04*2.47968470580684</f>
        <v>9.9187388232273591E-2</v>
      </c>
      <c r="I15597">
        <v>9.9187388232273951E-2</v>
      </c>
    </row>
    <row r="15598" spans="1:9" x14ac:dyDescent="0.25">
      <c r="A15598">
        <v>510</v>
      </c>
      <c r="B15598" t="s">
        <v>4120</v>
      </c>
      <c r="C15598" t="s">
        <v>75</v>
      </c>
      <c r="D15598" t="s">
        <v>42</v>
      </c>
      <c r="E15598">
        <f t="shared" si="735"/>
        <v>0.04</v>
      </c>
      <c r="F15598">
        <v>251</v>
      </c>
      <c r="G15598">
        <f>LOG(382/(251+1))</f>
        <v>0.18066282213016463</v>
      </c>
      <c r="H15598">
        <f>0.04*0.415991521095151</f>
        <v>1.6639660843806039E-2</v>
      </c>
      <c r="I15598">
        <v>1.6639660843806071E-2</v>
      </c>
    </row>
    <row r="15599" spans="1:9" x14ac:dyDescent="0.25">
      <c r="A15599">
        <v>510</v>
      </c>
      <c r="B15599" t="s">
        <v>4120</v>
      </c>
      <c r="C15599" t="s">
        <v>75</v>
      </c>
      <c r="D15599" t="s">
        <v>22</v>
      </c>
      <c r="E15599">
        <f t="shared" si="735"/>
        <v>0.04</v>
      </c>
      <c r="F15599">
        <v>259</v>
      </c>
      <c r="G15599">
        <f>LOG(382/(259+1))</f>
        <v>0.16709001494089079</v>
      </c>
      <c r="H15599">
        <f>0.04*0.384738977591047</f>
        <v>1.5389559103641882E-2</v>
      </c>
      <c r="I15599">
        <v>1.5389559103641899E-2</v>
      </c>
    </row>
    <row r="15600" spans="1:9" x14ac:dyDescent="0.25">
      <c r="A15600">
        <v>510</v>
      </c>
      <c r="B15600" t="s">
        <v>4120</v>
      </c>
      <c r="C15600" t="s">
        <v>75</v>
      </c>
      <c r="D15600" t="s">
        <v>23</v>
      </c>
      <c r="E15600">
        <f t="shared" si="735"/>
        <v>0.04</v>
      </c>
      <c r="F15600">
        <v>275</v>
      </c>
      <c r="G15600">
        <f>LOG(382/(275+1))</f>
        <v>0.14115428084649101</v>
      </c>
      <c r="H15600">
        <f>0.04*0.325019742889425</f>
        <v>1.3000789715576999E-2</v>
      </c>
      <c r="I15600">
        <v>1.300078971557701E-2</v>
      </c>
    </row>
    <row r="15601" spans="1:9" x14ac:dyDescent="0.25">
      <c r="A15601">
        <v>510</v>
      </c>
      <c r="B15601" t="s">
        <v>4120</v>
      </c>
      <c r="C15601" t="s">
        <v>75</v>
      </c>
      <c r="D15601" t="s">
        <v>528</v>
      </c>
      <c r="E15601">
        <f t="shared" si="735"/>
        <v>0.04</v>
      </c>
      <c r="F15601">
        <v>9</v>
      </c>
      <c r="G15601">
        <f>LOG(382/(9+1))</f>
        <v>1.5820633629117087</v>
      </c>
      <c r="H15601">
        <f>0.04*3.64283551561252</f>
        <v>0.14571342062450079</v>
      </c>
      <c r="I15601">
        <v>0.14571342062450121</v>
      </c>
    </row>
    <row r="15602" spans="1:9" x14ac:dyDescent="0.25">
      <c r="A15602">
        <v>510</v>
      </c>
      <c r="B15602" t="s">
        <v>4120</v>
      </c>
      <c r="C15602" t="s">
        <v>75</v>
      </c>
      <c r="D15602" t="s">
        <v>348</v>
      </c>
      <c r="E15602">
        <f t="shared" si="735"/>
        <v>0.04</v>
      </c>
      <c r="F15602">
        <v>5</v>
      </c>
      <c r="G15602">
        <f>LOG(382/(5+1))</f>
        <v>1.803912112528065</v>
      </c>
      <c r="H15602">
        <f>0.04*4.15366113937852</f>
        <v>0.1661464455751408</v>
      </c>
      <c r="I15602">
        <v>0.1661464455751408</v>
      </c>
    </row>
    <row r="15603" spans="1:9" x14ac:dyDescent="0.25">
      <c r="A15603">
        <v>510</v>
      </c>
      <c r="B15603" t="s">
        <v>4120</v>
      </c>
      <c r="C15603" t="s">
        <v>75</v>
      </c>
      <c r="D15603" t="s">
        <v>3934</v>
      </c>
      <c r="E15603">
        <f>2/25</f>
        <v>0.08</v>
      </c>
      <c r="F15603">
        <v>3</v>
      </c>
      <c r="G15603">
        <f>LOG(382/(3+1))</f>
        <v>1.9800033715837464</v>
      </c>
      <c r="H15603">
        <f>0.08*4.55912624748668</f>
        <v>0.36473009979893439</v>
      </c>
      <c r="I15603">
        <v>0.36473009979893478</v>
      </c>
    </row>
    <row r="15604" spans="1:9" x14ac:dyDescent="0.25">
      <c r="A15604">
        <v>510</v>
      </c>
      <c r="B15604" t="s">
        <v>4120</v>
      </c>
      <c r="C15604" t="s">
        <v>75</v>
      </c>
      <c r="D15604" t="s">
        <v>1537</v>
      </c>
      <c r="E15604">
        <f>2/25</f>
        <v>0.08</v>
      </c>
      <c r="F15604">
        <v>80</v>
      </c>
      <c r="G15604">
        <f>LOG(382/(80+1))</f>
        <v>0.67357834403305894</v>
      </c>
      <c r="H15604">
        <f>0.08*1.55097145393413</f>
        <v>0.1240777163147304</v>
      </c>
      <c r="I15604">
        <v>0.1240777163147309</v>
      </c>
    </row>
    <row r="15605" spans="1:9" x14ac:dyDescent="0.25">
      <c r="A15605">
        <v>510</v>
      </c>
      <c r="B15605" t="s">
        <v>4120</v>
      </c>
      <c r="C15605" t="s">
        <v>75</v>
      </c>
      <c r="D15605" t="s">
        <v>112</v>
      </c>
      <c r="E15605">
        <f>3/25</f>
        <v>0.12</v>
      </c>
      <c r="F15605">
        <v>52</v>
      </c>
      <c r="G15605">
        <f>LOG(382/(52+1))</f>
        <v>0.85778749331091964</v>
      </c>
      <c r="H15605">
        <f>0.12*1.97512869505445</f>
        <v>0.23701544340653399</v>
      </c>
      <c r="I15605">
        <v>0.23701544340653441</v>
      </c>
    </row>
    <row r="15606" spans="1:9" x14ac:dyDescent="0.25">
      <c r="A15606">
        <v>510</v>
      </c>
      <c r="B15606" t="s">
        <v>4120</v>
      </c>
      <c r="C15606" t="s">
        <v>75</v>
      </c>
      <c r="D15606" t="s">
        <v>82</v>
      </c>
      <c r="E15606">
        <f>3/25</f>
        <v>0.12</v>
      </c>
      <c r="F15606">
        <v>92</v>
      </c>
      <c r="G15606">
        <f>LOG(382/(92+1))</f>
        <v>0.61358041435777355</v>
      </c>
      <c r="H15606">
        <f>0.12*1.41282111545331</f>
        <v>0.16953853385439718</v>
      </c>
      <c r="I15606">
        <v>0.16953853385439829</v>
      </c>
    </row>
    <row r="15607" spans="1:9" x14ac:dyDescent="0.25">
      <c r="A15607">
        <v>510</v>
      </c>
      <c r="B15607" t="s">
        <v>4120</v>
      </c>
      <c r="C15607" t="s">
        <v>75</v>
      </c>
      <c r="D15607" t="s">
        <v>4122</v>
      </c>
      <c r="E15607">
        <f>3/25</f>
        <v>0.12</v>
      </c>
      <c r="F15607">
        <v>1</v>
      </c>
      <c r="G15607">
        <f>LOG(382/(1+1))</f>
        <v>2.2810333672477277</v>
      </c>
      <c r="H15607">
        <f>0.12*5.25227342804663</f>
        <v>0.63027281136559554</v>
      </c>
      <c r="I15607">
        <v>0.63027281136559554</v>
      </c>
    </row>
    <row r="15608" spans="1:9" x14ac:dyDescent="0.25">
      <c r="A15608">
        <v>510</v>
      </c>
      <c r="B15608" t="s">
        <v>4120</v>
      </c>
      <c r="C15608" t="s">
        <v>75</v>
      </c>
      <c r="D15608" t="s">
        <v>4123</v>
      </c>
      <c r="E15608">
        <f>1/25</f>
        <v>0.04</v>
      </c>
      <c r="F15608">
        <v>1</v>
      </c>
      <c r="G15608">
        <f>LOG(382/(1+1))</f>
        <v>2.2810333672477277</v>
      </c>
      <c r="H15608">
        <f>0.04*5.25227342804663</f>
        <v>0.21009093712186519</v>
      </c>
      <c r="I15608">
        <v>0.21009093712186519</v>
      </c>
    </row>
    <row r="15609" spans="1:9" x14ac:dyDescent="0.25">
      <c r="A15609">
        <v>510</v>
      </c>
      <c r="B15609" t="s">
        <v>4120</v>
      </c>
      <c r="C15609" t="s">
        <v>75</v>
      </c>
      <c r="D15609" t="s">
        <v>230</v>
      </c>
      <c r="E15609">
        <f>1/25</f>
        <v>0.04</v>
      </c>
      <c r="F15609">
        <v>9</v>
      </c>
      <c r="G15609">
        <f>LOG(382/(9+1))</f>
        <v>1.5820633629117087</v>
      </c>
      <c r="H15609">
        <f>0.04*3.64283551561252</f>
        <v>0.14571342062450079</v>
      </c>
      <c r="I15609">
        <v>0.14571342062450121</v>
      </c>
    </row>
    <row r="15610" spans="1:9" x14ac:dyDescent="0.25">
      <c r="A15610">
        <v>511</v>
      </c>
      <c r="B15610" t="s">
        <v>4124</v>
      </c>
      <c r="C15610" t="s">
        <v>75</v>
      </c>
      <c r="D15610" t="s">
        <v>636</v>
      </c>
      <c r="E15610">
        <f>4/61</f>
        <v>6.5573770491803282E-2</v>
      </c>
      <c r="F15610">
        <v>31</v>
      </c>
      <c r="G15610">
        <f>LOG(382/(31+1))</f>
        <v>1.0769133845918029</v>
      </c>
      <c r="H15610">
        <f>0.0655737704918032*2.47968470580684</f>
        <v>0.16260227579061226</v>
      </c>
      <c r="I15610">
        <v>0.16260227579061301</v>
      </c>
    </row>
    <row r="15611" spans="1:9" x14ac:dyDescent="0.25">
      <c r="A15611">
        <v>511</v>
      </c>
      <c r="B15611" t="s">
        <v>4124</v>
      </c>
      <c r="C15611" t="s">
        <v>75</v>
      </c>
      <c r="D15611" t="s">
        <v>4125</v>
      </c>
      <c r="E15611">
        <f>2/61</f>
        <v>3.2786885245901641E-2</v>
      </c>
      <c r="F15611">
        <v>1</v>
      </c>
      <c r="G15611">
        <f>LOG(382/(1+1))</f>
        <v>2.2810333672477277</v>
      </c>
      <c r="H15611">
        <f>0.0327868852459016*5.25227342804663</f>
        <v>0.17220568616546306</v>
      </c>
      <c r="I15611">
        <v>0.17220568616546331</v>
      </c>
    </row>
    <row r="15612" spans="1:9" x14ac:dyDescent="0.25">
      <c r="A15612">
        <v>511</v>
      </c>
      <c r="B15612" t="s">
        <v>4124</v>
      </c>
      <c r="C15612" t="s">
        <v>75</v>
      </c>
      <c r="D15612" t="s">
        <v>2231</v>
      </c>
      <c r="E15612">
        <f>2/61</f>
        <v>3.2786885245901641E-2</v>
      </c>
      <c r="F15612">
        <v>23</v>
      </c>
      <c r="G15612">
        <f>LOG(382/(23+1))</f>
        <v>1.2018521212001028</v>
      </c>
      <c r="H15612">
        <f>0.0327868852459016*2.76736677825862</f>
        <v>9.07333369920858E-2</v>
      </c>
      <c r="I15612">
        <v>9.0733336992086216E-2</v>
      </c>
    </row>
    <row r="15613" spans="1:9" x14ac:dyDescent="0.25">
      <c r="A15613">
        <v>511</v>
      </c>
      <c r="B15613" t="s">
        <v>4124</v>
      </c>
      <c r="C15613" t="s">
        <v>75</v>
      </c>
      <c r="D15613" t="s">
        <v>42</v>
      </c>
      <c r="E15613">
        <f>1/61</f>
        <v>1.6393442622950821E-2</v>
      </c>
      <c r="F15613">
        <v>251</v>
      </c>
      <c r="G15613">
        <f>LOG(382/(251+1))</f>
        <v>0.18066282213016463</v>
      </c>
      <c r="H15613">
        <f>0.0163934426229508*0.415991521095151</f>
        <v>6.819533132707385E-3</v>
      </c>
      <c r="I15613">
        <v>6.8195331327074076E-3</v>
      </c>
    </row>
    <row r="15614" spans="1:9" x14ac:dyDescent="0.25">
      <c r="A15614">
        <v>511</v>
      </c>
      <c r="B15614" t="s">
        <v>4124</v>
      </c>
      <c r="C15614" t="s">
        <v>75</v>
      </c>
      <c r="D15614" t="s">
        <v>637</v>
      </c>
      <c r="E15614">
        <f t="shared" ref="E15614:E15620" si="736">2/61</f>
        <v>3.2786885245901641E-2</v>
      </c>
      <c r="F15614">
        <v>29</v>
      </c>
      <c r="G15614">
        <f>LOG(382/(29+1))</f>
        <v>1.1049421081920463</v>
      </c>
      <c r="H15614">
        <f>0.0327868852459016*2.54422322694442</f>
        <v>8.3417154981784161E-2</v>
      </c>
      <c r="I15614">
        <v>8.3417154981784258E-2</v>
      </c>
    </row>
    <row r="15615" spans="1:9" x14ac:dyDescent="0.25">
      <c r="A15615">
        <v>511</v>
      </c>
      <c r="B15615" t="s">
        <v>4124</v>
      </c>
      <c r="C15615" t="s">
        <v>75</v>
      </c>
      <c r="D15615" t="s">
        <v>70</v>
      </c>
      <c r="E15615">
        <f t="shared" si="736"/>
        <v>3.2786885245901641E-2</v>
      </c>
      <c r="F15615">
        <v>44</v>
      </c>
      <c r="G15615">
        <f>LOG(382/(44+1))</f>
        <v>0.92885084913636506</v>
      </c>
      <c r="H15615">
        <f>0.0327868852459016*2.13875811883625</f>
        <v>7.0123217011024502E-2</v>
      </c>
      <c r="I15615">
        <v>7.0123217011024766E-2</v>
      </c>
    </row>
    <row r="15616" spans="1:9" x14ac:dyDescent="0.25">
      <c r="A15616">
        <v>511</v>
      </c>
      <c r="B15616" t="s">
        <v>4124</v>
      </c>
      <c r="C15616" t="s">
        <v>75</v>
      </c>
      <c r="D15616" t="s">
        <v>19</v>
      </c>
      <c r="E15616">
        <f t="shared" si="736"/>
        <v>3.2786885245901641E-2</v>
      </c>
      <c r="F15616">
        <v>220</v>
      </c>
      <c r="G15616">
        <f>LOG(382/(220+1))</f>
        <v>0.23767108922659805</v>
      </c>
      <c r="H15616">
        <f>0.0327868852459016*0.547257907088822</f>
        <v>1.7942882199633487E-2</v>
      </c>
      <c r="I15616">
        <v>1.7942882199633518E-2</v>
      </c>
    </row>
    <row r="15617" spans="1:9" x14ac:dyDescent="0.25">
      <c r="A15617">
        <v>511</v>
      </c>
      <c r="B15617" t="s">
        <v>4124</v>
      </c>
      <c r="C15617" t="s">
        <v>75</v>
      </c>
      <c r="D15617" t="s">
        <v>44</v>
      </c>
      <c r="E15617">
        <f t="shared" si="736"/>
        <v>3.2786885245901641E-2</v>
      </c>
      <c r="F15617">
        <v>151</v>
      </c>
      <c r="G15617">
        <f>LOG(382/(151+1))</f>
        <v>0.40021977496693617</v>
      </c>
      <c r="H15617">
        <f>0.0327868852459016*0.921540087760298</f>
        <v>3.021442910689498E-2</v>
      </c>
      <c r="I15617">
        <v>3.0214429106895039E-2</v>
      </c>
    </row>
    <row r="15618" spans="1:9" x14ac:dyDescent="0.25">
      <c r="A15618">
        <v>511</v>
      </c>
      <c r="B15618" t="s">
        <v>4124</v>
      </c>
      <c r="C15618" t="s">
        <v>75</v>
      </c>
      <c r="D15618" t="s">
        <v>22</v>
      </c>
      <c r="E15618">
        <f t="shared" si="736"/>
        <v>3.2786885245901641E-2</v>
      </c>
      <c r="F15618">
        <v>259</v>
      </c>
      <c r="G15618">
        <f>LOG(382/(259+1))</f>
        <v>0.16709001494089079</v>
      </c>
      <c r="H15618">
        <f>0.0327868852459016*0.384738977591047</f>
        <v>1.2614392707903165E-2</v>
      </c>
      <c r="I15618">
        <v>1.26143927079032E-2</v>
      </c>
    </row>
    <row r="15619" spans="1:9" x14ac:dyDescent="0.25">
      <c r="A15619">
        <v>511</v>
      </c>
      <c r="B15619" t="s">
        <v>4124</v>
      </c>
      <c r="C15619" t="s">
        <v>75</v>
      </c>
      <c r="D15619" t="s">
        <v>23</v>
      </c>
      <c r="E15619">
        <f t="shared" si="736"/>
        <v>3.2786885245901641E-2</v>
      </c>
      <c r="F15619">
        <v>275</v>
      </c>
      <c r="G15619">
        <f>LOG(382/(275+1))</f>
        <v>0.14115428084649101</v>
      </c>
      <c r="H15619">
        <f>0.0327868852459016*0.325019742889425</f>
        <v>1.0656385012768018E-2</v>
      </c>
      <c r="I15619">
        <v>1.0656385012768039E-2</v>
      </c>
    </row>
    <row r="15620" spans="1:9" x14ac:dyDescent="0.25">
      <c r="A15620">
        <v>511</v>
      </c>
      <c r="B15620" t="s">
        <v>4124</v>
      </c>
      <c r="C15620" t="s">
        <v>75</v>
      </c>
      <c r="D15620" t="s">
        <v>1785</v>
      </c>
      <c r="E15620">
        <f t="shared" si="736"/>
        <v>3.2786885245901641E-2</v>
      </c>
      <c r="F15620">
        <v>21</v>
      </c>
      <c r="G15620">
        <f>LOG(382/(21+1))</f>
        <v>1.2396406820895025</v>
      </c>
      <c r="H15620">
        <f>0.0327868852459016*2.85437815524825</f>
        <v>9.3586169024532664E-2</v>
      </c>
      <c r="I15620">
        <v>9.3586169024533095E-2</v>
      </c>
    </row>
    <row r="15621" spans="1:9" x14ac:dyDescent="0.25">
      <c r="A15621">
        <v>511</v>
      </c>
      <c r="B15621" t="s">
        <v>4124</v>
      </c>
      <c r="C15621" t="s">
        <v>75</v>
      </c>
      <c r="D15621" t="s">
        <v>1537</v>
      </c>
      <c r="E15621">
        <f>1/61</f>
        <v>1.6393442622950821E-2</v>
      </c>
      <c r="F15621">
        <v>80</v>
      </c>
      <c r="G15621">
        <f>LOG(382/(80+1))</f>
        <v>0.67357834403305894</v>
      </c>
      <c r="H15621">
        <f>0.0163934426229508*1.55097145393413</f>
        <v>2.5425761539903738E-2</v>
      </c>
      <c r="I15621">
        <v>2.542576153990388E-2</v>
      </c>
    </row>
    <row r="15622" spans="1:9" x14ac:dyDescent="0.25">
      <c r="A15622">
        <v>511</v>
      </c>
      <c r="B15622" t="s">
        <v>4124</v>
      </c>
      <c r="C15622" t="s">
        <v>75</v>
      </c>
      <c r="D15622" t="s">
        <v>105</v>
      </c>
      <c r="E15622">
        <f>1/61</f>
        <v>1.6393442622950821E-2</v>
      </c>
      <c r="F15622">
        <v>122</v>
      </c>
      <c r="G15622">
        <f>LOG(382/(122+1))</f>
        <v>0.49215825147231079</v>
      </c>
      <c r="H15622">
        <f>0.0163934426229508*1.13323625323415</f>
        <v>1.8577643495641782E-2</v>
      </c>
      <c r="I15622">
        <v>1.8577643495641932E-2</v>
      </c>
    </row>
    <row r="15623" spans="1:9" x14ac:dyDescent="0.25">
      <c r="A15623">
        <v>511</v>
      </c>
      <c r="B15623" t="s">
        <v>4124</v>
      </c>
      <c r="C15623" t="s">
        <v>75</v>
      </c>
      <c r="D15623" t="s">
        <v>3996</v>
      </c>
      <c r="E15623">
        <f>2/61</f>
        <v>3.2786885245901641E-2</v>
      </c>
      <c r="F15623">
        <v>5</v>
      </c>
      <c r="G15623">
        <f>LOG(382/(5+1))</f>
        <v>1.803912112528065</v>
      </c>
      <c r="H15623">
        <f>0.0327868852459016*4.15366113937852</f>
        <v>0.13618561112716443</v>
      </c>
      <c r="I15623">
        <v>0.1361856111271646</v>
      </c>
    </row>
    <row r="15624" spans="1:9" x14ac:dyDescent="0.25">
      <c r="A15624">
        <v>511</v>
      </c>
      <c r="B15624" t="s">
        <v>4124</v>
      </c>
      <c r="C15624" t="s">
        <v>75</v>
      </c>
      <c r="D15624" t="s">
        <v>4126</v>
      </c>
      <c r="E15624">
        <f t="shared" ref="E15624:E15634" si="737">1/61</f>
        <v>1.6393442622950821E-2</v>
      </c>
      <c r="F15624">
        <v>1</v>
      </c>
      <c r="G15624">
        <f>LOG(382/(1+1))</f>
        <v>2.2810333672477277</v>
      </c>
      <c r="H15624">
        <f>0.0163934426229508*5.25227342804663</f>
        <v>8.6102843082731528E-2</v>
      </c>
      <c r="I15624">
        <v>8.6102843082731639E-2</v>
      </c>
    </row>
    <row r="15625" spans="1:9" x14ac:dyDescent="0.25">
      <c r="A15625">
        <v>511</v>
      </c>
      <c r="B15625" t="s">
        <v>4124</v>
      </c>
      <c r="C15625" t="s">
        <v>75</v>
      </c>
      <c r="D15625" t="s">
        <v>1546</v>
      </c>
      <c r="E15625">
        <f t="shared" si="737"/>
        <v>1.6393442622950821E-2</v>
      </c>
      <c r="F15625">
        <v>44</v>
      </c>
      <c r="G15625">
        <f>LOG(382/(44+1))</f>
        <v>0.92885084913636506</v>
      </c>
      <c r="H15625">
        <f>0.0163934426229508*2.13875811883625</f>
        <v>3.5061608505512251E-2</v>
      </c>
      <c r="I15625">
        <v>3.5061608505512383E-2</v>
      </c>
    </row>
    <row r="15626" spans="1:9" x14ac:dyDescent="0.25">
      <c r="A15626">
        <v>511</v>
      </c>
      <c r="B15626" t="s">
        <v>4124</v>
      </c>
      <c r="C15626" t="s">
        <v>75</v>
      </c>
      <c r="D15626" t="s">
        <v>1731</v>
      </c>
      <c r="E15626">
        <f t="shared" si="737"/>
        <v>1.6393442622950821E-2</v>
      </c>
      <c r="F15626">
        <v>15</v>
      </c>
      <c r="G15626">
        <f>LOG(382/(15+1))</f>
        <v>1.3779433802557839</v>
      </c>
      <c r="H15626">
        <f>0.0163934426229508*3.17283188636679</f>
        <v>5.2013637481422723E-2</v>
      </c>
      <c r="I15626">
        <v>5.2013637481422847E-2</v>
      </c>
    </row>
    <row r="15627" spans="1:9" x14ac:dyDescent="0.25">
      <c r="A15627">
        <v>511</v>
      </c>
      <c r="B15627" t="s">
        <v>4124</v>
      </c>
      <c r="C15627" t="s">
        <v>75</v>
      </c>
      <c r="D15627" t="s">
        <v>4127</v>
      </c>
      <c r="E15627">
        <f t="shared" si="737"/>
        <v>1.6393442622950821E-2</v>
      </c>
      <c r="F15627">
        <v>1</v>
      </c>
      <c r="G15627">
        <f>LOG(382/(1+1))</f>
        <v>2.2810333672477277</v>
      </c>
      <c r="H15627">
        <f>0.0163934426229508*5.25227342804663</f>
        <v>8.6102843082731528E-2</v>
      </c>
      <c r="I15627">
        <v>8.6102843082731639E-2</v>
      </c>
    </row>
    <row r="15628" spans="1:9" x14ac:dyDescent="0.25">
      <c r="A15628">
        <v>511</v>
      </c>
      <c r="B15628" t="s">
        <v>4124</v>
      </c>
      <c r="C15628" t="s">
        <v>75</v>
      </c>
      <c r="D15628" t="s">
        <v>417</v>
      </c>
      <c r="E15628">
        <f t="shared" si="737"/>
        <v>1.6393442622950821E-2</v>
      </c>
      <c r="F15628">
        <v>7</v>
      </c>
      <c r="G15628">
        <f>LOG(382/(7+1))</f>
        <v>1.6789733759197651</v>
      </c>
      <c r="H15628">
        <f>0.0163934426229508*3.86597906692673</f>
        <v>6.3376706015192227E-2</v>
      </c>
      <c r="I15628">
        <v>6.3376706015192449E-2</v>
      </c>
    </row>
    <row r="15629" spans="1:9" x14ac:dyDescent="0.25">
      <c r="A15629">
        <v>511</v>
      </c>
      <c r="B15629" t="s">
        <v>4124</v>
      </c>
      <c r="C15629" t="s">
        <v>75</v>
      </c>
      <c r="D15629" t="s">
        <v>25</v>
      </c>
      <c r="E15629">
        <f t="shared" si="737"/>
        <v>1.6393442622950821E-2</v>
      </c>
      <c r="F15629">
        <v>106</v>
      </c>
      <c r="G15629">
        <f>LOG(382/(106+1))</f>
        <v>0.55267958522649907</v>
      </c>
      <c r="H15629">
        <f>0.0163934426229508*1.27259177414466</f>
        <v>2.0862160231879645E-2</v>
      </c>
      <c r="I15629">
        <v>2.0862160231879819E-2</v>
      </c>
    </row>
    <row r="15630" spans="1:9" x14ac:dyDescent="0.25">
      <c r="A15630">
        <v>511</v>
      </c>
      <c r="B15630" t="s">
        <v>4124</v>
      </c>
      <c r="C15630" t="s">
        <v>75</v>
      </c>
      <c r="D15630" t="s">
        <v>81</v>
      </c>
      <c r="E15630">
        <f t="shared" si="737"/>
        <v>1.6393442622950821E-2</v>
      </c>
      <c r="F15630">
        <v>114</v>
      </c>
      <c r="G15630">
        <f>LOG(382/(114+1))</f>
        <v>0.52136552255809698</v>
      </c>
      <c r="H15630">
        <f>0.0163934426229508*1.20048848024332</f>
        <v>1.9680139020382272E-2</v>
      </c>
      <c r="I15630">
        <v>1.9680139020382379E-2</v>
      </c>
    </row>
    <row r="15631" spans="1:9" x14ac:dyDescent="0.25">
      <c r="A15631">
        <v>511</v>
      </c>
      <c r="B15631" t="s">
        <v>4124</v>
      </c>
      <c r="C15631" t="s">
        <v>75</v>
      </c>
      <c r="D15631" t="s">
        <v>1921</v>
      </c>
      <c r="E15631">
        <f t="shared" si="737"/>
        <v>1.6393442622950821E-2</v>
      </c>
      <c r="F15631">
        <v>37</v>
      </c>
      <c r="G15631">
        <f>LOG(382/(37+1))</f>
        <v>1.0022797662948986</v>
      </c>
      <c r="H15631">
        <f>0.0163934426229508*2.30783444888018</f>
        <v>3.7833351620986506E-2</v>
      </c>
      <c r="I15631">
        <v>3.7833351620986708E-2</v>
      </c>
    </row>
    <row r="15632" spans="1:9" x14ac:dyDescent="0.25">
      <c r="A15632">
        <v>511</v>
      </c>
      <c r="B15632" t="s">
        <v>4124</v>
      </c>
      <c r="C15632" t="s">
        <v>75</v>
      </c>
      <c r="D15632" t="s">
        <v>4128</v>
      </c>
      <c r="E15632">
        <f t="shared" si="737"/>
        <v>1.6393442622950821E-2</v>
      </c>
      <c r="F15632">
        <v>1</v>
      </c>
      <c r="G15632">
        <f>LOG(382/(1+1))</f>
        <v>2.2810333672477277</v>
      </c>
      <c r="H15632">
        <f>0.0163934426229508*5.25227342804663</f>
        <v>8.6102843082731528E-2</v>
      </c>
      <c r="I15632">
        <v>8.6102843082731639E-2</v>
      </c>
    </row>
    <row r="15633" spans="1:9" x14ac:dyDescent="0.25">
      <c r="A15633">
        <v>511</v>
      </c>
      <c r="B15633" t="s">
        <v>4124</v>
      </c>
      <c r="C15633" t="s">
        <v>75</v>
      </c>
      <c r="D15633" t="s">
        <v>322</v>
      </c>
      <c r="E15633">
        <f t="shared" si="737"/>
        <v>1.6393442622950821E-2</v>
      </c>
      <c r="F15633">
        <v>128</v>
      </c>
      <c r="G15633">
        <f>LOG(382/(128+1))</f>
        <v>0.47147365261245977</v>
      </c>
      <c r="H15633">
        <f>0.0163934426229508*1.0856082042449</f>
        <v>1.779685580729342E-2</v>
      </c>
      <c r="I15633">
        <v>1.77968558072935E-2</v>
      </c>
    </row>
    <row r="15634" spans="1:9" x14ac:dyDescent="0.25">
      <c r="A15634">
        <v>511</v>
      </c>
      <c r="B15634" t="s">
        <v>4124</v>
      </c>
      <c r="C15634" t="s">
        <v>75</v>
      </c>
      <c r="D15634" t="s">
        <v>3962</v>
      </c>
      <c r="E15634">
        <f t="shared" si="737"/>
        <v>1.6393442622950821E-2</v>
      </c>
      <c r="F15634">
        <v>5</v>
      </c>
      <c r="G15634">
        <f>LOG(382/(5+1))</f>
        <v>1.803912112528065</v>
      </c>
      <c r="H15634">
        <f>0.0163934426229508*4.15366113937852</f>
        <v>6.8092805563582215E-2</v>
      </c>
      <c r="I15634">
        <v>6.8092805563582298E-2</v>
      </c>
    </row>
    <row r="15635" spans="1:9" x14ac:dyDescent="0.25">
      <c r="A15635">
        <v>511</v>
      </c>
      <c r="B15635" t="s">
        <v>4124</v>
      </c>
      <c r="C15635" t="s">
        <v>75</v>
      </c>
      <c r="D15635" t="s">
        <v>3293</v>
      </c>
      <c r="E15635">
        <f>2/61</f>
        <v>3.2786885245901641E-2</v>
      </c>
      <c r="F15635">
        <v>6</v>
      </c>
      <c r="G15635">
        <f>LOG(382/(6+1))</f>
        <v>1.736965322897452</v>
      </c>
      <c r="H15635">
        <f>0.0327868852459016*3.99951045955126</f>
        <v>0.13113149047709033</v>
      </c>
      <c r="I15635">
        <v>0.13113149047709061</v>
      </c>
    </row>
    <row r="15636" spans="1:9" x14ac:dyDescent="0.25">
      <c r="A15636">
        <v>511</v>
      </c>
      <c r="B15636" t="s">
        <v>4124</v>
      </c>
      <c r="C15636" t="s">
        <v>75</v>
      </c>
      <c r="D15636" t="s">
        <v>4129</v>
      </c>
      <c r="E15636">
        <f>1/61</f>
        <v>1.6393442622950821E-2</v>
      </c>
      <c r="F15636">
        <v>1</v>
      </c>
      <c r="G15636">
        <f>LOG(382/(1+1))</f>
        <v>2.2810333672477277</v>
      </c>
      <c r="H15636">
        <f>0.0163934426229508*5.25227342804663</f>
        <v>8.6102843082731528E-2</v>
      </c>
      <c r="I15636">
        <v>8.6102843082731639E-2</v>
      </c>
    </row>
    <row r="15637" spans="1:9" x14ac:dyDescent="0.25">
      <c r="A15637">
        <v>511</v>
      </c>
      <c r="B15637" t="s">
        <v>4124</v>
      </c>
      <c r="C15637" t="s">
        <v>75</v>
      </c>
      <c r="D15637" t="s">
        <v>4130</v>
      </c>
      <c r="E15637">
        <f>1/61</f>
        <v>1.6393442622950821E-2</v>
      </c>
      <c r="F15637">
        <v>1</v>
      </c>
      <c r="G15637">
        <f>LOG(382/(1+1))</f>
        <v>2.2810333672477277</v>
      </c>
      <c r="H15637">
        <f>0.0163934426229508*5.25227342804663</f>
        <v>8.6102843082731528E-2</v>
      </c>
      <c r="I15637">
        <v>8.6102843082731639E-2</v>
      </c>
    </row>
    <row r="15638" spans="1:9" x14ac:dyDescent="0.25">
      <c r="A15638">
        <v>511</v>
      </c>
      <c r="B15638" t="s">
        <v>4124</v>
      </c>
      <c r="C15638" t="s">
        <v>75</v>
      </c>
      <c r="D15638" t="s">
        <v>133</v>
      </c>
      <c r="E15638">
        <f>2/61</f>
        <v>3.2786885245901641E-2</v>
      </c>
      <c r="F15638">
        <v>142</v>
      </c>
      <c r="G15638">
        <f>LOG(382/(142+1))</f>
        <v>0.42672732544664693</v>
      </c>
      <c r="H15638">
        <f>0.0327868852459016*0.982575978346667</f>
        <v>3.2215605847431668E-2</v>
      </c>
      <c r="I15638">
        <v>3.2215605847431737E-2</v>
      </c>
    </row>
    <row r="15639" spans="1:9" x14ac:dyDescent="0.25">
      <c r="A15639">
        <v>511</v>
      </c>
      <c r="B15639" t="s">
        <v>4124</v>
      </c>
      <c r="C15639" t="s">
        <v>75</v>
      </c>
      <c r="D15639" t="s">
        <v>237</v>
      </c>
      <c r="E15639">
        <f t="shared" ref="E15639:E15649" si="738">1/61</f>
        <v>1.6393442622950821E-2</v>
      </c>
      <c r="F15639">
        <v>138</v>
      </c>
      <c r="G15639">
        <f>LOG(382/(138+1))</f>
        <v>0.43904856265761361</v>
      </c>
      <c r="H15639">
        <f>0.0163934426229508*1.01094667547588</f>
        <v>1.6572896319276702E-2</v>
      </c>
      <c r="I15639">
        <v>1.6572896319276779E-2</v>
      </c>
    </row>
    <row r="15640" spans="1:9" x14ac:dyDescent="0.25">
      <c r="A15640">
        <v>511</v>
      </c>
      <c r="B15640" t="s">
        <v>4124</v>
      </c>
      <c r="C15640" t="s">
        <v>75</v>
      </c>
      <c r="D15640" t="s">
        <v>447</v>
      </c>
      <c r="E15640">
        <f t="shared" si="738"/>
        <v>1.6393442622950821E-2</v>
      </c>
      <c r="F15640">
        <v>37</v>
      </c>
      <c r="G15640">
        <f>LOG(382/(37+1))</f>
        <v>1.0022797662948986</v>
      </c>
      <c r="H15640">
        <f>0.0163934426229508*2.30783444888018</f>
        <v>3.7833351620986506E-2</v>
      </c>
      <c r="I15640">
        <v>3.7833351620986708E-2</v>
      </c>
    </row>
    <row r="15641" spans="1:9" x14ac:dyDescent="0.25">
      <c r="A15641">
        <v>511</v>
      </c>
      <c r="B15641" t="s">
        <v>4124</v>
      </c>
      <c r="C15641" t="s">
        <v>75</v>
      </c>
      <c r="D15641" t="s">
        <v>3640</v>
      </c>
      <c r="E15641">
        <f t="shared" si="738"/>
        <v>1.6393442622950821E-2</v>
      </c>
      <c r="F15641">
        <v>3</v>
      </c>
      <c r="G15641">
        <f>LOG(382/(3+1))</f>
        <v>1.9800033715837464</v>
      </c>
      <c r="H15641">
        <f>0.0163934426229508*4.55912624748668</f>
        <v>7.4739774548961871E-2</v>
      </c>
      <c r="I15641">
        <v>7.4739774548962051E-2</v>
      </c>
    </row>
    <row r="15642" spans="1:9" x14ac:dyDescent="0.25">
      <c r="A15642">
        <v>511</v>
      </c>
      <c r="B15642" t="s">
        <v>4124</v>
      </c>
      <c r="C15642" t="s">
        <v>75</v>
      </c>
      <c r="D15642" t="s">
        <v>243</v>
      </c>
      <c r="E15642">
        <f t="shared" si="738"/>
        <v>1.6393442622950821E-2</v>
      </c>
      <c r="F15642">
        <v>131</v>
      </c>
      <c r="G15642">
        <f>LOG(382/(131+1))</f>
        <v>0.46148943170585888</v>
      </c>
      <c r="H15642">
        <f>0.0163934426229508*1.0626186860202</f>
        <v>1.7419978459347521E-2</v>
      </c>
      <c r="I15642">
        <v>1.7419978459347611E-2</v>
      </c>
    </row>
    <row r="15643" spans="1:9" x14ac:dyDescent="0.25">
      <c r="A15643">
        <v>511</v>
      </c>
      <c r="B15643" t="s">
        <v>4124</v>
      </c>
      <c r="C15643" t="s">
        <v>75</v>
      </c>
      <c r="D15643" t="s">
        <v>453</v>
      </c>
      <c r="E15643">
        <f t="shared" si="738"/>
        <v>1.6393442622950821E-2</v>
      </c>
      <c r="F15643">
        <v>68</v>
      </c>
      <c r="G15643">
        <f>LOG(382/(68+1))</f>
        <v>0.74321427217445335</v>
      </c>
      <c r="H15643">
        <f>0.0163934426229508*1.71131410400931</f>
        <v>2.8054329573923082E-2</v>
      </c>
      <c r="I15643">
        <v>2.805432957392321E-2</v>
      </c>
    </row>
    <row r="15644" spans="1:9" x14ac:dyDescent="0.25">
      <c r="A15644">
        <v>511</v>
      </c>
      <c r="B15644" t="s">
        <v>4124</v>
      </c>
      <c r="C15644" t="s">
        <v>75</v>
      </c>
      <c r="D15644" t="s">
        <v>1905</v>
      </c>
      <c r="E15644">
        <f t="shared" si="738"/>
        <v>1.6393442622950821E-2</v>
      </c>
      <c r="F15644">
        <v>24</v>
      </c>
      <c r="G15644">
        <f>LOG(382/(24+1))</f>
        <v>1.1841233542396712</v>
      </c>
      <c r="H15644">
        <f>0.0163934426229508*2.72654478373837</f>
        <v>4.4697455471120764E-2</v>
      </c>
      <c r="I15644">
        <v>4.4697455471120889E-2</v>
      </c>
    </row>
    <row r="15645" spans="1:9" x14ac:dyDescent="0.25">
      <c r="A15645">
        <v>511</v>
      </c>
      <c r="B15645" t="s">
        <v>4124</v>
      </c>
      <c r="C15645" t="s">
        <v>75</v>
      </c>
      <c r="D15645" t="s">
        <v>455</v>
      </c>
      <c r="E15645">
        <f t="shared" si="738"/>
        <v>1.6393442622950821E-2</v>
      </c>
      <c r="F15645">
        <v>78</v>
      </c>
      <c r="G15645">
        <f>LOG(382/(78+1))</f>
        <v>0.6844362716212673</v>
      </c>
      <c r="H15645">
        <f>0.0163934426229508*1.57597275613955</f>
        <v>2.5835618953107344E-2</v>
      </c>
      <c r="I15645">
        <v>2.5835618953107441E-2</v>
      </c>
    </row>
    <row r="15646" spans="1:9" x14ac:dyDescent="0.25">
      <c r="A15646">
        <v>511</v>
      </c>
      <c r="B15646" t="s">
        <v>4124</v>
      </c>
      <c r="C15646" t="s">
        <v>75</v>
      </c>
      <c r="D15646" t="s">
        <v>456</v>
      </c>
      <c r="E15646">
        <f t="shared" si="738"/>
        <v>1.6393442622950821E-2</v>
      </c>
      <c r="F15646">
        <v>71</v>
      </c>
      <c r="G15646">
        <f>LOG(382/(71+1))</f>
        <v>0.72473086648044027</v>
      </c>
      <c r="H15646">
        <f>0.0163934426229508*1.66875448959051</f>
        <v>2.7356630976893573E-2</v>
      </c>
      <c r="I15646">
        <v>2.7356630976893771E-2</v>
      </c>
    </row>
    <row r="15647" spans="1:9" x14ac:dyDescent="0.25">
      <c r="A15647">
        <v>511</v>
      </c>
      <c r="B15647" t="s">
        <v>4124</v>
      </c>
      <c r="C15647" t="s">
        <v>75</v>
      </c>
      <c r="D15647" t="s">
        <v>1779</v>
      </c>
      <c r="E15647">
        <f t="shared" si="738"/>
        <v>1.6393442622950821E-2</v>
      </c>
      <c r="F15647">
        <v>41</v>
      </c>
      <c r="G15647">
        <f>LOG(382/(41+1))</f>
        <v>0.95881407251380824</v>
      </c>
      <c r="H15647">
        <f>0.0163934426229508*2.2077509903232</f>
        <v>3.6192639185626187E-2</v>
      </c>
      <c r="I15647">
        <v>3.6192639185626353E-2</v>
      </c>
    </row>
    <row r="15648" spans="1:9" x14ac:dyDescent="0.25">
      <c r="A15648">
        <v>511</v>
      </c>
      <c r="B15648" t="s">
        <v>4124</v>
      </c>
      <c r="C15648" t="s">
        <v>75</v>
      </c>
      <c r="D15648" t="s">
        <v>4131</v>
      </c>
      <c r="E15648">
        <f t="shared" si="738"/>
        <v>1.6393442622950821E-2</v>
      </c>
      <c r="F15648">
        <v>1</v>
      </c>
      <c r="G15648">
        <f>LOG(382/(1+1))</f>
        <v>2.2810333672477277</v>
      </c>
      <c r="H15648">
        <f>0.0163934426229508*5.25227342804663</f>
        <v>8.6102843082731528E-2</v>
      </c>
      <c r="I15648">
        <v>8.6102843082731639E-2</v>
      </c>
    </row>
    <row r="15649" spans="1:9" x14ac:dyDescent="0.25">
      <c r="A15649">
        <v>511</v>
      </c>
      <c r="B15649" t="s">
        <v>4124</v>
      </c>
      <c r="C15649" t="s">
        <v>75</v>
      </c>
      <c r="D15649" t="s">
        <v>676</v>
      </c>
      <c r="E15649">
        <f t="shared" si="738"/>
        <v>1.6393442622950821E-2</v>
      </c>
      <c r="F15649">
        <v>20</v>
      </c>
      <c r="G15649">
        <f>LOG(382/(20+1))</f>
        <v>1.2598440681777894</v>
      </c>
      <c r="H15649">
        <f>0.0163934426229508*2.90089817088315</f>
        <v>4.7555707719395844E-2</v>
      </c>
      <c r="I15649">
        <v>4.7555707719395941E-2</v>
      </c>
    </row>
    <row r="15650" spans="1:9" x14ac:dyDescent="0.25">
      <c r="A15650">
        <v>511</v>
      </c>
      <c r="B15650" t="s">
        <v>4124</v>
      </c>
      <c r="C15650" t="s">
        <v>75</v>
      </c>
      <c r="D15650" t="s">
        <v>361</v>
      </c>
      <c r="E15650">
        <f>2/61</f>
        <v>3.2786885245901641E-2</v>
      </c>
      <c r="F15650">
        <v>118</v>
      </c>
      <c r="G15650">
        <f>LOG(382/(118+1))</f>
        <v>0.50651640151917798</v>
      </c>
      <c r="H15650">
        <f>0.0327868852459016*1.16629711549504</f>
        <v>3.8239249688361919E-2</v>
      </c>
      <c r="I15650">
        <v>3.8239249688362162E-2</v>
      </c>
    </row>
    <row r="15651" spans="1:9" x14ac:dyDescent="0.25">
      <c r="A15651">
        <v>511</v>
      </c>
      <c r="B15651" t="s">
        <v>4124</v>
      </c>
      <c r="C15651" t="s">
        <v>75</v>
      </c>
      <c r="D15651" t="s">
        <v>434</v>
      </c>
      <c r="E15651">
        <f>1/61</f>
        <v>1.6393442622950821E-2</v>
      </c>
      <c r="F15651">
        <v>97</v>
      </c>
      <c r="G15651">
        <f>LOG(382/(97+1))</f>
        <v>0.59083728721921391</v>
      </c>
      <c r="H15651">
        <f>0.0163934426229508*1.360453129936</f>
        <v>2.2302510326819645E-2</v>
      </c>
      <c r="I15651">
        <v>2.2302510326819729E-2</v>
      </c>
    </row>
    <row r="15652" spans="1:9" x14ac:dyDescent="0.25">
      <c r="A15652">
        <v>511</v>
      </c>
      <c r="B15652" t="s">
        <v>4124</v>
      </c>
      <c r="C15652" t="s">
        <v>75</v>
      </c>
      <c r="D15652" t="s">
        <v>310</v>
      </c>
      <c r="E15652">
        <f>1/61</f>
        <v>1.6393442622950821E-2</v>
      </c>
      <c r="F15652">
        <v>50</v>
      </c>
      <c r="G15652">
        <f>LOG(382/(50+1))</f>
        <v>0.87449318681377242</v>
      </c>
      <c r="H15652">
        <f>0.0163934426229508*2.01359497588224</f>
        <v>3.3009753702987497E-2</v>
      </c>
      <c r="I15652">
        <v>3.3009753702987699E-2</v>
      </c>
    </row>
    <row r="15653" spans="1:9" x14ac:dyDescent="0.25">
      <c r="A15653">
        <v>511</v>
      </c>
      <c r="B15653" t="s">
        <v>4124</v>
      </c>
      <c r="C15653" t="s">
        <v>75</v>
      </c>
      <c r="D15653" t="s">
        <v>2035</v>
      </c>
      <c r="E15653">
        <f>1/61</f>
        <v>1.6393442622950821E-2</v>
      </c>
      <c r="F15653">
        <v>13</v>
      </c>
      <c r="G15653">
        <f>LOG(382/(13+1))</f>
        <v>1.4359353272334707</v>
      </c>
      <c r="H15653">
        <f>0.0163934426229508*3.30636327899131</f>
        <v>5.4202676704775514E-2</v>
      </c>
      <c r="I15653">
        <v>5.4202676704775681E-2</v>
      </c>
    </row>
    <row r="15654" spans="1:9" x14ac:dyDescent="0.25">
      <c r="A15654">
        <v>511</v>
      </c>
      <c r="B15654" t="s">
        <v>4124</v>
      </c>
      <c r="C15654" t="s">
        <v>75</v>
      </c>
      <c r="D15654" t="s">
        <v>1769</v>
      </c>
      <c r="E15654">
        <f>1/61</f>
        <v>1.6393442622950821E-2</v>
      </c>
      <c r="F15654">
        <v>84</v>
      </c>
      <c r="G15654">
        <f>LOG(382/(84+1))</f>
        <v>0.65264443719741605</v>
      </c>
      <c r="H15654">
        <f>0.0163934426229508*1.50276935211625</f>
        <v>2.463556314944669E-2</v>
      </c>
      <c r="I15654">
        <v>2.4635563149446871E-2</v>
      </c>
    </row>
    <row r="15655" spans="1:9" x14ac:dyDescent="0.25">
      <c r="A15655">
        <v>512</v>
      </c>
      <c r="B15655" t="s">
        <v>4132</v>
      </c>
      <c r="C15655" t="s">
        <v>75</v>
      </c>
      <c r="D15655" t="s">
        <v>3436</v>
      </c>
      <c r="E15655">
        <f>2/55</f>
        <v>3.6363636363636362E-2</v>
      </c>
      <c r="F15655">
        <v>10</v>
      </c>
      <c r="G15655">
        <f>LOG(382/(10+1))</f>
        <v>1.5406706777534838</v>
      </c>
      <c r="H15655">
        <f>0.0363636363636363*3.5475253358082</f>
        <v>0.12900092130211616</v>
      </c>
      <c r="I15655">
        <v>0.12900092130211649</v>
      </c>
    </row>
    <row r="15656" spans="1:9" x14ac:dyDescent="0.25">
      <c r="A15656">
        <v>512</v>
      </c>
      <c r="B15656" t="s">
        <v>4132</v>
      </c>
      <c r="C15656" t="s">
        <v>75</v>
      </c>
      <c r="D15656" t="s">
        <v>1792</v>
      </c>
      <c r="E15656">
        <f>2/55</f>
        <v>3.6363636363636362E-2</v>
      </c>
      <c r="F15656">
        <v>3</v>
      </c>
      <c r="G15656">
        <f>LOG(382/(3+1))</f>
        <v>1.9800033715837464</v>
      </c>
      <c r="H15656">
        <f>0.0363636363636363*4.55912624748668</f>
        <v>0.16578640899951536</v>
      </c>
      <c r="I15656">
        <v>0.1657864089995158</v>
      </c>
    </row>
    <row r="15657" spans="1:9" x14ac:dyDescent="0.25">
      <c r="A15657">
        <v>512</v>
      </c>
      <c r="B15657" t="s">
        <v>4132</v>
      </c>
      <c r="C15657" t="s">
        <v>75</v>
      </c>
      <c r="D15657" t="s">
        <v>4133</v>
      </c>
      <c r="E15657">
        <f>2/55</f>
        <v>3.6363636363636362E-2</v>
      </c>
      <c r="F15657">
        <v>2</v>
      </c>
      <c r="G15657">
        <f>LOG(382/(2+1))</f>
        <v>2.1049421081920463</v>
      </c>
      <c r="H15657">
        <f>0.0363636363636363*4.84680831993846</f>
        <v>0.17624757527048915</v>
      </c>
      <c r="I15657">
        <v>0.17624757527048959</v>
      </c>
    </row>
    <row r="15658" spans="1:9" x14ac:dyDescent="0.25">
      <c r="A15658">
        <v>512</v>
      </c>
      <c r="B15658" t="s">
        <v>4132</v>
      </c>
      <c r="C15658" t="s">
        <v>75</v>
      </c>
      <c r="D15658" t="s">
        <v>42</v>
      </c>
      <c r="E15658">
        <f>1/55</f>
        <v>1.8181818181818181E-2</v>
      </c>
      <c r="F15658">
        <v>251</v>
      </c>
      <c r="G15658">
        <f>LOG(382/(251+1))</f>
        <v>0.18066282213016463</v>
      </c>
      <c r="H15658">
        <f>0.0181818181818181*0.415991521095151</f>
        <v>7.5634822017299841E-3</v>
      </c>
      <c r="I15658">
        <v>7.5634822017300344E-3</v>
      </c>
    </row>
    <row r="15659" spans="1:9" x14ac:dyDescent="0.25">
      <c r="A15659">
        <v>512</v>
      </c>
      <c r="B15659" t="s">
        <v>4132</v>
      </c>
      <c r="C15659" t="s">
        <v>75</v>
      </c>
      <c r="D15659" t="s">
        <v>1496</v>
      </c>
      <c r="E15659">
        <f>2/55</f>
        <v>3.6363636363636362E-2</v>
      </c>
      <c r="F15659">
        <v>39</v>
      </c>
      <c r="G15659">
        <f>LOG(382/(39+1))</f>
        <v>0.9800033715837464</v>
      </c>
      <c r="H15659">
        <f>0.0363636363636363*2.25654115449263</f>
        <v>8.2056041981550046E-2</v>
      </c>
      <c r="I15659">
        <v>8.2056041981550504E-2</v>
      </c>
    </row>
    <row r="15660" spans="1:9" x14ac:dyDescent="0.25">
      <c r="A15660">
        <v>512</v>
      </c>
      <c r="B15660" t="s">
        <v>4132</v>
      </c>
      <c r="C15660" t="s">
        <v>75</v>
      </c>
      <c r="D15660" t="s">
        <v>4134</v>
      </c>
      <c r="E15660">
        <f>1/55</f>
        <v>1.8181818181818181E-2</v>
      </c>
      <c r="F15660">
        <v>1</v>
      </c>
      <c r="G15660">
        <f>LOG(382/(1+1))</f>
        <v>2.2810333672477277</v>
      </c>
      <c r="H15660">
        <f>0.0181818181818181*5.25227342804663</f>
        <v>9.5495880509938305E-2</v>
      </c>
      <c r="I15660">
        <v>9.5495880509938721E-2</v>
      </c>
    </row>
    <row r="15661" spans="1:9" x14ac:dyDescent="0.25">
      <c r="A15661">
        <v>512</v>
      </c>
      <c r="B15661" t="s">
        <v>4132</v>
      </c>
      <c r="C15661" t="s">
        <v>75</v>
      </c>
      <c r="D15661" t="s">
        <v>111</v>
      </c>
      <c r="E15661">
        <f>2/55</f>
        <v>3.6363636363636362E-2</v>
      </c>
      <c r="F15661">
        <v>33</v>
      </c>
      <c r="G15661">
        <f>LOG(382/(33+1))</f>
        <v>1.0505844458694535</v>
      </c>
      <c r="H15661">
        <f>0.0363636363636363*2.41906008399041</f>
        <v>8.7965821236014763E-2</v>
      </c>
      <c r="I15661">
        <v>8.796582123601504E-2</v>
      </c>
    </row>
    <row r="15662" spans="1:9" x14ac:dyDescent="0.25">
      <c r="A15662">
        <v>512</v>
      </c>
      <c r="B15662" t="s">
        <v>4132</v>
      </c>
      <c r="C15662" t="s">
        <v>75</v>
      </c>
      <c r="D15662" t="s">
        <v>4135</v>
      </c>
      <c r="E15662">
        <f>2/55</f>
        <v>3.6363636363636362E-2</v>
      </c>
      <c r="F15662">
        <v>6</v>
      </c>
      <c r="G15662">
        <f>LOG(382/(6+1))</f>
        <v>1.736965322897452</v>
      </c>
      <c r="H15662">
        <f>0.0363636363636363*3.99951045955126</f>
        <v>0.14543674398368192</v>
      </c>
      <c r="I15662">
        <v>0.14543674398368231</v>
      </c>
    </row>
    <row r="15663" spans="1:9" x14ac:dyDescent="0.25">
      <c r="A15663">
        <v>512</v>
      </c>
      <c r="B15663" t="s">
        <v>4132</v>
      </c>
      <c r="C15663" t="s">
        <v>75</v>
      </c>
      <c r="D15663" t="s">
        <v>1741</v>
      </c>
      <c r="E15663">
        <f t="shared" ref="E15663:E15703" si="739">1/55</f>
        <v>1.8181818181818181E-2</v>
      </c>
      <c r="F15663">
        <v>6</v>
      </c>
      <c r="G15663">
        <f>LOG(382/(6+1))</f>
        <v>1.736965322897452</v>
      </c>
      <c r="H15663">
        <f>0.0181818181818181*3.99951045955126</f>
        <v>7.2718371991840766E-2</v>
      </c>
      <c r="I15663">
        <v>7.2718371991841127E-2</v>
      </c>
    </row>
    <row r="15664" spans="1:9" x14ac:dyDescent="0.25">
      <c r="A15664">
        <v>512</v>
      </c>
      <c r="B15664" t="s">
        <v>4132</v>
      </c>
      <c r="C15664" t="s">
        <v>75</v>
      </c>
      <c r="D15664" t="s">
        <v>4136</v>
      </c>
      <c r="E15664">
        <f t="shared" si="739"/>
        <v>1.8181818181818181E-2</v>
      </c>
      <c r="F15664">
        <v>1</v>
      </c>
      <c r="G15664">
        <f>LOG(382/(1+1))</f>
        <v>2.2810333672477277</v>
      </c>
      <c r="H15664">
        <f>0.0181818181818181*5.25227342804663</f>
        <v>9.5495880509938305E-2</v>
      </c>
      <c r="I15664">
        <v>9.5495880509938721E-2</v>
      </c>
    </row>
    <row r="15665" spans="1:9" x14ac:dyDescent="0.25">
      <c r="A15665">
        <v>512</v>
      </c>
      <c r="B15665" t="s">
        <v>4132</v>
      </c>
      <c r="C15665" t="s">
        <v>75</v>
      </c>
      <c r="D15665" t="s">
        <v>2183</v>
      </c>
      <c r="E15665">
        <f t="shared" si="739"/>
        <v>1.8181818181818181E-2</v>
      </c>
      <c r="F15665">
        <v>4</v>
      </c>
      <c r="G15665">
        <f>LOG(382/(4+1))</f>
        <v>1.8830933585756899</v>
      </c>
      <c r="H15665">
        <f>0.0181818181818181*4.33598269617247</f>
        <v>7.8836049021317287E-2</v>
      </c>
      <c r="I15665">
        <v>7.8836049021317717E-2</v>
      </c>
    </row>
    <row r="15666" spans="1:9" x14ac:dyDescent="0.25">
      <c r="A15666">
        <v>512</v>
      </c>
      <c r="B15666" t="s">
        <v>4132</v>
      </c>
      <c r="C15666" t="s">
        <v>75</v>
      </c>
      <c r="D15666" t="s">
        <v>17</v>
      </c>
      <c r="E15666">
        <f t="shared" si="739"/>
        <v>1.8181818181818181E-2</v>
      </c>
      <c r="F15666">
        <v>169</v>
      </c>
      <c r="G15666">
        <f>LOG(382/(169+1))</f>
        <v>0.3516144415334348</v>
      </c>
      <c r="H15666">
        <f>0.0181818181818181*0.809622171556313</f>
        <v>1.4720403119205626E-2</v>
      </c>
      <c r="I15666">
        <v>1.4720403119205701E-2</v>
      </c>
    </row>
    <row r="15667" spans="1:9" x14ac:dyDescent="0.25">
      <c r="A15667">
        <v>512</v>
      </c>
      <c r="B15667" t="s">
        <v>4132</v>
      </c>
      <c r="C15667" t="s">
        <v>75</v>
      </c>
      <c r="D15667" t="s">
        <v>19</v>
      </c>
      <c r="E15667">
        <f t="shared" si="739"/>
        <v>1.8181818181818181E-2</v>
      </c>
      <c r="F15667">
        <v>220</v>
      </c>
      <c r="G15667">
        <f>LOG(382/(220+1))</f>
        <v>0.23767108922659805</v>
      </c>
      <c r="H15667">
        <f>0.0181818181818181*0.547257907088822</f>
        <v>9.950143765251265E-3</v>
      </c>
      <c r="I15667">
        <v>9.9501437652513153E-3</v>
      </c>
    </row>
    <row r="15668" spans="1:9" x14ac:dyDescent="0.25">
      <c r="A15668">
        <v>512</v>
      </c>
      <c r="B15668" t="s">
        <v>4132</v>
      </c>
      <c r="C15668" t="s">
        <v>75</v>
      </c>
      <c r="D15668" t="s">
        <v>808</v>
      </c>
      <c r="E15668">
        <f t="shared" si="739"/>
        <v>1.8181818181818181E-2</v>
      </c>
      <c r="F15668">
        <v>20</v>
      </c>
      <c r="G15668">
        <f>LOG(382/(20+1))</f>
        <v>1.2598440681777894</v>
      </c>
      <c r="H15668">
        <f>0.0181818181818181*2.90089817088315</f>
        <v>5.274360310696613E-2</v>
      </c>
      <c r="I15668">
        <v>5.2743603106966401E-2</v>
      </c>
    </row>
    <row r="15669" spans="1:9" x14ac:dyDescent="0.25">
      <c r="A15669">
        <v>512</v>
      </c>
      <c r="B15669" t="s">
        <v>4132</v>
      </c>
      <c r="C15669" t="s">
        <v>75</v>
      </c>
      <c r="D15669" t="s">
        <v>809</v>
      </c>
      <c r="E15669">
        <f t="shared" si="739"/>
        <v>1.8181818181818181E-2</v>
      </c>
      <c r="F15669">
        <v>19</v>
      </c>
      <c r="G15669">
        <f>LOG(382/(19+1))</f>
        <v>1.2810333672477277</v>
      </c>
      <c r="H15669">
        <f>0.0181818181818181*2.94968833505258</f>
        <v>5.3630697000955761E-2</v>
      </c>
      <c r="I15669">
        <v>5.363069700095608E-2</v>
      </c>
    </row>
    <row r="15670" spans="1:9" x14ac:dyDescent="0.25">
      <c r="A15670">
        <v>512</v>
      </c>
      <c r="B15670" t="s">
        <v>4132</v>
      </c>
      <c r="C15670" t="s">
        <v>75</v>
      </c>
      <c r="D15670" t="s">
        <v>22</v>
      </c>
      <c r="E15670">
        <f t="shared" si="739"/>
        <v>1.8181818181818181E-2</v>
      </c>
      <c r="F15670">
        <v>259</v>
      </c>
      <c r="G15670">
        <f>LOG(382/(259+1))</f>
        <v>0.16709001494089079</v>
      </c>
      <c r="H15670">
        <f>0.0181818181818181*0.384738977591047</f>
        <v>6.9952541380190062E-3</v>
      </c>
      <c r="I15670">
        <v>6.9952541380190452E-3</v>
      </c>
    </row>
    <row r="15671" spans="1:9" x14ac:dyDescent="0.25">
      <c r="A15671">
        <v>512</v>
      </c>
      <c r="B15671" t="s">
        <v>4132</v>
      </c>
      <c r="C15671" t="s">
        <v>75</v>
      </c>
      <c r="D15671" t="s">
        <v>23</v>
      </c>
      <c r="E15671">
        <f t="shared" si="739"/>
        <v>1.8181818181818181E-2</v>
      </c>
      <c r="F15671">
        <v>275</v>
      </c>
      <c r="G15671">
        <f>LOG(382/(275+1))</f>
        <v>0.14115428084649101</v>
      </c>
      <c r="H15671">
        <f>0.0181818181818181*0.325019742889425</f>
        <v>5.9094498707167918E-3</v>
      </c>
      <c r="I15671">
        <v>5.9094498707168196E-3</v>
      </c>
    </row>
    <row r="15672" spans="1:9" x14ac:dyDescent="0.25">
      <c r="A15672">
        <v>512</v>
      </c>
      <c r="B15672" t="s">
        <v>4132</v>
      </c>
      <c r="C15672" t="s">
        <v>75</v>
      </c>
      <c r="D15672" t="s">
        <v>3779</v>
      </c>
      <c r="E15672">
        <f t="shared" si="739"/>
        <v>1.8181818181818181E-2</v>
      </c>
      <c r="F15672">
        <v>5</v>
      </c>
      <c r="G15672">
        <f>LOG(382/(5+1))</f>
        <v>1.803912112528065</v>
      </c>
      <c r="H15672">
        <f>0.0181818181818181*4.15366113937852</f>
        <v>7.5521111625063669E-2</v>
      </c>
      <c r="I15672">
        <v>7.5521111625063989E-2</v>
      </c>
    </row>
    <row r="15673" spans="1:9" x14ac:dyDescent="0.25">
      <c r="A15673">
        <v>512</v>
      </c>
      <c r="B15673" t="s">
        <v>4132</v>
      </c>
      <c r="C15673" t="s">
        <v>75</v>
      </c>
      <c r="D15673" t="s">
        <v>1537</v>
      </c>
      <c r="E15673">
        <f t="shared" si="739"/>
        <v>1.8181818181818181E-2</v>
      </c>
      <c r="F15673">
        <v>80</v>
      </c>
      <c r="G15673">
        <f>LOG(382/(80+1))</f>
        <v>0.67357834403305894</v>
      </c>
      <c r="H15673">
        <f>0.0181818181818181*1.55097145393413</f>
        <v>2.8199480980620421E-2</v>
      </c>
      <c r="I15673">
        <v>2.819948098062066E-2</v>
      </c>
    </row>
    <row r="15674" spans="1:9" x14ac:dyDescent="0.25">
      <c r="A15674">
        <v>512</v>
      </c>
      <c r="B15674" t="s">
        <v>4132</v>
      </c>
      <c r="C15674" t="s">
        <v>75</v>
      </c>
      <c r="D15674" t="s">
        <v>310</v>
      </c>
      <c r="E15674">
        <f t="shared" si="739"/>
        <v>1.8181818181818181E-2</v>
      </c>
      <c r="F15674">
        <v>50</v>
      </c>
      <c r="G15674">
        <f>LOG(382/(50+1))</f>
        <v>0.87449318681377242</v>
      </c>
      <c r="H15674">
        <f>0.0181818181818181*2.01359497588224</f>
        <v>3.661081774331329E-2</v>
      </c>
      <c r="I15674">
        <v>3.661081774331363E-2</v>
      </c>
    </row>
    <row r="15675" spans="1:9" x14ac:dyDescent="0.25">
      <c r="A15675">
        <v>512</v>
      </c>
      <c r="B15675" t="s">
        <v>4132</v>
      </c>
      <c r="C15675" t="s">
        <v>75</v>
      </c>
      <c r="D15675" t="s">
        <v>1972</v>
      </c>
      <c r="E15675">
        <f t="shared" si="739"/>
        <v>1.8181818181818181E-2</v>
      </c>
      <c r="F15675">
        <v>9</v>
      </c>
      <c r="G15675">
        <f>LOG(382/(9+1))</f>
        <v>1.5820633629117087</v>
      </c>
      <c r="H15675">
        <f>0.0181818181818181*3.64283551561252</f>
        <v>6.6233373011136437E-2</v>
      </c>
      <c r="I15675">
        <v>6.6233373011136895E-2</v>
      </c>
    </row>
    <row r="15676" spans="1:9" x14ac:dyDescent="0.25">
      <c r="A15676">
        <v>512</v>
      </c>
      <c r="B15676" t="s">
        <v>4132</v>
      </c>
      <c r="C15676" t="s">
        <v>75</v>
      </c>
      <c r="D15676" t="s">
        <v>1468</v>
      </c>
      <c r="E15676">
        <f t="shared" si="739"/>
        <v>1.8181818181818181E-2</v>
      </c>
      <c r="F15676">
        <v>8</v>
      </c>
      <c r="G15676">
        <f>LOG(382/(8+1))</f>
        <v>1.6278208534723839</v>
      </c>
      <c r="H15676">
        <f>0.0181818181818181*3.74819603127035</f>
        <v>6.8149018750369703E-2</v>
      </c>
      <c r="I15676">
        <v>6.8149018750370105E-2</v>
      </c>
    </row>
    <row r="15677" spans="1:9" x14ac:dyDescent="0.25">
      <c r="A15677">
        <v>512</v>
      </c>
      <c r="B15677" t="s">
        <v>4132</v>
      </c>
      <c r="C15677" t="s">
        <v>75</v>
      </c>
      <c r="D15677" t="s">
        <v>214</v>
      </c>
      <c r="E15677">
        <f t="shared" si="739"/>
        <v>1.8181818181818181E-2</v>
      </c>
      <c r="F15677">
        <v>68</v>
      </c>
      <c r="G15677">
        <f>LOG(382/(68+1))</f>
        <v>0.74321427217445335</v>
      </c>
      <c r="H15677">
        <f>0.0181818181818181*1.71131410400931</f>
        <v>3.1114801891078226E-2</v>
      </c>
      <c r="I15677">
        <v>3.1114801891078469E-2</v>
      </c>
    </row>
    <row r="15678" spans="1:9" x14ac:dyDescent="0.25">
      <c r="A15678">
        <v>512</v>
      </c>
      <c r="B15678" t="s">
        <v>4132</v>
      </c>
      <c r="C15678" t="s">
        <v>75</v>
      </c>
      <c r="D15678" t="s">
        <v>307</v>
      </c>
      <c r="E15678">
        <f t="shared" si="739"/>
        <v>1.8181818181818181E-2</v>
      </c>
      <c r="F15678">
        <v>67</v>
      </c>
      <c r="G15678">
        <f>LOG(382/(67+1))</f>
        <v>0.7495544502054724</v>
      </c>
      <c r="H15678">
        <f>0.0181818181818181*1.72591290343046</f>
        <v>3.1380234607826407E-2</v>
      </c>
      <c r="I15678">
        <v>3.1380234607826699E-2</v>
      </c>
    </row>
    <row r="15679" spans="1:9" x14ac:dyDescent="0.25">
      <c r="A15679">
        <v>512</v>
      </c>
      <c r="B15679" t="s">
        <v>4132</v>
      </c>
      <c r="C15679" t="s">
        <v>75</v>
      </c>
      <c r="D15679" t="s">
        <v>455</v>
      </c>
      <c r="E15679">
        <f t="shared" si="739"/>
        <v>1.8181818181818181E-2</v>
      </c>
      <c r="F15679">
        <v>78</v>
      </c>
      <c r="G15679">
        <f>LOG(382/(78+1))</f>
        <v>0.6844362716212673</v>
      </c>
      <c r="H15679">
        <f>0.0181818181818181*1.57597275613955</f>
        <v>2.8654050111628054E-2</v>
      </c>
      <c r="I15679">
        <v>2.8654050111628249E-2</v>
      </c>
    </row>
    <row r="15680" spans="1:9" x14ac:dyDescent="0.25">
      <c r="A15680">
        <v>512</v>
      </c>
      <c r="B15680" t="s">
        <v>4132</v>
      </c>
      <c r="C15680" t="s">
        <v>75</v>
      </c>
      <c r="D15680" t="s">
        <v>456</v>
      </c>
      <c r="E15680">
        <f t="shared" si="739"/>
        <v>1.8181818181818181E-2</v>
      </c>
      <c r="F15680">
        <v>71</v>
      </c>
      <c r="G15680">
        <f>LOG(382/(71+1))</f>
        <v>0.72473086648044027</v>
      </c>
      <c r="H15680">
        <f>0.0181818181818181*1.66875448959051</f>
        <v>3.0340990719827321E-2</v>
      </c>
      <c r="I15680">
        <v>3.034099071982763E-2</v>
      </c>
    </row>
    <row r="15681" spans="1:9" x14ac:dyDescent="0.25">
      <c r="A15681">
        <v>512</v>
      </c>
      <c r="B15681" t="s">
        <v>4132</v>
      </c>
      <c r="C15681" t="s">
        <v>75</v>
      </c>
      <c r="D15681" t="s">
        <v>4137</v>
      </c>
      <c r="E15681">
        <f t="shared" si="739"/>
        <v>1.8181818181818181E-2</v>
      </c>
      <c r="F15681">
        <v>1</v>
      </c>
      <c r="G15681">
        <f>LOG(382/(1+1))</f>
        <v>2.2810333672477277</v>
      </c>
      <c r="H15681">
        <f>0.0181818181818181*5.25227342804663</f>
        <v>9.5495880509938305E-2</v>
      </c>
      <c r="I15681">
        <v>9.5495880509938721E-2</v>
      </c>
    </row>
    <row r="15682" spans="1:9" x14ac:dyDescent="0.25">
      <c r="A15682">
        <v>512</v>
      </c>
      <c r="B15682" t="s">
        <v>4132</v>
      </c>
      <c r="C15682" t="s">
        <v>75</v>
      </c>
      <c r="D15682" t="s">
        <v>3444</v>
      </c>
      <c r="E15682">
        <f t="shared" si="739"/>
        <v>1.8181818181818181E-2</v>
      </c>
      <c r="F15682">
        <v>10</v>
      </c>
      <c r="G15682">
        <f>LOG(382/(10+1))</f>
        <v>1.5406706777534838</v>
      </c>
      <c r="H15682">
        <f>0.0181818181818181*3.5475253358082</f>
        <v>6.4500460651057898E-2</v>
      </c>
      <c r="I15682">
        <v>6.4500460651058258E-2</v>
      </c>
    </row>
    <row r="15683" spans="1:9" x14ac:dyDescent="0.25">
      <c r="A15683">
        <v>512</v>
      </c>
      <c r="B15683" t="s">
        <v>4132</v>
      </c>
      <c r="C15683" t="s">
        <v>75</v>
      </c>
      <c r="D15683" t="s">
        <v>105</v>
      </c>
      <c r="E15683">
        <f t="shared" si="739"/>
        <v>1.8181818181818181E-2</v>
      </c>
      <c r="F15683">
        <v>122</v>
      </c>
      <c r="G15683">
        <f>LOG(382/(122+1))</f>
        <v>0.49215825147231079</v>
      </c>
      <c r="H15683">
        <f>0.0181818181818181*1.13323625323415</f>
        <v>2.0604295513348091E-2</v>
      </c>
      <c r="I15683">
        <v>2.060429551334832E-2</v>
      </c>
    </row>
    <row r="15684" spans="1:9" x14ac:dyDescent="0.25">
      <c r="A15684">
        <v>512</v>
      </c>
      <c r="B15684" t="s">
        <v>4132</v>
      </c>
      <c r="C15684" t="s">
        <v>75</v>
      </c>
      <c r="D15684" t="s">
        <v>1769</v>
      </c>
      <c r="E15684">
        <f t="shared" si="739"/>
        <v>1.8181818181818181E-2</v>
      </c>
      <c r="F15684">
        <v>84</v>
      </c>
      <c r="G15684">
        <f>LOG(382/(84+1))</f>
        <v>0.65264443719741605</v>
      </c>
      <c r="H15684">
        <f>0.0181818181818181*1.50276935211625</f>
        <v>2.7323079129386241E-2</v>
      </c>
      <c r="I15684">
        <v>2.7323079129386519E-2</v>
      </c>
    </row>
    <row r="15685" spans="1:9" x14ac:dyDescent="0.25">
      <c r="A15685">
        <v>512</v>
      </c>
      <c r="B15685" t="s">
        <v>4132</v>
      </c>
      <c r="C15685" t="s">
        <v>75</v>
      </c>
      <c r="D15685" t="s">
        <v>126</v>
      </c>
      <c r="E15685">
        <f t="shared" si="739"/>
        <v>1.8181818181818181E-2</v>
      </c>
      <c r="F15685">
        <v>79</v>
      </c>
      <c r="G15685">
        <f>LOG(382/(79+1))</f>
        <v>0.67897337591976514</v>
      </c>
      <c r="H15685">
        <f>0.0181818181818181*1.56339397393269</f>
        <v>2.8425344980594239E-2</v>
      </c>
      <c r="I15685">
        <v>2.842534498059443E-2</v>
      </c>
    </row>
    <row r="15686" spans="1:9" x14ac:dyDescent="0.25">
      <c r="A15686">
        <v>512</v>
      </c>
      <c r="B15686" t="s">
        <v>4132</v>
      </c>
      <c r="C15686" t="s">
        <v>75</v>
      </c>
      <c r="D15686" t="s">
        <v>50</v>
      </c>
      <c r="E15686">
        <f t="shared" si="739"/>
        <v>1.8181818181818181E-2</v>
      </c>
      <c r="F15686">
        <v>109</v>
      </c>
      <c r="G15686">
        <f>LOG(382/(109+1))</f>
        <v>0.54067067775348365</v>
      </c>
      <c r="H15686">
        <f>0.0181818181818181*1.24494024281415</f>
        <v>2.2635277142075354E-2</v>
      </c>
      <c r="I15686">
        <v>2.2635277142075621E-2</v>
      </c>
    </row>
    <row r="15687" spans="1:9" x14ac:dyDescent="0.25">
      <c r="A15687">
        <v>512</v>
      </c>
      <c r="B15687" t="s">
        <v>4132</v>
      </c>
      <c r="C15687" t="s">
        <v>75</v>
      </c>
      <c r="D15687" t="s">
        <v>1546</v>
      </c>
      <c r="E15687">
        <f t="shared" si="739"/>
        <v>1.8181818181818181E-2</v>
      </c>
      <c r="F15687">
        <v>44</v>
      </c>
      <c r="G15687">
        <f>LOG(382/(44+1))</f>
        <v>0.92885084913636506</v>
      </c>
      <c r="H15687">
        <f>0.0181818181818181*2.13875811883625</f>
        <v>3.8886511251568008E-2</v>
      </c>
      <c r="I15687">
        <v>3.8886511251568272E-2</v>
      </c>
    </row>
    <row r="15688" spans="1:9" x14ac:dyDescent="0.25">
      <c r="A15688">
        <v>512</v>
      </c>
      <c r="B15688" t="s">
        <v>4132</v>
      </c>
      <c r="C15688" t="s">
        <v>75</v>
      </c>
      <c r="D15688" t="s">
        <v>38</v>
      </c>
      <c r="E15688">
        <f t="shared" si="739"/>
        <v>1.8181818181818181E-2</v>
      </c>
      <c r="F15688">
        <v>86</v>
      </c>
      <c r="G15688">
        <f>LOG(382/(86+1))</f>
        <v>0.64254411029309022</v>
      </c>
      <c r="H15688">
        <f>0.0181818181818181*1.47951248995199</f>
        <v>2.6900227090036064E-2</v>
      </c>
      <c r="I15688">
        <v>2.690022709003621E-2</v>
      </c>
    </row>
    <row r="15689" spans="1:9" x14ac:dyDescent="0.25">
      <c r="A15689">
        <v>512</v>
      </c>
      <c r="B15689" t="s">
        <v>4132</v>
      </c>
      <c r="C15689" t="s">
        <v>75</v>
      </c>
      <c r="D15689" t="s">
        <v>2238</v>
      </c>
      <c r="E15689">
        <f t="shared" si="739"/>
        <v>1.8181818181818181E-2</v>
      </c>
      <c r="F15689">
        <v>68</v>
      </c>
      <c r="G15689">
        <f>LOG(382/(68+1))</f>
        <v>0.74321427217445335</v>
      </c>
      <c r="H15689">
        <f>0.0181818181818181*1.71131410400931</f>
        <v>3.1114801891078226E-2</v>
      </c>
      <c r="I15689">
        <v>3.1114801891078469E-2</v>
      </c>
    </row>
    <row r="15690" spans="1:9" x14ac:dyDescent="0.25">
      <c r="A15690">
        <v>512</v>
      </c>
      <c r="B15690" t="s">
        <v>4132</v>
      </c>
      <c r="C15690" t="s">
        <v>75</v>
      </c>
      <c r="D15690" t="s">
        <v>3195</v>
      </c>
      <c r="E15690">
        <f t="shared" si="739"/>
        <v>1.8181818181818181E-2</v>
      </c>
      <c r="F15690">
        <v>3</v>
      </c>
      <c r="G15690">
        <f>LOG(382/(3+1))</f>
        <v>1.9800033715837464</v>
      </c>
      <c r="H15690">
        <f>0.0181818181818181*4.55912624748668</f>
        <v>8.2893204499757456E-2</v>
      </c>
      <c r="I15690">
        <v>8.28932044997579E-2</v>
      </c>
    </row>
    <row r="15691" spans="1:9" x14ac:dyDescent="0.25">
      <c r="A15691">
        <v>512</v>
      </c>
      <c r="B15691" t="s">
        <v>4132</v>
      </c>
      <c r="C15691" t="s">
        <v>75</v>
      </c>
      <c r="D15691" t="s">
        <v>3420</v>
      </c>
      <c r="E15691">
        <f t="shared" si="739"/>
        <v>1.8181818181818181E-2</v>
      </c>
      <c r="F15691">
        <v>12</v>
      </c>
      <c r="G15691">
        <f>LOG(382/(12+1))</f>
        <v>1.468120010604872</v>
      </c>
      <c r="H15691">
        <f>0.0181818181818181*3.38047125114503</f>
        <v>6.1463113657182093E-2</v>
      </c>
      <c r="I15691">
        <v>6.1463113657182523E-2</v>
      </c>
    </row>
    <row r="15692" spans="1:9" x14ac:dyDescent="0.25">
      <c r="A15692">
        <v>512</v>
      </c>
      <c r="B15692" t="s">
        <v>4132</v>
      </c>
      <c r="C15692" t="s">
        <v>75</v>
      </c>
      <c r="D15692" t="s">
        <v>1872</v>
      </c>
      <c r="E15692">
        <f t="shared" si="739"/>
        <v>1.8181818181818181E-2</v>
      </c>
      <c r="F15692">
        <v>2</v>
      </c>
      <c r="G15692">
        <f>LOG(382/(2+1))</f>
        <v>2.1049421081920463</v>
      </c>
      <c r="H15692">
        <f>0.0181818181818181*4.84680831993846</f>
        <v>8.8123787635244338E-2</v>
      </c>
      <c r="I15692">
        <v>8.8123787635244824E-2</v>
      </c>
    </row>
    <row r="15693" spans="1:9" x14ac:dyDescent="0.25">
      <c r="A15693">
        <v>512</v>
      </c>
      <c r="B15693" t="s">
        <v>4132</v>
      </c>
      <c r="C15693" t="s">
        <v>75</v>
      </c>
      <c r="D15693" t="s">
        <v>1731</v>
      </c>
      <c r="E15693">
        <f t="shared" si="739"/>
        <v>1.8181818181818181E-2</v>
      </c>
      <c r="F15693">
        <v>15</v>
      </c>
      <c r="G15693">
        <f>LOG(382/(15+1))</f>
        <v>1.3779433802557839</v>
      </c>
      <c r="H15693">
        <f>0.0181818181818181*3.17283188636679</f>
        <v>5.768785247939593E-2</v>
      </c>
      <c r="I15693">
        <v>5.7687852479396257E-2</v>
      </c>
    </row>
    <row r="15694" spans="1:9" x14ac:dyDescent="0.25">
      <c r="A15694">
        <v>512</v>
      </c>
      <c r="B15694" t="s">
        <v>4132</v>
      </c>
      <c r="C15694" t="s">
        <v>75</v>
      </c>
      <c r="D15694" t="s">
        <v>3537</v>
      </c>
      <c r="E15694">
        <f t="shared" si="739"/>
        <v>1.8181818181818181E-2</v>
      </c>
      <c r="F15694">
        <v>10</v>
      </c>
      <c r="G15694">
        <f>LOG(382/(10+1))</f>
        <v>1.5406706777534838</v>
      </c>
      <c r="H15694">
        <f>0.0181818181818181*3.5475253358082</f>
        <v>6.4500460651057898E-2</v>
      </c>
      <c r="I15694">
        <v>6.4500460651058258E-2</v>
      </c>
    </row>
    <row r="15695" spans="1:9" x14ac:dyDescent="0.25">
      <c r="A15695">
        <v>512</v>
      </c>
      <c r="B15695" t="s">
        <v>4132</v>
      </c>
      <c r="C15695" t="s">
        <v>75</v>
      </c>
      <c r="D15695" t="s">
        <v>98</v>
      </c>
      <c r="E15695">
        <f t="shared" si="739"/>
        <v>1.8181818181818181E-2</v>
      </c>
      <c r="F15695">
        <v>56</v>
      </c>
      <c r="G15695">
        <f>LOG(382/(56+1))</f>
        <v>0.82618850723921733</v>
      </c>
      <c r="H15695">
        <f>0.0181818181818181*1.90236934077202</f>
        <v>3.4588533468582025E-2</v>
      </c>
      <c r="I15695">
        <v>3.4588533468582268E-2</v>
      </c>
    </row>
    <row r="15696" spans="1:9" x14ac:dyDescent="0.25">
      <c r="A15696">
        <v>512</v>
      </c>
      <c r="B15696" t="s">
        <v>4132</v>
      </c>
      <c r="C15696" t="s">
        <v>75</v>
      </c>
      <c r="D15696" t="s">
        <v>3492</v>
      </c>
      <c r="E15696">
        <f t="shared" si="739"/>
        <v>1.8181818181818181E-2</v>
      </c>
      <c r="F15696">
        <v>12</v>
      </c>
      <c r="G15696">
        <f>LOG(382/(12+1))</f>
        <v>1.468120010604872</v>
      </c>
      <c r="H15696">
        <f>0.0181818181818181*3.38047125114503</f>
        <v>6.1463113657182093E-2</v>
      </c>
      <c r="I15696">
        <v>6.1463113657182523E-2</v>
      </c>
    </row>
    <row r="15697" spans="1:9" x14ac:dyDescent="0.25">
      <c r="A15697">
        <v>512</v>
      </c>
      <c r="B15697" t="s">
        <v>4132</v>
      </c>
      <c r="C15697" t="s">
        <v>75</v>
      </c>
      <c r="D15697" t="s">
        <v>363</v>
      </c>
      <c r="E15697">
        <f t="shared" si="739"/>
        <v>1.8181818181818181E-2</v>
      </c>
      <c r="F15697">
        <v>36</v>
      </c>
      <c r="G15697">
        <f>LOG(382/(36+1))</f>
        <v>1.0138616388447137</v>
      </c>
      <c r="H15697">
        <f>0.0181818181818181*2.33450269596235</f>
        <v>4.2445503562951632E-2</v>
      </c>
      <c r="I15697">
        <v>4.2445503562951833E-2</v>
      </c>
    </row>
    <row r="15698" spans="1:9" x14ac:dyDescent="0.25">
      <c r="A15698">
        <v>512</v>
      </c>
      <c r="B15698" t="s">
        <v>4132</v>
      </c>
      <c r="C15698" t="s">
        <v>75</v>
      </c>
      <c r="D15698" t="s">
        <v>1763</v>
      </c>
      <c r="E15698">
        <f t="shared" si="739"/>
        <v>1.8181818181818181E-2</v>
      </c>
      <c r="F15698">
        <v>9</v>
      </c>
      <c r="G15698">
        <f>LOG(382/(9+1))</f>
        <v>1.5820633629117087</v>
      </c>
      <c r="H15698">
        <f>0.0181818181818181*3.64283551561252</f>
        <v>6.6233373011136437E-2</v>
      </c>
      <c r="I15698">
        <v>6.6233373011136895E-2</v>
      </c>
    </row>
    <row r="15699" spans="1:9" x14ac:dyDescent="0.25">
      <c r="A15699">
        <v>512</v>
      </c>
      <c r="B15699" t="s">
        <v>4132</v>
      </c>
      <c r="C15699" t="s">
        <v>75</v>
      </c>
      <c r="D15699" t="s">
        <v>362</v>
      </c>
      <c r="E15699">
        <f t="shared" si="739"/>
        <v>1.8181818181818181E-2</v>
      </c>
      <c r="F15699">
        <v>81</v>
      </c>
      <c r="G15699">
        <f>LOG(382/(81+1))</f>
        <v>0.66824951052799197</v>
      </c>
      <c r="H15699">
        <f>0.0181818181818181*1.53870136134232</f>
        <v>2.7976388388042058E-2</v>
      </c>
      <c r="I15699">
        <v>2.7976388388042211E-2</v>
      </c>
    </row>
    <row r="15700" spans="1:9" x14ac:dyDescent="0.25">
      <c r="A15700">
        <v>512</v>
      </c>
      <c r="B15700" t="s">
        <v>4132</v>
      </c>
      <c r="C15700" t="s">
        <v>75</v>
      </c>
      <c r="D15700" t="s">
        <v>1762</v>
      </c>
      <c r="E15700">
        <f t="shared" si="739"/>
        <v>1.8181818181818181E-2</v>
      </c>
      <c r="F15700">
        <v>60</v>
      </c>
      <c r="G15700">
        <f>LOG(382/(60+1))</f>
        <v>0.79673352790094176</v>
      </c>
      <c r="H15700">
        <f>0.0181818181818181*1.83454674443326</f>
        <v>3.3355395353331853E-2</v>
      </c>
      <c r="I15700">
        <v>3.3355395353332068E-2</v>
      </c>
    </row>
    <row r="15701" spans="1:9" x14ac:dyDescent="0.25">
      <c r="A15701">
        <v>512</v>
      </c>
      <c r="B15701" t="s">
        <v>4132</v>
      </c>
      <c r="C15701" t="s">
        <v>75</v>
      </c>
      <c r="D15701" t="s">
        <v>201</v>
      </c>
      <c r="E15701">
        <f t="shared" si="739"/>
        <v>1.8181818181818181E-2</v>
      </c>
      <c r="F15701">
        <v>72</v>
      </c>
      <c r="G15701">
        <f>LOG(382/(72+1))</f>
        <v>0.71874050279125279</v>
      </c>
      <c r="H15701">
        <f>0.0181818181818181*1.65496116745818</f>
        <v>3.0090203044694046E-2</v>
      </c>
      <c r="I15701">
        <v>3.0090203044694251E-2</v>
      </c>
    </row>
    <row r="15702" spans="1:9" x14ac:dyDescent="0.25">
      <c r="A15702">
        <v>512</v>
      </c>
      <c r="B15702" t="s">
        <v>4132</v>
      </c>
      <c r="C15702" t="s">
        <v>75</v>
      </c>
      <c r="D15702" t="s">
        <v>4138</v>
      </c>
      <c r="E15702">
        <f t="shared" si="739"/>
        <v>1.8181818181818181E-2</v>
      </c>
      <c r="F15702">
        <v>1</v>
      </c>
      <c r="G15702">
        <f>LOG(382/(1+1))</f>
        <v>2.2810333672477277</v>
      </c>
      <c r="H15702">
        <f>0.0181818181818181*5.25227342804663</f>
        <v>9.5495880509938305E-2</v>
      </c>
      <c r="I15702">
        <v>9.5495880509938721E-2</v>
      </c>
    </row>
    <row r="15703" spans="1:9" x14ac:dyDescent="0.25">
      <c r="A15703">
        <v>512</v>
      </c>
      <c r="B15703" t="s">
        <v>4132</v>
      </c>
      <c r="C15703" t="s">
        <v>75</v>
      </c>
      <c r="D15703" t="s">
        <v>1359</v>
      </c>
      <c r="E15703">
        <f t="shared" si="739"/>
        <v>1.8181818181818181E-2</v>
      </c>
      <c r="F15703">
        <v>4</v>
      </c>
      <c r="G15703">
        <f>LOG(382/(4+1))</f>
        <v>1.8830933585756899</v>
      </c>
      <c r="H15703">
        <f>0.0181818181818181*4.33598269617247</f>
        <v>7.8836049021317287E-2</v>
      </c>
      <c r="I15703">
        <v>7.8836049021317717E-2</v>
      </c>
    </row>
    <row r="15704" spans="1:9" x14ac:dyDescent="0.25">
      <c r="A15704">
        <v>513</v>
      </c>
      <c r="B15704" t="s">
        <v>4139</v>
      </c>
      <c r="C15704" t="s">
        <v>75</v>
      </c>
      <c r="D15704" t="s">
        <v>3335</v>
      </c>
      <c r="E15704">
        <f>5/86</f>
        <v>5.8139534883720929E-2</v>
      </c>
      <c r="F15704">
        <v>16</v>
      </c>
      <c r="G15704">
        <f>LOG(382/(16+1))</f>
        <v>1.3516144415334348</v>
      </c>
      <c r="H15704">
        <f>0.0581395348837209*3.11220726455035</f>
        <v>0.18094228282269467</v>
      </c>
      <c r="I15704">
        <v>0.18094228282269531</v>
      </c>
    </row>
    <row r="15705" spans="1:9" x14ac:dyDescent="0.25">
      <c r="A15705">
        <v>513</v>
      </c>
      <c r="B15705" t="s">
        <v>4139</v>
      </c>
      <c r="C15705" t="s">
        <v>75</v>
      </c>
      <c r="D15705" t="s">
        <v>3834</v>
      </c>
      <c r="E15705">
        <f>5/86</f>
        <v>5.8139534883720929E-2</v>
      </c>
      <c r="F15705">
        <v>2</v>
      </c>
      <c r="G15705">
        <f>LOG(382/(2+1))</f>
        <v>2.1049421081920463</v>
      </c>
      <c r="H15705">
        <f>0.0581395348837209*4.84680831993846</f>
        <v>0.28179118139177078</v>
      </c>
      <c r="I15705">
        <v>0.28179118139177117</v>
      </c>
    </row>
    <row r="15706" spans="1:9" x14ac:dyDescent="0.25">
      <c r="A15706">
        <v>513</v>
      </c>
      <c r="B15706" t="s">
        <v>4139</v>
      </c>
      <c r="C15706" t="s">
        <v>75</v>
      </c>
      <c r="D15706" t="s">
        <v>4140</v>
      </c>
      <c r="E15706">
        <f>2/86</f>
        <v>2.3255813953488372E-2</v>
      </c>
      <c r="F15706">
        <v>1</v>
      </c>
      <c r="G15706">
        <f>LOG(382/(1+1))</f>
        <v>2.2810333672477277</v>
      </c>
      <c r="H15706">
        <f>0.0232558139534883*5.25227342804663</f>
        <v>0.12214589367550263</v>
      </c>
      <c r="I15706">
        <v>0.12214589367550301</v>
      </c>
    </row>
    <row r="15707" spans="1:9" x14ac:dyDescent="0.25">
      <c r="A15707">
        <v>513</v>
      </c>
      <c r="B15707" t="s">
        <v>4139</v>
      </c>
      <c r="C15707" t="s">
        <v>75</v>
      </c>
      <c r="D15707" t="s">
        <v>4141</v>
      </c>
      <c r="E15707">
        <f>2/86</f>
        <v>2.3255813953488372E-2</v>
      </c>
      <c r="F15707">
        <v>1</v>
      </c>
      <c r="G15707">
        <f>LOG(382/(1+1))</f>
        <v>2.2810333672477277</v>
      </c>
      <c r="H15707">
        <f>0.0232558139534883*5.25227342804663</f>
        <v>0.12214589367550263</v>
      </c>
      <c r="I15707">
        <v>0.12214589367550301</v>
      </c>
    </row>
    <row r="15708" spans="1:9" x14ac:dyDescent="0.25">
      <c r="A15708">
        <v>513</v>
      </c>
      <c r="B15708" t="s">
        <v>4139</v>
      </c>
      <c r="C15708" t="s">
        <v>75</v>
      </c>
      <c r="D15708" t="s">
        <v>42</v>
      </c>
      <c r="E15708">
        <f>1/86</f>
        <v>1.1627906976744186E-2</v>
      </c>
      <c r="F15708">
        <v>251</v>
      </c>
      <c r="G15708">
        <f>LOG(382/(251+1))</f>
        <v>0.18066282213016463</v>
      </c>
      <c r="H15708">
        <f>0.0116279069767441*0.415991521095151</f>
        <v>4.8371107104086958E-3</v>
      </c>
      <c r="I15708">
        <v>4.8371107104087426E-3</v>
      </c>
    </row>
    <row r="15709" spans="1:9" x14ac:dyDescent="0.25">
      <c r="A15709">
        <v>513</v>
      </c>
      <c r="B15709" t="s">
        <v>4139</v>
      </c>
      <c r="C15709" t="s">
        <v>75</v>
      </c>
      <c r="D15709" t="s">
        <v>115</v>
      </c>
      <c r="E15709">
        <f>2/86</f>
        <v>2.3255813953488372E-2</v>
      </c>
      <c r="F15709">
        <v>17</v>
      </c>
      <c r="G15709">
        <f>LOG(382/(17+1))</f>
        <v>1.3267908578084027</v>
      </c>
      <c r="H15709">
        <f>0.0232558139534883*3.05504885071041</f>
        <v>7.1047647690939547E-2</v>
      </c>
      <c r="I15709">
        <v>7.1047647690939769E-2</v>
      </c>
    </row>
    <row r="15710" spans="1:9" x14ac:dyDescent="0.25">
      <c r="A15710">
        <v>513</v>
      </c>
      <c r="B15710" t="s">
        <v>4139</v>
      </c>
      <c r="C15710" t="s">
        <v>75</v>
      </c>
      <c r="D15710" t="s">
        <v>111</v>
      </c>
      <c r="E15710">
        <f>2/86</f>
        <v>2.3255813953488372E-2</v>
      </c>
      <c r="F15710">
        <v>33</v>
      </c>
      <c r="G15710">
        <f>LOG(382/(33+1))</f>
        <v>1.0505844458694535</v>
      </c>
      <c r="H15710">
        <f>0.0232558139534883*2.41906008399041</f>
        <v>5.6257211255590758E-2</v>
      </c>
      <c r="I15710">
        <v>5.6257211255591022E-2</v>
      </c>
    </row>
    <row r="15711" spans="1:9" x14ac:dyDescent="0.25">
      <c r="A15711">
        <v>513</v>
      </c>
      <c r="B15711" t="s">
        <v>4139</v>
      </c>
      <c r="C15711" t="s">
        <v>75</v>
      </c>
      <c r="D15711" t="s">
        <v>3916</v>
      </c>
      <c r="E15711">
        <f>2/86</f>
        <v>2.3255813953488372E-2</v>
      </c>
      <c r="F15711">
        <v>2</v>
      </c>
      <c r="G15711">
        <f>LOG(382/(2+1))</f>
        <v>2.1049421081920463</v>
      </c>
      <c r="H15711">
        <f>0.0232558139534883*4.84680831993846</f>
        <v>0.11271647255670801</v>
      </c>
      <c r="I15711">
        <v>0.1127164725567085</v>
      </c>
    </row>
    <row r="15712" spans="1:9" x14ac:dyDescent="0.25">
      <c r="A15712">
        <v>513</v>
      </c>
      <c r="B15712" t="s">
        <v>4139</v>
      </c>
      <c r="C15712" t="s">
        <v>75</v>
      </c>
      <c r="D15712" t="s">
        <v>3917</v>
      </c>
      <c r="E15712">
        <f>2/86</f>
        <v>2.3255813953488372E-2</v>
      </c>
      <c r="F15712">
        <v>2</v>
      </c>
      <c r="G15712">
        <f>LOG(382/(2+1))</f>
        <v>2.1049421081920463</v>
      </c>
      <c r="H15712">
        <f>0.0232558139534883*4.84680831993846</f>
        <v>0.11271647255670801</v>
      </c>
      <c r="I15712">
        <v>0.1127164725567085</v>
      </c>
    </row>
    <row r="15713" spans="1:9" x14ac:dyDescent="0.25">
      <c r="A15713">
        <v>513</v>
      </c>
      <c r="B15713" t="s">
        <v>4139</v>
      </c>
      <c r="C15713" t="s">
        <v>75</v>
      </c>
      <c r="D15713" t="s">
        <v>17</v>
      </c>
      <c r="E15713">
        <f>2/86</f>
        <v>2.3255813953488372E-2</v>
      </c>
      <c r="F15713">
        <v>169</v>
      </c>
      <c r="G15713">
        <f>LOG(382/(169+1))</f>
        <v>0.3516144415334348</v>
      </c>
      <c r="H15713">
        <f>0.0232558139534883*0.809622171556313</f>
        <v>1.8828422594332803E-2</v>
      </c>
      <c r="I15713">
        <v>1.8828422594332869E-2</v>
      </c>
    </row>
    <row r="15714" spans="1:9" x14ac:dyDescent="0.25">
      <c r="A15714">
        <v>513</v>
      </c>
      <c r="B15714" t="s">
        <v>4139</v>
      </c>
      <c r="C15714" t="s">
        <v>75</v>
      </c>
      <c r="D15714" t="s">
        <v>168</v>
      </c>
      <c r="E15714">
        <f>3/86</f>
        <v>3.4883720930232558E-2</v>
      </c>
      <c r="F15714">
        <v>34</v>
      </c>
      <c r="G15714">
        <f>LOG(382/(34+1))</f>
        <v>1.037995318561433</v>
      </c>
      <c r="H15714">
        <f>0.0348837209302325*2.39007254711716</f>
        <v>8.3374623736644976E-2</v>
      </c>
      <c r="I15714">
        <v>8.3374623736645156E-2</v>
      </c>
    </row>
    <row r="15715" spans="1:9" x14ac:dyDescent="0.25">
      <c r="A15715">
        <v>513</v>
      </c>
      <c r="B15715" t="s">
        <v>4139</v>
      </c>
      <c r="C15715" t="s">
        <v>75</v>
      </c>
      <c r="D15715" t="s">
        <v>19</v>
      </c>
      <c r="E15715">
        <f>2/86</f>
        <v>2.3255813953488372E-2</v>
      </c>
      <c r="F15715">
        <v>220</v>
      </c>
      <c r="G15715">
        <f>LOG(382/(220+1))</f>
        <v>0.23767108922659805</v>
      </c>
      <c r="H15715">
        <f>0.0232558139534883*0.547257907088822</f>
        <v>1.2726928071833031E-2</v>
      </c>
      <c r="I15715">
        <v>1.272692807183308E-2</v>
      </c>
    </row>
    <row r="15716" spans="1:9" x14ac:dyDescent="0.25">
      <c r="A15716">
        <v>513</v>
      </c>
      <c r="B15716" t="s">
        <v>4139</v>
      </c>
      <c r="C15716" t="s">
        <v>75</v>
      </c>
      <c r="D15716" t="s">
        <v>41</v>
      </c>
      <c r="E15716">
        <f>3/86</f>
        <v>3.4883720930232558E-2</v>
      </c>
      <c r="F15716">
        <v>195</v>
      </c>
      <c r="G15716">
        <f>LOG(382/(195+1))</f>
        <v>0.28980729155523272</v>
      </c>
      <c r="H15716">
        <f>0.0348837209302325*0.667305949376058</f>
        <v>2.3278114513118266E-2</v>
      </c>
      <c r="I15716">
        <v>2.32781145131183E-2</v>
      </c>
    </row>
    <row r="15717" spans="1:9" x14ac:dyDescent="0.25">
      <c r="A15717">
        <v>513</v>
      </c>
      <c r="B15717" t="s">
        <v>4139</v>
      </c>
      <c r="C15717" t="s">
        <v>75</v>
      </c>
      <c r="D15717" t="s">
        <v>22</v>
      </c>
      <c r="E15717">
        <f>2/86</f>
        <v>2.3255813953488372E-2</v>
      </c>
      <c r="F15717">
        <v>259</v>
      </c>
      <c r="G15717">
        <f>LOG(382/(259+1))</f>
        <v>0.16709001494089079</v>
      </c>
      <c r="H15717">
        <f>0.0232558139534883*0.384738977591047</f>
        <v>8.9474180835126937E-3</v>
      </c>
      <c r="I15717">
        <v>8.9474180835127336E-3</v>
      </c>
    </row>
    <row r="15718" spans="1:9" x14ac:dyDescent="0.25">
      <c r="A15718">
        <v>513</v>
      </c>
      <c r="B15718" t="s">
        <v>4139</v>
      </c>
      <c r="C15718" t="s">
        <v>75</v>
      </c>
      <c r="D15718" t="s">
        <v>23</v>
      </c>
      <c r="E15718">
        <f>2/86</f>
        <v>2.3255813953488372E-2</v>
      </c>
      <c r="F15718">
        <v>275</v>
      </c>
      <c r="G15718">
        <f>LOG(382/(275+1))</f>
        <v>0.14115428084649101</v>
      </c>
      <c r="H15718">
        <f>0.0232558139534883*0.325019742889425</f>
        <v>7.558598671847069E-3</v>
      </c>
      <c r="I15718">
        <v>7.5585986718470959E-3</v>
      </c>
    </row>
    <row r="15719" spans="1:9" x14ac:dyDescent="0.25">
      <c r="A15719">
        <v>513</v>
      </c>
      <c r="B15719" t="s">
        <v>4139</v>
      </c>
      <c r="C15719" t="s">
        <v>75</v>
      </c>
      <c r="D15719" t="s">
        <v>1544</v>
      </c>
      <c r="E15719">
        <f>2/86</f>
        <v>2.3255813953488372E-2</v>
      </c>
      <c r="F15719">
        <v>19</v>
      </c>
      <c r="G15719">
        <f>LOG(382/(19+1))</f>
        <v>1.2810333672477277</v>
      </c>
      <c r="H15719">
        <f>0.0232558139534883*2.94968833505258</f>
        <v>6.8597403140757462E-2</v>
      </c>
      <c r="I15719">
        <v>6.8597403140757782E-2</v>
      </c>
    </row>
    <row r="15720" spans="1:9" x14ac:dyDescent="0.25">
      <c r="A15720">
        <v>513</v>
      </c>
      <c r="B15720" t="s">
        <v>4139</v>
      </c>
      <c r="C15720" t="s">
        <v>75</v>
      </c>
      <c r="D15720" t="s">
        <v>105</v>
      </c>
      <c r="E15720">
        <f>1/86</f>
        <v>1.1627906976744186E-2</v>
      </c>
      <c r="F15720">
        <v>122</v>
      </c>
      <c r="G15720">
        <f>LOG(382/(122+1))</f>
        <v>0.49215825147231079</v>
      </c>
      <c r="H15720">
        <f>0.0116279069767441*1.13323625323415</f>
        <v>1.3177165735280716E-2</v>
      </c>
      <c r="I15720">
        <v>1.31771657352809E-2</v>
      </c>
    </row>
    <row r="15721" spans="1:9" x14ac:dyDescent="0.25">
      <c r="A15721">
        <v>513</v>
      </c>
      <c r="B15721" t="s">
        <v>4139</v>
      </c>
      <c r="C15721" t="s">
        <v>75</v>
      </c>
      <c r="D15721" t="s">
        <v>1769</v>
      </c>
      <c r="E15721">
        <f>1/86</f>
        <v>1.1627906976744186E-2</v>
      </c>
      <c r="F15721">
        <v>84</v>
      </c>
      <c r="G15721">
        <f>LOG(382/(84+1))</f>
        <v>0.65264443719741605</v>
      </c>
      <c r="H15721">
        <f>0.0116279069767441*1.50276935211625</f>
        <v>1.7474062233909751E-2</v>
      </c>
      <c r="I15721">
        <v>1.7474062233909991E-2</v>
      </c>
    </row>
    <row r="15722" spans="1:9" x14ac:dyDescent="0.25">
      <c r="A15722">
        <v>513</v>
      </c>
      <c r="B15722" t="s">
        <v>4139</v>
      </c>
      <c r="C15722" t="s">
        <v>75</v>
      </c>
      <c r="D15722" t="s">
        <v>126</v>
      </c>
      <c r="E15722">
        <f>1/86</f>
        <v>1.1627906976744186E-2</v>
      </c>
      <c r="F15722">
        <v>79</v>
      </c>
      <c r="G15722">
        <f>LOG(382/(79+1))</f>
        <v>0.67897337591976514</v>
      </c>
      <c r="H15722">
        <f>0.0116279069767441*1.56339397393269</f>
        <v>1.8178999696891608E-2</v>
      </c>
      <c r="I15722">
        <v>1.8178999696891789E-2</v>
      </c>
    </row>
    <row r="15723" spans="1:9" x14ac:dyDescent="0.25">
      <c r="A15723">
        <v>513</v>
      </c>
      <c r="B15723" t="s">
        <v>4139</v>
      </c>
      <c r="C15723" t="s">
        <v>75</v>
      </c>
      <c r="D15723" t="s">
        <v>50</v>
      </c>
      <c r="E15723">
        <f>1/86</f>
        <v>1.1627906976744186E-2</v>
      </c>
      <c r="F15723">
        <v>109</v>
      </c>
      <c r="G15723">
        <f>LOG(382/(109+1))</f>
        <v>0.54067067775348365</v>
      </c>
      <c r="H15723">
        <f>0.0116279069767441*1.24494024281415</f>
        <v>1.4476049335048148E-2</v>
      </c>
      <c r="I15723">
        <v>1.447604933504836E-2</v>
      </c>
    </row>
    <row r="15724" spans="1:9" x14ac:dyDescent="0.25">
      <c r="A15724">
        <v>513</v>
      </c>
      <c r="B15724" t="s">
        <v>4139</v>
      </c>
      <c r="C15724" t="s">
        <v>75</v>
      </c>
      <c r="D15724" t="s">
        <v>1546</v>
      </c>
      <c r="E15724">
        <f>1/86</f>
        <v>1.1627906976744186E-2</v>
      </c>
      <c r="F15724">
        <v>44</v>
      </c>
      <c r="G15724">
        <f>LOG(382/(44+1))</f>
        <v>0.92885084913636506</v>
      </c>
      <c r="H15724">
        <f>0.0116279069767441*2.13875811883625</f>
        <v>2.4869280451584114E-2</v>
      </c>
      <c r="I15724">
        <v>2.4869280451584361E-2</v>
      </c>
    </row>
    <row r="15725" spans="1:9" x14ac:dyDescent="0.25">
      <c r="A15725">
        <v>513</v>
      </c>
      <c r="B15725" t="s">
        <v>4139</v>
      </c>
      <c r="C15725" t="s">
        <v>75</v>
      </c>
      <c r="D15725" t="s">
        <v>448</v>
      </c>
      <c r="E15725">
        <f>2/86</f>
        <v>2.3255813953488372E-2</v>
      </c>
      <c r="F15725">
        <v>19</v>
      </c>
      <c r="G15725">
        <f>LOG(382/(19+1))</f>
        <v>1.2810333672477277</v>
      </c>
      <c r="H15725">
        <f>0.0232558139534883*2.94968833505258</f>
        <v>6.8597403140757462E-2</v>
      </c>
      <c r="I15725">
        <v>6.8597403140757782E-2</v>
      </c>
    </row>
    <row r="15726" spans="1:9" x14ac:dyDescent="0.25">
      <c r="A15726">
        <v>513</v>
      </c>
      <c r="B15726" t="s">
        <v>4139</v>
      </c>
      <c r="C15726" t="s">
        <v>75</v>
      </c>
      <c r="D15726" t="s">
        <v>3466</v>
      </c>
      <c r="E15726">
        <f>1/86</f>
        <v>1.1627906976744186E-2</v>
      </c>
      <c r="F15726">
        <v>2</v>
      </c>
      <c r="G15726">
        <f>LOG(382/(2+1))</f>
        <v>2.1049421081920463</v>
      </c>
      <c r="H15726">
        <f>0.0116279069767441*4.84680831993846</f>
        <v>5.6358236278353763E-2</v>
      </c>
      <c r="I15726">
        <v>5.6358236278354248E-2</v>
      </c>
    </row>
    <row r="15727" spans="1:9" x14ac:dyDescent="0.25">
      <c r="A15727">
        <v>513</v>
      </c>
      <c r="B15727" t="s">
        <v>4139</v>
      </c>
      <c r="C15727" t="s">
        <v>75</v>
      </c>
      <c r="D15727" t="s">
        <v>4142</v>
      </c>
      <c r="E15727">
        <f>1/86</f>
        <v>1.1627906976744186E-2</v>
      </c>
      <c r="F15727">
        <v>1</v>
      </c>
      <c r="G15727">
        <f>LOG(382/(1+1))</f>
        <v>2.2810333672477277</v>
      </c>
      <c r="H15727">
        <f>0.0116279069767441*5.25227342804663</f>
        <v>6.1072946837751052E-2</v>
      </c>
      <c r="I15727">
        <v>6.107294683775151E-2</v>
      </c>
    </row>
    <row r="15728" spans="1:9" x14ac:dyDescent="0.25">
      <c r="A15728">
        <v>513</v>
      </c>
      <c r="B15728" t="s">
        <v>4139</v>
      </c>
      <c r="C15728" t="s">
        <v>75</v>
      </c>
      <c r="D15728" t="s">
        <v>239</v>
      </c>
      <c r="E15728">
        <f>2/86</f>
        <v>2.3255813953488372E-2</v>
      </c>
      <c r="F15728">
        <v>40</v>
      </c>
      <c r="G15728">
        <f>LOG(382/(40+1))</f>
        <v>0.96927950619197323</v>
      </c>
      <c r="H15728">
        <f>0.0232558139534883*2.23184854190226</f>
        <v>5.1903454462843085E-2</v>
      </c>
      <c r="I15728">
        <v>5.1903454462843418E-2</v>
      </c>
    </row>
    <row r="15729" spans="1:9" x14ac:dyDescent="0.25">
      <c r="A15729">
        <v>513</v>
      </c>
      <c r="B15729" t="s">
        <v>4139</v>
      </c>
      <c r="C15729" t="s">
        <v>75</v>
      </c>
      <c r="D15729" t="s">
        <v>4143</v>
      </c>
      <c r="E15729">
        <f t="shared" ref="E15729:E15748" si="740">1/86</f>
        <v>1.1627906976744186E-2</v>
      </c>
      <c r="F15729">
        <v>1</v>
      </c>
      <c r="G15729">
        <f>LOG(382/(1+1))</f>
        <v>2.2810333672477277</v>
      </c>
      <c r="H15729">
        <f>0.0116279069767441*5.25227342804663</f>
        <v>6.1072946837751052E-2</v>
      </c>
      <c r="I15729">
        <v>6.107294683775151E-2</v>
      </c>
    </row>
    <row r="15730" spans="1:9" x14ac:dyDescent="0.25">
      <c r="A15730">
        <v>513</v>
      </c>
      <c r="B15730" t="s">
        <v>4139</v>
      </c>
      <c r="C15730" t="s">
        <v>75</v>
      </c>
      <c r="D15730" t="s">
        <v>994</v>
      </c>
      <c r="E15730">
        <f t="shared" si="740"/>
        <v>1.1627906976744186E-2</v>
      </c>
      <c r="F15730">
        <v>37</v>
      </c>
      <c r="G15730">
        <f>LOG(382/(37+1))</f>
        <v>1.0022797662948986</v>
      </c>
      <c r="H15730">
        <f>0.0116279069767441*2.30783444888018</f>
        <v>2.6835284289304217E-2</v>
      </c>
      <c r="I15730">
        <v>2.6835284289304529E-2</v>
      </c>
    </row>
    <row r="15731" spans="1:9" x14ac:dyDescent="0.25">
      <c r="A15731">
        <v>513</v>
      </c>
      <c r="B15731" t="s">
        <v>4139</v>
      </c>
      <c r="C15731" t="s">
        <v>75</v>
      </c>
      <c r="D15731" t="s">
        <v>746</v>
      </c>
      <c r="E15731">
        <f t="shared" si="740"/>
        <v>1.1627906976744186E-2</v>
      </c>
      <c r="F15731">
        <v>58</v>
      </c>
      <c r="G15731">
        <f>LOG(382/(58+1))</f>
        <v>0.81121135126956456</v>
      </c>
      <c r="H15731">
        <f>0.0116279069767441*1.86788316470085</f>
        <v>2.171957168256786E-2</v>
      </c>
      <c r="I15731">
        <v>2.1719571682568089E-2</v>
      </c>
    </row>
    <row r="15732" spans="1:9" x14ac:dyDescent="0.25">
      <c r="A15732">
        <v>513</v>
      </c>
      <c r="B15732" t="s">
        <v>4139</v>
      </c>
      <c r="C15732" t="s">
        <v>75</v>
      </c>
      <c r="D15732" t="s">
        <v>3290</v>
      </c>
      <c r="E15732">
        <f t="shared" si="740"/>
        <v>1.1627906976744186E-2</v>
      </c>
      <c r="F15732">
        <v>12</v>
      </c>
      <c r="G15732">
        <f>LOG(382/(12+1))</f>
        <v>1.468120010604872</v>
      </c>
      <c r="H15732">
        <f>0.0116279069767441*3.38047125114503</f>
        <v>3.930780524587215E-2</v>
      </c>
      <c r="I15732">
        <v>3.9307805245872539E-2</v>
      </c>
    </row>
    <row r="15733" spans="1:9" x14ac:dyDescent="0.25">
      <c r="A15733">
        <v>513</v>
      </c>
      <c r="B15733" t="s">
        <v>4139</v>
      </c>
      <c r="C15733" t="s">
        <v>75</v>
      </c>
      <c r="D15733" t="s">
        <v>1079</v>
      </c>
      <c r="E15733">
        <f t="shared" si="740"/>
        <v>1.1627906976744186E-2</v>
      </c>
      <c r="F15733">
        <v>34</v>
      </c>
      <c r="G15733">
        <f>LOG(382/(34+1))</f>
        <v>1.037995318561433</v>
      </c>
      <c r="H15733">
        <f>0.0116279069767441*2.39007254711716</f>
        <v>2.7791541245548165E-2</v>
      </c>
      <c r="I15733">
        <v>2.779154124554839E-2</v>
      </c>
    </row>
    <row r="15734" spans="1:9" x14ac:dyDescent="0.25">
      <c r="A15734">
        <v>513</v>
      </c>
      <c r="B15734" t="s">
        <v>4139</v>
      </c>
      <c r="C15734" t="s">
        <v>75</v>
      </c>
      <c r="D15734" t="s">
        <v>465</v>
      </c>
      <c r="E15734">
        <f t="shared" si="740"/>
        <v>1.1627906976744186E-2</v>
      </c>
      <c r="F15734">
        <v>36</v>
      </c>
      <c r="G15734">
        <f>LOG(382/(36+1))</f>
        <v>1.0138616388447137</v>
      </c>
      <c r="H15734">
        <f>0.0116279069767441*2.33450269596235</f>
        <v>2.7145380185608518E-2</v>
      </c>
      <c r="I15734">
        <v>2.714538018560873E-2</v>
      </c>
    </row>
    <row r="15735" spans="1:9" x14ac:dyDescent="0.25">
      <c r="A15735">
        <v>513</v>
      </c>
      <c r="B15735" t="s">
        <v>4139</v>
      </c>
      <c r="C15735" t="s">
        <v>75</v>
      </c>
      <c r="D15735" t="s">
        <v>40</v>
      </c>
      <c r="E15735">
        <f t="shared" si="740"/>
        <v>1.1627906976744186E-2</v>
      </c>
      <c r="F15735">
        <v>159</v>
      </c>
      <c r="G15735">
        <f>LOG(382/(159+1))</f>
        <v>0.377943380255784</v>
      </c>
      <c r="H15735">
        <f>0.0116279069767441*0.870246793372748</f>
        <v>1.0119148760148158E-2</v>
      </c>
      <c r="I15735">
        <v>1.0119148760148239E-2</v>
      </c>
    </row>
    <row r="15736" spans="1:9" x14ac:dyDescent="0.25">
      <c r="A15736">
        <v>513</v>
      </c>
      <c r="B15736" t="s">
        <v>4139</v>
      </c>
      <c r="C15736" t="s">
        <v>75</v>
      </c>
      <c r="D15736" t="s">
        <v>794</v>
      </c>
      <c r="E15736">
        <f t="shared" si="740"/>
        <v>1.1627906976744186E-2</v>
      </c>
      <c r="F15736">
        <v>2</v>
      </c>
      <c r="G15736">
        <f>LOG(382/(2+1))</f>
        <v>2.1049421081920463</v>
      </c>
      <c r="H15736">
        <f>0.0116279069767441*4.84680831993846</f>
        <v>5.6358236278353763E-2</v>
      </c>
      <c r="I15736">
        <v>5.6358236278354248E-2</v>
      </c>
    </row>
    <row r="15737" spans="1:9" x14ac:dyDescent="0.25">
      <c r="A15737">
        <v>513</v>
      </c>
      <c r="B15737" t="s">
        <v>4139</v>
      </c>
      <c r="C15737" t="s">
        <v>75</v>
      </c>
      <c r="D15737" t="s">
        <v>243</v>
      </c>
      <c r="E15737">
        <f t="shared" si="740"/>
        <v>1.1627906976744186E-2</v>
      </c>
      <c r="F15737">
        <v>131</v>
      </c>
      <c r="G15737">
        <f>LOG(382/(131+1))</f>
        <v>0.46148943170585888</v>
      </c>
      <c r="H15737">
        <f>0.0116279069767441*1.0626186860202</f>
        <v>1.2356031232792931E-2</v>
      </c>
      <c r="I15737">
        <v>1.235603123279307E-2</v>
      </c>
    </row>
    <row r="15738" spans="1:9" x14ac:dyDescent="0.25">
      <c r="A15738">
        <v>513</v>
      </c>
      <c r="B15738" t="s">
        <v>4139</v>
      </c>
      <c r="C15738" t="s">
        <v>75</v>
      </c>
      <c r="D15738" t="s">
        <v>453</v>
      </c>
      <c r="E15738">
        <f t="shared" si="740"/>
        <v>1.1627906976744186E-2</v>
      </c>
      <c r="F15738">
        <v>68</v>
      </c>
      <c r="G15738">
        <f>LOG(382/(68+1))</f>
        <v>0.74321427217445335</v>
      </c>
      <c r="H15738">
        <f>0.0116279069767441*1.71131410400931</f>
        <v>1.9899001209410433E-2</v>
      </c>
      <c r="I15738">
        <v>1.9899001209410652E-2</v>
      </c>
    </row>
    <row r="15739" spans="1:9" x14ac:dyDescent="0.25">
      <c r="A15739">
        <v>513</v>
      </c>
      <c r="B15739" t="s">
        <v>4139</v>
      </c>
      <c r="C15739" t="s">
        <v>75</v>
      </c>
      <c r="D15739" t="s">
        <v>1905</v>
      </c>
      <c r="E15739">
        <f t="shared" si="740"/>
        <v>1.1627906976744186E-2</v>
      </c>
      <c r="F15739">
        <v>24</v>
      </c>
      <c r="G15739">
        <f>LOG(382/(24+1))</f>
        <v>1.1841233542396712</v>
      </c>
      <c r="H15739">
        <f>0.0116279069767441*2.72654478373837</f>
        <v>3.170400911323662E-2</v>
      </c>
      <c r="I15739">
        <v>3.1704009113236911E-2</v>
      </c>
    </row>
    <row r="15740" spans="1:9" x14ac:dyDescent="0.25">
      <c r="A15740">
        <v>513</v>
      </c>
      <c r="B15740" t="s">
        <v>4139</v>
      </c>
      <c r="C15740" t="s">
        <v>75</v>
      </c>
      <c r="D15740" t="s">
        <v>455</v>
      </c>
      <c r="E15740">
        <f t="shared" si="740"/>
        <v>1.1627906976744186E-2</v>
      </c>
      <c r="F15740">
        <v>78</v>
      </c>
      <c r="G15740">
        <f>LOG(382/(78+1))</f>
        <v>0.6844362716212673</v>
      </c>
      <c r="H15740">
        <f>0.0116279069767441*1.57597275613955</f>
        <v>1.8325264606273699E-2</v>
      </c>
      <c r="I15740">
        <v>1.8325264606273879E-2</v>
      </c>
    </row>
    <row r="15741" spans="1:9" x14ac:dyDescent="0.25">
      <c r="A15741">
        <v>513</v>
      </c>
      <c r="B15741" t="s">
        <v>4139</v>
      </c>
      <c r="C15741" t="s">
        <v>75</v>
      </c>
      <c r="D15741" t="s">
        <v>456</v>
      </c>
      <c r="E15741">
        <f t="shared" si="740"/>
        <v>1.1627906976744186E-2</v>
      </c>
      <c r="F15741">
        <v>71</v>
      </c>
      <c r="G15741">
        <f>LOG(382/(71+1))</f>
        <v>0.72473086648044027</v>
      </c>
      <c r="H15741">
        <f>0.0116279069767441*1.66875448959051</f>
        <v>1.9404121971982529E-2</v>
      </c>
      <c r="I15741">
        <v>1.9404121971982789E-2</v>
      </c>
    </row>
    <row r="15742" spans="1:9" x14ac:dyDescent="0.25">
      <c r="A15742">
        <v>513</v>
      </c>
      <c r="B15742" t="s">
        <v>4139</v>
      </c>
      <c r="C15742" t="s">
        <v>75</v>
      </c>
      <c r="D15742" t="s">
        <v>81</v>
      </c>
      <c r="E15742">
        <f t="shared" si="740"/>
        <v>1.1627906976744186E-2</v>
      </c>
      <c r="F15742">
        <v>114</v>
      </c>
      <c r="G15742">
        <f>LOG(382/(114+1))</f>
        <v>0.52136552255809698</v>
      </c>
      <c r="H15742">
        <f>0.0116279069767441*1.20048848024332</f>
        <v>1.3959168374922221E-2</v>
      </c>
      <c r="I15742">
        <v>1.3959168374922381E-2</v>
      </c>
    </row>
    <row r="15743" spans="1:9" x14ac:dyDescent="0.25">
      <c r="A15743">
        <v>513</v>
      </c>
      <c r="B15743" t="s">
        <v>4139</v>
      </c>
      <c r="C15743" t="s">
        <v>75</v>
      </c>
      <c r="D15743" t="s">
        <v>361</v>
      </c>
      <c r="E15743">
        <f t="shared" si="740"/>
        <v>1.1627906976744186E-2</v>
      </c>
      <c r="F15743">
        <v>118</v>
      </c>
      <c r="G15743">
        <f>LOG(382/(118+1))</f>
        <v>0.50651640151917798</v>
      </c>
      <c r="H15743">
        <f>0.0116279069767441*1.16629711549504</f>
        <v>1.3561594366221293E-2</v>
      </c>
      <c r="I15743">
        <v>1.3561594366221459E-2</v>
      </c>
    </row>
    <row r="15744" spans="1:9" x14ac:dyDescent="0.25">
      <c r="A15744">
        <v>513</v>
      </c>
      <c r="B15744" t="s">
        <v>4139</v>
      </c>
      <c r="C15744" t="s">
        <v>75</v>
      </c>
      <c r="D15744" t="s">
        <v>434</v>
      </c>
      <c r="E15744">
        <f t="shared" si="740"/>
        <v>1.1627906976744186E-2</v>
      </c>
      <c r="F15744">
        <v>97</v>
      </c>
      <c r="G15744">
        <f>LOG(382/(97+1))</f>
        <v>0.59083728721921391</v>
      </c>
      <c r="H15744">
        <f>0.0116279069767441*1.360453129936</f>
        <v>1.5819222441116162E-2</v>
      </c>
      <c r="I15744">
        <v>1.5819222441116311E-2</v>
      </c>
    </row>
    <row r="15745" spans="1:9" x14ac:dyDescent="0.25">
      <c r="A15745">
        <v>513</v>
      </c>
      <c r="B15745" t="s">
        <v>4139</v>
      </c>
      <c r="C15745" t="s">
        <v>75</v>
      </c>
      <c r="D15745" t="s">
        <v>310</v>
      </c>
      <c r="E15745">
        <f t="shared" si="740"/>
        <v>1.1627906976744186E-2</v>
      </c>
      <c r="F15745">
        <v>50</v>
      </c>
      <c r="G15745">
        <f>LOG(382/(50+1))</f>
        <v>0.87449318681377242</v>
      </c>
      <c r="H15745">
        <f>0.0116279069767441*2.01359497588224</f>
        <v>2.3413895068397961E-2</v>
      </c>
      <c r="I15745">
        <v>2.3413895068398249E-2</v>
      </c>
    </row>
    <row r="15746" spans="1:9" x14ac:dyDescent="0.25">
      <c r="A15746">
        <v>513</v>
      </c>
      <c r="B15746" t="s">
        <v>4139</v>
      </c>
      <c r="C15746" t="s">
        <v>75</v>
      </c>
      <c r="D15746" t="s">
        <v>850</v>
      </c>
      <c r="E15746">
        <f t="shared" si="740"/>
        <v>1.1627906976744186E-2</v>
      </c>
      <c r="F15746">
        <v>14</v>
      </c>
      <c r="G15746">
        <f>LOG(382/(14+1))</f>
        <v>1.4059721038560276</v>
      </c>
      <c r="H15746">
        <f>0.0116279069767441*3.23737040750436</f>
        <v>3.7643841947724833E-2</v>
      </c>
      <c r="I15746">
        <v>3.7643841947725173E-2</v>
      </c>
    </row>
    <row r="15747" spans="1:9" x14ac:dyDescent="0.25">
      <c r="A15747">
        <v>513</v>
      </c>
      <c r="B15747" t="s">
        <v>4139</v>
      </c>
      <c r="C15747" t="s">
        <v>75</v>
      </c>
      <c r="D15747" t="s">
        <v>2241</v>
      </c>
      <c r="E15747">
        <f t="shared" si="740"/>
        <v>1.1627906976744186E-2</v>
      </c>
      <c r="F15747">
        <v>12</v>
      </c>
      <c r="G15747">
        <f>LOG(382/(12+1))</f>
        <v>1.468120010604872</v>
      </c>
      <c r="H15747">
        <f>0.0116279069767441*3.38047125114503</f>
        <v>3.930780524587215E-2</v>
      </c>
      <c r="I15747">
        <v>3.9307805245872539E-2</v>
      </c>
    </row>
    <row r="15748" spans="1:9" x14ac:dyDescent="0.25">
      <c r="A15748">
        <v>513</v>
      </c>
      <c r="B15748" t="s">
        <v>4139</v>
      </c>
      <c r="C15748" t="s">
        <v>75</v>
      </c>
      <c r="D15748" t="s">
        <v>214</v>
      </c>
      <c r="E15748">
        <f t="shared" si="740"/>
        <v>1.1627906976744186E-2</v>
      </c>
      <c r="F15748">
        <v>68</v>
      </c>
      <c r="G15748">
        <f>LOG(382/(68+1))</f>
        <v>0.74321427217445335</v>
      </c>
      <c r="H15748">
        <f>0.0116279069767441*1.71131410400931</f>
        <v>1.9899001209410433E-2</v>
      </c>
      <c r="I15748">
        <v>1.9899001209410652E-2</v>
      </c>
    </row>
    <row r="15749" spans="1:9" x14ac:dyDescent="0.25">
      <c r="A15749">
        <v>513</v>
      </c>
      <c r="B15749" t="s">
        <v>4139</v>
      </c>
      <c r="C15749" t="s">
        <v>75</v>
      </c>
      <c r="D15749" t="s">
        <v>772</v>
      </c>
      <c r="E15749">
        <f>2/86</f>
        <v>2.3255813953488372E-2</v>
      </c>
      <c r="F15749">
        <v>31</v>
      </c>
      <c r="G15749">
        <f>LOG(382/(31+1))</f>
        <v>1.0769133845918029</v>
      </c>
      <c r="H15749">
        <f>0.0232558139534883*2.47968470580684</f>
        <v>5.7667086181554236E-2</v>
      </c>
      <c r="I15749">
        <v>5.7667086181554618E-2</v>
      </c>
    </row>
    <row r="15750" spans="1:9" x14ac:dyDescent="0.25">
      <c r="A15750">
        <v>513</v>
      </c>
      <c r="B15750" t="s">
        <v>4139</v>
      </c>
      <c r="C15750" t="s">
        <v>75</v>
      </c>
      <c r="D15750" t="s">
        <v>237</v>
      </c>
      <c r="E15750">
        <f>3/86</f>
        <v>3.4883720930232558E-2</v>
      </c>
      <c r="F15750">
        <v>138</v>
      </c>
      <c r="G15750">
        <f>LOG(382/(138+1))</f>
        <v>0.43904856265761361</v>
      </c>
      <c r="H15750">
        <f>0.0348837209302325*1.01094667547588</f>
        <v>3.5265581702646924E-2</v>
      </c>
      <c r="I15750">
        <v>3.5265581702647091E-2</v>
      </c>
    </row>
    <row r="15751" spans="1:9" x14ac:dyDescent="0.25">
      <c r="A15751">
        <v>513</v>
      </c>
      <c r="B15751" t="s">
        <v>4139</v>
      </c>
      <c r="C15751" t="s">
        <v>75</v>
      </c>
      <c r="D15751" t="s">
        <v>3334</v>
      </c>
      <c r="E15751">
        <f>1/86</f>
        <v>1.1627906976744186E-2</v>
      </c>
      <c r="F15751">
        <v>12</v>
      </c>
      <c r="G15751">
        <f>LOG(382/(12+1))</f>
        <v>1.468120010604872</v>
      </c>
      <c r="H15751">
        <f>0.0116279069767441*3.38047125114503</f>
        <v>3.930780524587215E-2</v>
      </c>
      <c r="I15751">
        <v>3.9307805245872539E-2</v>
      </c>
    </row>
    <row r="15752" spans="1:9" x14ac:dyDescent="0.25">
      <c r="A15752">
        <v>513</v>
      </c>
      <c r="B15752" t="s">
        <v>4139</v>
      </c>
      <c r="C15752" t="s">
        <v>75</v>
      </c>
      <c r="D15752" t="s">
        <v>3462</v>
      </c>
      <c r="E15752">
        <f>1/86</f>
        <v>1.1627906976744186E-2</v>
      </c>
      <c r="F15752">
        <v>3</v>
      </c>
      <c r="G15752">
        <f>LOG(382/(3+1))</f>
        <v>1.9800033715837464</v>
      </c>
      <c r="H15752">
        <f>0.0116279069767441*4.55912624748668</f>
        <v>5.3013095901007515E-2</v>
      </c>
      <c r="I15752">
        <v>5.3013095901007959E-2</v>
      </c>
    </row>
    <row r="15753" spans="1:9" x14ac:dyDescent="0.25">
      <c r="A15753">
        <v>513</v>
      </c>
      <c r="B15753" t="s">
        <v>4139</v>
      </c>
      <c r="C15753" t="s">
        <v>75</v>
      </c>
      <c r="D15753" t="s">
        <v>3492</v>
      </c>
      <c r="E15753">
        <f>1/86</f>
        <v>1.1627906976744186E-2</v>
      </c>
      <c r="F15753">
        <v>12</v>
      </c>
      <c r="G15753">
        <f>LOG(382/(12+1))</f>
        <v>1.468120010604872</v>
      </c>
      <c r="H15753">
        <f>0.0116279069767441*3.38047125114503</f>
        <v>3.930780524587215E-2</v>
      </c>
      <c r="I15753">
        <v>3.9307805245872539E-2</v>
      </c>
    </row>
    <row r="15754" spans="1:9" x14ac:dyDescent="0.25">
      <c r="A15754">
        <v>513</v>
      </c>
      <c r="B15754" t="s">
        <v>4139</v>
      </c>
      <c r="C15754" t="s">
        <v>75</v>
      </c>
      <c r="D15754" t="s">
        <v>240</v>
      </c>
      <c r="E15754">
        <f>1/86</f>
        <v>1.1627906976744186E-2</v>
      </c>
      <c r="F15754">
        <v>15</v>
      </c>
      <c r="G15754">
        <f>LOG(382/(15+1))</f>
        <v>1.3779433802557839</v>
      </c>
      <c r="H15754">
        <f>0.0116279069767441*3.17283188636679</f>
        <v>3.6893394027520537E-2</v>
      </c>
      <c r="I15754">
        <v>3.6893394027520857E-2</v>
      </c>
    </row>
    <row r="15755" spans="1:9" x14ac:dyDescent="0.25">
      <c r="A15755">
        <v>513</v>
      </c>
      <c r="B15755" t="s">
        <v>4139</v>
      </c>
      <c r="C15755" t="s">
        <v>75</v>
      </c>
      <c r="D15755" t="s">
        <v>902</v>
      </c>
      <c r="E15755">
        <f>1/86</f>
        <v>1.1627906976744186E-2</v>
      </c>
      <c r="F15755">
        <v>5</v>
      </c>
      <c r="G15755">
        <f>LOG(382/(5+1))</f>
        <v>1.803912112528065</v>
      </c>
      <c r="H15755">
        <f>0.0116279069767441*4.15366113937852</f>
        <v>4.8298385341610336E-2</v>
      </c>
      <c r="I15755">
        <v>4.8298385341610697E-2</v>
      </c>
    </row>
    <row r="15756" spans="1:9" x14ac:dyDescent="0.25">
      <c r="A15756">
        <v>513</v>
      </c>
      <c r="B15756" t="s">
        <v>4139</v>
      </c>
      <c r="C15756" t="s">
        <v>75</v>
      </c>
      <c r="D15756" t="s">
        <v>482</v>
      </c>
      <c r="E15756">
        <f>2/86</f>
        <v>2.3255813953488372E-2</v>
      </c>
      <c r="F15756">
        <v>16</v>
      </c>
      <c r="G15756">
        <f>LOG(382/(16+1))</f>
        <v>1.3516144415334348</v>
      </c>
      <c r="H15756">
        <f>0.0232558139534883*3.11220726455035</f>
        <v>7.237691312907768E-2</v>
      </c>
      <c r="I15756">
        <v>7.2376913129078124E-2</v>
      </c>
    </row>
    <row r="15757" spans="1:9" x14ac:dyDescent="0.25">
      <c r="A15757">
        <v>513</v>
      </c>
      <c r="B15757" t="s">
        <v>4139</v>
      </c>
      <c r="C15757" t="s">
        <v>75</v>
      </c>
      <c r="D15757" t="s">
        <v>3708</v>
      </c>
      <c r="E15757">
        <f>1/86</f>
        <v>1.1627906976744186E-2</v>
      </c>
      <c r="F15757">
        <v>2</v>
      </c>
      <c r="G15757">
        <f>LOG(382/(2+1))</f>
        <v>2.1049421081920463</v>
      </c>
      <c r="H15757">
        <f>0.0116279069767441*4.84680831993846</f>
        <v>5.6358236278353763E-2</v>
      </c>
      <c r="I15757">
        <v>5.6358236278354248E-2</v>
      </c>
    </row>
    <row r="15758" spans="1:9" x14ac:dyDescent="0.25">
      <c r="A15758">
        <v>513</v>
      </c>
      <c r="B15758" t="s">
        <v>4139</v>
      </c>
      <c r="C15758" t="s">
        <v>75</v>
      </c>
      <c r="D15758" t="s">
        <v>408</v>
      </c>
      <c r="E15758">
        <f>1/86</f>
        <v>1.1627906976744186E-2</v>
      </c>
      <c r="F15758">
        <v>27</v>
      </c>
      <c r="G15758">
        <f>LOG(382/(27+1))</f>
        <v>1.1349053315694895</v>
      </c>
      <c r="H15758">
        <f>0.0116279069767441*2.61321609843137</f>
        <v>3.0386233702690123E-2</v>
      </c>
      <c r="I15758">
        <v>3.0386233702690359E-2</v>
      </c>
    </row>
    <row r="15759" spans="1:9" x14ac:dyDescent="0.25">
      <c r="A15759">
        <v>513</v>
      </c>
      <c r="B15759" t="s">
        <v>4139</v>
      </c>
      <c r="C15759" t="s">
        <v>75</v>
      </c>
      <c r="D15759" t="s">
        <v>3707</v>
      </c>
      <c r="E15759">
        <f>1/86</f>
        <v>1.1627906976744186E-2</v>
      </c>
      <c r="F15759">
        <v>5</v>
      </c>
      <c r="G15759">
        <f>LOG(382/(5+1))</f>
        <v>1.803912112528065</v>
      </c>
      <c r="H15759">
        <f>0.0116279069767441*4.15366113937852</f>
        <v>4.8298385341610336E-2</v>
      </c>
      <c r="I15759">
        <v>4.8298385341610697E-2</v>
      </c>
    </row>
    <row r="15760" spans="1:9" x14ac:dyDescent="0.25">
      <c r="A15760">
        <v>513</v>
      </c>
      <c r="B15760" t="s">
        <v>4139</v>
      </c>
      <c r="C15760" t="s">
        <v>75</v>
      </c>
      <c r="D15760" t="s">
        <v>432</v>
      </c>
      <c r="E15760">
        <f>1/86</f>
        <v>1.1627906976744186E-2</v>
      </c>
      <c r="F15760">
        <v>67</v>
      </c>
      <c r="G15760">
        <f>LOG(382/(67+1))</f>
        <v>0.7495544502054724</v>
      </c>
      <c r="H15760">
        <f>0.0116279069767441*1.72591290343046</f>
        <v>2.006875469105171E-2</v>
      </c>
      <c r="I15760">
        <v>2.006875469105196E-2</v>
      </c>
    </row>
    <row r="15761" spans="1:9" x14ac:dyDescent="0.25">
      <c r="A15761">
        <v>514</v>
      </c>
      <c r="B15761" t="s">
        <v>4144</v>
      </c>
      <c r="C15761" t="s">
        <v>75</v>
      </c>
      <c r="D15761" t="s">
        <v>4145</v>
      </c>
      <c r="E15761">
        <f>1/46</f>
        <v>2.1739130434782608E-2</v>
      </c>
      <c r="F15761">
        <v>2</v>
      </c>
      <c r="G15761">
        <f>LOG(382/(2+1))</f>
        <v>2.1049421081920463</v>
      </c>
      <c r="H15761">
        <f>0.0217391304347826*4.84680831993846</f>
        <v>0.1053653982595317</v>
      </c>
      <c r="I15761">
        <v>0.10536539825953189</v>
      </c>
    </row>
    <row r="15762" spans="1:9" x14ac:dyDescent="0.25">
      <c r="A15762">
        <v>514</v>
      </c>
      <c r="B15762" t="s">
        <v>4144</v>
      </c>
      <c r="C15762" t="s">
        <v>75</v>
      </c>
      <c r="D15762" t="s">
        <v>1537</v>
      </c>
      <c r="E15762">
        <f>3/46</f>
        <v>6.5217391304347824E-2</v>
      </c>
      <c r="F15762">
        <v>80</v>
      </c>
      <c r="G15762">
        <f>LOG(382/(80+1))</f>
        <v>0.67357834403305894</v>
      </c>
      <c r="H15762">
        <f>0.0652173913043478*1.55097145393413</f>
        <v>0.10115031221309538</v>
      </c>
      <c r="I15762">
        <v>0.10115031221309589</v>
      </c>
    </row>
    <row r="15763" spans="1:9" x14ac:dyDescent="0.25">
      <c r="A15763">
        <v>514</v>
      </c>
      <c r="B15763" t="s">
        <v>4144</v>
      </c>
      <c r="C15763" t="s">
        <v>75</v>
      </c>
      <c r="D15763" t="s">
        <v>4146</v>
      </c>
      <c r="E15763">
        <f>2/46</f>
        <v>4.3478260869565216E-2</v>
      </c>
      <c r="F15763">
        <v>1</v>
      </c>
      <c r="G15763">
        <f>LOG(382/(1+1))</f>
        <v>2.2810333672477277</v>
      </c>
      <c r="H15763">
        <f>0.0434782608695652*5.25227342804663</f>
        <v>0.22835971426289686</v>
      </c>
      <c r="I15763">
        <v>0.22835971426289689</v>
      </c>
    </row>
    <row r="15764" spans="1:9" x14ac:dyDescent="0.25">
      <c r="A15764">
        <v>514</v>
      </c>
      <c r="B15764" t="s">
        <v>4144</v>
      </c>
      <c r="C15764" t="s">
        <v>75</v>
      </c>
      <c r="D15764" t="s">
        <v>1769</v>
      </c>
      <c r="E15764">
        <f>1/46</f>
        <v>2.1739130434782608E-2</v>
      </c>
      <c r="F15764">
        <v>84</v>
      </c>
      <c r="G15764">
        <f>LOG(382/(84+1))</f>
        <v>0.65264443719741605</v>
      </c>
      <c r="H15764">
        <f>0.0217391304347826*1.50276935211625</f>
        <v>3.2668898959048898E-2</v>
      </c>
      <c r="I15764">
        <v>3.2668898959049113E-2</v>
      </c>
    </row>
    <row r="15765" spans="1:9" x14ac:dyDescent="0.25">
      <c r="A15765">
        <v>514</v>
      </c>
      <c r="B15765" t="s">
        <v>4144</v>
      </c>
      <c r="C15765" t="s">
        <v>75</v>
      </c>
      <c r="D15765" t="s">
        <v>3335</v>
      </c>
      <c r="E15765">
        <f>2/46</f>
        <v>4.3478260869565216E-2</v>
      </c>
      <c r="F15765">
        <v>16</v>
      </c>
      <c r="G15765">
        <f>LOG(382/(16+1))</f>
        <v>1.3516144415334348</v>
      </c>
      <c r="H15765">
        <f>0.0434782608695652*3.11220726455035</f>
        <v>0.13531335932827604</v>
      </c>
      <c r="I15765">
        <v>0.13531335932827651</v>
      </c>
    </row>
    <row r="15766" spans="1:9" x14ac:dyDescent="0.25">
      <c r="A15766">
        <v>514</v>
      </c>
      <c r="B15766" t="s">
        <v>4144</v>
      </c>
      <c r="C15766" t="s">
        <v>75</v>
      </c>
      <c r="D15766" t="s">
        <v>4147</v>
      </c>
      <c r="E15766">
        <f>1/46</f>
        <v>2.1739130434782608E-2</v>
      </c>
      <c r="F15766">
        <v>1</v>
      </c>
      <c r="G15766">
        <f>LOG(382/(1+1))</f>
        <v>2.2810333672477277</v>
      </c>
      <c r="H15766">
        <f>0.0217391304347826*5.25227342804663</f>
        <v>0.11417985713144843</v>
      </c>
      <c r="I15766">
        <v>0.1141798571314485</v>
      </c>
    </row>
    <row r="15767" spans="1:9" x14ac:dyDescent="0.25">
      <c r="A15767">
        <v>514</v>
      </c>
      <c r="B15767" t="s">
        <v>4144</v>
      </c>
      <c r="C15767" t="s">
        <v>75</v>
      </c>
      <c r="D15767" t="s">
        <v>975</v>
      </c>
      <c r="E15767">
        <f>1/46</f>
        <v>2.1739130434782608E-2</v>
      </c>
      <c r="F15767">
        <v>5</v>
      </c>
      <c r="G15767">
        <f>LOG(382/(5+1))</f>
        <v>1.803912112528065</v>
      </c>
      <c r="H15767">
        <f>0.0217391304347826*4.15366113937852</f>
        <v>9.0296981290837353E-2</v>
      </c>
      <c r="I15767">
        <v>9.029698129083738E-2</v>
      </c>
    </row>
    <row r="15768" spans="1:9" x14ac:dyDescent="0.25">
      <c r="A15768">
        <v>514</v>
      </c>
      <c r="B15768" t="s">
        <v>4144</v>
      </c>
      <c r="C15768" t="s">
        <v>75</v>
      </c>
      <c r="D15768" t="s">
        <v>445</v>
      </c>
      <c r="E15768">
        <f>1/46</f>
        <v>2.1739130434782608E-2</v>
      </c>
      <c r="F15768">
        <v>35</v>
      </c>
      <c r="G15768">
        <f>LOG(382/(35+1))</f>
        <v>1.0257608621444214</v>
      </c>
      <c r="H15768">
        <f>0.0217391304347826*2.36190167015046</f>
        <v>5.1345688481531725E-2</v>
      </c>
      <c r="I15768">
        <v>5.1345688481531843E-2</v>
      </c>
    </row>
    <row r="15769" spans="1:9" x14ac:dyDescent="0.25">
      <c r="A15769">
        <v>514</v>
      </c>
      <c r="B15769" t="s">
        <v>4144</v>
      </c>
      <c r="C15769" t="s">
        <v>75</v>
      </c>
      <c r="D15769" t="s">
        <v>442</v>
      </c>
      <c r="E15769">
        <f>3/46</f>
        <v>6.5217391304347824E-2</v>
      </c>
      <c r="F15769">
        <v>9</v>
      </c>
      <c r="G15769">
        <f>LOG(382/(9+1))</f>
        <v>1.5820633629117087</v>
      </c>
      <c r="H15769">
        <f>0.0652173913043478*3.64283551561252</f>
        <v>0.23757622927907729</v>
      </c>
      <c r="I15769">
        <v>0.23757622927907801</v>
      </c>
    </row>
    <row r="15770" spans="1:9" x14ac:dyDescent="0.25">
      <c r="A15770">
        <v>514</v>
      </c>
      <c r="B15770" t="s">
        <v>4144</v>
      </c>
      <c r="C15770" t="s">
        <v>75</v>
      </c>
      <c r="D15770" t="s">
        <v>889</v>
      </c>
      <c r="E15770">
        <f>3/46</f>
        <v>6.5217391304347824E-2</v>
      </c>
      <c r="F15770">
        <v>3</v>
      </c>
      <c r="G15770">
        <f>LOG(382/(3+1))</f>
        <v>1.9800033715837464</v>
      </c>
      <c r="H15770">
        <f>0.0652173913043478*4.55912624748668</f>
        <v>0.29733432048826158</v>
      </c>
      <c r="I15770">
        <v>0.29733432048826203</v>
      </c>
    </row>
    <row r="15771" spans="1:9" x14ac:dyDescent="0.25">
      <c r="A15771">
        <v>514</v>
      </c>
      <c r="B15771" t="s">
        <v>4144</v>
      </c>
      <c r="C15771" t="s">
        <v>75</v>
      </c>
      <c r="D15771" t="s">
        <v>102</v>
      </c>
      <c r="E15771">
        <f>4/46</f>
        <v>8.6956521739130432E-2</v>
      </c>
      <c r="F15771">
        <v>4</v>
      </c>
      <c r="G15771">
        <f>LOG(382/(4+1))</f>
        <v>1.8830933585756899</v>
      </c>
      <c r="H15771">
        <f>0.0869565217391304*4.33598269617247</f>
        <v>0.37704197358021468</v>
      </c>
      <c r="I15771">
        <v>0.37704197358021518</v>
      </c>
    </row>
    <row r="15772" spans="1:9" x14ac:dyDescent="0.25">
      <c r="A15772">
        <v>514</v>
      </c>
      <c r="B15772" t="s">
        <v>4144</v>
      </c>
      <c r="C15772" t="s">
        <v>75</v>
      </c>
      <c r="D15772" t="s">
        <v>1399</v>
      </c>
      <c r="E15772">
        <f>3/46</f>
        <v>6.5217391304347824E-2</v>
      </c>
      <c r="F15772">
        <v>7</v>
      </c>
      <c r="G15772">
        <f>LOG(382/(7+1))</f>
        <v>1.6789733759197651</v>
      </c>
      <c r="H15772">
        <f>0.0652173913043478*3.86597906692673</f>
        <v>0.25212906958217796</v>
      </c>
      <c r="I15772">
        <v>0.25212906958217862</v>
      </c>
    </row>
    <row r="15773" spans="1:9" x14ac:dyDescent="0.25">
      <c r="A15773">
        <v>514</v>
      </c>
      <c r="B15773" t="s">
        <v>4144</v>
      </c>
      <c r="C15773" t="s">
        <v>75</v>
      </c>
      <c r="D15773" t="s">
        <v>1222</v>
      </c>
      <c r="E15773">
        <f>1/46</f>
        <v>2.1739130434782608E-2</v>
      </c>
      <c r="F15773">
        <v>56</v>
      </c>
      <c r="G15773">
        <f>LOG(382/(56+1))</f>
        <v>0.82618850723921733</v>
      </c>
      <c r="H15773">
        <f>0.0217391304347826*1.90236934077202</f>
        <v>4.135585523417433E-2</v>
      </c>
      <c r="I15773">
        <v>4.1355855234174448E-2</v>
      </c>
    </row>
    <row r="15774" spans="1:9" x14ac:dyDescent="0.25">
      <c r="A15774">
        <v>514</v>
      </c>
      <c r="B15774" t="s">
        <v>4144</v>
      </c>
      <c r="C15774" t="s">
        <v>75</v>
      </c>
      <c r="D15774" t="s">
        <v>739</v>
      </c>
      <c r="E15774">
        <f>1/46</f>
        <v>2.1739130434782608E-2</v>
      </c>
      <c r="F15774">
        <v>24</v>
      </c>
      <c r="G15774">
        <f>LOG(382/(24+1))</f>
        <v>1.1841233542396712</v>
      </c>
      <c r="H15774">
        <f>0.0217391304347826*2.72654478373837</f>
        <v>5.9272712689964542E-2</v>
      </c>
      <c r="I15774">
        <v>5.927271268996466E-2</v>
      </c>
    </row>
    <row r="15775" spans="1:9" x14ac:dyDescent="0.25">
      <c r="A15775">
        <v>514</v>
      </c>
      <c r="B15775" t="s">
        <v>4144</v>
      </c>
      <c r="C15775" t="s">
        <v>75</v>
      </c>
      <c r="D15775" t="s">
        <v>4148</v>
      </c>
      <c r="E15775">
        <f>1/46</f>
        <v>2.1739130434782608E-2</v>
      </c>
      <c r="F15775">
        <v>1</v>
      </c>
      <c r="G15775">
        <f>LOG(382/(1+1))</f>
        <v>2.2810333672477277</v>
      </c>
      <c r="H15775">
        <f>0.0217391304347826*5.25227342804663</f>
        <v>0.11417985713144843</v>
      </c>
      <c r="I15775">
        <v>0.1141798571314485</v>
      </c>
    </row>
    <row r="15776" spans="1:9" x14ac:dyDescent="0.25">
      <c r="A15776">
        <v>514</v>
      </c>
      <c r="B15776" t="s">
        <v>4144</v>
      </c>
      <c r="C15776" t="s">
        <v>75</v>
      </c>
      <c r="D15776" t="s">
        <v>388</v>
      </c>
      <c r="E15776">
        <f>1/46</f>
        <v>2.1739130434782608E-2</v>
      </c>
      <c r="F15776">
        <v>44</v>
      </c>
      <c r="G15776">
        <f>LOG(382/(44+1))</f>
        <v>0.92885084913636506</v>
      </c>
      <c r="H15776">
        <f>0.0217391304347826*2.13875811883625</f>
        <v>4.64947417138315E-2</v>
      </c>
      <c r="I15776">
        <v>4.6494741713831632E-2</v>
      </c>
    </row>
    <row r="15777" spans="1:9" x14ac:dyDescent="0.25">
      <c r="A15777">
        <v>514</v>
      </c>
      <c r="B15777" t="s">
        <v>4144</v>
      </c>
      <c r="C15777" t="s">
        <v>75</v>
      </c>
      <c r="D15777" t="s">
        <v>1634</v>
      </c>
      <c r="E15777">
        <f>1/46</f>
        <v>2.1739130434782608E-2</v>
      </c>
      <c r="F15777">
        <v>7</v>
      </c>
      <c r="G15777">
        <f>LOG(382/(7+1))</f>
        <v>1.6789733759197651</v>
      </c>
      <c r="H15777">
        <f>0.0217391304347826*3.86597906692673</f>
        <v>8.4043023194059319E-2</v>
      </c>
      <c r="I15777">
        <v>8.4043023194059541E-2</v>
      </c>
    </row>
    <row r="15778" spans="1:9" x14ac:dyDescent="0.25">
      <c r="A15778">
        <v>514</v>
      </c>
      <c r="B15778" t="s">
        <v>4144</v>
      </c>
      <c r="C15778" t="s">
        <v>75</v>
      </c>
      <c r="D15778" t="s">
        <v>82</v>
      </c>
      <c r="E15778">
        <f>3/46</f>
        <v>6.5217391304347824E-2</v>
      </c>
      <c r="F15778">
        <v>92</v>
      </c>
      <c r="G15778">
        <f>LOG(382/(92+1))</f>
        <v>0.61358041435777355</v>
      </c>
      <c r="H15778">
        <f>0.0652173913043478*1.41282111545331</f>
        <v>9.2140507529563653E-2</v>
      </c>
      <c r="I15778">
        <v>9.2140507529564292E-2</v>
      </c>
    </row>
    <row r="15779" spans="1:9" x14ac:dyDescent="0.25">
      <c r="A15779">
        <v>514</v>
      </c>
      <c r="B15779" t="s">
        <v>4144</v>
      </c>
      <c r="C15779" t="s">
        <v>75</v>
      </c>
      <c r="D15779" t="s">
        <v>1080</v>
      </c>
      <c r="E15779">
        <f t="shared" ref="E15779:E15791" si="741">1/46</f>
        <v>2.1739130434782608E-2</v>
      </c>
      <c r="F15779">
        <v>26</v>
      </c>
      <c r="G15779">
        <f>LOG(382/(26+1))</f>
        <v>1.1506995987527215</v>
      </c>
      <c r="H15779">
        <f>0.0217391304347826*2.64958374260224</f>
        <v>5.7599646578309543E-2</v>
      </c>
      <c r="I15779">
        <v>5.7599646578309703E-2</v>
      </c>
    </row>
    <row r="15780" spans="1:9" x14ac:dyDescent="0.25">
      <c r="A15780">
        <v>514</v>
      </c>
      <c r="B15780" t="s">
        <v>4144</v>
      </c>
      <c r="C15780" t="s">
        <v>75</v>
      </c>
      <c r="D15780" t="s">
        <v>3290</v>
      </c>
      <c r="E15780">
        <f t="shared" si="741"/>
        <v>2.1739130434782608E-2</v>
      </c>
      <c r="F15780">
        <v>12</v>
      </c>
      <c r="G15780">
        <f>LOG(382/(12+1))</f>
        <v>1.468120010604872</v>
      </c>
      <c r="H15780">
        <f>0.0217391304347826*3.38047125114503</f>
        <v>7.3488505459674544E-2</v>
      </c>
      <c r="I15780">
        <v>7.3488505459674752E-2</v>
      </c>
    </row>
    <row r="15781" spans="1:9" x14ac:dyDescent="0.25">
      <c r="A15781">
        <v>514</v>
      </c>
      <c r="B15781" t="s">
        <v>4144</v>
      </c>
      <c r="C15781" t="s">
        <v>75</v>
      </c>
      <c r="D15781" t="s">
        <v>2369</v>
      </c>
      <c r="E15781">
        <f t="shared" si="741"/>
        <v>2.1739130434782608E-2</v>
      </c>
      <c r="F15781">
        <v>15</v>
      </c>
      <c r="G15781">
        <f>LOG(382/(15+1))</f>
        <v>1.3779433802557839</v>
      </c>
      <c r="H15781">
        <f>0.0217391304347826*3.17283188636679</f>
        <v>6.8974606225364984E-2</v>
      </c>
      <c r="I15781">
        <v>6.8974606225365082E-2</v>
      </c>
    </row>
    <row r="15782" spans="1:9" x14ac:dyDescent="0.25">
      <c r="A15782">
        <v>514</v>
      </c>
      <c r="B15782" t="s">
        <v>4144</v>
      </c>
      <c r="C15782" t="s">
        <v>75</v>
      </c>
      <c r="D15782" t="s">
        <v>1727</v>
      </c>
      <c r="E15782">
        <f t="shared" si="741"/>
        <v>2.1739130434782608E-2</v>
      </c>
      <c r="F15782">
        <v>27</v>
      </c>
      <c r="G15782">
        <f>LOG(382/(27+1))</f>
        <v>1.1349053315694895</v>
      </c>
      <c r="H15782">
        <f>0.0217391304347826*2.61321609843137</f>
        <v>5.6809045618073248E-2</v>
      </c>
      <c r="I15782">
        <v>5.6809045618073283E-2</v>
      </c>
    </row>
    <row r="15783" spans="1:9" x14ac:dyDescent="0.25">
      <c r="A15783">
        <v>514</v>
      </c>
      <c r="B15783" t="s">
        <v>4144</v>
      </c>
      <c r="C15783" t="s">
        <v>75</v>
      </c>
      <c r="D15783" t="s">
        <v>764</v>
      </c>
      <c r="E15783">
        <f t="shared" si="741"/>
        <v>2.1739130434782608E-2</v>
      </c>
      <c r="F15783">
        <v>57</v>
      </c>
      <c r="G15783">
        <f>LOG(382/(57+1))</f>
        <v>0.81863536934877146</v>
      </c>
      <c r="H15783">
        <f>0.0217391304347826*1.88497759806015</f>
        <v>4.0977773870872813E-2</v>
      </c>
      <c r="I15783">
        <v>4.0977773870872952E-2</v>
      </c>
    </row>
    <row r="15784" spans="1:9" x14ac:dyDescent="0.25">
      <c r="A15784">
        <v>514</v>
      </c>
      <c r="B15784" t="s">
        <v>4144</v>
      </c>
      <c r="C15784" t="s">
        <v>75</v>
      </c>
      <c r="D15784" t="s">
        <v>279</v>
      </c>
      <c r="E15784">
        <f t="shared" si="741"/>
        <v>2.1739130434782608E-2</v>
      </c>
      <c r="F15784">
        <v>22</v>
      </c>
      <c r="G15784">
        <f>LOG(382/(22+1))</f>
        <v>1.2203355268941158</v>
      </c>
      <c r="H15784">
        <f>0.0217391304347826*2.80992639267742</f>
        <v>6.1085356362552586E-2</v>
      </c>
      <c r="I15784">
        <v>6.1085356362552731E-2</v>
      </c>
    </row>
    <row r="15785" spans="1:9" x14ac:dyDescent="0.25">
      <c r="A15785">
        <v>514</v>
      </c>
      <c r="B15785" t="s">
        <v>4144</v>
      </c>
      <c r="C15785" t="s">
        <v>75</v>
      </c>
      <c r="D15785" t="s">
        <v>1540</v>
      </c>
      <c r="E15785">
        <f t="shared" si="741"/>
        <v>2.1739130434782608E-2</v>
      </c>
      <c r="F15785">
        <v>12</v>
      </c>
      <c r="G15785">
        <f>LOG(382/(12+1))</f>
        <v>1.468120010604872</v>
      </c>
      <c r="H15785">
        <f>0.0217391304347826*3.38047125114503</f>
        <v>7.3488505459674544E-2</v>
      </c>
      <c r="I15785">
        <v>7.3488505459674752E-2</v>
      </c>
    </row>
    <row r="15786" spans="1:9" x14ac:dyDescent="0.25">
      <c r="A15786">
        <v>514</v>
      </c>
      <c r="B15786" t="s">
        <v>4144</v>
      </c>
      <c r="C15786" t="s">
        <v>75</v>
      </c>
      <c r="D15786" t="s">
        <v>754</v>
      </c>
      <c r="E15786">
        <f t="shared" si="741"/>
        <v>2.1739130434782608E-2</v>
      </c>
      <c r="F15786">
        <v>111</v>
      </c>
      <c r="G15786">
        <f>LOG(382/(111+1))</f>
        <v>0.53284534024152708</v>
      </c>
      <c r="H15786">
        <f>0.0217391304347826*1.22692173731148</f>
        <v>2.667221168068434E-2</v>
      </c>
      <c r="I15786">
        <v>2.6672211680684361E-2</v>
      </c>
    </row>
    <row r="15787" spans="1:9" x14ac:dyDescent="0.25">
      <c r="A15787">
        <v>514</v>
      </c>
      <c r="B15787" t="s">
        <v>4144</v>
      </c>
      <c r="C15787" t="s">
        <v>75</v>
      </c>
      <c r="D15787" t="s">
        <v>329</v>
      </c>
      <c r="E15787">
        <f t="shared" si="741"/>
        <v>2.1739130434782608E-2</v>
      </c>
      <c r="F15787">
        <v>9</v>
      </c>
      <c r="G15787">
        <f>LOG(382/(9+1))</f>
        <v>1.5820633629117087</v>
      </c>
      <c r="H15787">
        <f>0.0217391304347826*3.64283551561252</f>
        <v>7.9192076426359101E-2</v>
      </c>
      <c r="I15787">
        <v>7.9192076426359337E-2</v>
      </c>
    </row>
    <row r="15788" spans="1:9" x14ac:dyDescent="0.25">
      <c r="A15788">
        <v>514</v>
      </c>
      <c r="B15788" t="s">
        <v>4144</v>
      </c>
      <c r="C15788" t="s">
        <v>75</v>
      </c>
      <c r="D15788" t="s">
        <v>4149</v>
      </c>
      <c r="E15788">
        <f t="shared" si="741"/>
        <v>2.1739130434782608E-2</v>
      </c>
      <c r="F15788">
        <v>1</v>
      </c>
      <c r="G15788">
        <f>LOG(382/(1+1))</f>
        <v>2.2810333672477277</v>
      </c>
      <c r="H15788">
        <f>0.0217391304347826*5.25227342804663</f>
        <v>0.11417985713144843</v>
      </c>
      <c r="I15788">
        <v>0.1141798571314485</v>
      </c>
    </row>
    <row r="15789" spans="1:9" x14ac:dyDescent="0.25">
      <c r="A15789">
        <v>514</v>
      </c>
      <c r="B15789" t="s">
        <v>4144</v>
      </c>
      <c r="C15789" t="s">
        <v>75</v>
      </c>
      <c r="D15789" t="s">
        <v>630</v>
      </c>
      <c r="E15789">
        <f t="shared" si="741"/>
        <v>2.1739130434782608E-2</v>
      </c>
      <c r="F15789">
        <v>6</v>
      </c>
      <c r="G15789">
        <f>LOG(382/(6+1))</f>
        <v>1.736965322897452</v>
      </c>
      <c r="H15789">
        <f>0.0217391304347826*3.99951045955126</f>
        <v>8.6945879555462138E-2</v>
      </c>
      <c r="I15789">
        <v>8.6945879555462208E-2</v>
      </c>
    </row>
    <row r="15790" spans="1:9" x14ac:dyDescent="0.25">
      <c r="A15790">
        <v>514</v>
      </c>
      <c r="B15790" t="s">
        <v>4144</v>
      </c>
      <c r="C15790" t="s">
        <v>75</v>
      </c>
      <c r="D15790" t="s">
        <v>770</v>
      </c>
      <c r="E15790">
        <f t="shared" si="741"/>
        <v>2.1739130434782608E-2</v>
      </c>
      <c r="F15790">
        <v>47</v>
      </c>
      <c r="G15790">
        <f>LOG(382/(47+1))</f>
        <v>0.90082212553612151</v>
      </c>
      <c r="H15790">
        <f>0.0217391304347826*2.07421959769868</f>
        <v>4.5091730384753899E-2</v>
      </c>
      <c r="I15790">
        <v>4.5091730384754003E-2</v>
      </c>
    </row>
    <row r="15791" spans="1:9" x14ac:dyDescent="0.25">
      <c r="A15791">
        <v>514</v>
      </c>
      <c r="B15791" t="s">
        <v>4144</v>
      </c>
      <c r="C15791" t="s">
        <v>75</v>
      </c>
      <c r="D15791" t="s">
        <v>2099</v>
      </c>
      <c r="E15791">
        <f t="shared" si="741"/>
        <v>2.1739130434782608E-2</v>
      </c>
      <c r="F15791">
        <v>6</v>
      </c>
      <c r="G15791">
        <f>LOG(382/(6+1))</f>
        <v>1.736965322897452</v>
      </c>
      <c r="H15791">
        <f>0.0217391304347826*3.99951045955126</f>
        <v>8.6945879555462138E-2</v>
      </c>
      <c r="I15791">
        <v>8.6945879555462208E-2</v>
      </c>
    </row>
    <row r="15792" spans="1:9" x14ac:dyDescent="0.25">
      <c r="A15792">
        <v>515</v>
      </c>
      <c r="B15792" t="s">
        <v>4150</v>
      </c>
      <c r="C15792" t="s">
        <v>138</v>
      </c>
      <c r="D15792" t="s">
        <v>112</v>
      </c>
      <c r="E15792">
        <f>1/242</f>
        <v>4.1322314049586778E-3</v>
      </c>
      <c r="F15792">
        <v>52</v>
      </c>
      <c r="G15792">
        <f>LOG(382/(52+1))</f>
        <v>0.85778749331091964</v>
      </c>
      <c r="H15792">
        <f>0.00413223140495867*1.97512869505445</f>
        <v>8.1616888225390337E-3</v>
      </c>
      <c r="I15792">
        <v>8.1616888225390632E-3</v>
      </c>
    </row>
    <row r="15793" spans="1:9" x14ac:dyDescent="0.25">
      <c r="A15793">
        <v>515</v>
      </c>
      <c r="B15793" t="s">
        <v>4150</v>
      </c>
      <c r="C15793" t="s">
        <v>138</v>
      </c>
      <c r="D15793" t="s">
        <v>50</v>
      </c>
      <c r="E15793">
        <f>1/242</f>
        <v>4.1322314049586778E-3</v>
      </c>
      <c r="F15793">
        <v>109</v>
      </c>
      <c r="G15793">
        <f>LOG(382/(109+1))</f>
        <v>0.54067067775348365</v>
      </c>
      <c r="H15793">
        <f>0.00413223140495867*1.24494024281415</f>
        <v>5.1443811686535034E-3</v>
      </c>
      <c r="I15793">
        <v>5.1443811686535494E-3</v>
      </c>
    </row>
    <row r="15794" spans="1:9" x14ac:dyDescent="0.25">
      <c r="A15794">
        <v>515</v>
      </c>
      <c r="B15794" t="s">
        <v>4150</v>
      </c>
      <c r="C15794" t="s">
        <v>138</v>
      </c>
      <c r="D15794" t="s">
        <v>762</v>
      </c>
      <c r="E15794">
        <f>3/242</f>
        <v>1.2396694214876033E-2</v>
      </c>
      <c r="F15794">
        <v>29</v>
      </c>
      <c r="G15794">
        <f>LOG(382/(29+1))</f>
        <v>1.1049421081920463</v>
      </c>
      <c r="H15794">
        <f>0.012396694214876*2.54422322694442</f>
        <v>3.1539957358815041E-2</v>
      </c>
      <c r="I15794">
        <v>3.1539957358815117E-2</v>
      </c>
    </row>
    <row r="15795" spans="1:9" x14ac:dyDescent="0.25">
      <c r="A15795">
        <v>515</v>
      </c>
      <c r="B15795" t="s">
        <v>4150</v>
      </c>
      <c r="C15795" t="s">
        <v>138</v>
      </c>
      <c r="D15795" t="s">
        <v>1208</v>
      </c>
      <c r="E15795">
        <f>3/242</f>
        <v>1.2396694214876033E-2</v>
      </c>
      <c r="F15795">
        <v>10</v>
      </c>
      <c r="G15795">
        <f>LOG(382/(10+1))</f>
        <v>1.5406706777534838</v>
      </c>
      <c r="H15795">
        <f>0.012396694214876*3.5475253358082</f>
        <v>4.3977586807539555E-2</v>
      </c>
      <c r="I15795">
        <v>4.3977586807539729E-2</v>
      </c>
    </row>
    <row r="15796" spans="1:9" x14ac:dyDescent="0.25">
      <c r="A15796">
        <v>515</v>
      </c>
      <c r="B15796" t="s">
        <v>4150</v>
      </c>
      <c r="C15796" t="s">
        <v>138</v>
      </c>
      <c r="D15796" t="s">
        <v>573</v>
      </c>
      <c r="E15796">
        <f>1/242</f>
        <v>4.1322314049586778E-3</v>
      </c>
      <c r="F15796">
        <v>14</v>
      </c>
      <c r="G15796">
        <f>LOG(382/(14+1))</f>
        <v>1.4059721038560276</v>
      </c>
      <c r="H15796">
        <f>0.00413223140495867*3.23737040750436</f>
        <v>1.3377563667373363E-2</v>
      </c>
      <c r="I15796">
        <v>1.337756366737341E-2</v>
      </c>
    </row>
    <row r="15797" spans="1:9" x14ac:dyDescent="0.25">
      <c r="A15797">
        <v>515</v>
      </c>
      <c r="B15797" t="s">
        <v>4150</v>
      </c>
      <c r="C15797" t="s">
        <v>138</v>
      </c>
      <c r="D15797" t="s">
        <v>2138</v>
      </c>
      <c r="E15797">
        <f>3/242</f>
        <v>1.2396694214876033E-2</v>
      </c>
      <c r="F15797">
        <v>3</v>
      </c>
      <c r="G15797">
        <f>LOG(382/(3+1))</f>
        <v>1.9800033715837464</v>
      </c>
      <c r="H15797">
        <f>0.012396694214876*4.55912624748668</f>
        <v>5.6518093977107456E-2</v>
      </c>
      <c r="I15797">
        <v>5.6518093977107657E-2</v>
      </c>
    </row>
    <row r="15798" spans="1:9" x14ac:dyDescent="0.25">
      <c r="A15798">
        <v>515</v>
      </c>
      <c r="B15798" t="s">
        <v>4150</v>
      </c>
      <c r="C15798" t="s">
        <v>138</v>
      </c>
      <c r="D15798" t="s">
        <v>4151</v>
      </c>
      <c r="E15798">
        <f>2/242</f>
        <v>8.2644628099173556E-3</v>
      </c>
      <c r="F15798">
        <v>1</v>
      </c>
      <c r="G15798">
        <f>LOG(382/(1+1))</f>
        <v>2.2810333672477277</v>
      </c>
      <c r="H15798">
        <f>0.00826446280991735*5.25227342804663</f>
        <v>4.3407218413608485E-2</v>
      </c>
      <c r="I15798">
        <v>4.3407218413608513E-2</v>
      </c>
    </row>
    <row r="15799" spans="1:9" x14ac:dyDescent="0.25">
      <c r="A15799">
        <v>515</v>
      </c>
      <c r="B15799" t="s">
        <v>4150</v>
      </c>
      <c r="C15799" t="s">
        <v>138</v>
      </c>
      <c r="D15799" t="s">
        <v>331</v>
      </c>
      <c r="E15799">
        <f>2/242</f>
        <v>8.2644628099173556E-3</v>
      </c>
      <c r="F15799">
        <v>130</v>
      </c>
      <c r="G15799">
        <f>LOG(382/(130+1))</f>
        <v>0.46479206725594452</v>
      </c>
      <c r="H15799">
        <f>0.00826446280991735*1.07022328540542</f>
        <v>8.8448205405406571E-3</v>
      </c>
      <c r="I15799">
        <v>8.8448205405406918E-3</v>
      </c>
    </row>
    <row r="15800" spans="1:9" x14ac:dyDescent="0.25">
      <c r="A15800">
        <v>515</v>
      </c>
      <c r="B15800" t="s">
        <v>4150</v>
      </c>
      <c r="C15800" t="s">
        <v>138</v>
      </c>
      <c r="D15800" t="s">
        <v>490</v>
      </c>
      <c r="E15800">
        <f>2/242</f>
        <v>8.2644628099173556E-3</v>
      </c>
      <c r="F15800">
        <v>31</v>
      </c>
      <c r="G15800">
        <f>LOG(382/(31+1))</f>
        <v>1.0769133845918029</v>
      </c>
      <c r="H15800">
        <f>0.00826446280991735*2.47968470580684</f>
        <v>2.0493262031461474E-2</v>
      </c>
      <c r="I15800">
        <v>2.0493262031461561E-2</v>
      </c>
    </row>
    <row r="15801" spans="1:9" x14ac:dyDescent="0.25">
      <c r="A15801">
        <v>515</v>
      </c>
      <c r="B15801" t="s">
        <v>4150</v>
      </c>
      <c r="C15801" t="s">
        <v>138</v>
      </c>
      <c r="D15801" t="s">
        <v>237</v>
      </c>
      <c r="E15801">
        <f>1/242</f>
        <v>4.1322314049586778E-3</v>
      </c>
      <c r="F15801">
        <v>138</v>
      </c>
      <c r="G15801">
        <f>LOG(382/(138+1))</f>
        <v>0.43904856265761361</v>
      </c>
      <c r="H15801">
        <f>0.00413223140495867*1.01094667547588</f>
        <v>4.1774656011399919E-3</v>
      </c>
      <c r="I15801">
        <v>4.1774656011400136E-3</v>
      </c>
    </row>
    <row r="15802" spans="1:9" x14ac:dyDescent="0.25">
      <c r="A15802">
        <v>515</v>
      </c>
      <c r="B15802" t="s">
        <v>4150</v>
      </c>
      <c r="C15802" t="s">
        <v>138</v>
      </c>
      <c r="D15802" t="s">
        <v>1852</v>
      </c>
      <c r="E15802">
        <f>1/242</f>
        <v>4.1322314049586778E-3</v>
      </c>
      <c r="F15802">
        <v>2</v>
      </c>
      <c r="G15802">
        <f>LOG(382/(2+1))</f>
        <v>2.1049421081920463</v>
      </c>
      <c r="H15802">
        <f>0.00413223140495867*4.84680831993846</f>
        <v>2.0028133553464673E-2</v>
      </c>
      <c r="I15802">
        <v>2.0028133553464729E-2</v>
      </c>
    </row>
    <row r="15803" spans="1:9" x14ac:dyDescent="0.25">
      <c r="A15803">
        <v>515</v>
      </c>
      <c r="B15803" t="s">
        <v>4150</v>
      </c>
      <c r="C15803" t="s">
        <v>138</v>
      </c>
      <c r="D15803" t="s">
        <v>1796</v>
      </c>
      <c r="E15803">
        <f>2/242</f>
        <v>8.2644628099173556E-3</v>
      </c>
      <c r="F15803">
        <v>2</v>
      </c>
      <c r="G15803">
        <f>LOG(382/(2+1))</f>
        <v>2.1049421081920463</v>
      </c>
      <c r="H15803">
        <f>0.00826446280991735*4.84680831993846</f>
        <v>4.0056267106929395E-2</v>
      </c>
      <c r="I15803">
        <v>4.0056267106929458E-2</v>
      </c>
    </row>
    <row r="15804" spans="1:9" x14ac:dyDescent="0.25">
      <c r="A15804">
        <v>515</v>
      </c>
      <c r="B15804" t="s">
        <v>4150</v>
      </c>
      <c r="C15804" t="s">
        <v>138</v>
      </c>
      <c r="D15804" t="s">
        <v>1418</v>
      </c>
      <c r="E15804">
        <f>5/242</f>
        <v>2.0661157024793389E-2</v>
      </c>
      <c r="F15804">
        <v>6</v>
      </c>
      <c r="G15804">
        <f>LOG(382/(6+1))</f>
        <v>1.736965322897452</v>
      </c>
      <c r="H15804">
        <f>0.0206611570247933*3.99951045955126</f>
        <v>8.2634513627091788E-2</v>
      </c>
      <c r="I15804">
        <v>8.263451362709219E-2</v>
      </c>
    </row>
    <row r="15805" spans="1:9" x14ac:dyDescent="0.25">
      <c r="A15805">
        <v>515</v>
      </c>
      <c r="B15805" t="s">
        <v>4150</v>
      </c>
      <c r="C15805" t="s">
        <v>138</v>
      </c>
      <c r="D15805" t="s">
        <v>4152</v>
      </c>
      <c r="E15805">
        <f>1/242</f>
        <v>4.1322314049586778E-3</v>
      </c>
      <c r="F15805">
        <v>1</v>
      </c>
      <c r="G15805">
        <f>LOG(382/(1+1))</f>
        <v>2.2810333672477277</v>
      </c>
      <c r="H15805">
        <f>0.00413223140495867*5.25227342804663</f>
        <v>2.1703609206804215E-2</v>
      </c>
      <c r="I15805">
        <v>2.170360920680426E-2</v>
      </c>
    </row>
    <row r="15806" spans="1:9" x14ac:dyDescent="0.25">
      <c r="A15806">
        <v>515</v>
      </c>
      <c r="B15806" t="s">
        <v>4150</v>
      </c>
      <c r="C15806" t="s">
        <v>138</v>
      </c>
      <c r="D15806" t="s">
        <v>133</v>
      </c>
      <c r="E15806">
        <f>2/242</f>
        <v>8.2644628099173556E-3</v>
      </c>
      <c r="F15806">
        <v>142</v>
      </c>
      <c r="G15806">
        <f>LOG(382/(142+1))</f>
        <v>0.42672732544664693</v>
      </c>
      <c r="H15806">
        <f>0.00826446280991735*0.982575978346667</f>
        <v>8.1204626309641856E-3</v>
      </c>
      <c r="I15806">
        <v>8.1204626309641977E-3</v>
      </c>
    </row>
    <row r="15807" spans="1:9" x14ac:dyDescent="0.25">
      <c r="A15807">
        <v>515</v>
      </c>
      <c r="B15807" t="s">
        <v>4150</v>
      </c>
      <c r="C15807" t="s">
        <v>138</v>
      </c>
      <c r="D15807" t="s">
        <v>78</v>
      </c>
      <c r="E15807">
        <f t="shared" ref="E15807:E15824" si="742">1/242</f>
        <v>4.1322314049586778E-3</v>
      </c>
      <c r="F15807">
        <v>122</v>
      </c>
      <c r="G15807">
        <f>LOG(382/(122+1))</f>
        <v>0.49215825147231079</v>
      </c>
      <c r="H15807">
        <f>0.00413223140495867*1.13323625323415</f>
        <v>4.6827944348518504E-3</v>
      </c>
      <c r="I15807">
        <v>4.6827944348518911E-3</v>
      </c>
    </row>
    <row r="15808" spans="1:9" x14ac:dyDescent="0.25">
      <c r="A15808">
        <v>515</v>
      </c>
      <c r="B15808" t="s">
        <v>4150</v>
      </c>
      <c r="C15808" t="s">
        <v>138</v>
      </c>
      <c r="D15808" t="s">
        <v>15</v>
      </c>
      <c r="E15808">
        <f t="shared" si="742"/>
        <v>4.1322314049586778E-3</v>
      </c>
      <c r="F15808">
        <v>112</v>
      </c>
      <c r="G15808">
        <f>LOG(382/(112+1))</f>
        <v>0.52898491942828896</v>
      </c>
      <c r="H15808">
        <f>0.00413223140495867*1.21803278989423</f>
        <v>5.0331933466703626E-3</v>
      </c>
      <c r="I15808">
        <v>5.0331933466703912E-3</v>
      </c>
    </row>
    <row r="15809" spans="1:9" x14ac:dyDescent="0.25">
      <c r="A15809">
        <v>515</v>
      </c>
      <c r="B15809" t="s">
        <v>4150</v>
      </c>
      <c r="C15809" t="s">
        <v>138</v>
      </c>
      <c r="D15809" t="s">
        <v>79</v>
      </c>
      <c r="E15809">
        <f t="shared" si="742"/>
        <v>4.1322314049586778E-3</v>
      </c>
      <c r="F15809">
        <v>26</v>
      </c>
      <c r="G15809">
        <f>LOG(382/(26+1))</f>
        <v>1.1506995987527215</v>
      </c>
      <c r="H15809">
        <f>0.00413223140495867*2.64958374260224</f>
        <v>1.0948693151248905E-2</v>
      </c>
      <c r="I15809">
        <v>1.094869315124895E-2</v>
      </c>
    </row>
    <row r="15810" spans="1:9" x14ac:dyDescent="0.25">
      <c r="A15810">
        <v>515</v>
      </c>
      <c r="B15810" t="s">
        <v>4150</v>
      </c>
      <c r="C15810" t="s">
        <v>138</v>
      </c>
      <c r="D15810" t="s">
        <v>2941</v>
      </c>
      <c r="E15810">
        <f t="shared" si="742"/>
        <v>4.1322314049586778E-3</v>
      </c>
      <c r="F15810">
        <v>2</v>
      </c>
      <c r="G15810">
        <f>LOG(382/(2+1))</f>
        <v>2.1049421081920463</v>
      </c>
      <c r="H15810">
        <f>0.00413223140495867*4.84680831993846</f>
        <v>2.0028133553464673E-2</v>
      </c>
      <c r="I15810">
        <v>2.0028133553464729E-2</v>
      </c>
    </row>
    <row r="15811" spans="1:9" x14ac:dyDescent="0.25">
      <c r="A15811">
        <v>515</v>
      </c>
      <c r="B15811" t="s">
        <v>4150</v>
      </c>
      <c r="C15811" t="s">
        <v>138</v>
      </c>
      <c r="D15811" t="s">
        <v>2141</v>
      </c>
      <c r="E15811">
        <f t="shared" si="742"/>
        <v>4.1322314049586778E-3</v>
      </c>
      <c r="F15811">
        <v>2</v>
      </c>
      <c r="G15811">
        <f>LOG(382/(2+1))</f>
        <v>2.1049421081920463</v>
      </c>
      <c r="H15811">
        <f>0.00413223140495867*4.84680831993846</f>
        <v>2.0028133553464673E-2</v>
      </c>
      <c r="I15811">
        <v>2.0028133553464729E-2</v>
      </c>
    </row>
    <row r="15812" spans="1:9" x14ac:dyDescent="0.25">
      <c r="A15812">
        <v>515</v>
      </c>
      <c r="B15812" t="s">
        <v>4150</v>
      </c>
      <c r="C15812" t="s">
        <v>138</v>
      </c>
      <c r="D15812" t="s">
        <v>2538</v>
      </c>
      <c r="E15812">
        <f t="shared" si="742"/>
        <v>4.1322314049586778E-3</v>
      </c>
      <c r="F15812">
        <v>4</v>
      </c>
      <c r="G15812">
        <f>LOG(382/(4+1))</f>
        <v>1.8830933585756899</v>
      </c>
      <c r="H15812">
        <f>0.00413223140495867*4.33598269617247</f>
        <v>1.7917283868481248E-2</v>
      </c>
      <c r="I15812">
        <v>1.79172838684813E-2</v>
      </c>
    </row>
    <row r="15813" spans="1:9" x14ac:dyDescent="0.25">
      <c r="A15813">
        <v>515</v>
      </c>
      <c r="B15813" t="s">
        <v>4150</v>
      </c>
      <c r="C15813" t="s">
        <v>138</v>
      </c>
      <c r="D15813" t="s">
        <v>476</v>
      </c>
      <c r="E15813">
        <f t="shared" si="742"/>
        <v>4.1322314049586778E-3</v>
      </c>
      <c r="F15813">
        <v>18</v>
      </c>
      <c r="G15813">
        <f>LOG(382/(18+1))</f>
        <v>1.3033097619588798</v>
      </c>
      <c r="H15813">
        <f>0.00413223140495867*3.00098162944013</f>
        <v>1.2400750534876548E-2</v>
      </c>
      <c r="I15813">
        <v>1.240075053487659E-2</v>
      </c>
    </row>
    <row r="15814" spans="1:9" x14ac:dyDescent="0.25">
      <c r="A15814">
        <v>515</v>
      </c>
      <c r="B15814" t="s">
        <v>4150</v>
      </c>
      <c r="C15814" t="s">
        <v>138</v>
      </c>
      <c r="D15814" t="s">
        <v>929</v>
      </c>
      <c r="E15814">
        <f t="shared" si="742"/>
        <v>4.1322314049586778E-3</v>
      </c>
      <c r="F15814">
        <v>32</v>
      </c>
      <c r="G15814">
        <f>LOG(382/(32+1))</f>
        <v>1.0635494230338212</v>
      </c>
      <c r="H15814">
        <f>0.00413223140495867*2.44891304714009</f>
        <v>1.0119475401405313E-2</v>
      </c>
      <c r="I15814">
        <v>1.0119475401405349E-2</v>
      </c>
    </row>
    <row r="15815" spans="1:9" x14ac:dyDescent="0.25">
      <c r="A15815">
        <v>515</v>
      </c>
      <c r="B15815" t="s">
        <v>4150</v>
      </c>
      <c r="C15815" t="s">
        <v>138</v>
      </c>
      <c r="D15815" t="s">
        <v>24</v>
      </c>
      <c r="E15815">
        <f t="shared" si="742"/>
        <v>4.1322314049586778E-3</v>
      </c>
      <c r="F15815">
        <v>59</v>
      </c>
      <c r="G15815">
        <f>LOG(382/(59+1))</f>
        <v>0.80391211252806505</v>
      </c>
      <c r="H15815">
        <f>0.00413223140495867*1.85107604638447</f>
        <v>7.6490745718366384E-3</v>
      </c>
      <c r="I15815">
        <v>7.6490745718366714E-3</v>
      </c>
    </row>
    <row r="15816" spans="1:9" x14ac:dyDescent="0.25">
      <c r="A15816">
        <v>515</v>
      </c>
      <c r="B15816" t="s">
        <v>4150</v>
      </c>
      <c r="C15816" t="s">
        <v>138</v>
      </c>
      <c r="D15816" t="s">
        <v>348</v>
      </c>
      <c r="E15816">
        <f t="shared" si="742"/>
        <v>4.1322314049586778E-3</v>
      </c>
      <c r="F15816">
        <v>5</v>
      </c>
      <c r="G15816">
        <f>LOG(382/(5+1))</f>
        <v>1.803912112528065</v>
      </c>
      <c r="H15816">
        <f>0.00413223140495867*4.15366113937852</f>
        <v>1.716388900569633E-2</v>
      </c>
      <c r="I15816">
        <v>1.7163889005696369E-2</v>
      </c>
    </row>
    <row r="15817" spans="1:9" x14ac:dyDescent="0.25">
      <c r="A15817">
        <v>515</v>
      </c>
      <c r="B15817" t="s">
        <v>4150</v>
      </c>
      <c r="C15817" t="s">
        <v>138</v>
      </c>
      <c r="D15817" t="s">
        <v>1079</v>
      </c>
      <c r="E15817">
        <f t="shared" si="742"/>
        <v>4.1322314049586778E-3</v>
      </c>
      <c r="F15817">
        <v>34</v>
      </c>
      <c r="G15817">
        <f>LOG(382/(34+1))</f>
        <v>1.037995318561433</v>
      </c>
      <c r="H15817">
        <f>0.00413223140495867*2.39007254711716</f>
        <v>9.8763328393270886E-3</v>
      </c>
      <c r="I15817">
        <v>9.8763328393271128E-3</v>
      </c>
    </row>
    <row r="15818" spans="1:9" x14ac:dyDescent="0.25">
      <c r="A15818">
        <v>515</v>
      </c>
      <c r="B15818" t="s">
        <v>4150</v>
      </c>
      <c r="C15818" t="s">
        <v>138</v>
      </c>
      <c r="D15818" t="s">
        <v>39</v>
      </c>
      <c r="E15818">
        <f t="shared" si="742"/>
        <v>4.1322314049586778E-3</v>
      </c>
      <c r="F15818">
        <v>145</v>
      </c>
      <c r="G15818">
        <f>LOG(382/(145+1))</f>
        <v>0.41771050712727159</v>
      </c>
      <c r="H15818">
        <f>0.00413223140495867*0.961813986898238</f>
        <v>3.9744379623894059E-3</v>
      </c>
      <c r="I15818">
        <v>3.9744379623894164E-3</v>
      </c>
    </row>
    <row r="15819" spans="1:9" x14ac:dyDescent="0.25">
      <c r="A15819">
        <v>515</v>
      </c>
      <c r="B15819" t="s">
        <v>4150</v>
      </c>
      <c r="C15819" t="s">
        <v>138</v>
      </c>
      <c r="D15819" t="s">
        <v>1098</v>
      </c>
      <c r="E15819">
        <f t="shared" si="742"/>
        <v>4.1322314049586778E-3</v>
      </c>
      <c r="F15819">
        <v>19</v>
      </c>
      <c r="G15819">
        <f>LOG(382/(19+1))</f>
        <v>1.2810333672477277</v>
      </c>
      <c r="H15819">
        <f>0.00413223140495867*2.94968833505258</f>
        <v>1.2188794772944522E-2</v>
      </c>
      <c r="I15819">
        <v>1.218879477294456E-2</v>
      </c>
    </row>
    <row r="15820" spans="1:9" x14ac:dyDescent="0.25">
      <c r="A15820">
        <v>515</v>
      </c>
      <c r="B15820" t="s">
        <v>4150</v>
      </c>
      <c r="C15820" t="s">
        <v>138</v>
      </c>
      <c r="D15820" t="s">
        <v>1188</v>
      </c>
      <c r="E15820">
        <f t="shared" si="742"/>
        <v>4.1322314049586778E-3</v>
      </c>
      <c r="F15820">
        <v>4</v>
      </c>
      <c r="G15820">
        <f>LOG(382/(4+1))</f>
        <v>1.8830933585756899</v>
      </c>
      <c r="H15820">
        <f>0.00413223140495867*4.33598269617247</f>
        <v>1.7917283868481248E-2</v>
      </c>
      <c r="I15820">
        <v>1.79172838684813E-2</v>
      </c>
    </row>
    <row r="15821" spans="1:9" x14ac:dyDescent="0.25">
      <c r="A15821">
        <v>515</v>
      </c>
      <c r="B15821" t="s">
        <v>4150</v>
      </c>
      <c r="C15821" t="s">
        <v>138</v>
      </c>
      <c r="D15821" t="s">
        <v>4153</v>
      </c>
      <c r="E15821">
        <f t="shared" si="742"/>
        <v>4.1322314049586778E-3</v>
      </c>
      <c r="F15821">
        <v>1</v>
      </c>
      <c r="G15821">
        <f>LOG(382/(1+1))</f>
        <v>2.2810333672477277</v>
      </c>
      <c r="H15821">
        <f>0.00413223140495867*5.25227342804663</f>
        <v>2.1703609206804215E-2</v>
      </c>
      <c r="I15821">
        <v>2.170360920680426E-2</v>
      </c>
    </row>
    <row r="15822" spans="1:9" x14ac:dyDescent="0.25">
      <c r="A15822">
        <v>515</v>
      </c>
      <c r="B15822" t="s">
        <v>4150</v>
      </c>
      <c r="C15822" t="s">
        <v>138</v>
      </c>
      <c r="D15822" t="s">
        <v>219</v>
      </c>
      <c r="E15822">
        <f t="shared" si="742"/>
        <v>4.1322314049586778E-3</v>
      </c>
      <c r="F15822">
        <v>19</v>
      </c>
      <c r="G15822">
        <f>LOG(382/(19+1))</f>
        <v>1.2810333672477277</v>
      </c>
      <c r="H15822">
        <f>0.00413223140495867*2.94968833505258</f>
        <v>1.2188794772944522E-2</v>
      </c>
      <c r="I15822">
        <v>1.218879477294456E-2</v>
      </c>
    </row>
    <row r="15823" spans="1:9" x14ac:dyDescent="0.25">
      <c r="A15823">
        <v>515</v>
      </c>
      <c r="B15823" t="s">
        <v>4150</v>
      </c>
      <c r="C15823" t="s">
        <v>138</v>
      </c>
      <c r="D15823" t="s">
        <v>217</v>
      </c>
      <c r="E15823">
        <f t="shared" si="742"/>
        <v>4.1322314049586778E-3</v>
      </c>
      <c r="F15823">
        <v>12</v>
      </c>
      <c r="G15823">
        <f>LOG(382/(12+1))</f>
        <v>1.468120010604872</v>
      </c>
      <c r="H15823">
        <f>0.00413223140495867*3.38047125114503</f>
        <v>1.396888946754142E-2</v>
      </c>
      <c r="I15823">
        <v>1.3968889467541479E-2</v>
      </c>
    </row>
    <row r="15824" spans="1:9" x14ac:dyDescent="0.25">
      <c r="A15824">
        <v>515</v>
      </c>
      <c r="B15824" t="s">
        <v>4150</v>
      </c>
      <c r="C15824" t="s">
        <v>138</v>
      </c>
      <c r="D15824" t="s">
        <v>1533</v>
      </c>
      <c r="E15824">
        <f t="shared" si="742"/>
        <v>4.1322314049586778E-3</v>
      </c>
      <c r="F15824">
        <v>33</v>
      </c>
      <c r="G15824">
        <f>LOG(382/(33+1))</f>
        <v>1.0505844458694535</v>
      </c>
      <c r="H15824">
        <f>0.00413223140495867*2.41906008399041</f>
        <v>9.9961160495471314E-3</v>
      </c>
      <c r="I15824">
        <v>9.9961160495471643E-3</v>
      </c>
    </row>
    <row r="15825" spans="1:9" x14ac:dyDescent="0.25">
      <c r="A15825">
        <v>515</v>
      </c>
      <c r="B15825" t="s">
        <v>4150</v>
      </c>
      <c r="C15825" t="s">
        <v>138</v>
      </c>
      <c r="D15825" t="s">
        <v>40</v>
      </c>
      <c r="E15825">
        <f>3/242</f>
        <v>1.2396694214876033E-2</v>
      </c>
      <c r="F15825">
        <v>159</v>
      </c>
      <c r="G15825">
        <f>LOG(382/(159+1))</f>
        <v>0.377943380255784</v>
      </c>
      <c r="H15825">
        <f>0.012396694214876*0.870246793372748</f>
        <v>1.0788183388918335E-2</v>
      </c>
      <c r="I15825">
        <v>1.078818338891837E-2</v>
      </c>
    </row>
    <row r="15826" spans="1:9" x14ac:dyDescent="0.25">
      <c r="A15826">
        <v>515</v>
      </c>
      <c r="B15826" t="s">
        <v>4150</v>
      </c>
      <c r="C15826" t="s">
        <v>138</v>
      </c>
      <c r="D15826" t="s">
        <v>41</v>
      </c>
      <c r="E15826">
        <f t="shared" ref="E15826:E15832" si="743">1/242</f>
        <v>4.1322314049586778E-3</v>
      </c>
      <c r="F15826">
        <v>195</v>
      </c>
      <c r="G15826">
        <f>LOG(382/(195+1))</f>
        <v>0.28980729155523272</v>
      </c>
      <c r="H15826">
        <f>0.00413223140495867*0.667305949376058</f>
        <v>2.7574626007275073E-3</v>
      </c>
      <c r="I15826">
        <v>2.757462600727512E-3</v>
      </c>
    </row>
    <row r="15827" spans="1:9" x14ac:dyDescent="0.25">
      <c r="A15827">
        <v>515</v>
      </c>
      <c r="B15827" t="s">
        <v>4150</v>
      </c>
      <c r="C15827" t="s">
        <v>138</v>
      </c>
      <c r="D15827" t="s">
        <v>4154</v>
      </c>
      <c r="E15827">
        <f t="shared" si="743"/>
        <v>4.1322314049586778E-3</v>
      </c>
      <c r="F15827">
        <v>1</v>
      </c>
      <c r="G15827">
        <f>LOG(382/(1+1))</f>
        <v>2.2810333672477277</v>
      </c>
      <c r="H15827">
        <f>0.00413223140495867*5.25227342804663</f>
        <v>2.1703609206804215E-2</v>
      </c>
      <c r="I15827">
        <v>2.170360920680426E-2</v>
      </c>
    </row>
    <row r="15828" spans="1:9" x14ac:dyDescent="0.25">
      <c r="A15828">
        <v>515</v>
      </c>
      <c r="B15828" t="s">
        <v>4150</v>
      </c>
      <c r="C15828" t="s">
        <v>138</v>
      </c>
      <c r="D15828" t="s">
        <v>3663</v>
      </c>
      <c r="E15828">
        <f t="shared" si="743"/>
        <v>4.1322314049586778E-3</v>
      </c>
      <c r="F15828">
        <v>2</v>
      </c>
      <c r="G15828">
        <f>LOG(382/(2+1))</f>
        <v>2.1049421081920463</v>
      </c>
      <c r="H15828">
        <f>0.00413223140495867*4.84680831993846</f>
        <v>2.0028133553464673E-2</v>
      </c>
      <c r="I15828">
        <v>2.0028133553464729E-2</v>
      </c>
    </row>
    <row r="15829" spans="1:9" x14ac:dyDescent="0.25">
      <c r="A15829">
        <v>515</v>
      </c>
      <c r="B15829" t="s">
        <v>4150</v>
      </c>
      <c r="C15829" t="s">
        <v>138</v>
      </c>
      <c r="D15829" t="s">
        <v>2226</v>
      </c>
      <c r="E15829">
        <f t="shared" si="743"/>
        <v>4.1322314049586778E-3</v>
      </c>
      <c r="F15829">
        <v>4</v>
      </c>
      <c r="G15829">
        <f>LOG(382/(4+1))</f>
        <v>1.8830933585756899</v>
      </c>
      <c r="H15829">
        <f>0.00413223140495867*4.33598269617247</f>
        <v>1.7917283868481248E-2</v>
      </c>
      <c r="I15829">
        <v>1.79172838684813E-2</v>
      </c>
    </row>
    <row r="15830" spans="1:9" x14ac:dyDescent="0.25">
      <c r="A15830">
        <v>515</v>
      </c>
      <c r="B15830" t="s">
        <v>4150</v>
      </c>
      <c r="C15830" t="s">
        <v>138</v>
      </c>
      <c r="D15830" t="s">
        <v>4155</v>
      </c>
      <c r="E15830">
        <f t="shared" si="743"/>
        <v>4.1322314049586778E-3</v>
      </c>
      <c r="F15830">
        <v>1</v>
      </c>
      <c r="G15830">
        <f>LOG(382/(1+1))</f>
        <v>2.2810333672477277</v>
      </c>
      <c r="H15830">
        <f>0.00413223140495867*5.25227342804663</f>
        <v>2.1703609206804215E-2</v>
      </c>
      <c r="I15830">
        <v>2.170360920680426E-2</v>
      </c>
    </row>
    <row r="15831" spans="1:9" x14ac:dyDescent="0.25">
      <c r="A15831">
        <v>515</v>
      </c>
      <c r="B15831" t="s">
        <v>4150</v>
      </c>
      <c r="C15831" t="s">
        <v>138</v>
      </c>
      <c r="D15831" t="s">
        <v>3484</v>
      </c>
      <c r="E15831">
        <f t="shared" si="743"/>
        <v>4.1322314049586778E-3</v>
      </c>
      <c r="F15831">
        <v>2</v>
      </c>
      <c r="G15831">
        <f>LOG(382/(2+1))</f>
        <v>2.1049421081920463</v>
      </c>
      <c r="H15831">
        <f>0.00413223140495867*4.84680831993846</f>
        <v>2.0028133553464673E-2</v>
      </c>
      <c r="I15831">
        <v>2.0028133553464729E-2</v>
      </c>
    </row>
    <row r="15832" spans="1:9" x14ac:dyDescent="0.25">
      <c r="A15832">
        <v>515</v>
      </c>
      <c r="B15832" t="s">
        <v>4150</v>
      </c>
      <c r="C15832" t="s">
        <v>138</v>
      </c>
      <c r="D15832" t="s">
        <v>3485</v>
      </c>
      <c r="E15832">
        <f t="shared" si="743"/>
        <v>4.1322314049586778E-3</v>
      </c>
      <c r="F15832">
        <v>2</v>
      </c>
      <c r="G15832">
        <f>LOG(382/(2+1))</f>
        <v>2.1049421081920463</v>
      </c>
      <c r="H15832">
        <f>0.00413223140495867*4.84680831993846</f>
        <v>2.0028133553464673E-2</v>
      </c>
      <c r="I15832">
        <v>2.0028133553464729E-2</v>
      </c>
    </row>
    <row r="15833" spans="1:9" x14ac:dyDescent="0.25">
      <c r="A15833">
        <v>515</v>
      </c>
      <c r="B15833" t="s">
        <v>4150</v>
      </c>
      <c r="C15833" t="s">
        <v>138</v>
      </c>
      <c r="D15833" t="s">
        <v>3381</v>
      </c>
      <c r="E15833">
        <f>2/242</f>
        <v>8.2644628099173556E-3</v>
      </c>
      <c r="F15833">
        <v>6</v>
      </c>
      <c r="G15833">
        <f>LOG(382/(6+1))</f>
        <v>1.736965322897452</v>
      </c>
      <c r="H15833">
        <f>0.00826446280991735*3.99951045955126</f>
        <v>3.3053805450836839E-2</v>
      </c>
      <c r="I15833">
        <v>3.3053805450836873E-2</v>
      </c>
    </row>
    <row r="15834" spans="1:9" x14ac:dyDescent="0.25">
      <c r="A15834">
        <v>515</v>
      </c>
      <c r="B15834" t="s">
        <v>4150</v>
      </c>
      <c r="C15834" t="s">
        <v>138</v>
      </c>
      <c r="D15834" t="s">
        <v>3337</v>
      </c>
      <c r="E15834">
        <f>4/242</f>
        <v>1.6528925619834711E-2</v>
      </c>
      <c r="F15834">
        <v>3</v>
      </c>
      <c r="G15834">
        <f>LOG(382/(3+1))</f>
        <v>1.9800033715837464</v>
      </c>
      <c r="H15834">
        <f>0.0165289256198347*4.55912624748668</f>
        <v>7.5357458636143432E-2</v>
      </c>
      <c r="I15834">
        <v>7.5357458636143543E-2</v>
      </c>
    </row>
    <row r="15835" spans="1:9" x14ac:dyDescent="0.25">
      <c r="A15835">
        <v>515</v>
      </c>
      <c r="B15835" t="s">
        <v>4150</v>
      </c>
      <c r="C15835" t="s">
        <v>138</v>
      </c>
      <c r="D15835" t="s">
        <v>937</v>
      </c>
      <c r="E15835">
        <f>3/242</f>
        <v>1.2396694214876033E-2</v>
      </c>
      <c r="F15835">
        <v>41</v>
      </c>
      <c r="G15835">
        <f>LOG(382/(41+1))</f>
        <v>0.95881407251380824</v>
      </c>
      <c r="H15835">
        <f>0.012396694214876*2.2077509903232</f>
        <v>2.7368813929626378E-2</v>
      </c>
      <c r="I15835">
        <v>2.7368813929626531E-2</v>
      </c>
    </row>
    <row r="15836" spans="1:9" x14ac:dyDescent="0.25">
      <c r="A15836">
        <v>515</v>
      </c>
      <c r="B15836" t="s">
        <v>4150</v>
      </c>
      <c r="C15836" t="s">
        <v>138</v>
      </c>
      <c r="D15836" t="s">
        <v>4156</v>
      </c>
      <c r="E15836">
        <f>1/242</f>
        <v>4.1322314049586778E-3</v>
      </c>
      <c r="F15836">
        <v>1</v>
      </c>
      <c r="G15836">
        <f>LOG(382/(1+1))</f>
        <v>2.2810333672477277</v>
      </c>
      <c r="H15836">
        <f>0.00413223140495867*5.25227342804663</f>
        <v>2.1703609206804215E-2</v>
      </c>
      <c r="I15836">
        <v>2.170360920680426E-2</v>
      </c>
    </row>
    <row r="15837" spans="1:9" x14ac:dyDescent="0.25">
      <c r="A15837">
        <v>515</v>
      </c>
      <c r="B15837" t="s">
        <v>4150</v>
      </c>
      <c r="C15837" t="s">
        <v>138</v>
      </c>
      <c r="D15837" t="s">
        <v>1731</v>
      </c>
      <c r="E15837">
        <f>3/242</f>
        <v>1.2396694214876033E-2</v>
      </c>
      <c r="F15837">
        <v>15</v>
      </c>
      <c r="G15837">
        <f>LOG(382/(15+1))</f>
        <v>1.3779433802557839</v>
      </c>
      <c r="H15837">
        <f>0.012396694214876*3.17283188636679</f>
        <v>3.9332626690497294E-2</v>
      </c>
      <c r="I15837">
        <v>3.9332626690497453E-2</v>
      </c>
    </row>
    <row r="15838" spans="1:9" x14ac:dyDescent="0.25">
      <c r="A15838">
        <v>515</v>
      </c>
      <c r="B15838" t="s">
        <v>4150</v>
      </c>
      <c r="C15838" t="s">
        <v>138</v>
      </c>
      <c r="D15838" t="s">
        <v>82</v>
      </c>
      <c r="E15838">
        <f>3/242</f>
        <v>1.2396694214876033E-2</v>
      </c>
      <c r="F15838">
        <v>92</v>
      </c>
      <c r="G15838">
        <f>LOG(382/(92+1))</f>
        <v>0.61358041435777355</v>
      </c>
      <c r="H15838">
        <f>0.012396694214876*1.41282111545331</f>
        <v>1.7514311348594706E-2</v>
      </c>
      <c r="I15838">
        <v>1.7514311348594869E-2</v>
      </c>
    </row>
    <row r="15839" spans="1:9" x14ac:dyDescent="0.25">
      <c r="A15839">
        <v>515</v>
      </c>
      <c r="B15839" t="s">
        <v>4150</v>
      </c>
      <c r="C15839" t="s">
        <v>138</v>
      </c>
      <c r="D15839" t="s">
        <v>4157</v>
      </c>
      <c r="E15839">
        <f>1/242</f>
        <v>4.1322314049586778E-3</v>
      </c>
      <c r="F15839">
        <v>1</v>
      </c>
      <c r="G15839">
        <f>LOG(382/(1+1))</f>
        <v>2.2810333672477277</v>
      </c>
      <c r="H15839">
        <f>0.00413223140495867*5.25227342804663</f>
        <v>2.1703609206804215E-2</v>
      </c>
      <c r="I15839">
        <v>2.170360920680426E-2</v>
      </c>
    </row>
    <row r="15840" spans="1:9" x14ac:dyDescent="0.25">
      <c r="A15840">
        <v>515</v>
      </c>
      <c r="B15840" t="s">
        <v>4150</v>
      </c>
      <c r="C15840" t="s">
        <v>138</v>
      </c>
      <c r="D15840" t="s">
        <v>426</v>
      </c>
      <c r="E15840">
        <f>2/242</f>
        <v>8.2644628099173556E-3</v>
      </c>
      <c r="F15840">
        <v>10</v>
      </c>
      <c r="G15840">
        <f>LOG(382/(10+1))</f>
        <v>1.5406706777534838</v>
      </c>
      <c r="H15840">
        <f>0.00826446280991735*3.5475253358082</f>
        <v>2.9318391205026429E-2</v>
      </c>
      <c r="I15840">
        <v>2.9318391205026481E-2</v>
      </c>
    </row>
    <row r="15841" spans="1:9" x14ac:dyDescent="0.25">
      <c r="A15841">
        <v>515</v>
      </c>
      <c r="B15841" t="s">
        <v>4150</v>
      </c>
      <c r="C15841" t="s">
        <v>138</v>
      </c>
      <c r="D15841" t="s">
        <v>3452</v>
      </c>
      <c r="E15841">
        <f>1/242</f>
        <v>4.1322314049586778E-3</v>
      </c>
      <c r="F15841">
        <v>8</v>
      </c>
      <c r="G15841">
        <f>LOG(382/(8+1))</f>
        <v>1.6278208534723839</v>
      </c>
      <c r="H15841">
        <f>0.00413223140495867*3.74819603127035</f>
        <v>1.5488413352356789E-2</v>
      </c>
      <c r="I15841">
        <v>1.5488413352356839E-2</v>
      </c>
    </row>
    <row r="15842" spans="1:9" x14ac:dyDescent="0.25">
      <c r="A15842">
        <v>515</v>
      </c>
      <c r="B15842" t="s">
        <v>4150</v>
      </c>
      <c r="C15842" t="s">
        <v>138</v>
      </c>
      <c r="D15842" t="s">
        <v>98</v>
      </c>
      <c r="E15842">
        <f>3/242</f>
        <v>1.2396694214876033E-2</v>
      </c>
      <c r="F15842">
        <v>56</v>
      </c>
      <c r="G15842">
        <f>LOG(382/(56+1))</f>
        <v>0.82618850723921733</v>
      </c>
      <c r="H15842">
        <f>0.012396694214876*1.90236934077202</f>
        <v>2.358309100130597E-2</v>
      </c>
      <c r="I15842">
        <v>2.3583091001306091E-2</v>
      </c>
    </row>
    <row r="15843" spans="1:9" x14ac:dyDescent="0.25">
      <c r="A15843">
        <v>515</v>
      </c>
      <c r="B15843" t="s">
        <v>4150</v>
      </c>
      <c r="C15843" t="s">
        <v>138</v>
      </c>
      <c r="D15843" t="s">
        <v>545</v>
      </c>
      <c r="E15843">
        <f>2/242</f>
        <v>8.2644628099173556E-3</v>
      </c>
      <c r="F15843">
        <v>6</v>
      </c>
      <c r="G15843">
        <f>LOG(382/(6+1))</f>
        <v>1.736965322897452</v>
      </c>
      <c r="H15843">
        <f>0.00826446280991735*3.99951045955126</f>
        <v>3.3053805450836839E-2</v>
      </c>
      <c r="I15843">
        <v>3.3053805450836873E-2</v>
      </c>
    </row>
    <row r="15844" spans="1:9" x14ac:dyDescent="0.25">
      <c r="A15844">
        <v>515</v>
      </c>
      <c r="B15844" t="s">
        <v>4150</v>
      </c>
      <c r="C15844" t="s">
        <v>138</v>
      </c>
      <c r="D15844" t="s">
        <v>201</v>
      </c>
      <c r="E15844">
        <f>2/242</f>
        <v>8.2644628099173556E-3</v>
      </c>
      <c r="F15844">
        <v>72</v>
      </c>
      <c r="G15844">
        <f>LOG(382/(72+1))</f>
        <v>0.71874050279125279</v>
      </c>
      <c r="H15844">
        <f>0.00826446280991735*1.65496116745818</f>
        <v>1.3677365020315527E-2</v>
      </c>
      <c r="I15844">
        <v>1.3677365020315571E-2</v>
      </c>
    </row>
    <row r="15845" spans="1:9" x14ac:dyDescent="0.25">
      <c r="A15845">
        <v>515</v>
      </c>
      <c r="B15845" t="s">
        <v>4150</v>
      </c>
      <c r="C15845" t="s">
        <v>138</v>
      </c>
      <c r="D15845" t="s">
        <v>4158</v>
      </c>
      <c r="E15845">
        <f>1/242</f>
        <v>4.1322314049586778E-3</v>
      </c>
      <c r="F15845">
        <v>1</v>
      </c>
      <c r="G15845">
        <f>LOG(382/(1+1))</f>
        <v>2.2810333672477277</v>
      </c>
      <c r="H15845">
        <f>0.00413223140495867*5.25227342804663</f>
        <v>2.1703609206804215E-2</v>
      </c>
      <c r="I15845">
        <v>2.170360920680426E-2</v>
      </c>
    </row>
    <row r="15846" spans="1:9" x14ac:dyDescent="0.25">
      <c r="A15846">
        <v>515</v>
      </c>
      <c r="B15846" t="s">
        <v>4150</v>
      </c>
      <c r="C15846" t="s">
        <v>138</v>
      </c>
      <c r="D15846" t="s">
        <v>4159</v>
      </c>
      <c r="E15846">
        <f>1/242</f>
        <v>4.1322314049586778E-3</v>
      </c>
      <c r="F15846">
        <v>1</v>
      </c>
      <c r="G15846">
        <f>LOG(382/(1+1))</f>
        <v>2.2810333672477277</v>
      </c>
      <c r="H15846">
        <f>0.00413223140495867*5.25227342804663</f>
        <v>2.1703609206804215E-2</v>
      </c>
      <c r="I15846">
        <v>2.170360920680426E-2</v>
      </c>
    </row>
    <row r="15847" spans="1:9" x14ac:dyDescent="0.25">
      <c r="A15847">
        <v>515</v>
      </c>
      <c r="B15847" t="s">
        <v>4150</v>
      </c>
      <c r="C15847" t="s">
        <v>138</v>
      </c>
      <c r="D15847" t="s">
        <v>4160</v>
      </c>
      <c r="E15847">
        <f>1/242</f>
        <v>4.1322314049586778E-3</v>
      </c>
      <c r="F15847">
        <v>1</v>
      </c>
      <c r="G15847">
        <f>LOG(382/(1+1))</f>
        <v>2.2810333672477277</v>
      </c>
      <c r="H15847">
        <f>0.00413223140495867*5.25227342804663</f>
        <v>2.1703609206804215E-2</v>
      </c>
      <c r="I15847">
        <v>2.170360920680426E-2</v>
      </c>
    </row>
    <row r="15848" spans="1:9" x14ac:dyDescent="0.25">
      <c r="A15848">
        <v>515</v>
      </c>
      <c r="B15848" t="s">
        <v>4150</v>
      </c>
      <c r="C15848" t="s">
        <v>138</v>
      </c>
      <c r="D15848" t="s">
        <v>3094</v>
      </c>
      <c r="E15848">
        <f>4/242</f>
        <v>1.6528925619834711E-2</v>
      </c>
      <c r="F15848">
        <v>3</v>
      </c>
      <c r="G15848">
        <f>LOG(382/(3+1))</f>
        <v>1.9800033715837464</v>
      </c>
      <c r="H15848">
        <f>0.0165289256198347*4.55912624748668</f>
        <v>7.5357458636143432E-2</v>
      </c>
      <c r="I15848">
        <v>7.5357458636143543E-2</v>
      </c>
    </row>
    <row r="15849" spans="1:9" x14ac:dyDescent="0.25">
      <c r="A15849">
        <v>515</v>
      </c>
      <c r="B15849" t="s">
        <v>4150</v>
      </c>
      <c r="C15849" t="s">
        <v>138</v>
      </c>
      <c r="D15849" t="s">
        <v>3996</v>
      </c>
      <c r="E15849">
        <f>1/242</f>
        <v>4.1322314049586778E-3</v>
      </c>
      <c r="F15849">
        <v>5</v>
      </c>
      <c r="G15849">
        <f>LOG(382/(5+1))</f>
        <v>1.803912112528065</v>
      </c>
      <c r="H15849">
        <f>0.00413223140495867*4.15366113937852</f>
        <v>1.716388900569633E-2</v>
      </c>
      <c r="I15849">
        <v>1.7163889005696369E-2</v>
      </c>
    </row>
    <row r="15850" spans="1:9" x14ac:dyDescent="0.25">
      <c r="A15850">
        <v>515</v>
      </c>
      <c r="B15850" t="s">
        <v>4150</v>
      </c>
      <c r="C15850" t="s">
        <v>138</v>
      </c>
      <c r="D15850" t="s">
        <v>3631</v>
      </c>
      <c r="E15850">
        <f>1/242</f>
        <v>4.1322314049586778E-3</v>
      </c>
      <c r="F15850">
        <v>4</v>
      </c>
      <c r="G15850">
        <f>LOG(382/(4+1))</f>
        <v>1.8830933585756899</v>
      </c>
      <c r="H15850">
        <f>0.00413223140495867*4.33598269617247</f>
        <v>1.7917283868481248E-2</v>
      </c>
      <c r="I15850">
        <v>1.79172838684813E-2</v>
      </c>
    </row>
    <row r="15851" spans="1:9" x14ac:dyDescent="0.25">
      <c r="A15851">
        <v>515</v>
      </c>
      <c r="B15851" t="s">
        <v>4150</v>
      </c>
      <c r="C15851" t="s">
        <v>138</v>
      </c>
      <c r="D15851" t="s">
        <v>1742</v>
      </c>
      <c r="E15851">
        <f>2/242</f>
        <v>8.2644628099173556E-3</v>
      </c>
      <c r="F15851">
        <v>7</v>
      </c>
      <c r="G15851">
        <f>LOG(382/(7+1))</f>
        <v>1.6789733759197651</v>
      </c>
      <c r="H15851">
        <f>0.00826446280991735*3.86597906692673</f>
        <v>3.195024022253494E-2</v>
      </c>
      <c r="I15851">
        <v>3.1950240222535037E-2</v>
      </c>
    </row>
    <row r="15852" spans="1:9" x14ac:dyDescent="0.25">
      <c r="A15852">
        <v>515</v>
      </c>
      <c r="B15852" t="s">
        <v>4150</v>
      </c>
      <c r="C15852" t="s">
        <v>138</v>
      </c>
      <c r="D15852" t="s">
        <v>4161</v>
      </c>
      <c r="E15852">
        <f>1/242</f>
        <v>4.1322314049586778E-3</v>
      </c>
      <c r="F15852">
        <v>1</v>
      </c>
      <c r="G15852">
        <f>LOG(382/(1+1))</f>
        <v>2.2810333672477277</v>
      </c>
      <c r="H15852">
        <f>0.00413223140495867*5.25227342804663</f>
        <v>2.1703609206804215E-2</v>
      </c>
      <c r="I15852">
        <v>2.170360920680426E-2</v>
      </c>
    </row>
    <row r="15853" spans="1:9" x14ac:dyDescent="0.25">
      <c r="A15853">
        <v>515</v>
      </c>
      <c r="B15853" t="s">
        <v>4150</v>
      </c>
      <c r="C15853" t="s">
        <v>138</v>
      </c>
      <c r="D15853" t="s">
        <v>2903</v>
      </c>
      <c r="E15853">
        <f>1/242</f>
        <v>4.1322314049586778E-3</v>
      </c>
      <c r="F15853">
        <v>3</v>
      </c>
      <c r="G15853">
        <f>LOG(382/(3+1))</f>
        <v>1.9800033715837464</v>
      </c>
      <c r="H15853">
        <f>0.00413223140495867*4.55912624748668</f>
        <v>1.8839364659035834E-2</v>
      </c>
      <c r="I15853">
        <v>1.8839364659035889E-2</v>
      </c>
    </row>
    <row r="15854" spans="1:9" x14ac:dyDescent="0.25">
      <c r="A15854">
        <v>515</v>
      </c>
      <c r="B15854" t="s">
        <v>4150</v>
      </c>
      <c r="C15854" t="s">
        <v>138</v>
      </c>
      <c r="D15854" t="s">
        <v>1328</v>
      </c>
      <c r="E15854">
        <f>2/242</f>
        <v>8.2644628099173556E-3</v>
      </c>
      <c r="F15854">
        <v>22</v>
      </c>
      <c r="G15854">
        <f>LOG(382/(22+1))</f>
        <v>1.2203355268941158</v>
      </c>
      <c r="H15854">
        <f>0.00826446280991735*2.80992639267742</f>
        <v>2.3222532170887752E-2</v>
      </c>
      <c r="I15854">
        <v>2.3222532170887811E-2</v>
      </c>
    </row>
    <row r="15855" spans="1:9" x14ac:dyDescent="0.25">
      <c r="A15855">
        <v>515</v>
      </c>
      <c r="B15855" t="s">
        <v>4150</v>
      </c>
      <c r="C15855" t="s">
        <v>138</v>
      </c>
      <c r="D15855" t="s">
        <v>113</v>
      </c>
      <c r="E15855">
        <f t="shared" ref="E15855:E15860" si="744">1/242</f>
        <v>4.1322314049586778E-3</v>
      </c>
      <c r="F15855">
        <v>8</v>
      </c>
      <c r="G15855">
        <f>LOG(382/(8+1))</f>
        <v>1.6278208534723839</v>
      </c>
      <c r="H15855">
        <f>0.00413223140495867*3.74819603127035</f>
        <v>1.5488413352356789E-2</v>
      </c>
      <c r="I15855">
        <v>1.5488413352356839E-2</v>
      </c>
    </row>
    <row r="15856" spans="1:9" x14ac:dyDescent="0.25">
      <c r="A15856">
        <v>515</v>
      </c>
      <c r="B15856" t="s">
        <v>4150</v>
      </c>
      <c r="C15856" t="s">
        <v>138</v>
      </c>
      <c r="D15856" t="s">
        <v>4162</v>
      </c>
      <c r="E15856">
        <f t="shared" si="744"/>
        <v>4.1322314049586778E-3</v>
      </c>
      <c r="F15856">
        <v>1</v>
      </c>
      <c r="G15856">
        <f>LOG(382/(1+1))</f>
        <v>2.2810333672477277</v>
      </c>
      <c r="H15856">
        <f>0.00413223140495867*5.25227342804663</f>
        <v>2.1703609206804215E-2</v>
      </c>
      <c r="I15856">
        <v>2.170360920680426E-2</v>
      </c>
    </row>
    <row r="15857" spans="1:9" x14ac:dyDescent="0.25">
      <c r="A15857">
        <v>515</v>
      </c>
      <c r="B15857" t="s">
        <v>4150</v>
      </c>
      <c r="C15857" t="s">
        <v>138</v>
      </c>
      <c r="D15857" t="s">
        <v>4163</v>
      </c>
      <c r="E15857">
        <f t="shared" si="744"/>
        <v>4.1322314049586778E-3</v>
      </c>
      <c r="F15857">
        <v>2</v>
      </c>
      <c r="G15857">
        <f>LOG(382/(2+1))</f>
        <v>2.1049421081920463</v>
      </c>
      <c r="H15857">
        <f>0.00413223140495867*4.84680831993846</f>
        <v>2.0028133553464673E-2</v>
      </c>
      <c r="I15857">
        <v>2.0028133553464729E-2</v>
      </c>
    </row>
    <row r="15858" spans="1:9" x14ac:dyDescent="0.25">
      <c r="A15858">
        <v>515</v>
      </c>
      <c r="B15858" t="s">
        <v>4150</v>
      </c>
      <c r="C15858" t="s">
        <v>138</v>
      </c>
      <c r="D15858" t="s">
        <v>339</v>
      </c>
      <c r="E15858">
        <f t="shared" si="744"/>
        <v>4.1322314049586778E-3</v>
      </c>
      <c r="F15858">
        <v>66</v>
      </c>
      <c r="G15858">
        <f>LOG(382/(66+1))</f>
        <v>0.75598856021088234</v>
      </c>
      <c r="H15858">
        <f>0.00413223140495867*1.7407279892156</f>
        <v>7.1930908645272598E-3</v>
      </c>
      <c r="I15858">
        <v>7.1930908645273109E-3</v>
      </c>
    </row>
    <row r="15859" spans="1:9" x14ac:dyDescent="0.25">
      <c r="A15859">
        <v>515</v>
      </c>
      <c r="B15859" t="s">
        <v>4150</v>
      </c>
      <c r="C15859" t="s">
        <v>138</v>
      </c>
      <c r="D15859" t="s">
        <v>649</v>
      </c>
      <c r="E15859">
        <f t="shared" si="744"/>
        <v>4.1322314049586778E-3</v>
      </c>
      <c r="F15859">
        <v>25</v>
      </c>
      <c r="G15859">
        <f>LOG(382/(25+1))</f>
        <v>1.1670900149408907</v>
      </c>
      <c r="H15859">
        <f>0.00413223140495867*2.68732407058509</f>
        <v>1.1104644919773079E-2</v>
      </c>
      <c r="I15859">
        <v>1.110464491977311E-2</v>
      </c>
    </row>
    <row r="15860" spans="1:9" x14ac:dyDescent="0.25">
      <c r="A15860">
        <v>515</v>
      </c>
      <c r="B15860" t="s">
        <v>4150</v>
      </c>
      <c r="C15860" t="s">
        <v>138</v>
      </c>
      <c r="D15860" t="s">
        <v>2379</v>
      </c>
      <c r="E15860">
        <f t="shared" si="744"/>
        <v>4.1322314049586778E-3</v>
      </c>
      <c r="F15860">
        <v>2</v>
      </c>
      <c r="G15860">
        <f>LOG(382/(2+1))</f>
        <v>2.1049421081920463</v>
      </c>
      <c r="H15860">
        <f>0.00413223140495867*4.84680831993846</f>
        <v>2.0028133553464673E-2</v>
      </c>
      <c r="I15860">
        <v>2.0028133553464729E-2</v>
      </c>
    </row>
    <row r="15861" spans="1:9" x14ac:dyDescent="0.25">
      <c r="A15861">
        <v>515</v>
      </c>
      <c r="B15861" t="s">
        <v>4150</v>
      </c>
      <c r="C15861" t="s">
        <v>138</v>
      </c>
      <c r="D15861" t="s">
        <v>105</v>
      </c>
      <c r="E15861">
        <f>2/242</f>
        <v>8.2644628099173556E-3</v>
      </c>
      <c r="F15861">
        <v>122</v>
      </c>
      <c r="G15861">
        <f>LOG(382/(122+1))</f>
        <v>0.49215825147231079</v>
      </c>
      <c r="H15861">
        <f>0.00826446280991735*1.13323625323415</f>
        <v>9.3655888697037129E-3</v>
      </c>
      <c r="I15861">
        <v>9.3655888697037823E-3</v>
      </c>
    </row>
    <row r="15862" spans="1:9" x14ac:dyDescent="0.25">
      <c r="A15862">
        <v>515</v>
      </c>
      <c r="B15862" t="s">
        <v>4150</v>
      </c>
      <c r="C15862" t="s">
        <v>138</v>
      </c>
      <c r="D15862" t="s">
        <v>566</v>
      </c>
      <c r="E15862">
        <f>2/242</f>
        <v>8.2644628099173556E-3</v>
      </c>
      <c r="F15862">
        <v>8</v>
      </c>
      <c r="G15862">
        <f>LOG(382/(8+1))</f>
        <v>1.6278208534723839</v>
      </c>
      <c r="H15862">
        <f>0.00826446280991735*3.74819603127035</f>
        <v>3.0976826704713616E-2</v>
      </c>
      <c r="I15862">
        <v>3.0976826704713689E-2</v>
      </c>
    </row>
    <row r="15863" spans="1:9" x14ac:dyDescent="0.25">
      <c r="A15863">
        <v>515</v>
      </c>
      <c r="B15863" t="s">
        <v>4150</v>
      </c>
      <c r="C15863" t="s">
        <v>138</v>
      </c>
      <c r="D15863" t="s">
        <v>1155</v>
      </c>
      <c r="E15863">
        <f>2/242</f>
        <v>8.2644628099173556E-3</v>
      </c>
      <c r="F15863">
        <v>4</v>
      </c>
      <c r="G15863">
        <f>LOG(382/(4+1))</f>
        <v>1.8830933585756899</v>
      </c>
      <c r="H15863">
        <f>0.00826446280991735*4.33598269617247</f>
        <v>3.5834567736962544E-2</v>
      </c>
      <c r="I15863">
        <v>3.58345677369626E-2</v>
      </c>
    </row>
    <row r="15864" spans="1:9" x14ac:dyDescent="0.25">
      <c r="A15864">
        <v>515</v>
      </c>
      <c r="B15864" t="s">
        <v>4150</v>
      </c>
      <c r="C15864" t="s">
        <v>138</v>
      </c>
      <c r="D15864" t="s">
        <v>218</v>
      </c>
      <c r="E15864">
        <f t="shared" ref="E15864:E15896" si="745">1/242</f>
        <v>4.1322314049586778E-3</v>
      </c>
      <c r="F15864">
        <v>35</v>
      </c>
      <c r="G15864">
        <f>LOG(382/(35+1))</f>
        <v>1.0257608621444214</v>
      </c>
      <c r="H15864">
        <f>0.00413223140495867*2.36190167015046</f>
        <v>9.7599242568200649E-3</v>
      </c>
      <c r="I15864">
        <v>9.7599242568201031E-3</v>
      </c>
    </row>
    <row r="15865" spans="1:9" x14ac:dyDescent="0.25">
      <c r="A15865">
        <v>515</v>
      </c>
      <c r="B15865" t="s">
        <v>4150</v>
      </c>
      <c r="C15865" t="s">
        <v>138</v>
      </c>
      <c r="D15865" t="s">
        <v>4164</v>
      </c>
      <c r="E15865">
        <f t="shared" si="745"/>
        <v>4.1322314049586778E-3</v>
      </c>
      <c r="F15865">
        <v>1</v>
      </c>
      <c r="G15865">
        <f>LOG(382/(1+1))</f>
        <v>2.2810333672477277</v>
      </c>
      <c r="H15865">
        <f>0.00413223140495867*5.25227342804663</f>
        <v>2.1703609206804215E-2</v>
      </c>
      <c r="I15865">
        <v>2.170360920680426E-2</v>
      </c>
    </row>
    <row r="15866" spans="1:9" x14ac:dyDescent="0.25">
      <c r="A15866">
        <v>515</v>
      </c>
      <c r="B15866" t="s">
        <v>4150</v>
      </c>
      <c r="C15866" t="s">
        <v>138</v>
      </c>
      <c r="D15866" t="s">
        <v>4165</v>
      </c>
      <c r="E15866">
        <f t="shared" si="745"/>
        <v>4.1322314049586778E-3</v>
      </c>
      <c r="F15866">
        <v>1</v>
      </c>
      <c r="G15866">
        <f>LOG(382/(1+1))</f>
        <v>2.2810333672477277</v>
      </c>
      <c r="H15866">
        <f>0.00413223140495867*5.25227342804663</f>
        <v>2.1703609206804215E-2</v>
      </c>
      <c r="I15866">
        <v>2.170360920680426E-2</v>
      </c>
    </row>
    <row r="15867" spans="1:9" x14ac:dyDescent="0.25">
      <c r="A15867">
        <v>515</v>
      </c>
      <c r="B15867" t="s">
        <v>4150</v>
      </c>
      <c r="C15867" t="s">
        <v>138</v>
      </c>
      <c r="D15867" t="s">
        <v>4166</v>
      </c>
      <c r="E15867">
        <f t="shared" si="745"/>
        <v>4.1322314049586778E-3</v>
      </c>
      <c r="F15867">
        <v>1</v>
      </c>
      <c r="G15867">
        <f>LOG(382/(1+1))</f>
        <v>2.2810333672477277</v>
      </c>
      <c r="H15867">
        <f>0.00413223140495867*5.25227342804663</f>
        <v>2.1703609206804215E-2</v>
      </c>
      <c r="I15867">
        <v>2.170360920680426E-2</v>
      </c>
    </row>
    <row r="15868" spans="1:9" x14ac:dyDescent="0.25">
      <c r="A15868">
        <v>515</v>
      </c>
      <c r="B15868" t="s">
        <v>4150</v>
      </c>
      <c r="C15868" t="s">
        <v>138</v>
      </c>
      <c r="D15868" t="s">
        <v>3255</v>
      </c>
      <c r="E15868">
        <f t="shared" si="745"/>
        <v>4.1322314049586778E-3</v>
      </c>
      <c r="F15868">
        <v>2</v>
      </c>
      <c r="G15868">
        <f>LOG(382/(2+1))</f>
        <v>2.1049421081920463</v>
      </c>
      <c r="H15868">
        <f>0.00413223140495867*4.84680831993846</f>
        <v>2.0028133553464673E-2</v>
      </c>
      <c r="I15868">
        <v>2.0028133553464729E-2</v>
      </c>
    </row>
    <row r="15869" spans="1:9" x14ac:dyDescent="0.25">
      <c r="A15869">
        <v>515</v>
      </c>
      <c r="B15869" t="s">
        <v>4150</v>
      </c>
      <c r="C15869" t="s">
        <v>138</v>
      </c>
      <c r="D15869" t="s">
        <v>4167</v>
      </c>
      <c r="E15869">
        <f t="shared" si="745"/>
        <v>4.1322314049586778E-3</v>
      </c>
      <c r="F15869">
        <v>1</v>
      </c>
      <c r="G15869">
        <f>LOG(382/(1+1))</f>
        <v>2.2810333672477277</v>
      </c>
      <c r="H15869">
        <f>0.00413223140495867*5.25227342804663</f>
        <v>2.1703609206804215E-2</v>
      </c>
      <c r="I15869">
        <v>2.170360920680426E-2</v>
      </c>
    </row>
    <row r="15870" spans="1:9" x14ac:dyDescent="0.25">
      <c r="A15870">
        <v>515</v>
      </c>
      <c r="B15870" t="s">
        <v>4150</v>
      </c>
      <c r="C15870" t="s">
        <v>138</v>
      </c>
      <c r="D15870" t="s">
        <v>4168</v>
      </c>
      <c r="E15870">
        <f t="shared" si="745"/>
        <v>4.1322314049586778E-3</v>
      </c>
      <c r="F15870">
        <v>1</v>
      </c>
      <c r="G15870">
        <f>LOG(382/(1+1))</f>
        <v>2.2810333672477277</v>
      </c>
      <c r="H15870">
        <f>0.00413223140495867*5.25227342804663</f>
        <v>2.1703609206804215E-2</v>
      </c>
      <c r="I15870">
        <v>2.170360920680426E-2</v>
      </c>
    </row>
    <row r="15871" spans="1:9" x14ac:dyDescent="0.25">
      <c r="A15871">
        <v>515</v>
      </c>
      <c r="B15871" t="s">
        <v>4150</v>
      </c>
      <c r="C15871" t="s">
        <v>138</v>
      </c>
      <c r="D15871" t="s">
        <v>4169</v>
      </c>
      <c r="E15871">
        <f t="shared" si="745"/>
        <v>4.1322314049586778E-3</v>
      </c>
      <c r="F15871">
        <v>1</v>
      </c>
      <c r="G15871">
        <f>LOG(382/(1+1))</f>
        <v>2.2810333672477277</v>
      </c>
      <c r="H15871">
        <f>0.00413223140495867*5.25227342804663</f>
        <v>2.1703609206804215E-2</v>
      </c>
      <c r="I15871">
        <v>2.170360920680426E-2</v>
      </c>
    </row>
    <row r="15872" spans="1:9" x14ac:dyDescent="0.25">
      <c r="A15872">
        <v>515</v>
      </c>
      <c r="B15872" t="s">
        <v>4150</v>
      </c>
      <c r="C15872" t="s">
        <v>138</v>
      </c>
      <c r="D15872" t="s">
        <v>4170</v>
      </c>
      <c r="E15872">
        <f t="shared" si="745"/>
        <v>4.1322314049586778E-3</v>
      </c>
      <c r="F15872">
        <v>1</v>
      </c>
      <c r="G15872">
        <f>LOG(382/(1+1))</f>
        <v>2.2810333672477277</v>
      </c>
      <c r="H15872">
        <f>0.00413223140495867*5.25227342804663</f>
        <v>2.1703609206804215E-2</v>
      </c>
      <c r="I15872">
        <v>2.170360920680426E-2</v>
      </c>
    </row>
    <row r="15873" spans="1:9" x14ac:dyDescent="0.25">
      <c r="A15873">
        <v>515</v>
      </c>
      <c r="B15873" t="s">
        <v>4150</v>
      </c>
      <c r="C15873" t="s">
        <v>138</v>
      </c>
      <c r="D15873" t="s">
        <v>1349</v>
      </c>
      <c r="E15873">
        <f t="shared" si="745"/>
        <v>4.1322314049586778E-3</v>
      </c>
      <c r="F15873">
        <v>7</v>
      </c>
      <c r="G15873">
        <f>LOG(382/(7+1))</f>
        <v>1.6789733759197651</v>
      </c>
      <c r="H15873">
        <f>0.00413223140495867*3.86597906692673</f>
        <v>1.5975120111267449E-2</v>
      </c>
      <c r="I15873">
        <v>1.5975120111267518E-2</v>
      </c>
    </row>
    <row r="15874" spans="1:9" x14ac:dyDescent="0.25">
      <c r="A15874">
        <v>515</v>
      </c>
      <c r="B15874" t="s">
        <v>4150</v>
      </c>
      <c r="C15874" t="s">
        <v>138</v>
      </c>
      <c r="D15874" t="s">
        <v>4171</v>
      </c>
      <c r="E15874">
        <f t="shared" si="745"/>
        <v>4.1322314049586778E-3</v>
      </c>
      <c r="F15874">
        <v>1</v>
      </c>
      <c r="G15874">
        <f>LOG(382/(1+1))</f>
        <v>2.2810333672477277</v>
      </c>
      <c r="H15874">
        <f>0.00413223140495867*5.25227342804663</f>
        <v>2.1703609206804215E-2</v>
      </c>
      <c r="I15874">
        <v>2.170360920680426E-2</v>
      </c>
    </row>
    <row r="15875" spans="1:9" x14ac:dyDescent="0.25">
      <c r="A15875">
        <v>515</v>
      </c>
      <c r="B15875" t="s">
        <v>4150</v>
      </c>
      <c r="C15875" t="s">
        <v>138</v>
      </c>
      <c r="D15875" t="s">
        <v>81</v>
      </c>
      <c r="E15875">
        <f t="shared" si="745"/>
        <v>4.1322314049586778E-3</v>
      </c>
      <c r="F15875">
        <v>114</v>
      </c>
      <c r="G15875">
        <f>LOG(382/(114+1))</f>
        <v>0.52136552255809698</v>
      </c>
      <c r="H15875">
        <f>0.00413223140495867*1.20048848024332</f>
        <v>4.9606961993525524E-3</v>
      </c>
      <c r="I15875">
        <v>4.9606961993525836E-3</v>
      </c>
    </row>
    <row r="15876" spans="1:9" x14ac:dyDescent="0.25">
      <c r="A15876">
        <v>515</v>
      </c>
      <c r="B15876" t="s">
        <v>4150</v>
      </c>
      <c r="C15876" t="s">
        <v>138</v>
      </c>
      <c r="D15876" t="s">
        <v>1080</v>
      </c>
      <c r="E15876">
        <f t="shared" si="745"/>
        <v>4.1322314049586778E-3</v>
      </c>
      <c r="F15876">
        <v>26</v>
      </c>
      <c r="G15876">
        <f>LOG(382/(26+1))</f>
        <v>1.1506995987527215</v>
      </c>
      <c r="H15876">
        <f>0.00413223140495867*2.64958374260224</f>
        <v>1.0948693151248905E-2</v>
      </c>
      <c r="I15876">
        <v>1.094869315124895E-2</v>
      </c>
    </row>
    <row r="15877" spans="1:9" x14ac:dyDescent="0.25">
      <c r="A15877">
        <v>515</v>
      </c>
      <c r="B15877" t="s">
        <v>4150</v>
      </c>
      <c r="C15877" t="s">
        <v>138</v>
      </c>
      <c r="D15877" t="s">
        <v>2369</v>
      </c>
      <c r="E15877">
        <f t="shared" si="745"/>
        <v>4.1322314049586778E-3</v>
      </c>
      <c r="F15877">
        <v>15</v>
      </c>
      <c r="G15877">
        <f>LOG(382/(15+1))</f>
        <v>1.3779433802557839</v>
      </c>
      <c r="H15877">
        <f>0.00413223140495867*3.17283188636679</f>
        <v>1.3110875563499108E-2</v>
      </c>
      <c r="I15877">
        <v>1.3110875563499149E-2</v>
      </c>
    </row>
    <row r="15878" spans="1:9" x14ac:dyDescent="0.25">
      <c r="A15878">
        <v>515</v>
      </c>
      <c r="B15878" t="s">
        <v>4150</v>
      </c>
      <c r="C15878" t="s">
        <v>138</v>
      </c>
      <c r="D15878" t="s">
        <v>1727</v>
      </c>
      <c r="E15878">
        <f t="shared" si="745"/>
        <v>4.1322314049586778E-3</v>
      </c>
      <c r="F15878">
        <v>27</v>
      </c>
      <c r="G15878">
        <f>LOG(382/(27+1))</f>
        <v>1.1349053315694895</v>
      </c>
      <c r="H15878">
        <f>0.00413223140495867*2.61321609843137</f>
        <v>1.0798413629881674E-2</v>
      </c>
      <c r="I15878">
        <v>1.07984136298817E-2</v>
      </c>
    </row>
    <row r="15879" spans="1:9" x14ac:dyDescent="0.25">
      <c r="A15879">
        <v>515</v>
      </c>
      <c r="B15879" t="s">
        <v>4150</v>
      </c>
      <c r="C15879" t="s">
        <v>138</v>
      </c>
      <c r="D15879" t="s">
        <v>1462</v>
      </c>
      <c r="E15879">
        <f t="shared" si="745"/>
        <v>4.1322314049586778E-3</v>
      </c>
      <c r="F15879">
        <v>7</v>
      </c>
      <c r="G15879">
        <f>LOG(382/(7+1))</f>
        <v>1.6789733759197651</v>
      </c>
      <c r="H15879">
        <f>0.00413223140495867*3.86597906692673</f>
        <v>1.5975120111267449E-2</v>
      </c>
      <c r="I15879">
        <v>1.5975120111267518E-2</v>
      </c>
    </row>
    <row r="15880" spans="1:9" x14ac:dyDescent="0.25">
      <c r="A15880">
        <v>515</v>
      </c>
      <c r="B15880" t="s">
        <v>4150</v>
      </c>
      <c r="C15880" t="s">
        <v>138</v>
      </c>
      <c r="D15880" t="s">
        <v>4172</v>
      </c>
      <c r="E15880">
        <f t="shared" si="745"/>
        <v>4.1322314049586778E-3</v>
      </c>
      <c r="F15880">
        <v>1</v>
      </c>
      <c r="G15880">
        <f>LOG(382/(1+1))</f>
        <v>2.2810333672477277</v>
      </c>
      <c r="H15880">
        <f>0.00413223140495867*5.25227342804663</f>
        <v>2.1703609206804215E-2</v>
      </c>
      <c r="I15880">
        <v>2.170360920680426E-2</v>
      </c>
    </row>
    <row r="15881" spans="1:9" x14ac:dyDescent="0.25">
      <c r="A15881">
        <v>515</v>
      </c>
      <c r="B15881" t="s">
        <v>4150</v>
      </c>
      <c r="C15881" t="s">
        <v>138</v>
      </c>
      <c r="D15881" t="s">
        <v>236</v>
      </c>
      <c r="E15881">
        <f t="shared" si="745"/>
        <v>4.1322314049586778E-3</v>
      </c>
      <c r="F15881">
        <v>87</v>
      </c>
      <c r="G15881">
        <f>LOG(382/(87+1))</f>
        <v>0.63758069076154011</v>
      </c>
      <c r="H15881">
        <f>0.00413223140495867*1.46808379412836</f>
        <v>6.0664619592080875E-3</v>
      </c>
      <c r="I15881">
        <v>6.0664619592081352E-3</v>
      </c>
    </row>
    <row r="15882" spans="1:9" x14ac:dyDescent="0.25">
      <c r="A15882">
        <v>515</v>
      </c>
      <c r="B15882" t="s">
        <v>4150</v>
      </c>
      <c r="C15882" t="s">
        <v>138</v>
      </c>
      <c r="D15882" t="s">
        <v>324</v>
      </c>
      <c r="E15882">
        <f t="shared" si="745"/>
        <v>4.1322314049586778E-3</v>
      </c>
      <c r="F15882">
        <v>82</v>
      </c>
      <c r="G15882">
        <f>LOG(382/(82+1))</f>
        <v>0.66298527053563483</v>
      </c>
      <c r="H15882">
        <f>0.00413223140495867*1.52658000080997</f>
        <v>6.3081818215287898E-3</v>
      </c>
      <c r="I15882">
        <v>6.3081818215288306E-3</v>
      </c>
    </row>
    <row r="15883" spans="1:9" x14ac:dyDescent="0.25">
      <c r="A15883">
        <v>515</v>
      </c>
      <c r="B15883" t="s">
        <v>4150</v>
      </c>
      <c r="C15883" t="s">
        <v>138</v>
      </c>
      <c r="D15883" t="s">
        <v>3865</v>
      </c>
      <c r="E15883">
        <f t="shared" si="745"/>
        <v>4.1322314049586778E-3</v>
      </c>
      <c r="F15883">
        <v>3</v>
      </c>
      <c r="G15883">
        <f>LOG(382/(3+1))</f>
        <v>1.9800033715837464</v>
      </c>
      <c r="H15883">
        <f>0.00413223140495867*4.55912624748668</f>
        <v>1.8839364659035834E-2</v>
      </c>
      <c r="I15883">
        <v>1.8839364659035889E-2</v>
      </c>
    </row>
    <row r="15884" spans="1:9" x14ac:dyDescent="0.25">
      <c r="A15884">
        <v>515</v>
      </c>
      <c r="B15884" t="s">
        <v>4150</v>
      </c>
      <c r="C15884" t="s">
        <v>138</v>
      </c>
      <c r="D15884" t="s">
        <v>570</v>
      </c>
      <c r="E15884">
        <f t="shared" si="745"/>
        <v>4.1322314049586778E-3</v>
      </c>
      <c r="F15884">
        <v>27</v>
      </c>
      <c r="G15884">
        <f>LOG(382/(27+1))</f>
        <v>1.1349053315694895</v>
      </c>
      <c r="H15884">
        <f>0.00413223140495867*2.61321609843137</f>
        <v>1.0798413629881674E-2</v>
      </c>
      <c r="I15884">
        <v>1.07984136298817E-2</v>
      </c>
    </row>
    <row r="15885" spans="1:9" x14ac:dyDescent="0.25">
      <c r="A15885">
        <v>515</v>
      </c>
      <c r="B15885" t="s">
        <v>4150</v>
      </c>
      <c r="C15885" t="s">
        <v>138</v>
      </c>
      <c r="D15885" t="s">
        <v>315</v>
      </c>
      <c r="E15885">
        <f t="shared" si="745"/>
        <v>4.1322314049586778E-3</v>
      </c>
      <c r="F15885">
        <v>55</v>
      </c>
      <c r="G15885">
        <f>LOG(382/(55+1))</f>
        <v>0.83387533590550833</v>
      </c>
      <c r="H15885">
        <f>0.00413223140495867*1.92006891787142</f>
        <v>7.9341690821132915E-3</v>
      </c>
      <c r="I15885">
        <v>7.9341690821133296E-3</v>
      </c>
    </row>
    <row r="15886" spans="1:9" x14ac:dyDescent="0.25">
      <c r="A15886">
        <v>515</v>
      </c>
      <c r="B15886" t="s">
        <v>4150</v>
      </c>
      <c r="C15886" t="s">
        <v>138</v>
      </c>
      <c r="D15886" t="s">
        <v>2025</v>
      </c>
      <c r="E15886">
        <f t="shared" si="745"/>
        <v>4.1322314049586778E-3</v>
      </c>
      <c r="F15886">
        <v>3</v>
      </c>
      <c r="G15886">
        <f>LOG(382/(3+1))</f>
        <v>1.9800033715837464</v>
      </c>
      <c r="H15886">
        <f>0.00413223140495867*4.55912624748668</f>
        <v>1.8839364659035834E-2</v>
      </c>
      <c r="I15886">
        <v>1.8839364659035889E-2</v>
      </c>
    </row>
    <row r="15887" spans="1:9" x14ac:dyDescent="0.25">
      <c r="A15887">
        <v>515</v>
      </c>
      <c r="B15887" t="s">
        <v>4150</v>
      </c>
      <c r="C15887" t="s">
        <v>138</v>
      </c>
      <c r="D15887" t="s">
        <v>1396</v>
      </c>
      <c r="E15887">
        <f t="shared" si="745"/>
        <v>4.1322314049586778E-3</v>
      </c>
      <c r="F15887">
        <v>18</v>
      </c>
      <c r="G15887">
        <f>LOG(382/(18+1))</f>
        <v>1.3033097619588798</v>
      </c>
      <c r="H15887">
        <f>0.00413223140495867*3.00098162944013</f>
        <v>1.2400750534876548E-2</v>
      </c>
      <c r="I15887">
        <v>1.240075053487659E-2</v>
      </c>
    </row>
    <row r="15888" spans="1:9" x14ac:dyDescent="0.25">
      <c r="A15888">
        <v>515</v>
      </c>
      <c r="B15888" t="s">
        <v>4150</v>
      </c>
      <c r="C15888" t="s">
        <v>138</v>
      </c>
      <c r="D15888" t="s">
        <v>4173</v>
      </c>
      <c r="E15888">
        <f t="shared" si="745"/>
        <v>4.1322314049586778E-3</v>
      </c>
      <c r="F15888">
        <v>3</v>
      </c>
      <c r="G15888">
        <f>LOG(382/(3+1))</f>
        <v>1.9800033715837464</v>
      </c>
      <c r="H15888">
        <f>0.00413223140495867*4.55912624748668</f>
        <v>1.8839364659035834E-2</v>
      </c>
      <c r="I15888">
        <v>1.8839364659035889E-2</v>
      </c>
    </row>
    <row r="15889" spans="1:9" x14ac:dyDescent="0.25">
      <c r="A15889">
        <v>515</v>
      </c>
      <c r="B15889" t="s">
        <v>4150</v>
      </c>
      <c r="C15889" t="s">
        <v>138</v>
      </c>
      <c r="E15889">
        <f t="shared" si="745"/>
        <v>4.1322314049586778E-3</v>
      </c>
      <c r="F15889">
        <v>20</v>
      </c>
      <c r="G15889">
        <f>LOG(382/(20+1))</f>
        <v>1.2598440681777894</v>
      </c>
      <c r="H15889">
        <f>0.00413223140495867*2.90089817088315</f>
        <v>1.1987182524310516E-2</v>
      </c>
      <c r="I15889">
        <v>1.1987182524310551E-2</v>
      </c>
    </row>
    <row r="15890" spans="1:9" x14ac:dyDescent="0.25">
      <c r="A15890">
        <v>515</v>
      </c>
      <c r="B15890" t="s">
        <v>4150</v>
      </c>
      <c r="C15890" t="s">
        <v>138</v>
      </c>
      <c r="D15890" t="s">
        <v>93</v>
      </c>
      <c r="E15890">
        <f t="shared" si="745"/>
        <v>4.1322314049586778E-3</v>
      </c>
      <c r="F15890">
        <v>11</v>
      </c>
      <c r="G15890">
        <f>LOG(382/(11+1))</f>
        <v>1.5028821168640838</v>
      </c>
      <c r="H15890">
        <f>0.00413223140495867*3.46051395881857</f>
        <v>1.4299644457927949E-2</v>
      </c>
      <c r="I15890">
        <v>1.4299644457928E-2</v>
      </c>
    </row>
    <row r="15891" spans="1:9" x14ac:dyDescent="0.25">
      <c r="A15891">
        <v>515</v>
      </c>
      <c r="B15891" t="s">
        <v>4150</v>
      </c>
      <c r="C15891" t="s">
        <v>138</v>
      </c>
      <c r="D15891" t="s">
        <v>765</v>
      </c>
      <c r="E15891">
        <f t="shared" si="745"/>
        <v>4.1322314049586778E-3</v>
      </c>
      <c r="F15891">
        <v>44</v>
      </c>
      <c r="G15891">
        <f>LOG(382/(44+1))</f>
        <v>0.92885084913636506</v>
      </c>
      <c r="H15891">
        <f>0.00413223140495867*2.13875811883625</f>
        <v>8.8378434662654791E-3</v>
      </c>
      <c r="I15891">
        <v>8.8378434662655173E-3</v>
      </c>
    </row>
    <row r="15892" spans="1:9" x14ac:dyDescent="0.25">
      <c r="A15892">
        <v>515</v>
      </c>
      <c r="B15892" t="s">
        <v>4150</v>
      </c>
      <c r="C15892" t="s">
        <v>138</v>
      </c>
      <c r="D15892" t="s">
        <v>121</v>
      </c>
      <c r="E15892">
        <f t="shared" si="745"/>
        <v>4.1322314049586778E-3</v>
      </c>
      <c r="F15892">
        <v>22</v>
      </c>
      <c r="G15892">
        <f>LOG(382/(22+1))</f>
        <v>1.2203355268941158</v>
      </c>
      <c r="H15892">
        <f>0.00413223140495867*2.80992639267742</f>
        <v>1.1611266085443862E-2</v>
      </c>
      <c r="I15892">
        <v>1.1611266085443909E-2</v>
      </c>
    </row>
    <row r="15893" spans="1:9" x14ac:dyDescent="0.25">
      <c r="A15893">
        <v>515</v>
      </c>
      <c r="B15893" t="s">
        <v>4150</v>
      </c>
      <c r="C15893" t="s">
        <v>138</v>
      </c>
      <c r="D15893" t="s">
        <v>4174</v>
      </c>
      <c r="E15893">
        <f t="shared" si="745"/>
        <v>4.1322314049586778E-3</v>
      </c>
      <c r="F15893">
        <v>1</v>
      </c>
      <c r="G15893">
        <f>LOG(382/(1+1))</f>
        <v>2.2810333672477277</v>
      </c>
      <c r="H15893">
        <f>0.00413223140495867*5.25227342804663</f>
        <v>2.1703609206804215E-2</v>
      </c>
      <c r="I15893">
        <v>2.170360920680426E-2</v>
      </c>
    </row>
    <row r="15894" spans="1:9" x14ac:dyDescent="0.25">
      <c r="A15894">
        <v>515</v>
      </c>
      <c r="B15894" t="s">
        <v>4150</v>
      </c>
      <c r="C15894" t="s">
        <v>138</v>
      </c>
      <c r="D15894" t="s">
        <v>4175</v>
      </c>
      <c r="E15894">
        <f t="shared" si="745"/>
        <v>4.1322314049586778E-3</v>
      </c>
      <c r="F15894">
        <v>1</v>
      </c>
      <c r="G15894">
        <f>LOG(382/(1+1))</f>
        <v>2.2810333672477277</v>
      </c>
      <c r="H15894">
        <f>0.00413223140495867*5.25227342804663</f>
        <v>2.1703609206804215E-2</v>
      </c>
      <c r="I15894">
        <v>2.170360920680426E-2</v>
      </c>
    </row>
    <row r="15895" spans="1:9" x14ac:dyDescent="0.25">
      <c r="A15895">
        <v>515</v>
      </c>
      <c r="B15895" t="s">
        <v>4150</v>
      </c>
      <c r="C15895" t="s">
        <v>138</v>
      </c>
      <c r="D15895" t="s">
        <v>4176</v>
      </c>
      <c r="E15895">
        <f t="shared" si="745"/>
        <v>4.1322314049586778E-3</v>
      </c>
      <c r="F15895">
        <v>1</v>
      </c>
      <c r="G15895">
        <f>LOG(382/(1+1))</f>
        <v>2.2810333672477277</v>
      </c>
      <c r="H15895">
        <f>0.00413223140495867*5.25227342804663</f>
        <v>2.1703609206804215E-2</v>
      </c>
      <c r="I15895">
        <v>2.170360920680426E-2</v>
      </c>
    </row>
    <row r="15896" spans="1:9" x14ac:dyDescent="0.25">
      <c r="A15896">
        <v>515</v>
      </c>
      <c r="B15896" t="s">
        <v>4150</v>
      </c>
      <c r="C15896" t="s">
        <v>138</v>
      </c>
      <c r="D15896" t="s">
        <v>1730</v>
      </c>
      <c r="E15896">
        <f t="shared" si="745"/>
        <v>4.1322314049586778E-3</v>
      </c>
      <c r="F15896">
        <v>35</v>
      </c>
      <c r="G15896">
        <f>LOG(382/(35+1))</f>
        <v>1.0257608621444214</v>
      </c>
      <c r="H15896">
        <f>0.00413223140495867*2.36190167015046</f>
        <v>9.7599242568200649E-3</v>
      </c>
      <c r="I15896">
        <v>9.7599242568201031E-3</v>
      </c>
    </row>
    <row r="15897" spans="1:9" x14ac:dyDescent="0.25">
      <c r="A15897">
        <v>515</v>
      </c>
      <c r="B15897" t="s">
        <v>4150</v>
      </c>
      <c r="C15897" t="s">
        <v>138</v>
      </c>
      <c r="D15897" t="s">
        <v>25</v>
      </c>
      <c r="E15897">
        <f>3/242</f>
        <v>1.2396694214876033E-2</v>
      </c>
      <c r="F15897">
        <v>106</v>
      </c>
      <c r="G15897">
        <f>LOG(382/(106+1))</f>
        <v>0.55267958522649907</v>
      </c>
      <c r="H15897">
        <f>0.012396694214876*1.27259177414466</f>
        <v>1.5775931084437891E-2</v>
      </c>
      <c r="I15897">
        <v>1.577593108443805E-2</v>
      </c>
    </row>
    <row r="15898" spans="1:9" x14ac:dyDescent="0.25">
      <c r="A15898">
        <v>515</v>
      </c>
      <c r="B15898" t="s">
        <v>4150</v>
      </c>
      <c r="C15898" t="s">
        <v>138</v>
      </c>
      <c r="D15898" t="s">
        <v>3712</v>
      </c>
      <c r="E15898">
        <f>1/242</f>
        <v>4.1322314049586778E-3</v>
      </c>
      <c r="F15898">
        <v>3</v>
      </c>
      <c r="G15898">
        <f>LOG(382/(3+1))</f>
        <v>1.9800033715837464</v>
      </c>
      <c r="H15898">
        <f>0.00413223140495867*4.55912624748668</f>
        <v>1.8839364659035834E-2</v>
      </c>
      <c r="I15898">
        <v>1.8839364659035889E-2</v>
      </c>
    </row>
    <row r="15899" spans="1:9" x14ac:dyDescent="0.25">
      <c r="A15899">
        <v>515</v>
      </c>
      <c r="B15899" t="s">
        <v>4150</v>
      </c>
      <c r="C15899" t="s">
        <v>138</v>
      </c>
      <c r="D15899" t="s">
        <v>1952</v>
      </c>
      <c r="E15899">
        <f>1/242</f>
        <v>4.1322314049586778E-3</v>
      </c>
      <c r="F15899">
        <v>8</v>
      </c>
      <c r="G15899">
        <f>LOG(382/(8+1))</f>
        <v>1.6278208534723839</v>
      </c>
      <c r="H15899">
        <f>0.00413223140495867*3.74819603127035</f>
        <v>1.5488413352356789E-2</v>
      </c>
      <c r="I15899">
        <v>1.5488413352356839E-2</v>
      </c>
    </row>
    <row r="15900" spans="1:9" x14ac:dyDescent="0.25">
      <c r="A15900">
        <v>515</v>
      </c>
      <c r="B15900" t="s">
        <v>4150</v>
      </c>
      <c r="C15900" t="s">
        <v>138</v>
      </c>
      <c r="D15900" t="s">
        <v>1532</v>
      </c>
      <c r="E15900">
        <f>1/242</f>
        <v>4.1322314049586778E-3</v>
      </c>
      <c r="F15900">
        <v>28</v>
      </c>
      <c r="G15900">
        <f>LOG(382/(28+1))</f>
        <v>1.1196653650127526</v>
      </c>
      <c r="H15900">
        <f>0.00413223140495867*2.5781247786201</f>
        <v>1.0653408176116095E-2</v>
      </c>
      <c r="I15900">
        <v>1.065340817611612E-2</v>
      </c>
    </row>
    <row r="15901" spans="1:9" x14ac:dyDescent="0.25">
      <c r="A15901">
        <v>515</v>
      </c>
      <c r="B15901" t="s">
        <v>4150</v>
      </c>
      <c r="C15901" t="s">
        <v>138</v>
      </c>
      <c r="D15901" t="s">
        <v>222</v>
      </c>
      <c r="E15901">
        <f>2/242</f>
        <v>8.2644628099173556E-3</v>
      </c>
      <c r="F15901">
        <v>22</v>
      </c>
      <c r="G15901">
        <f>LOG(382/(22+1))</f>
        <v>1.2203355268941158</v>
      </c>
      <c r="H15901">
        <f>0.00826446280991735*2.80992639267742</f>
        <v>2.3222532170887752E-2</v>
      </c>
      <c r="I15901">
        <v>2.3222532170887811E-2</v>
      </c>
    </row>
    <row r="15902" spans="1:9" x14ac:dyDescent="0.25">
      <c r="A15902">
        <v>515</v>
      </c>
      <c r="B15902" t="s">
        <v>4150</v>
      </c>
      <c r="C15902" t="s">
        <v>138</v>
      </c>
      <c r="D15902" t="s">
        <v>4177</v>
      </c>
      <c r="E15902">
        <f>1/242</f>
        <v>4.1322314049586778E-3</v>
      </c>
      <c r="F15902">
        <v>1</v>
      </c>
      <c r="G15902">
        <f>LOG(382/(1+1))</f>
        <v>2.2810333672477277</v>
      </c>
      <c r="H15902">
        <f>0.00413223140495867*5.25227342804663</f>
        <v>2.1703609206804215E-2</v>
      </c>
      <c r="I15902">
        <v>2.170360920680426E-2</v>
      </c>
    </row>
    <row r="15903" spans="1:9" x14ac:dyDescent="0.25">
      <c r="A15903">
        <v>515</v>
      </c>
      <c r="B15903" t="s">
        <v>4150</v>
      </c>
      <c r="C15903" t="s">
        <v>138</v>
      </c>
      <c r="D15903" t="s">
        <v>4178</v>
      </c>
      <c r="E15903">
        <f>3/242</f>
        <v>1.2396694214876033E-2</v>
      </c>
      <c r="F15903">
        <v>1</v>
      </c>
      <c r="G15903">
        <f>LOG(382/(1+1))</f>
        <v>2.2810333672477277</v>
      </c>
      <c r="H15903">
        <f>0.012396694214876*5.25227342804663</f>
        <v>6.5110827620412592E-2</v>
      </c>
      <c r="I15903">
        <v>6.5110827620412773E-2</v>
      </c>
    </row>
    <row r="15904" spans="1:9" x14ac:dyDescent="0.25">
      <c r="A15904">
        <v>515</v>
      </c>
      <c r="B15904" t="s">
        <v>4150</v>
      </c>
      <c r="C15904" t="s">
        <v>138</v>
      </c>
      <c r="D15904" t="s">
        <v>932</v>
      </c>
      <c r="E15904">
        <f t="shared" ref="E15904:E15910" si="746">1/242</f>
        <v>4.1322314049586778E-3</v>
      </c>
      <c r="F15904">
        <v>35</v>
      </c>
      <c r="G15904">
        <f>LOG(382/(35+1))</f>
        <v>1.0257608621444214</v>
      </c>
      <c r="H15904">
        <f>0.00413223140495867*2.36190167015046</f>
        <v>9.7599242568200649E-3</v>
      </c>
      <c r="I15904">
        <v>9.7599242568201031E-3</v>
      </c>
    </row>
    <row r="15905" spans="1:9" x14ac:dyDescent="0.25">
      <c r="A15905">
        <v>515</v>
      </c>
      <c r="B15905" t="s">
        <v>4150</v>
      </c>
      <c r="C15905" t="s">
        <v>138</v>
      </c>
      <c r="D15905" t="s">
        <v>44</v>
      </c>
      <c r="E15905">
        <f t="shared" si="746"/>
        <v>4.1322314049586778E-3</v>
      </c>
      <c r="F15905">
        <v>151</v>
      </c>
      <c r="G15905">
        <f>LOG(382/(151+1))</f>
        <v>0.40021977496693617</v>
      </c>
      <c r="H15905">
        <f>0.00413223140495867*0.921540087760298</f>
        <v>3.8080168915714725E-3</v>
      </c>
      <c r="I15905">
        <v>3.808016891571482E-3</v>
      </c>
    </row>
    <row r="15906" spans="1:9" x14ac:dyDescent="0.25">
      <c r="A15906">
        <v>515</v>
      </c>
      <c r="B15906" t="s">
        <v>4150</v>
      </c>
      <c r="C15906" t="s">
        <v>138</v>
      </c>
      <c r="D15906" t="s">
        <v>387</v>
      </c>
      <c r="E15906">
        <f t="shared" si="746"/>
        <v>4.1322314049586778E-3</v>
      </c>
      <c r="F15906">
        <v>2</v>
      </c>
      <c r="G15906">
        <f>LOG(382/(2+1))</f>
        <v>2.1049421081920463</v>
      </c>
      <c r="H15906">
        <f>0.00413223140495867*4.84680831993846</f>
        <v>2.0028133553464673E-2</v>
      </c>
      <c r="I15906">
        <v>2.0028133553464729E-2</v>
      </c>
    </row>
    <row r="15907" spans="1:9" x14ac:dyDescent="0.25">
      <c r="A15907">
        <v>515</v>
      </c>
      <c r="B15907" t="s">
        <v>4150</v>
      </c>
      <c r="C15907" t="s">
        <v>138</v>
      </c>
      <c r="D15907" t="s">
        <v>1344</v>
      </c>
      <c r="E15907">
        <f t="shared" si="746"/>
        <v>4.1322314049586778E-3</v>
      </c>
      <c r="F15907">
        <v>3</v>
      </c>
      <c r="G15907">
        <f>LOG(382/(3+1))</f>
        <v>1.9800033715837464</v>
      </c>
      <c r="H15907">
        <f>0.00413223140495867*4.55912624748668</f>
        <v>1.8839364659035834E-2</v>
      </c>
      <c r="I15907">
        <v>1.8839364659035889E-2</v>
      </c>
    </row>
    <row r="15908" spans="1:9" x14ac:dyDescent="0.25">
      <c r="A15908">
        <v>515</v>
      </c>
      <c r="B15908" t="s">
        <v>4150</v>
      </c>
      <c r="C15908" t="s">
        <v>138</v>
      </c>
      <c r="D15908" t="s">
        <v>1437</v>
      </c>
      <c r="E15908">
        <f t="shared" si="746"/>
        <v>4.1322314049586778E-3</v>
      </c>
      <c r="F15908">
        <v>4</v>
      </c>
      <c r="G15908">
        <f>LOG(382/(4+1))</f>
        <v>1.8830933585756899</v>
      </c>
      <c r="H15908">
        <f>0.00413223140495867*4.33598269617247</f>
        <v>1.7917283868481248E-2</v>
      </c>
      <c r="I15908">
        <v>1.79172838684813E-2</v>
      </c>
    </row>
    <row r="15909" spans="1:9" x14ac:dyDescent="0.25">
      <c r="A15909">
        <v>515</v>
      </c>
      <c r="B15909" t="s">
        <v>4150</v>
      </c>
      <c r="C15909" t="s">
        <v>138</v>
      </c>
      <c r="D15909" t="s">
        <v>3327</v>
      </c>
      <c r="E15909">
        <f t="shared" si="746"/>
        <v>4.1322314049586778E-3</v>
      </c>
      <c r="F15909">
        <v>21</v>
      </c>
      <c r="G15909">
        <f>LOG(382/(21+1))</f>
        <v>1.2396406820895025</v>
      </c>
      <c r="H15909">
        <f>0.00413223140495867*2.85437815524825</f>
        <v>1.1794951054744813E-2</v>
      </c>
      <c r="I15909">
        <v>1.179495105474487E-2</v>
      </c>
    </row>
    <row r="15910" spans="1:9" x14ac:dyDescent="0.25">
      <c r="A15910">
        <v>515</v>
      </c>
      <c r="B15910" t="s">
        <v>4150</v>
      </c>
      <c r="C15910" t="s">
        <v>138</v>
      </c>
      <c r="D15910" t="s">
        <v>1144</v>
      </c>
      <c r="E15910">
        <f t="shared" si="746"/>
        <v>4.1322314049586778E-3</v>
      </c>
      <c r="F15910">
        <v>3</v>
      </c>
      <c r="G15910">
        <f>LOG(382/(3+1))</f>
        <v>1.9800033715837464</v>
      </c>
      <c r="H15910">
        <f>0.00413223140495867*4.55912624748668</f>
        <v>1.8839364659035834E-2</v>
      </c>
      <c r="I15910">
        <v>1.8839364659035889E-2</v>
      </c>
    </row>
    <row r="15911" spans="1:9" x14ac:dyDescent="0.25">
      <c r="A15911">
        <v>515</v>
      </c>
      <c r="B15911" t="s">
        <v>4150</v>
      </c>
      <c r="C15911" t="s">
        <v>138</v>
      </c>
      <c r="D15911" t="s">
        <v>279</v>
      </c>
      <c r="E15911">
        <f>4/242</f>
        <v>1.6528925619834711E-2</v>
      </c>
      <c r="F15911">
        <v>22</v>
      </c>
      <c r="G15911">
        <f>LOG(382/(22+1))</f>
        <v>1.2203355268941158</v>
      </c>
      <c r="H15911">
        <f>0.0165289256198347*2.80992639267742</f>
        <v>4.6445064341775505E-2</v>
      </c>
      <c r="I15911">
        <v>4.644506434177563E-2</v>
      </c>
    </row>
    <row r="15912" spans="1:9" x14ac:dyDescent="0.25">
      <c r="A15912">
        <v>515</v>
      </c>
      <c r="B15912" t="s">
        <v>4150</v>
      </c>
      <c r="C15912" t="s">
        <v>138</v>
      </c>
      <c r="D15912" t="s">
        <v>4179</v>
      </c>
      <c r="E15912">
        <f t="shared" ref="E15912:E15921" si="747">1/242</f>
        <v>4.1322314049586778E-3</v>
      </c>
      <c r="F15912">
        <v>1</v>
      </c>
      <c r="G15912">
        <f>LOG(382/(1+1))</f>
        <v>2.2810333672477277</v>
      </c>
      <c r="H15912">
        <f>0.00413223140495867*5.25227342804663</f>
        <v>2.1703609206804215E-2</v>
      </c>
      <c r="I15912">
        <v>2.170360920680426E-2</v>
      </c>
    </row>
    <row r="15913" spans="1:9" x14ac:dyDescent="0.25">
      <c r="A15913">
        <v>515</v>
      </c>
      <c r="B15913" t="s">
        <v>4150</v>
      </c>
      <c r="C15913" t="s">
        <v>138</v>
      </c>
      <c r="D15913" t="s">
        <v>316</v>
      </c>
      <c r="E15913">
        <f t="shared" si="747"/>
        <v>4.1322314049586778E-3</v>
      </c>
      <c r="F15913">
        <v>6</v>
      </c>
      <c r="G15913">
        <f>LOG(382/(6+1))</f>
        <v>1.736965322897452</v>
      </c>
      <c r="H15913">
        <f>0.00413223140495867*3.99951045955126</f>
        <v>1.6526902725418399E-2</v>
      </c>
      <c r="I15913">
        <v>1.652690272541844E-2</v>
      </c>
    </row>
    <row r="15914" spans="1:9" x14ac:dyDescent="0.25">
      <c r="A15914">
        <v>515</v>
      </c>
      <c r="B15914" t="s">
        <v>4150</v>
      </c>
      <c r="C15914" t="s">
        <v>138</v>
      </c>
      <c r="D15914" t="s">
        <v>2055</v>
      </c>
      <c r="E15914">
        <f t="shared" si="747"/>
        <v>4.1322314049586778E-3</v>
      </c>
      <c r="F15914">
        <v>4</v>
      </c>
      <c r="G15914">
        <f>LOG(382/(4+1))</f>
        <v>1.8830933585756899</v>
      </c>
      <c r="H15914">
        <f>0.00413223140495867*4.33598269617247</f>
        <v>1.7917283868481248E-2</v>
      </c>
      <c r="I15914">
        <v>1.79172838684813E-2</v>
      </c>
    </row>
    <row r="15915" spans="1:9" x14ac:dyDescent="0.25">
      <c r="A15915">
        <v>515</v>
      </c>
      <c r="B15915" t="s">
        <v>4150</v>
      </c>
      <c r="C15915" t="s">
        <v>138</v>
      </c>
      <c r="D15915" t="s">
        <v>2979</v>
      </c>
      <c r="E15915">
        <f t="shared" si="747"/>
        <v>4.1322314049586778E-3</v>
      </c>
      <c r="F15915">
        <v>2</v>
      </c>
      <c r="G15915">
        <f>LOG(382/(2+1))</f>
        <v>2.1049421081920463</v>
      </c>
      <c r="H15915">
        <f>0.00413223140495867*4.84680831993846</f>
        <v>2.0028133553464673E-2</v>
      </c>
      <c r="I15915">
        <v>2.0028133553464729E-2</v>
      </c>
    </row>
    <row r="15916" spans="1:9" x14ac:dyDescent="0.25">
      <c r="A15916">
        <v>515</v>
      </c>
      <c r="B15916" t="s">
        <v>4150</v>
      </c>
      <c r="C15916" t="s">
        <v>138</v>
      </c>
      <c r="D15916" t="s">
        <v>1866</v>
      </c>
      <c r="E15916">
        <f t="shared" si="747"/>
        <v>4.1322314049586778E-3</v>
      </c>
      <c r="F15916">
        <v>18</v>
      </c>
      <c r="G15916">
        <f>LOG(382/(18+1))</f>
        <v>1.3033097619588798</v>
      </c>
      <c r="H15916">
        <f>0.00413223140495867*3.00098162944013</f>
        <v>1.2400750534876548E-2</v>
      </c>
      <c r="I15916">
        <v>1.240075053487659E-2</v>
      </c>
    </row>
    <row r="15917" spans="1:9" x14ac:dyDescent="0.25">
      <c r="A15917">
        <v>515</v>
      </c>
      <c r="B15917" t="s">
        <v>4150</v>
      </c>
      <c r="C15917" t="s">
        <v>138</v>
      </c>
      <c r="D15917" t="s">
        <v>1408</v>
      </c>
      <c r="E15917">
        <f t="shared" si="747"/>
        <v>4.1322314049586778E-3</v>
      </c>
      <c r="F15917">
        <v>2</v>
      </c>
      <c r="G15917">
        <f>LOG(382/(2+1))</f>
        <v>2.1049421081920463</v>
      </c>
      <c r="H15917">
        <f>0.00413223140495867*4.84680831993846</f>
        <v>2.0028133553464673E-2</v>
      </c>
      <c r="I15917">
        <v>2.0028133553464729E-2</v>
      </c>
    </row>
    <row r="15918" spans="1:9" x14ac:dyDescent="0.25">
      <c r="A15918">
        <v>515</v>
      </c>
      <c r="B15918" t="s">
        <v>4150</v>
      </c>
      <c r="C15918" t="s">
        <v>138</v>
      </c>
      <c r="D15918" t="s">
        <v>4180</v>
      </c>
      <c r="E15918">
        <f t="shared" si="747"/>
        <v>4.1322314049586778E-3</v>
      </c>
      <c r="F15918">
        <v>1</v>
      </c>
      <c r="G15918">
        <f>LOG(382/(1+1))</f>
        <v>2.2810333672477277</v>
      </c>
      <c r="H15918">
        <f>0.00413223140495867*5.25227342804663</f>
        <v>2.1703609206804215E-2</v>
      </c>
      <c r="I15918">
        <v>2.170360920680426E-2</v>
      </c>
    </row>
    <row r="15919" spans="1:9" x14ac:dyDescent="0.25">
      <c r="A15919">
        <v>515</v>
      </c>
      <c r="B15919" t="s">
        <v>4150</v>
      </c>
      <c r="C15919" t="s">
        <v>138</v>
      </c>
      <c r="D15919" t="s">
        <v>715</v>
      </c>
      <c r="E15919">
        <f t="shared" si="747"/>
        <v>4.1322314049586778E-3</v>
      </c>
      <c r="F15919">
        <v>2</v>
      </c>
      <c r="G15919">
        <f>LOG(382/(2+1))</f>
        <v>2.1049421081920463</v>
      </c>
      <c r="H15919">
        <f>0.00413223140495867*4.84680831993846</f>
        <v>2.0028133553464673E-2</v>
      </c>
      <c r="I15919">
        <v>2.0028133553464729E-2</v>
      </c>
    </row>
    <row r="15920" spans="1:9" x14ac:dyDescent="0.25">
      <c r="A15920">
        <v>515</v>
      </c>
      <c r="B15920" t="s">
        <v>4150</v>
      </c>
      <c r="C15920" t="s">
        <v>138</v>
      </c>
      <c r="D15920" t="s">
        <v>4181</v>
      </c>
      <c r="E15920">
        <f t="shared" si="747"/>
        <v>4.1322314049586778E-3</v>
      </c>
      <c r="F15920">
        <v>2</v>
      </c>
      <c r="G15920">
        <f>LOG(382/(2+1))</f>
        <v>2.1049421081920463</v>
      </c>
      <c r="H15920">
        <f>0.00413223140495867*4.84680831993846</f>
        <v>2.0028133553464673E-2</v>
      </c>
      <c r="I15920">
        <v>2.0028133553464729E-2</v>
      </c>
    </row>
    <row r="15921" spans="1:9" x14ac:dyDescent="0.25">
      <c r="A15921">
        <v>515</v>
      </c>
      <c r="B15921" t="s">
        <v>4150</v>
      </c>
      <c r="C15921" t="s">
        <v>138</v>
      </c>
      <c r="D15921" t="s">
        <v>744</v>
      </c>
      <c r="E15921">
        <f t="shared" si="747"/>
        <v>4.1322314049586778E-3</v>
      </c>
      <c r="F15921">
        <v>28</v>
      </c>
      <c r="G15921">
        <f>LOG(382/(28+1))</f>
        <v>1.1196653650127526</v>
      </c>
      <c r="H15921">
        <f>0.00413223140495867*2.5781247786201</f>
        <v>1.0653408176116095E-2</v>
      </c>
      <c r="I15921">
        <v>1.065340817611612E-2</v>
      </c>
    </row>
    <row r="15922" spans="1:9" x14ac:dyDescent="0.25">
      <c r="A15922">
        <v>515</v>
      </c>
      <c r="B15922" t="s">
        <v>4150</v>
      </c>
      <c r="C15922" t="s">
        <v>138</v>
      </c>
      <c r="D15922" t="s">
        <v>3292</v>
      </c>
      <c r="E15922">
        <f>2/242</f>
        <v>8.2644628099173556E-3</v>
      </c>
      <c r="F15922">
        <v>5</v>
      </c>
      <c r="G15922">
        <f>LOG(382/(5+1))</f>
        <v>1.803912112528065</v>
      </c>
      <c r="H15922">
        <f>0.00826446280991735*4.15366113937852</f>
        <v>3.4327778011392703E-2</v>
      </c>
      <c r="I15922">
        <v>3.432777801139273E-2</v>
      </c>
    </row>
    <row r="15923" spans="1:9" x14ac:dyDescent="0.25">
      <c r="A15923">
        <v>515</v>
      </c>
      <c r="B15923" t="s">
        <v>4150</v>
      </c>
      <c r="C15923" t="s">
        <v>138</v>
      </c>
      <c r="D15923" t="s">
        <v>1127</v>
      </c>
      <c r="E15923">
        <f>2/242</f>
        <v>8.2644628099173556E-3</v>
      </c>
      <c r="F15923">
        <v>18</v>
      </c>
      <c r="G15923">
        <f>LOG(382/(18+1))</f>
        <v>1.3033097619588798</v>
      </c>
      <c r="H15923">
        <f>0.00826446280991735*3.00098162944013</f>
        <v>2.4801501069753127E-2</v>
      </c>
      <c r="I15923">
        <v>2.4801501069753179E-2</v>
      </c>
    </row>
    <row r="15924" spans="1:9" x14ac:dyDescent="0.25">
      <c r="A15924">
        <v>515</v>
      </c>
      <c r="B15924" t="s">
        <v>4150</v>
      </c>
      <c r="C15924" t="s">
        <v>138</v>
      </c>
      <c r="D15924" t="s">
        <v>1397</v>
      </c>
      <c r="E15924">
        <f t="shared" ref="E15924:E15934" si="748">1/242</f>
        <v>4.1322314049586778E-3</v>
      </c>
      <c r="F15924">
        <v>29</v>
      </c>
      <c r="G15924">
        <f>LOG(382/(29+1))</f>
        <v>1.1049421081920463</v>
      </c>
      <c r="H15924">
        <f>0.00413223140495867*2.54422322694442</f>
        <v>1.051331911960502E-2</v>
      </c>
      <c r="I15924">
        <v>1.051331911960504E-2</v>
      </c>
    </row>
    <row r="15925" spans="1:9" x14ac:dyDescent="0.25">
      <c r="A15925">
        <v>515</v>
      </c>
      <c r="B15925" t="s">
        <v>4150</v>
      </c>
      <c r="C15925" t="s">
        <v>138</v>
      </c>
      <c r="D15925" t="s">
        <v>897</v>
      </c>
      <c r="E15925">
        <f t="shared" si="748"/>
        <v>4.1322314049586778E-3</v>
      </c>
      <c r="F15925">
        <v>4</v>
      </c>
      <c r="G15925">
        <f>LOG(382/(4+1))</f>
        <v>1.8830933585756899</v>
      </c>
      <c r="H15925">
        <f>0.00413223140495867*4.33598269617247</f>
        <v>1.7917283868481248E-2</v>
      </c>
      <c r="I15925">
        <v>1.79172838684813E-2</v>
      </c>
    </row>
    <row r="15926" spans="1:9" x14ac:dyDescent="0.25">
      <c r="A15926">
        <v>515</v>
      </c>
      <c r="B15926" t="s">
        <v>4150</v>
      </c>
      <c r="C15926" t="s">
        <v>138</v>
      </c>
      <c r="D15926" t="s">
        <v>4182</v>
      </c>
      <c r="E15926">
        <f t="shared" si="748"/>
        <v>4.1322314049586778E-3</v>
      </c>
      <c r="F15926">
        <v>1</v>
      </c>
      <c r="G15926">
        <f>LOG(382/(1+1))</f>
        <v>2.2810333672477277</v>
      </c>
      <c r="H15926">
        <f>0.00413223140495867*5.25227342804663</f>
        <v>2.1703609206804215E-2</v>
      </c>
      <c r="I15926">
        <v>2.170360920680426E-2</v>
      </c>
    </row>
    <row r="15927" spans="1:9" x14ac:dyDescent="0.25">
      <c r="A15927">
        <v>515</v>
      </c>
      <c r="B15927" t="s">
        <v>4150</v>
      </c>
      <c r="C15927" t="s">
        <v>138</v>
      </c>
      <c r="D15927" t="s">
        <v>11</v>
      </c>
      <c r="E15927">
        <f t="shared" si="748"/>
        <v>4.1322314049586778E-3</v>
      </c>
      <c r="F15927">
        <v>83</v>
      </c>
      <c r="G15927">
        <f>LOG(382/(83+1))</f>
        <v>0.65778407684982709</v>
      </c>
      <c r="H15927">
        <f>0.00413223140495867*1.51460380976326</f>
        <v>6.25869342877379E-3</v>
      </c>
      <c r="I15927">
        <v>6.2586934287738082E-3</v>
      </c>
    </row>
    <row r="15928" spans="1:9" x14ac:dyDescent="0.25">
      <c r="A15928">
        <v>515</v>
      </c>
      <c r="B15928" t="s">
        <v>4150</v>
      </c>
      <c r="C15928" t="s">
        <v>138</v>
      </c>
      <c r="D15928" t="s">
        <v>1541</v>
      </c>
      <c r="E15928">
        <f t="shared" si="748"/>
        <v>4.1322314049586778E-3</v>
      </c>
      <c r="F15928">
        <v>5</v>
      </c>
      <c r="G15928">
        <f>LOG(382/(5+1))</f>
        <v>1.803912112528065</v>
      </c>
      <c r="H15928">
        <f>0.00413223140495867*4.15366113937852</f>
        <v>1.716388900569633E-2</v>
      </c>
      <c r="I15928">
        <v>1.7163889005696369E-2</v>
      </c>
    </row>
    <row r="15929" spans="1:9" x14ac:dyDescent="0.25">
      <c r="A15929">
        <v>515</v>
      </c>
      <c r="B15929" t="s">
        <v>4150</v>
      </c>
      <c r="C15929" t="s">
        <v>138</v>
      </c>
      <c r="D15929" t="s">
        <v>4183</v>
      </c>
      <c r="E15929">
        <f t="shared" si="748"/>
        <v>4.1322314049586778E-3</v>
      </c>
      <c r="F15929">
        <v>1</v>
      </c>
      <c r="G15929">
        <f>LOG(382/(1+1))</f>
        <v>2.2810333672477277</v>
      </c>
      <c r="H15929">
        <f>0.00413223140495867*5.25227342804663</f>
        <v>2.1703609206804215E-2</v>
      </c>
      <c r="I15929">
        <v>2.170360920680426E-2</v>
      </c>
    </row>
    <row r="15930" spans="1:9" x14ac:dyDescent="0.25">
      <c r="A15930">
        <v>515</v>
      </c>
      <c r="B15930" t="s">
        <v>4150</v>
      </c>
      <c r="C15930" t="s">
        <v>138</v>
      </c>
      <c r="D15930" t="s">
        <v>1540</v>
      </c>
      <c r="E15930">
        <f t="shared" si="748"/>
        <v>4.1322314049586778E-3</v>
      </c>
      <c r="F15930">
        <v>12</v>
      </c>
      <c r="G15930">
        <f>LOG(382/(12+1))</f>
        <v>1.468120010604872</v>
      </c>
      <c r="H15930">
        <f>0.00413223140495867*3.38047125114503</f>
        <v>1.396888946754142E-2</v>
      </c>
      <c r="I15930">
        <v>1.3968889467541479E-2</v>
      </c>
    </row>
    <row r="15931" spans="1:9" x14ac:dyDescent="0.25">
      <c r="A15931">
        <v>515</v>
      </c>
      <c r="B15931" t="s">
        <v>4150</v>
      </c>
      <c r="C15931" t="s">
        <v>138</v>
      </c>
      <c r="D15931" t="s">
        <v>4184</v>
      </c>
      <c r="E15931">
        <f t="shared" si="748"/>
        <v>4.1322314049586778E-3</v>
      </c>
      <c r="F15931">
        <v>1</v>
      </c>
      <c r="G15931">
        <f>LOG(382/(1+1))</f>
        <v>2.2810333672477277</v>
      </c>
      <c r="H15931">
        <f>0.00413223140495867*5.25227342804663</f>
        <v>2.1703609206804215E-2</v>
      </c>
      <c r="I15931">
        <v>2.170360920680426E-2</v>
      </c>
    </row>
    <row r="15932" spans="1:9" x14ac:dyDescent="0.25">
      <c r="A15932">
        <v>515</v>
      </c>
      <c r="B15932" t="s">
        <v>4150</v>
      </c>
      <c r="C15932" t="s">
        <v>138</v>
      </c>
      <c r="D15932" t="s">
        <v>599</v>
      </c>
      <c r="E15932">
        <f t="shared" si="748"/>
        <v>4.1322314049586778E-3</v>
      </c>
      <c r="F15932">
        <v>28</v>
      </c>
      <c r="G15932">
        <f>LOG(382/(28+1))</f>
        <v>1.1196653650127526</v>
      </c>
      <c r="H15932">
        <f>0.00413223140495867*2.5781247786201</f>
        <v>1.0653408176116095E-2</v>
      </c>
      <c r="I15932">
        <v>1.065340817611612E-2</v>
      </c>
    </row>
    <row r="15933" spans="1:9" x14ac:dyDescent="0.25">
      <c r="A15933">
        <v>515</v>
      </c>
      <c r="B15933" t="s">
        <v>4150</v>
      </c>
      <c r="C15933" t="s">
        <v>138</v>
      </c>
      <c r="D15933" t="s">
        <v>776</v>
      </c>
      <c r="E15933">
        <f t="shared" si="748"/>
        <v>4.1322314049586778E-3</v>
      </c>
      <c r="F15933">
        <v>15</v>
      </c>
      <c r="G15933">
        <f>LOG(382/(15+1))</f>
        <v>1.3779433802557839</v>
      </c>
      <c r="H15933">
        <f>0.00413223140495867*3.17283188636679</f>
        <v>1.3110875563499108E-2</v>
      </c>
      <c r="I15933">
        <v>1.3110875563499149E-2</v>
      </c>
    </row>
    <row r="15934" spans="1:9" x14ac:dyDescent="0.25">
      <c r="A15934">
        <v>515</v>
      </c>
      <c r="B15934" t="s">
        <v>4150</v>
      </c>
      <c r="C15934" t="s">
        <v>138</v>
      </c>
      <c r="D15934" t="s">
        <v>565</v>
      </c>
      <c r="E15934">
        <f t="shared" si="748"/>
        <v>4.1322314049586778E-3</v>
      </c>
      <c r="F15934">
        <v>5</v>
      </c>
      <c r="G15934">
        <f>LOG(382/(5+1))</f>
        <v>1.803912112528065</v>
      </c>
      <c r="H15934">
        <f>0.00413223140495867*4.15366113937852</f>
        <v>1.716388900569633E-2</v>
      </c>
      <c r="I15934">
        <v>1.7163889005696369E-2</v>
      </c>
    </row>
    <row r="15935" spans="1:9" x14ac:dyDescent="0.25">
      <c r="A15935">
        <v>515</v>
      </c>
      <c r="B15935" t="s">
        <v>4150</v>
      </c>
      <c r="C15935" t="s">
        <v>138</v>
      </c>
      <c r="D15935" t="s">
        <v>388</v>
      </c>
      <c r="E15935">
        <f>2/242</f>
        <v>8.2644628099173556E-3</v>
      </c>
      <c r="F15935">
        <v>44</v>
      </c>
      <c r="G15935">
        <f>LOG(382/(44+1))</f>
        <v>0.92885084913636506</v>
      </c>
      <c r="H15935">
        <f>0.00826446280991735*2.13875811883625</f>
        <v>1.7675686932530979E-2</v>
      </c>
      <c r="I15935">
        <v>1.7675686932531031E-2</v>
      </c>
    </row>
    <row r="15936" spans="1:9" x14ac:dyDescent="0.25">
      <c r="A15936">
        <v>515</v>
      </c>
      <c r="B15936" t="s">
        <v>4150</v>
      </c>
      <c r="C15936" t="s">
        <v>138</v>
      </c>
      <c r="D15936" t="s">
        <v>898</v>
      </c>
      <c r="E15936">
        <f t="shared" ref="E15936:E15957" si="749">1/242</f>
        <v>4.1322314049586778E-3</v>
      </c>
      <c r="F15936">
        <v>22</v>
      </c>
      <c r="G15936">
        <f>LOG(382/(22+1))</f>
        <v>1.2203355268941158</v>
      </c>
      <c r="H15936">
        <f>0.00413223140495867*2.80992639267742</f>
        <v>1.1611266085443862E-2</v>
      </c>
      <c r="I15936">
        <v>1.1611266085443909E-2</v>
      </c>
    </row>
    <row r="15937" spans="1:9" x14ac:dyDescent="0.25">
      <c r="A15937">
        <v>515</v>
      </c>
      <c r="B15937" t="s">
        <v>4150</v>
      </c>
      <c r="C15937" t="s">
        <v>138</v>
      </c>
      <c r="D15937" t="s">
        <v>899</v>
      </c>
      <c r="E15937">
        <f t="shared" si="749"/>
        <v>4.1322314049586778E-3</v>
      </c>
      <c r="F15937">
        <v>5</v>
      </c>
      <c r="G15937">
        <f>LOG(382/(5+1))</f>
        <v>1.803912112528065</v>
      </c>
      <c r="H15937">
        <f>0.00413223140495867*4.15366113937852</f>
        <v>1.716388900569633E-2</v>
      </c>
      <c r="I15937">
        <v>1.7163889005696369E-2</v>
      </c>
    </row>
    <row r="15938" spans="1:9" x14ac:dyDescent="0.25">
      <c r="A15938">
        <v>515</v>
      </c>
      <c r="B15938" t="s">
        <v>4150</v>
      </c>
      <c r="C15938" t="s">
        <v>138</v>
      </c>
      <c r="D15938" t="s">
        <v>600</v>
      </c>
      <c r="E15938">
        <f t="shared" si="749"/>
        <v>4.1322314049586778E-3</v>
      </c>
      <c r="F15938">
        <v>102</v>
      </c>
      <c r="G15938">
        <f>LOG(382/(102+1))</f>
        <v>0.56922613820653656</v>
      </c>
      <c r="H15938">
        <f>0.00413223140495867*1.31069162037693</f>
        <v>5.4160810759377176E-3</v>
      </c>
      <c r="I15938">
        <v>5.4160810759377662E-3</v>
      </c>
    </row>
    <row r="15939" spans="1:9" x14ac:dyDescent="0.25">
      <c r="A15939">
        <v>515</v>
      </c>
      <c r="B15939" t="s">
        <v>4150</v>
      </c>
      <c r="C15939" t="s">
        <v>138</v>
      </c>
      <c r="D15939" t="s">
        <v>4185</v>
      </c>
      <c r="E15939">
        <f t="shared" si="749"/>
        <v>4.1322314049586778E-3</v>
      </c>
      <c r="F15939">
        <v>1</v>
      </c>
      <c r="G15939">
        <f>LOG(382/(1+1))</f>
        <v>2.2810333672477277</v>
      </c>
      <c r="H15939">
        <f>0.00413223140495867*5.25227342804663</f>
        <v>2.1703609206804215E-2</v>
      </c>
      <c r="I15939">
        <v>2.170360920680426E-2</v>
      </c>
    </row>
    <row r="15940" spans="1:9" x14ac:dyDescent="0.25">
      <c r="A15940">
        <v>515</v>
      </c>
      <c r="B15940" t="s">
        <v>4150</v>
      </c>
      <c r="C15940" t="s">
        <v>138</v>
      </c>
      <c r="D15940" t="s">
        <v>942</v>
      </c>
      <c r="E15940">
        <f t="shared" si="749"/>
        <v>4.1322314049586778E-3</v>
      </c>
      <c r="F15940">
        <v>10</v>
      </c>
      <c r="G15940">
        <f>LOG(382/(10+1))</f>
        <v>1.5406706777534838</v>
      </c>
      <c r="H15940">
        <f>0.00413223140495867*3.5475253358082</f>
        <v>1.4659195602513197E-2</v>
      </c>
      <c r="I15940">
        <v>1.4659195602513241E-2</v>
      </c>
    </row>
    <row r="15941" spans="1:9" x14ac:dyDescent="0.25">
      <c r="A15941">
        <v>515</v>
      </c>
      <c r="B15941" t="s">
        <v>4150</v>
      </c>
      <c r="C15941" t="s">
        <v>138</v>
      </c>
      <c r="D15941" t="s">
        <v>215</v>
      </c>
      <c r="E15941">
        <f t="shared" si="749"/>
        <v>4.1322314049586778E-3</v>
      </c>
      <c r="F15941">
        <v>25</v>
      </c>
      <c r="G15941">
        <f>LOG(382/(25+1))</f>
        <v>1.1670900149408907</v>
      </c>
      <c r="H15941">
        <f>0.00413223140495867*2.68732407058509</f>
        <v>1.1104644919773079E-2</v>
      </c>
      <c r="I15941">
        <v>1.110464491977311E-2</v>
      </c>
    </row>
    <row r="15942" spans="1:9" x14ac:dyDescent="0.25">
      <c r="A15942">
        <v>515</v>
      </c>
      <c r="B15942" t="s">
        <v>4150</v>
      </c>
      <c r="C15942" t="s">
        <v>138</v>
      </c>
      <c r="D15942" t="s">
        <v>4186</v>
      </c>
      <c r="E15942">
        <f t="shared" si="749"/>
        <v>4.1322314049586778E-3</v>
      </c>
      <c r="F15942">
        <v>1</v>
      </c>
      <c r="G15942">
        <f>LOG(382/(1+1))</f>
        <v>2.2810333672477277</v>
      </c>
      <c r="H15942">
        <f>0.00413223140495867*5.25227342804663</f>
        <v>2.1703609206804215E-2</v>
      </c>
      <c r="I15942">
        <v>2.170360920680426E-2</v>
      </c>
    </row>
    <row r="15943" spans="1:9" x14ac:dyDescent="0.25">
      <c r="A15943">
        <v>515</v>
      </c>
      <c r="B15943" t="s">
        <v>4150</v>
      </c>
      <c r="C15943" t="s">
        <v>138</v>
      </c>
      <c r="D15943" t="s">
        <v>1743</v>
      </c>
      <c r="E15943">
        <f t="shared" si="749"/>
        <v>4.1322314049586778E-3</v>
      </c>
      <c r="F15943">
        <v>3</v>
      </c>
      <c r="G15943">
        <f>LOG(382/(3+1))</f>
        <v>1.9800033715837464</v>
      </c>
      <c r="H15943">
        <f>0.00413223140495867*4.55912624748668</f>
        <v>1.8839364659035834E-2</v>
      </c>
      <c r="I15943">
        <v>1.8839364659035889E-2</v>
      </c>
    </row>
    <row r="15944" spans="1:9" x14ac:dyDescent="0.25">
      <c r="A15944">
        <v>515</v>
      </c>
      <c r="B15944" t="s">
        <v>4150</v>
      </c>
      <c r="C15944" t="s">
        <v>138</v>
      </c>
      <c r="D15944" t="s">
        <v>2165</v>
      </c>
      <c r="E15944">
        <f t="shared" si="749"/>
        <v>4.1322314049586778E-3</v>
      </c>
      <c r="F15944">
        <v>3</v>
      </c>
      <c r="G15944">
        <f>LOG(382/(3+1))</f>
        <v>1.9800033715837464</v>
      </c>
      <c r="H15944">
        <f>0.00413223140495867*4.55912624748668</f>
        <v>1.8839364659035834E-2</v>
      </c>
      <c r="I15944">
        <v>1.8839364659035889E-2</v>
      </c>
    </row>
    <row r="15945" spans="1:9" x14ac:dyDescent="0.25">
      <c r="A15945">
        <v>515</v>
      </c>
      <c r="B15945" t="s">
        <v>4150</v>
      </c>
      <c r="C15945" t="s">
        <v>138</v>
      </c>
      <c r="D15945" t="s">
        <v>4187</v>
      </c>
      <c r="E15945">
        <f t="shared" si="749"/>
        <v>4.1322314049586778E-3</v>
      </c>
      <c r="F15945">
        <v>1</v>
      </c>
      <c r="G15945">
        <f>LOG(382/(1+1))</f>
        <v>2.2810333672477277</v>
      </c>
      <c r="H15945">
        <f>0.00413223140495867*5.25227342804663</f>
        <v>2.1703609206804215E-2</v>
      </c>
      <c r="I15945">
        <v>2.170360920680426E-2</v>
      </c>
    </row>
    <row r="15946" spans="1:9" x14ac:dyDescent="0.25">
      <c r="A15946">
        <v>515</v>
      </c>
      <c r="B15946" t="s">
        <v>4150</v>
      </c>
      <c r="C15946" t="s">
        <v>138</v>
      </c>
      <c r="D15946" t="s">
        <v>2284</v>
      </c>
      <c r="E15946">
        <f t="shared" si="749"/>
        <v>4.1322314049586778E-3</v>
      </c>
      <c r="F15946">
        <v>4</v>
      </c>
      <c r="G15946">
        <f>LOG(382/(4+1))</f>
        <v>1.8830933585756899</v>
      </c>
      <c r="H15946">
        <f>0.00413223140495867*4.33598269617247</f>
        <v>1.7917283868481248E-2</v>
      </c>
      <c r="I15946">
        <v>1.79172838684813E-2</v>
      </c>
    </row>
    <row r="15947" spans="1:9" x14ac:dyDescent="0.25">
      <c r="A15947">
        <v>515</v>
      </c>
      <c r="B15947" t="s">
        <v>4150</v>
      </c>
      <c r="C15947" t="s">
        <v>138</v>
      </c>
      <c r="D15947" t="s">
        <v>4188</v>
      </c>
      <c r="E15947">
        <f t="shared" si="749"/>
        <v>4.1322314049586778E-3</v>
      </c>
      <c r="F15947">
        <v>1</v>
      </c>
      <c r="G15947">
        <f>LOG(382/(1+1))</f>
        <v>2.2810333672477277</v>
      </c>
      <c r="H15947">
        <f>0.00413223140495867*5.25227342804663</f>
        <v>2.1703609206804215E-2</v>
      </c>
      <c r="I15947">
        <v>2.170360920680426E-2</v>
      </c>
    </row>
    <row r="15948" spans="1:9" x14ac:dyDescent="0.25">
      <c r="A15948">
        <v>515</v>
      </c>
      <c r="B15948" t="s">
        <v>4150</v>
      </c>
      <c r="C15948" t="s">
        <v>138</v>
      </c>
      <c r="D15948" t="s">
        <v>4189</v>
      </c>
      <c r="E15948">
        <f t="shared" si="749"/>
        <v>4.1322314049586778E-3</v>
      </c>
      <c r="F15948">
        <v>1</v>
      </c>
      <c r="G15948">
        <f>LOG(382/(1+1))</f>
        <v>2.2810333672477277</v>
      </c>
      <c r="H15948">
        <f>0.00413223140495867*5.25227342804663</f>
        <v>2.1703609206804215E-2</v>
      </c>
      <c r="I15948">
        <v>2.170360920680426E-2</v>
      </c>
    </row>
    <row r="15949" spans="1:9" x14ac:dyDescent="0.25">
      <c r="A15949">
        <v>515</v>
      </c>
      <c r="B15949" t="s">
        <v>4150</v>
      </c>
      <c r="C15949" t="s">
        <v>138</v>
      </c>
      <c r="D15949" t="s">
        <v>42</v>
      </c>
      <c r="E15949">
        <f t="shared" si="749"/>
        <v>4.1322314049586778E-3</v>
      </c>
      <c r="F15949">
        <v>251</v>
      </c>
      <c r="G15949">
        <f>LOG(382/(251+1))</f>
        <v>0.18066282213016463</v>
      </c>
      <c r="H15949">
        <f>0.00413223140495867*0.415991521095151</f>
        <v>1.7189732276659099E-3</v>
      </c>
      <c r="I15949">
        <v>1.7189732276659171E-3</v>
      </c>
    </row>
    <row r="15950" spans="1:9" x14ac:dyDescent="0.25">
      <c r="A15950">
        <v>515</v>
      </c>
      <c r="B15950" t="s">
        <v>4150</v>
      </c>
      <c r="C15950" t="s">
        <v>138</v>
      </c>
      <c r="D15950" t="s">
        <v>4190</v>
      </c>
      <c r="E15950">
        <f t="shared" si="749"/>
        <v>4.1322314049586778E-3</v>
      </c>
      <c r="F15950">
        <v>1</v>
      </c>
      <c r="G15950">
        <f>LOG(382/(1+1))</f>
        <v>2.2810333672477277</v>
      </c>
      <c r="H15950">
        <f>0.00413223140495867*5.25227342804663</f>
        <v>2.1703609206804215E-2</v>
      </c>
      <c r="I15950">
        <v>2.170360920680426E-2</v>
      </c>
    </row>
    <row r="15951" spans="1:9" x14ac:dyDescent="0.25">
      <c r="A15951">
        <v>515</v>
      </c>
      <c r="B15951" t="s">
        <v>4150</v>
      </c>
      <c r="C15951" t="s">
        <v>138</v>
      </c>
      <c r="D15951" t="s">
        <v>4191</v>
      </c>
      <c r="E15951">
        <f t="shared" si="749"/>
        <v>4.1322314049586778E-3</v>
      </c>
      <c r="F15951">
        <v>1</v>
      </c>
      <c r="G15951">
        <f>LOG(382/(1+1))</f>
        <v>2.2810333672477277</v>
      </c>
      <c r="H15951">
        <f>0.00413223140495867*5.25227342804663</f>
        <v>2.1703609206804215E-2</v>
      </c>
      <c r="I15951">
        <v>2.170360920680426E-2</v>
      </c>
    </row>
    <row r="15952" spans="1:9" x14ac:dyDescent="0.25">
      <c r="A15952">
        <v>515</v>
      </c>
      <c r="B15952" t="s">
        <v>4150</v>
      </c>
      <c r="C15952" t="s">
        <v>138</v>
      </c>
      <c r="D15952" t="s">
        <v>3944</v>
      </c>
      <c r="E15952">
        <f t="shared" si="749"/>
        <v>4.1322314049586778E-3</v>
      </c>
      <c r="F15952">
        <v>6</v>
      </c>
      <c r="G15952">
        <f>LOG(382/(6+1))</f>
        <v>1.736965322897452</v>
      </c>
      <c r="H15952">
        <f>0.00413223140495867*3.99951045955126</f>
        <v>1.6526902725418399E-2</v>
      </c>
      <c r="I15952">
        <v>1.652690272541844E-2</v>
      </c>
    </row>
    <row r="15953" spans="1:9" x14ac:dyDescent="0.25">
      <c r="A15953">
        <v>515</v>
      </c>
      <c r="B15953" t="s">
        <v>4150</v>
      </c>
      <c r="C15953" t="s">
        <v>138</v>
      </c>
      <c r="D15953" t="s">
        <v>4192</v>
      </c>
      <c r="E15953">
        <f t="shared" si="749"/>
        <v>4.1322314049586778E-3</v>
      </c>
      <c r="F15953">
        <v>1</v>
      </c>
      <c r="G15953">
        <f>LOG(382/(1+1))</f>
        <v>2.2810333672477277</v>
      </c>
      <c r="H15953">
        <f>0.00413223140495867*5.25227342804663</f>
        <v>2.1703609206804215E-2</v>
      </c>
      <c r="I15953">
        <v>2.170360920680426E-2</v>
      </c>
    </row>
    <row r="15954" spans="1:9" x14ac:dyDescent="0.25">
      <c r="A15954">
        <v>515</v>
      </c>
      <c r="B15954" t="s">
        <v>4150</v>
      </c>
      <c r="C15954" t="s">
        <v>138</v>
      </c>
      <c r="D15954" t="s">
        <v>46</v>
      </c>
      <c r="E15954">
        <f t="shared" si="749"/>
        <v>4.1322314049586778E-3</v>
      </c>
      <c r="F15954">
        <v>3</v>
      </c>
      <c r="G15954">
        <f>LOG(382/(3+1))</f>
        <v>1.9800033715837464</v>
      </c>
      <c r="H15954">
        <f>0.00413223140495867*4.55912624748668</f>
        <v>1.8839364659035834E-2</v>
      </c>
      <c r="I15954">
        <v>1.8839364659035889E-2</v>
      </c>
    </row>
    <row r="15955" spans="1:9" x14ac:dyDescent="0.25">
      <c r="A15955">
        <v>515</v>
      </c>
      <c r="B15955" t="s">
        <v>4150</v>
      </c>
      <c r="C15955" t="s">
        <v>138</v>
      </c>
      <c r="D15955" t="s">
        <v>4193</v>
      </c>
      <c r="E15955">
        <f t="shared" si="749"/>
        <v>4.1322314049586778E-3</v>
      </c>
      <c r="F15955">
        <v>1</v>
      </c>
      <c r="G15955">
        <f>LOG(382/(1+1))</f>
        <v>2.2810333672477277</v>
      </c>
      <c r="H15955">
        <f>0.00413223140495867*5.25227342804663</f>
        <v>2.1703609206804215E-2</v>
      </c>
      <c r="I15955">
        <v>2.170360920680426E-2</v>
      </c>
    </row>
    <row r="15956" spans="1:9" x14ac:dyDescent="0.25">
      <c r="A15956">
        <v>515</v>
      </c>
      <c r="B15956" t="s">
        <v>4150</v>
      </c>
      <c r="C15956" t="s">
        <v>138</v>
      </c>
      <c r="D15956" t="s">
        <v>447</v>
      </c>
      <c r="E15956">
        <f t="shared" si="749"/>
        <v>4.1322314049586778E-3</v>
      </c>
      <c r="F15956">
        <v>37</v>
      </c>
      <c r="G15956">
        <f>LOG(382/(37+1))</f>
        <v>1.0022797662948986</v>
      </c>
      <c r="H15956">
        <f>0.00413223140495867*2.30783444888018</f>
        <v>9.5365059871081632E-3</v>
      </c>
      <c r="I15956">
        <v>9.5365059871082205E-3</v>
      </c>
    </row>
    <row r="15957" spans="1:9" x14ac:dyDescent="0.25">
      <c r="A15957">
        <v>515</v>
      </c>
      <c r="B15957" t="s">
        <v>4150</v>
      </c>
      <c r="C15957" t="s">
        <v>138</v>
      </c>
      <c r="D15957" t="s">
        <v>4194</v>
      </c>
      <c r="E15957">
        <f t="shared" si="749"/>
        <v>4.1322314049586778E-3</v>
      </c>
      <c r="F15957">
        <v>1</v>
      </c>
      <c r="G15957">
        <f>LOG(382/(1+1))</f>
        <v>2.2810333672477277</v>
      </c>
      <c r="H15957">
        <f>0.00413223140495867*5.25227342804663</f>
        <v>2.1703609206804215E-2</v>
      </c>
      <c r="I15957">
        <v>2.170360920680426E-2</v>
      </c>
    </row>
    <row r="15958" spans="1:9" x14ac:dyDescent="0.25">
      <c r="A15958">
        <v>515</v>
      </c>
      <c r="B15958" t="s">
        <v>4150</v>
      </c>
      <c r="C15958" t="s">
        <v>138</v>
      </c>
      <c r="D15958" t="s">
        <v>1732</v>
      </c>
      <c r="E15958">
        <f>2/242</f>
        <v>8.2644628099173556E-3</v>
      </c>
      <c r="F15958">
        <v>16</v>
      </c>
      <c r="G15958">
        <f>LOG(382/(16+1))</f>
        <v>1.3516144415334348</v>
      </c>
      <c r="H15958">
        <f>0.00826446280991735*3.11220726455035</f>
        <v>2.5720721194630973E-2</v>
      </c>
      <c r="I15958">
        <v>2.572072119463107E-2</v>
      </c>
    </row>
    <row r="15959" spans="1:9" x14ac:dyDescent="0.25">
      <c r="A15959">
        <v>515</v>
      </c>
      <c r="B15959" t="s">
        <v>4150</v>
      </c>
      <c r="C15959" t="s">
        <v>138</v>
      </c>
      <c r="D15959" t="s">
        <v>3420</v>
      </c>
      <c r="E15959">
        <f t="shared" ref="E15959:E15967" si="750">1/242</f>
        <v>4.1322314049586778E-3</v>
      </c>
      <c r="F15959">
        <v>12</v>
      </c>
      <c r="G15959">
        <f>LOG(382/(12+1))</f>
        <v>1.468120010604872</v>
      </c>
      <c r="H15959">
        <f>0.00413223140495867*3.38047125114503</f>
        <v>1.396888946754142E-2</v>
      </c>
      <c r="I15959">
        <v>1.3968889467541479E-2</v>
      </c>
    </row>
    <row r="15960" spans="1:9" x14ac:dyDescent="0.25">
      <c r="A15960">
        <v>515</v>
      </c>
      <c r="B15960" t="s">
        <v>4150</v>
      </c>
      <c r="C15960" t="s">
        <v>138</v>
      </c>
      <c r="D15960" t="s">
        <v>1762</v>
      </c>
      <c r="E15960">
        <f t="shared" si="750"/>
        <v>4.1322314049586778E-3</v>
      </c>
      <c r="F15960">
        <v>60</v>
      </c>
      <c r="G15960">
        <f>LOG(382/(60+1))</f>
        <v>0.79673352790094176</v>
      </c>
      <c r="H15960">
        <f>0.00413223140495867*1.83454674443326</f>
        <v>7.5807716712118041E-3</v>
      </c>
      <c r="I15960">
        <v>7.5807716712118344E-3</v>
      </c>
    </row>
    <row r="15961" spans="1:9" x14ac:dyDescent="0.25">
      <c r="A15961">
        <v>515</v>
      </c>
      <c r="B15961" t="s">
        <v>4150</v>
      </c>
      <c r="C15961" t="s">
        <v>138</v>
      </c>
      <c r="D15961" t="s">
        <v>204</v>
      </c>
      <c r="E15961">
        <f t="shared" si="750"/>
        <v>4.1322314049586778E-3</v>
      </c>
      <c r="F15961">
        <v>166</v>
      </c>
      <c r="G15961">
        <f>LOG(382/(166+1))</f>
        <v>0.35934689176412549</v>
      </c>
      <c r="H15961">
        <f>0.00413223140495867*0.82742679618982</f>
        <v>3.4191189925199109E-3</v>
      </c>
      <c r="I15961">
        <v>3.4191189925199179E-3</v>
      </c>
    </row>
    <row r="15962" spans="1:9" x14ac:dyDescent="0.25">
      <c r="A15962">
        <v>515</v>
      </c>
      <c r="B15962" t="s">
        <v>4150</v>
      </c>
      <c r="C15962" t="s">
        <v>138</v>
      </c>
      <c r="D15962" t="s">
        <v>1769</v>
      </c>
      <c r="E15962">
        <f t="shared" si="750"/>
        <v>4.1322314049586778E-3</v>
      </c>
      <c r="F15962">
        <v>84</v>
      </c>
      <c r="G15962">
        <f>LOG(382/(84+1))</f>
        <v>0.65264443719741605</v>
      </c>
      <c r="H15962">
        <f>0.00413223140495867*1.50276935211625</f>
        <v>6.2097907112241618E-3</v>
      </c>
      <c r="I15962">
        <v>6.2097907112242104E-3</v>
      </c>
    </row>
    <row r="15963" spans="1:9" x14ac:dyDescent="0.25">
      <c r="A15963">
        <v>515</v>
      </c>
      <c r="B15963" t="s">
        <v>4150</v>
      </c>
      <c r="C15963" t="s">
        <v>138</v>
      </c>
      <c r="D15963" t="s">
        <v>3341</v>
      </c>
      <c r="E15963">
        <f t="shared" si="750"/>
        <v>4.1322314049586778E-3</v>
      </c>
      <c r="F15963">
        <v>3</v>
      </c>
      <c r="G15963">
        <f>LOG(382/(3+1))</f>
        <v>1.9800033715837464</v>
      </c>
      <c r="H15963">
        <f>0.00413223140495867*4.55912624748668</f>
        <v>1.8839364659035834E-2</v>
      </c>
      <c r="I15963">
        <v>1.8839364659035889E-2</v>
      </c>
    </row>
    <row r="15964" spans="1:9" x14ac:dyDescent="0.25">
      <c r="A15964">
        <v>515</v>
      </c>
      <c r="B15964" t="s">
        <v>4150</v>
      </c>
      <c r="C15964" t="s">
        <v>138</v>
      </c>
      <c r="D15964" t="s">
        <v>3340</v>
      </c>
      <c r="E15964">
        <f t="shared" si="750"/>
        <v>4.1322314049586778E-3</v>
      </c>
      <c r="F15964">
        <v>4</v>
      </c>
      <c r="G15964">
        <f>LOG(382/(4+1))</f>
        <v>1.8830933585756899</v>
      </c>
      <c r="H15964">
        <f>0.00413223140495867*4.33598269617247</f>
        <v>1.7917283868481248E-2</v>
      </c>
      <c r="I15964">
        <v>1.79172838684813E-2</v>
      </c>
    </row>
    <row r="15965" spans="1:9" x14ac:dyDescent="0.25">
      <c r="A15965">
        <v>515</v>
      </c>
      <c r="B15965" t="s">
        <v>4150</v>
      </c>
      <c r="C15965" t="s">
        <v>138</v>
      </c>
      <c r="D15965" t="s">
        <v>4195</v>
      </c>
      <c r="E15965">
        <f t="shared" si="750"/>
        <v>4.1322314049586778E-3</v>
      </c>
      <c r="F15965">
        <v>2</v>
      </c>
      <c r="G15965">
        <f>LOG(382/(2+1))</f>
        <v>2.1049421081920463</v>
      </c>
      <c r="H15965">
        <f>0.00413223140495867*4.84680831993846</f>
        <v>2.0028133553464673E-2</v>
      </c>
      <c r="I15965">
        <v>2.0028133553464729E-2</v>
      </c>
    </row>
    <row r="15966" spans="1:9" x14ac:dyDescent="0.25">
      <c r="A15966">
        <v>515</v>
      </c>
      <c r="B15966" t="s">
        <v>4150</v>
      </c>
      <c r="C15966" t="s">
        <v>138</v>
      </c>
      <c r="D15966" t="s">
        <v>986</v>
      </c>
      <c r="E15966">
        <f t="shared" si="750"/>
        <v>4.1322314049586778E-3</v>
      </c>
      <c r="F15966">
        <v>2</v>
      </c>
      <c r="G15966">
        <f>LOG(382/(2+1))</f>
        <v>2.1049421081920463</v>
      </c>
      <c r="H15966">
        <f>0.00413223140495867*4.84680831993846</f>
        <v>2.0028133553464673E-2</v>
      </c>
      <c r="I15966">
        <v>2.0028133553464729E-2</v>
      </c>
    </row>
    <row r="15967" spans="1:9" x14ac:dyDescent="0.25">
      <c r="A15967">
        <v>515</v>
      </c>
      <c r="B15967" t="s">
        <v>4150</v>
      </c>
      <c r="C15967" t="s">
        <v>138</v>
      </c>
      <c r="D15967" t="s">
        <v>1921</v>
      </c>
      <c r="E15967">
        <f t="shared" si="750"/>
        <v>4.1322314049586778E-3</v>
      </c>
      <c r="F15967">
        <v>37</v>
      </c>
      <c r="G15967">
        <f>LOG(382/(37+1))</f>
        <v>1.0022797662948986</v>
      </c>
      <c r="H15967">
        <f>0.00413223140495867*2.30783444888018</f>
        <v>9.5365059871081632E-3</v>
      </c>
      <c r="I15967">
        <v>9.5365059871082205E-3</v>
      </c>
    </row>
    <row r="15968" spans="1:9" x14ac:dyDescent="0.25">
      <c r="A15968">
        <v>515</v>
      </c>
      <c r="B15968" t="s">
        <v>4150</v>
      </c>
      <c r="C15968" t="s">
        <v>138</v>
      </c>
      <c r="D15968" t="s">
        <v>4196</v>
      </c>
      <c r="E15968">
        <f>2/242</f>
        <v>8.2644628099173556E-3</v>
      </c>
      <c r="F15968">
        <v>1</v>
      </c>
      <c r="G15968">
        <f>LOG(382/(1+1))</f>
        <v>2.2810333672477277</v>
      </c>
      <c r="H15968">
        <f>0.00826446280991735*5.25227342804663</f>
        <v>4.3407218413608485E-2</v>
      </c>
      <c r="I15968">
        <v>4.3407218413608513E-2</v>
      </c>
    </row>
    <row r="15969" spans="1:9" x14ac:dyDescent="0.25">
      <c r="A15969">
        <v>515</v>
      </c>
      <c r="B15969" t="s">
        <v>4150</v>
      </c>
      <c r="C15969" t="s">
        <v>138</v>
      </c>
      <c r="D15969" t="s">
        <v>445</v>
      </c>
      <c r="E15969">
        <f t="shared" ref="E15969:E15980" si="751">1/242</f>
        <v>4.1322314049586778E-3</v>
      </c>
      <c r="F15969">
        <v>35</v>
      </c>
      <c r="G15969">
        <f>LOG(382/(35+1))</f>
        <v>1.0257608621444214</v>
      </c>
      <c r="H15969">
        <f>0.00413223140495867*2.36190167015046</f>
        <v>9.7599242568200649E-3</v>
      </c>
      <c r="I15969">
        <v>9.7599242568201031E-3</v>
      </c>
    </row>
    <row r="15970" spans="1:9" x14ac:dyDescent="0.25">
      <c r="A15970">
        <v>515</v>
      </c>
      <c r="B15970" t="s">
        <v>4150</v>
      </c>
      <c r="C15970" t="s">
        <v>138</v>
      </c>
      <c r="D15970" t="s">
        <v>631</v>
      </c>
      <c r="E15970">
        <f t="shared" si="751"/>
        <v>4.1322314049586778E-3</v>
      </c>
      <c r="F15970">
        <v>2</v>
      </c>
      <c r="G15970">
        <f>LOG(382/(2+1))</f>
        <v>2.1049421081920463</v>
      </c>
      <c r="H15970">
        <f>0.00413223140495867*4.84680831993846</f>
        <v>2.0028133553464673E-2</v>
      </c>
      <c r="I15970">
        <v>2.0028133553464729E-2</v>
      </c>
    </row>
    <row r="15971" spans="1:9" x14ac:dyDescent="0.25">
      <c r="A15971">
        <v>515</v>
      </c>
      <c r="B15971" t="s">
        <v>4150</v>
      </c>
      <c r="C15971" t="s">
        <v>138</v>
      </c>
      <c r="D15971" t="s">
        <v>1919</v>
      </c>
      <c r="E15971">
        <f t="shared" si="751"/>
        <v>4.1322314049586778E-3</v>
      </c>
      <c r="F15971">
        <v>18</v>
      </c>
      <c r="G15971">
        <f>LOG(382/(18+1))</f>
        <v>1.3033097619588798</v>
      </c>
      <c r="H15971">
        <f>0.00413223140495867*3.00098162944013</f>
        <v>1.2400750534876548E-2</v>
      </c>
      <c r="I15971">
        <v>1.240075053487659E-2</v>
      </c>
    </row>
    <row r="15972" spans="1:9" x14ac:dyDescent="0.25">
      <c r="A15972">
        <v>515</v>
      </c>
      <c r="B15972" t="s">
        <v>4150</v>
      </c>
      <c r="C15972" t="s">
        <v>138</v>
      </c>
      <c r="D15972" t="s">
        <v>4197</v>
      </c>
      <c r="E15972">
        <f t="shared" si="751"/>
        <v>4.1322314049586778E-3</v>
      </c>
      <c r="F15972">
        <v>2</v>
      </c>
      <c r="G15972">
        <f>LOG(382/(2+1))</f>
        <v>2.1049421081920463</v>
      </c>
      <c r="H15972">
        <f>0.00413223140495867*4.84680831993846</f>
        <v>2.0028133553464673E-2</v>
      </c>
      <c r="I15972">
        <v>2.0028133553464729E-2</v>
      </c>
    </row>
    <row r="15973" spans="1:9" x14ac:dyDescent="0.25">
      <c r="A15973">
        <v>515</v>
      </c>
      <c r="B15973" t="s">
        <v>4150</v>
      </c>
      <c r="C15973" t="s">
        <v>138</v>
      </c>
      <c r="D15973" t="s">
        <v>528</v>
      </c>
      <c r="E15973">
        <f t="shared" si="751"/>
        <v>4.1322314049586778E-3</v>
      </c>
      <c r="F15973">
        <v>9</v>
      </c>
      <c r="G15973">
        <f>LOG(382/(9+1))</f>
        <v>1.5820633629117087</v>
      </c>
      <c r="H15973">
        <f>0.00413223140495867*3.64283551561252</f>
        <v>1.5053039320712865E-2</v>
      </c>
      <c r="I15973">
        <v>1.5053039320712929E-2</v>
      </c>
    </row>
    <row r="15974" spans="1:9" x14ac:dyDescent="0.25">
      <c r="A15974">
        <v>515</v>
      </c>
      <c r="B15974" t="s">
        <v>4150</v>
      </c>
      <c r="C15974" t="s">
        <v>138</v>
      </c>
      <c r="D15974" t="s">
        <v>2136</v>
      </c>
      <c r="E15974">
        <f t="shared" si="751"/>
        <v>4.1322314049586778E-3</v>
      </c>
      <c r="F15974">
        <v>3</v>
      </c>
      <c r="G15974">
        <f>LOG(382/(3+1))</f>
        <v>1.9800033715837464</v>
      </c>
      <c r="H15974">
        <f>0.00413223140495867*4.55912624748668</f>
        <v>1.8839364659035834E-2</v>
      </c>
      <c r="I15974">
        <v>1.8839364659035889E-2</v>
      </c>
    </row>
    <row r="15975" spans="1:9" x14ac:dyDescent="0.25">
      <c r="A15975">
        <v>515</v>
      </c>
      <c r="B15975" t="s">
        <v>4150</v>
      </c>
      <c r="C15975" t="s">
        <v>138</v>
      </c>
      <c r="D15975" t="s">
        <v>4198</v>
      </c>
      <c r="E15975">
        <f t="shared" si="751"/>
        <v>4.1322314049586778E-3</v>
      </c>
      <c r="F15975">
        <v>1</v>
      </c>
      <c r="G15975">
        <f>LOG(382/(1+1))</f>
        <v>2.2810333672477277</v>
      </c>
      <c r="H15975">
        <f>0.00413223140495867*5.25227342804663</f>
        <v>2.1703609206804215E-2</v>
      </c>
      <c r="I15975">
        <v>2.170360920680426E-2</v>
      </c>
    </row>
    <row r="15976" spans="1:9" x14ac:dyDescent="0.25">
      <c r="A15976">
        <v>515</v>
      </c>
      <c r="B15976" t="s">
        <v>4150</v>
      </c>
      <c r="C15976" t="s">
        <v>138</v>
      </c>
      <c r="D15976" t="s">
        <v>1130</v>
      </c>
      <c r="E15976">
        <f t="shared" si="751"/>
        <v>4.1322314049586778E-3</v>
      </c>
      <c r="F15976">
        <v>12</v>
      </c>
      <c r="G15976">
        <f>LOG(382/(12+1))</f>
        <v>1.468120010604872</v>
      </c>
      <c r="H15976">
        <f>0.00413223140495867*3.38047125114503</f>
        <v>1.396888946754142E-2</v>
      </c>
      <c r="I15976">
        <v>1.3968889467541479E-2</v>
      </c>
    </row>
    <row r="15977" spans="1:9" x14ac:dyDescent="0.25">
      <c r="A15977">
        <v>515</v>
      </c>
      <c r="B15977" t="s">
        <v>4150</v>
      </c>
      <c r="C15977" t="s">
        <v>138</v>
      </c>
      <c r="D15977" t="s">
        <v>1918</v>
      </c>
      <c r="E15977">
        <f t="shared" si="751"/>
        <v>4.1322314049586778E-3</v>
      </c>
      <c r="F15977">
        <v>25</v>
      </c>
      <c r="G15977">
        <f>LOG(382/(25+1))</f>
        <v>1.1670900149408907</v>
      </c>
      <c r="H15977">
        <f>0.00413223140495867*2.68732407058509</f>
        <v>1.1104644919773079E-2</v>
      </c>
      <c r="I15977">
        <v>1.110464491977311E-2</v>
      </c>
    </row>
    <row r="15978" spans="1:9" x14ac:dyDescent="0.25">
      <c r="A15978">
        <v>515</v>
      </c>
      <c r="B15978" t="s">
        <v>4150</v>
      </c>
      <c r="C15978" t="s">
        <v>138</v>
      </c>
      <c r="D15978" t="s">
        <v>632</v>
      </c>
      <c r="E15978">
        <f t="shared" si="751"/>
        <v>4.1322314049586778E-3</v>
      </c>
      <c r="F15978">
        <v>7</v>
      </c>
      <c r="G15978">
        <f>LOG(382/(7+1))</f>
        <v>1.6789733759197651</v>
      </c>
      <c r="H15978">
        <f>0.00413223140495867*3.86597906692673</f>
        <v>1.5975120111267449E-2</v>
      </c>
      <c r="I15978">
        <v>1.5975120111267518E-2</v>
      </c>
    </row>
    <row r="15979" spans="1:9" x14ac:dyDescent="0.25">
      <c r="A15979">
        <v>515</v>
      </c>
      <c r="B15979" t="s">
        <v>4150</v>
      </c>
      <c r="C15979" t="s">
        <v>138</v>
      </c>
      <c r="D15979" t="s">
        <v>630</v>
      </c>
      <c r="E15979">
        <f t="shared" si="751"/>
        <v>4.1322314049586778E-3</v>
      </c>
      <c r="F15979">
        <v>6</v>
      </c>
      <c r="G15979">
        <f>LOG(382/(6+1))</f>
        <v>1.736965322897452</v>
      </c>
      <c r="H15979">
        <f>0.00413223140495867*3.99951045955126</f>
        <v>1.6526902725418399E-2</v>
      </c>
      <c r="I15979">
        <v>1.652690272541844E-2</v>
      </c>
    </row>
    <row r="15980" spans="1:9" x14ac:dyDescent="0.25">
      <c r="A15980">
        <v>515</v>
      </c>
      <c r="B15980" t="s">
        <v>4150</v>
      </c>
      <c r="C15980" t="s">
        <v>138</v>
      </c>
      <c r="D15980" t="s">
        <v>4199</v>
      </c>
      <c r="E15980">
        <f t="shared" si="751"/>
        <v>4.1322314049586778E-3</v>
      </c>
      <c r="F15980">
        <v>2</v>
      </c>
      <c r="G15980">
        <f>LOG(382/(2+1))</f>
        <v>2.1049421081920463</v>
      </c>
      <c r="H15980">
        <f>0.00413223140495867*4.84680831993846</f>
        <v>2.0028133553464673E-2</v>
      </c>
      <c r="I15980">
        <v>2.0028133553464729E-2</v>
      </c>
    </row>
    <row r="15981" spans="1:9" x14ac:dyDescent="0.25">
      <c r="A15981">
        <v>516</v>
      </c>
      <c r="B15981" t="s">
        <v>4200</v>
      </c>
      <c r="C15981" t="s">
        <v>75</v>
      </c>
      <c r="D15981" t="s">
        <v>3999</v>
      </c>
      <c r="E15981">
        <f>2/82</f>
        <v>2.4390243902439025E-2</v>
      </c>
      <c r="F15981">
        <v>2</v>
      </c>
      <c r="G15981">
        <f>LOG(382/(2+1))</f>
        <v>2.1049421081920463</v>
      </c>
      <c r="H15981">
        <f>0.024390243902439*4.84680831993846</f>
        <v>0.11821483707166965</v>
      </c>
      <c r="I15981">
        <v>0.1182148370716699</v>
      </c>
    </row>
    <row r="15982" spans="1:9" x14ac:dyDescent="0.25">
      <c r="A15982">
        <v>516</v>
      </c>
      <c r="B15982" t="s">
        <v>4200</v>
      </c>
      <c r="C15982" t="s">
        <v>75</v>
      </c>
      <c r="D15982" t="s">
        <v>4201</v>
      </c>
      <c r="E15982">
        <f>2/82</f>
        <v>2.4390243902439025E-2</v>
      </c>
      <c r="F15982">
        <v>1</v>
      </c>
      <c r="G15982">
        <f>LOG(382/(1+1))</f>
        <v>2.2810333672477277</v>
      </c>
      <c r="H15982">
        <f>0.024390243902439*5.25227342804663</f>
        <v>0.12810422995235671</v>
      </c>
      <c r="I15982">
        <v>0.12810422995235679</v>
      </c>
    </row>
    <row r="15983" spans="1:9" x14ac:dyDescent="0.25">
      <c r="A15983">
        <v>516</v>
      </c>
      <c r="B15983" t="s">
        <v>4200</v>
      </c>
      <c r="C15983" t="s">
        <v>75</v>
      </c>
      <c r="D15983" t="s">
        <v>204</v>
      </c>
      <c r="E15983">
        <f>2/82</f>
        <v>2.4390243902439025E-2</v>
      </c>
      <c r="F15983">
        <v>166</v>
      </c>
      <c r="G15983">
        <f>LOG(382/(166+1))</f>
        <v>0.35934689176412549</v>
      </c>
      <c r="H15983">
        <f>0.024390243902439*0.82742679618982</f>
        <v>2.0181141370483394E-2</v>
      </c>
      <c r="I15983">
        <v>2.0181141370483421E-2</v>
      </c>
    </row>
    <row r="15984" spans="1:9" x14ac:dyDescent="0.25">
      <c r="A15984">
        <v>516</v>
      </c>
      <c r="B15984" t="s">
        <v>4200</v>
      </c>
      <c r="C15984" t="s">
        <v>75</v>
      </c>
      <c r="D15984" t="s">
        <v>76</v>
      </c>
      <c r="E15984">
        <f>1/82</f>
        <v>1.2195121951219513E-2</v>
      </c>
      <c r="F15984">
        <v>140</v>
      </c>
      <c r="G15984">
        <f>LOG(382/(140+1))</f>
        <v>0.43284425025632883</v>
      </c>
      <c r="H15984">
        <f>0.0121951219512195*0.996660718228407</f>
        <v>1.2154399002785438E-2</v>
      </c>
      <c r="I15984">
        <v>1.215439900278545E-2</v>
      </c>
    </row>
    <row r="15985" spans="1:9" x14ac:dyDescent="0.25">
      <c r="A15985">
        <v>516</v>
      </c>
      <c r="B15985" t="s">
        <v>4200</v>
      </c>
      <c r="C15985" t="s">
        <v>75</v>
      </c>
      <c r="D15985" t="s">
        <v>77</v>
      </c>
      <c r="E15985">
        <f>1/82</f>
        <v>1.2195121951219513E-2</v>
      </c>
      <c r="F15985">
        <v>148</v>
      </c>
      <c r="G15985">
        <f>LOG(382/(148+1))</f>
        <v>0.40887709449943471</v>
      </c>
      <c r="H15985">
        <f>0.0121951219512195*0.941474302661116</f>
        <v>1.1481393934891648E-2</v>
      </c>
      <c r="I15985">
        <v>1.148139393489166E-2</v>
      </c>
    </row>
    <row r="15986" spans="1:9" x14ac:dyDescent="0.25">
      <c r="A15986">
        <v>516</v>
      </c>
      <c r="B15986" t="s">
        <v>4200</v>
      </c>
      <c r="C15986" t="s">
        <v>75</v>
      </c>
      <c r="D15986" t="s">
        <v>40</v>
      </c>
      <c r="E15986">
        <f>2/82</f>
        <v>2.4390243902439025E-2</v>
      </c>
      <c r="F15986">
        <v>159</v>
      </c>
      <c r="G15986">
        <f>LOG(382/(159+1))</f>
        <v>0.377943380255784</v>
      </c>
      <c r="H15986">
        <f>0.024390243902439*0.870246793372748</f>
        <v>2.122553154567676E-2</v>
      </c>
      <c r="I15986">
        <v>2.1225531545676791E-2</v>
      </c>
    </row>
    <row r="15987" spans="1:9" x14ac:dyDescent="0.25">
      <c r="A15987">
        <v>516</v>
      </c>
      <c r="B15987" t="s">
        <v>4200</v>
      </c>
      <c r="C15987" t="s">
        <v>75</v>
      </c>
      <c r="D15987" t="s">
        <v>41</v>
      </c>
      <c r="E15987">
        <f>1/82</f>
        <v>1.2195121951219513E-2</v>
      </c>
      <c r="F15987">
        <v>195</v>
      </c>
      <c r="G15987">
        <f>LOG(382/(195+1))</f>
        <v>0.28980729155523272</v>
      </c>
      <c r="H15987">
        <f>0.0121951219512195*0.667305949376058</f>
        <v>8.137877431415334E-3</v>
      </c>
      <c r="I15987">
        <v>8.1378774314153426E-3</v>
      </c>
    </row>
    <row r="15988" spans="1:9" x14ac:dyDescent="0.25">
      <c r="A15988">
        <v>516</v>
      </c>
      <c r="B15988" t="s">
        <v>4200</v>
      </c>
      <c r="C15988" t="s">
        <v>75</v>
      </c>
      <c r="D15988" t="s">
        <v>726</v>
      </c>
      <c r="E15988">
        <f>1/82</f>
        <v>1.2195121951219513E-2</v>
      </c>
      <c r="F15988">
        <v>37</v>
      </c>
      <c r="G15988">
        <f>LOG(382/(37+1))</f>
        <v>1.0022797662948986</v>
      </c>
      <c r="H15988">
        <f>0.0121951219512195*2.30783444888018</f>
        <v>2.8144322547319238E-2</v>
      </c>
      <c r="I15988">
        <v>2.814432254731938E-2</v>
      </c>
    </row>
    <row r="15989" spans="1:9" x14ac:dyDescent="0.25">
      <c r="A15989">
        <v>516</v>
      </c>
      <c r="B15989" t="s">
        <v>4200</v>
      </c>
      <c r="C15989" t="s">
        <v>75</v>
      </c>
      <c r="D15989" t="s">
        <v>932</v>
      </c>
      <c r="E15989">
        <f>2/82</f>
        <v>2.4390243902439025E-2</v>
      </c>
      <c r="F15989">
        <v>35</v>
      </c>
      <c r="G15989">
        <f>LOG(382/(35+1))</f>
        <v>1.0257608621444214</v>
      </c>
      <c r="H15989">
        <f>0.024390243902439*2.36190167015046</f>
        <v>5.7607357808547748E-2</v>
      </c>
      <c r="I15989">
        <v>5.7607357808547928E-2</v>
      </c>
    </row>
    <row r="15990" spans="1:9" x14ac:dyDescent="0.25">
      <c r="A15990">
        <v>516</v>
      </c>
      <c r="B15990" t="s">
        <v>4200</v>
      </c>
      <c r="C15990" t="s">
        <v>75</v>
      </c>
      <c r="D15990" t="s">
        <v>1608</v>
      </c>
      <c r="E15990">
        <f>1/82</f>
        <v>1.2195121951219513E-2</v>
      </c>
      <c r="F15990">
        <v>13</v>
      </c>
      <c r="G15990">
        <f>LOG(382/(13+1))</f>
        <v>1.4359353272334707</v>
      </c>
      <c r="H15990">
        <f>0.0121951219512195*3.30636327899131</f>
        <v>4.0321503402333016E-2</v>
      </c>
      <c r="I15990">
        <v>4.0321503402333127E-2</v>
      </c>
    </row>
    <row r="15991" spans="1:9" x14ac:dyDescent="0.25">
      <c r="A15991">
        <v>516</v>
      </c>
      <c r="B15991" t="s">
        <v>4200</v>
      </c>
      <c r="C15991" t="s">
        <v>75</v>
      </c>
      <c r="D15991" t="s">
        <v>2296</v>
      </c>
      <c r="E15991">
        <f>1/82</f>
        <v>1.2195121951219513E-2</v>
      </c>
      <c r="F15991">
        <v>5</v>
      </c>
      <c r="G15991">
        <f>LOG(382/(5+1))</f>
        <v>1.803912112528065</v>
      </c>
      <c r="H15991">
        <f>0.0121951219512195*4.15366113937852</f>
        <v>5.0654404138762391E-2</v>
      </c>
      <c r="I15991">
        <v>5.0654404138762439E-2</v>
      </c>
    </row>
    <row r="15992" spans="1:9" x14ac:dyDescent="0.25">
      <c r="A15992">
        <v>516</v>
      </c>
      <c r="B15992" t="s">
        <v>4200</v>
      </c>
      <c r="C15992" t="s">
        <v>75</v>
      </c>
      <c r="D15992" t="s">
        <v>4202</v>
      </c>
      <c r="E15992">
        <f>4/82</f>
        <v>4.878048780487805E-2</v>
      </c>
      <c r="F15992">
        <v>1</v>
      </c>
      <c r="G15992">
        <f>LOG(382/(1+1))</f>
        <v>2.2810333672477277</v>
      </c>
      <c r="H15992">
        <f>0.048780487804878*5.25227342804663</f>
        <v>0.25620845990471341</v>
      </c>
      <c r="I15992">
        <v>0.25620845990471358</v>
      </c>
    </row>
    <row r="15993" spans="1:9" x14ac:dyDescent="0.25">
      <c r="A15993">
        <v>516</v>
      </c>
      <c r="B15993" t="s">
        <v>4200</v>
      </c>
      <c r="C15993" t="s">
        <v>75</v>
      </c>
      <c r="D15993" t="s">
        <v>322</v>
      </c>
      <c r="E15993">
        <f>2/82</f>
        <v>2.4390243902439025E-2</v>
      </c>
      <c r="F15993">
        <v>128</v>
      </c>
      <c r="G15993">
        <f>LOG(382/(128+1))</f>
        <v>0.47147365261245977</v>
      </c>
      <c r="H15993">
        <f>0.024390243902439*1.0856082042449</f>
        <v>2.6478248884021924E-2</v>
      </c>
      <c r="I15993">
        <v>2.6478248884022029E-2</v>
      </c>
    </row>
    <row r="15994" spans="1:9" x14ac:dyDescent="0.25">
      <c r="A15994">
        <v>516</v>
      </c>
      <c r="B15994" t="s">
        <v>4200</v>
      </c>
      <c r="C15994" t="s">
        <v>75</v>
      </c>
      <c r="D15994" t="s">
        <v>762</v>
      </c>
      <c r="E15994">
        <f>2/82</f>
        <v>2.4390243902439025E-2</v>
      </c>
      <c r="F15994">
        <v>29</v>
      </c>
      <c r="G15994">
        <f>LOG(382/(29+1))</f>
        <v>1.1049421081920463</v>
      </c>
      <c r="H15994">
        <f>0.024390243902439*2.54422322694442</f>
        <v>6.2054225047424812E-2</v>
      </c>
      <c r="I15994">
        <v>6.2054225047424867E-2</v>
      </c>
    </row>
    <row r="15995" spans="1:9" x14ac:dyDescent="0.25">
      <c r="A15995">
        <v>516</v>
      </c>
      <c r="B15995" t="s">
        <v>4200</v>
      </c>
      <c r="C15995" t="s">
        <v>75</v>
      </c>
      <c r="D15995" t="s">
        <v>1094</v>
      </c>
      <c r="E15995">
        <f>1/82</f>
        <v>1.2195121951219513E-2</v>
      </c>
      <c r="F15995">
        <v>7</v>
      </c>
      <c r="G15995">
        <f>LOG(382/(7+1))</f>
        <v>1.6789733759197651</v>
      </c>
      <c r="H15995">
        <f>0.0121951219512195*3.86597906692673</f>
        <v>4.7146086182033253E-2</v>
      </c>
      <c r="I15995">
        <v>4.7146086182033413E-2</v>
      </c>
    </row>
    <row r="15996" spans="1:9" x14ac:dyDescent="0.25">
      <c r="A15996">
        <v>516</v>
      </c>
      <c r="B15996" t="s">
        <v>4200</v>
      </c>
      <c r="C15996" t="s">
        <v>75</v>
      </c>
      <c r="D15996" t="s">
        <v>3292</v>
      </c>
      <c r="E15996">
        <f>1/82</f>
        <v>1.2195121951219513E-2</v>
      </c>
      <c r="F15996">
        <v>5</v>
      </c>
      <c r="G15996">
        <f>LOG(382/(5+1))</f>
        <v>1.803912112528065</v>
      </c>
      <c r="H15996">
        <f>0.0121951219512195*4.15366113937852</f>
        <v>5.0654404138762391E-2</v>
      </c>
      <c r="I15996">
        <v>5.0654404138762439E-2</v>
      </c>
    </row>
    <row r="15997" spans="1:9" x14ac:dyDescent="0.25">
      <c r="A15997">
        <v>516</v>
      </c>
      <c r="B15997" t="s">
        <v>4200</v>
      </c>
      <c r="C15997" t="s">
        <v>75</v>
      </c>
      <c r="D15997" t="s">
        <v>4203</v>
      </c>
      <c r="E15997">
        <f>1/82</f>
        <v>1.2195121951219513E-2</v>
      </c>
      <c r="F15997">
        <v>1</v>
      </c>
      <c r="G15997">
        <f>LOG(382/(1+1))</f>
        <v>2.2810333672477277</v>
      </c>
      <c r="H15997">
        <f>0.0121951219512195*5.25227342804663</f>
        <v>6.4052114976178354E-2</v>
      </c>
      <c r="I15997">
        <v>6.4052114976178409E-2</v>
      </c>
    </row>
    <row r="15998" spans="1:9" x14ac:dyDescent="0.25">
      <c r="A15998">
        <v>516</v>
      </c>
      <c r="B15998" t="s">
        <v>4200</v>
      </c>
      <c r="C15998" t="s">
        <v>75</v>
      </c>
      <c r="D15998" t="s">
        <v>570</v>
      </c>
      <c r="E15998">
        <f>2/82</f>
        <v>2.4390243902439025E-2</v>
      </c>
      <c r="F15998">
        <v>27</v>
      </c>
      <c r="G15998">
        <f>LOG(382/(27+1))</f>
        <v>1.1349053315694895</v>
      </c>
      <c r="H15998">
        <f>0.024390243902439*2.61321609843137</f>
        <v>6.3736978010521167E-2</v>
      </c>
      <c r="I15998">
        <v>6.373697801052125E-2</v>
      </c>
    </row>
    <row r="15999" spans="1:9" x14ac:dyDescent="0.25">
      <c r="A15999">
        <v>516</v>
      </c>
      <c r="B15999" t="s">
        <v>4200</v>
      </c>
      <c r="C15999" t="s">
        <v>75</v>
      </c>
      <c r="D15999" t="s">
        <v>2586</v>
      </c>
      <c r="E15999">
        <f t="shared" ref="E15999:E16004" si="752">1/82</f>
        <v>1.2195121951219513E-2</v>
      </c>
      <c r="F15999">
        <v>4</v>
      </c>
      <c r="G15999">
        <f>LOG(382/(4+1))</f>
        <v>1.8830933585756899</v>
      </c>
      <c r="H15999">
        <f>0.0121951219512195*4.33598269617247</f>
        <v>5.2877837758200805E-2</v>
      </c>
      <c r="I15999">
        <v>5.2877837758200923E-2</v>
      </c>
    </row>
    <row r="16000" spans="1:9" x14ac:dyDescent="0.25">
      <c r="A16000">
        <v>516</v>
      </c>
      <c r="B16000" t="s">
        <v>4200</v>
      </c>
      <c r="C16000" t="s">
        <v>75</v>
      </c>
      <c r="D16000" t="s">
        <v>2260</v>
      </c>
      <c r="E16000">
        <f t="shared" si="752"/>
        <v>1.2195121951219513E-2</v>
      </c>
      <c r="F16000">
        <v>3</v>
      </c>
      <c r="G16000">
        <f>LOG(382/(3+1))</f>
        <v>1.9800033715837464</v>
      </c>
      <c r="H16000">
        <f>0.0121951219512195*4.55912624748668</f>
        <v>5.5599100579105803E-2</v>
      </c>
      <c r="I16000">
        <v>5.5599100579105908E-2</v>
      </c>
    </row>
    <row r="16001" spans="1:9" x14ac:dyDescent="0.25">
      <c r="A16001">
        <v>516</v>
      </c>
      <c r="B16001" t="s">
        <v>4200</v>
      </c>
      <c r="C16001" t="s">
        <v>75</v>
      </c>
      <c r="D16001" t="s">
        <v>1745</v>
      </c>
      <c r="E16001">
        <f t="shared" si="752"/>
        <v>1.2195121951219513E-2</v>
      </c>
      <c r="F16001">
        <v>12</v>
      </c>
      <c r="G16001">
        <f>LOG(382/(12+1))</f>
        <v>1.468120010604872</v>
      </c>
      <c r="H16001">
        <f>0.0121951219512195*3.38047125114503</f>
        <v>4.1225259160305207E-2</v>
      </c>
      <c r="I16001">
        <v>4.1225259160305353E-2</v>
      </c>
    </row>
    <row r="16002" spans="1:9" x14ac:dyDescent="0.25">
      <c r="A16002">
        <v>516</v>
      </c>
      <c r="B16002" t="s">
        <v>4200</v>
      </c>
      <c r="C16002" t="s">
        <v>75</v>
      </c>
      <c r="D16002" t="s">
        <v>78</v>
      </c>
      <c r="E16002">
        <f t="shared" si="752"/>
        <v>1.2195121951219513E-2</v>
      </c>
      <c r="F16002">
        <v>122</v>
      </c>
      <c r="G16002">
        <f>LOG(382/(122+1))</f>
        <v>0.49215825147231079</v>
      </c>
      <c r="H16002">
        <f>0.0121951219512195*1.13323625323415</f>
        <v>1.3819954307733523E-2</v>
      </c>
      <c r="I16002">
        <v>1.3819954307733631E-2</v>
      </c>
    </row>
    <row r="16003" spans="1:9" x14ac:dyDescent="0.25">
      <c r="A16003">
        <v>516</v>
      </c>
      <c r="B16003" t="s">
        <v>4200</v>
      </c>
      <c r="C16003" t="s">
        <v>75</v>
      </c>
      <c r="D16003" t="s">
        <v>483</v>
      </c>
      <c r="E16003">
        <f t="shared" si="752"/>
        <v>1.2195121951219513E-2</v>
      </c>
      <c r="F16003">
        <v>61</v>
      </c>
      <c r="G16003">
        <f>LOG(382/(61+1))</f>
        <v>0.7896716734134549</v>
      </c>
      <c r="H16003">
        <f>0.0121951219512195*1.81828622356148</f>
        <v>2.2174222238554614E-2</v>
      </c>
      <c r="I16003">
        <v>2.217422223855468E-2</v>
      </c>
    </row>
    <row r="16004" spans="1:9" x14ac:dyDescent="0.25">
      <c r="A16004">
        <v>516</v>
      </c>
      <c r="B16004" t="s">
        <v>4200</v>
      </c>
      <c r="C16004" t="s">
        <v>75</v>
      </c>
      <c r="D16004" t="s">
        <v>754</v>
      </c>
      <c r="E16004">
        <f t="shared" si="752"/>
        <v>1.2195121951219513E-2</v>
      </c>
      <c r="F16004">
        <v>111</v>
      </c>
      <c r="G16004">
        <f>LOG(382/(111+1))</f>
        <v>0.53284534024152708</v>
      </c>
      <c r="H16004">
        <f>0.0121951219512195*1.22692173731148</f>
        <v>1.4962460211115596E-2</v>
      </c>
      <c r="I16004">
        <v>1.496246021111562E-2</v>
      </c>
    </row>
    <row r="16005" spans="1:9" x14ac:dyDescent="0.25">
      <c r="A16005">
        <v>516</v>
      </c>
      <c r="B16005" t="s">
        <v>4200</v>
      </c>
      <c r="C16005" t="s">
        <v>75</v>
      </c>
      <c r="D16005" t="s">
        <v>1076</v>
      </c>
      <c r="E16005">
        <f>2/82</f>
        <v>2.4390243902439025E-2</v>
      </c>
      <c r="F16005">
        <v>13</v>
      </c>
      <c r="G16005">
        <f>LOG(382/(13+1))</f>
        <v>1.4359353272334707</v>
      </c>
      <c r="H16005">
        <f>0.024390243902439*3.30636327899131</f>
        <v>8.0643006804666031E-2</v>
      </c>
      <c r="I16005">
        <v>8.0643006804666253E-2</v>
      </c>
    </row>
    <row r="16006" spans="1:9" x14ac:dyDescent="0.25">
      <c r="A16006">
        <v>516</v>
      </c>
      <c r="B16006" t="s">
        <v>4200</v>
      </c>
      <c r="C16006" t="s">
        <v>75</v>
      </c>
      <c r="D16006" t="s">
        <v>1537</v>
      </c>
      <c r="E16006">
        <f>3/82</f>
        <v>3.6585365853658534E-2</v>
      </c>
      <c r="F16006">
        <v>80</v>
      </c>
      <c r="G16006">
        <f>LOG(382/(80+1))</f>
        <v>0.67357834403305894</v>
      </c>
      <c r="H16006">
        <f>0.0365853658536585*1.55097145393413</f>
        <v>5.6742858070760793E-2</v>
      </c>
      <c r="I16006">
        <v>5.6742858070761078E-2</v>
      </c>
    </row>
    <row r="16007" spans="1:9" x14ac:dyDescent="0.25">
      <c r="A16007">
        <v>516</v>
      </c>
      <c r="B16007" t="s">
        <v>4200</v>
      </c>
      <c r="C16007" t="s">
        <v>75</v>
      </c>
      <c r="D16007" t="s">
        <v>2554</v>
      </c>
      <c r="E16007">
        <f>3/82</f>
        <v>3.6585365853658534E-2</v>
      </c>
      <c r="F16007">
        <v>22</v>
      </c>
      <c r="G16007">
        <f>LOG(382/(22+1))</f>
        <v>1.2203355268941158</v>
      </c>
      <c r="H16007">
        <f>0.0365853658536585*2.80992639267742</f>
        <v>0.10280218509795427</v>
      </c>
      <c r="I16007">
        <v>0.10280218509795459</v>
      </c>
    </row>
    <row r="16008" spans="1:9" x14ac:dyDescent="0.25">
      <c r="A16008">
        <v>516</v>
      </c>
      <c r="B16008" t="s">
        <v>4200</v>
      </c>
      <c r="C16008" t="s">
        <v>75</v>
      </c>
      <c r="D16008" t="s">
        <v>751</v>
      </c>
      <c r="E16008">
        <f>2/82</f>
        <v>2.4390243902439025E-2</v>
      </c>
      <c r="F16008">
        <v>4</v>
      </c>
      <c r="G16008">
        <f>LOG(382/(4+1))</f>
        <v>1.8830933585756899</v>
      </c>
      <c r="H16008">
        <f>0.024390243902439*4.33598269617247</f>
        <v>0.10575567551640161</v>
      </c>
      <c r="I16008">
        <v>0.1057556755164018</v>
      </c>
    </row>
    <row r="16009" spans="1:9" x14ac:dyDescent="0.25">
      <c r="A16009">
        <v>516</v>
      </c>
      <c r="B16009" t="s">
        <v>4200</v>
      </c>
      <c r="C16009" t="s">
        <v>75</v>
      </c>
      <c r="D16009" t="s">
        <v>25</v>
      </c>
      <c r="E16009">
        <f t="shared" ref="E16009:E16037" si="753">1/82</f>
        <v>1.2195121951219513E-2</v>
      </c>
      <c r="F16009">
        <v>106</v>
      </c>
      <c r="G16009">
        <f>LOG(382/(106+1))</f>
        <v>0.55267958522649907</v>
      </c>
      <c r="H16009">
        <f>0.0121951219512195*1.27259177414466</f>
        <v>1.5519411879812912E-2</v>
      </c>
      <c r="I16009">
        <v>1.551941187981304E-2</v>
      </c>
    </row>
    <row r="16010" spans="1:9" x14ac:dyDescent="0.25">
      <c r="A16010">
        <v>516</v>
      </c>
      <c r="B16010" t="s">
        <v>4200</v>
      </c>
      <c r="C16010" t="s">
        <v>75</v>
      </c>
      <c r="D16010" t="s">
        <v>362</v>
      </c>
      <c r="E16010">
        <f t="shared" si="753"/>
        <v>1.2195121951219513E-2</v>
      </c>
      <c r="F16010">
        <v>81</v>
      </c>
      <c r="G16010">
        <f>LOG(382/(81+1))</f>
        <v>0.66824951052799197</v>
      </c>
      <c r="H16010">
        <f>0.0121951219512195*1.53870136134232</f>
        <v>1.8764650748077056E-2</v>
      </c>
      <c r="I16010">
        <v>1.8764650748077101E-2</v>
      </c>
    </row>
    <row r="16011" spans="1:9" x14ac:dyDescent="0.25">
      <c r="A16011">
        <v>516</v>
      </c>
      <c r="B16011" t="s">
        <v>4200</v>
      </c>
      <c r="C16011" t="s">
        <v>75</v>
      </c>
      <c r="D16011" t="s">
        <v>1762</v>
      </c>
      <c r="E16011">
        <f t="shared" si="753"/>
        <v>1.2195121951219513E-2</v>
      </c>
      <c r="F16011">
        <v>60</v>
      </c>
      <c r="G16011">
        <f>LOG(382/(60+1))</f>
        <v>0.79673352790094176</v>
      </c>
      <c r="H16011">
        <f>0.0121951219512195*1.83454674443326</f>
        <v>2.2372521273576321E-2</v>
      </c>
      <c r="I16011">
        <v>2.237252127357639E-2</v>
      </c>
    </row>
    <row r="16012" spans="1:9" x14ac:dyDescent="0.25">
      <c r="A16012">
        <v>516</v>
      </c>
      <c r="B16012" t="s">
        <v>4200</v>
      </c>
      <c r="C16012" t="s">
        <v>75</v>
      </c>
      <c r="D16012" t="s">
        <v>201</v>
      </c>
      <c r="E16012">
        <f t="shared" si="753"/>
        <v>1.2195121951219513E-2</v>
      </c>
      <c r="F16012">
        <v>72</v>
      </c>
      <c r="G16012">
        <f>LOG(382/(72+1))</f>
        <v>0.71874050279125279</v>
      </c>
      <c r="H16012">
        <f>0.0121951219512195*1.65496116745818</f>
        <v>2.01824532616851E-2</v>
      </c>
      <c r="I16012">
        <v>2.018245326168517E-2</v>
      </c>
    </row>
    <row r="16013" spans="1:9" x14ac:dyDescent="0.25">
      <c r="A16013">
        <v>516</v>
      </c>
      <c r="B16013" t="s">
        <v>4200</v>
      </c>
      <c r="C16013" t="s">
        <v>75</v>
      </c>
      <c r="D16013" t="s">
        <v>225</v>
      </c>
      <c r="E16013">
        <f t="shared" si="753"/>
        <v>1.2195121951219513E-2</v>
      </c>
      <c r="F16013">
        <v>30</v>
      </c>
      <c r="G16013">
        <f>LOG(382/(30+1))</f>
        <v>1.090701669077436</v>
      </c>
      <c r="H16013">
        <f>0.0121951219512195*2.51143340412142</f>
        <v>3.0627236635627046E-2</v>
      </c>
      <c r="I16013">
        <v>3.0627236635627181E-2</v>
      </c>
    </row>
    <row r="16014" spans="1:9" x14ac:dyDescent="0.25">
      <c r="A16014">
        <v>516</v>
      </c>
      <c r="B16014" t="s">
        <v>4200</v>
      </c>
      <c r="C16014" t="s">
        <v>75</v>
      </c>
      <c r="D16014" t="s">
        <v>1080</v>
      </c>
      <c r="E16014">
        <f t="shared" si="753"/>
        <v>1.2195121951219513E-2</v>
      </c>
      <c r="F16014">
        <v>26</v>
      </c>
      <c r="G16014">
        <f>LOG(382/(26+1))</f>
        <v>1.1506995987527215</v>
      </c>
      <c r="H16014">
        <f>0.0121951219512195*2.64958374260224</f>
        <v>3.2311996861002897E-2</v>
      </c>
      <c r="I16014">
        <v>3.2311996861003001E-2</v>
      </c>
    </row>
    <row r="16015" spans="1:9" x14ac:dyDescent="0.25">
      <c r="A16015">
        <v>516</v>
      </c>
      <c r="B16015" t="s">
        <v>4200</v>
      </c>
      <c r="C16015" t="s">
        <v>75</v>
      </c>
      <c r="D16015" t="s">
        <v>937</v>
      </c>
      <c r="E16015">
        <f t="shared" si="753"/>
        <v>1.2195121951219513E-2</v>
      </c>
      <c r="F16015">
        <v>41</v>
      </c>
      <c r="G16015">
        <f>LOG(382/(41+1))</f>
        <v>0.95881407251380824</v>
      </c>
      <c r="H16015">
        <f>0.0121951219512195*2.2077509903232</f>
        <v>2.6923792564917049E-2</v>
      </c>
      <c r="I16015">
        <v>2.692379256491716E-2</v>
      </c>
    </row>
    <row r="16016" spans="1:9" x14ac:dyDescent="0.25">
      <c r="A16016">
        <v>516</v>
      </c>
      <c r="B16016" t="s">
        <v>4200</v>
      </c>
      <c r="C16016" t="s">
        <v>75</v>
      </c>
      <c r="D16016" t="s">
        <v>1733</v>
      </c>
      <c r="E16016">
        <f t="shared" si="753"/>
        <v>1.2195121951219513E-2</v>
      </c>
      <c r="F16016">
        <v>19</v>
      </c>
      <c r="G16016">
        <f>LOG(382/(19+1))</f>
        <v>1.2810333672477277</v>
      </c>
      <c r="H16016">
        <f>0.0121951219512195*2.94968833505258</f>
        <v>3.5971808964055822E-2</v>
      </c>
      <c r="I16016">
        <v>3.5971808964055912E-2</v>
      </c>
    </row>
    <row r="16017" spans="1:9" x14ac:dyDescent="0.25">
      <c r="A16017">
        <v>516</v>
      </c>
      <c r="B16017" t="s">
        <v>4200</v>
      </c>
      <c r="C16017" t="s">
        <v>75</v>
      </c>
      <c r="D16017" t="s">
        <v>1397</v>
      </c>
      <c r="E16017">
        <f t="shared" si="753"/>
        <v>1.2195121951219513E-2</v>
      </c>
      <c r="F16017">
        <v>29</v>
      </c>
      <c r="G16017">
        <f>LOG(382/(29+1))</f>
        <v>1.1049421081920463</v>
      </c>
      <c r="H16017">
        <f>0.0121951219512195*2.54422322694442</f>
        <v>3.1027112523712406E-2</v>
      </c>
      <c r="I16017">
        <v>3.1027112523712441E-2</v>
      </c>
    </row>
    <row r="16018" spans="1:9" x14ac:dyDescent="0.25">
      <c r="A16018">
        <v>516</v>
      </c>
      <c r="B16018" t="s">
        <v>4200</v>
      </c>
      <c r="C16018" t="s">
        <v>75</v>
      </c>
      <c r="D16018" t="s">
        <v>81</v>
      </c>
      <c r="E16018">
        <f t="shared" si="753"/>
        <v>1.2195121951219513E-2</v>
      </c>
      <c r="F16018">
        <v>114</v>
      </c>
      <c r="G16018">
        <f>LOG(382/(114+1))</f>
        <v>0.52136552255809698</v>
      </c>
      <c r="H16018">
        <f>0.0121951219512195*1.20048848024332</f>
        <v>1.464010341760145E-2</v>
      </c>
      <c r="I16018">
        <v>1.464010341760153E-2</v>
      </c>
    </row>
    <row r="16019" spans="1:9" x14ac:dyDescent="0.25">
      <c r="A16019">
        <v>516</v>
      </c>
      <c r="B16019" t="s">
        <v>4200</v>
      </c>
      <c r="C16019" t="s">
        <v>75</v>
      </c>
      <c r="D16019" t="s">
        <v>339</v>
      </c>
      <c r="E16019">
        <f t="shared" si="753"/>
        <v>1.2195121951219513E-2</v>
      </c>
      <c r="F16019">
        <v>66</v>
      </c>
      <c r="G16019">
        <f>LOG(382/(66+1))</f>
        <v>0.75598856021088234</v>
      </c>
      <c r="H16019">
        <f>0.0121951219512195*1.7407279892156</f>
        <v>2.1228390112385347E-2</v>
      </c>
      <c r="I16019">
        <v>2.1228390112385479E-2</v>
      </c>
    </row>
    <row r="16020" spans="1:9" x14ac:dyDescent="0.25">
      <c r="A16020">
        <v>516</v>
      </c>
      <c r="B16020" t="s">
        <v>4200</v>
      </c>
      <c r="C16020" t="s">
        <v>75</v>
      </c>
      <c r="D16020" t="s">
        <v>1773</v>
      </c>
      <c r="E16020">
        <f t="shared" si="753"/>
        <v>1.2195121951219513E-2</v>
      </c>
      <c r="F16020">
        <v>24</v>
      </c>
      <c r="G16020">
        <f>LOG(382/(24+1))</f>
        <v>1.1841233542396712</v>
      </c>
      <c r="H16020">
        <f>0.0121951219512195*2.72654478373837</f>
        <v>3.3250546143150816E-2</v>
      </c>
      <c r="I16020">
        <v>3.3250546143150907E-2</v>
      </c>
    </row>
    <row r="16021" spans="1:9" x14ac:dyDescent="0.25">
      <c r="A16021">
        <v>516</v>
      </c>
      <c r="B16021" t="s">
        <v>4200</v>
      </c>
      <c r="C16021" t="s">
        <v>75</v>
      </c>
      <c r="D16021" t="s">
        <v>447</v>
      </c>
      <c r="E16021">
        <f t="shared" si="753"/>
        <v>1.2195121951219513E-2</v>
      </c>
      <c r="F16021">
        <v>37</v>
      </c>
      <c r="G16021">
        <f>LOG(382/(37+1))</f>
        <v>1.0022797662948986</v>
      </c>
      <c r="H16021">
        <f>0.0121951219512195*2.30783444888018</f>
        <v>2.8144322547319238E-2</v>
      </c>
      <c r="I16021">
        <v>2.814432254731938E-2</v>
      </c>
    </row>
    <row r="16022" spans="1:9" x14ac:dyDescent="0.25">
      <c r="A16022">
        <v>516</v>
      </c>
      <c r="B16022" t="s">
        <v>4200</v>
      </c>
      <c r="C16022" t="s">
        <v>75</v>
      </c>
      <c r="D16022" t="s">
        <v>324</v>
      </c>
      <c r="E16022">
        <f t="shared" si="753"/>
        <v>1.2195121951219513E-2</v>
      </c>
      <c r="F16022">
        <v>82</v>
      </c>
      <c r="G16022">
        <f>LOG(382/(82+1))</f>
        <v>0.66298527053563483</v>
      </c>
      <c r="H16022">
        <f>0.0121951219512195*1.52658000080997</f>
        <v>1.8616829278170346E-2</v>
      </c>
      <c r="I16022">
        <v>1.861682927817045E-2</v>
      </c>
    </row>
    <row r="16023" spans="1:9" x14ac:dyDescent="0.25">
      <c r="A16023">
        <v>516</v>
      </c>
      <c r="B16023" t="s">
        <v>4200</v>
      </c>
      <c r="C16023" t="s">
        <v>75</v>
      </c>
      <c r="D16023" t="s">
        <v>1532</v>
      </c>
      <c r="E16023">
        <f t="shared" si="753"/>
        <v>1.2195121951219513E-2</v>
      </c>
      <c r="F16023">
        <v>28</v>
      </c>
      <c r="G16023">
        <f>LOG(382/(28+1))</f>
        <v>1.1196653650127526</v>
      </c>
      <c r="H16023">
        <f>0.0121951219512195*2.5781247786201</f>
        <v>3.1440546080732892E-2</v>
      </c>
      <c r="I16023">
        <v>3.1440546080732941E-2</v>
      </c>
    </row>
    <row r="16024" spans="1:9" x14ac:dyDescent="0.25">
      <c r="A16024">
        <v>516</v>
      </c>
      <c r="B16024" t="s">
        <v>4200</v>
      </c>
      <c r="C16024" t="s">
        <v>75</v>
      </c>
      <c r="D16024" t="s">
        <v>1533</v>
      </c>
      <c r="E16024">
        <f t="shared" si="753"/>
        <v>1.2195121951219513E-2</v>
      </c>
      <c r="F16024">
        <v>33</v>
      </c>
      <c r="G16024">
        <f>LOG(382/(33+1))</f>
        <v>1.0505844458694535</v>
      </c>
      <c r="H16024">
        <f>0.0121951219512195*2.41906008399041</f>
        <v>2.9500732731590339E-2</v>
      </c>
      <c r="I16024">
        <v>2.9500732731590412E-2</v>
      </c>
    </row>
    <row r="16025" spans="1:9" x14ac:dyDescent="0.25">
      <c r="A16025">
        <v>516</v>
      </c>
      <c r="B16025" t="s">
        <v>4200</v>
      </c>
      <c r="C16025" t="s">
        <v>75</v>
      </c>
      <c r="D16025" t="s">
        <v>799</v>
      </c>
      <c r="E16025">
        <f t="shared" si="753"/>
        <v>1.2195121951219513E-2</v>
      </c>
      <c r="F16025">
        <v>8</v>
      </c>
      <c r="G16025">
        <f>LOG(382/(8+1))</f>
        <v>1.6278208534723839</v>
      </c>
      <c r="H16025">
        <f>0.0121951219512195*3.74819603127035</f>
        <v>4.570970769841886E-2</v>
      </c>
      <c r="I16025">
        <v>4.5709707698418971E-2</v>
      </c>
    </row>
    <row r="16026" spans="1:9" x14ac:dyDescent="0.25">
      <c r="A16026">
        <v>516</v>
      </c>
      <c r="B16026" t="s">
        <v>4200</v>
      </c>
      <c r="C16026" t="s">
        <v>75</v>
      </c>
      <c r="D16026" t="s">
        <v>218</v>
      </c>
      <c r="E16026">
        <f t="shared" si="753"/>
        <v>1.2195121951219513E-2</v>
      </c>
      <c r="F16026">
        <v>35</v>
      </c>
      <c r="G16026">
        <f>LOG(382/(35+1))</f>
        <v>1.0257608621444214</v>
      </c>
      <c r="H16026">
        <f>0.0121951219512195*2.36190167015046</f>
        <v>2.8803678904273874E-2</v>
      </c>
      <c r="I16026">
        <v>2.880367890427396E-2</v>
      </c>
    </row>
    <row r="16027" spans="1:9" x14ac:dyDescent="0.25">
      <c r="A16027">
        <v>516</v>
      </c>
      <c r="B16027" t="s">
        <v>4200</v>
      </c>
      <c r="C16027" t="s">
        <v>75</v>
      </c>
      <c r="D16027" t="s">
        <v>4204</v>
      </c>
      <c r="E16027">
        <f t="shared" si="753"/>
        <v>1.2195121951219513E-2</v>
      </c>
      <c r="F16027">
        <v>1</v>
      </c>
      <c r="G16027">
        <f>LOG(382/(1+1))</f>
        <v>2.2810333672477277</v>
      </c>
      <c r="H16027">
        <f>0.0121951219512195*5.25227342804663</f>
        <v>6.4052114976178354E-2</v>
      </c>
      <c r="I16027">
        <v>6.4052114976178409E-2</v>
      </c>
    </row>
    <row r="16028" spans="1:9" x14ac:dyDescent="0.25">
      <c r="A16028">
        <v>516</v>
      </c>
      <c r="B16028" t="s">
        <v>4200</v>
      </c>
      <c r="C16028" t="s">
        <v>75</v>
      </c>
      <c r="D16028" t="s">
        <v>485</v>
      </c>
      <c r="E16028">
        <f t="shared" si="753"/>
        <v>1.2195121951219513E-2</v>
      </c>
      <c r="F16028">
        <v>74</v>
      </c>
      <c r="G16028">
        <f>LOG(382/(74+1))</f>
        <v>0.7070020995200087</v>
      </c>
      <c r="H16028">
        <f>0.0121951219512195*1.62793249507026</f>
        <v>1.985283530573486E-2</v>
      </c>
      <c r="I16028">
        <v>1.985283530573494E-2</v>
      </c>
    </row>
    <row r="16029" spans="1:9" x14ac:dyDescent="0.25">
      <c r="A16029">
        <v>516</v>
      </c>
      <c r="B16029" t="s">
        <v>4200</v>
      </c>
      <c r="C16029" t="s">
        <v>75</v>
      </c>
      <c r="D16029" t="s">
        <v>1085</v>
      </c>
      <c r="E16029">
        <f t="shared" si="753"/>
        <v>1.2195121951219513E-2</v>
      </c>
      <c r="F16029">
        <v>16</v>
      </c>
      <c r="G16029">
        <f>LOG(382/(16+1))</f>
        <v>1.3516144415334348</v>
      </c>
      <c r="H16029">
        <f>0.0121951219512195*3.11220726455035</f>
        <v>3.7953747128662764E-2</v>
      </c>
      <c r="I16029">
        <v>3.7953747128662917E-2</v>
      </c>
    </row>
    <row r="16030" spans="1:9" x14ac:dyDescent="0.25">
      <c r="A16030">
        <v>516</v>
      </c>
      <c r="B16030" t="s">
        <v>4200</v>
      </c>
      <c r="C16030" t="s">
        <v>75</v>
      </c>
      <c r="D16030" t="s">
        <v>243</v>
      </c>
      <c r="E16030">
        <f t="shared" si="753"/>
        <v>1.2195121951219513E-2</v>
      </c>
      <c r="F16030">
        <v>131</v>
      </c>
      <c r="G16030">
        <f>LOG(382/(131+1))</f>
        <v>0.46148943170585888</v>
      </c>
      <c r="H16030">
        <f>0.0121951219512195*1.0626186860202</f>
        <v>1.2958764463660963E-2</v>
      </c>
      <c r="I16030">
        <v>1.2958764463661031E-2</v>
      </c>
    </row>
    <row r="16031" spans="1:9" x14ac:dyDescent="0.25">
      <c r="A16031">
        <v>516</v>
      </c>
      <c r="B16031" t="s">
        <v>4200</v>
      </c>
      <c r="C16031" t="s">
        <v>75</v>
      </c>
      <c r="D16031" t="s">
        <v>453</v>
      </c>
      <c r="E16031">
        <f t="shared" si="753"/>
        <v>1.2195121951219513E-2</v>
      </c>
      <c r="F16031">
        <v>68</v>
      </c>
      <c r="G16031">
        <f>LOG(382/(68+1))</f>
        <v>0.74321427217445335</v>
      </c>
      <c r="H16031">
        <f>0.0121951219512195*1.71131410400931</f>
        <v>2.086968419523547E-2</v>
      </c>
      <c r="I16031">
        <v>2.086968419523556E-2</v>
      </c>
    </row>
    <row r="16032" spans="1:9" x14ac:dyDescent="0.25">
      <c r="A16032">
        <v>516</v>
      </c>
      <c r="B16032" t="s">
        <v>4200</v>
      </c>
      <c r="C16032" t="s">
        <v>75</v>
      </c>
      <c r="D16032" t="s">
        <v>457</v>
      </c>
      <c r="E16032">
        <f t="shared" si="753"/>
        <v>1.2195121951219513E-2</v>
      </c>
      <c r="F16032">
        <v>6</v>
      </c>
      <c r="G16032">
        <f>LOG(382/(6+1))</f>
        <v>1.736965322897452</v>
      </c>
      <c r="H16032">
        <f>0.0121951219512195*3.99951045955126</f>
        <v>4.8774517799405566E-2</v>
      </c>
      <c r="I16032">
        <v>4.8774517799405642E-2</v>
      </c>
    </row>
    <row r="16033" spans="1:9" x14ac:dyDescent="0.25">
      <c r="A16033">
        <v>516</v>
      </c>
      <c r="B16033" t="s">
        <v>4200</v>
      </c>
      <c r="C16033" t="s">
        <v>75</v>
      </c>
      <c r="D16033" t="s">
        <v>3770</v>
      </c>
      <c r="E16033">
        <f t="shared" si="753"/>
        <v>1.2195121951219513E-2</v>
      </c>
      <c r="F16033">
        <v>3</v>
      </c>
      <c r="G16033">
        <f>LOG(382/(3+1))</f>
        <v>1.9800033715837464</v>
      </c>
      <c r="H16033">
        <f>0.0121951219512195*4.55912624748668</f>
        <v>5.5599100579105803E-2</v>
      </c>
      <c r="I16033">
        <v>5.5599100579105908E-2</v>
      </c>
    </row>
    <row r="16034" spans="1:9" x14ac:dyDescent="0.25">
      <c r="A16034">
        <v>516</v>
      </c>
      <c r="B16034" t="s">
        <v>4200</v>
      </c>
      <c r="C16034" t="s">
        <v>75</v>
      </c>
      <c r="D16034" t="s">
        <v>456</v>
      </c>
      <c r="E16034">
        <f t="shared" si="753"/>
        <v>1.2195121951219513E-2</v>
      </c>
      <c r="F16034">
        <v>71</v>
      </c>
      <c r="G16034">
        <f>LOG(382/(71+1))</f>
        <v>0.72473086648044027</v>
      </c>
      <c r="H16034">
        <f>0.0121951219512195*1.66875448959051</f>
        <v>2.035066450720132E-2</v>
      </c>
      <c r="I16034">
        <v>2.0350664507201459E-2</v>
      </c>
    </row>
    <row r="16035" spans="1:9" x14ac:dyDescent="0.25">
      <c r="A16035">
        <v>516</v>
      </c>
      <c r="B16035" t="s">
        <v>4200</v>
      </c>
      <c r="C16035" t="s">
        <v>75</v>
      </c>
      <c r="D16035" t="s">
        <v>1779</v>
      </c>
      <c r="E16035">
        <f t="shared" si="753"/>
        <v>1.2195121951219513E-2</v>
      </c>
      <c r="F16035">
        <v>41</v>
      </c>
      <c r="G16035">
        <f>LOG(382/(41+1))</f>
        <v>0.95881407251380824</v>
      </c>
      <c r="H16035">
        <f>0.0121951219512195*2.2077509903232</f>
        <v>2.6923792564917049E-2</v>
      </c>
      <c r="I16035">
        <v>2.692379256491716E-2</v>
      </c>
    </row>
    <row r="16036" spans="1:9" x14ac:dyDescent="0.25">
      <c r="A16036">
        <v>516</v>
      </c>
      <c r="B16036" t="s">
        <v>4200</v>
      </c>
      <c r="C16036" t="s">
        <v>75</v>
      </c>
      <c r="D16036" t="s">
        <v>3956</v>
      </c>
      <c r="E16036">
        <f t="shared" si="753"/>
        <v>1.2195121951219513E-2</v>
      </c>
      <c r="F16036">
        <v>8</v>
      </c>
      <c r="G16036">
        <f>LOG(382/(8+1))</f>
        <v>1.6278208534723839</v>
      </c>
      <c r="H16036">
        <f>0.0121951219512195*3.74819603127035</f>
        <v>4.570970769841886E-2</v>
      </c>
      <c r="I16036">
        <v>4.5709707698418971E-2</v>
      </c>
    </row>
    <row r="16037" spans="1:9" x14ac:dyDescent="0.25">
      <c r="A16037">
        <v>516</v>
      </c>
      <c r="B16037" t="s">
        <v>4200</v>
      </c>
      <c r="C16037" t="s">
        <v>75</v>
      </c>
      <c r="D16037" t="s">
        <v>4205</v>
      </c>
      <c r="E16037">
        <f t="shared" si="753"/>
        <v>1.2195121951219513E-2</v>
      </c>
      <c r="F16037">
        <v>1</v>
      </c>
      <c r="G16037">
        <f>LOG(382/(1+1))</f>
        <v>2.2810333672477277</v>
      </c>
      <c r="H16037">
        <f>0.0121951219512195*5.25227342804663</f>
        <v>6.4052114976178354E-2</v>
      </c>
      <c r="I16037">
        <v>6.4052114976178409E-2</v>
      </c>
    </row>
    <row r="16038" spans="1:9" x14ac:dyDescent="0.25">
      <c r="A16038">
        <v>516</v>
      </c>
      <c r="B16038" t="s">
        <v>4200</v>
      </c>
      <c r="C16038" t="s">
        <v>75</v>
      </c>
      <c r="D16038" t="s">
        <v>361</v>
      </c>
      <c r="E16038">
        <f>2/82</f>
        <v>2.4390243902439025E-2</v>
      </c>
      <c r="F16038">
        <v>118</v>
      </c>
      <c r="G16038">
        <f>LOG(382/(118+1))</f>
        <v>0.50651640151917798</v>
      </c>
      <c r="H16038">
        <f>0.024390243902439*1.16629711549504</f>
        <v>2.8446271109635091E-2</v>
      </c>
      <c r="I16038">
        <v>2.8446271109635268E-2</v>
      </c>
    </row>
    <row r="16039" spans="1:9" x14ac:dyDescent="0.25">
      <c r="A16039">
        <v>516</v>
      </c>
      <c r="B16039" t="s">
        <v>4200</v>
      </c>
      <c r="C16039" t="s">
        <v>75</v>
      </c>
      <c r="D16039" t="s">
        <v>434</v>
      </c>
      <c r="E16039">
        <f>2/82</f>
        <v>2.4390243902439025E-2</v>
      </c>
      <c r="F16039">
        <v>97</v>
      </c>
      <c r="G16039">
        <f>LOG(382/(97+1))</f>
        <v>0.59083728721921391</v>
      </c>
      <c r="H16039">
        <f>0.024390243902439*1.360453129936</f>
        <v>3.3181783656975578E-2</v>
      </c>
      <c r="I16039">
        <v>3.3181783656975689E-2</v>
      </c>
    </row>
    <row r="16040" spans="1:9" x14ac:dyDescent="0.25">
      <c r="A16040">
        <v>516</v>
      </c>
      <c r="B16040" t="s">
        <v>4200</v>
      </c>
      <c r="C16040" t="s">
        <v>75</v>
      </c>
      <c r="D16040" t="s">
        <v>671</v>
      </c>
      <c r="E16040">
        <f>1/82</f>
        <v>1.2195121951219513E-2</v>
      </c>
      <c r="F16040">
        <v>10</v>
      </c>
      <c r="G16040">
        <f>LOG(382/(10+1))</f>
        <v>1.5406706777534838</v>
      </c>
      <c r="H16040">
        <f>0.0121951219512195*3.5475253358082</f>
        <v>4.3262504095221914E-2</v>
      </c>
      <c r="I16040">
        <v>4.3262504095222011E-2</v>
      </c>
    </row>
    <row r="16041" spans="1:9" x14ac:dyDescent="0.25">
      <c r="A16041">
        <v>516</v>
      </c>
      <c r="B16041" t="s">
        <v>4200</v>
      </c>
      <c r="C16041" t="s">
        <v>75</v>
      </c>
      <c r="D16041" t="s">
        <v>850</v>
      </c>
      <c r="E16041">
        <f>1/82</f>
        <v>1.2195121951219513E-2</v>
      </c>
      <c r="F16041">
        <v>14</v>
      </c>
      <c r="G16041">
        <f>LOG(382/(14+1))</f>
        <v>1.4059721038560276</v>
      </c>
      <c r="H16041">
        <f>0.0121951219512195*3.23737040750436</f>
        <v>3.9480126920784842E-2</v>
      </c>
      <c r="I16041">
        <v>3.9480126920784953E-2</v>
      </c>
    </row>
    <row r="16042" spans="1:9" x14ac:dyDescent="0.25">
      <c r="A16042">
        <v>516</v>
      </c>
      <c r="B16042" t="s">
        <v>4200</v>
      </c>
      <c r="C16042" t="s">
        <v>75</v>
      </c>
      <c r="D16042" t="s">
        <v>673</v>
      </c>
      <c r="E16042">
        <f>1/82</f>
        <v>1.2195121951219513E-2</v>
      </c>
      <c r="F16042">
        <v>16</v>
      </c>
      <c r="G16042">
        <f>LOG(382/(16+1))</f>
        <v>1.3516144415334348</v>
      </c>
      <c r="H16042">
        <f>0.0121951219512195*3.11220726455035</f>
        <v>3.7953747128662764E-2</v>
      </c>
      <c r="I16042">
        <v>3.7953747128662917E-2</v>
      </c>
    </row>
    <row r="16043" spans="1:9" x14ac:dyDescent="0.25">
      <c r="A16043">
        <v>516</v>
      </c>
      <c r="B16043" t="s">
        <v>4200</v>
      </c>
      <c r="C16043" t="s">
        <v>75</v>
      </c>
      <c r="D16043" t="s">
        <v>214</v>
      </c>
      <c r="E16043">
        <f>1/82</f>
        <v>1.2195121951219513E-2</v>
      </c>
      <c r="F16043">
        <v>68</v>
      </c>
      <c r="G16043">
        <f>LOG(382/(68+1))</f>
        <v>0.74321427217445335</v>
      </c>
      <c r="H16043">
        <f>0.0121951219512195*1.71131410400931</f>
        <v>2.086968419523547E-2</v>
      </c>
      <c r="I16043">
        <v>2.086968419523556E-2</v>
      </c>
    </row>
    <row r="16044" spans="1:9" x14ac:dyDescent="0.25">
      <c r="A16044">
        <v>517</v>
      </c>
      <c r="B16044" t="s">
        <v>4206</v>
      </c>
      <c r="C16044" t="s">
        <v>75</v>
      </c>
      <c r="D16044" t="s">
        <v>1537</v>
      </c>
      <c r="E16044">
        <f>2/38</f>
        <v>5.2631578947368418E-2</v>
      </c>
      <c r="F16044">
        <v>80</v>
      </c>
      <c r="G16044">
        <f>LOG(382/(80+1))</f>
        <v>0.67357834403305894</v>
      </c>
      <c r="H16044">
        <f>0.0526315789473684*1.55097145393413</f>
        <v>8.1630076522848913E-2</v>
      </c>
      <c r="I16044">
        <v>8.1630076522849274E-2</v>
      </c>
    </row>
    <row r="16045" spans="1:9" x14ac:dyDescent="0.25">
      <c r="A16045">
        <v>517</v>
      </c>
      <c r="B16045" t="s">
        <v>4206</v>
      </c>
      <c r="C16045" t="s">
        <v>75</v>
      </c>
      <c r="D16045" t="s">
        <v>204</v>
      </c>
      <c r="E16045">
        <f t="shared" ref="E16045:E16051" si="754">1/38</f>
        <v>2.6315789473684209E-2</v>
      </c>
      <c r="F16045">
        <v>166</v>
      </c>
      <c r="G16045">
        <f>LOG(382/(166+1))</f>
        <v>0.35934689176412549</v>
      </c>
      <c r="H16045">
        <f>0.0263157894736842*0.82742679618982</f>
        <v>2.1774389373416306E-2</v>
      </c>
      <c r="I16045">
        <v>2.177438937341632E-2</v>
      </c>
    </row>
    <row r="16046" spans="1:9" x14ac:dyDescent="0.25">
      <c r="A16046">
        <v>517</v>
      </c>
      <c r="B16046" t="s">
        <v>4206</v>
      </c>
      <c r="C16046" t="s">
        <v>75</v>
      </c>
      <c r="D16046" t="s">
        <v>331</v>
      </c>
      <c r="E16046">
        <f t="shared" si="754"/>
        <v>2.6315789473684209E-2</v>
      </c>
      <c r="F16046">
        <v>130</v>
      </c>
      <c r="G16046">
        <f>LOG(382/(130+1))</f>
        <v>0.46479206725594452</v>
      </c>
      <c r="H16046">
        <f>0.0263157894736842*1.07022328540542</f>
        <v>2.8163770668563674E-2</v>
      </c>
      <c r="I16046">
        <v>2.8163770668563778E-2</v>
      </c>
    </row>
    <row r="16047" spans="1:9" x14ac:dyDescent="0.25">
      <c r="A16047">
        <v>517</v>
      </c>
      <c r="B16047" t="s">
        <v>4206</v>
      </c>
      <c r="C16047" t="s">
        <v>75</v>
      </c>
      <c r="D16047" t="s">
        <v>3633</v>
      </c>
      <c r="E16047">
        <f t="shared" si="754"/>
        <v>2.6315789473684209E-2</v>
      </c>
      <c r="F16047">
        <v>6</v>
      </c>
      <c r="G16047">
        <f>LOG(382/(6+1))</f>
        <v>1.736965322897452</v>
      </c>
      <c r="H16047">
        <f>0.0263157894736842*3.99951045955126</f>
        <v>0.1052502752513489</v>
      </c>
      <c r="I16047">
        <v>0.105250275251349</v>
      </c>
    </row>
    <row r="16048" spans="1:9" x14ac:dyDescent="0.25">
      <c r="A16048">
        <v>517</v>
      </c>
      <c r="B16048" t="s">
        <v>4206</v>
      </c>
      <c r="C16048" t="s">
        <v>75</v>
      </c>
      <c r="D16048" t="s">
        <v>78</v>
      </c>
      <c r="E16048">
        <f t="shared" si="754"/>
        <v>2.6315789473684209E-2</v>
      </c>
      <c r="F16048">
        <v>122</v>
      </c>
      <c r="G16048">
        <f>LOG(382/(122+1))</f>
        <v>0.49215825147231079</v>
      </c>
      <c r="H16048">
        <f>0.0263157894736842*1.13323625323415</f>
        <v>2.9822006664056565E-2</v>
      </c>
      <c r="I16048">
        <v>2.982200666405678E-2</v>
      </c>
    </row>
    <row r="16049" spans="1:9" x14ac:dyDescent="0.25">
      <c r="A16049">
        <v>517</v>
      </c>
      <c r="B16049" t="s">
        <v>4206</v>
      </c>
      <c r="C16049" t="s">
        <v>75</v>
      </c>
      <c r="D16049" t="s">
        <v>483</v>
      </c>
      <c r="E16049">
        <f t="shared" si="754"/>
        <v>2.6315789473684209E-2</v>
      </c>
      <c r="F16049">
        <v>61</v>
      </c>
      <c r="G16049">
        <f>LOG(382/(61+1))</f>
        <v>0.7896716734134549</v>
      </c>
      <c r="H16049">
        <f>0.0263157894736842*1.81828622356148</f>
        <v>4.7849637462144191E-2</v>
      </c>
      <c r="I16049">
        <v>4.7849637462144302E-2</v>
      </c>
    </row>
    <row r="16050" spans="1:9" x14ac:dyDescent="0.25">
      <c r="A16050">
        <v>517</v>
      </c>
      <c r="B16050" t="s">
        <v>4206</v>
      </c>
      <c r="C16050" t="s">
        <v>75</v>
      </c>
      <c r="D16050" t="s">
        <v>76</v>
      </c>
      <c r="E16050">
        <f t="shared" si="754"/>
        <v>2.6315789473684209E-2</v>
      </c>
      <c r="F16050">
        <v>140</v>
      </c>
      <c r="G16050">
        <f>LOG(382/(140+1))</f>
        <v>0.43284425025632883</v>
      </c>
      <c r="H16050">
        <f>0.0263157894736842*0.996660718228407</f>
        <v>2.6227913637589646E-2</v>
      </c>
      <c r="I16050">
        <v>2.622791363758966E-2</v>
      </c>
    </row>
    <row r="16051" spans="1:9" x14ac:dyDescent="0.25">
      <c r="A16051">
        <v>517</v>
      </c>
      <c r="B16051" t="s">
        <v>4206</v>
      </c>
      <c r="C16051" t="s">
        <v>75</v>
      </c>
      <c r="D16051" t="s">
        <v>77</v>
      </c>
      <c r="E16051">
        <f t="shared" si="754"/>
        <v>2.6315789473684209E-2</v>
      </c>
      <c r="F16051">
        <v>148</v>
      </c>
      <c r="G16051">
        <f>LOG(382/(148+1))</f>
        <v>0.40887709449943471</v>
      </c>
      <c r="H16051">
        <f>0.0263157894736842*0.941474302661116</f>
        <v>2.4775639543713566E-2</v>
      </c>
      <c r="I16051">
        <v>2.477563954371358E-2</v>
      </c>
    </row>
    <row r="16052" spans="1:9" x14ac:dyDescent="0.25">
      <c r="A16052">
        <v>517</v>
      </c>
      <c r="B16052" t="s">
        <v>4206</v>
      </c>
      <c r="C16052" t="s">
        <v>75</v>
      </c>
      <c r="D16052" t="s">
        <v>1532</v>
      </c>
      <c r="E16052">
        <f>2/38</f>
        <v>5.2631578947368418E-2</v>
      </c>
      <c r="F16052">
        <v>28</v>
      </c>
      <c r="G16052">
        <f>LOG(382/(28+1))</f>
        <v>1.1196653650127526</v>
      </c>
      <c r="H16052">
        <f>0.0526315789473684*2.5781247786201</f>
        <v>0.13569077782211045</v>
      </c>
      <c r="I16052">
        <v>0.13569077782211059</v>
      </c>
    </row>
    <row r="16053" spans="1:9" x14ac:dyDescent="0.25">
      <c r="A16053">
        <v>517</v>
      </c>
      <c r="B16053" t="s">
        <v>4206</v>
      </c>
      <c r="C16053" t="s">
        <v>75</v>
      </c>
      <c r="D16053" t="s">
        <v>3783</v>
      </c>
      <c r="E16053">
        <f>2/38</f>
        <v>5.2631578947368418E-2</v>
      </c>
      <c r="F16053">
        <v>2</v>
      </c>
      <c r="G16053">
        <f>LOG(382/(2+1))</f>
        <v>2.1049421081920463</v>
      </c>
      <c r="H16053">
        <f>0.0526315789473684*4.84680831993846</f>
        <v>0.25509517473360305</v>
      </c>
      <c r="I16053">
        <v>0.25509517473360338</v>
      </c>
    </row>
    <row r="16054" spans="1:9" x14ac:dyDescent="0.25">
      <c r="A16054">
        <v>517</v>
      </c>
      <c r="B16054" t="s">
        <v>4206</v>
      </c>
      <c r="C16054" t="s">
        <v>75</v>
      </c>
      <c r="D16054" t="s">
        <v>40</v>
      </c>
      <c r="E16054">
        <f>3/38</f>
        <v>7.8947368421052627E-2</v>
      </c>
      <c r="F16054">
        <v>159</v>
      </c>
      <c r="G16054">
        <f>LOG(382/(159+1))</f>
        <v>0.377943380255784</v>
      </c>
      <c r="H16054">
        <f>0.0789473684210526*0.870246793372748</f>
        <v>6.8703694213637978E-2</v>
      </c>
      <c r="I16054">
        <v>6.870369421363802E-2</v>
      </c>
    </row>
    <row r="16055" spans="1:9" x14ac:dyDescent="0.25">
      <c r="A16055">
        <v>517</v>
      </c>
      <c r="B16055" t="s">
        <v>4206</v>
      </c>
      <c r="C16055" t="s">
        <v>75</v>
      </c>
      <c r="D16055" t="s">
        <v>243</v>
      </c>
      <c r="E16055">
        <f t="shared" ref="E16055:E16076" si="755">1/38</f>
        <v>2.6315789473684209E-2</v>
      </c>
      <c r="F16055">
        <v>131</v>
      </c>
      <c r="G16055">
        <f>LOG(382/(131+1))</f>
        <v>0.46148943170585888</v>
      </c>
      <c r="H16055">
        <f>0.0263157894736842*1.0626186860202</f>
        <v>2.7963649632110513E-2</v>
      </c>
      <c r="I16055">
        <v>2.7963649632110638E-2</v>
      </c>
    </row>
    <row r="16056" spans="1:9" x14ac:dyDescent="0.25">
      <c r="A16056">
        <v>517</v>
      </c>
      <c r="B16056" t="s">
        <v>4206</v>
      </c>
      <c r="C16056" t="s">
        <v>75</v>
      </c>
      <c r="D16056" t="s">
        <v>453</v>
      </c>
      <c r="E16056">
        <f t="shared" si="755"/>
        <v>2.6315789473684209E-2</v>
      </c>
      <c r="F16056">
        <v>68</v>
      </c>
      <c r="G16056">
        <f>LOG(382/(68+1))</f>
        <v>0.74321427217445335</v>
      </c>
      <c r="H16056">
        <f>0.0263157894736842*1.71131410400931</f>
        <v>4.503458168445551E-2</v>
      </c>
      <c r="I16056">
        <v>4.5034581684455677E-2</v>
      </c>
    </row>
    <row r="16057" spans="1:9" x14ac:dyDescent="0.25">
      <c r="A16057">
        <v>517</v>
      </c>
      <c r="B16057" t="s">
        <v>4206</v>
      </c>
      <c r="C16057" t="s">
        <v>75</v>
      </c>
      <c r="D16057" t="s">
        <v>455</v>
      </c>
      <c r="E16057">
        <f t="shared" si="755"/>
        <v>2.6315789473684209E-2</v>
      </c>
      <c r="F16057">
        <v>78</v>
      </c>
      <c r="G16057">
        <f>LOG(382/(78+1))</f>
        <v>0.6844362716212673</v>
      </c>
      <c r="H16057">
        <f>0.0263157894736842*1.57597275613955</f>
        <v>4.1472967266830245E-2</v>
      </c>
      <c r="I16057">
        <v>4.1472967266830363E-2</v>
      </c>
    </row>
    <row r="16058" spans="1:9" x14ac:dyDescent="0.25">
      <c r="A16058">
        <v>517</v>
      </c>
      <c r="B16058" t="s">
        <v>4206</v>
      </c>
      <c r="C16058" t="s">
        <v>75</v>
      </c>
      <c r="D16058" t="s">
        <v>456</v>
      </c>
      <c r="E16058">
        <f t="shared" si="755"/>
        <v>2.6315789473684209E-2</v>
      </c>
      <c r="F16058">
        <v>71</v>
      </c>
      <c r="G16058">
        <f>LOG(382/(71+1))</f>
        <v>0.72473086648044027</v>
      </c>
      <c r="H16058">
        <f>0.0263157894736842*1.66875448959051</f>
        <v>4.3914591831329189E-2</v>
      </c>
      <c r="I16058">
        <v>4.3914591831329473E-2</v>
      </c>
    </row>
    <row r="16059" spans="1:9" x14ac:dyDescent="0.25">
      <c r="A16059">
        <v>517</v>
      </c>
      <c r="B16059" t="s">
        <v>4206</v>
      </c>
      <c r="C16059" t="s">
        <v>75</v>
      </c>
      <c r="D16059" t="s">
        <v>4207</v>
      </c>
      <c r="E16059">
        <f t="shared" si="755"/>
        <v>2.6315789473684209E-2</v>
      </c>
      <c r="F16059">
        <v>1</v>
      </c>
      <c r="G16059">
        <f>LOG(382/(1+1))</f>
        <v>2.2810333672477277</v>
      </c>
      <c r="H16059">
        <f>0.0263157894736842*5.25227342804663</f>
        <v>0.13821772179070071</v>
      </c>
      <c r="I16059">
        <v>0.1382177217907008</v>
      </c>
    </row>
    <row r="16060" spans="1:9" x14ac:dyDescent="0.25">
      <c r="A16060">
        <v>517</v>
      </c>
      <c r="B16060" t="s">
        <v>4206</v>
      </c>
      <c r="C16060" t="s">
        <v>75</v>
      </c>
      <c r="D16060" t="s">
        <v>361</v>
      </c>
      <c r="E16060">
        <f t="shared" si="755"/>
        <v>2.6315789473684209E-2</v>
      </c>
      <c r="F16060">
        <v>118</v>
      </c>
      <c r="G16060">
        <f>LOG(382/(118+1))</f>
        <v>0.50651640151917798</v>
      </c>
      <c r="H16060">
        <f>0.0263157894736842*1.16629711549504</f>
        <v>3.0692029355132613E-2</v>
      </c>
      <c r="I16060">
        <v>3.069202935513278E-2</v>
      </c>
    </row>
    <row r="16061" spans="1:9" x14ac:dyDescent="0.25">
      <c r="A16061">
        <v>517</v>
      </c>
      <c r="B16061" t="s">
        <v>4206</v>
      </c>
      <c r="C16061" t="s">
        <v>75</v>
      </c>
      <c r="D16061" t="s">
        <v>434</v>
      </c>
      <c r="E16061">
        <f t="shared" si="755"/>
        <v>2.6315789473684209E-2</v>
      </c>
      <c r="F16061">
        <v>97</v>
      </c>
      <c r="G16061">
        <f>LOG(382/(97+1))</f>
        <v>0.59083728721921391</v>
      </c>
      <c r="H16061">
        <f>0.0263157894736842*1.360453129936</f>
        <v>3.5801398156210515E-2</v>
      </c>
      <c r="I16061">
        <v>3.5801398156210612E-2</v>
      </c>
    </row>
    <row r="16062" spans="1:9" x14ac:dyDescent="0.25">
      <c r="A16062">
        <v>517</v>
      </c>
      <c r="B16062" t="s">
        <v>4206</v>
      </c>
      <c r="C16062" t="s">
        <v>75</v>
      </c>
      <c r="D16062" t="s">
        <v>3325</v>
      </c>
      <c r="E16062">
        <f t="shared" si="755"/>
        <v>2.6315789473684209E-2</v>
      </c>
      <c r="F16062">
        <v>19</v>
      </c>
      <c r="G16062">
        <f>LOG(382/(19+1))</f>
        <v>1.2810333672477277</v>
      </c>
      <c r="H16062">
        <f>0.0263157894736842*2.94968833505258</f>
        <v>7.7623377238225752E-2</v>
      </c>
      <c r="I16062">
        <v>7.7623377238225905E-2</v>
      </c>
    </row>
    <row r="16063" spans="1:9" x14ac:dyDescent="0.25">
      <c r="A16063">
        <v>517</v>
      </c>
      <c r="B16063" t="s">
        <v>4206</v>
      </c>
      <c r="C16063" t="s">
        <v>75</v>
      </c>
      <c r="D16063" t="s">
        <v>3327</v>
      </c>
      <c r="E16063">
        <f t="shared" si="755"/>
        <v>2.6315789473684209E-2</v>
      </c>
      <c r="F16063">
        <v>21</v>
      </c>
      <c r="G16063">
        <f>LOG(382/(21+1))</f>
        <v>1.2396406820895025</v>
      </c>
      <c r="H16063">
        <f>0.0263157894736842*2.85437815524825</f>
        <v>7.5115214611796016E-2</v>
      </c>
      <c r="I16063">
        <v>7.5115214611796294E-2</v>
      </c>
    </row>
    <row r="16064" spans="1:9" x14ac:dyDescent="0.25">
      <c r="A16064">
        <v>517</v>
      </c>
      <c r="B16064" t="s">
        <v>4206</v>
      </c>
      <c r="C16064" t="s">
        <v>75</v>
      </c>
      <c r="D16064" t="s">
        <v>1467</v>
      </c>
      <c r="E16064">
        <f t="shared" si="755"/>
        <v>2.6315789473684209E-2</v>
      </c>
      <c r="F16064">
        <v>21</v>
      </c>
      <c r="G16064">
        <f>LOG(382/(21+1))</f>
        <v>1.2396406820895025</v>
      </c>
      <c r="H16064">
        <f>0.0263157894736842*2.85437815524825</f>
        <v>7.5115214611796016E-2</v>
      </c>
      <c r="I16064">
        <v>7.5115214611796294E-2</v>
      </c>
    </row>
    <row r="16065" spans="1:9" x14ac:dyDescent="0.25">
      <c r="A16065">
        <v>517</v>
      </c>
      <c r="B16065" t="s">
        <v>4206</v>
      </c>
      <c r="C16065" t="s">
        <v>75</v>
      </c>
      <c r="D16065" t="s">
        <v>149</v>
      </c>
      <c r="E16065">
        <f t="shared" si="755"/>
        <v>2.6315789473684209E-2</v>
      </c>
      <c r="F16065">
        <v>35</v>
      </c>
      <c r="G16065">
        <f>LOG(382/(35+1))</f>
        <v>1.0257608621444214</v>
      </c>
      <c r="H16065">
        <f>0.0263157894736842*2.36190167015046</f>
        <v>6.2155307109222603E-2</v>
      </c>
      <c r="I16065">
        <v>6.2155307109222763E-2</v>
      </c>
    </row>
    <row r="16066" spans="1:9" x14ac:dyDescent="0.25">
      <c r="A16066">
        <v>517</v>
      </c>
      <c r="B16066" t="s">
        <v>4206</v>
      </c>
      <c r="C16066" t="s">
        <v>75</v>
      </c>
      <c r="D16066" t="s">
        <v>851</v>
      </c>
      <c r="E16066">
        <f t="shared" si="755"/>
        <v>2.6315789473684209E-2</v>
      </c>
      <c r="F16066">
        <v>8</v>
      </c>
      <c r="G16066">
        <f>LOG(382/(8+1))</f>
        <v>1.6278208534723839</v>
      </c>
      <c r="H16066">
        <f>0.0263157894736842*3.74819603127035</f>
        <v>9.8636737665009161E-2</v>
      </c>
      <c r="I16066">
        <v>9.8636737665009355E-2</v>
      </c>
    </row>
    <row r="16067" spans="1:9" x14ac:dyDescent="0.25">
      <c r="A16067">
        <v>517</v>
      </c>
      <c r="B16067" t="s">
        <v>4206</v>
      </c>
      <c r="C16067" t="s">
        <v>75</v>
      </c>
      <c r="D16067" t="s">
        <v>214</v>
      </c>
      <c r="E16067">
        <f t="shared" si="755"/>
        <v>2.6315789473684209E-2</v>
      </c>
      <c r="F16067">
        <v>68</v>
      </c>
      <c r="G16067">
        <f>LOG(382/(68+1))</f>
        <v>0.74321427217445335</v>
      </c>
      <c r="H16067">
        <f>0.0263157894736842*1.71131410400931</f>
        <v>4.503458168445551E-2</v>
      </c>
      <c r="I16067">
        <v>4.5034581684455677E-2</v>
      </c>
    </row>
    <row r="16068" spans="1:9" x14ac:dyDescent="0.25">
      <c r="A16068">
        <v>517</v>
      </c>
      <c r="B16068" t="s">
        <v>4206</v>
      </c>
      <c r="C16068" t="s">
        <v>75</v>
      </c>
      <c r="D16068" t="s">
        <v>183</v>
      </c>
      <c r="E16068">
        <f t="shared" si="755"/>
        <v>2.6315789473684209E-2</v>
      </c>
      <c r="F16068">
        <v>46</v>
      </c>
      <c r="G16068">
        <f>LOG(382/(46+1))</f>
        <v>0.90996550497599127</v>
      </c>
      <c r="H16068">
        <f>0.0263157894736842*2.09527300689651</f>
        <v>5.5138763339381822E-2</v>
      </c>
      <c r="I16068">
        <v>5.5138763339382009E-2</v>
      </c>
    </row>
    <row r="16069" spans="1:9" x14ac:dyDescent="0.25">
      <c r="A16069">
        <v>517</v>
      </c>
      <c r="B16069" t="s">
        <v>4206</v>
      </c>
      <c r="C16069" t="s">
        <v>75</v>
      </c>
      <c r="D16069" t="s">
        <v>322</v>
      </c>
      <c r="E16069">
        <f t="shared" si="755"/>
        <v>2.6315789473684209E-2</v>
      </c>
      <c r="F16069">
        <v>128</v>
      </c>
      <c r="G16069">
        <f>LOG(382/(128+1))</f>
        <v>0.47147365261245977</v>
      </c>
      <c r="H16069">
        <f>0.0263157894736842*1.0856082042449</f>
        <v>2.8568636953813144E-2</v>
      </c>
      <c r="I16069">
        <v>2.8568636953813242E-2</v>
      </c>
    </row>
    <row r="16070" spans="1:9" x14ac:dyDescent="0.25">
      <c r="A16070">
        <v>517</v>
      </c>
      <c r="B16070" t="s">
        <v>4206</v>
      </c>
      <c r="C16070" t="s">
        <v>75</v>
      </c>
      <c r="D16070" t="s">
        <v>2564</v>
      </c>
      <c r="E16070">
        <f t="shared" si="755"/>
        <v>2.6315789473684209E-2</v>
      </c>
      <c r="F16070">
        <v>3</v>
      </c>
      <c r="G16070">
        <f>LOG(382/(3+1))</f>
        <v>1.9800033715837464</v>
      </c>
      <c r="H16070">
        <f>0.0263157894736842*4.55912624748668</f>
        <v>0.11997700651280732</v>
      </c>
      <c r="I16070">
        <v>0.1199770065128075</v>
      </c>
    </row>
    <row r="16071" spans="1:9" x14ac:dyDescent="0.25">
      <c r="A16071">
        <v>517</v>
      </c>
      <c r="B16071" t="s">
        <v>4206</v>
      </c>
      <c r="C16071" t="s">
        <v>75</v>
      </c>
      <c r="D16071" t="s">
        <v>41</v>
      </c>
      <c r="E16071">
        <f t="shared" si="755"/>
        <v>2.6315789473684209E-2</v>
      </c>
      <c r="F16071">
        <v>195</v>
      </c>
      <c r="G16071">
        <f>LOG(382/(195+1))</f>
        <v>0.28980729155523272</v>
      </c>
      <c r="H16071">
        <f>0.0263157894736842*0.667305949376058</f>
        <v>1.7560682878317309E-2</v>
      </c>
      <c r="I16071">
        <v>1.7560682878317319E-2</v>
      </c>
    </row>
    <row r="16072" spans="1:9" x14ac:dyDescent="0.25">
      <c r="A16072">
        <v>517</v>
      </c>
      <c r="B16072" t="s">
        <v>4206</v>
      </c>
      <c r="C16072" t="s">
        <v>75</v>
      </c>
      <c r="D16072" t="s">
        <v>1730</v>
      </c>
      <c r="E16072">
        <f t="shared" si="755"/>
        <v>2.6315789473684209E-2</v>
      </c>
      <c r="F16072">
        <v>35</v>
      </c>
      <c r="G16072">
        <f>LOG(382/(35+1))</f>
        <v>1.0257608621444214</v>
      </c>
      <c r="H16072">
        <f>0.0263157894736842*2.36190167015046</f>
        <v>6.2155307109222603E-2</v>
      </c>
      <c r="I16072">
        <v>6.2155307109222763E-2</v>
      </c>
    </row>
    <row r="16073" spans="1:9" x14ac:dyDescent="0.25">
      <c r="A16073">
        <v>517</v>
      </c>
      <c r="B16073" t="s">
        <v>4206</v>
      </c>
      <c r="C16073" t="s">
        <v>75</v>
      </c>
      <c r="D16073" t="s">
        <v>764</v>
      </c>
      <c r="E16073">
        <f t="shared" si="755"/>
        <v>2.6315789473684209E-2</v>
      </c>
      <c r="F16073">
        <v>57</v>
      </c>
      <c r="G16073">
        <f>LOG(382/(57+1))</f>
        <v>0.81863536934877146</v>
      </c>
      <c r="H16073">
        <f>0.0263157894736842*1.88497759806015</f>
        <v>4.9604673633161817E-2</v>
      </c>
      <c r="I16073">
        <v>4.960467363316199E-2</v>
      </c>
    </row>
    <row r="16074" spans="1:9" x14ac:dyDescent="0.25">
      <c r="A16074">
        <v>517</v>
      </c>
      <c r="B16074" t="s">
        <v>4206</v>
      </c>
      <c r="C16074" t="s">
        <v>75</v>
      </c>
      <c r="D16074" t="s">
        <v>224</v>
      </c>
      <c r="E16074">
        <f t="shared" si="755"/>
        <v>2.6315789473684209E-2</v>
      </c>
      <c r="F16074">
        <v>16</v>
      </c>
      <c r="G16074">
        <f>LOG(382/(16+1))</f>
        <v>1.3516144415334348</v>
      </c>
      <c r="H16074">
        <f>0.0263157894736842*3.11220726455035</f>
        <v>8.1900191172377595E-2</v>
      </c>
      <c r="I16074">
        <v>8.1900191172377873E-2</v>
      </c>
    </row>
    <row r="16075" spans="1:9" x14ac:dyDescent="0.25">
      <c r="A16075">
        <v>517</v>
      </c>
      <c r="B16075" t="s">
        <v>4206</v>
      </c>
      <c r="C16075" t="s">
        <v>75</v>
      </c>
      <c r="D16075" t="s">
        <v>765</v>
      </c>
      <c r="E16075">
        <f t="shared" si="755"/>
        <v>2.6315789473684209E-2</v>
      </c>
      <c r="F16075">
        <v>44</v>
      </c>
      <c r="G16075">
        <f>LOG(382/(44+1))</f>
        <v>0.92885084913636506</v>
      </c>
      <c r="H16075">
        <f>0.0263157894736842*2.13875811883625</f>
        <v>5.6283108390427605E-2</v>
      </c>
      <c r="I16075">
        <v>5.6283108390427758E-2</v>
      </c>
    </row>
    <row r="16076" spans="1:9" x14ac:dyDescent="0.25">
      <c r="A16076">
        <v>517</v>
      </c>
      <c r="B16076" t="s">
        <v>4206</v>
      </c>
      <c r="C16076" t="s">
        <v>75</v>
      </c>
      <c r="D16076" t="s">
        <v>739</v>
      </c>
      <c r="E16076">
        <f t="shared" si="755"/>
        <v>2.6315789473684209E-2</v>
      </c>
      <c r="F16076">
        <v>24</v>
      </c>
      <c r="G16076">
        <f>LOG(382/(24+1))</f>
        <v>1.1841233542396712</v>
      </c>
      <c r="H16076">
        <f>0.0263157894736842*2.72654478373837</f>
        <v>7.1751178519430747E-2</v>
      </c>
      <c r="I16076">
        <v>7.17511785194309E-2</v>
      </c>
    </row>
    <row r="16077" spans="1:9" x14ac:dyDescent="0.25">
      <c r="A16077">
        <v>518</v>
      </c>
      <c r="B16077" t="s">
        <v>4208</v>
      </c>
      <c r="C16077" t="s">
        <v>75</v>
      </c>
      <c r="D16077" t="s">
        <v>3436</v>
      </c>
      <c r="E16077">
        <f t="shared" ref="E16077:E16092" si="756">1/44</f>
        <v>2.2727272727272728E-2</v>
      </c>
      <c r="F16077">
        <v>10</v>
      </c>
      <c r="G16077">
        <f>LOG(382/(10+1))</f>
        <v>1.5406706777534838</v>
      </c>
      <c r="H16077">
        <f>0.0227272727272727*3.5475253358082</f>
        <v>8.0625575813822639E-2</v>
      </c>
      <c r="I16077">
        <v>8.0625575813822833E-2</v>
      </c>
    </row>
    <row r="16078" spans="1:9" x14ac:dyDescent="0.25">
      <c r="A16078">
        <v>518</v>
      </c>
      <c r="B16078" t="s">
        <v>4208</v>
      </c>
      <c r="C16078" t="s">
        <v>75</v>
      </c>
      <c r="D16078" t="s">
        <v>3362</v>
      </c>
      <c r="E16078">
        <f t="shared" si="756"/>
        <v>2.2727272727272728E-2</v>
      </c>
      <c r="F16078">
        <v>5</v>
      </c>
      <c r="G16078">
        <f>LOG(382/(5+1))</f>
        <v>1.803912112528065</v>
      </c>
      <c r="H16078">
        <f>0.0227272727272727*4.15366113937852</f>
        <v>9.4401389531329885E-2</v>
      </c>
      <c r="I16078">
        <v>9.4401389531329996E-2</v>
      </c>
    </row>
    <row r="16079" spans="1:9" x14ac:dyDescent="0.25">
      <c r="A16079">
        <v>518</v>
      </c>
      <c r="B16079" t="s">
        <v>4208</v>
      </c>
      <c r="C16079" t="s">
        <v>75</v>
      </c>
      <c r="D16079" t="s">
        <v>4209</v>
      </c>
      <c r="E16079">
        <f t="shared" si="756"/>
        <v>2.2727272727272728E-2</v>
      </c>
      <c r="F16079">
        <v>1</v>
      </c>
      <c r="G16079">
        <f>LOG(382/(1+1))</f>
        <v>2.2810333672477277</v>
      </c>
      <c r="H16079">
        <f>0.0227272727272727*5.25227342804663</f>
        <v>0.11936985063742327</v>
      </c>
      <c r="I16079">
        <v>0.11936985063742341</v>
      </c>
    </row>
    <row r="16080" spans="1:9" x14ac:dyDescent="0.25">
      <c r="A16080">
        <v>518</v>
      </c>
      <c r="B16080" t="s">
        <v>4208</v>
      </c>
      <c r="C16080" t="s">
        <v>75</v>
      </c>
      <c r="D16080" t="s">
        <v>4210</v>
      </c>
      <c r="E16080">
        <f t="shared" si="756"/>
        <v>2.2727272727272728E-2</v>
      </c>
      <c r="F16080">
        <v>1</v>
      </c>
      <c r="G16080">
        <f>LOG(382/(1+1))</f>
        <v>2.2810333672477277</v>
      </c>
      <c r="H16080">
        <f>0.0227272727272727*5.25227342804663</f>
        <v>0.11936985063742327</v>
      </c>
      <c r="I16080">
        <v>0.11936985063742341</v>
      </c>
    </row>
    <row r="16081" spans="1:9" x14ac:dyDescent="0.25">
      <c r="A16081">
        <v>518</v>
      </c>
      <c r="B16081" t="s">
        <v>4208</v>
      </c>
      <c r="C16081" t="s">
        <v>75</v>
      </c>
      <c r="D16081" t="s">
        <v>42</v>
      </c>
      <c r="E16081">
        <f t="shared" si="756"/>
        <v>2.2727272727272728E-2</v>
      </c>
      <c r="F16081">
        <v>251</v>
      </c>
      <c r="G16081">
        <f>LOG(382/(251+1))</f>
        <v>0.18066282213016463</v>
      </c>
      <c r="H16081">
        <f>0.0227272727272727*0.415991521095151</f>
        <v>9.4543527521625103E-3</v>
      </c>
      <c r="I16081">
        <v>9.4543527521625433E-3</v>
      </c>
    </row>
    <row r="16082" spans="1:9" x14ac:dyDescent="0.25">
      <c r="A16082">
        <v>518</v>
      </c>
      <c r="B16082" t="s">
        <v>4208</v>
      </c>
      <c r="C16082" t="s">
        <v>75</v>
      </c>
      <c r="D16082" t="s">
        <v>3791</v>
      </c>
      <c r="E16082">
        <f t="shared" si="756"/>
        <v>2.2727272727272728E-2</v>
      </c>
      <c r="F16082">
        <v>3</v>
      </c>
      <c r="G16082">
        <f>LOG(382/(3+1))</f>
        <v>1.9800033715837464</v>
      </c>
      <c r="H16082">
        <f>0.0227272727272727*4.55912624748668</f>
        <v>0.10361650562469715</v>
      </c>
      <c r="I16082">
        <v>0.1036165056246974</v>
      </c>
    </row>
    <row r="16083" spans="1:9" x14ac:dyDescent="0.25">
      <c r="A16083">
        <v>518</v>
      </c>
      <c r="B16083" t="s">
        <v>4208</v>
      </c>
      <c r="C16083" t="s">
        <v>75</v>
      </c>
      <c r="D16083" t="s">
        <v>270</v>
      </c>
      <c r="E16083">
        <f t="shared" si="756"/>
        <v>2.2727272727272728E-2</v>
      </c>
      <c r="F16083">
        <v>6</v>
      </c>
      <c r="G16083">
        <f>LOG(382/(6+1))</f>
        <v>1.736965322897452</v>
      </c>
      <c r="H16083">
        <f>0.0227272727272727*3.99951045955126</f>
        <v>9.0897964989801253E-2</v>
      </c>
      <c r="I16083">
        <v>9.0897964989801405E-2</v>
      </c>
    </row>
    <row r="16084" spans="1:9" x14ac:dyDescent="0.25">
      <c r="A16084">
        <v>518</v>
      </c>
      <c r="B16084" t="s">
        <v>4208</v>
      </c>
      <c r="C16084" t="s">
        <v>75</v>
      </c>
      <c r="D16084" t="s">
        <v>17</v>
      </c>
      <c r="E16084">
        <f t="shared" si="756"/>
        <v>2.2727272727272728E-2</v>
      </c>
      <c r="F16084">
        <v>169</v>
      </c>
      <c r="G16084">
        <f>LOG(382/(169+1))</f>
        <v>0.3516144415334348</v>
      </c>
      <c r="H16084">
        <f>0.0227272727272727*0.809622171556313</f>
        <v>1.8400503899007093E-2</v>
      </c>
      <c r="I16084">
        <v>1.8400503899007121E-2</v>
      </c>
    </row>
    <row r="16085" spans="1:9" x14ac:dyDescent="0.25">
      <c r="A16085">
        <v>518</v>
      </c>
      <c r="B16085" t="s">
        <v>4208</v>
      </c>
      <c r="C16085" t="s">
        <v>75</v>
      </c>
      <c r="D16085" t="s">
        <v>2530</v>
      </c>
      <c r="E16085">
        <f t="shared" si="756"/>
        <v>2.2727272727272728E-2</v>
      </c>
      <c r="F16085">
        <v>5</v>
      </c>
      <c r="G16085">
        <f>LOG(382/(5+1))</f>
        <v>1.803912112528065</v>
      </c>
      <c r="H16085">
        <f>0.0227272727272727*4.15366113937852</f>
        <v>9.4401389531329885E-2</v>
      </c>
      <c r="I16085">
        <v>9.4401389531329996E-2</v>
      </c>
    </row>
    <row r="16086" spans="1:9" x14ac:dyDescent="0.25">
      <c r="A16086">
        <v>518</v>
      </c>
      <c r="B16086" t="s">
        <v>4208</v>
      </c>
      <c r="C16086" t="s">
        <v>75</v>
      </c>
      <c r="D16086" t="s">
        <v>19</v>
      </c>
      <c r="E16086">
        <f t="shared" si="756"/>
        <v>2.2727272727272728E-2</v>
      </c>
      <c r="F16086">
        <v>220</v>
      </c>
      <c r="G16086">
        <f>LOG(382/(220+1))</f>
        <v>0.23767108922659805</v>
      </c>
      <c r="H16086">
        <f>0.0227272727272727*0.547257907088822</f>
        <v>1.2437679706564123E-2</v>
      </c>
      <c r="I16086">
        <v>1.2437679706564149E-2</v>
      </c>
    </row>
    <row r="16087" spans="1:9" x14ac:dyDescent="0.25">
      <c r="A16087">
        <v>518</v>
      </c>
      <c r="B16087" t="s">
        <v>4208</v>
      </c>
      <c r="C16087" t="s">
        <v>75</v>
      </c>
      <c r="D16087" t="s">
        <v>41</v>
      </c>
      <c r="E16087">
        <f t="shared" si="756"/>
        <v>2.2727272727272728E-2</v>
      </c>
      <c r="F16087">
        <v>195</v>
      </c>
      <c r="G16087">
        <f>LOG(382/(195+1))</f>
        <v>0.28980729155523272</v>
      </c>
      <c r="H16087">
        <f>0.0227272727272727*0.667305949376058</f>
        <v>1.51660443040013E-2</v>
      </c>
      <c r="I16087">
        <v>1.5166044304001321E-2</v>
      </c>
    </row>
    <row r="16088" spans="1:9" x14ac:dyDescent="0.25">
      <c r="A16088">
        <v>518</v>
      </c>
      <c r="B16088" t="s">
        <v>4208</v>
      </c>
      <c r="C16088" t="s">
        <v>75</v>
      </c>
      <c r="D16088" t="s">
        <v>22</v>
      </c>
      <c r="E16088">
        <f t="shared" si="756"/>
        <v>2.2727272727272728E-2</v>
      </c>
      <c r="F16088">
        <v>259</v>
      </c>
      <c r="G16088">
        <f>LOG(382/(259+1))</f>
        <v>0.16709001494089079</v>
      </c>
      <c r="H16088">
        <f>0.0227272727272727*0.384738977591047</f>
        <v>8.7440676725237861E-3</v>
      </c>
      <c r="I16088">
        <v>8.7440676725238069E-3</v>
      </c>
    </row>
    <row r="16089" spans="1:9" x14ac:dyDescent="0.25">
      <c r="A16089">
        <v>518</v>
      </c>
      <c r="B16089" t="s">
        <v>4208</v>
      </c>
      <c r="C16089" t="s">
        <v>75</v>
      </c>
      <c r="D16089" t="s">
        <v>23</v>
      </c>
      <c r="E16089">
        <f t="shared" si="756"/>
        <v>2.2727272727272728E-2</v>
      </c>
      <c r="F16089">
        <v>275</v>
      </c>
      <c r="G16089">
        <f>LOG(382/(275+1))</f>
        <v>0.14115428084649101</v>
      </c>
      <c r="H16089">
        <f>0.0227272727272727*0.325019742889425</f>
        <v>7.386812338396013E-3</v>
      </c>
      <c r="I16089">
        <v>7.386812338396026E-3</v>
      </c>
    </row>
    <row r="16090" spans="1:9" x14ac:dyDescent="0.25">
      <c r="A16090">
        <v>518</v>
      </c>
      <c r="B16090" t="s">
        <v>4208</v>
      </c>
      <c r="C16090" t="s">
        <v>75</v>
      </c>
      <c r="D16090" t="s">
        <v>3794</v>
      </c>
      <c r="E16090">
        <f t="shared" si="756"/>
        <v>2.2727272727272728E-2</v>
      </c>
      <c r="F16090">
        <v>3</v>
      </c>
      <c r="G16090">
        <f>LOG(382/(3+1))</f>
        <v>1.9800033715837464</v>
      </c>
      <c r="H16090">
        <f>0.0227272727272727*4.55912624748668</f>
        <v>0.10361650562469715</v>
      </c>
      <c r="I16090">
        <v>0.1036165056246974</v>
      </c>
    </row>
    <row r="16091" spans="1:9" x14ac:dyDescent="0.25">
      <c r="A16091">
        <v>518</v>
      </c>
      <c r="B16091" t="s">
        <v>4208</v>
      </c>
      <c r="C16091" t="s">
        <v>75</v>
      </c>
      <c r="D16091" t="s">
        <v>1537</v>
      </c>
      <c r="E16091">
        <f t="shared" si="756"/>
        <v>2.2727272727272728E-2</v>
      </c>
      <c r="F16091">
        <v>80</v>
      </c>
      <c r="G16091">
        <f>LOG(382/(80+1))</f>
        <v>0.67357834403305894</v>
      </c>
      <c r="H16091">
        <f>0.0227272727272727*1.55097145393413</f>
        <v>3.5249351225775639E-2</v>
      </c>
      <c r="I16091">
        <v>3.5249351225775827E-2</v>
      </c>
    </row>
    <row r="16092" spans="1:9" x14ac:dyDescent="0.25">
      <c r="A16092">
        <v>518</v>
      </c>
      <c r="B16092" t="s">
        <v>4208</v>
      </c>
      <c r="C16092" t="s">
        <v>75</v>
      </c>
      <c r="D16092" t="s">
        <v>105</v>
      </c>
      <c r="E16092">
        <f t="shared" si="756"/>
        <v>2.2727272727272728E-2</v>
      </c>
      <c r="F16092">
        <v>122</v>
      </c>
      <c r="G16092">
        <f>LOG(382/(122+1))</f>
        <v>0.49215825147231079</v>
      </c>
      <c r="H16092">
        <f>0.0227272727272727*1.13323625323415</f>
        <v>2.5755369391685198E-2</v>
      </c>
      <c r="I16092">
        <v>2.57553693916854E-2</v>
      </c>
    </row>
    <row r="16093" spans="1:9" x14ac:dyDescent="0.25">
      <c r="A16093">
        <v>518</v>
      </c>
      <c r="B16093" t="s">
        <v>4208</v>
      </c>
      <c r="C16093" t="s">
        <v>75</v>
      </c>
      <c r="D16093" t="s">
        <v>1762</v>
      </c>
      <c r="E16093">
        <f>2/44</f>
        <v>4.5454545454545456E-2</v>
      </c>
      <c r="F16093">
        <v>60</v>
      </c>
      <c r="G16093">
        <f>LOG(382/(60+1))</f>
        <v>0.79673352790094176</v>
      </c>
      <c r="H16093">
        <f>0.0454545454545454*1.83454674443326</f>
        <v>8.3388488383329892E-2</v>
      </c>
      <c r="I16093">
        <v>8.3388488383330184E-2</v>
      </c>
    </row>
    <row r="16094" spans="1:9" x14ac:dyDescent="0.25">
      <c r="A16094">
        <v>518</v>
      </c>
      <c r="B16094" t="s">
        <v>4208</v>
      </c>
      <c r="C16094" t="s">
        <v>75</v>
      </c>
      <c r="D16094" t="s">
        <v>126</v>
      </c>
      <c r="E16094">
        <f>2/44</f>
        <v>4.5454545454545456E-2</v>
      </c>
      <c r="F16094">
        <v>79</v>
      </c>
      <c r="G16094">
        <f>LOG(382/(79+1))</f>
        <v>0.67897337591976514</v>
      </c>
      <c r="H16094">
        <f>0.0454545454545454*1.56339397393269</f>
        <v>7.1063362451485826E-2</v>
      </c>
      <c r="I16094">
        <v>7.1063362451486076E-2</v>
      </c>
    </row>
    <row r="16095" spans="1:9" x14ac:dyDescent="0.25">
      <c r="A16095">
        <v>518</v>
      </c>
      <c r="B16095" t="s">
        <v>4208</v>
      </c>
      <c r="C16095" t="s">
        <v>75</v>
      </c>
      <c r="D16095" t="s">
        <v>2005</v>
      </c>
      <c r="E16095">
        <f>2/44</f>
        <v>4.5454545454545456E-2</v>
      </c>
      <c r="F16095">
        <v>4</v>
      </c>
      <c r="G16095">
        <f>LOG(382/(4+1))</f>
        <v>1.8830933585756899</v>
      </c>
      <c r="H16095">
        <f>0.0454545454545454*4.33598269617247</f>
        <v>0.19709012255329386</v>
      </c>
      <c r="I16095">
        <v>0.19709012255329431</v>
      </c>
    </row>
    <row r="16096" spans="1:9" x14ac:dyDescent="0.25">
      <c r="A16096">
        <v>518</v>
      </c>
      <c r="B16096" t="s">
        <v>4208</v>
      </c>
      <c r="C16096" t="s">
        <v>75</v>
      </c>
      <c r="D16096" t="s">
        <v>4211</v>
      </c>
      <c r="E16096">
        <f>2/44</f>
        <v>4.5454545454545456E-2</v>
      </c>
      <c r="F16096">
        <v>1</v>
      </c>
      <c r="G16096">
        <f>LOG(382/(1+1))</f>
        <v>2.2810333672477277</v>
      </c>
      <c r="H16096">
        <f>0.0454545454545454*5.25227342804663</f>
        <v>0.23873970127484653</v>
      </c>
      <c r="I16096">
        <v>0.23873970127484681</v>
      </c>
    </row>
    <row r="16097" spans="1:9" x14ac:dyDescent="0.25">
      <c r="A16097">
        <v>518</v>
      </c>
      <c r="B16097" t="s">
        <v>4208</v>
      </c>
      <c r="C16097" t="s">
        <v>75</v>
      </c>
      <c r="D16097" t="s">
        <v>1546</v>
      </c>
      <c r="E16097">
        <f t="shared" ref="E16097:E16116" si="757">1/44</f>
        <v>2.2727272727272728E-2</v>
      </c>
      <c r="F16097">
        <v>44</v>
      </c>
      <c r="G16097">
        <f>LOG(382/(44+1))</f>
        <v>0.92885084913636506</v>
      </c>
      <c r="H16097">
        <f>0.0227272727272727*2.13875811883625</f>
        <v>4.8608139064460168E-2</v>
      </c>
      <c r="I16097">
        <v>4.8608139064460348E-2</v>
      </c>
    </row>
    <row r="16098" spans="1:9" x14ac:dyDescent="0.25">
      <c r="A16098">
        <v>518</v>
      </c>
      <c r="B16098" t="s">
        <v>4208</v>
      </c>
      <c r="C16098" t="s">
        <v>75</v>
      </c>
      <c r="D16098" t="s">
        <v>240</v>
      </c>
      <c r="E16098">
        <f t="shared" si="757"/>
        <v>2.2727272727272728E-2</v>
      </c>
      <c r="F16098">
        <v>15</v>
      </c>
      <c r="G16098">
        <f>LOG(382/(15+1))</f>
        <v>1.3779433802557839</v>
      </c>
      <c r="H16098">
        <f>0.0227272727272727*3.17283188636679</f>
        <v>7.2109815599245147E-2</v>
      </c>
      <c r="I16098">
        <v>7.2109815599245328E-2</v>
      </c>
    </row>
    <row r="16099" spans="1:9" x14ac:dyDescent="0.25">
      <c r="A16099">
        <v>518</v>
      </c>
      <c r="B16099" t="s">
        <v>4208</v>
      </c>
      <c r="C16099" t="s">
        <v>75</v>
      </c>
      <c r="D16099" t="s">
        <v>243</v>
      </c>
      <c r="E16099">
        <f t="shared" si="757"/>
        <v>2.2727272727272728E-2</v>
      </c>
      <c r="F16099">
        <v>131</v>
      </c>
      <c r="G16099">
        <f>LOG(382/(131+1))</f>
        <v>0.46148943170585888</v>
      </c>
      <c r="H16099">
        <f>0.0227272727272727*1.0626186860202</f>
        <v>2.4150424682277245E-2</v>
      </c>
      <c r="I16099">
        <v>2.415042468227737E-2</v>
      </c>
    </row>
    <row r="16100" spans="1:9" x14ac:dyDescent="0.25">
      <c r="A16100">
        <v>518</v>
      </c>
      <c r="B16100" t="s">
        <v>4208</v>
      </c>
      <c r="C16100" t="s">
        <v>75</v>
      </c>
      <c r="D16100" t="s">
        <v>453</v>
      </c>
      <c r="E16100">
        <f t="shared" si="757"/>
        <v>2.2727272727272728E-2</v>
      </c>
      <c r="F16100">
        <v>68</v>
      </c>
      <c r="G16100">
        <f>LOG(382/(68+1))</f>
        <v>0.74321427217445335</v>
      </c>
      <c r="H16100">
        <f>0.0227272727272727*1.71131410400931</f>
        <v>3.8893502363847907E-2</v>
      </c>
      <c r="I16100">
        <v>3.8893502363848087E-2</v>
      </c>
    </row>
    <row r="16101" spans="1:9" x14ac:dyDescent="0.25">
      <c r="A16101">
        <v>518</v>
      </c>
      <c r="B16101" t="s">
        <v>4208</v>
      </c>
      <c r="C16101" t="s">
        <v>75</v>
      </c>
      <c r="D16101" t="s">
        <v>455</v>
      </c>
      <c r="E16101">
        <f t="shared" si="757"/>
        <v>2.2727272727272728E-2</v>
      </c>
      <c r="F16101">
        <v>78</v>
      </c>
      <c r="G16101">
        <f>LOG(382/(78+1))</f>
        <v>0.6844362716212673</v>
      </c>
      <c r="H16101">
        <f>0.0227272727272727*1.57597275613955</f>
        <v>3.5817562639535186E-2</v>
      </c>
      <c r="I16101">
        <v>3.5817562639535318E-2</v>
      </c>
    </row>
    <row r="16102" spans="1:9" x14ac:dyDescent="0.25">
      <c r="A16102">
        <v>518</v>
      </c>
      <c r="B16102" t="s">
        <v>4208</v>
      </c>
      <c r="C16102" t="s">
        <v>75</v>
      </c>
      <c r="D16102" t="s">
        <v>456</v>
      </c>
      <c r="E16102">
        <f t="shared" si="757"/>
        <v>2.2727272727272728E-2</v>
      </c>
      <c r="F16102">
        <v>71</v>
      </c>
      <c r="G16102">
        <f>LOG(382/(71+1))</f>
        <v>0.72473086648044027</v>
      </c>
      <c r="H16102">
        <f>0.0227272727272727*1.66875448959051</f>
        <v>3.7926238399784269E-2</v>
      </c>
      <c r="I16102">
        <v>3.792623839978454E-2</v>
      </c>
    </row>
    <row r="16103" spans="1:9" x14ac:dyDescent="0.25">
      <c r="A16103">
        <v>518</v>
      </c>
      <c r="B16103" t="s">
        <v>4208</v>
      </c>
      <c r="C16103" t="s">
        <v>75</v>
      </c>
      <c r="D16103" t="s">
        <v>4212</v>
      </c>
      <c r="E16103">
        <f t="shared" si="757"/>
        <v>2.2727272727272728E-2</v>
      </c>
      <c r="F16103">
        <v>1</v>
      </c>
      <c r="G16103">
        <f>LOG(382/(1+1))</f>
        <v>2.2810333672477277</v>
      </c>
      <c r="H16103">
        <f>0.0227272727272727*5.25227342804663</f>
        <v>0.11936985063742327</v>
      </c>
      <c r="I16103">
        <v>0.11936985063742341</v>
      </c>
    </row>
    <row r="16104" spans="1:9" x14ac:dyDescent="0.25">
      <c r="A16104">
        <v>518</v>
      </c>
      <c r="B16104" t="s">
        <v>4208</v>
      </c>
      <c r="C16104" t="s">
        <v>75</v>
      </c>
      <c r="D16104" t="s">
        <v>361</v>
      </c>
      <c r="E16104">
        <f t="shared" si="757"/>
        <v>2.2727272727272728E-2</v>
      </c>
      <c r="F16104">
        <v>118</v>
      </c>
      <c r="G16104">
        <f>LOG(382/(118+1))</f>
        <v>0.50651640151917798</v>
      </c>
      <c r="H16104">
        <f>0.0227272727272727*1.16629711549504</f>
        <v>2.6506752624887237E-2</v>
      </c>
      <c r="I16104">
        <v>2.6506752624887411E-2</v>
      </c>
    </row>
    <row r="16105" spans="1:9" x14ac:dyDescent="0.25">
      <c r="A16105">
        <v>518</v>
      </c>
      <c r="B16105" t="s">
        <v>4208</v>
      </c>
      <c r="C16105" t="s">
        <v>75</v>
      </c>
      <c r="D16105" t="s">
        <v>434</v>
      </c>
      <c r="E16105">
        <f t="shared" si="757"/>
        <v>2.2727272727272728E-2</v>
      </c>
      <c r="F16105">
        <v>97</v>
      </c>
      <c r="G16105">
        <f>LOG(382/(97+1))</f>
        <v>0.59083728721921391</v>
      </c>
      <c r="H16105">
        <f>0.0227272727272727*1.360453129936</f>
        <v>3.0919389316727237E-2</v>
      </c>
      <c r="I16105">
        <v>3.0919389316727351E-2</v>
      </c>
    </row>
    <row r="16106" spans="1:9" x14ac:dyDescent="0.25">
      <c r="A16106">
        <v>518</v>
      </c>
      <c r="B16106" t="s">
        <v>4208</v>
      </c>
      <c r="C16106" t="s">
        <v>75</v>
      </c>
      <c r="D16106" t="s">
        <v>3325</v>
      </c>
      <c r="E16106">
        <f t="shared" si="757"/>
        <v>2.2727272727272728E-2</v>
      </c>
      <c r="F16106">
        <v>19</v>
      </c>
      <c r="G16106">
        <f>LOG(382/(19+1))</f>
        <v>1.2810333672477277</v>
      </c>
      <c r="H16106">
        <f>0.0227272727272727*2.94968833505258</f>
        <v>6.7038371251194925E-2</v>
      </c>
      <c r="I16106">
        <v>6.7038371251195106E-2</v>
      </c>
    </row>
    <row r="16107" spans="1:9" x14ac:dyDescent="0.25">
      <c r="A16107">
        <v>518</v>
      </c>
      <c r="B16107" t="s">
        <v>4208</v>
      </c>
      <c r="C16107" t="s">
        <v>75</v>
      </c>
      <c r="D16107" t="s">
        <v>3327</v>
      </c>
      <c r="E16107">
        <f t="shared" si="757"/>
        <v>2.2727272727272728E-2</v>
      </c>
      <c r="F16107">
        <v>21</v>
      </c>
      <c r="G16107">
        <f>LOG(382/(21+1))</f>
        <v>1.2396406820895025</v>
      </c>
      <c r="H16107">
        <f>0.0227272727272727*2.85437815524825</f>
        <v>6.4872230801096512E-2</v>
      </c>
      <c r="I16107">
        <v>6.4872230801096803E-2</v>
      </c>
    </row>
    <row r="16108" spans="1:9" x14ac:dyDescent="0.25">
      <c r="A16108">
        <v>518</v>
      </c>
      <c r="B16108" t="s">
        <v>4208</v>
      </c>
      <c r="C16108" t="s">
        <v>75</v>
      </c>
      <c r="D16108" t="s">
        <v>1467</v>
      </c>
      <c r="E16108">
        <f t="shared" si="757"/>
        <v>2.2727272727272728E-2</v>
      </c>
      <c r="F16108">
        <v>21</v>
      </c>
      <c r="G16108">
        <f>LOG(382/(21+1))</f>
        <v>1.2396406820895025</v>
      </c>
      <c r="H16108">
        <f>0.0227272727272727*2.85437815524825</f>
        <v>6.4872230801096512E-2</v>
      </c>
      <c r="I16108">
        <v>6.4872230801096803E-2</v>
      </c>
    </row>
    <row r="16109" spans="1:9" x14ac:dyDescent="0.25">
      <c r="A16109">
        <v>518</v>
      </c>
      <c r="B16109" t="s">
        <v>4208</v>
      </c>
      <c r="C16109" t="s">
        <v>75</v>
      </c>
      <c r="D16109" t="s">
        <v>149</v>
      </c>
      <c r="E16109">
        <f t="shared" si="757"/>
        <v>2.2727272727272728E-2</v>
      </c>
      <c r="F16109">
        <v>35</v>
      </c>
      <c r="G16109">
        <f>LOG(382/(35+1))</f>
        <v>1.0257608621444214</v>
      </c>
      <c r="H16109">
        <f>0.0227272727272727*2.36190167015046</f>
        <v>5.367958341251039E-2</v>
      </c>
      <c r="I16109">
        <v>5.367958341251057E-2</v>
      </c>
    </row>
    <row r="16110" spans="1:9" x14ac:dyDescent="0.25">
      <c r="A16110">
        <v>518</v>
      </c>
      <c r="B16110" t="s">
        <v>4208</v>
      </c>
      <c r="C16110" t="s">
        <v>75</v>
      </c>
      <c r="D16110" t="s">
        <v>1938</v>
      </c>
      <c r="E16110">
        <f t="shared" si="757"/>
        <v>2.2727272727272728E-2</v>
      </c>
      <c r="F16110">
        <v>7</v>
      </c>
      <c r="G16110">
        <f>LOG(382/(7+1))</f>
        <v>1.6789733759197651</v>
      </c>
      <c r="H16110">
        <f>0.0227272727272727*3.86597906692673</f>
        <v>8.7863160611971039E-2</v>
      </c>
      <c r="I16110">
        <v>8.7863160611971344E-2</v>
      </c>
    </row>
    <row r="16111" spans="1:9" x14ac:dyDescent="0.25">
      <c r="A16111">
        <v>518</v>
      </c>
      <c r="B16111" t="s">
        <v>4208</v>
      </c>
      <c r="C16111" t="s">
        <v>75</v>
      </c>
      <c r="D16111" t="s">
        <v>214</v>
      </c>
      <c r="E16111">
        <f t="shared" si="757"/>
        <v>2.2727272727272728E-2</v>
      </c>
      <c r="F16111">
        <v>68</v>
      </c>
      <c r="G16111">
        <f>LOG(382/(68+1))</f>
        <v>0.74321427217445335</v>
      </c>
      <c r="H16111">
        <f>0.0227272727272727*1.71131410400931</f>
        <v>3.8893502363847907E-2</v>
      </c>
      <c r="I16111">
        <v>3.8893502363848087E-2</v>
      </c>
    </row>
    <row r="16112" spans="1:9" x14ac:dyDescent="0.25">
      <c r="A16112">
        <v>518</v>
      </c>
      <c r="B16112" t="s">
        <v>4208</v>
      </c>
      <c r="C16112" t="s">
        <v>75</v>
      </c>
      <c r="D16112" t="s">
        <v>322</v>
      </c>
      <c r="E16112">
        <f t="shared" si="757"/>
        <v>2.2727272727272728E-2</v>
      </c>
      <c r="F16112">
        <v>128</v>
      </c>
      <c r="G16112">
        <f>LOG(382/(128+1))</f>
        <v>0.47147365261245977</v>
      </c>
      <c r="H16112">
        <f>0.0227272727272727*1.0856082042449</f>
        <v>2.4672913732838607E-2</v>
      </c>
      <c r="I16112">
        <v>2.4672913732838711E-2</v>
      </c>
    </row>
    <row r="16113" spans="1:9" x14ac:dyDescent="0.25">
      <c r="A16113">
        <v>518</v>
      </c>
      <c r="B16113" t="s">
        <v>4208</v>
      </c>
      <c r="C16113" t="s">
        <v>75</v>
      </c>
      <c r="D16113" t="s">
        <v>362</v>
      </c>
      <c r="E16113">
        <f t="shared" si="757"/>
        <v>2.2727272727272728E-2</v>
      </c>
      <c r="F16113">
        <v>81</v>
      </c>
      <c r="G16113">
        <f>LOG(382/(81+1))</f>
        <v>0.66824951052799197</v>
      </c>
      <c r="H16113">
        <f>0.0227272727272727*1.53870136134232</f>
        <v>3.4970485485052681E-2</v>
      </c>
      <c r="I16113">
        <v>3.4970485485052771E-2</v>
      </c>
    </row>
    <row r="16114" spans="1:9" x14ac:dyDescent="0.25">
      <c r="A16114">
        <v>518</v>
      </c>
      <c r="B16114" t="s">
        <v>4208</v>
      </c>
      <c r="C16114" t="s">
        <v>75</v>
      </c>
      <c r="D16114" t="s">
        <v>82</v>
      </c>
      <c r="E16114">
        <f t="shared" si="757"/>
        <v>2.2727272727272728E-2</v>
      </c>
      <c r="F16114">
        <v>92</v>
      </c>
      <c r="G16114">
        <f>LOG(382/(92+1))</f>
        <v>0.61358041435777355</v>
      </c>
      <c r="H16114">
        <f>0.0227272727272727*1.41282111545331</f>
        <v>3.2109570805757007E-2</v>
      </c>
      <c r="I16114">
        <v>3.2109570805757263E-2</v>
      </c>
    </row>
    <row r="16115" spans="1:9" x14ac:dyDescent="0.25">
      <c r="A16115">
        <v>518</v>
      </c>
      <c r="B16115" t="s">
        <v>4208</v>
      </c>
      <c r="C16115" t="s">
        <v>75</v>
      </c>
      <c r="D16115" t="s">
        <v>754</v>
      </c>
      <c r="E16115">
        <f t="shared" si="757"/>
        <v>2.2727272727272728E-2</v>
      </c>
      <c r="F16115">
        <v>111</v>
      </c>
      <c r="G16115">
        <f>LOG(382/(111+1))</f>
        <v>0.53284534024152708</v>
      </c>
      <c r="H16115">
        <f>0.0227272727272727*1.22692173731148</f>
        <v>2.7884584938897238E-2</v>
      </c>
      <c r="I16115">
        <v>2.788458493889729E-2</v>
      </c>
    </row>
    <row r="16116" spans="1:9" x14ac:dyDescent="0.25">
      <c r="A16116">
        <v>518</v>
      </c>
      <c r="B16116" t="s">
        <v>4208</v>
      </c>
      <c r="C16116" t="s">
        <v>75</v>
      </c>
      <c r="D16116" t="s">
        <v>763</v>
      </c>
      <c r="E16116">
        <f t="shared" si="757"/>
        <v>2.2727272727272728E-2</v>
      </c>
      <c r="F16116">
        <v>47</v>
      </c>
      <c r="G16116">
        <f>LOG(382/(47+1))</f>
        <v>0.90082212553612151</v>
      </c>
      <c r="H16116">
        <f>0.0227272727272727*2.07421959769868</f>
        <v>4.7141354493151766E-2</v>
      </c>
      <c r="I16116">
        <v>4.7141354493151912E-2</v>
      </c>
    </row>
    <row r="16117" spans="1:9" x14ac:dyDescent="0.25">
      <c r="A16117">
        <v>519</v>
      </c>
      <c r="B16117" t="s">
        <v>4213</v>
      </c>
      <c r="C16117" t="s">
        <v>75</v>
      </c>
      <c r="D16117" t="s">
        <v>41</v>
      </c>
      <c r="E16117">
        <f>3/99</f>
        <v>3.0303030303030304E-2</v>
      </c>
      <c r="F16117">
        <v>195</v>
      </c>
      <c r="G16117">
        <f>LOG(382/(195+1))</f>
        <v>0.28980729155523272</v>
      </c>
      <c r="H16117">
        <f>0.0303030303030303*0.667305949376058</f>
        <v>2.022139240533509E-2</v>
      </c>
      <c r="I16117">
        <v>2.022139240533509E-2</v>
      </c>
    </row>
    <row r="16118" spans="1:9" x14ac:dyDescent="0.25">
      <c r="A16118">
        <v>519</v>
      </c>
      <c r="B16118" t="s">
        <v>4213</v>
      </c>
      <c r="C16118" t="s">
        <v>75</v>
      </c>
      <c r="D16118" t="s">
        <v>4214</v>
      </c>
      <c r="E16118">
        <f>2/99</f>
        <v>2.0202020202020204E-2</v>
      </c>
      <c r="F16118">
        <v>1</v>
      </c>
      <c r="G16118">
        <f>LOG(382/(1+1))</f>
        <v>2.2810333672477277</v>
      </c>
      <c r="H16118">
        <f>0.0202020202020202*5.25227342804663</f>
        <v>0.10610653389993191</v>
      </c>
      <c r="I16118">
        <v>0.1061065338999319</v>
      </c>
    </row>
    <row r="16119" spans="1:9" x14ac:dyDescent="0.25">
      <c r="A16119">
        <v>519</v>
      </c>
      <c r="B16119" t="s">
        <v>4213</v>
      </c>
      <c r="C16119" t="s">
        <v>75</v>
      </c>
      <c r="D16119" t="s">
        <v>1218</v>
      </c>
      <c r="E16119">
        <f>2/99</f>
        <v>2.0202020202020204E-2</v>
      </c>
      <c r="F16119">
        <v>2</v>
      </c>
      <c r="G16119">
        <f>LOG(382/(2+1))</f>
        <v>2.1049421081920463</v>
      </c>
      <c r="H16119">
        <f>0.0202020202020202*4.84680831993846</f>
        <v>9.791531959471636E-2</v>
      </c>
      <c r="I16119">
        <v>9.7915319594716485E-2</v>
      </c>
    </row>
    <row r="16120" spans="1:9" x14ac:dyDescent="0.25">
      <c r="A16120">
        <v>519</v>
      </c>
      <c r="B16120" t="s">
        <v>4213</v>
      </c>
      <c r="C16120" t="s">
        <v>75</v>
      </c>
      <c r="D16120" t="s">
        <v>744</v>
      </c>
      <c r="E16120">
        <f>4/99</f>
        <v>4.0404040404040407E-2</v>
      </c>
      <c r="F16120">
        <v>28</v>
      </c>
      <c r="G16120">
        <f>LOG(382/(28+1))</f>
        <v>1.1196653650127526</v>
      </c>
      <c r="H16120">
        <f>0.0404040404040404*2.5781247786201</f>
        <v>0.10416665772202423</v>
      </c>
      <c r="I16120">
        <v>0.1041666577220243</v>
      </c>
    </row>
    <row r="16121" spans="1:9" x14ac:dyDescent="0.25">
      <c r="A16121">
        <v>519</v>
      </c>
      <c r="B16121" t="s">
        <v>4213</v>
      </c>
      <c r="C16121" t="s">
        <v>75</v>
      </c>
      <c r="D16121" t="s">
        <v>42</v>
      </c>
      <c r="E16121">
        <f t="shared" ref="E16121:E16131" si="758">1/99</f>
        <v>1.0101010101010102E-2</v>
      </c>
      <c r="F16121">
        <v>251</v>
      </c>
      <c r="G16121">
        <f>LOG(382/(251+1))</f>
        <v>0.18066282213016463</v>
      </c>
      <c r="H16121">
        <f>0.0101010101010101*0.415991521095151</f>
        <v>4.2019345565166765E-3</v>
      </c>
      <c r="I16121">
        <v>4.2019345565166861E-3</v>
      </c>
    </row>
    <row r="16122" spans="1:9" x14ac:dyDescent="0.25">
      <c r="A16122">
        <v>519</v>
      </c>
      <c r="B16122" t="s">
        <v>4213</v>
      </c>
      <c r="C16122" t="s">
        <v>75</v>
      </c>
      <c r="D16122" t="s">
        <v>1967</v>
      </c>
      <c r="E16122">
        <f t="shared" si="758"/>
        <v>1.0101010101010102E-2</v>
      </c>
      <c r="F16122">
        <v>5</v>
      </c>
      <c r="G16122">
        <f>LOG(382/(5+1))</f>
        <v>1.803912112528065</v>
      </c>
      <c r="H16122">
        <f>0.0101010101010101*4.15366113937852</f>
        <v>4.1956173125035551E-2</v>
      </c>
      <c r="I16122">
        <v>4.1956173125035558E-2</v>
      </c>
    </row>
    <row r="16123" spans="1:9" x14ac:dyDescent="0.25">
      <c r="A16123">
        <v>519</v>
      </c>
      <c r="B16123" t="s">
        <v>4213</v>
      </c>
      <c r="C16123" t="s">
        <v>75</v>
      </c>
      <c r="D16123" t="s">
        <v>636</v>
      </c>
      <c r="E16123">
        <f t="shared" si="758"/>
        <v>1.0101010101010102E-2</v>
      </c>
      <c r="F16123">
        <v>31</v>
      </c>
      <c r="G16123">
        <f>LOG(382/(31+1))</f>
        <v>1.0769133845918029</v>
      </c>
      <c r="H16123">
        <f>0.0101010101010101*2.47968470580684</f>
        <v>2.504732026067515E-2</v>
      </c>
      <c r="I16123">
        <v>2.504732026067524E-2</v>
      </c>
    </row>
    <row r="16124" spans="1:9" x14ac:dyDescent="0.25">
      <c r="A16124">
        <v>519</v>
      </c>
      <c r="B16124" t="s">
        <v>4213</v>
      </c>
      <c r="C16124" t="s">
        <v>75</v>
      </c>
      <c r="D16124" t="s">
        <v>637</v>
      </c>
      <c r="E16124">
        <f t="shared" si="758"/>
        <v>1.0101010101010102E-2</v>
      </c>
      <c r="F16124">
        <v>29</v>
      </c>
      <c r="G16124">
        <f>LOG(382/(29+1))</f>
        <v>1.1049421081920463</v>
      </c>
      <c r="H16124">
        <f>0.0101010101010101*2.54422322694442</f>
        <v>2.5699224514590096E-2</v>
      </c>
      <c r="I16124">
        <v>2.5699224514590099E-2</v>
      </c>
    </row>
    <row r="16125" spans="1:9" x14ac:dyDescent="0.25">
      <c r="A16125">
        <v>519</v>
      </c>
      <c r="B16125" t="s">
        <v>4213</v>
      </c>
      <c r="C16125" t="s">
        <v>75</v>
      </c>
      <c r="D16125" t="s">
        <v>17</v>
      </c>
      <c r="E16125">
        <f t="shared" si="758"/>
        <v>1.0101010101010102E-2</v>
      </c>
      <c r="F16125">
        <v>169</v>
      </c>
      <c r="G16125">
        <f>LOG(382/(169+1))</f>
        <v>0.3516144415334348</v>
      </c>
      <c r="H16125">
        <f>0.0101010101010101*0.809622171556313</f>
        <v>8.1780017328920498E-3</v>
      </c>
      <c r="I16125">
        <v>8.1780017328920551E-3</v>
      </c>
    </row>
    <row r="16126" spans="1:9" x14ac:dyDescent="0.25">
      <c r="A16126">
        <v>519</v>
      </c>
      <c r="B16126" t="s">
        <v>4213</v>
      </c>
      <c r="C16126" t="s">
        <v>75</v>
      </c>
      <c r="D16126" t="s">
        <v>70</v>
      </c>
      <c r="E16126">
        <f t="shared" si="758"/>
        <v>1.0101010101010102E-2</v>
      </c>
      <c r="F16126">
        <v>44</v>
      </c>
      <c r="G16126">
        <f>LOG(382/(44+1))</f>
        <v>0.92885084913636506</v>
      </c>
      <c r="H16126">
        <f>0.0101010101010101*2.13875811883625</f>
        <v>2.1603617361982321E-2</v>
      </c>
      <c r="I16126">
        <v>2.160361736198238E-2</v>
      </c>
    </row>
    <row r="16127" spans="1:9" x14ac:dyDescent="0.25">
      <c r="A16127">
        <v>519</v>
      </c>
      <c r="B16127" t="s">
        <v>4213</v>
      </c>
      <c r="C16127" t="s">
        <v>75</v>
      </c>
      <c r="D16127" t="s">
        <v>19</v>
      </c>
      <c r="E16127">
        <f t="shared" si="758"/>
        <v>1.0101010101010102E-2</v>
      </c>
      <c r="F16127">
        <v>220</v>
      </c>
      <c r="G16127">
        <f>LOG(382/(220+1))</f>
        <v>0.23767108922659805</v>
      </c>
      <c r="H16127">
        <f>0.0101010101010101*0.547257907088822</f>
        <v>5.5278576473618384E-3</v>
      </c>
      <c r="I16127">
        <v>5.5278576473618427E-3</v>
      </c>
    </row>
    <row r="16128" spans="1:9" x14ac:dyDescent="0.25">
      <c r="A16128">
        <v>519</v>
      </c>
      <c r="B16128" t="s">
        <v>4213</v>
      </c>
      <c r="C16128" t="s">
        <v>75</v>
      </c>
      <c r="D16128" t="s">
        <v>44</v>
      </c>
      <c r="E16128">
        <f t="shared" si="758"/>
        <v>1.0101010101010102E-2</v>
      </c>
      <c r="F16128">
        <v>151</v>
      </c>
      <c r="G16128">
        <f>LOG(382/(151+1))</f>
        <v>0.40021977496693617</v>
      </c>
      <c r="H16128">
        <f>0.0101010101010101*0.921540087760298</f>
        <v>9.3084857349525051E-3</v>
      </c>
      <c r="I16128">
        <v>9.3084857349525138E-3</v>
      </c>
    </row>
    <row r="16129" spans="1:9" x14ac:dyDescent="0.25">
      <c r="A16129">
        <v>519</v>
      </c>
      <c r="B16129" t="s">
        <v>4213</v>
      </c>
      <c r="C16129" t="s">
        <v>75</v>
      </c>
      <c r="D16129" t="s">
        <v>22</v>
      </c>
      <c r="E16129">
        <f t="shared" si="758"/>
        <v>1.0101010101010102E-2</v>
      </c>
      <c r="F16129">
        <v>259</v>
      </c>
      <c r="G16129">
        <f>LOG(382/(259+1))</f>
        <v>0.16709001494089079</v>
      </c>
      <c r="H16129">
        <f>0.0101010101010101*0.384738977591047</f>
        <v>3.8862522988994644E-3</v>
      </c>
      <c r="I16129">
        <v>3.88625229889947E-3</v>
      </c>
    </row>
    <row r="16130" spans="1:9" x14ac:dyDescent="0.25">
      <c r="A16130">
        <v>519</v>
      </c>
      <c r="B16130" t="s">
        <v>4213</v>
      </c>
      <c r="C16130" t="s">
        <v>75</v>
      </c>
      <c r="D16130" t="s">
        <v>23</v>
      </c>
      <c r="E16130">
        <f t="shared" si="758"/>
        <v>1.0101010101010102E-2</v>
      </c>
      <c r="F16130">
        <v>275</v>
      </c>
      <c r="G16130">
        <f>LOG(382/(275+1))</f>
        <v>0.14115428084649101</v>
      </c>
      <c r="H16130">
        <f>0.0101010101010101*0.325019742889425</f>
        <v>3.2830277059537872E-3</v>
      </c>
      <c r="I16130">
        <v>3.2830277059537902E-3</v>
      </c>
    </row>
    <row r="16131" spans="1:9" x14ac:dyDescent="0.25">
      <c r="A16131">
        <v>519</v>
      </c>
      <c r="B16131" t="s">
        <v>4213</v>
      </c>
      <c r="C16131" t="s">
        <v>75</v>
      </c>
      <c r="D16131" t="s">
        <v>1785</v>
      </c>
      <c r="E16131">
        <f t="shared" si="758"/>
        <v>1.0101010101010102E-2</v>
      </c>
      <c r="F16131">
        <v>21</v>
      </c>
      <c r="G16131">
        <f>LOG(382/(21+1))</f>
        <v>1.2396406820895025</v>
      </c>
      <c r="H16131">
        <f>0.0101010101010101*2.85437815524825</f>
        <v>2.8832102578265149E-2</v>
      </c>
      <c r="I16131">
        <v>2.883210257826525E-2</v>
      </c>
    </row>
    <row r="16132" spans="1:9" x14ac:dyDescent="0.25">
      <c r="A16132">
        <v>519</v>
      </c>
      <c r="B16132" t="s">
        <v>4213</v>
      </c>
      <c r="C16132" t="s">
        <v>75</v>
      </c>
      <c r="D16132" t="s">
        <v>204</v>
      </c>
      <c r="E16132">
        <f>2/99</f>
        <v>2.0202020202020204E-2</v>
      </c>
      <c r="F16132">
        <v>166</v>
      </c>
      <c r="G16132">
        <f>LOG(382/(166+1))</f>
        <v>0.35934689176412549</v>
      </c>
      <c r="H16132">
        <f>0.0202020202020202*0.82742679618982</f>
        <v>1.6715692852319594E-2</v>
      </c>
      <c r="I16132">
        <v>1.6715692852319601E-2</v>
      </c>
    </row>
    <row r="16133" spans="1:9" x14ac:dyDescent="0.25">
      <c r="A16133">
        <v>519</v>
      </c>
      <c r="B16133" t="s">
        <v>4213</v>
      </c>
      <c r="C16133" t="s">
        <v>75</v>
      </c>
      <c r="D16133" t="s">
        <v>76</v>
      </c>
      <c r="E16133">
        <f>4/99</f>
        <v>4.0404040404040407E-2</v>
      </c>
      <c r="F16133">
        <v>140</v>
      </c>
      <c r="G16133">
        <f>LOG(382/(140+1))</f>
        <v>0.43284425025632883</v>
      </c>
      <c r="H16133">
        <f>0.0404040404040404*0.996660718228407</f>
        <v>4.0269119928420478E-2</v>
      </c>
      <c r="I16133">
        <v>4.0269119928420492E-2</v>
      </c>
    </row>
    <row r="16134" spans="1:9" x14ac:dyDescent="0.25">
      <c r="A16134">
        <v>519</v>
      </c>
      <c r="B16134" t="s">
        <v>4213</v>
      </c>
      <c r="C16134" t="s">
        <v>75</v>
      </c>
      <c r="D16134" t="s">
        <v>77</v>
      </c>
      <c r="E16134">
        <f>1/99</f>
        <v>1.0101010101010102E-2</v>
      </c>
      <c r="F16134">
        <v>148</v>
      </c>
      <c r="G16134">
        <f>LOG(382/(148+1))</f>
        <v>0.40887709449943471</v>
      </c>
      <c r="H16134">
        <f>0.0101010101010101*0.941474302661116</f>
        <v>9.509841441021372E-3</v>
      </c>
      <c r="I16134">
        <v>9.5098414410213754E-3</v>
      </c>
    </row>
    <row r="16135" spans="1:9" x14ac:dyDescent="0.25">
      <c r="A16135">
        <v>519</v>
      </c>
      <c r="B16135" t="s">
        <v>4213</v>
      </c>
      <c r="C16135" t="s">
        <v>75</v>
      </c>
      <c r="D16135" t="s">
        <v>40</v>
      </c>
      <c r="E16135">
        <f>2/99</f>
        <v>2.0202020202020204E-2</v>
      </c>
      <c r="F16135">
        <v>159</v>
      </c>
      <c r="G16135">
        <f>LOG(382/(159+1))</f>
        <v>0.377943380255784</v>
      </c>
      <c r="H16135">
        <f>0.0202020202020202*0.870246793372748</f>
        <v>1.7580743300459556E-2</v>
      </c>
      <c r="I16135">
        <v>1.7580743300459559E-2</v>
      </c>
    </row>
    <row r="16136" spans="1:9" x14ac:dyDescent="0.25">
      <c r="A16136">
        <v>519</v>
      </c>
      <c r="B16136" t="s">
        <v>4213</v>
      </c>
      <c r="C16136" t="s">
        <v>75</v>
      </c>
      <c r="D16136" t="s">
        <v>726</v>
      </c>
      <c r="E16136">
        <f>3/99</f>
        <v>3.0303030303030304E-2</v>
      </c>
      <c r="F16136">
        <v>37</v>
      </c>
      <c r="G16136">
        <f>LOG(382/(37+1))</f>
        <v>1.0022797662948986</v>
      </c>
      <c r="H16136">
        <f>0.0303030303030303*2.30783444888018</f>
        <v>6.9934377238793324E-2</v>
      </c>
      <c r="I16136">
        <v>6.9934377238793616E-2</v>
      </c>
    </row>
    <row r="16137" spans="1:9" x14ac:dyDescent="0.25">
      <c r="A16137">
        <v>519</v>
      </c>
      <c r="B16137" t="s">
        <v>4213</v>
      </c>
      <c r="C16137" t="s">
        <v>75</v>
      </c>
      <c r="D16137" t="s">
        <v>1745</v>
      </c>
      <c r="E16137">
        <f>1/99</f>
        <v>1.0101010101010102E-2</v>
      </c>
      <c r="F16137">
        <v>12</v>
      </c>
      <c r="G16137">
        <f>LOG(382/(12+1))</f>
        <v>1.468120010604872</v>
      </c>
      <c r="H16137">
        <f>0.0101010101010101*3.38047125114503</f>
        <v>3.4146174253990198E-2</v>
      </c>
      <c r="I16137">
        <v>3.4146174253990288E-2</v>
      </c>
    </row>
    <row r="16138" spans="1:9" x14ac:dyDescent="0.25">
      <c r="A16138">
        <v>519</v>
      </c>
      <c r="B16138" t="s">
        <v>4213</v>
      </c>
      <c r="C16138" t="s">
        <v>75</v>
      </c>
      <c r="D16138" t="s">
        <v>78</v>
      </c>
      <c r="E16138">
        <f>1/99</f>
        <v>1.0101010101010102E-2</v>
      </c>
      <c r="F16138">
        <v>122</v>
      </c>
      <c r="G16138">
        <f>LOG(382/(122+1))</f>
        <v>0.49215825147231079</v>
      </c>
      <c r="H16138">
        <f>0.0101010101010101*1.13323625323415</f>
        <v>1.1446830840748989E-2</v>
      </c>
      <c r="I16138">
        <v>1.1446830840749069E-2</v>
      </c>
    </row>
    <row r="16139" spans="1:9" x14ac:dyDescent="0.25">
      <c r="A16139">
        <v>519</v>
      </c>
      <c r="B16139" t="s">
        <v>4213</v>
      </c>
      <c r="C16139" t="s">
        <v>75</v>
      </c>
      <c r="D16139" t="s">
        <v>483</v>
      </c>
      <c r="E16139">
        <f>1/99</f>
        <v>1.0101010101010102E-2</v>
      </c>
      <c r="F16139">
        <v>61</v>
      </c>
      <c r="G16139">
        <f>LOG(382/(61+1))</f>
        <v>0.7896716734134549</v>
      </c>
      <c r="H16139">
        <f>0.0101010101010101*1.81828622356148</f>
        <v>1.8366527510722021E-2</v>
      </c>
      <c r="I16139">
        <v>1.8366527510722059E-2</v>
      </c>
    </row>
    <row r="16140" spans="1:9" x14ac:dyDescent="0.25">
      <c r="A16140">
        <v>519</v>
      </c>
      <c r="B16140" t="s">
        <v>4213</v>
      </c>
      <c r="C16140" t="s">
        <v>75</v>
      </c>
      <c r="D16140" t="s">
        <v>754</v>
      </c>
      <c r="E16140">
        <f>2/99</f>
        <v>2.0202020202020204E-2</v>
      </c>
      <c r="F16140">
        <v>111</v>
      </c>
      <c r="G16140">
        <f>LOG(382/(111+1))</f>
        <v>0.53284534024152708</v>
      </c>
      <c r="H16140">
        <f>0.0202020202020202*1.22692173731148</f>
        <v>2.4786297723464242E-2</v>
      </c>
      <c r="I16140">
        <v>2.478629772346426E-2</v>
      </c>
    </row>
    <row r="16141" spans="1:9" x14ac:dyDescent="0.25">
      <c r="A16141">
        <v>519</v>
      </c>
      <c r="B16141" t="s">
        <v>4213</v>
      </c>
      <c r="C16141" t="s">
        <v>75</v>
      </c>
      <c r="D16141" t="s">
        <v>649</v>
      </c>
      <c r="E16141">
        <f>2/99</f>
        <v>2.0202020202020204E-2</v>
      </c>
      <c r="F16141">
        <v>25</v>
      </c>
      <c r="G16141">
        <f>LOG(382/(25+1))</f>
        <v>1.1670900149408907</v>
      </c>
      <c r="H16141">
        <f>0.0202020202020202*2.68732407058509</f>
        <v>5.4289375163335145E-2</v>
      </c>
      <c r="I16141">
        <v>5.4289375163335221E-2</v>
      </c>
    </row>
    <row r="16142" spans="1:9" x14ac:dyDescent="0.25">
      <c r="A16142">
        <v>519</v>
      </c>
      <c r="B16142" t="s">
        <v>4213</v>
      </c>
      <c r="C16142" t="s">
        <v>75</v>
      </c>
      <c r="D16142" t="s">
        <v>322</v>
      </c>
      <c r="E16142">
        <f>2/99</f>
        <v>2.0202020202020204E-2</v>
      </c>
      <c r="F16142">
        <v>128</v>
      </c>
      <c r="G16142">
        <f>LOG(382/(128+1))</f>
        <v>0.47147365261245977</v>
      </c>
      <c r="H16142">
        <f>0.0202020202020202*1.0856082042449</f>
        <v>2.1931478873634343E-2</v>
      </c>
      <c r="I16142">
        <v>2.1931478873634409E-2</v>
      </c>
    </row>
    <row r="16143" spans="1:9" x14ac:dyDescent="0.25">
      <c r="A16143">
        <v>519</v>
      </c>
      <c r="B16143" t="s">
        <v>4213</v>
      </c>
      <c r="C16143" t="s">
        <v>75</v>
      </c>
      <c r="D16143" t="s">
        <v>762</v>
      </c>
      <c r="E16143">
        <f>7/99</f>
        <v>7.0707070707070704E-2</v>
      </c>
      <c r="F16143">
        <v>29</v>
      </c>
      <c r="G16143">
        <f>LOG(382/(29+1))</f>
        <v>1.1049421081920463</v>
      </c>
      <c r="H16143">
        <f>0.0707070707070707*2.54422322694442</f>
        <v>0.17989457160213068</v>
      </c>
      <c r="I16143">
        <v>0.17989457160213071</v>
      </c>
    </row>
    <row r="16144" spans="1:9" x14ac:dyDescent="0.25">
      <c r="A16144">
        <v>519</v>
      </c>
      <c r="B16144" t="s">
        <v>4213</v>
      </c>
      <c r="C16144" t="s">
        <v>75</v>
      </c>
      <c r="D16144" t="s">
        <v>25</v>
      </c>
      <c r="E16144">
        <f>3/99</f>
        <v>3.0303030303030304E-2</v>
      </c>
      <c r="F16144">
        <v>106</v>
      </c>
      <c r="G16144">
        <f>LOG(382/(106+1))</f>
        <v>0.55267958522649907</v>
      </c>
      <c r="H16144">
        <f>0.0303030303030303*1.27259177414466</f>
        <v>3.8563387095292723E-2</v>
      </c>
      <c r="I16144">
        <v>3.8563387095293E-2</v>
      </c>
    </row>
    <row r="16145" spans="1:9" x14ac:dyDescent="0.25">
      <c r="A16145">
        <v>519</v>
      </c>
      <c r="B16145" t="s">
        <v>4213</v>
      </c>
      <c r="C16145" t="s">
        <v>75</v>
      </c>
      <c r="D16145" t="s">
        <v>3480</v>
      </c>
      <c r="E16145">
        <f t="shared" ref="E16145:E16163" si="759">1/99</f>
        <v>1.0101010101010102E-2</v>
      </c>
      <c r="F16145">
        <v>2</v>
      </c>
      <c r="G16145">
        <f>LOG(382/(2+1))</f>
        <v>2.1049421081920463</v>
      </c>
      <c r="H16145">
        <f>0.0101010101010101*4.84680831993846</f>
        <v>4.895765979735818E-2</v>
      </c>
      <c r="I16145">
        <v>4.8957659797358243E-2</v>
      </c>
    </row>
    <row r="16146" spans="1:9" x14ac:dyDescent="0.25">
      <c r="A16146">
        <v>519</v>
      </c>
      <c r="B16146" t="s">
        <v>4213</v>
      </c>
      <c r="C16146" t="s">
        <v>75</v>
      </c>
      <c r="D16146" t="s">
        <v>360</v>
      </c>
      <c r="E16146">
        <f t="shared" si="759"/>
        <v>1.0101010101010102E-2</v>
      </c>
      <c r="F16146">
        <v>15</v>
      </c>
      <c r="G16146">
        <f>LOG(382/(15+1))</f>
        <v>1.3779433802557839</v>
      </c>
      <c r="H16146">
        <f>0.0101010101010101*3.17283188636679</f>
        <v>3.2048806932997879E-2</v>
      </c>
      <c r="I16146">
        <v>3.2048806932997921E-2</v>
      </c>
    </row>
    <row r="16147" spans="1:9" x14ac:dyDescent="0.25">
      <c r="A16147">
        <v>519</v>
      </c>
      <c r="B16147" t="s">
        <v>4213</v>
      </c>
      <c r="C16147" t="s">
        <v>75</v>
      </c>
      <c r="D16147" t="s">
        <v>765</v>
      </c>
      <c r="E16147">
        <f t="shared" si="759"/>
        <v>1.0101010101010102E-2</v>
      </c>
      <c r="F16147">
        <v>44</v>
      </c>
      <c r="G16147">
        <f>LOG(382/(44+1))</f>
        <v>0.92885084913636506</v>
      </c>
      <c r="H16147">
        <f>0.0101010101010101*2.13875811883625</f>
        <v>2.1603617361982321E-2</v>
      </c>
      <c r="I16147">
        <v>2.160361736198238E-2</v>
      </c>
    </row>
    <row r="16148" spans="1:9" x14ac:dyDescent="0.25">
      <c r="A16148">
        <v>519</v>
      </c>
      <c r="B16148" t="s">
        <v>4213</v>
      </c>
      <c r="C16148" t="s">
        <v>75</v>
      </c>
      <c r="D16148" t="s">
        <v>338</v>
      </c>
      <c r="E16148">
        <f t="shared" si="759"/>
        <v>1.0101010101010102E-2</v>
      </c>
      <c r="F16148">
        <v>54</v>
      </c>
      <c r="G16148">
        <f>LOG(382/(54+1))</f>
        <v>0.84170067341746491</v>
      </c>
      <c r="H16148">
        <f>0.0101010101010101*1.9380874233741</f>
        <v>1.9576640640142421E-2</v>
      </c>
      <c r="I16148">
        <v>1.957664064014247E-2</v>
      </c>
    </row>
    <row r="16149" spans="1:9" x14ac:dyDescent="0.25">
      <c r="A16149">
        <v>519</v>
      </c>
      <c r="B16149" t="s">
        <v>4213</v>
      </c>
      <c r="C16149" t="s">
        <v>75</v>
      </c>
      <c r="D16149" t="s">
        <v>1809</v>
      </c>
      <c r="E16149">
        <f t="shared" si="759"/>
        <v>1.0101010101010102E-2</v>
      </c>
      <c r="F16149">
        <v>3</v>
      </c>
      <c r="G16149">
        <f>LOG(382/(3+1))</f>
        <v>1.9800033715837464</v>
      </c>
      <c r="H16149">
        <f>0.0101010101010101*4.55912624748668</f>
        <v>4.6051780277643228E-2</v>
      </c>
      <c r="I16149">
        <v>4.6051780277643277E-2</v>
      </c>
    </row>
    <row r="16150" spans="1:9" x14ac:dyDescent="0.25">
      <c r="A16150">
        <v>519</v>
      </c>
      <c r="B16150" t="s">
        <v>4213</v>
      </c>
      <c r="C16150" t="s">
        <v>75</v>
      </c>
      <c r="D16150" t="s">
        <v>4215</v>
      </c>
      <c r="E16150">
        <f t="shared" si="759"/>
        <v>1.0101010101010102E-2</v>
      </c>
      <c r="F16150">
        <v>1</v>
      </c>
      <c r="G16150">
        <f>LOG(382/(1+1))</f>
        <v>2.2810333672477277</v>
      </c>
      <c r="H16150">
        <f>0.0101010101010101*5.25227342804663</f>
        <v>5.3053266949965955E-2</v>
      </c>
      <c r="I16150">
        <v>5.3053266949965962E-2</v>
      </c>
    </row>
    <row r="16151" spans="1:9" x14ac:dyDescent="0.25">
      <c r="A16151">
        <v>519</v>
      </c>
      <c r="B16151" t="s">
        <v>4213</v>
      </c>
      <c r="C16151" t="s">
        <v>75</v>
      </c>
      <c r="D16151" t="s">
        <v>4216</v>
      </c>
      <c r="E16151">
        <f t="shared" si="759"/>
        <v>1.0101010101010102E-2</v>
      </c>
      <c r="F16151">
        <v>1</v>
      </c>
      <c r="G16151">
        <f>LOG(382/(1+1))</f>
        <v>2.2810333672477277</v>
      </c>
      <c r="H16151">
        <f>0.0101010101010101*5.25227342804663</f>
        <v>5.3053266949965955E-2</v>
      </c>
      <c r="I16151">
        <v>5.3053266949965962E-2</v>
      </c>
    </row>
    <row r="16152" spans="1:9" x14ac:dyDescent="0.25">
      <c r="A16152">
        <v>519</v>
      </c>
      <c r="B16152" t="s">
        <v>4213</v>
      </c>
      <c r="C16152" t="s">
        <v>75</v>
      </c>
      <c r="D16152" t="s">
        <v>1540</v>
      </c>
      <c r="E16152">
        <f t="shared" si="759"/>
        <v>1.0101010101010102E-2</v>
      </c>
      <c r="F16152">
        <v>12</v>
      </c>
      <c r="G16152">
        <f>LOG(382/(12+1))</f>
        <v>1.468120010604872</v>
      </c>
      <c r="H16152">
        <f>0.0101010101010101*3.38047125114503</f>
        <v>3.4146174253990198E-2</v>
      </c>
      <c r="I16152">
        <v>3.4146174253990288E-2</v>
      </c>
    </row>
    <row r="16153" spans="1:9" x14ac:dyDescent="0.25">
      <c r="A16153">
        <v>519</v>
      </c>
      <c r="B16153" t="s">
        <v>4213</v>
      </c>
      <c r="C16153" t="s">
        <v>75</v>
      </c>
      <c r="D16153" t="s">
        <v>4043</v>
      </c>
      <c r="E16153">
        <f t="shared" si="759"/>
        <v>1.0101010101010102E-2</v>
      </c>
      <c r="F16153">
        <v>2</v>
      </c>
      <c r="G16153">
        <f>LOG(382/(2+1))</f>
        <v>2.1049421081920463</v>
      </c>
      <c r="H16153">
        <f>0.0101010101010101*4.84680831993846</f>
        <v>4.895765979735818E-2</v>
      </c>
      <c r="I16153">
        <v>4.8957659797358243E-2</v>
      </c>
    </row>
    <row r="16154" spans="1:9" x14ac:dyDescent="0.25">
      <c r="A16154">
        <v>519</v>
      </c>
      <c r="B16154" t="s">
        <v>4213</v>
      </c>
      <c r="C16154" t="s">
        <v>75</v>
      </c>
      <c r="D16154" t="s">
        <v>4217</v>
      </c>
      <c r="E16154">
        <f t="shared" si="759"/>
        <v>1.0101010101010102E-2</v>
      </c>
      <c r="F16154">
        <v>3</v>
      </c>
      <c r="G16154">
        <f>LOG(382/(3+1))</f>
        <v>1.9800033715837464</v>
      </c>
      <c r="H16154">
        <f>0.0101010101010101*4.55912624748668</f>
        <v>4.6051780277643228E-2</v>
      </c>
      <c r="I16154">
        <v>4.6051780277643277E-2</v>
      </c>
    </row>
    <row r="16155" spans="1:9" x14ac:dyDescent="0.25">
      <c r="A16155">
        <v>519</v>
      </c>
      <c r="B16155" t="s">
        <v>4213</v>
      </c>
      <c r="C16155" t="s">
        <v>75</v>
      </c>
      <c r="D16155" t="s">
        <v>4218</v>
      </c>
      <c r="E16155">
        <f t="shared" si="759"/>
        <v>1.0101010101010102E-2</v>
      </c>
      <c r="F16155">
        <v>4</v>
      </c>
      <c r="G16155">
        <f>LOG(382/(4+1))</f>
        <v>1.8830933585756899</v>
      </c>
      <c r="H16155">
        <f>0.0101010101010101*4.33598269617247</f>
        <v>4.3797805011843133E-2</v>
      </c>
      <c r="I16155">
        <v>4.3797805011843181E-2</v>
      </c>
    </row>
    <row r="16156" spans="1:9" x14ac:dyDescent="0.25">
      <c r="A16156">
        <v>519</v>
      </c>
      <c r="B16156" t="s">
        <v>4213</v>
      </c>
      <c r="C16156" t="s">
        <v>75</v>
      </c>
      <c r="D16156" t="s">
        <v>218</v>
      </c>
      <c r="E16156">
        <f t="shared" si="759"/>
        <v>1.0101010101010102E-2</v>
      </c>
      <c r="F16156">
        <v>35</v>
      </c>
      <c r="G16156">
        <f>LOG(382/(35+1))</f>
        <v>1.0257608621444214</v>
      </c>
      <c r="H16156">
        <f>0.0101010101010101*2.36190167015046</f>
        <v>2.3857592627782424E-2</v>
      </c>
      <c r="I16156">
        <v>2.3857592627782479E-2</v>
      </c>
    </row>
    <row r="16157" spans="1:9" x14ac:dyDescent="0.25">
      <c r="A16157">
        <v>519</v>
      </c>
      <c r="B16157" t="s">
        <v>4213</v>
      </c>
      <c r="C16157" t="s">
        <v>75</v>
      </c>
      <c r="D16157" t="s">
        <v>4219</v>
      </c>
      <c r="E16157">
        <f t="shared" si="759"/>
        <v>1.0101010101010102E-2</v>
      </c>
      <c r="F16157">
        <v>3</v>
      </c>
      <c r="G16157">
        <f>LOG(382/(3+1))</f>
        <v>1.9800033715837464</v>
      </c>
      <c r="H16157">
        <f>0.0101010101010101*4.55912624748668</f>
        <v>4.6051780277643228E-2</v>
      </c>
      <c r="I16157">
        <v>4.6051780277643277E-2</v>
      </c>
    </row>
    <row r="16158" spans="1:9" x14ac:dyDescent="0.25">
      <c r="A16158">
        <v>519</v>
      </c>
      <c r="B16158" t="s">
        <v>4213</v>
      </c>
      <c r="C16158" t="s">
        <v>75</v>
      </c>
      <c r="D16158" t="s">
        <v>570</v>
      </c>
      <c r="E16158">
        <f t="shared" si="759"/>
        <v>1.0101010101010102E-2</v>
      </c>
      <c r="F16158">
        <v>27</v>
      </c>
      <c r="G16158">
        <f>LOG(382/(27+1))</f>
        <v>1.1349053315694895</v>
      </c>
      <c r="H16158">
        <f>0.0101010101010101*2.61321609843137</f>
        <v>2.6396122206377475E-2</v>
      </c>
      <c r="I16158">
        <v>2.6396122206377489E-2</v>
      </c>
    </row>
    <row r="16159" spans="1:9" x14ac:dyDescent="0.25">
      <c r="A16159">
        <v>519</v>
      </c>
      <c r="B16159" t="s">
        <v>4213</v>
      </c>
      <c r="C16159" t="s">
        <v>75</v>
      </c>
      <c r="D16159" t="s">
        <v>759</v>
      </c>
      <c r="E16159">
        <f t="shared" si="759"/>
        <v>1.0101010101010102E-2</v>
      </c>
      <c r="F16159">
        <v>4</v>
      </c>
      <c r="G16159">
        <f>LOG(382/(4+1))</f>
        <v>1.8830933585756899</v>
      </c>
      <c r="H16159">
        <f>0.0101010101010101*4.33598269617247</f>
        <v>4.3797805011843133E-2</v>
      </c>
      <c r="I16159">
        <v>4.3797805011843181E-2</v>
      </c>
    </row>
    <row r="16160" spans="1:9" x14ac:dyDescent="0.25">
      <c r="A16160">
        <v>519</v>
      </c>
      <c r="B16160" t="s">
        <v>4213</v>
      </c>
      <c r="C16160" t="s">
        <v>75</v>
      </c>
      <c r="D16160" t="s">
        <v>1397</v>
      </c>
      <c r="E16160">
        <f t="shared" si="759"/>
        <v>1.0101010101010102E-2</v>
      </c>
      <c r="F16160">
        <v>29</v>
      </c>
      <c r="G16160">
        <f>LOG(382/(29+1))</f>
        <v>1.1049421081920463</v>
      </c>
      <c r="H16160">
        <f>0.0101010101010101*2.54422322694442</f>
        <v>2.5699224514590096E-2</v>
      </c>
      <c r="I16160">
        <v>2.5699224514590099E-2</v>
      </c>
    </row>
    <row r="16161" spans="1:9" x14ac:dyDescent="0.25">
      <c r="A16161">
        <v>519</v>
      </c>
      <c r="B16161" t="s">
        <v>4213</v>
      </c>
      <c r="C16161" t="s">
        <v>75</v>
      </c>
      <c r="D16161" t="s">
        <v>81</v>
      </c>
      <c r="E16161">
        <f t="shared" si="759"/>
        <v>1.0101010101010102E-2</v>
      </c>
      <c r="F16161">
        <v>114</v>
      </c>
      <c r="G16161">
        <f>LOG(382/(114+1))</f>
        <v>0.52136552255809698</v>
      </c>
      <c r="H16161">
        <f>0.0101010101010101*1.20048848024332</f>
        <v>1.2126146265084039E-2</v>
      </c>
      <c r="I16161">
        <v>1.2126146265084089E-2</v>
      </c>
    </row>
    <row r="16162" spans="1:9" x14ac:dyDescent="0.25">
      <c r="A16162">
        <v>519</v>
      </c>
      <c r="B16162" t="s">
        <v>4213</v>
      </c>
      <c r="C16162" t="s">
        <v>75</v>
      </c>
      <c r="D16162" t="s">
        <v>1532</v>
      </c>
      <c r="E16162">
        <f t="shared" si="759"/>
        <v>1.0101010101010102E-2</v>
      </c>
      <c r="F16162">
        <v>28</v>
      </c>
      <c r="G16162">
        <f>LOG(382/(28+1))</f>
        <v>1.1196653650127526</v>
      </c>
      <c r="H16162">
        <f>0.0101010101010101*2.5781247786201</f>
        <v>2.6041664430506057E-2</v>
      </c>
      <c r="I16162">
        <v>2.6041664430506071E-2</v>
      </c>
    </row>
    <row r="16163" spans="1:9" x14ac:dyDescent="0.25">
      <c r="A16163">
        <v>519</v>
      </c>
      <c r="B16163" t="s">
        <v>4213</v>
      </c>
      <c r="C16163" t="s">
        <v>75</v>
      </c>
      <c r="D16163" t="s">
        <v>1533</v>
      </c>
      <c r="E16163">
        <f t="shared" si="759"/>
        <v>1.0101010101010102E-2</v>
      </c>
      <c r="F16163">
        <v>33</v>
      </c>
      <c r="G16163">
        <f>LOG(382/(33+1))</f>
        <v>1.0505844458694535</v>
      </c>
      <c r="H16163">
        <f>0.0101010101010101*2.41906008399041</f>
        <v>2.4434950343337473E-2</v>
      </c>
      <c r="I16163">
        <v>2.4434950343337519E-2</v>
      </c>
    </row>
    <row r="16164" spans="1:9" x14ac:dyDescent="0.25">
      <c r="A16164">
        <v>519</v>
      </c>
      <c r="B16164" t="s">
        <v>4213</v>
      </c>
      <c r="C16164" t="s">
        <v>75</v>
      </c>
      <c r="D16164" t="s">
        <v>1537</v>
      </c>
      <c r="E16164">
        <f>2/99</f>
        <v>2.0202020202020204E-2</v>
      </c>
      <c r="F16164">
        <v>80</v>
      </c>
      <c r="G16164">
        <f>LOG(382/(80+1))</f>
        <v>0.67357834403305894</v>
      </c>
      <c r="H16164">
        <f>0.0202020202020202*1.55097145393413</f>
        <v>3.1332756645133936E-2</v>
      </c>
      <c r="I16164">
        <v>3.1332756645134067E-2</v>
      </c>
    </row>
    <row r="16165" spans="1:9" x14ac:dyDescent="0.25">
      <c r="A16165">
        <v>519</v>
      </c>
      <c r="B16165" t="s">
        <v>4213</v>
      </c>
      <c r="C16165" t="s">
        <v>75</v>
      </c>
      <c r="D16165" t="s">
        <v>362</v>
      </c>
      <c r="E16165">
        <f t="shared" ref="E16165:E16181" si="760">1/99</f>
        <v>1.0101010101010102E-2</v>
      </c>
      <c r="F16165">
        <v>81</v>
      </c>
      <c r="G16165">
        <f>LOG(382/(81+1))</f>
        <v>0.66824951052799197</v>
      </c>
      <c r="H16165">
        <f>0.0101010101010101*1.53870136134232</f>
        <v>1.5542437993356766E-2</v>
      </c>
      <c r="I16165">
        <v>1.554243799335679E-2</v>
      </c>
    </row>
    <row r="16166" spans="1:9" x14ac:dyDescent="0.25">
      <c r="A16166">
        <v>519</v>
      </c>
      <c r="B16166" t="s">
        <v>4213</v>
      </c>
      <c r="C16166" t="s">
        <v>75</v>
      </c>
      <c r="D16166" t="s">
        <v>1762</v>
      </c>
      <c r="E16166">
        <f t="shared" si="760"/>
        <v>1.0101010101010102E-2</v>
      </c>
      <c r="F16166">
        <v>60</v>
      </c>
      <c r="G16166">
        <f>LOG(382/(60+1))</f>
        <v>0.79673352790094176</v>
      </c>
      <c r="H16166">
        <f>0.0101010101010101*1.83454674443326</f>
        <v>1.8530775196295552E-2</v>
      </c>
      <c r="I16166">
        <v>1.8530775196295601E-2</v>
      </c>
    </row>
    <row r="16167" spans="1:9" x14ac:dyDescent="0.25">
      <c r="A16167">
        <v>519</v>
      </c>
      <c r="B16167" t="s">
        <v>4213</v>
      </c>
      <c r="C16167" t="s">
        <v>75</v>
      </c>
      <c r="D16167" t="s">
        <v>201</v>
      </c>
      <c r="E16167">
        <f t="shared" si="760"/>
        <v>1.0101010101010102E-2</v>
      </c>
      <c r="F16167">
        <v>72</v>
      </c>
      <c r="G16167">
        <f>LOG(382/(72+1))</f>
        <v>0.71874050279125279</v>
      </c>
      <c r="H16167">
        <f>0.0101010101010101*1.65496116745818</f>
        <v>1.6716779469274544E-2</v>
      </c>
      <c r="I16167">
        <v>1.6716779469274589E-2</v>
      </c>
    </row>
    <row r="16168" spans="1:9" x14ac:dyDescent="0.25">
      <c r="A16168">
        <v>519</v>
      </c>
      <c r="B16168" t="s">
        <v>4213</v>
      </c>
      <c r="C16168" t="s">
        <v>75</v>
      </c>
      <c r="D16168" t="s">
        <v>225</v>
      </c>
      <c r="E16168">
        <f t="shared" si="760"/>
        <v>1.0101010101010102E-2</v>
      </c>
      <c r="F16168">
        <v>30</v>
      </c>
      <c r="G16168">
        <f>LOG(382/(30+1))</f>
        <v>1.090701669077436</v>
      </c>
      <c r="H16168">
        <f>0.0101010101010101*2.51143340412142</f>
        <v>2.5368014183044647E-2</v>
      </c>
      <c r="I16168">
        <v>2.536801418304474E-2</v>
      </c>
    </row>
    <row r="16169" spans="1:9" x14ac:dyDescent="0.25">
      <c r="A16169">
        <v>519</v>
      </c>
      <c r="B16169" t="s">
        <v>4213</v>
      </c>
      <c r="C16169" t="s">
        <v>75</v>
      </c>
      <c r="D16169" t="s">
        <v>339</v>
      </c>
      <c r="E16169">
        <f t="shared" si="760"/>
        <v>1.0101010101010102E-2</v>
      </c>
      <c r="F16169">
        <v>66</v>
      </c>
      <c r="G16169">
        <f>LOG(382/(66+1))</f>
        <v>0.75598856021088234</v>
      </c>
      <c r="H16169">
        <f>0.0101010101010101*1.7407279892156</f>
        <v>1.7583111002177777E-2</v>
      </c>
      <c r="I16169">
        <v>1.7583111002177871E-2</v>
      </c>
    </row>
    <row r="16170" spans="1:9" x14ac:dyDescent="0.25">
      <c r="A16170">
        <v>519</v>
      </c>
      <c r="B16170" t="s">
        <v>4213</v>
      </c>
      <c r="C16170" t="s">
        <v>75</v>
      </c>
      <c r="D16170" t="s">
        <v>1773</v>
      </c>
      <c r="E16170">
        <f t="shared" si="760"/>
        <v>1.0101010101010102E-2</v>
      </c>
      <c r="F16170">
        <v>24</v>
      </c>
      <c r="G16170">
        <f>LOG(382/(24+1))</f>
        <v>1.1841233542396712</v>
      </c>
      <c r="H16170">
        <f>0.0101010101010101*2.72654478373837</f>
        <v>2.7540856401397671E-2</v>
      </c>
      <c r="I16170">
        <v>2.754085640139772E-2</v>
      </c>
    </row>
    <row r="16171" spans="1:9" x14ac:dyDescent="0.25">
      <c r="A16171">
        <v>519</v>
      </c>
      <c r="B16171" t="s">
        <v>4213</v>
      </c>
      <c r="C16171" t="s">
        <v>75</v>
      </c>
      <c r="D16171" t="s">
        <v>447</v>
      </c>
      <c r="E16171">
        <f t="shared" si="760"/>
        <v>1.0101010101010102E-2</v>
      </c>
      <c r="F16171">
        <v>37</v>
      </c>
      <c r="G16171">
        <f>LOG(382/(37+1))</f>
        <v>1.0022797662948986</v>
      </c>
      <c r="H16171">
        <f>0.0101010101010101*2.30783444888018</f>
        <v>2.3311459079597776E-2</v>
      </c>
      <c r="I16171">
        <v>2.331145907959787E-2</v>
      </c>
    </row>
    <row r="16172" spans="1:9" x14ac:dyDescent="0.25">
      <c r="A16172">
        <v>519</v>
      </c>
      <c r="B16172" t="s">
        <v>4213</v>
      </c>
      <c r="C16172" t="s">
        <v>75</v>
      </c>
      <c r="D16172" t="s">
        <v>324</v>
      </c>
      <c r="E16172">
        <f t="shared" si="760"/>
        <v>1.0101010101010102E-2</v>
      </c>
      <c r="F16172">
        <v>82</v>
      </c>
      <c r="G16172">
        <f>LOG(382/(82+1))</f>
        <v>0.66298527053563483</v>
      </c>
      <c r="H16172">
        <f>0.0101010101010101*1.52658000080997</f>
        <v>1.5420000008181512E-2</v>
      </c>
      <c r="I16172">
        <v>1.5420000008181591E-2</v>
      </c>
    </row>
    <row r="16173" spans="1:9" x14ac:dyDescent="0.25">
      <c r="A16173">
        <v>519</v>
      </c>
      <c r="B16173" t="s">
        <v>4213</v>
      </c>
      <c r="C16173" t="s">
        <v>75</v>
      </c>
      <c r="D16173" t="s">
        <v>243</v>
      </c>
      <c r="E16173">
        <f t="shared" si="760"/>
        <v>1.0101010101010102E-2</v>
      </c>
      <c r="F16173">
        <v>131</v>
      </c>
      <c r="G16173">
        <f>LOG(382/(131+1))</f>
        <v>0.46148943170585888</v>
      </c>
      <c r="H16173">
        <f>0.0101010101010101*1.0626186860202</f>
        <v>1.0733522081012121E-2</v>
      </c>
      <c r="I16173">
        <v>1.0733522081012159E-2</v>
      </c>
    </row>
    <row r="16174" spans="1:9" x14ac:dyDescent="0.25">
      <c r="A16174">
        <v>519</v>
      </c>
      <c r="B16174" t="s">
        <v>4213</v>
      </c>
      <c r="C16174" t="s">
        <v>75</v>
      </c>
      <c r="D16174" t="s">
        <v>453</v>
      </c>
      <c r="E16174">
        <f t="shared" si="760"/>
        <v>1.0101010101010102E-2</v>
      </c>
      <c r="F16174">
        <v>68</v>
      </c>
      <c r="G16174">
        <f>LOG(382/(68+1))</f>
        <v>0.74321427217445335</v>
      </c>
      <c r="H16174">
        <f>0.0101010101010101*1.71131410400931</f>
        <v>1.728600105059909E-2</v>
      </c>
      <c r="I16174">
        <v>1.7286001050599149E-2</v>
      </c>
    </row>
    <row r="16175" spans="1:9" x14ac:dyDescent="0.25">
      <c r="A16175">
        <v>519</v>
      </c>
      <c r="B16175" t="s">
        <v>4213</v>
      </c>
      <c r="C16175" t="s">
        <v>75</v>
      </c>
      <c r="D16175" t="s">
        <v>457</v>
      </c>
      <c r="E16175">
        <f t="shared" si="760"/>
        <v>1.0101010101010102E-2</v>
      </c>
      <c r="F16175">
        <v>6</v>
      </c>
      <c r="G16175">
        <f>LOG(382/(6+1))</f>
        <v>1.736965322897452</v>
      </c>
      <c r="H16175">
        <f>0.0101010101010101*3.99951045955126</f>
        <v>4.0399095551022828E-2</v>
      </c>
      <c r="I16175">
        <v>4.0399095551022848E-2</v>
      </c>
    </row>
    <row r="16176" spans="1:9" x14ac:dyDescent="0.25">
      <c r="A16176">
        <v>519</v>
      </c>
      <c r="B16176" t="s">
        <v>4213</v>
      </c>
      <c r="C16176" t="s">
        <v>75</v>
      </c>
      <c r="D16176" t="s">
        <v>4220</v>
      </c>
      <c r="E16176">
        <f t="shared" si="760"/>
        <v>1.0101010101010102E-2</v>
      </c>
      <c r="F16176">
        <v>1</v>
      </c>
      <c r="G16176">
        <f>LOG(382/(1+1))</f>
        <v>2.2810333672477277</v>
      </c>
      <c r="H16176">
        <f>0.0101010101010101*5.25227342804663</f>
        <v>5.3053266949965955E-2</v>
      </c>
      <c r="I16176">
        <v>5.3053266949965962E-2</v>
      </c>
    </row>
    <row r="16177" spans="1:9" x14ac:dyDescent="0.25">
      <c r="A16177">
        <v>519</v>
      </c>
      <c r="B16177" t="s">
        <v>4213</v>
      </c>
      <c r="C16177" t="s">
        <v>75</v>
      </c>
      <c r="D16177" t="s">
        <v>4221</v>
      </c>
      <c r="E16177">
        <f t="shared" si="760"/>
        <v>1.0101010101010102E-2</v>
      </c>
      <c r="F16177">
        <v>1</v>
      </c>
      <c r="G16177">
        <f>LOG(382/(1+1))</f>
        <v>2.2810333672477277</v>
      </c>
      <c r="H16177">
        <f>0.0101010101010101*5.25227342804663</f>
        <v>5.3053266949965955E-2</v>
      </c>
      <c r="I16177">
        <v>5.3053266949965962E-2</v>
      </c>
    </row>
    <row r="16178" spans="1:9" x14ac:dyDescent="0.25">
      <c r="A16178">
        <v>519</v>
      </c>
      <c r="B16178" t="s">
        <v>4213</v>
      </c>
      <c r="C16178" t="s">
        <v>75</v>
      </c>
      <c r="D16178" t="s">
        <v>456</v>
      </c>
      <c r="E16178">
        <f t="shared" si="760"/>
        <v>1.0101010101010102E-2</v>
      </c>
      <c r="F16178">
        <v>71</v>
      </c>
      <c r="G16178">
        <f>LOG(382/(71+1))</f>
        <v>0.72473086648044027</v>
      </c>
      <c r="H16178">
        <f>0.0101010101010101*1.66875448959051</f>
        <v>1.6856105955459694E-2</v>
      </c>
      <c r="I16178">
        <v>1.6856105955459801E-2</v>
      </c>
    </row>
    <row r="16179" spans="1:9" x14ac:dyDescent="0.25">
      <c r="A16179">
        <v>519</v>
      </c>
      <c r="B16179" t="s">
        <v>4213</v>
      </c>
      <c r="C16179" t="s">
        <v>75</v>
      </c>
      <c r="D16179" t="s">
        <v>1779</v>
      </c>
      <c r="E16179">
        <f t="shared" si="760"/>
        <v>1.0101010101010102E-2</v>
      </c>
      <c r="F16179">
        <v>41</v>
      </c>
      <c r="G16179">
        <f>LOG(382/(41+1))</f>
        <v>0.95881407251380824</v>
      </c>
      <c r="H16179">
        <f>0.0101010101010101*2.2077509903232</f>
        <v>2.2300515053769697E-2</v>
      </c>
      <c r="I16179">
        <v>2.230051505376977E-2</v>
      </c>
    </row>
    <row r="16180" spans="1:9" x14ac:dyDescent="0.25">
      <c r="A16180">
        <v>519</v>
      </c>
      <c r="B16180" t="s">
        <v>4213</v>
      </c>
      <c r="C16180" t="s">
        <v>75</v>
      </c>
      <c r="D16180" t="s">
        <v>3956</v>
      </c>
      <c r="E16180">
        <f t="shared" si="760"/>
        <v>1.0101010101010102E-2</v>
      </c>
      <c r="F16180">
        <v>8</v>
      </c>
      <c r="G16180">
        <f>LOG(382/(8+1))</f>
        <v>1.6278208534723839</v>
      </c>
      <c r="H16180">
        <f>0.0101010101010101*3.74819603127035</f>
        <v>3.7860565972427776E-2</v>
      </c>
      <c r="I16180">
        <v>3.7860565972427838E-2</v>
      </c>
    </row>
    <row r="16181" spans="1:9" x14ac:dyDescent="0.25">
      <c r="A16181">
        <v>519</v>
      </c>
      <c r="B16181" t="s">
        <v>4213</v>
      </c>
      <c r="C16181" t="s">
        <v>75</v>
      </c>
      <c r="D16181" t="s">
        <v>4222</v>
      </c>
      <c r="E16181">
        <f t="shared" si="760"/>
        <v>1.0101010101010102E-2</v>
      </c>
      <c r="F16181">
        <v>1</v>
      </c>
      <c r="G16181">
        <f>LOG(382/(1+1))</f>
        <v>2.2810333672477277</v>
      </c>
      <c r="H16181">
        <f>0.0101010101010101*5.25227342804663</f>
        <v>5.3053266949965955E-2</v>
      </c>
      <c r="I16181">
        <v>5.3053266949965962E-2</v>
      </c>
    </row>
    <row r="16182" spans="1:9" x14ac:dyDescent="0.25">
      <c r="A16182">
        <v>519</v>
      </c>
      <c r="B16182" t="s">
        <v>4213</v>
      </c>
      <c r="C16182" t="s">
        <v>75</v>
      </c>
      <c r="D16182" t="s">
        <v>361</v>
      </c>
      <c r="E16182">
        <f>2/99</f>
        <v>2.0202020202020204E-2</v>
      </c>
      <c r="F16182">
        <v>118</v>
      </c>
      <c r="G16182">
        <f>LOG(382/(118+1))</f>
        <v>0.50651640151917798</v>
      </c>
      <c r="H16182">
        <f>0.0202020202020202*1.16629711549504</f>
        <v>2.3561557888788682E-2</v>
      </c>
      <c r="I16182">
        <v>2.356155788878881E-2</v>
      </c>
    </row>
    <row r="16183" spans="1:9" x14ac:dyDescent="0.25">
      <c r="A16183">
        <v>519</v>
      </c>
      <c r="B16183" t="s">
        <v>4213</v>
      </c>
      <c r="C16183" t="s">
        <v>75</v>
      </c>
      <c r="D16183" t="s">
        <v>434</v>
      </c>
      <c r="E16183">
        <f>2/99</f>
        <v>2.0202020202020204E-2</v>
      </c>
      <c r="F16183">
        <v>97</v>
      </c>
      <c r="G16183">
        <f>LOG(382/(97+1))</f>
        <v>0.59083728721921391</v>
      </c>
      <c r="H16183">
        <f>0.0202020202020202*1.360453129936</f>
        <v>2.7483901614868685E-2</v>
      </c>
      <c r="I16183">
        <v>2.7483901614868751E-2</v>
      </c>
    </row>
    <row r="16184" spans="1:9" x14ac:dyDescent="0.25">
      <c r="A16184">
        <v>519</v>
      </c>
      <c r="B16184" t="s">
        <v>4213</v>
      </c>
      <c r="C16184" t="s">
        <v>75</v>
      </c>
      <c r="D16184" t="s">
        <v>671</v>
      </c>
      <c r="E16184">
        <f>1/99</f>
        <v>1.0101010101010102E-2</v>
      </c>
      <c r="F16184">
        <v>10</v>
      </c>
      <c r="G16184">
        <f>LOG(382/(10+1))</f>
        <v>1.5406706777534838</v>
      </c>
      <c r="H16184">
        <f>0.0101010101010101*3.5475253358082</f>
        <v>3.5833589250587876E-2</v>
      </c>
      <c r="I16184">
        <v>3.5833589250587931E-2</v>
      </c>
    </row>
    <row r="16185" spans="1:9" x14ac:dyDescent="0.25">
      <c r="A16185">
        <v>519</v>
      </c>
      <c r="B16185" t="s">
        <v>4213</v>
      </c>
      <c r="C16185" t="s">
        <v>75</v>
      </c>
      <c r="D16185" t="s">
        <v>850</v>
      </c>
      <c r="E16185">
        <f>1/99</f>
        <v>1.0101010101010102E-2</v>
      </c>
      <c r="F16185">
        <v>14</v>
      </c>
      <c r="G16185">
        <f>LOG(382/(14+1))</f>
        <v>1.4059721038560276</v>
      </c>
      <c r="H16185">
        <f>0.0101010101010101*3.23737040750436</f>
        <v>3.2700711186912722E-2</v>
      </c>
      <c r="I16185">
        <v>3.2700711186912777E-2</v>
      </c>
    </row>
    <row r="16186" spans="1:9" x14ac:dyDescent="0.25">
      <c r="A16186">
        <v>519</v>
      </c>
      <c r="B16186" t="s">
        <v>4213</v>
      </c>
      <c r="C16186" t="s">
        <v>75</v>
      </c>
      <c r="D16186" t="s">
        <v>673</v>
      </c>
      <c r="E16186">
        <f>1/99</f>
        <v>1.0101010101010102E-2</v>
      </c>
      <c r="F16186">
        <v>16</v>
      </c>
      <c r="G16186">
        <f>LOG(382/(16+1))</f>
        <v>1.3516144415334348</v>
      </c>
      <c r="H16186">
        <f>0.0101010101010101*3.11220726455035</f>
        <v>3.1436437015660096E-2</v>
      </c>
      <c r="I16186">
        <v>3.1436437015660193E-2</v>
      </c>
    </row>
    <row r="16187" spans="1:9" x14ac:dyDescent="0.25">
      <c r="A16187">
        <v>519</v>
      </c>
      <c r="B16187" t="s">
        <v>4213</v>
      </c>
      <c r="C16187" t="s">
        <v>75</v>
      </c>
      <c r="D16187" t="s">
        <v>214</v>
      </c>
      <c r="E16187">
        <f>1/99</f>
        <v>1.0101010101010102E-2</v>
      </c>
      <c r="F16187">
        <v>68</v>
      </c>
      <c r="G16187">
        <f>LOG(382/(68+1))</f>
        <v>0.74321427217445335</v>
      </c>
      <c r="H16187">
        <f>0.0101010101010101*1.71131410400931</f>
        <v>1.728600105059909E-2</v>
      </c>
      <c r="I16187">
        <v>1.7286001050599149E-2</v>
      </c>
    </row>
    <row r="16188" spans="1:9" x14ac:dyDescent="0.25">
      <c r="A16188">
        <v>520</v>
      </c>
      <c r="B16188" t="s">
        <v>4223</v>
      </c>
      <c r="C16188" t="s">
        <v>138</v>
      </c>
      <c r="D16188" t="s">
        <v>42</v>
      </c>
      <c r="E16188">
        <f>1/64</f>
        <v>1.5625E-2</v>
      </c>
      <c r="F16188">
        <v>251</v>
      </c>
      <c r="G16188">
        <f>LOG(382/(251+1))</f>
        <v>0.18066282213016463</v>
      </c>
      <c r="H16188">
        <f>0.015625*0.415991521095151</f>
        <v>6.499867517111734E-3</v>
      </c>
      <c r="I16188">
        <v>6.4998675171117478E-3</v>
      </c>
    </row>
    <row r="16189" spans="1:9" x14ac:dyDescent="0.25">
      <c r="A16189">
        <v>520</v>
      </c>
      <c r="B16189" t="s">
        <v>4223</v>
      </c>
      <c r="C16189" t="s">
        <v>138</v>
      </c>
      <c r="D16189" t="s">
        <v>44</v>
      </c>
      <c r="E16189">
        <f>3/64</f>
        <v>4.6875E-2</v>
      </c>
      <c r="F16189">
        <v>151</v>
      </c>
      <c r="G16189">
        <f>LOG(382/(151+1))</f>
        <v>0.40021977496693617</v>
      </c>
      <c r="H16189">
        <f>0.046875*0.921540087760298</f>
        <v>4.3197191613763973E-2</v>
      </c>
      <c r="I16189">
        <v>4.3197191613764001E-2</v>
      </c>
    </row>
    <row r="16190" spans="1:9" x14ac:dyDescent="0.25">
      <c r="A16190">
        <v>520</v>
      </c>
      <c r="B16190" t="s">
        <v>4223</v>
      </c>
      <c r="C16190" t="s">
        <v>138</v>
      </c>
      <c r="D16190" t="s">
        <v>725</v>
      </c>
      <c r="E16190">
        <f>1/64</f>
        <v>1.5625E-2</v>
      </c>
      <c r="F16190">
        <v>12</v>
      </c>
      <c r="G16190">
        <f>LOG(382/(12+1))</f>
        <v>1.468120010604872</v>
      </c>
      <c r="H16190">
        <f>0.015625*3.38047125114503</f>
        <v>5.2819863299141095E-2</v>
      </c>
      <c r="I16190">
        <v>5.2819863299141227E-2</v>
      </c>
    </row>
    <row r="16191" spans="1:9" x14ac:dyDescent="0.25">
      <c r="A16191">
        <v>520</v>
      </c>
      <c r="B16191" t="s">
        <v>4223</v>
      </c>
      <c r="C16191" t="s">
        <v>138</v>
      </c>
      <c r="D16191" t="s">
        <v>4224</v>
      </c>
      <c r="E16191">
        <f>2/64</f>
        <v>3.125E-2</v>
      </c>
      <c r="F16191">
        <v>1</v>
      </c>
      <c r="G16191">
        <f>LOG(382/(1+1))</f>
        <v>2.2810333672477277</v>
      </c>
      <c r="H16191">
        <f>0.03125*5.25227342804663</f>
        <v>0.16413354462645718</v>
      </c>
      <c r="I16191">
        <v>0.16413354462645721</v>
      </c>
    </row>
    <row r="16192" spans="1:9" x14ac:dyDescent="0.25">
      <c r="A16192">
        <v>520</v>
      </c>
      <c r="B16192" t="s">
        <v>4223</v>
      </c>
      <c r="C16192" t="s">
        <v>138</v>
      </c>
      <c r="D16192" t="s">
        <v>744</v>
      </c>
      <c r="E16192">
        <f>2/64</f>
        <v>3.125E-2</v>
      </c>
      <c r="F16192">
        <v>28</v>
      </c>
      <c r="G16192">
        <f>LOG(382/(28+1))</f>
        <v>1.1196653650127526</v>
      </c>
      <c r="H16192">
        <f>0.03125*2.5781247786201</f>
        <v>8.0566399331878119E-2</v>
      </c>
      <c r="I16192">
        <v>8.0566399331878161E-2</v>
      </c>
    </row>
    <row r="16193" spans="1:9" x14ac:dyDescent="0.25">
      <c r="A16193">
        <v>520</v>
      </c>
      <c r="B16193" t="s">
        <v>4223</v>
      </c>
      <c r="C16193" t="s">
        <v>138</v>
      </c>
      <c r="D16193" t="s">
        <v>333</v>
      </c>
      <c r="E16193">
        <f>1/64</f>
        <v>1.5625E-2</v>
      </c>
      <c r="F16193">
        <v>9</v>
      </c>
      <c r="G16193">
        <f>LOG(382/(9+1))</f>
        <v>1.5820633629117087</v>
      </c>
      <c r="H16193">
        <f>0.015625*3.64283551561252</f>
        <v>5.6919304931445626E-2</v>
      </c>
      <c r="I16193">
        <v>5.6919304931445772E-2</v>
      </c>
    </row>
    <row r="16194" spans="1:9" x14ac:dyDescent="0.25">
      <c r="A16194">
        <v>520</v>
      </c>
      <c r="B16194" t="s">
        <v>4223</v>
      </c>
      <c r="C16194" t="s">
        <v>138</v>
      </c>
      <c r="D16194" t="s">
        <v>34</v>
      </c>
      <c r="E16194">
        <f>1/64</f>
        <v>1.5625E-2</v>
      </c>
      <c r="F16194">
        <v>11</v>
      </c>
      <c r="G16194">
        <f>LOG(382/(11+1))</f>
        <v>1.5028821168640838</v>
      </c>
      <c r="H16194">
        <f>0.015625*3.46051395881857</f>
        <v>5.4070530606540157E-2</v>
      </c>
      <c r="I16194">
        <v>5.4070530606540233E-2</v>
      </c>
    </row>
    <row r="16195" spans="1:9" x14ac:dyDescent="0.25">
      <c r="A16195">
        <v>520</v>
      </c>
      <c r="B16195" t="s">
        <v>4223</v>
      </c>
      <c r="C16195" t="s">
        <v>138</v>
      </c>
      <c r="D16195" t="s">
        <v>720</v>
      </c>
      <c r="E16195">
        <f>1/64</f>
        <v>1.5625E-2</v>
      </c>
      <c r="F16195">
        <v>9</v>
      </c>
      <c r="G16195">
        <f>LOG(382/(9+1))</f>
        <v>1.5820633629117087</v>
      </c>
      <c r="H16195">
        <f>0.015625*3.64283551561252</f>
        <v>5.6919304931445626E-2</v>
      </c>
      <c r="I16195">
        <v>5.6919304931445772E-2</v>
      </c>
    </row>
    <row r="16196" spans="1:9" x14ac:dyDescent="0.25">
      <c r="A16196">
        <v>520</v>
      </c>
      <c r="B16196" t="s">
        <v>4223</v>
      </c>
      <c r="C16196" t="s">
        <v>138</v>
      </c>
      <c r="D16196" t="s">
        <v>4225</v>
      </c>
      <c r="E16196">
        <f>1/64</f>
        <v>1.5625E-2</v>
      </c>
      <c r="F16196">
        <v>2</v>
      </c>
      <c r="G16196">
        <f>LOG(382/(2+1))</f>
        <v>2.1049421081920463</v>
      </c>
      <c r="H16196">
        <f>0.015625*4.84680831993846</f>
        <v>7.5731379999038437E-2</v>
      </c>
      <c r="I16196">
        <v>7.573137999903852E-2</v>
      </c>
    </row>
    <row r="16197" spans="1:9" x14ac:dyDescent="0.25">
      <c r="A16197">
        <v>520</v>
      </c>
      <c r="B16197" t="s">
        <v>4223</v>
      </c>
      <c r="C16197" t="s">
        <v>138</v>
      </c>
      <c r="D16197" t="s">
        <v>204</v>
      </c>
      <c r="E16197">
        <f>2/64</f>
        <v>3.125E-2</v>
      </c>
      <c r="F16197">
        <v>166</v>
      </c>
      <c r="G16197">
        <f>LOG(382/(166+1))</f>
        <v>0.35934689176412549</v>
      </c>
      <c r="H16197">
        <f>0.03125*0.82742679618982</f>
        <v>2.5857087380931874E-2</v>
      </c>
      <c r="I16197">
        <v>2.5857087380931881E-2</v>
      </c>
    </row>
    <row r="16198" spans="1:9" x14ac:dyDescent="0.25">
      <c r="A16198">
        <v>520</v>
      </c>
      <c r="B16198" t="s">
        <v>4223</v>
      </c>
      <c r="C16198" t="s">
        <v>138</v>
      </c>
      <c r="D16198" t="s">
        <v>322</v>
      </c>
      <c r="E16198">
        <f>3/64</f>
        <v>4.6875E-2</v>
      </c>
      <c r="F16198">
        <v>128</v>
      </c>
      <c r="G16198">
        <f>LOG(382/(128+1))</f>
        <v>0.47147365261245977</v>
      </c>
      <c r="H16198">
        <f>0.046875*1.0856082042449</f>
        <v>5.0887884573979691E-2</v>
      </c>
      <c r="I16198">
        <v>5.088788457397983E-2</v>
      </c>
    </row>
    <row r="16199" spans="1:9" x14ac:dyDescent="0.25">
      <c r="A16199">
        <v>520</v>
      </c>
      <c r="B16199" t="s">
        <v>4223</v>
      </c>
      <c r="C16199" t="s">
        <v>138</v>
      </c>
      <c r="D16199" t="s">
        <v>331</v>
      </c>
      <c r="E16199">
        <f>1/64</f>
        <v>1.5625E-2</v>
      </c>
      <c r="F16199">
        <v>130</v>
      </c>
      <c r="G16199">
        <f>LOG(382/(130+1))</f>
        <v>0.46479206725594452</v>
      </c>
      <c r="H16199">
        <f>0.015625*1.07022328540542</f>
        <v>1.6722238834459689E-2</v>
      </c>
      <c r="I16199">
        <v>1.6722238834459741E-2</v>
      </c>
    </row>
    <row r="16200" spans="1:9" x14ac:dyDescent="0.25">
      <c r="A16200">
        <v>520</v>
      </c>
      <c r="B16200" t="s">
        <v>4223</v>
      </c>
      <c r="C16200" t="s">
        <v>138</v>
      </c>
      <c r="D16200" t="s">
        <v>767</v>
      </c>
      <c r="E16200">
        <f>4/64</f>
        <v>6.25E-2</v>
      </c>
      <c r="F16200">
        <v>47</v>
      </c>
      <c r="G16200">
        <f>LOG(382/(47+1))</f>
        <v>0.90082212553612151</v>
      </c>
      <c r="H16200">
        <f>0.0625*2.07421959769868</f>
        <v>0.12963872485616751</v>
      </c>
      <c r="I16200">
        <v>0.12963872485616779</v>
      </c>
    </row>
    <row r="16201" spans="1:9" x14ac:dyDescent="0.25">
      <c r="A16201">
        <v>520</v>
      </c>
      <c r="B16201" t="s">
        <v>4223</v>
      </c>
      <c r="C16201" t="s">
        <v>138</v>
      </c>
      <c r="D16201" t="s">
        <v>763</v>
      </c>
      <c r="E16201">
        <f t="shared" ref="E16201:E16210" si="761">1/64</f>
        <v>1.5625E-2</v>
      </c>
      <c r="F16201">
        <v>47</v>
      </c>
      <c r="G16201">
        <f>LOG(382/(47+1))</f>
        <v>0.90082212553612151</v>
      </c>
      <c r="H16201">
        <f>0.015625*2.07421959769868</f>
        <v>3.2409681214041877E-2</v>
      </c>
      <c r="I16201">
        <v>3.240968121404194E-2</v>
      </c>
    </row>
    <row r="16202" spans="1:9" x14ac:dyDescent="0.25">
      <c r="A16202">
        <v>520</v>
      </c>
      <c r="B16202" t="s">
        <v>4223</v>
      </c>
      <c r="C16202" t="s">
        <v>138</v>
      </c>
      <c r="D16202" t="s">
        <v>573</v>
      </c>
      <c r="E16202">
        <f t="shared" si="761"/>
        <v>1.5625E-2</v>
      </c>
      <c r="F16202">
        <v>14</v>
      </c>
      <c r="G16202">
        <f>LOG(382/(14+1))</f>
        <v>1.4059721038560276</v>
      </c>
      <c r="H16202">
        <f>0.015625*3.23737040750436</f>
        <v>5.0583912617255623E-2</v>
      </c>
      <c r="I16202">
        <v>5.0583912617255707E-2</v>
      </c>
    </row>
    <row r="16203" spans="1:9" x14ac:dyDescent="0.25">
      <c r="A16203">
        <v>520</v>
      </c>
      <c r="B16203" t="s">
        <v>4223</v>
      </c>
      <c r="C16203" t="s">
        <v>138</v>
      </c>
      <c r="D16203" t="s">
        <v>4226</v>
      </c>
      <c r="E16203">
        <f t="shared" si="761"/>
        <v>1.5625E-2</v>
      </c>
      <c r="F16203">
        <v>1</v>
      </c>
      <c r="G16203">
        <f>LOG(382/(1+1))</f>
        <v>2.2810333672477277</v>
      </c>
      <c r="H16203">
        <f>0.015625*5.25227342804663</f>
        <v>8.2066772313228592E-2</v>
      </c>
      <c r="I16203">
        <v>8.2066772313228592E-2</v>
      </c>
    </row>
    <row r="16204" spans="1:9" x14ac:dyDescent="0.25">
      <c r="A16204">
        <v>520</v>
      </c>
      <c r="B16204" t="s">
        <v>4223</v>
      </c>
      <c r="C16204" t="s">
        <v>138</v>
      </c>
      <c r="D16204" t="s">
        <v>2035</v>
      </c>
      <c r="E16204">
        <f t="shared" si="761"/>
        <v>1.5625E-2</v>
      </c>
      <c r="F16204">
        <v>13</v>
      </c>
      <c r="G16204">
        <f>LOG(382/(13+1))</f>
        <v>1.4359353272334707</v>
      </c>
      <c r="H16204">
        <f>0.015625*3.30636327899131</f>
        <v>5.1661926234239222E-2</v>
      </c>
      <c r="I16204">
        <v>5.1661926234239319E-2</v>
      </c>
    </row>
    <row r="16205" spans="1:9" x14ac:dyDescent="0.25">
      <c r="A16205">
        <v>520</v>
      </c>
      <c r="B16205" t="s">
        <v>4223</v>
      </c>
      <c r="C16205" t="s">
        <v>138</v>
      </c>
      <c r="D16205" t="s">
        <v>361</v>
      </c>
      <c r="E16205">
        <f t="shared" si="761"/>
        <v>1.5625E-2</v>
      </c>
      <c r="F16205">
        <v>118</v>
      </c>
      <c r="G16205">
        <f>LOG(382/(118+1))</f>
        <v>0.50651640151917798</v>
      </c>
      <c r="H16205">
        <f>0.015625*1.16629711549504</f>
        <v>1.8223392429609998E-2</v>
      </c>
      <c r="I16205">
        <v>1.8223392429610089E-2</v>
      </c>
    </row>
    <row r="16206" spans="1:9" x14ac:dyDescent="0.25">
      <c r="A16206">
        <v>520</v>
      </c>
      <c r="B16206" t="s">
        <v>4223</v>
      </c>
      <c r="C16206" t="s">
        <v>138</v>
      </c>
      <c r="D16206" t="s">
        <v>1784</v>
      </c>
      <c r="E16206">
        <f t="shared" si="761"/>
        <v>1.5625E-2</v>
      </c>
      <c r="F16206">
        <v>6</v>
      </c>
      <c r="G16206">
        <f>LOG(382/(6+1))</f>
        <v>1.736965322897452</v>
      </c>
      <c r="H16206">
        <f>0.015625*3.99951045955126</f>
        <v>6.2492350930488438E-2</v>
      </c>
      <c r="I16206">
        <v>6.2492350930488473E-2</v>
      </c>
    </row>
    <row r="16207" spans="1:9" x14ac:dyDescent="0.25">
      <c r="A16207">
        <v>520</v>
      </c>
      <c r="B16207" t="s">
        <v>4223</v>
      </c>
      <c r="C16207" t="s">
        <v>138</v>
      </c>
      <c r="D16207" t="s">
        <v>4227</v>
      </c>
      <c r="E16207">
        <f t="shared" si="761"/>
        <v>1.5625E-2</v>
      </c>
      <c r="F16207">
        <v>1</v>
      </c>
      <c r="G16207">
        <f>LOG(382/(1+1))</f>
        <v>2.2810333672477277</v>
      </c>
      <c r="H16207">
        <f>0.015625*5.25227342804663</f>
        <v>8.2066772313228592E-2</v>
      </c>
      <c r="I16207">
        <v>8.2066772313228592E-2</v>
      </c>
    </row>
    <row r="16208" spans="1:9" x14ac:dyDescent="0.25">
      <c r="A16208">
        <v>520</v>
      </c>
      <c r="B16208" t="s">
        <v>4223</v>
      </c>
      <c r="C16208" t="s">
        <v>138</v>
      </c>
      <c r="D16208" t="s">
        <v>1752</v>
      </c>
      <c r="E16208">
        <f t="shared" si="761"/>
        <v>1.5625E-2</v>
      </c>
      <c r="F16208">
        <v>2</v>
      </c>
      <c r="G16208">
        <f>LOG(382/(2+1))</f>
        <v>2.1049421081920463</v>
      </c>
      <c r="H16208">
        <f>0.015625*4.84680831993846</f>
        <v>7.5731379999038437E-2</v>
      </c>
      <c r="I16208">
        <v>7.573137999903852E-2</v>
      </c>
    </row>
    <row r="16209" spans="1:9" x14ac:dyDescent="0.25">
      <c r="A16209">
        <v>520</v>
      </c>
      <c r="B16209" t="s">
        <v>4223</v>
      </c>
      <c r="C16209" t="s">
        <v>138</v>
      </c>
      <c r="D16209" t="s">
        <v>444</v>
      </c>
      <c r="E16209">
        <f t="shared" si="761"/>
        <v>1.5625E-2</v>
      </c>
      <c r="F16209">
        <v>28</v>
      </c>
      <c r="G16209">
        <f>LOG(382/(28+1))</f>
        <v>1.1196653650127526</v>
      </c>
      <c r="H16209">
        <f>0.015625*2.5781247786201</f>
        <v>4.028319966593906E-2</v>
      </c>
      <c r="I16209">
        <v>4.028319966593908E-2</v>
      </c>
    </row>
    <row r="16210" spans="1:9" x14ac:dyDescent="0.25">
      <c r="A16210">
        <v>520</v>
      </c>
      <c r="B16210" t="s">
        <v>4223</v>
      </c>
      <c r="C16210" t="s">
        <v>138</v>
      </c>
      <c r="D16210" t="s">
        <v>81</v>
      </c>
      <c r="E16210">
        <f t="shared" si="761"/>
        <v>1.5625E-2</v>
      </c>
      <c r="F16210">
        <v>114</v>
      </c>
      <c r="G16210">
        <f>LOG(382/(114+1))</f>
        <v>0.52136552255809698</v>
      </c>
      <c r="H16210">
        <f>0.015625*1.20048848024332</f>
        <v>1.8757632503801875E-2</v>
      </c>
      <c r="I16210">
        <v>1.8757632503801951E-2</v>
      </c>
    </row>
    <row r="16211" spans="1:9" x14ac:dyDescent="0.25">
      <c r="A16211">
        <v>520</v>
      </c>
      <c r="B16211" t="s">
        <v>4223</v>
      </c>
      <c r="C16211" t="s">
        <v>138</v>
      </c>
      <c r="D16211" t="s">
        <v>133</v>
      </c>
      <c r="E16211">
        <f>2/64</f>
        <v>3.125E-2</v>
      </c>
      <c r="F16211">
        <v>142</v>
      </c>
      <c r="G16211">
        <f>LOG(382/(142+1))</f>
        <v>0.42672732544664693</v>
      </c>
      <c r="H16211">
        <f>0.03125*0.982575978346667</f>
        <v>3.0705499323333343E-2</v>
      </c>
      <c r="I16211">
        <v>3.0705499323333371E-2</v>
      </c>
    </row>
    <row r="16212" spans="1:9" x14ac:dyDescent="0.25">
      <c r="A16212">
        <v>520</v>
      </c>
      <c r="B16212" t="s">
        <v>4223</v>
      </c>
      <c r="C16212" t="s">
        <v>138</v>
      </c>
      <c r="D16212" t="s">
        <v>762</v>
      </c>
      <c r="E16212">
        <f>3/64</f>
        <v>4.6875E-2</v>
      </c>
      <c r="F16212">
        <v>29</v>
      </c>
      <c r="G16212">
        <f>LOG(382/(29+1))</f>
        <v>1.1049421081920463</v>
      </c>
      <c r="H16212">
        <f>0.046875*2.54422322694442</f>
        <v>0.11926046376301969</v>
      </c>
      <c r="I16212">
        <v>0.1192604637630197</v>
      </c>
    </row>
    <row r="16213" spans="1:9" x14ac:dyDescent="0.25">
      <c r="A16213">
        <v>520</v>
      </c>
      <c r="B16213" t="s">
        <v>4223</v>
      </c>
      <c r="C16213" t="s">
        <v>138</v>
      </c>
      <c r="D16213" t="s">
        <v>338</v>
      </c>
      <c r="E16213">
        <f>1/64</f>
        <v>1.5625E-2</v>
      </c>
      <c r="F16213">
        <v>54</v>
      </c>
      <c r="G16213">
        <f>LOG(382/(54+1))</f>
        <v>0.84170067341746491</v>
      </c>
      <c r="H16213">
        <f>0.015625*1.9380874233741</f>
        <v>3.0282615990220311E-2</v>
      </c>
      <c r="I16213">
        <v>3.028261599022038E-2</v>
      </c>
    </row>
    <row r="16214" spans="1:9" x14ac:dyDescent="0.25">
      <c r="A16214">
        <v>520</v>
      </c>
      <c r="B16214" t="s">
        <v>4223</v>
      </c>
      <c r="C16214" t="s">
        <v>138</v>
      </c>
      <c r="D16214" t="s">
        <v>776</v>
      </c>
      <c r="E16214">
        <f>1/64</f>
        <v>1.5625E-2</v>
      </c>
      <c r="F16214">
        <v>15</v>
      </c>
      <c r="G16214">
        <f>LOG(382/(15+1))</f>
        <v>1.3779433802557839</v>
      </c>
      <c r="H16214">
        <f>0.015625*3.17283188636679</f>
        <v>4.9575498224481096E-2</v>
      </c>
      <c r="I16214">
        <v>4.9575498224481158E-2</v>
      </c>
    </row>
    <row r="16215" spans="1:9" x14ac:dyDescent="0.25">
      <c r="A16215">
        <v>520</v>
      </c>
      <c r="B16215" t="s">
        <v>4223</v>
      </c>
      <c r="C16215" t="s">
        <v>138</v>
      </c>
      <c r="D16215" t="s">
        <v>1727</v>
      </c>
      <c r="E16215">
        <f>1/64</f>
        <v>1.5625E-2</v>
      </c>
      <c r="F16215">
        <v>27</v>
      </c>
      <c r="G16215">
        <f>LOG(382/(27+1))</f>
        <v>1.1349053315694895</v>
      </c>
      <c r="H16215">
        <f>0.015625*2.61321609843137</f>
        <v>4.0831501537990159E-2</v>
      </c>
      <c r="I16215">
        <v>4.0831501537990172E-2</v>
      </c>
    </row>
    <row r="16216" spans="1:9" x14ac:dyDescent="0.25">
      <c r="A16216">
        <v>520</v>
      </c>
      <c r="B16216" t="s">
        <v>4223</v>
      </c>
      <c r="C16216" t="s">
        <v>138</v>
      </c>
      <c r="D16216" t="s">
        <v>754</v>
      </c>
      <c r="E16216">
        <f>2/64</f>
        <v>3.125E-2</v>
      </c>
      <c r="F16216">
        <v>111</v>
      </c>
      <c r="G16216">
        <f>LOG(382/(111+1))</f>
        <v>0.53284534024152708</v>
      </c>
      <c r="H16216">
        <f>0.03125*1.22692173731148</f>
        <v>3.8341304290983751E-2</v>
      </c>
      <c r="I16216">
        <v>3.8341304290983771E-2</v>
      </c>
    </row>
    <row r="16217" spans="1:9" x14ac:dyDescent="0.25">
      <c r="A16217">
        <v>520</v>
      </c>
      <c r="B16217" t="s">
        <v>4223</v>
      </c>
      <c r="C16217" t="s">
        <v>138</v>
      </c>
      <c r="D16217" t="s">
        <v>1402</v>
      </c>
      <c r="E16217">
        <f t="shared" ref="E16217:E16227" si="762">1/64</f>
        <v>1.5625E-2</v>
      </c>
      <c r="F16217">
        <v>2</v>
      </c>
      <c r="G16217">
        <f>LOG(382/(2+1))</f>
        <v>2.1049421081920463</v>
      </c>
      <c r="H16217">
        <f>0.015625*4.84680831993846</f>
        <v>7.5731379999038437E-2</v>
      </c>
      <c r="I16217">
        <v>7.573137999903852E-2</v>
      </c>
    </row>
    <row r="16218" spans="1:9" x14ac:dyDescent="0.25">
      <c r="A16218">
        <v>520</v>
      </c>
      <c r="B16218" t="s">
        <v>4223</v>
      </c>
      <c r="C16218" t="s">
        <v>138</v>
      </c>
      <c r="D16218" t="s">
        <v>283</v>
      </c>
      <c r="E16218">
        <f t="shared" si="762"/>
        <v>1.5625E-2</v>
      </c>
      <c r="F16218">
        <v>16</v>
      </c>
      <c r="G16218">
        <f>LOG(382/(16+1))</f>
        <v>1.3516144415334348</v>
      </c>
      <c r="H16218">
        <f>0.015625*3.11220726455035</f>
        <v>4.8628238508599216E-2</v>
      </c>
      <c r="I16218">
        <v>4.8628238508599361E-2</v>
      </c>
    </row>
    <row r="16219" spans="1:9" x14ac:dyDescent="0.25">
      <c r="A16219">
        <v>520</v>
      </c>
      <c r="B16219" t="s">
        <v>4223</v>
      </c>
      <c r="C16219" t="s">
        <v>138</v>
      </c>
      <c r="D16219" t="s">
        <v>4228</v>
      </c>
      <c r="E16219">
        <f t="shared" si="762"/>
        <v>1.5625E-2</v>
      </c>
      <c r="F16219">
        <v>1</v>
      </c>
      <c r="G16219">
        <f>LOG(382/(1+1))</f>
        <v>2.2810333672477277</v>
      </c>
      <c r="H16219">
        <f>0.015625*5.25227342804663</f>
        <v>8.2066772313228592E-2</v>
      </c>
      <c r="I16219">
        <v>8.2066772313228592E-2</v>
      </c>
    </row>
    <row r="16220" spans="1:9" x14ac:dyDescent="0.25">
      <c r="A16220">
        <v>520</v>
      </c>
      <c r="B16220" t="s">
        <v>4223</v>
      </c>
      <c r="C16220" t="s">
        <v>138</v>
      </c>
      <c r="D16220" t="s">
        <v>4229</v>
      </c>
      <c r="E16220">
        <f t="shared" si="762"/>
        <v>1.5625E-2</v>
      </c>
      <c r="F16220">
        <v>3</v>
      </c>
      <c r="G16220">
        <f>LOG(382/(3+1))</f>
        <v>1.9800033715837464</v>
      </c>
      <c r="H16220">
        <f>0.015625*4.55912624748668</f>
        <v>7.1236347616979376E-2</v>
      </c>
      <c r="I16220">
        <v>7.1236347616979445E-2</v>
      </c>
    </row>
    <row r="16221" spans="1:9" x14ac:dyDescent="0.25">
      <c r="A16221">
        <v>520</v>
      </c>
      <c r="B16221" t="s">
        <v>4223</v>
      </c>
      <c r="C16221" t="s">
        <v>138</v>
      </c>
      <c r="D16221" t="s">
        <v>60</v>
      </c>
      <c r="E16221">
        <f t="shared" si="762"/>
        <v>1.5625E-2</v>
      </c>
      <c r="F16221">
        <v>24</v>
      </c>
      <c r="G16221">
        <f>LOG(382/(24+1))</f>
        <v>1.1841233542396712</v>
      </c>
      <c r="H16221">
        <f>0.015625*2.72654478373837</f>
        <v>4.2602262245912029E-2</v>
      </c>
      <c r="I16221">
        <v>4.2602262245912098E-2</v>
      </c>
    </row>
    <row r="16222" spans="1:9" x14ac:dyDescent="0.25">
      <c r="A16222">
        <v>520</v>
      </c>
      <c r="B16222" t="s">
        <v>4223</v>
      </c>
      <c r="C16222" t="s">
        <v>138</v>
      </c>
      <c r="D16222" t="s">
        <v>436</v>
      </c>
      <c r="E16222">
        <f t="shared" si="762"/>
        <v>1.5625E-2</v>
      </c>
      <c r="F16222">
        <v>20</v>
      </c>
      <c r="G16222">
        <f>LOG(382/(20+1))</f>
        <v>1.2598440681777894</v>
      </c>
      <c r="H16222">
        <f>0.015625*2.90089817088315</f>
        <v>4.532653392004922E-2</v>
      </c>
      <c r="I16222">
        <v>4.5326533920049247E-2</v>
      </c>
    </row>
    <row r="16223" spans="1:9" x14ac:dyDescent="0.25">
      <c r="A16223">
        <v>520</v>
      </c>
      <c r="B16223" t="s">
        <v>4223</v>
      </c>
      <c r="C16223" t="s">
        <v>138</v>
      </c>
      <c r="D16223" t="s">
        <v>3293</v>
      </c>
      <c r="E16223">
        <f t="shared" si="762"/>
        <v>1.5625E-2</v>
      </c>
      <c r="F16223">
        <v>6</v>
      </c>
      <c r="G16223">
        <f>LOG(382/(6+1))</f>
        <v>1.736965322897452</v>
      </c>
      <c r="H16223">
        <f>0.015625*3.99951045955126</f>
        <v>6.2492350930488438E-2</v>
      </c>
      <c r="I16223">
        <v>6.2492350930488473E-2</v>
      </c>
    </row>
    <row r="16224" spans="1:9" x14ac:dyDescent="0.25">
      <c r="A16224">
        <v>520</v>
      </c>
      <c r="B16224" t="s">
        <v>4223</v>
      </c>
      <c r="C16224" t="s">
        <v>138</v>
      </c>
      <c r="D16224" t="s">
        <v>1264</v>
      </c>
      <c r="E16224">
        <f t="shared" si="762"/>
        <v>1.5625E-2</v>
      </c>
      <c r="F16224">
        <v>5</v>
      </c>
      <c r="G16224">
        <f>LOG(382/(5+1))</f>
        <v>1.803912112528065</v>
      </c>
      <c r="H16224">
        <f>0.015625*4.15366113937852</f>
        <v>6.4900955302789373E-2</v>
      </c>
      <c r="I16224">
        <v>6.4900955302789373E-2</v>
      </c>
    </row>
    <row r="16225" spans="1:9" x14ac:dyDescent="0.25">
      <c r="A16225">
        <v>520</v>
      </c>
      <c r="B16225" t="s">
        <v>4223</v>
      </c>
      <c r="C16225" t="s">
        <v>138</v>
      </c>
      <c r="D16225" t="s">
        <v>315</v>
      </c>
      <c r="E16225">
        <f t="shared" si="762"/>
        <v>1.5625E-2</v>
      </c>
      <c r="F16225">
        <v>55</v>
      </c>
      <c r="G16225">
        <f>LOG(382/(55+1))</f>
        <v>0.83387533590550833</v>
      </c>
      <c r="H16225">
        <f>0.015625*1.92006891787142</f>
        <v>3.0001076841740939E-2</v>
      </c>
      <c r="I16225">
        <v>3.0001076841741029E-2</v>
      </c>
    </row>
    <row r="16226" spans="1:9" x14ac:dyDescent="0.25">
      <c r="A16226">
        <v>520</v>
      </c>
      <c r="B16226" t="s">
        <v>4223</v>
      </c>
      <c r="C16226" t="s">
        <v>138</v>
      </c>
      <c r="D16226" t="s">
        <v>597</v>
      </c>
      <c r="E16226">
        <f t="shared" si="762"/>
        <v>1.5625E-2</v>
      </c>
      <c r="F16226">
        <v>51</v>
      </c>
      <c r="G16226">
        <f>LOG(382/(51+1))</f>
        <v>0.86606001927690957</v>
      </c>
      <c r="H16226">
        <f>0.015625*1.99417689002514</f>
        <v>3.1159013906642812E-2</v>
      </c>
      <c r="I16226">
        <v>3.115901390664293E-2</v>
      </c>
    </row>
    <row r="16227" spans="1:9" x14ac:dyDescent="0.25">
      <c r="A16227">
        <v>520</v>
      </c>
      <c r="B16227" t="s">
        <v>4223</v>
      </c>
      <c r="C16227" t="s">
        <v>138</v>
      </c>
      <c r="D16227" t="s">
        <v>1952</v>
      </c>
      <c r="E16227">
        <f t="shared" si="762"/>
        <v>1.5625E-2</v>
      </c>
      <c r="F16227">
        <v>8</v>
      </c>
      <c r="G16227">
        <f>LOG(382/(8+1))</f>
        <v>1.6278208534723839</v>
      </c>
      <c r="H16227">
        <f>0.015625*3.74819603127035</f>
        <v>5.8565562988599218E-2</v>
      </c>
      <c r="I16227">
        <v>5.8565562988599308E-2</v>
      </c>
    </row>
    <row r="16228" spans="1:9" x14ac:dyDescent="0.25">
      <c r="A16228">
        <v>520</v>
      </c>
      <c r="B16228" t="s">
        <v>4223</v>
      </c>
      <c r="C16228" t="s">
        <v>138</v>
      </c>
      <c r="D16228" t="s">
        <v>2468</v>
      </c>
      <c r="E16228">
        <f>2/64</f>
        <v>3.125E-2</v>
      </c>
      <c r="F16228">
        <v>7</v>
      </c>
      <c r="G16228">
        <f>LOG(382/(7+1))</f>
        <v>1.6789733759197651</v>
      </c>
      <c r="H16228">
        <f>0.03125*3.86597906692673</f>
        <v>0.12081184584146032</v>
      </c>
      <c r="I16228">
        <v>0.1208118458414606</v>
      </c>
    </row>
    <row r="16229" spans="1:9" x14ac:dyDescent="0.25">
      <c r="A16229">
        <v>520</v>
      </c>
      <c r="B16229" t="s">
        <v>4223</v>
      </c>
      <c r="C16229" t="s">
        <v>138</v>
      </c>
      <c r="D16229" t="s">
        <v>11</v>
      </c>
      <c r="E16229">
        <f>2/64</f>
        <v>3.125E-2</v>
      </c>
      <c r="F16229">
        <v>83</v>
      </c>
      <c r="G16229">
        <f>LOG(382/(83+1))</f>
        <v>0.65778407684982709</v>
      </c>
      <c r="H16229">
        <f>0.03125*1.51460380976326</f>
        <v>4.7331369055101873E-2</v>
      </c>
      <c r="I16229">
        <v>4.7331369055101921E-2</v>
      </c>
    </row>
    <row r="16230" spans="1:9" x14ac:dyDescent="0.25">
      <c r="A16230">
        <v>520</v>
      </c>
      <c r="B16230" t="s">
        <v>4223</v>
      </c>
      <c r="C16230" t="s">
        <v>138</v>
      </c>
      <c r="D16230" t="s">
        <v>4230</v>
      </c>
      <c r="E16230">
        <f t="shared" ref="E16230:E16235" si="763">1/64</f>
        <v>1.5625E-2</v>
      </c>
      <c r="F16230">
        <v>2</v>
      </c>
      <c r="G16230">
        <f>LOG(382/(2+1))</f>
        <v>2.1049421081920463</v>
      </c>
      <c r="H16230">
        <f>0.015625*4.84680831993846</f>
        <v>7.5731379999038437E-2</v>
      </c>
      <c r="I16230">
        <v>7.573137999903852E-2</v>
      </c>
    </row>
    <row r="16231" spans="1:9" x14ac:dyDescent="0.25">
      <c r="A16231">
        <v>520</v>
      </c>
      <c r="B16231" t="s">
        <v>4223</v>
      </c>
      <c r="C16231" t="s">
        <v>138</v>
      </c>
      <c r="D16231" t="s">
        <v>4231</v>
      </c>
      <c r="E16231">
        <f t="shared" si="763"/>
        <v>1.5625E-2</v>
      </c>
      <c r="F16231">
        <v>1</v>
      </c>
      <c r="G16231">
        <f>LOG(382/(1+1))</f>
        <v>2.2810333672477277</v>
      </c>
      <c r="H16231">
        <f>0.015625*5.25227342804663</f>
        <v>8.2066772313228592E-2</v>
      </c>
      <c r="I16231">
        <v>8.2066772313228592E-2</v>
      </c>
    </row>
    <row r="16232" spans="1:9" x14ac:dyDescent="0.25">
      <c r="A16232">
        <v>520</v>
      </c>
      <c r="B16232" t="s">
        <v>4223</v>
      </c>
      <c r="C16232" t="s">
        <v>138</v>
      </c>
      <c r="D16232" t="s">
        <v>445</v>
      </c>
      <c r="E16232">
        <f t="shared" si="763"/>
        <v>1.5625E-2</v>
      </c>
      <c r="F16232">
        <v>35</v>
      </c>
      <c r="G16232">
        <f>LOG(382/(35+1))</f>
        <v>1.0257608621444214</v>
      </c>
      <c r="H16232">
        <f>0.015625*2.36190167015046</f>
        <v>3.6904713596100938E-2</v>
      </c>
      <c r="I16232">
        <v>3.6904713596101008E-2</v>
      </c>
    </row>
    <row r="16233" spans="1:9" x14ac:dyDescent="0.25">
      <c r="A16233">
        <v>520</v>
      </c>
      <c r="B16233" t="s">
        <v>4223</v>
      </c>
      <c r="C16233" t="s">
        <v>138</v>
      </c>
      <c r="D16233" t="s">
        <v>1289</v>
      </c>
      <c r="E16233">
        <f t="shared" si="763"/>
        <v>1.5625E-2</v>
      </c>
      <c r="F16233">
        <v>8</v>
      </c>
      <c r="G16233">
        <f>LOG(382/(8+1))</f>
        <v>1.6278208534723839</v>
      </c>
      <c r="H16233">
        <f>0.015625*3.74819603127035</f>
        <v>5.8565562988599218E-2</v>
      </c>
      <c r="I16233">
        <v>5.8565562988599308E-2</v>
      </c>
    </row>
    <row r="16234" spans="1:9" x14ac:dyDescent="0.25">
      <c r="A16234">
        <v>520</v>
      </c>
      <c r="B16234" t="s">
        <v>4223</v>
      </c>
      <c r="C16234" t="s">
        <v>138</v>
      </c>
      <c r="D16234" t="s">
        <v>739</v>
      </c>
      <c r="E16234">
        <f t="shared" si="763"/>
        <v>1.5625E-2</v>
      </c>
      <c r="F16234">
        <v>24</v>
      </c>
      <c r="G16234">
        <f>LOG(382/(24+1))</f>
        <v>1.1841233542396712</v>
      </c>
      <c r="H16234">
        <f>0.015625*2.72654478373837</f>
        <v>4.2602262245912029E-2</v>
      </c>
      <c r="I16234">
        <v>4.2602262245912098E-2</v>
      </c>
    </row>
    <row r="16235" spans="1:9" x14ac:dyDescent="0.25">
      <c r="A16235">
        <v>520</v>
      </c>
      <c r="B16235" t="s">
        <v>4223</v>
      </c>
      <c r="C16235" t="s">
        <v>138</v>
      </c>
      <c r="D16235" t="s">
        <v>1653</v>
      </c>
      <c r="E16235">
        <f t="shared" si="763"/>
        <v>1.5625E-2</v>
      </c>
      <c r="F16235">
        <v>4</v>
      </c>
      <c r="G16235">
        <f>LOG(382/(4+1))</f>
        <v>1.8830933585756899</v>
      </c>
      <c r="H16235">
        <f>0.015625*4.33598269617247</f>
        <v>6.7749729627694849E-2</v>
      </c>
      <c r="I16235">
        <v>6.7749729627694918E-2</v>
      </c>
    </row>
    <row r="16236" spans="1:9" x14ac:dyDescent="0.25">
      <c r="A16236">
        <v>521</v>
      </c>
      <c r="B16236" t="s">
        <v>4232</v>
      </c>
      <c r="C16236" t="s">
        <v>138</v>
      </c>
      <c r="D16236" t="s">
        <v>126</v>
      </c>
      <c r="E16236">
        <f>1/102</f>
        <v>9.8039215686274508E-3</v>
      </c>
      <c r="F16236">
        <v>79</v>
      </c>
      <c r="G16236">
        <f>LOG(382/(79+1))</f>
        <v>0.67897337591976514</v>
      </c>
      <c r="H16236">
        <f>0.00980392156862745*1.56339397393269</f>
        <v>1.5327391901300882E-2</v>
      </c>
      <c r="I16236">
        <v>1.532739190130092E-2</v>
      </c>
    </row>
    <row r="16237" spans="1:9" x14ac:dyDescent="0.25">
      <c r="A16237">
        <v>521</v>
      </c>
      <c r="B16237" t="s">
        <v>4232</v>
      </c>
      <c r="C16237" t="s">
        <v>138</v>
      </c>
      <c r="D16237" t="s">
        <v>147</v>
      </c>
      <c r="E16237">
        <f>1/102</f>
        <v>9.8039215686274508E-3</v>
      </c>
      <c r="F16237">
        <v>48</v>
      </c>
      <c r="G16237">
        <f>LOG(382/(48+1))</f>
        <v>0.89186728288319506</v>
      </c>
      <c r="H16237">
        <f>0.00980392156862745*2.05360031049594</f>
        <v>2.0133336377411177E-2</v>
      </c>
      <c r="I16237">
        <v>2.013333637741126E-2</v>
      </c>
    </row>
    <row r="16238" spans="1:9" x14ac:dyDescent="0.25">
      <c r="A16238">
        <v>521</v>
      </c>
      <c r="B16238" t="s">
        <v>4232</v>
      </c>
      <c r="C16238" t="s">
        <v>138</v>
      </c>
      <c r="D16238" t="s">
        <v>744</v>
      </c>
      <c r="E16238">
        <f>6/102</f>
        <v>5.8823529411764705E-2</v>
      </c>
      <c r="F16238">
        <v>28</v>
      </c>
      <c r="G16238">
        <f>LOG(382/(28+1))</f>
        <v>1.1196653650127526</v>
      </c>
      <c r="H16238">
        <f>0.0588235294117647*2.5781247786201</f>
        <v>0.15165439874235878</v>
      </c>
      <c r="I16238">
        <v>0.15165439874235889</v>
      </c>
    </row>
    <row r="16239" spans="1:9" x14ac:dyDescent="0.25">
      <c r="A16239">
        <v>521</v>
      </c>
      <c r="B16239" t="s">
        <v>4232</v>
      </c>
      <c r="C16239" t="s">
        <v>138</v>
      </c>
      <c r="D16239" t="s">
        <v>2189</v>
      </c>
      <c r="E16239">
        <f t="shared" ref="E16239:E16244" si="764">1/102</f>
        <v>9.8039215686274508E-3</v>
      </c>
      <c r="F16239">
        <v>12</v>
      </c>
      <c r="G16239">
        <f>LOG(382/(12+1))</f>
        <v>1.468120010604872</v>
      </c>
      <c r="H16239">
        <f>0.00980392156862745*3.38047125114503</f>
        <v>3.3141875011225785E-2</v>
      </c>
      <c r="I16239">
        <v>3.3141875011225869E-2</v>
      </c>
    </row>
    <row r="16240" spans="1:9" x14ac:dyDescent="0.25">
      <c r="A16240">
        <v>521</v>
      </c>
      <c r="B16240" t="s">
        <v>4232</v>
      </c>
      <c r="C16240" t="s">
        <v>138</v>
      </c>
      <c r="D16240" t="s">
        <v>865</v>
      </c>
      <c r="E16240">
        <f t="shared" si="764"/>
        <v>9.8039215686274508E-3</v>
      </c>
      <c r="F16240">
        <v>13</v>
      </c>
      <c r="G16240">
        <f>LOG(382/(13+1))</f>
        <v>1.4359353272334707</v>
      </c>
      <c r="H16240">
        <f>0.00980392156862745*3.30636327899131</f>
        <v>3.2415326264620688E-2</v>
      </c>
      <c r="I16240">
        <v>3.241532626462075E-2</v>
      </c>
    </row>
    <row r="16241" spans="1:9" x14ac:dyDescent="0.25">
      <c r="A16241">
        <v>521</v>
      </c>
      <c r="B16241" t="s">
        <v>4232</v>
      </c>
      <c r="C16241" t="s">
        <v>138</v>
      </c>
      <c r="D16241" t="s">
        <v>42</v>
      </c>
      <c r="E16241">
        <f t="shared" si="764"/>
        <v>9.8039215686274508E-3</v>
      </c>
      <c r="F16241">
        <v>251</v>
      </c>
      <c r="G16241">
        <f>LOG(382/(251+1))</f>
        <v>0.18066282213016463</v>
      </c>
      <c r="H16241">
        <f>0.00980392156862745*0.415991521095151</f>
        <v>4.0783482460308917E-3</v>
      </c>
      <c r="I16241">
        <v>4.0783482460309004E-3</v>
      </c>
    </row>
    <row r="16242" spans="1:9" x14ac:dyDescent="0.25">
      <c r="A16242">
        <v>521</v>
      </c>
      <c r="B16242" t="s">
        <v>4232</v>
      </c>
      <c r="C16242" t="s">
        <v>138</v>
      </c>
      <c r="D16242" t="s">
        <v>1496</v>
      </c>
      <c r="E16242">
        <f t="shared" si="764"/>
        <v>9.8039215686274508E-3</v>
      </c>
      <c r="F16242">
        <v>39</v>
      </c>
      <c r="G16242">
        <f>LOG(382/(39+1))</f>
        <v>0.9800033715837464</v>
      </c>
      <c r="H16242">
        <f>0.00980392156862745*2.25654115449263</f>
        <v>2.2122952495025786E-2</v>
      </c>
      <c r="I16242">
        <v>2.2122952495025869E-2</v>
      </c>
    </row>
    <row r="16243" spans="1:9" x14ac:dyDescent="0.25">
      <c r="A16243">
        <v>521</v>
      </c>
      <c r="B16243" t="s">
        <v>4232</v>
      </c>
      <c r="C16243" t="s">
        <v>138</v>
      </c>
      <c r="D16243" t="s">
        <v>4048</v>
      </c>
      <c r="E16243">
        <f t="shared" si="764"/>
        <v>9.8039215686274508E-3</v>
      </c>
      <c r="F16243">
        <v>2</v>
      </c>
      <c r="G16243">
        <f>LOG(382/(2+1))</f>
        <v>2.1049421081920463</v>
      </c>
      <c r="H16243">
        <f>0.00980392156862745*4.84680831993846</f>
        <v>4.7517728626847645E-2</v>
      </c>
      <c r="I16243">
        <v>4.7517728626847701E-2</v>
      </c>
    </row>
    <row r="16244" spans="1:9" x14ac:dyDescent="0.25">
      <c r="A16244">
        <v>521</v>
      </c>
      <c r="B16244" t="s">
        <v>4232</v>
      </c>
      <c r="C16244" t="s">
        <v>138</v>
      </c>
      <c r="D16244" t="s">
        <v>4233</v>
      </c>
      <c r="E16244">
        <f t="shared" si="764"/>
        <v>9.8039215686274508E-3</v>
      </c>
      <c r="F16244">
        <v>2</v>
      </c>
      <c r="G16244">
        <f>LOG(382/(2+1))</f>
        <v>2.1049421081920463</v>
      </c>
      <c r="H16244">
        <f>0.00980392156862745*4.84680831993846</f>
        <v>4.7517728626847645E-2</v>
      </c>
      <c r="I16244">
        <v>4.7517728626847701E-2</v>
      </c>
    </row>
    <row r="16245" spans="1:9" x14ac:dyDescent="0.25">
      <c r="A16245">
        <v>521</v>
      </c>
      <c r="B16245" t="s">
        <v>4232</v>
      </c>
      <c r="C16245" t="s">
        <v>138</v>
      </c>
      <c r="D16245" t="s">
        <v>40</v>
      </c>
      <c r="E16245">
        <f>2/102</f>
        <v>1.9607843137254902E-2</v>
      </c>
      <c r="F16245">
        <v>159</v>
      </c>
      <c r="G16245">
        <f>LOG(382/(159+1))</f>
        <v>0.377943380255784</v>
      </c>
      <c r="H16245">
        <f>0.0196078431372549*0.870246793372748</f>
        <v>1.7063662615151923E-2</v>
      </c>
      <c r="I16245">
        <v>1.706366261515193E-2</v>
      </c>
    </row>
    <row r="16246" spans="1:9" x14ac:dyDescent="0.25">
      <c r="A16246">
        <v>521</v>
      </c>
      <c r="B16246" t="s">
        <v>4232</v>
      </c>
      <c r="C16246" t="s">
        <v>138</v>
      </c>
      <c r="D16246" t="s">
        <v>41</v>
      </c>
      <c r="E16246">
        <f>2/102</f>
        <v>1.9607843137254902E-2</v>
      </c>
      <c r="F16246">
        <v>195</v>
      </c>
      <c r="G16246">
        <f>LOG(382/(195+1))</f>
        <v>0.28980729155523272</v>
      </c>
      <c r="H16246">
        <f>0.0196078431372549*0.667305949376058</f>
        <v>1.3084430379922705E-2</v>
      </c>
      <c r="I16246">
        <v>1.3084430379922711E-2</v>
      </c>
    </row>
    <row r="16247" spans="1:9" x14ac:dyDescent="0.25">
      <c r="A16247">
        <v>521</v>
      </c>
      <c r="B16247" t="s">
        <v>4232</v>
      </c>
      <c r="C16247" t="s">
        <v>138</v>
      </c>
      <c r="D16247" t="s">
        <v>17</v>
      </c>
      <c r="E16247">
        <f t="shared" ref="E16247:E16258" si="765">1/102</f>
        <v>9.8039215686274508E-3</v>
      </c>
      <c r="F16247">
        <v>169</v>
      </c>
      <c r="G16247">
        <f>LOG(382/(169+1))</f>
        <v>0.3516144415334348</v>
      </c>
      <c r="H16247">
        <f>0.00980392156862745*0.809622171556313</f>
        <v>7.9374722701599319E-3</v>
      </c>
      <c r="I16247">
        <v>7.9374722701599353E-3</v>
      </c>
    </row>
    <row r="16248" spans="1:9" x14ac:dyDescent="0.25">
      <c r="A16248">
        <v>521</v>
      </c>
      <c r="B16248" t="s">
        <v>4232</v>
      </c>
      <c r="C16248" t="s">
        <v>138</v>
      </c>
      <c r="D16248" t="s">
        <v>1907</v>
      </c>
      <c r="E16248">
        <f t="shared" si="765"/>
        <v>9.8039215686274508E-3</v>
      </c>
      <c r="F16248">
        <v>20</v>
      </c>
      <c r="G16248">
        <f>LOG(382/(20+1))</f>
        <v>1.2598440681777894</v>
      </c>
      <c r="H16248">
        <f>0.00980392156862745*2.90089817088315</f>
        <v>2.8440178145913236E-2</v>
      </c>
      <c r="I16248">
        <v>2.8440178145913261E-2</v>
      </c>
    </row>
    <row r="16249" spans="1:9" x14ac:dyDescent="0.25">
      <c r="A16249">
        <v>521</v>
      </c>
      <c r="B16249" t="s">
        <v>4232</v>
      </c>
      <c r="C16249" t="s">
        <v>138</v>
      </c>
      <c r="D16249" t="s">
        <v>1908</v>
      </c>
      <c r="E16249">
        <f t="shared" si="765"/>
        <v>9.8039215686274508E-3</v>
      </c>
      <c r="F16249">
        <v>20</v>
      </c>
      <c r="G16249">
        <f>LOG(382/(20+1))</f>
        <v>1.2598440681777894</v>
      </c>
      <c r="H16249">
        <f>0.00980392156862745*2.90089817088315</f>
        <v>2.8440178145913236E-2</v>
      </c>
      <c r="I16249">
        <v>2.8440178145913261E-2</v>
      </c>
    </row>
    <row r="16250" spans="1:9" x14ac:dyDescent="0.25">
      <c r="A16250">
        <v>521</v>
      </c>
      <c r="B16250" t="s">
        <v>4232</v>
      </c>
      <c r="C16250" t="s">
        <v>138</v>
      </c>
      <c r="D16250" t="s">
        <v>91</v>
      </c>
      <c r="E16250">
        <f t="shared" si="765"/>
        <v>9.8039215686274508E-3</v>
      </c>
      <c r="F16250">
        <v>33</v>
      </c>
      <c r="G16250">
        <f>LOG(382/(33+1))</f>
        <v>1.0505844458694535</v>
      </c>
      <c r="H16250">
        <f>0.00980392156862745*2.41906008399041</f>
        <v>2.3716275333239317E-2</v>
      </c>
      <c r="I16250">
        <v>2.3716275333239351E-2</v>
      </c>
    </row>
    <row r="16251" spans="1:9" x14ac:dyDescent="0.25">
      <c r="A16251">
        <v>521</v>
      </c>
      <c r="B16251" t="s">
        <v>4232</v>
      </c>
      <c r="C16251" t="s">
        <v>138</v>
      </c>
      <c r="D16251" t="s">
        <v>19</v>
      </c>
      <c r="E16251">
        <f t="shared" si="765"/>
        <v>9.8039215686274508E-3</v>
      </c>
      <c r="F16251">
        <v>220</v>
      </c>
      <c r="G16251">
        <f>LOG(382/(220+1))</f>
        <v>0.23767108922659805</v>
      </c>
      <c r="H16251">
        <f>0.00980392156862745*0.547257907088822</f>
        <v>5.3652735989100199E-3</v>
      </c>
      <c r="I16251">
        <v>5.3652735989100234E-3</v>
      </c>
    </row>
    <row r="16252" spans="1:9" x14ac:dyDescent="0.25">
      <c r="A16252">
        <v>521</v>
      </c>
      <c r="B16252" t="s">
        <v>4232</v>
      </c>
      <c r="C16252" t="s">
        <v>138</v>
      </c>
      <c r="D16252" t="s">
        <v>195</v>
      </c>
      <c r="E16252">
        <f t="shared" si="765"/>
        <v>9.8039215686274508E-3</v>
      </c>
      <c r="F16252">
        <v>55</v>
      </c>
      <c r="G16252">
        <f>LOG(382/(55+1))</f>
        <v>0.83387533590550833</v>
      </c>
      <c r="H16252">
        <f>0.00980392156862745*1.92006891787142</f>
        <v>1.8824205077170784E-2</v>
      </c>
      <c r="I16252">
        <v>1.8824205077170839E-2</v>
      </c>
    </row>
    <row r="16253" spans="1:9" x14ac:dyDescent="0.25">
      <c r="A16253">
        <v>521</v>
      </c>
      <c r="B16253" t="s">
        <v>4232</v>
      </c>
      <c r="C16253" t="s">
        <v>138</v>
      </c>
      <c r="D16253" t="s">
        <v>22</v>
      </c>
      <c r="E16253">
        <f t="shared" si="765"/>
        <v>9.8039215686274508E-3</v>
      </c>
      <c r="F16253">
        <v>259</v>
      </c>
      <c r="G16253">
        <f>LOG(382/(259+1))</f>
        <v>0.16709001494089079</v>
      </c>
      <c r="H16253">
        <f>0.00980392156862745*0.384738977591047</f>
        <v>3.7719507606965392E-3</v>
      </c>
      <c r="I16253">
        <v>3.771950760696544E-3</v>
      </c>
    </row>
    <row r="16254" spans="1:9" x14ac:dyDescent="0.25">
      <c r="A16254">
        <v>521</v>
      </c>
      <c r="B16254" t="s">
        <v>4232</v>
      </c>
      <c r="C16254" t="s">
        <v>138</v>
      </c>
      <c r="D16254" t="s">
        <v>23</v>
      </c>
      <c r="E16254">
        <f t="shared" si="765"/>
        <v>9.8039215686274508E-3</v>
      </c>
      <c r="F16254">
        <v>275</v>
      </c>
      <c r="G16254">
        <f>LOG(382/(275+1))</f>
        <v>0.14115428084649101</v>
      </c>
      <c r="H16254">
        <f>0.00980392156862745*0.325019742889425</f>
        <v>3.1864680675433819E-3</v>
      </c>
      <c r="I16254">
        <v>3.1864680675433841E-3</v>
      </c>
    </row>
    <row r="16255" spans="1:9" x14ac:dyDescent="0.25">
      <c r="A16255">
        <v>521</v>
      </c>
      <c r="B16255" t="s">
        <v>4232</v>
      </c>
      <c r="C16255" t="s">
        <v>138</v>
      </c>
      <c r="D16255" t="s">
        <v>2291</v>
      </c>
      <c r="E16255">
        <f t="shared" si="765"/>
        <v>9.8039215686274508E-3</v>
      </c>
      <c r="F16255">
        <v>17</v>
      </c>
      <c r="G16255">
        <f>LOG(382/(17+1))</f>
        <v>1.3267908578084027</v>
      </c>
      <c r="H16255">
        <f>0.00980392156862745*3.05504885071041</f>
        <v>2.9951459320690293E-2</v>
      </c>
      <c r="I16255">
        <v>2.99514593206903E-2</v>
      </c>
    </row>
    <row r="16256" spans="1:9" x14ac:dyDescent="0.25">
      <c r="A16256">
        <v>521</v>
      </c>
      <c r="B16256" t="s">
        <v>4232</v>
      </c>
      <c r="C16256" t="s">
        <v>138</v>
      </c>
      <c r="D16256" t="s">
        <v>204</v>
      </c>
      <c r="E16256">
        <f t="shared" si="765"/>
        <v>9.8039215686274508E-3</v>
      </c>
      <c r="F16256">
        <v>166</v>
      </c>
      <c r="G16256">
        <f>LOG(382/(166+1))</f>
        <v>0.35934689176412549</v>
      </c>
      <c r="H16256">
        <f>0.00980392156862745*0.82742679618982</f>
        <v>8.1120274136256866E-3</v>
      </c>
      <c r="I16256">
        <v>8.1120274136256866E-3</v>
      </c>
    </row>
    <row r="16257" spans="1:9" x14ac:dyDescent="0.25">
      <c r="A16257">
        <v>521</v>
      </c>
      <c r="B16257" t="s">
        <v>4232</v>
      </c>
      <c r="C16257" t="s">
        <v>138</v>
      </c>
      <c r="D16257" t="s">
        <v>76</v>
      </c>
      <c r="E16257">
        <f t="shared" si="765"/>
        <v>9.8039215686274508E-3</v>
      </c>
      <c r="F16257">
        <v>140</v>
      </c>
      <c r="G16257">
        <f>LOG(382/(140+1))</f>
        <v>0.43284425025632883</v>
      </c>
      <c r="H16257">
        <f>0.00980392156862745*0.996660718228407</f>
        <v>9.7711835120432057E-3</v>
      </c>
      <c r="I16257">
        <v>9.7711835120432057E-3</v>
      </c>
    </row>
    <row r="16258" spans="1:9" x14ac:dyDescent="0.25">
      <c r="A16258">
        <v>521</v>
      </c>
      <c r="B16258" t="s">
        <v>4232</v>
      </c>
      <c r="C16258" t="s">
        <v>138</v>
      </c>
      <c r="D16258" t="s">
        <v>77</v>
      </c>
      <c r="E16258">
        <f t="shared" si="765"/>
        <v>9.8039215686274508E-3</v>
      </c>
      <c r="F16258">
        <v>148</v>
      </c>
      <c r="G16258">
        <f>LOG(382/(148+1))</f>
        <v>0.40887709449943471</v>
      </c>
      <c r="H16258">
        <f>0.00980392156862745*0.941474302661116</f>
        <v>9.2301402221678028E-3</v>
      </c>
      <c r="I16258">
        <v>9.2301402221678045E-3</v>
      </c>
    </row>
    <row r="16259" spans="1:9" x14ac:dyDescent="0.25">
      <c r="A16259">
        <v>521</v>
      </c>
      <c r="B16259" t="s">
        <v>4232</v>
      </c>
      <c r="C16259" t="s">
        <v>138</v>
      </c>
      <c r="D16259" t="s">
        <v>322</v>
      </c>
      <c r="E16259">
        <f>4/102</f>
        <v>3.9215686274509803E-2</v>
      </c>
      <c r="F16259">
        <v>128</v>
      </c>
      <c r="G16259">
        <f>LOG(382/(128+1))</f>
        <v>0.47147365261245977</v>
      </c>
      <c r="H16259">
        <f>0.0392156862745098*1.0856082042449</f>
        <v>4.2572870754701959E-2</v>
      </c>
      <c r="I16259">
        <v>4.2572870754702077E-2</v>
      </c>
    </row>
    <row r="16260" spans="1:9" x14ac:dyDescent="0.25">
      <c r="A16260">
        <v>521</v>
      </c>
      <c r="B16260" t="s">
        <v>4232</v>
      </c>
      <c r="C16260" t="s">
        <v>138</v>
      </c>
      <c r="D16260" t="s">
        <v>754</v>
      </c>
      <c r="E16260">
        <f>2/102</f>
        <v>1.9607843137254902E-2</v>
      </c>
      <c r="F16260">
        <v>111</v>
      </c>
      <c r="G16260">
        <f>LOG(382/(111+1))</f>
        <v>0.53284534024152708</v>
      </c>
      <c r="H16260">
        <f>0.0196078431372549*1.22692173731148</f>
        <v>2.4057288966891764E-2</v>
      </c>
      <c r="I16260">
        <v>2.4057288966891782E-2</v>
      </c>
    </row>
    <row r="16261" spans="1:9" x14ac:dyDescent="0.25">
      <c r="A16261">
        <v>521</v>
      </c>
      <c r="B16261" t="s">
        <v>4232</v>
      </c>
      <c r="C16261" t="s">
        <v>138</v>
      </c>
      <c r="D16261" t="s">
        <v>649</v>
      </c>
      <c r="E16261">
        <f>3/102</f>
        <v>2.9411764705882353E-2</v>
      </c>
      <c r="F16261">
        <v>25</v>
      </c>
      <c r="G16261">
        <f>LOG(382/(25+1))</f>
        <v>1.1670900149408907</v>
      </c>
      <c r="H16261">
        <f>0.0294117647058823*2.68732407058509</f>
        <v>7.9038943252502505E-2</v>
      </c>
      <c r="I16261">
        <v>7.9038943252502741E-2</v>
      </c>
    </row>
    <row r="16262" spans="1:9" x14ac:dyDescent="0.25">
      <c r="A16262">
        <v>521</v>
      </c>
      <c r="B16262" t="s">
        <v>4232</v>
      </c>
      <c r="C16262" t="s">
        <v>138</v>
      </c>
      <c r="D16262" t="s">
        <v>823</v>
      </c>
      <c r="E16262">
        <f>1/102</f>
        <v>9.8039215686274508E-3</v>
      </c>
      <c r="F16262">
        <v>45</v>
      </c>
      <c r="G16262">
        <f>LOG(382/(45+1))</f>
        <v>0.9193055312301347</v>
      </c>
      <c r="H16262">
        <f>0.00980392156862745*2.11677921211748</f>
        <v>2.0752737373700786E-2</v>
      </c>
      <c r="I16262">
        <v>2.0752737373700789E-2</v>
      </c>
    </row>
    <row r="16263" spans="1:9" x14ac:dyDescent="0.25">
      <c r="A16263">
        <v>521</v>
      </c>
      <c r="B16263" t="s">
        <v>4232</v>
      </c>
      <c r="C16263" t="s">
        <v>138</v>
      </c>
      <c r="D16263" t="s">
        <v>762</v>
      </c>
      <c r="E16263">
        <f>3/102</f>
        <v>2.9411764705882353E-2</v>
      </c>
      <c r="F16263">
        <v>29</v>
      </c>
      <c r="G16263">
        <f>LOG(382/(29+1))</f>
        <v>1.1049421081920463</v>
      </c>
      <c r="H16263">
        <f>0.0294117647058823*2.54422322694442</f>
        <v>7.483009491012986E-2</v>
      </c>
      <c r="I16263">
        <v>7.4830094910129999E-2</v>
      </c>
    </row>
    <row r="16264" spans="1:9" x14ac:dyDescent="0.25">
      <c r="A16264">
        <v>521</v>
      </c>
      <c r="B16264" t="s">
        <v>4232</v>
      </c>
      <c r="C16264" t="s">
        <v>138</v>
      </c>
      <c r="D16264" t="s">
        <v>25</v>
      </c>
      <c r="E16264">
        <f t="shared" ref="E16264:E16273" si="766">1/102</f>
        <v>9.8039215686274508E-3</v>
      </c>
      <c r="F16264">
        <v>106</v>
      </c>
      <c r="G16264">
        <f>LOG(382/(106+1))</f>
        <v>0.55267958522649907</v>
      </c>
      <c r="H16264">
        <f>0.00980392156862745*1.27259177414466</f>
        <v>1.2476389942594705E-2</v>
      </c>
      <c r="I16264">
        <v>1.247638994259479E-2</v>
      </c>
    </row>
    <row r="16265" spans="1:9" x14ac:dyDescent="0.25">
      <c r="A16265">
        <v>521</v>
      </c>
      <c r="B16265" t="s">
        <v>4232</v>
      </c>
      <c r="C16265" t="s">
        <v>138</v>
      </c>
      <c r="D16265" t="s">
        <v>4005</v>
      </c>
      <c r="E16265">
        <f t="shared" si="766"/>
        <v>9.8039215686274508E-3</v>
      </c>
      <c r="F16265">
        <v>5</v>
      </c>
      <c r="G16265">
        <f>LOG(382/(5+1))</f>
        <v>1.803912112528065</v>
      </c>
      <c r="H16265">
        <f>0.00980392156862745*4.15366113937852</f>
        <v>4.0722168033122744E-2</v>
      </c>
      <c r="I16265">
        <v>4.0722168033122737E-2</v>
      </c>
    </row>
    <row r="16266" spans="1:9" x14ac:dyDescent="0.25">
      <c r="A16266">
        <v>521</v>
      </c>
      <c r="B16266" t="s">
        <v>4232</v>
      </c>
      <c r="C16266" t="s">
        <v>138</v>
      </c>
      <c r="D16266" t="s">
        <v>4219</v>
      </c>
      <c r="E16266">
        <f t="shared" si="766"/>
        <v>9.8039215686274508E-3</v>
      </c>
      <c r="F16266">
        <v>3</v>
      </c>
      <c r="G16266">
        <f>LOG(382/(3+1))</f>
        <v>1.9800033715837464</v>
      </c>
      <c r="H16266">
        <f>0.00980392156862745*4.55912624748668</f>
        <v>4.4697316151830195E-2</v>
      </c>
      <c r="I16266">
        <v>4.4697316151830237E-2</v>
      </c>
    </row>
    <row r="16267" spans="1:9" x14ac:dyDescent="0.25">
      <c r="A16267">
        <v>521</v>
      </c>
      <c r="B16267" t="s">
        <v>4232</v>
      </c>
      <c r="C16267" t="s">
        <v>138</v>
      </c>
      <c r="D16267" t="s">
        <v>4217</v>
      </c>
      <c r="E16267">
        <f t="shared" si="766"/>
        <v>9.8039215686274508E-3</v>
      </c>
      <c r="F16267">
        <v>3</v>
      </c>
      <c r="G16267">
        <f>LOG(382/(3+1))</f>
        <v>1.9800033715837464</v>
      </c>
      <c r="H16267">
        <f>0.00980392156862745*4.55912624748668</f>
        <v>4.4697316151830195E-2</v>
      </c>
      <c r="I16267">
        <v>4.4697316151830237E-2</v>
      </c>
    </row>
    <row r="16268" spans="1:9" x14ac:dyDescent="0.25">
      <c r="A16268">
        <v>521</v>
      </c>
      <c r="B16268" t="s">
        <v>4232</v>
      </c>
      <c r="C16268" t="s">
        <v>138</v>
      </c>
      <c r="D16268" t="s">
        <v>4234</v>
      </c>
      <c r="E16268">
        <f t="shared" si="766"/>
        <v>9.8039215686274508E-3</v>
      </c>
      <c r="F16268">
        <v>2</v>
      </c>
      <c r="G16268">
        <f>LOG(382/(2+1))</f>
        <v>2.1049421081920463</v>
      </c>
      <c r="H16268">
        <f>0.00980392156862745*4.84680831993846</f>
        <v>4.7517728626847645E-2</v>
      </c>
      <c r="I16268">
        <v>4.7517728626847701E-2</v>
      </c>
    </row>
    <row r="16269" spans="1:9" x14ac:dyDescent="0.25">
      <c r="A16269">
        <v>521</v>
      </c>
      <c r="B16269" t="s">
        <v>4232</v>
      </c>
      <c r="C16269" t="s">
        <v>138</v>
      </c>
      <c r="D16269" t="s">
        <v>4218</v>
      </c>
      <c r="E16269">
        <f t="shared" si="766"/>
        <v>9.8039215686274508E-3</v>
      </c>
      <c r="F16269">
        <v>4</v>
      </c>
      <c r="G16269">
        <f>LOG(382/(4+1))</f>
        <v>1.8830933585756899</v>
      </c>
      <c r="H16269">
        <f>0.00980392156862745*4.33598269617247</f>
        <v>4.2509634276200692E-2</v>
      </c>
      <c r="I16269">
        <v>4.2509634276200733E-2</v>
      </c>
    </row>
    <row r="16270" spans="1:9" x14ac:dyDescent="0.25">
      <c r="A16270">
        <v>521</v>
      </c>
      <c r="B16270" t="s">
        <v>4232</v>
      </c>
      <c r="C16270" t="s">
        <v>138</v>
      </c>
      <c r="D16270" t="s">
        <v>4235</v>
      </c>
      <c r="E16270">
        <f t="shared" si="766"/>
        <v>9.8039215686274508E-3</v>
      </c>
      <c r="F16270">
        <v>2</v>
      </c>
      <c r="G16270">
        <f>LOG(382/(2+1))</f>
        <v>2.1049421081920463</v>
      </c>
      <c r="H16270">
        <f>0.00980392156862745*4.84680831993846</f>
        <v>4.7517728626847645E-2</v>
      </c>
      <c r="I16270">
        <v>4.7517728626847701E-2</v>
      </c>
    </row>
    <row r="16271" spans="1:9" x14ac:dyDescent="0.25">
      <c r="A16271">
        <v>521</v>
      </c>
      <c r="B16271" t="s">
        <v>4232</v>
      </c>
      <c r="C16271" t="s">
        <v>138</v>
      </c>
      <c r="D16271" t="s">
        <v>4236</v>
      </c>
      <c r="E16271">
        <f t="shared" si="766"/>
        <v>9.8039215686274508E-3</v>
      </c>
      <c r="F16271">
        <v>2</v>
      </c>
      <c r="G16271">
        <f>LOG(382/(2+1))</f>
        <v>2.1049421081920463</v>
      </c>
      <c r="H16271">
        <f>0.00980392156862745*4.84680831993846</f>
        <v>4.7517728626847645E-2</v>
      </c>
      <c r="I16271">
        <v>4.7517728626847701E-2</v>
      </c>
    </row>
    <row r="16272" spans="1:9" x14ac:dyDescent="0.25">
      <c r="A16272">
        <v>521</v>
      </c>
      <c r="B16272" t="s">
        <v>4232</v>
      </c>
      <c r="C16272" t="s">
        <v>138</v>
      </c>
      <c r="D16272" t="s">
        <v>338</v>
      </c>
      <c r="E16272">
        <f t="shared" si="766"/>
        <v>9.8039215686274508E-3</v>
      </c>
      <c r="F16272">
        <v>54</v>
      </c>
      <c r="G16272">
        <f>LOG(382/(54+1))</f>
        <v>0.84170067341746491</v>
      </c>
      <c r="H16272">
        <f>0.00980392156862745*1.9380874233741</f>
        <v>1.900085709190294E-2</v>
      </c>
      <c r="I16272">
        <v>1.9000857091902981E-2</v>
      </c>
    </row>
    <row r="16273" spans="1:9" x14ac:dyDescent="0.25">
      <c r="A16273">
        <v>521</v>
      </c>
      <c r="B16273" t="s">
        <v>4232</v>
      </c>
      <c r="C16273" t="s">
        <v>138</v>
      </c>
      <c r="D16273" t="s">
        <v>3015</v>
      </c>
      <c r="E16273">
        <f t="shared" si="766"/>
        <v>9.8039215686274508E-3</v>
      </c>
      <c r="F16273">
        <v>9</v>
      </c>
      <c r="G16273">
        <f>LOG(382/(9+1))</f>
        <v>1.5820633629117087</v>
      </c>
      <c r="H16273">
        <f>0.00980392156862745*3.64283551561252</f>
        <v>3.5714073682475686E-2</v>
      </c>
      <c r="I16273">
        <v>3.5714073682475783E-2</v>
      </c>
    </row>
    <row r="16274" spans="1:9" x14ac:dyDescent="0.25">
      <c r="A16274">
        <v>521</v>
      </c>
      <c r="B16274" t="s">
        <v>4232</v>
      </c>
      <c r="C16274" t="s">
        <v>138</v>
      </c>
      <c r="D16274" t="s">
        <v>1537</v>
      </c>
      <c r="E16274">
        <f>2/102</f>
        <v>1.9607843137254902E-2</v>
      </c>
      <c r="F16274">
        <v>80</v>
      </c>
      <c r="G16274">
        <f>LOG(382/(80+1))</f>
        <v>0.67357834403305894</v>
      </c>
      <c r="H16274">
        <f>0.0196078431372549*1.55097145393413</f>
        <v>3.0411204979100586E-2</v>
      </c>
      <c r="I16274">
        <v>3.0411204979100711E-2</v>
      </c>
    </row>
    <row r="16275" spans="1:9" x14ac:dyDescent="0.25">
      <c r="A16275">
        <v>521</v>
      </c>
      <c r="B16275" t="s">
        <v>4232</v>
      </c>
      <c r="C16275" t="s">
        <v>138</v>
      </c>
      <c r="D16275" t="s">
        <v>133</v>
      </c>
      <c r="E16275">
        <f t="shared" ref="E16275:E16280" si="767">1/102</f>
        <v>9.8039215686274508E-3</v>
      </c>
      <c r="F16275">
        <v>142</v>
      </c>
      <c r="G16275">
        <f>LOG(382/(142+1))</f>
        <v>0.42672732544664693</v>
      </c>
      <c r="H16275">
        <f>0.00980392156862745*0.982575978346667</f>
        <v>9.6330978269281078E-3</v>
      </c>
      <c r="I16275">
        <v>9.6330978269281164E-3</v>
      </c>
    </row>
    <row r="16276" spans="1:9" x14ac:dyDescent="0.25">
      <c r="A16276">
        <v>521</v>
      </c>
      <c r="B16276" t="s">
        <v>4232</v>
      </c>
      <c r="C16276" t="s">
        <v>138</v>
      </c>
      <c r="D16276" t="s">
        <v>1769</v>
      </c>
      <c r="E16276">
        <f t="shared" si="767"/>
        <v>9.8039215686274508E-3</v>
      </c>
      <c r="F16276">
        <v>84</v>
      </c>
      <c r="G16276">
        <f>LOG(382/(84+1))</f>
        <v>0.65264443719741605</v>
      </c>
      <c r="H16276">
        <f>0.00980392156862745*1.50276935211625</f>
        <v>1.4733032863884804E-2</v>
      </c>
      <c r="I16276">
        <v>1.4733032863884891E-2</v>
      </c>
    </row>
    <row r="16277" spans="1:9" x14ac:dyDescent="0.25">
      <c r="A16277">
        <v>521</v>
      </c>
      <c r="B16277" t="s">
        <v>4232</v>
      </c>
      <c r="C16277" t="s">
        <v>138</v>
      </c>
      <c r="D16277" t="s">
        <v>201</v>
      </c>
      <c r="E16277">
        <f t="shared" si="767"/>
        <v>9.8039215686274508E-3</v>
      </c>
      <c r="F16277">
        <v>72</v>
      </c>
      <c r="G16277">
        <f>LOG(382/(72+1))</f>
        <v>0.71874050279125279</v>
      </c>
      <c r="H16277">
        <f>0.00980392156862745*1.65496116745818</f>
        <v>1.6225109484884117E-2</v>
      </c>
      <c r="I16277">
        <v>1.6225109484884159E-2</v>
      </c>
    </row>
    <row r="16278" spans="1:9" x14ac:dyDescent="0.25">
      <c r="A16278">
        <v>521</v>
      </c>
      <c r="B16278" t="s">
        <v>4232</v>
      </c>
      <c r="C16278" t="s">
        <v>138</v>
      </c>
      <c r="D16278" t="s">
        <v>225</v>
      </c>
      <c r="E16278">
        <f t="shared" si="767"/>
        <v>9.8039215686274508E-3</v>
      </c>
      <c r="F16278">
        <v>30</v>
      </c>
      <c r="G16278">
        <f>LOG(382/(30+1))</f>
        <v>1.090701669077436</v>
      </c>
      <c r="H16278">
        <f>0.00980392156862745*2.51143340412142</f>
        <v>2.4621896118837451E-2</v>
      </c>
      <c r="I16278">
        <v>2.4621896118837541E-2</v>
      </c>
    </row>
    <row r="16279" spans="1:9" x14ac:dyDescent="0.25">
      <c r="A16279">
        <v>521</v>
      </c>
      <c r="B16279" t="s">
        <v>4232</v>
      </c>
      <c r="C16279" t="s">
        <v>138</v>
      </c>
      <c r="D16279" t="s">
        <v>746</v>
      </c>
      <c r="E16279">
        <f t="shared" si="767"/>
        <v>9.8039215686274508E-3</v>
      </c>
      <c r="F16279">
        <v>58</v>
      </c>
      <c r="G16279">
        <f>LOG(382/(58+1))</f>
        <v>0.81121135126956456</v>
      </c>
      <c r="H16279">
        <f>0.00980392156862745*1.86788316470085</f>
        <v>1.8312580046086765E-2</v>
      </c>
      <c r="I16279">
        <v>1.831258004608682E-2</v>
      </c>
    </row>
    <row r="16280" spans="1:9" x14ac:dyDescent="0.25">
      <c r="A16280">
        <v>521</v>
      </c>
      <c r="B16280" t="s">
        <v>4232</v>
      </c>
      <c r="C16280" t="s">
        <v>138</v>
      </c>
      <c r="D16280" t="s">
        <v>89</v>
      </c>
      <c r="E16280">
        <f t="shared" si="767"/>
        <v>9.8039215686274508E-3</v>
      </c>
      <c r="F16280">
        <v>40</v>
      </c>
      <c r="G16280">
        <f>LOG(382/(40+1))</f>
        <v>0.96927950619197323</v>
      </c>
      <c r="H16280">
        <f>0.00980392156862745*2.23184854190226</f>
        <v>2.188086805786529E-2</v>
      </c>
      <c r="I16280">
        <v>2.188086805786537E-2</v>
      </c>
    </row>
    <row r="16281" spans="1:9" x14ac:dyDescent="0.25">
      <c r="A16281">
        <v>521</v>
      </c>
      <c r="B16281" t="s">
        <v>4232</v>
      </c>
      <c r="C16281" t="s">
        <v>138</v>
      </c>
      <c r="D16281" t="s">
        <v>81</v>
      </c>
      <c r="E16281">
        <f>2/102</f>
        <v>1.9607843137254902E-2</v>
      </c>
      <c r="F16281">
        <v>114</v>
      </c>
      <c r="G16281">
        <f>LOG(382/(114+1))</f>
        <v>0.52136552255809698</v>
      </c>
      <c r="H16281">
        <f>0.0196078431372549*1.20048848024332</f>
        <v>2.353898980869255E-2</v>
      </c>
      <c r="I16281">
        <v>2.3538989808692651E-2</v>
      </c>
    </row>
    <row r="16282" spans="1:9" x14ac:dyDescent="0.25">
      <c r="A16282">
        <v>521</v>
      </c>
      <c r="B16282" t="s">
        <v>4232</v>
      </c>
      <c r="C16282" t="s">
        <v>138</v>
      </c>
      <c r="D16282" t="s">
        <v>4237</v>
      </c>
      <c r="E16282">
        <f>1/102</f>
        <v>9.8039215686274508E-3</v>
      </c>
      <c r="F16282">
        <v>1</v>
      </c>
      <c r="G16282">
        <f>LOG(382/(1+1))</f>
        <v>2.2810333672477277</v>
      </c>
      <c r="H16282">
        <f>0.00980392156862745*5.25227342804663</f>
        <v>5.1492876745555194E-2</v>
      </c>
      <c r="I16282">
        <v>5.1492876745555187E-2</v>
      </c>
    </row>
    <row r="16283" spans="1:9" x14ac:dyDescent="0.25">
      <c r="A16283">
        <v>521</v>
      </c>
      <c r="B16283" t="s">
        <v>4232</v>
      </c>
      <c r="C16283" t="s">
        <v>138</v>
      </c>
      <c r="D16283" t="s">
        <v>741</v>
      </c>
      <c r="E16283">
        <f>1/102</f>
        <v>9.8039215686274508E-3</v>
      </c>
      <c r="F16283">
        <v>7</v>
      </c>
      <c r="G16283">
        <f>LOG(382/(7+1))</f>
        <v>1.6789733759197651</v>
      </c>
      <c r="H16283">
        <f>0.00980392156862745*3.86597906692673</f>
        <v>3.7901755558105196E-2</v>
      </c>
      <c r="I16283">
        <v>3.7901755558105293E-2</v>
      </c>
    </row>
    <row r="16284" spans="1:9" x14ac:dyDescent="0.25">
      <c r="A16284">
        <v>521</v>
      </c>
      <c r="B16284" t="s">
        <v>4232</v>
      </c>
      <c r="C16284" t="s">
        <v>138</v>
      </c>
      <c r="D16284" t="s">
        <v>1765</v>
      </c>
      <c r="E16284">
        <f>1/102</f>
        <v>9.8039215686274508E-3</v>
      </c>
      <c r="F16284">
        <v>14</v>
      </c>
      <c r="G16284">
        <f>LOG(382/(14+1))</f>
        <v>1.4059721038560276</v>
      </c>
      <c r="H16284">
        <f>0.00980392156862745*3.23737040750436</f>
        <v>3.1738925563768235E-2</v>
      </c>
      <c r="I16284">
        <v>3.1738925563768283E-2</v>
      </c>
    </row>
    <row r="16285" spans="1:9" x14ac:dyDescent="0.25">
      <c r="A16285">
        <v>521</v>
      </c>
      <c r="B16285" t="s">
        <v>4232</v>
      </c>
      <c r="C16285" t="s">
        <v>138</v>
      </c>
      <c r="D16285" t="s">
        <v>4238</v>
      </c>
      <c r="E16285">
        <f>2/102</f>
        <v>1.9607843137254902E-2</v>
      </c>
      <c r="F16285">
        <v>1</v>
      </c>
      <c r="G16285">
        <f>LOG(382/(1+1))</f>
        <v>2.2810333672477277</v>
      </c>
      <c r="H16285">
        <f>0.0196078431372549*5.25227342804663</f>
        <v>0.10298575349111039</v>
      </c>
      <c r="I16285">
        <v>0.1029857534911104</v>
      </c>
    </row>
    <row r="16286" spans="1:9" x14ac:dyDescent="0.25">
      <c r="A16286">
        <v>521</v>
      </c>
      <c r="B16286" t="s">
        <v>4232</v>
      </c>
      <c r="C16286" t="s">
        <v>138</v>
      </c>
      <c r="D16286" t="s">
        <v>2231</v>
      </c>
      <c r="E16286">
        <f>1/102</f>
        <v>9.8039215686274508E-3</v>
      </c>
      <c r="F16286">
        <v>23</v>
      </c>
      <c r="G16286">
        <f>LOG(382/(23+1))</f>
        <v>1.2018521212001028</v>
      </c>
      <c r="H16286">
        <f>0.00980392156862745*2.76736677825862</f>
        <v>2.7131046845672746E-2</v>
      </c>
      <c r="I16286">
        <v>2.713104684567284E-2</v>
      </c>
    </row>
    <row r="16287" spans="1:9" x14ac:dyDescent="0.25">
      <c r="A16287">
        <v>521</v>
      </c>
      <c r="B16287" t="s">
        <v>4232</v>
      </c>
      <c r="C16287" t="s">
        <v>138</v>
      </c>
      <c r="D16287" t="s">
        <v>3488</v>
      </c>
      <c r="E16287">
        <f>1/102</f>
        <v>9.8039215686274508E-3</v>
      </c>
      <c r="F16287">
        <v>6</v>
      </c>
      <c r="G16287">
        <f>LOG(382/(6+1))</f>
        <v>1.736965322897452</v>
      </c>
      <c r="H16287">
        <f>0.00980392156862745*3.99951045955126</f>
        <v>3.9210886858345687E-2</v>
      </c>
      <c r="I16287">
        <v>3.92108868583457E-2</v>
      </c>
    </row>
    <row r="16288" spans="1:9" x14ac:dyDescent="0.25">
      <c r="A16288">
        <v>521</v>
      </c>
      <c r="B16288" t="s">
        <v>4232</v>
      </c>
      <c r="C16288" t="s">
        <v>138</v>
      </c>
      <c r="D16288" t="s">
        <v>4173</v>
      </c>
      <c r="E16288">
        <f>1/102</f>
        <v>9.8039215686274508E-3</v>
      </c>
      <c r="F16288">
        <v>3</v>
      </c>
      <c r="G16288">
        <f>LOG(382/(3+1))</f>
        <v>1.9800033715837464</v>
      </c>
      <c r="H16288">
        <f>0.00980392156862745*4.55912624748668</f>
        <v>4.4697316151830195E-2</v>
      </c>
      <c r="I16288">
        <v>4.4697316151830237E-2</v>
      </c>
    </row>
    <row r="16289" spans="1:9" x14ac:dyDescent="0.25">
      <c r="A16289">
        <v>521</v>
      </c>
      <c r="B16289" t="s">
        <v>4232</v>
      </c>
      <c r="C16289" t="s">
        <v>138</v>
      </c>
      <c r="D16289" t="s">
        <v>4239</v>
      </c>
      <c r="E16289">
        <f>2/102</f>
        <v>1.9607843137254902E-2</v>
      </c>
      <c r="F16289">
        <v>1</v>
      </c>
      <c r="G16289">
        <f>LOG(382/(1+1))</f>
        <v>2.2810333672477277</v>
      </c>
      <c r="H16289">
        <f>0.0196078431372549*5.25227342804663</f>
        <v>0.10298575349111039</v>
      </c>
      <c r="I16289">
        <v>0.1029857534911104</v>
      </c>
    </row>
    <row r="16290" spans="1:9" x14ac:dyDescent="0.25">
      <c r="A16290">
        <v>521</v>
      </c>
      <c r="B16290" t="s">
        <v>4232</v>
      </c>
      <c r="C16290" t="s">
        <v>138</v>
      </c>
      <c r="D16290" t="s">
        <v>1397</v>
      </c>
      <c r="E16290">
        <f t="shared" ref="E16290:E16300" si="768">1/102</f>
        <v>9.8039215686274508E-3</v>
      </c>
      <c r="F16290">
        <v>29</v>
      </c>
      <c r="G16290">
        <f>LOG(382/(29+1))</f>
        <v>1.1049421081920463</v>
      </c>
      <c r="H16290">
        <f>0.00980392156862745*2.54422322694442</f>
        <v>2.4943364970043333E-2</v>
      </c>
      <c r="I16290">
        <v>2.494336497004333E-2</v>
      </c>
    </row>
    <row r="16291" spans="1:9" x14ac:dyDescent="0.25">
      <c r="A16291">
        <v>521</v>
      </c>
      <c r="B16291" t="s">
        <v>4232</v>
      </c>
      <c r="C16291" t="s">
        <v>138</v>
      </c>
      <c r="D16291" t="s">
        <v>1532</v>
      </c>
      <c r="E16291">
        <f t="shared" si="768"/>
        <v>9.8039215686274508E-3</v>
      </c>
      <c r="F16291">
        <v>28</v>
      </c>
      <c r="G16291">
        <f>LOG(382/(28+1))</f>
        <v>1.1196653650127526</v>
      </c>
      <c r="H16291">
        <f>0.00980392156862745*2.5781247786201</f>
        <v>2.5275733123726468E-2</v>
      </c>
      <c r="I16291">
        <v>2.5275733123726479E-2</v>
      </c>
    </row>
    <row r="16292" spans="1:9" x14ac:dyDescent="0.25">
      <c r="A16292">
        <v>521</v>
      </c>
      <c r="B16292" t="s">
        <v>4232</v>
      </c>
      <c r="C16292" t="s">
        <v>138</v>
      </c>
      <c r="D16292" t="s">
        <v>1533</v>
      </c>
      <c r="E16292">
        <f t="shared" si="768"/>
        <v>9.8039215686274508E-3</v>
      </c>
      <c r="F16292">
        <v>33</v>
      </c>
      <c r="G16292">
        <f>LOG(382/(33+1))</f>
        <v>1.0505844458694535</v>
      </c>
      <c r="H16292">
        <f>0.00980392156862745*2.41906008399041</f>
        <v>2.3716275333239317E-2</v>
      </c>
      <c r="I16292">
        <v>2.3716275333239351E-2</v>
      </c>
    </row>
    <row r="16293" spans="1:9" x14ac:dyDescent="0.25">
      <c r="A16293">
        <v>521</v>
      </c>
      <c r="B16293" t="s">
        <v>4232</v>
      </c>
      <c r="C16293" t="s">
        <v>138</v>
      </c>
      <c r="D16293" t="s">
        <v>2424</v>
      </c>
      <c r="E16293">
        <f t="shared" si="768"/>
        <v>9.8039215686274508E-3</v>
      </c>
      <c r="F16293">
        <v>9</v>
      </c>
      <c r="G16293">
        <f>LOG(382/(9+1))</f>
        <v>1.5820633629117087</v>
      </c>
      <c r="H16293">
        <f>0.00980392156862745*3.64283551561252</f>
        <v>3.5714073682475686E-2</v>
      </c>
      <c r="I16293">
        <v>3.5714073682475783E-2</v>
      </c>
    </row>
    <row r="16294" spans="1:9" x14ac:dyDescent="0.25">
      <c r="A16294">
        <v>521</v>
      </c>
      <c r="B16294" t="s">
        <v>4232</v>
      </c>
      <c r="C16294" t="s">
        <v>138</v>
      </c>
      <c r="D16294" t="s">
        <v>339</v>
      </c>
      <c r="E16294">
        <f t="shared" si="768"/>
        <v>9.8039215686274508E-3</v>
      </c>
      <c r="F16294">
        <v>66</v>
      </c>
      <c r="G16294">
        <f>LOG(382/(66+1))</f>
        <v>0.75598856021088234</v>
      </c>
      <c r="H16294">
        <f>0.00980392156862745*1.7407279892156</f>
        <v>1.7065960678584315E-2</v>
      </c>
      <c r="I16294">
        <v>1.7065960678584399E-2</v>
      </c>
    </row>
    <row r="16295" spans="1:9" x14ac:dyDescent="0.25">
      <c r="A16295">
        <v>521</v>
      </c>
      <c r="B16295" t="s">
        <v>4232</v>
      </c>
      <c r="C16295" t="s">
        <v>138</v>
      </c>
      <c r="D16295" t="s">
        <v>1773</v>
      </c>
      <c r="E16295">
        <f t="shared" si="768"/>
        <v>9.8039215686274508E-3</v>
      </c>
      <c r="F16295">
        <v>24</v>
      </c>
      <c r="G16295">
        <f>LOG(382/(24+1))</f>
        <v>1.1841233542396712</v>
      </c>
      <c r="H16295">
        <f>0.00980392156862745*2.72654478373837</f>
        <v>2.6730831213121274E-2</v>
      </c>
      <c r="I16295">
        <v>2.6730831213121319E-2</v>
      </c>
    </row>
    <row r="16296" spans="1:9" x14ac:dyDescent="0.25">
      <c r="A16296">
        <v>521</v>
      </c>
      <c r="B16296" t="s">
        <v>4232</v>
      </c>
      <c r="C16296" t="s">
        <v>138</v>
      </c>
      <c r="D16296" t="s">
        <v>447</v>
      </c>
      <c r="E16296">
        <f t="shared" si="768"/>
        <v>9.8039215686274508E-3</v>
      </c>
      <c r="F16296">
        <v>37</v>
      </c>
      <c r="G16296">
        <f>LOG(382/(37+1))</f>
        <v>1.0022797662948986</v>
      </c>
      <c r="H16296">
        <f>0.00980392156862745*2.30783444888018</f>
        <v>2.262582793019784E-2</v>
      </c>
      <c r="I16296">
        <v>2.262582793019793E-2</v>
      </c>
    </row>
    <row r="16297" spans="1:9" x14ac:dyDescent="0.25">
      <c r="A16297">
        <v>521</v>
      </c>
      <c r="B16297" t="s">
        <v>4232</v>
      </c>
      <c r="C16297" t="s">
        <v>138</v>
      </c>
      <c r="D16297" t="s">
        <v>324</v>
      </c>
      <c r="E16297">
        <f t="shared" si="768"/>
        <v>9.8039215686274508E-3</v>
      </c>
      <c r="F16297">
        <v>82</v>
      </c>
      <c r="G16297">
        <f>LOG(382/(82+1))</f>
        <v>0.66298527053563483</v>
      </c>
      <c r="H16297">
        <f>0.00980392156862745*1.52658000080997</f>
        <v>1.4966470596176175E-2</v>
      </c>
      <c r="I16297">
        <v>1.496647059617625E-2</v>
      </c>
    </row>
    <row r="16298" spans="1:9" x14ac:dyDescent="0.25">
      <c r="A16298">
        <v>521</v>
      </c>
      <c r="B16298" t="s">
        <v>4232</v>
      </c>
      <c r="C16298" t="s">
        <v>138</v>
      </c>
      <c r="D16298" t="s">
        <v>767</v>
      </c>
      <c r="E16298">
        <f t="shared" si="768"/>
        <v>9.8039215686274508E-3</v>
      </c>
      <c r="F16298">
        <v>47</v>
      </c>
      <c r="G16298">
        <f>LOG(382/(47+1))</f>
        <v>0.90082212553612151</v>
      </c>
      <c r="H16298">
        <f>0.00980392156862745*2.07421959769868</f>
        <v>2.0335486251947844E-2</v>
      </c>
      <c r="I16298">
        <v>2.0335486251947879E-2</v>
      </c>
    </row>
    <row r="16299" spans="1:9" x14ac:dyDescent="0.25">
      <c r="A16299">
        <v>521</v>
      </c>
      <c r="B16299" t="s">
        <v>4232</v>
      </c>
      <c r="C16299" t="s">
        <v>138</v>
      </c>
      <c r="D16299" t="s">
        <v>3970</v>
      </c>
      <c r="E16299">
        <f t="shared" si="768"/>
        <v>9.8039215686274508E-3</v>
      </c>
      <c r="F16299">
        <v>3</v>
      </c>
      <c r="G16299">
        <f>LOG(382/(3+1))</f>
        <v>1.9800033715837464</v>
      </c>
      <c r="H16299">
        <f>0.00980392156862745*4.55912624748668</f>
        <v>4.4697316151830195E-2</v>
      </c>
      <c r="I16299">
        <v>4.4697316151830237E-2</v>
      </c>
    </row>
    <row r="16300" spans="1:9" x14ac:dyDescent="0.25">
      <c r="A16300">
        <v>521</v>
      </c>
      <c r="B16300" t="s">
        <v>4232</v>
      </c>
      <c r="C16300" t="s">
        <v>138</v>
      </c>
      <c r="D16300" t="s">
        <v>2035</v>
      </c>
      <c r="E16300">
        <f t="shared" si="768"/>
        <v>9.8039215686274508E-3</v>
      </c>
      <c r="F16300">
        <v>13</v>
      </c>
      <c r="G16300">
        <f>LOG(382/(13+1))</f>
        <v>1.4359353272334707</v>
      </c>
      <c r="H16300">
        <f>0.00980392156862745*3.30636327899131</f>
        <v>3.2415326264620688E-2</v>
      </c>
      <c r="I16300">
        <v>3.241532626462075E-2</v>
      </c>
    </row>
    <row r="16301" spans="1:9" x14ac:dyDescent="0.25">
      <c r="A16301">
        <v>521</v>
      </c>
      <c r="B16301" t="s">
        <v>4232</v>
      </c>
      <c r="C16301" t="s">
        <v>138</v>
      </c>
      <c r="D16301" t="s">
        <v>361</v>
      </c>
      <c r="E16301">
        <f>2/102</f>
        <v>1.9607843137254902E-2</v>
      </c>
      <c r="F16301">
        <v>118</v>
      </c>
      <c r="G16301">
        <f>LOG(382/(118+1))</f>
        <v>0.50651640151917798</v>
      </c>
      <c r="H16301">
        <f>0.0196078431372549*1.16629711549504</f>
        <v>2.2868570892059605E-2</v>
      </c>
      <c r="I16301">
        <v>2.2868570892059719E-2</v>
      </c>
    </row>
    <row r="16302" spans="1:9" x14ac:dyDescent="0.25">
      <c r="A16302">
        <v>521</v>
      </c>
      <c r="B16302" t="s">
        <v>4232</v>
      </c>
      <c r="C16302" t="s">
        <v>138</v>
      </c>
      <c r="D16302" t="s">
        <v>4240</v>
      </c>
      <c r="E16302">
        <f t="shared" ref="E16302:E16313" si="769">1/102</f>
        <v>9.8039215686274508E-3</v>
      </c>
      <c r="F16302">
        <v>1</v>
      </c>
      <c r="G16302">
        <f>LOG(382/(1+1))</f>
        <v>2.2810333672477277</v>
      </c>
      <c r="H16302">
        <f>0.00980392156862745*5.25227342804663</f>
        <v>5.1492876745555194E-2</v>
      </c>
      <c r="I16302">
        <v>5.1492876745555187E-2</v>
      </c>
    </row>
    <row r="16303" spans="1:9" x14ac:dyDescent="0.25">
      <c r="A16303">
        <v>521</v>
      </c>
      <c r="B16303" t="s">
        <v>4232</v>
      </c>
      <c r="C16303" t="s">
        <v>138</v>
      </c>
      <c r="D16303" t="s">
        <v>243</v>
      </c>
      <c r="E16303">
        <f t="shared" si="769"/>
        <v>9.8039215686274508E-3</v>
      </c>
      <c r="F16303">
        <v>131</v>
      </c>
      <c r="G16303">
        <f>LOG(382/(131+1))</f>
        <v>0.46148943170585888</v>
      </c>
      <c r="H16303">
        <f>0.00980392156862745*1.0626186860202</f>
        <v>1.04178302551E-2</v>
      </c>
      <c r="I16303">
        <v>1.041783025510004E-2</v>
      </c>
    </row>
    <row r="16304" spans="1:9" x14ac:dyDescent="0.25">
      <c r="A16304">
        <v>521</v>
      </c>
      <c r="B16304" t="s">
        <v>4232</v>
      </c>
      <c r="C16304" t="s">
        <v>138</v>
      </c>
      <c r="D16304" t="s">
        <v>453</v>
      </c>
      <c r="E16304">
        <f t="shared" si="769"/>
        <v>9.8039215686274508E-3</v>
      </c>
      <c r="F16304">
        <v>68</v>
      </c>
      <c r="G16304">
        <f>LOG(382/(68+1))</f>
        <v>0.74321427217445335</v>
      </c>
      <c r="H16304">
        <f>0.00980392156862745*1.71131410400931</f>
        <v>1.6777589254993237E-2</v>
      </c>
      <c r="I16304">
        <v>1.6777589254993289E-2</v>
      </c>
    </row>
    <row r="16305" spans="1:9" x14ac:dyDescent="0.25">
      <c r="A16305">
        <v>521</v>
      </c>
      <c r="B16305" t="s">
        <v>4232</v>
      </c>
      <c r="C16305" t="s">
        <v>138</v>
      </c>
      <c r="D16305" t="s">
        <v>456</v>
      </c>
      <c r="E16305">
        <f t="shared" si="769"/>
        <v>9.8039215686274508E-3</v>
      </c>
      <c r="F16305">
        <v>71</v>
      </c>
      <c r="G16305">
        <f>LOG(382/(71+1))</f>
        <v>0.72473086648044027</v>
      </c>
      <c r="H16305">
        <f>0.00980392156862745*1.66875448959051</f>
        <v>1.6360338133240292E-2</v>
      </c>
      <c r="I16305">
        <v>1.636033813324039E-2</v>
      </c>
    </row>
    <row r="16306" spans="1:9" x14ac:dyDescent="0.25">
      <c r="A16306">
        <v>521</v>
      </c>
      <c r="B16306" t="s">
        <v>4232</v>
      </c>
      <c r="C16306" t="s">
        <v>138</v>
      </c>
      <c r="D16306" t="s">
        <v>1779</v>
      </c>
      <c r="E16306">
        <f t="shared" si="769"/>
        <v>9.8039215686274508E-3</v>
      </c>
      <c r="F16306">
        <v>41</v>
      </c>
      <c r="G16306">
        <f>LOG(382/(41+1))</f>
        <v>0.95881407251380824</v>
      </c>
      <c r="H16306">
        <f>0.00980392156862745*2.2077509903232</f>
        <v>2.1644617552188238E-2</v>
      </c>
      <c r="I16306">
        <v>2.16446175521883E-2</v>
      </c>
    </row>
    <row r="16307" spans="1:9" x14ac:dyDescent="0.25">
      <c r="A16307">
        <v>521</v>
      </c>
      <c r="B16307" t="s">
        <v>4232</v>
      </c>
      <c r="C16307" t="s">
        <v>138</v>
      </c>
      <c r="D16307" t="s">
        <v>3956</v>
      </c>
      <c r="E16307">
        <f t="shared" si="769"/>
        <v>9.8039215686274508E-3</v>
      </c>
      <c r="F16307">
        <v>8</v>
      </c>
      <c r="G16307">
        <f>LOG(382/(8+1))</f>
        <v>1.6278208534723839</v>
      </c>
      <c r="H16307">
        <f>0.00980392156862745*3.74819603127035</f>
        <v>3.6747019914415195E-2</v>
      </c>
      <c r="I16307">
        <v>3.6747019914415251E-2</v>
      </c>
    </row>
    <row r="16308" spans="1:9" x14ac:dyDescent="0.25">
      <c r="A16308">
        <v>521</v>
      </c>
      <c r="B16308" t="s">
        <v>4232</v>
      </c>
      <c r="C16308" t="s">
        <v>138</v>
      </c>
      <c r="D16308" t="s">
        <v>4241</v>
      </c>
      <c r="E16308">
        <f t="shared" si="769"/>
        <v>9.8039215686274508E-3</v>
      </c>
      <c r="F16308">
        <v>1</v>
      </c>
      <c r="G16308">
        <f>LOG(382/(1+1))</f>
        <v>2.2810333672477277</v>
      </c>
      <c r="H16308">
        <f>0.00980392156862745*5.25227342804663</f>
        <v>5.1492876745555194E-2</v>
      </c>
      <c r="I16308">
        <v>5.1492876745555187E-2</v>
      </c>
    </row>
    <row r="16309" spans="1:9" x14ac:dyDescent="0.25">
      <c r="A16309">
        <v>521</v>
      </c>
      <c r="B16309" t="s">
        <v>4232</v>
      </c>
      <c r="C16309" t="s">
        <v>138</v>
      </c>
      <c r="D16309" t="s">
        <v>457</v>
      </c>
      <c r="E16309">
        <f t="shared" si="769"/>
        <v>9.8039215686274508E-3</v>
      </c>
      <c r="F16309">
        <v>6</v>
      </c>
      <c r="G16309">
        <f>LOG(382/(6+1))</f>
        <v>1.736965322897452</v>
      </c>
      <c r="H16309">
        <f>0.00980392156862745*3.99951045955126</f>
        <v>3.9210886858345687E-2</v>
      </c>
      <c r="I16309">
        <v>3.92108868583457E-2</v>
      </c>
    </row>
    <row r="16310" spans="1:9" x14ac:dyDescent="0.25">
      <c r="A16310">
        <v>521</v>
      </c>
      <c r="B16310" t="s">
        <v>4232</v>
      </c>
      <c r="C16310" t="s">
        <v>138</v>
      </c>
      <c r="D16310" t="s">
        <v>4242</v>
      </c>
      <c r="E16310">
        <f t="shared" si="769"/>
        <v>9.8039215686274508E-3</v>
      </c>
      <c r="F16310">
        <v>1</v>
      </c>
      <c r="G16310">
        <f>LOG(382/(1+1))</f>
        <v>2.2810333672477277</v>
      </c>
      <c r="H16310">
        <f>0.00980392156862745*5.25227342804663</f>
        <v>5.1492876745555194E-2</v>
      </c>
      <c r="I16310">
        <v>5.1492876745555187E-2</v>
      </c>
    </row>
    <row r="16311" spans="1:9" x14ac:dyDescent="0.25">
      <c r="A16311">
        <v>521</v>
      </c>
      <c r="B16311" t="s">
        <v>4232</v>
      </c>
      <c r="C16311" t="s">
        <v>138</v>
      </c>
      <c r="D16311" t="s">
        <v>434</v>
      </c>
      <c r="E16311">
        <f t="shared" si="769"/>
        <v>9.8039215686274508E-3</v>
      </c>
      <c r="F16311">
        <v>97</v>
      </c>
      <c r="G16311">
        <f>LOG(382/(97+1))</f>
        <v>0.59083728721921391</v>
      </c>
      <c r="H16311">
        <f>0.00980392156862745*1.360453129936</f>
        <v>1.3337775783686275E-2</v>
      </c>
      <c r="I16311">
        <v>1.333777578368631E-2</v>
      </c>
    </row>
    <row r="16312" spans="1:9" x14ac:dyDescent="0.25">
      <c r="A16312">
        <v>521</v>
      </c>
      <c r="B16312" t="s">
        <v>4232</v>
      </c>
      <c r="C16312" t="s">
        <v>138</v>
      </c>
      <c r="D16312" t="s">
        <v>4243</v>
      </c>
      <c r="E16312">
        <f t="shared" si="769"/>
        <v>9.8039215686274508E-3</v>
      </c>
      <c r="F16312">
        <v>1</v>
      </c>
      <c r="G16312">
        <f>LOG(382/(1+1))</f>
        <v>2.2810333672477277</v>
      </c>
      <c r="H16312">
        <f>0.00980392156862745*5.25227342804663</f>
        <v>5.1492876745555194E-2</v>
      </c>
      <c r="I16312">
        <v>5.1492876745555187E-2</v>
      </c>
    </row>
    <row r="16313" spans="1:9" x14ac:dyDescent="0.25">
      <c r="A16313">
        <v>521</v>
      </c>
      <c r="B16313" t="s">
        <v>4232</v>
      </c>
      <c r="C16313" t="s">
        <v>138</v>
      </c>
      <c r="D16313" t="s">
        <v>3733</v>
      </c>
      <c r="E16313">
        <f t="shared" si="769"/>
        <v>9.8039215686274508E-3</v>
      </c>
      <c r="F16313">
        <v>2</v>
      </c>
      <c r="G16313">
        <f>LOG(382/(2+1))</f>
        <v>2.1049421081920463</v>
      </c>
      <c r="H16313">
        <f>0.00980392156862745*4.84680831993846</f>
        <v>4.7517728626847645E-2</v>
      </c>
      <c r="I16313">
        <v>4.7517728626847701E-2</v>
      </c>
    </row>
    <row r="16314" spans="1:9" x14ac:dyDescent="0.25">
      <c r="A16314">
        <v>521</v>
      </c>
      <c r="B16314" t="s">
        <v>4232</v>
      </c>
      <c r="C16314" t="s">
        <v>138</v>
      </c>
      <c r="D16314" t="s">
        <v>214</v>
      </c>
      <c r="E16314">
        <f>2/102</f>
        <v>1.9607843137254902E-2</v>
      </c>
      <c r="F16314">
        <v>68</v>
      </c>
      <c r="G16314">
        <f>LOG(382/(68+1))</f>
        <v>0.74321427217445335</v>
      </c>
      <c r="H16314">
        <f>0.0196078431372549*1.71131410400931</f>
        <v>3.3555178509986475E-2</v>
      </c>
      <c r="I16314">
        <v>3.3555178509986593E-2</v>
      </c>
    </row>
    <row r="16315" spans="1:9" x14ac:dyDescent="0.25">
      <c r="A16315">
        <v>521</v>
      </c>
      <c r="B16315" t="s">
        <v>4232</v>
      </c>
      <c r="C16315" t="s">
        <v>138</v>
      </c>
      <c r="D16315" t="s">
        <v>4244</v>
      </c>
      <c r="E16315">
        <f>1/102</f>
        <v>9.8039215686274508E-3</v>
      </c>
      <c r="F16315">
        <v>1</v>
      </c>
      <c r="G16315">
        <f>LOG(382/(1+1))</f>
        <v>2.2810333672477277</v>
      </c>
      <c r="H16315">
        <f>0.00980392156862745*5.25227342804663</f>
        <v>5.1492876745555194E-2</v>
      </c>
      <c r="I16315">
        <v>5.1492876745555187E-2</v>
      </c>
    </row>
    <row r="16316" spans="1:9" x14ac:dyDescent="0.25">
      <c r="A16316">
        <v>521</v>
      </c>
      <c r="B16316" t="s">
        <v>4232</v>
      </c>
      <c r="C16316" t="s">
        <v>138</v>
      </c>
      <c r="D16316" t="s">
        <v>4062</v>
      </c>
      <c r="E16316">
        <f>1/102</f>
        <v>9.8039215686274508E-3</v>
      </c>
      <c r="F16316">
        <v>3</v>
      </c>
      <c r="G16316">
        <f>LOG(382/(3+1))</f>
        <v>1.9800033715837464</v>
      </c>
      <c r="H16316">
        <f>0.00980392156862745*4.55912624748668</f>
        <v>4.4697316151830195E-2</v>
      </c>
      <c r="I16316">
        <v>4.4697316151830237E-2</v>
      </c>
    </row>
    <row r="16317" spans="1:9" x14ac:dyDescent="0.25">
      <c r="A16317">
        <v>522</v>
      </c>
      <c r="B16317" t="s">
        <v>4245</v>
      </c>
      <c r="C16317" t="s">
        <v>75</v>
      </c>
      <c r="D16317" t="s">
        <v>112</v>
      </c>
      <c r="E16317">
        <f t="shared" ref="E16317:E16322" si="770">1/54</f>
        <v>1.8518518518518517E-2</v>
      </c>
      <c r="F16317">
        <v>52</v>
      </c>
      <c r="G16317">
        <f>LOG(382/(52+1))</f>
        <v>0.85778749331091964</v>
      </c>
      <c r="H16317">
        <f>0.0185185185185185*1.97512869505445</f>
        <v>3.657645731582311E-2</v>
      </c>
      <c r="I16317">
        <v>3.6576457315823208E-2</v>
      </c>
    </row>
    <row r="16318" spans="1:9" x14ac:dyDescent="0.25">
      <c r="A16318">
        <v>522</v>
      </c>
      <c r="B16318" t="s">
        <v>4245</v>
      </c>
      <c r="C16318" t="s">
        <v>75</v>
      </c>
      <c r="D16318" t="s">
        <v>82</v>
      </c>
      <c r="E16318">
        <f t="shared" si="770"/>
        <v>1.8518518518518517E-2</v>
      </c>
      <c r="F16318">
        <v>92</v>
      </c>
      <c r="G16318">
        <f>LOG(382/(92+1))</f>
        <v>0.61358041435777355</v>
      </c>
      <c r="H16318">
        <f>0.0185185185185185*1.41282111545331</f>
        <v>2.6163353989876084E-2</v>
      </c>
      <c r="I16318">
        <v>2.6163353989876278E-2</v>
      </c>
    </row>
    <row r="16319" spans="1:9" x14ac:dyDescent="0.25">
      <c r="A16319">
        <v>522</v>
      </c>
      <c r="B16319" t="s">
        <v>4245</v>
      </c>
      <c r="C16319" t="s">
        <v>75</v>
      </c>
      <c r="D16319" t="s">
        <v>4246</v>
      </c>
      <c r="E16319">
        <f t="shared" si="770"/>
        <v>1.8518518518518517E-2</v>
      </c>
      <c r="F16319">
        <v>1</v>
      </c>
      <c r="G16319">
        <f>LOG(382/(1+1))</f>
        <v>2.2810333672477277</v>
      </c>
      <c r="H16319">
        <f>0.0185185185185185*5.25227342804663</f>
        <v>9.7264322741604167E-2</v>
      </c>
      <c r="I16319">
        <v>9.7264322741604251E-2</v>
      </c>
    </row>
    <row r="16320" spans="1:9" x14ac:dyDescent="0.25">
      <c r="A16320">
        <v>522</v>
      </c>
      <c r="B16320" t="s">
        <v>4245</v>
      </c>
      <c r="C16320" t="s">
        <v>75</v>
      </c>
      <c r="D16320" t="s">
        <v>4247</v>
      </c>
      <c r="E16320">
        <f t="shared" si="770"/>
        <v>1.8518518518518517E-2</v>
      </c>
      <c r="F16320">
        <v>1</v>
      </c>
      <c r="G16320">
        <f>LOG(382/(1+1))</f>
        <v>2.2810333672477277</v>
      </c>
      <c r="H16320">
        <f>0.0185185185185185*5.25227342804663</f>
        <v>9.7264322741604167E-2</v>
      </c>
      <c r="I16320">
        <v>9.7264322741604251E-2</v>
      </c>
    </row>
    <row r="16321" spans="1:9" x14ac:dyDescent="0.25">
      <c r="A16321">
        <v>522</v>
      </c>
      <c r="B16321" t="s">
        <v>4245</v>
      </c>
      <c r="C16321" t="s">
        <v>75</v>
      </c>
      <c r="D16321" t="s">
        <v>42</v>
      </c>
      <c r="E16321">
        <f t="shared" si="770"/>
        <v>1.8518518518518517E-2</v>
      </c>
      <c r="F16321">
        <v>251</v>
      </c>
      <c r="G16321">
        <f>LOG(382/(251+1))</f>
        <v>0.18066282213016463</v>
      </c>
      <c r="H16321">
        <f>0.0185185185185185*0.415991521095151</f>
        <v>7.703546686947233E-3</v>
      </c>
      <c r="I16321">
        <v>7.7035466869472564E-3</v>
      </c>
    </row>
    <row r="16322" spans="1:9" x14ac:dyDescent="0.25">
      <c r="A16322">
        <v>522</v>
      </c>
      <c r="B16322" t="s">
        <v>4245</v>
      </c>
      <c r="C16322" t="s">
        <v>75</v>
      </c>
      <c r="D16322" t="s">
        <v>552</v>
      </c>
      <c r="E16322">
        <f t="shared" si="770"/>
        <v>1.8518518518518517E-2</v>
      </c>
      <c r="F16322">
        <v>14</v>
      </c>
      <c r="G16322">
        <f>LOG(382/(14+1))</f>
        <v>1.4059721038560276</v>
      </c>
      <c r="H16322">
        <f>0.0185185185185185*3.23737040750436</f>
        <v>5.9951303842673269E-2</v>
      </c>
      <c r="I16322">
        <v>5.9951303842673428E-2</v>
      </c>
    </row>
    <row r="16323" spans="1:9" x14ac:dyDescent="0.25">
      <c r="A16323">
        <v>522</v>
      </c>
      <c r="B16323" t="s">
        <v>4245</v>
      </c>
      <c r="C16323" t="s">
        <v>75</v>
      </c>
      <c r="D16323" t="s">
        <v>111</v>
      </c>
      <c r="E16323">
        <f>2/54</f>
        <v>3.7037037037037035E-2</v>
      </c>
      <c r="F16323">
        <v>33</v>
      </c>
      <c r="G16323">
        <f>LOG(382/(33+1))</f>
        <v>1.0505844458694535</v>
      </c>
      <c r="H16323">
        <f>0.037037037037037*2.41906008399041</f>
        <v>8.9594817925570655E-2</v>
      </c>
      <c r="I16323">
        <v>8.9594817925570877E-2</v>
      </c>
    </row>
    <row r="16324" spans="1:9" x14ac:dyDescent="0.25">
      <c r="A16324">
        <v>522</v>
      </c>
      <c r="B16324" t="s">
        <v>4245</v>
      </c>
      <c r="C16324" t="s">
        <v>75</v>
      </c>
      <c r="D16324" t="s">
        <v>4135</v>
      </c>
      <c r="E16324">
        <f>2/54</f>
        <v>3.7037037037037035E-2</v>
      </c>
      <c r="F16324">
        <v>6</v>
      </c>
      <c r="G16324">
        <f>LOG(382/(6+1))</f>
        <v>1.736965322897452</v>
      </c>
      <c r="H16324">
        <f>0.037037037037037*3.99951045955126</f>
        <v>0.14813001702041689</v>
      </c>
      <c r="I16324">
        <v>0.14813001702041709</v>
      </c>
    </row>
    <row r="16325" spans="1:9" x14ac:dyDescent="0.25">
      <c r="A16325">
        <v>522</v>
      </c>
      <c r="B16325" t="s">
        <v>4245</v>
      </c>
      <c r="C16325" t="s">
        <v>75</v>
      </c>
      <c r="D16325" t="s">
        <v>17</v>
      </c>
      <c r="E16325">
        <f t="shared" ref="E16325:E16333" si="771">1/54</f>
        <v>1.8518518518518517E-2</v>
      </c>
      <c r="F16325">
        <v>169</v>
      </c>
      <c r="G16325">
        <f>LOG(382/(169+1))</f>
        <v>0.3516144415334348</v>
      </c>
      <c r="H16325">
        <f>0.0185185185185185*0.809622171556313</f>
        <v>1.4993003176968745E-2</v>
      </c>
      <c r="I16325">
        <v>1.4993003176968771E-2</v>
      </c>
    </row>
    <row r="16326" spans="1:9" x14ac:dyDescent="0.25">
      <c r="A16326">
        <v>522</v>
      </c>
      <c r="B16326" t="s">
        <v>4245</v>
      </c>
      <c r="C16326" t="s">
        <v>75</v>
      </c>
      <c r="D16326" t="s">
        <v>19</v>
      </c>
      <c r="E16326">
        <f t="shared" si="771"/>
        <v>1.8518518518518517E-2</v>
      </c>
      <c r="F16326">
        <v>220</v>
      </c>
      <c r="G16326">
        <f>LOG(382/(220+1))</f>
        <v>0.23767108922659805</v>
      </c>
      <c r="H16326">
        <f>0.0185185185185185*0.547257907088822</f>
        <v>1.0134405686830028E-2</v>
      </c>
      <c r="I16326">
        <v>1.013440568683004E-2</v>
      </c>
    </row>
    <row r="16327" spans="1:9" x14ac:dyDescent="0.25">
      <c r="A16327">
        <v>522</v>
      </c>
      <c r="B16327" t="s">
        <v>4245</v>
      </c>
      <c r="C16327" t="s">
        <v>75</v>
      </c>
      <c r="D16327" t="s">
        <v>808</v>
      </c>
      <c r="E16327">
        <f t="shared" si="771"/>
        <v>1.8518518518518517E-2</v>
      </c>
      <c r="F16327">
        <v>20</v>
      </c>
      <c r="G16327">
        <f>LOG(382/(20+1))</f>
        <v>1.2598440681777894</v>
      </c>
      <c r="H16327">
        <f>0.0185185185185185*2.90089817088315</f>
        <v>5.3720336497836058E-2</v>
      </c>
      <c r="I16327">
        <v>5.3720336497836148E-2</v>
      </c>
    </row>
    <row r="16328" spans="1:9" x14ac:dyDescent="0.25">
      <c r="A16328">
        <v>522</v>
      </c>
      <c r="B16328" t="s">
        <v>4245</v>
      </c>
      <c r="C16328" t="s">
        <v>75</v>
      </c>
      <c r="D16328" t="s">
        <v>809</v>
      </c>
      <c r="E16328">
        <f t="shared" si="771"/>
        <v>1.8518518518518517E-2</v>
      </c>
      <c r="F16328">
        <v>19</v>
      </c>
      <c r="G16328">
        <f>LOG(382/(19+1))</f>
        <v>1.2810333672477277</v>
      </c>
      <c r="H16328">
        <f>0.0185185185185185*2.94968833505258</f>
        <v>5.4623858056529202E-2</v>
      </c>
      <c r="I16328">
        <v>5.4623858056529341E-2</v>
      </c>
    </row>
    <row r="16329" spans="1:9" x14ac:dyDescent="0.25">
      <c r="A16329">
        <v>522</v>
      </c>
      <c r="B16329" t="s">
        <v>4245</v>
      </c>
      <c r="C16329" t="s">
        <v>75</v>
      </c>
      <c r="D16329" t="s">
        <v>22</v>
      </c>
      <c r="E16329">
        <f t="shared" si="771"/>
        <v>1.8518518518518517E-2</v>
      </c>
      <c r="F16329">
        <v>259</v>
      </c>
      <c r="G16329">
        <f>LOG(382/(259+1))</f>
        <v>0.16709001494089079</v>
      </c>
      <c r="H16329">
        <f>0.0185185185185185*0.384738977591047</f>
        <v>7.124795881315679E-3</v>
      </c>
      <c r="I16329">
        <v>7.1247958813156946E-3</v>
      </c>
    </row>
    <row r="16330" spans="1:9" x14ac:dyDescent="0.25">
      <c r="A16330">
        <v>522</v>
      </c>
      <c r="B16330" t="s">
        <v>4245</v>
      </c>
      <c r="C16330" t="s">
        <v>75</v>
      </c>
      <c r="D16330" t="s">
        <v>23</v>
      </c>
      <c r="E16330">
        <f t="shared" si="771"/>
        <v>1.8518518518518517E-2</v>
      </c>
      <c r="F16330">
        <v>275</v>
      </c>
      <c r="G16330">
        <f>LOG(382/(275+1))</f>
        <v>0.14115428084649101</v>
      </c>
      <c r="H16330">
        <f>0.0185185185185185*0.325019742889425</f>
        <v>6.0188841275819385E-3</v>
      </c>
      <c r="I16330">
        <v>6.0188841275819471E-3</v>
      </c>
    </row>
    <row r="16331" spans="1:9" x14ac:dyDescent="0.25">
      <c r="A16331">
        <v>522</v>
      </c>
      <c r="B16331" t="s">
        <v>4245</v>
      </c>
      <c r="C16331" t="s">
        <v>75</v>
      </c>
      <c r="D16331" t="s">
        <v>3779</v>
      </c>
      <c r="E16331">
        <f t="shared" si="771"/>
        <v>1.8518518518518517E-2</v>
      </c>
      <c r="F16331">
        <v>5</v>
      </c>
      <c r="G16331">
        <f>LOG(382/(5+1))</f>
        <v>1.803912112528065</v>
      </c>
      <c r="H16331">
        <f>0.0185185185185185*4.15366113937852</f>
        <v>7.6919650729231778E-2</v>
      </c>
      <c r="I16331">
        <v>7.6919650729231848E-2</v>
      </c>
    </row>
    <row r="16332" spans="1:9" x14ac:dyDescent="0.25">
      <c r="A16332">
        <v>522</v>
      </c>
      <c r="B16332" t="s">
        <v>4245</v>
      </c>
      <c r="C16332" t="s">
        <v>75</v>
      </c>
      <c r="D16332" t="s">
        <v>1537</v>
      </c>
      <c r="E16332">
        <f t="shared" si="771"/>
        <v>1.8518518518518517E-2</v>
      </c>
      <c r="F16332">
        <v>80</v>
      </c>
      <c r="G16332">
        <f>LOG(382/(80+1))</f>
        <v>0.67357834403305894</v>
      </c>
      <c r="H16332">
        <f>0.0185185185185185*1.55097145393413</f>
        <v>2.8721693591372749E-2</v>
      </c>
      <c r="I16332">
        <v>2.8721693591372891E-2</v>
      </c>
    </row>
    <row r="16333" spans="1:9" x14ac:dyDescent="0.25">
      <c r="A16333">
        <v>522</v>
      </c>
      <c r="B16333" t="s">
        <v>4245</v>
      </c>
      <c r="C16333" t="s">
        <v>75</v>
      </c>
      <c r="D16333" t="s">
        <v>105</v>
      </c>
      <c r="E16333">
        <f t="shared" si="771"/>
        <v>1.8518518518518517E-2</v>
      </c>
      <c r="F16333">
        <v>122</v>
      </c>
      <c r="G16333">
        <f>LOG(382/(122+1))</f>
        <v>0.49215825147231079</v>
      </c>
      <c r="H16333">
        <f>0.0185185185185185*1.13323625323415</f>
        <v>2.0985856541373128E-2</v>
      </c>
      <c r="I16333">
        <v>2.0985856541373291E-2</v>
      </c>
    </row>
    <row r="16334" spans="1:9" x14ac:dyDescent="0.25">
      <c r="A16334">
        <v>522</v>
      </c>
      <c r="B16334" t="s">
        <v>4245</v>
      </c>
      <c r="C16334" t="s">
        <v>75</v>
      </c>
      <c r="D16334" t="s">
        <v>1762</v>
      </c>
      <c r="E16334">
        <f>2/54</f>
        <v>3.7037037037037035E-2</v>
      </c>
      <c r="F16334">
        <v>60</v>
      </c>
      <c r="G16334">
        <f>LOG(382/(60+1))</f>
        <v>0.79673352790094176</v>
      </c>
      <c r="H16334">
        <f>0.037037037037037*1.83454674443326</f>
        <v>6.7946175719750299E-2</v>
      </c>
      <c r="I16334">
        <v>6.7946175719750507E-2</v>
      </c>
    </row>
    <row r="16335" spans="1:9" x14ac:dyDescent="0.25">
      <c r="A16335">
        <v>522</v>
      </c>
      <c r="B16335" t="s">
        <v>4245</v>
      </c>
      <c r="C16335" t="s">
        <v>75</v>
      </c>
      <c r="D16335" t="s">
        <v>98</v>
      </c>
      <c r="E16335">
        <f>2/54</f>
        <v>3.7037037037037035E-2</v>
      </c>
      <c r="F16335">
        <v>56</v>
      </c>
      <c r="G16335">
        <f>LOG(382/(56+1))</f>
        <v>0.82618850723921733</v>
      </c>
      <c r="H16335">
        <f>0.037037037037037*1.90236934077202</f>
        <v>7.0458123732296971E-2</v>
      </c>
      <c r="I16335">
        <v>7.045812373229722E-2</v>
      </c>
    </row>
    <row r="16336" spans="1:9" x14ac:dyDescent="0.25">
      <c r="A16336">
        <v>522</v>
      </c>
      <c r="B16336" t="s">
        <v>4245</v>
      </c>
      <c r="C16336" t="s">
        <v>75</v>
      </c>
      <c r="D16336" t="s">
        <v>50</v>
      </c>
      <c r="E16336">
        <f>2/54</f>
        <v>3.7037037037037035E-2</v>
      </c>
      <c r="F16336">
        <v>109</v>
      </c>
      <c r="G16336">
        <f>LOG(382/(109+1))</f>
        <v>0.54067067775348365</v>
      </c>
      <c r="H16336">
        <f>0.037037037037037*1.24494024281415</f>
        <v>4.6108897882005513E-2</v>
      </c>
      <c r="I16336">
        <v>4.6108897882005881E-2</v>
      </c>
    </row>
    <row r="16337" spans="1:9" x14ac:dyDescent="0.25">
      <c r="A16337">
        <v>522</v>
      </c>
      <c r="B16337" t="s">
        <v>4245</v>
      </c>
      <c r="C16337" t="s">
        <v>75</v>
      </c>
      <c r="D16337" t="s">
        <v>240</v>
      </c>
      <c r="E16337">
        <f t="shared" ref="E16337:E16365" si="772">1/54</f>
        <v>1.8518518518518517E-2</v>
      </c>
      <c r="F16337">
        <v>15</v>
      </c>
      <c r="G16337">
        <f>LOG(382/(15+1))</f>
        <v>1.3779433802557839</v>
      </c>
      <c r="H16337">
        <f>0.0185185185185185*3.17283188636679</f>
        <v>5.8756146043829387E-2</v>
      </c>
      <c r="I16337">
        <v>5.8756146043829519E-2</v>
      </c>
    </row>
    <row r="16338" spans="1:9" x14ac:dyDescent="0.25">
      <c r="A16338">
        <v>522</v>
      </c>
      <c r="B16338" t="s">
        <v>4245</v>
      </c>
      <c r="C16338" t="s">
        <v>75</v>
      </c>
      <c r="D16338" t="s">
        <v>3492</v>
      </c>
      <c r="E16338">
        <f t="shared" si="772"/>
        <v>1.8518518518518517E-2</v>
      </c>
      <c r="F16338">
        <v>12</v>
      </c>
      <c r="G16338">
        <f>LOG(382/(12+1))</f>
        <v>1.468120010604872</v>
      </c>
      <c r="H16338">
        <f>0.0185185185185185*3.38047125114503</f>
        <v>6.2601319465648647E-2</v>
      </c>
      <c r="I16338">
        <v>6.2601319465648855E-2</v>
      </c>
    </row>
    <row r="16339" spans="1:9" x14ac:dyDescent="0.25">
      <c r="A16339">
        <v>522</v>
      </c>
      <c r="B16339" t="s">
        <v>4245</v>
      </c>
      <c r="C16339" t="s">
        <v>75</v>
      </c>
      <c r="D16339" t="s">
        <v>3403</v>
      </c>
      <c r="E16339">
        <f t="shared" si="772"/>
        <v>1.8518518518518517E-2</v>
      </c>
      <c r="F16339">
        <v>5</v>
      </c>
      <c r="G16339">
        <f>LOG(382/(5+1))</f>
        <v>1.803912112528065</v>
      </c>
      <c r="H16339">
        <f>0.0185185185185185*4.15366113937852</f>
        <v>7.6919650729231778E-2</v>
      </c>
      <c r="I16339">
        <v>7.6919650729231848E-2</v>
      </c>
    </row>
    <row r="16340" spans="1:9" x14ac:dyDescent="0.25">
      <c r="A16340">
        <v>522</v>
      </c>
      <c r="B16340" t="s">
        <v>4245</v>
      </c>
      <c r="C16340" t="s">
        <v>75</v>
      </c>
      <c r="D16340" t="s">
        <v>3404</v>
      </c>
      <c r="E16340">
        <f t="shared" si="772"/>
        <v>1.8518518518518517E-2</v>
      </c>
      <c r="F16340">
        <v>5</v>
      </c>
      <c r="G16340">
        <f>LOG(382/(5+1))</f>
        <v>1.803912112528065</v>
      </c>
      <c r="H16340">
        <f>0.0185185185185185*4.15366113937852</f>
        <v>7.6919650729231778E-2</v>
      </c>
      <c r="I16340">
        <v>7.6919650729231848E-2</v>
      </c>
    </row>
    <row r="16341" spans="1:9" x14ac:dyDescent="0.25">
      <c r="A16341">
        <v>522</v>
      </c>
      <c r="B16341" t="s">
        <v>4245</v>
      </c>
      <c r="C16341" t="s">
        <v>75</v>
      </c>
      <c r="D16341" t="s">
        <v>243</v>
      </c>
      <c r="E16341">
        <f t="shared" si="772"/>
        <v>1.8518518518518517E-2</v>
      </c>
      <c r="F16341">
        <v>131</v>
      </c>
      <c r="G16341">
        <f>LOG(382/(131+1))</f>
        <v>0.46148943170585888</v>
      </c>
      <c r="H16341">
        <f>0.0185185185185185*1.0626186860202</f>
        <v>1.967812381518887E-2</v>
      </c>
      <c r="I16341">
        <v>1.9678123815188971E-2</v>
      </c>
    </row>
    <row r="16342" spans="1:9" x14ac:dyDescent="0.25">
      <c r="A16342">
        <v>522</v>
      </c>
      <c r="B16342" t="s">
        <v>4245</v>
      </c>
      <c r="C16342" t="s">
        <v>75</v>
      </c>
      <c r="D16342" t="s">
        <v>453</v>
      </c>
      <c r="E16342">
        <f t="shared" si="772"/>
        <v>1.8518518518518517E-2</v>
      </c>
      <c r="F16342">
        <v>68</v>
      </c>
      <c r="G16342">
        <f>LOG(382/(68+1))</f>
        <v>0.74321427217445335</v>
      </c>
      <c r="H16342">
        <f>0.0185185185185185*1.71131410400931</f>
        <v>3.1691001926098306E-2</v>
      </c>
      <c r="I16342">
        <v>3.1691001926098437E-2</v>
      </c>
    </row>
    <row r="16343" spans="1:9" x14ac:dyDescent="0.25">
      <c r="A16343">
        <v>522</v>
      </c>
      <c r="B16343" t="s">
        <v>4245</v>
      </c>
      <c r="C16343" t="s">
        <v>75</v>
      </c>
      <c r="D16343" t="s">
        <v>455</v>
      </c>
      <c r="E16343">
        <f t="shared" si="772"/>
        <v>1.8518518518518517E-2</v>
      </c>
      <c r="F16343">
        <v>78</v>
      </c>
      <c r="G16343">
        <f>LOG(382/(78+1))</f>
        <v>0.6844362716212673</v>
      </c>
      <c r="H16343">
        <f>0.0185185185185185*1.57597275613955</f>
        <v>2.9184680669250899E-2</v>
      </c>
      <c r="I16343">
        <v>2.9184680669250999E-2</v>
      </c>
    </row>
    <row r="16344" spans="1:9" x14ac:dyDescent="0.25">
      <c r="A16344">
        <v>522</v>
      </c>
      <c r="B16344" t="s">
        <v>4245</v>
      </c>
      <c r="C16344" t="s">
        <v>75</v>
      </c>
      <c r="D16344" t="s">
        <v>456</v>
      </c>
      <c r="E16344">
        <f t="shared" si="772"/>
        <v>1.8518518518518517E-2</v>
      </c>
      <c r="F16344">
        <v>71</v>
      </c>
      <c r="G16344">
        <f>LOG(382/(71+1))</f>
        <v>0.72473086648044027</v>
      </c>
      <c r="H16344">
        <f>0.0185185185185185*1.66875448959051</f>
        <v>3.0902860918342746E-2</v>
      </c>
      <c r="I16344">
        <v>3.0902860918342961E-2</v>
      </c>
    </row>
    <row r="16345" spans="1:9" x14ac:dyDescent="0.25">
      <c r="A16345">
        <v>522</v>
      </c>
      <c r="B16345" t="s">
        <v>4245</v>
      </c>
      <c r="C16345" t="s">
        <v>75</v>
      </c>
      <c r="D16345" t="s">
        <v>1779</v>
      </c>
      <c r="E16345">
        <f t="shared" si="772"/>
        <v>1.8518518518518517E-2</v>
      </c>
      <c r="F16345">
        <v>41</v>
      </c>
      <c r="G16345">
        <f>LOG(382/(41+1))</f>
        <v>0.95881407251380824</v>
      </c>
      <c r="H16345">
        <f>0.0185185185185185*2.2077509903232</f>
        <v>4.088427759857774E-2</v>
      </c>
      <c r="I16345">
        <v>4.0884277598577913E-2</v>
      </c>
    </row>
    <row r="16346" spans="1:9" x14ac:dyDescent="0.25">
      <c r="A16346">
        <v>522</v>
      </c>
      <c r="B16346" t="s">
        <v>4245</v>
      </c>
      <c r="C16346" t="s">
        <v>75</v>
      </c>
      <c r="D16346" t="s">
        <v>4248</v>
      </c>
      <c r="E16346">
        <f t="shared" si="772"/>
        <v>1.8518518518518517E-2</v>
      </c>
      <c r="F16346">
        <v>1</v>
      </c>
      <c r="G16346">
        <f>LOG(382/(1+1))</f>
        <v>2.2810333672477277</v>
      </c>
      <c r="H16346">
        <f>0.0185185185185185*5.25227342804663</f>
        <v>9.7264322741604167E-2</v>
      </c>
      <c r="I16346">
        <v>9.7264322741604251E-2</v>
      </c>
    </row>
    <row r="16347" spans="1:9" x14ac:dyDescent="0.25">
      <c r="A16347">
        <v>522</v>
      </c>
      <c r="B16347" t="s">
        <v>4245</v>
      </c>
      <c r="C16347" t="s">
        <v>75</v>
      </c>
      <c r="D16347" t="s">
        <v>361</v>
      </c>
      <c r="E16347">
        <f t="shared" si="772"/>
        <v>1.8518518518518517E-2</v>
      </c>
      <c r="F16347">
        <v>118</v>
      </c>
      <c r="G16347">
        <f>LOG(382/(118+1))</f>
        <v>0.50651640151917798</v>
      </c>
      <c r="H16347">
        <f>0.0185185185185185*1.16629711549504</f>
        <v>2.1598094731389607E-2</v>
      </c>
      <c r="I16347">
        <v>2.1598094731389739E-2</v>
      </c>
    </row>
    <row r="16348" spans="1:9" x14ac:dyDescent="0.25">
      <c r="A16348">
        <v>522</v>
      </c>
      <c r="B16348" t="s">
        <v>4245</v>
      </c>
      <c r="C16348" t="s">
        <v>75</v>
      </c>
      <c r="D16348" t="s">
        <v>434</v>
      </c>
      <c r="E16348">
        <f t="shared" si="772"/>
        <v>1.8518518518518517E-2</v>
      </c>
      <c r="F16348">
        <v>97</v>
      </c>
      <c r="G16348">
        <f>LOG(382/(97+1))</f>
        <v>0.59083728721921391</v>
      </c>
      <c r="H16348">
        <f>0.0185185185185185*1.360453129936</f>
        <v>2.5193576480296274E-2</v>
      </c>
      <c r="I16348">
        <v>2.519357648029635E-2</v>
      </c>
    </row>
    <row r="16349" spans="1:9" x14ac:dyDescent="0.25">
      <c r="A16349">
        <v>522</v>
      </c>
      <c r="B16349" t="s">
        <v>4245</v>
      </c>
      <c r="C16349" t="s">
        <v>75</v>
      </c>
      <c r="D16349" t="s">
        <v>3325</v>
      </c>
      <c r="E16349">
        <f t="shared" si="772"/>
        <v>1.8518518518518517E-2</v>
      </c>
      <c r="F16349">
        <v>19</v>
      </c>
      <c r="G16349">
        <f>LOG(382/(19+1))</f>
        <v>1.2810333672477277</v>
      </c>
      <c r="H16349">
        <f>0.0185185185185185*2.94968833505258</f>
        <v>5.4623858056529202E-2</v>
      </c>
      <c r="I16349">
        <v>5.4623858056529341E-2</v>
      </c>
    </row>
    <row r="16350" spans="1:9" x14ac:dyDescent="0.25">
      <c r="A16350">
        <v>522</v>
      </c>
      <c r="B16350" t="s">
        <v>4245</v>
      </c>
      <c r="C16350" t="s">
        <v>75</v>
      </c>
      <c r="D16350" t="s">
        <v>3327</v>
      </c>
      <c r="E16350">
        <f t="shared" si="772"/>
        <v>1.8518518518518517E-2</v>
      </c>
      <c r="F16350">
        <v>21</v>
      </c>
      <c r="G16350">
        <f>LOG(382/(21+1))</f>
        <v>1.2396406820895025</v>
      </c>
      <c r="H16350">
        <f>0.0185185185185185*2.85437815524825</f>
        <v>5.2858854726819393E-2</v>
      </c>
      <c r="I16350">
        <v>5.2858854726819622E-2</v>
      </c>
    </row>
    <row r="16351" spans="1:9" x14ac:dyDescent="0.25">
      <c r="A16351">
        <v>522</v>
      </c>
      <c r="B16351" t="s">
        <v>4245</v>
      </c>
      <c r="C16351" t="s">
        <v>75</v>
      </c>
      <c r="D16351" t="s">
        <v>1467</v>
      </c>
      <c r="E16351">
        <f t="shared" si="772"/>
        <v>1.8518518518518517E-2</v>
      </c>
      <c r="F16351">
        <v>21</v>
      </c>
      <c r="G16351">
        <f>LOG(382/(21+1))</f>
        <v>1.2396406820895025</v>
      </c>
      <c r="H16351">
        <f>0.0185185185185185*2.85437815524825</f>
        <v>5.2858854726819393E-2</v>
      </c>
      <c r="I16351">
        <v>5.2858854726819622E-2</v>
      </c>
    </row>
    <row r="16352" spans="1:9" x14ac:dyDescent="0.25">
      <c r="A16352">
        <v>522</v>
      </c>
      <c r="B16352" t="s">
        <v>4245</v>
      </c>
      <c r="C16352" t="s">
        <v>75</v>
      </c>
      <c r="D16352" t="s">
        <v>149</v>
      </c>
      <c r="E16352">
        <f t="shared" si="772"/>
        <v>1.8518518518518517E-2</v>
      </c>
      <c r="F16352">
        <v>35</v>
      </c>
      <c r="G16352">
        <f>LOG(382/(35+1))</f>
        <v>1.0257608621444214</v>
      </c>
      <c r="H16352">
        <f>0.0185185185185185*2.36190167015046</f>
        <v>4.3738919817601071E-2</v>
      </c>
      <c r="I16352">
        <v>4.3738919817601203E-2</v>
      </c>
    </row>
    <row r="16353" spans="1:9" x14ac:dyDescent="0.25">
      <c r="A16353">
        <v>522</v>
      </c>
      <c r="B16353" t="s">
        <v>4245</v>
      </c>
      <c r="C16353" t="s">
        <v>75</v>
      </c>
      <c r="D16353" t="s">
        <v>1938</v>
      </c>
      <c r="E16353">
        <f t="shared" si="772"/>
        <v>1.8518518518518517E-2</v>
      </c>
      <c r="F16353">
        <v>7</v>
      </c>
      <c r="G16353">
        <f>LOG(382/(7+1))</f>
        <v>1.6789733759197651</v>
      </c>
      <c r="H16353">
        <f>0.0185185185185185*3.86597906692673</f>
        <v>7.1592204943087531E-2</v>
      </c>
      <c r="I16353">
        <v>7.1592204943087753E-2</v>
      </c>
    </row>
    <row r="16354" spans="1:9" x14ac:dyDescent="0.25">
      <c r="A16354">
        <v>522</v>
      </c>
      <c r="B16354" t="s">
        <v>4245</v>
      </c>
      <c r="C16354" t="s">
        <v>75</v>
      </c>
      <c r="D16354" t="s">
        <v>214</v>
      </c>
      <c r="E16354">
        <f t="shared" si="772"/>
        <v>1.8518518518518517E-2</v>
      </c>
      <c r="F16354">
        <v>68</v>
      </c>
      <c r="G16354">
        <f>LOG(382/(68+1))</f>
        <v>0.74321427217445335</v>
      </c>
      <c r="H16354">
        <f>0.0185185185185185*1.71131410400931</f>
        <v>3.1691001926098306E-2</v>
      </c>
      <c r="I16354">
        <v>3.1691001926098437E-2</v>
      </c>
    </row>
    <row r="16355" spans="1:9" x14ac:dyDescent="0.25">
      <c r="A16355">
        <v>522</v>
      </c>
      <c r="B16355" t="s">
        <v>4245</v>
      </c>
      <c r="C16355" t="s">
        <v>75</v>
      </c>
      <c r="D16355" t="s">
        <v>322</v>
      </c>
      <c r="E16355">
        <f t="shared" si="772"/>
        <v>1.8518518518518517E-2</v>
      </c>
      <c r="F16355">
        <v>128</v>
      </c>
      <c r="G16355">
        <f>LOG(382/(128+1))</f>
        <v>0.47147365261245977</v>
      </c>
      <c r="H16355">
        <f>0.0185185185185185*1.0856082042449</f>
        <v>2.0103855634164794E-2</v>
      </c>
      <c r="I16355">
        <v>2.010385563416487E-2</v>
      </c>
    </row>
    <row r="16356" spans="1:9" x14ac:dyDescent="0.25">
      <c r="A16356">
        <v>522</v>
      </c>
      <c r="B16356" t="s">
        <v>4245</v>
      </c>
      <c r="C16356" t="s">
        <v>75</v>
      </c>
      <c r="D16356" t="s">
        <v>362</v>
      </c>
      <c r="E16356">
        <f t="shared" si="772"/>
        <v>1.8518518518518517E-2</v>
      </c>
      <c r="F16356">
        <v>81</v>
      </c>
      <c r="G16356">
        <f>LOG(382/(81+1))</f>
        <v>0.66824951052799197</v>
      </c>
      <c r="H16356">
        <f>0.0185185185185185*1.53870136134232</f>
        <v>2.8494469654487379E-2</v>
      </c>
      <c r="I16356">
        <v>2.8494469654487441E-2</v>
      </c>
    </row>
    <row r="16357" spans="1:9" x14ac:dyDescent="0.25">
      <c r="A16357">
        <v>522</v>
      </c>
      <c r="B16357" t="s">
        <v>4245</v>
      </c>
      <c r="C16357" t="s">
        <v>75</v>
      </c>
      <c r="D16357" t="s">
        <v>1551</v>
      </c>
      <c r="E16357">
        <f t="shared" si="772"/>
        <v>1.8518518518518517E-2</v>
      </c>
      <c r="F16357">
        <v>15</v>
      </c>
      <c r="G16357">
        <f>LOG(382/(15+1))</f>
        <v>1.3779433802557839</v>
      </c>
      <c r="H16357">
        <f>0.0185185185185185*3.17283188636679</f>
        <v>5.8756146043829387E-2</v>
      </c>
      <c r="I16357">
        <v>5.8756146043829519E-2</v>
      </c>
    </row>
    <row r="16358" spans="1:9" x14ac:dyDescent="0.25">
      <c r="A16358">
        <v>522</v>
      </c>
      <c r="B16358" t="s">
        <v>4245</v>
      </c>
      <c r="C16358" t="s">
        <v>75</v>
      </c>
      <c r="D16358" t="s">
        <v>1732</v>
      </c>
      <c r="E16358">
        <f t="shared" si="772"/>
        <v>1.8518518518518517E-2</v>
      </c>
      <c r="F16358">
        <v>16</v>
      </c>
      <c r="G16358">
        <f>LOG(382/(16+1))</f>
        <v>1.3516144415334348</v>
      </c>
      <c r="H16358">
        <f>0.0185185185185185*3.11220726455035</f>
        <v>5.7633467862043458E-2</v>
      </c>
      <c r="I16358">
        <v>5.7633467862043687E-2</v>
      </c>
    </row>
    <row r="16359" spans="1:9" x14ac:dyDescent="0.25">
      <c r="A16359">
        <v>522</v>
      </c>
      <c r="B16359" t="s">
        <v>4245</v>
      </c>
      <c r="C16359" t="s">
        <v>75</v>
      </c>
      <c r="D16359" t="s">
        <v>1733</v>
      </c>
      <c r="E16359">
        <f t="shared" si="772"/>
        <v>1.8518518518518517E-2</v>
      </c>
      <c r="F16359">
        <v>19</v>
      </c>
      <c r="G16359">
        <f>LOG(382/(19+1))</f>
        <v>1.2810333672477277</v>
      </c>
      <c r="H16359">
        <f>0.0185185185185185*2.94968833505258</f>
        <v>5.4623858056529202E-2</v>
      </c>
      <c r="I16359">
        <v>5.4623858056529341E-2</v>
      </c>
    </row>
    <row r="16360" spans="1:9" x14ac:dyDescent="0.25">
      <c r="A16360">
        <v>522</v>
      </c>
      <c r="B16360" t="s">
        <v>4245</v>
      </c>
      <c r="C16360" t="s">
        <v>75</v>
      </c>
      <c r="D16360" t="s">
        <v>1550</v>
      </c>
      <c r="E16360">
        <f t="shared" si="772"/>
        <v>1.8518518518518517E-2</v>
      </c>
      <c r="F16360">
        <v>16</v>
      </c>
      <c r="G16360">
        <f>LOG(382/(16+1))</f>
        <v>1.3516144415334348</v>
      </c>
      <c r="H16360">
        <f>0.0185185185185185*3.11220726455035</f>
        <v>5.7633467862043458E-2</v>
      </c>
      <c r="I16360">
        <v>5.7633467862043687E-2</v>
      </c>
    </row>
    <row r="16361" spans="1:9" x14ac:dyDescent="0.25">
      <c r="A16361">
        <v>522</v>
      </c>
      <c r="B16361" t="s">
        <v>4245</v>
      </c>
      <c r="C16361" t="s">
        <v>75</v>
      </c>
      <c r="D16361" t="s">
        <v>1729</v>
      </c>
      <c r="E16361">
        <f t="shared" si="772"/>
        <v>1.8518518518518517E-2</v>
      </c>
      <c r="F16361">
        <v>7</v>
      </c>
      <c r="G16361">
        <f>LOG(382/(7+1))</f>
        <v>1.6789733759197651</v>
      </c>
      <c r="H16361">
        <f>0.0185185185185185*3.86597906692673</f>
        <v>7.1592204943087531E-2</v>
      </c>
      <c r="I16361">
        <v>7.1592204943087753E-2</v>
      </c>
    </row>
    <row r="16362" spans="1:9" x14ac:dyDescent="0.25">
      <c r="A16362">
        <v>522</v>
      </c>
      <c r="B16362" t="s">
        <v>4245</v>
      </c>
      <c r="C16362" t="s">
        <v>75</v>
      </c>
      <c r="D16362" t="s">
        <v>78</v>
      </c>
      <c r="E16362">
        <f t="shared" si="772"/>
        <v>1.8518518518518517E-2</v>
      </c>
      <c r="F16362">
        <v>122</v>
      </c>
      <c r="G16362">
        <f>LOG(382/(122+1))</f>
        <v>0.49215825147231079</v>
      </c>
      <c r="H16362">
        <f>0.0185185185185185*1.13323625323415</f>
        <v>2.0985856541373128E-2</v>
      </c>
      <c r="I16362">
        <v>2.0985856541373291E-2</v>
      </c>
    </row>
    <row r="16363" spans="1:9" x14ac:dyDescent="0.25">
      <c r="A16363">
        <v>522</v>
      </c>
      <c r="B16363" t="s">
        <v>4245</v>
      </c>
      <c r="C16363" t="s">
        <v>75</v>
      </c>
      <c r="D16363" t="s">
        <v>754</v>
      </c>
      <c r="E16363">
        <f t="shared" si="772"/>
        <v>1.8518518518518517E-2</v>
      </c>
      <c r="F16363">
        <v>111</v>
      </c>
      <c r="G16363">
        <f>LOG(382/(111+1))</f>
        <v>0.53284534024152708</v>
      </c>
      <c r="H16363">
        <f>0.0185185185185185*1.22692173731148</f>
        <v>2.2720772913175532E-2</v>
      </c>
      <c r="I16363">
        <v>2.272077291317557E-2</v>
      </c>
    </row>
    <row r="16364" spans="1:9" x14ac:dyDescent="0.25">
      <c r="A16364">
        <v>522</v>
      </c>
      <c r="B16364" t="s">
        <v>4245</v>
      </c>
      <c r="C16364" t="s">
        <v>75</v>
      </c>
      <c r="D16364" t="s">
        <v>767</v>
      </c>
      <c r="E16364">
        <f t="shared" si="772"/>
        <v>1.8518518518518517E-2</v>
      </c>
      <c r="F16364">
        <v>47</v>
      </c>
      <c r="G16364">
        <f>LOG(382/(47+1))</f>
        <v>0.90082212553612151</v>
      </c>
      <c r="H16364">
        <f>0.0185185185185185*2.07421959769868</f>
        <v>3.8411474031457005E-2</v>
      </c>
      <c r="I16364">
        <v>3.8411474031457109E-2</v>
      </c>
    </row>
    <row r="16365" spans="1:9" x14ac:dyDescent="0.25">
      <c r="A16365">
        <v>522</v>
      </c>
      <c r="B16365" t="s">
        <v>4245</v>
      </c>
      <c r="C16365" t="s">
        <v>75</v>
      </c>
      <c r="D16365" t="s">
        <v>256</v>
      </c>
      <c r="E16365">
        <f t="shared" si="772"/>
        <v>1.8518518518518517E-2</v>
      </c>
      <c r="F16365">
        <v>28</v>
      </c>
      <c r="G16365">
        <f>LOG(382/(28+1))</f>
        <v>1.1196653650127526</v>
      </c>
      <c r="H16365">
        <f>0.0185185185185185*2.5781247786201</f>
        <v>4.7743051455927728E-2</v>
      </c>
      <c r="I16365">
        <v>4.7743051455927797E-2</v>
      </c>
    </row>
    <row r="16366" spans="1:9" x14ac:dyDescent="0.25">
      <c r="A16366">
        <v>523</v>
      </c>
      <c r="B16366" t="s">
        <v>4249</v>
      </c>
      <c r="C16366" t="s">
        <v>10</v>
      </c>
      <c r="D16366" t="s">
        <v>2997</v>
      </c>
      <c r="E16366">
        <f>5/107</f>
        <v>4.6728971962616821E-2</v>
      </c>
      <c r="F16366">
        <v>3</v>
      </c>
      <c r="G16366">
        <f>LOG(382/(3+1))</f>
        <v>1.9800033715837464</v>
      </c>
      <c r="H16366">
        <f>0.0467289719626168*4.55912624748668</f>
        <v>0.21304328259283542</v>
      </c>
      <c r="I16366">
        <v>0.2130432825928357</v>
      </c>
    </row>
    <row r="16367" spans="1:9" x14ac:dyDescent="0.25">
      <c r="A16367">
        <v>523</v>
      </c>
      <c r="B16367" t="s">
        <v>4249</v>
      </c>
      <c r="C16367" t="s">
        <v>10</v>
      </c>
      <c r="D16367" t="s">
        <v>65</v>
      </c>
      <c r="E16367">
        <f>4/107</f>
        <v>3.7383177570093455E-2</v>
      </c>
      <c r="F16367">
        <v>32</v>
      </c>
      <c r="G16367">
        <f>LOG(382/(32+1))</f>
        <v>1.0635494230338212</v>
      </c>
      <c r="H16367">
        <f>0.0373831775700934*2.44891304714009</f>
        <v>9.1548151294956498E-2</v>
      </c>
      <c r="I16367">
        <v>9.1548151294956817E-2</v>
      </c>
    </row>
    <row r="16368" spans="1:9" x14ac:dyDescent="0.25">
      <c r="A16368">
        <v>523</v>
      </c>
      <c r="B16368" t="s">
        <v>4249</v>
      </c>
      <c r="C16368" t="s">
        <v>10</v>
      </c>
      <c r="D16368" t="s">
        <v>40</v>
      </c>
      <c r="E16368">
        <f>6/107</f>
        <v>5.6074766355140186E-2</v>
      </c>
      <c r="F16368">
        <v>159</v>
      </c>
      <c r="G16368">
        <f>LOG(382/(159+1))</f>
        <v>0.377943380255784</v>
      </c>
      <c r="H16368">
        <f>0.0560747663551401*0.870246793372748</f>
        <v>4.8798885609686732E-2</v>
      </c>
      <c r="I16368">
        <v>4.8798885609686822E-2</v>
      </c>
    </row>
    <row r="16369" spans="1:9" x14ac:dyDescent="0.25">
      <c r="A16369">
        <v>523</v>
      </c>
      <c r="B16369" t="s">
        <v>4249</v>
      </c>
      <c r="C16369" t="s">
        <v>10</v>
      </c>
      <c r="D16369" t="s">
        <v>41</v>
      </c>
      <c r="E16369">
        <f>5/107</f>
        <v>4.6728971962616821E-2</v>
      </c>
      <c r="F16369">
        <v>195</v>
      </c>
      <c r="G16369">
        <f>LOG(382/(195+1))</f>
        <v>0.28980729155523272</v>
      </c>
      <c r="H16369">
        <f>0.0467289719626168*0.667305949376058</f>
        <v>3.1182520998881202E-2</v>
      </c>
      <c r="I16369">
        <v>3.1182520998881219E-2</v>
      </c>
    </row>
    <row r="16370" spans="1:9" x14ac:dyDescent="0.25">
      <c r="A16370">
        <v>523</v>
      </c>
      <c r="B16370" t="s">
        <v>4249</v>
      </c>
      <c r="C16370" t="s">
        <v>10</v>
      </c>
      <c r="D16370" t="s">
        <v>247</v>
      </c>
      <c r="E16370">
        <f>1/107</f>
        <v>9.3457943925233638E-3</v>
      </c>
      <c r="F16370">
        <v>121</v>
      </c>
      <c r="G16370">
        <f>LOG(382/(121+1))</f>
        <v>0.49570353223696051</v>
      </c>
      <c r="H16370">
        <f>0.00934579439252336*1.14139956387331</f>
        <v>1.066728564367579E-2</v>
      </c>
      <c r="I16370">
        <v>1.066728564367588E-2</v>
      </c>
    </row>
    <row r="16371" spans="1:9" x14ac:dyDescent="0.25">
      <c r="A16371">
        <v>523</v>
      </c>
      <c r="B16371" t="s">
        <v>4249</v>
      </c>
      <c r="C16371" t="s">
        <v>10</v>
      </c>
      <c r="D16371" t="s">
        <v>39</v>
      </c>
      <c r="E16371">
        <f>2/107</f>
        <v>1.8691588785046728E-2</v>
      </c>
      <c r="F16371">
        <v>145</v>
      </c>
      <c r="G16371">
        <f>LOG(382/(145+1))</f>
        <v>0.41771050712727159</v>
      </c>
      <c r="H16371">
        <f>0.0186915887850467*0.961813986898238</f>
        <v>1.7977831530808161E-2</v>
      </c>
      <c r="I16371">
        <v>1.7977831530808199E-2</v>
      </c>
    </row>
    <row r="16372" spans="1:9" x14ac:dyDescent="0.25">
      <c r="A16372">
        <v>523</v>
      </c>
      <c r="B16372" t="s">
        <v>4249</v>
      </c>
      <c r="C16372" t="s">
        <v>10</v>
      </c>
      <c r="D16372" t="s">
        <v>42</v>
      </c>
      <c r="E16372">
        <f>1/107</f>
        <v>9.3457943925233638E-3</v>
      </c>
      <c r="F16372">
        <v>251</v>
      </c>
      <c r="G16372">
        <f>LOG(382/(251+1))</f>
        <v>0.18066282213016463</v>
      </c>
      <c r="H16372">
        <f>0.00934579439252336*0.415991521095151</f>
        <v>3.887771225188325E-3</v>
      </c>
      <c r="I16372">
        <v>3.8877712251883349E-3</v>
      </c>
    </row>
    <row r="16373" spans="1:9" x14ac:dyDescent="0.25">
      <c r="A16373">
        <v>523</v>
      </c>
      <c r="B16373" t="s">
        <v>4249</v>
      </c>
      <c r="C16373" t="s">
        <v>10</v>
      </c>
      <c r="D16373" t="s">
        <v>368</v>
      </c>
      <c r="E16373">
        <f>1/107</f>
        <v>9.3457943925233638E-3</v>
      </c>
      <c r="F16373">
        <v>17</v>
      </c>
      <c r="G16373">
        <f>LOG(382/(17+1))</f>
        <v>1.3267908578084027</v>
      </c>
      <c r="H16373">
        <f>0.00934579439252336*3.05504885071041</f>
        <v>2.8551858417854285E-2</v>
      </c>
      <c r="I16373">
        <v>2.8551858417854299E-2</v>
      </c>
    </row>
    <row r="16374" spans="1:9" x14ac:dyDescent="0.25">
      <c r="A16374">
        <v>523</v>
      </c>
      <c r="B16374" t="s">
        <v>4249</v>
      </c>
      <c r="C16374" t="s">
        <v>10</v>
      </c>
      <c r="D16374" t="s">
        <v>1060</v>
      </c>
      <c r="E16374">
        <f>1/107</f>
        <v>9.3457943925233638E-3</v>
      </c>
      <c r="F16374">
        <v>15</v>
      </c>
      <c r="G16374">
        <f>LOG(382/(15+1))</f>
        <v>1.3779433802557839</v>
      </c>
      <c r="H16374">
        <f>0.00934579439252336*3.17283188636679</f>
        <v>2.9652634452026063E-2</v>
      </c>
      <c r="I16374">
        <v>2.9652634452026112E-2</v>
      </c>
    </row>
    <row r="16375" spans="1:9" x14ac:dyDescent="0.25">
      <c r="A16375">
        <v>523</v>
      </c>
      <c r="B16375" t="s">
        <v>4249</v>
      </c>
      <c r="C16375" t="s">
        <v>10</v>
      </c>
      <c r="D16375" t="s">
        <v>17</v>
      </c>
      <c r="E16375">
        <f>2/107</f>
        <v>1.8691588785046728E-2</v>
      </c>
      <c r="F16375">
        <v>169</v>
      </c>
      <c r="G16375">
        <f>LOG(382/(169+1))</f>
        <v>0.3516144415334348</v>
      </c>
      <c r="H16375">
        <f>0.0186915887850467*0.809622171556313</f>
        <v>1.5133124701987135E-2</v>
      </c>
      <c r="I16375">
        <v>1.5133124701987169E-2</v>
      </c>
    </row>
    <row r="16376" spans="1:9" x14ac:dyDescent="0.25">
      <c r="A16376">
        <v>523</v>
      </c>
      <c r="B16376" t="s">
        <v>4249</v>
      </c>
      <c r="C16376" t="s">
        <v>10</v>
      </c>
      <c r="D16376" t="s">
        <v>4250</v>
      </c>
      <c r="E16376">
        <f>2/107</f>
        <v>1.8691588785046728E-2</v>
      </c>
      <c r="F16376">
        <v>1</v>
      </c>
      <c r="G16376">
        <f>LOG(382/(1+1))</f>
        <v>2.2810333672477277</v>
      </c>
      <c r="H16376">
        <f>0.0186915887850467*5.25227342804663</f>
        <v>9.8173335103675166E-2</v>
      </c>
      <c r="I16376">
        <v>9.8173335103675319E-2</v>
      </c>
    </row>
    <row r="16377" spans="1:9" x14ac:dyDescent="0.25">
      <c r="A16377">
        <v>523</v>
      </c>
      <c r="B16377" t="s">
        <v>4249</v>
      </c>
      <c r="C16377" t="s">
        <v>10</v>
      </c>
      <c r="D16377" t="s">
        <v>19</v>
      </c>
      <c r="E16377">
        <f>2/107</f>
        <v>1.8691588785046728E-2</v>
      </c>
      <c r="F16377">
        <v>220</v>
      </c>
      <c r="G16377">
        <f>LOG(382/(220+1))</f>
        <v>0.23767108922659805</v>
      </c>
      <c r="H16377">
        <f>0.0186915887850467*0.547257907088822</f>
        <v>1.0229119758669554E-2</v>
      </c>
      <c r="I16377">
        <v>1.022911975866958E-2</v>
      </c>
    </row>
    <row r="16378" spans="1:9" x14ac:dyDescent="0.25">
      <c r="A16378">
        <v>523</v>
      </c>
      <c r="B16378" t="s">
        <v>4249</v>
      </c>
      <c r="C16378" t="s">
        <v>10</v>
      </c>
      <c r="D16378" t="s">
        <v>370</v>
      </c>
      <c r="E16378">
        <f>2/107</f>
        <v>1.8691588785046728E-2</v>
      </c>
      <c r="F16378">
        <v>14</v>
      </c>
      <c r="G16378">
        <f>LOG(382/(14+1))</f>
        <v>1.4059721038560276</v>
      </c>
      <c r="H16378">
        <f>0.0186915887850467*3.23737040750436</f>
        <v>6.0511596401950557E-2</v>
      </c>
      <c r="I16378">
        <v>6.0511596401950737E-2</v>
      </c>
    </row>
    <row r="16379" spans="1:9" x14ac:dyDescent="0.25">
      <c r="A16379">
        <v>523</v>
      </c>
      <c r="B16379" t="s">
        <v>4249</v>
      </c>
      <c r="C16379" t="s">
        <v>10</v>
      </c>
      <c r="D16379" t="s">
        <v>22</v>
      </c>
      <c r="E16379">
        <f>1/107</f>
        <v>9.3457943925233638E-3</v>
      </c>
      <c r="F16379">
        <v>259</v>
      </c>
      <c r="G16379">
        <f>LOG(382/(259+1))</f>
        <v>0.16709001494089079</v>
      </c>
      <c r="H16379">
        <f>0.00934579439252336*0.384738977591047</f>
        <v>3.595691379355578E-3</v>
      </c>
      <c r="I16379">
        <v>3.5956913793555841E-3</v>
      </c>
    </row>
    <row r="16380" spans="1:9" x14ac:dyDescent="0.25">
      <c r="A16380">
        <v>523</v>
      </c>
      <c r="B16380" t="s">
        <v>4249</v>
      </c>
      <c r="C16380" t="s">
        <v>10</v>
      </c>
      <c r="D16380" t="s">
        <v>23</v>
      </c>
      <c r="E16380">
        <f>1/107</f>
        <v>9.3457943925233638E-3</v>
      </c>
      <c r="F16380">
        <v>275</v>
      </c>
      <c r="G16380">
        <f>LOG(382/(275+1))</f>
        <v>0.14115428084649101</v>
      </c>
      <c r="H16380">
        <f>0.00934579439252336*0.325019742889425</f>
        <v>3.0375676905553721E-3</v>
      </c>
      <c r="I16380">
        <v>3.0375676905553752E-3</v>
      </c>
    </row>
    <row r="16381" spans="1:9" x14ac:dyDescent="0.25">
      <c r="A16381">
        <v>523</v>
      </c>
      <c r="B16381" t="s">
        <v>4249</v>
      </c>
      <c r="C16381" t="s">
        <v>10</v>
      </c>
      <c r="D16381" t="s">
        <v>4251</v>
      </c>
      <c r="E16381">
        <f>1/107</f>
        <v>9.3457943925233638E-3</v>
      </c>
      <c r="F16381">
        <v>1</v>
      </c>
      <c r="G16381">
        <f>LOG(382/(1+1))</f>
        <v>2.2810333672477277</v>
      </c>
      <c r="H16381">
        <f>0.00934579439252336*5.25227342804663</f>
        <v>4.9086667551837639E-2</v>
      </c>
      <c r="I16381">
        <v>4.9086667551837659E-2</v>
      </c>
    </row>
    <row r="16382" spans="1:9" x14ac:dyDescent="0.25">
      <c r="A16382">
        <v>523</v>
      </c>
      <c r="B16382" t="s">
        <v>4249</v>
      </c>
      <c r="C16382" t="s">
        <v>10</v>
      </c>
      <c r="D16382" t="s">
        <v>204</v>
      </c>
      <c r="E16382">
        <f>1/107</f>
        <v>9.3457943925233638E-3</v>
      </c>
      <c r="F16382">
        <v>166</v>
      </c>
      <c r="G16382">
        <f>LOG(382/(166+1))</f>
        <v>0.35934689176412549</v>
      </c>
      <c r="H16382">
        <f>0.00934579439252336*0.82742679618982</f>
        <v>7.7329607120543891E-3</v>
      </c>
      <c r="I16382">
        <v>7.7329607120543934E-3</v>
      </c>
    </row>
    <row r="16383" spans="1:9" x14ac:dyDescent="0.25">
      <c r="A16383">
        <v>523</v>
      </c>
      <c r="B16383" t="s">
        <v>4249</v>
      </c>
      <c r="C16383" t="s">
        <v>10</v>
      </c>
      <c r="D16383" t="s">
        <v>76</v>
      </c>
      <c r="E16383">
        <f>2/107</f>
        <v>1.8691588785046728E-2</v>
      </c>
      <c r="F16383">
        <v>140</v>
      </c>
      <c r="G16383">
        <f>LOG(382/(140+1))</f>
        <v>0.43284425025632883</v>
      </c>
      <c r="H16383">
        <f>0.0186915887850467*0.996660718228407</f>
        <v>1.862917230333468E-2</v>
      </c>
      <c r="I16383">
        <v>1.8629172303334711E-2</v>
      </c>
    </row>
    <row r="16384" spans="1:9" x14ac:dyDescent="0.25">
      <c r="A16384">
        <v>523</v>
      </c>
      <c r="B16384" t="s">
        <v>4249</v>
      </c>
      <c r="C16384" t="s">
        <v>10</v>
      </c>
      <c r="D16384" t="s">
        <v>77</v>
      </c>
      <c r="E16384">
        <f>3/107</f>
        <v>2.8037383177570093E-2</v>
      </c>
      <c r="F16384">
        <v>148</v>
      </c>
      <c r="G16384">
        <f>LOG(382/(148+1))</f>
        <v>0.40887709449943471</v>
      </c>
      <c r="H16384">
        <f>0.02803738317757*0.941474302661116</f>
        <v>2.6396475775545221E-2</v>
      </c>
      <c r="I16384">
        <v>2.6396475775545311E-2</v>
      </c>
    </row>
    <row r="16385" spans="1:9" x14ac:dyDescent="0.25">
      <c r="A16385">
        <v>523</v>
      </c>
      <c r="B16385" t="s">
        <v>4249</v>
      </c>
      <c r="C16385" t="s">
        <v>10</v>
      </c>
      <c r="D16385" t="s">
        <v>939</v>
      </c>
      <c r="E16385">
        <f t="shared" ref="E16385:E16390" si="773">1/107</f>
        <v>9.3457943925233638E-3</v>
      </c>
      <c r="F16385">
        <v>35</v>
      </c>
      <c r="G16385">
        <f>LOG(382/(35+1))</f>
        <v>1.0257608621444214</v>
      </c>
      <c r="H16385">
        <f>0.00934579439252336*2.36190167015046</f>
        <v>2.207384738458373E-2</v>
      </c>
      <c r="I16385">
        <v>2.2073847384583779E-2</v>
      </c>
    </row>
    <row r="16386" spans="1:9" x14ac:dyDescent="0.25">
      <c r="A16386">
        <v>523</v>
      </c>
      <c r="B16386" t="s">
        <v>4249</v>
      </c>
      <c r="C16386" t="s">
        <v>10</v>
      </c>
      <c r="D16386" t="s">
        <v>78</v>
      </c>
      <c r="E16386">
        <f t="shared" si="773"/>
        <v>9.3457943925233638E-3</v>
      </c>
      <c r="F16386">
        <v>122</v>
      </c>
      <c r="G16386">
        <f>LOG(382/(122+1))</f>
        <v>0.49215825147231079</v>
      </c>
      <c r="H16386">
        <f>0.00934579439252336*1.13323625323415</f>
        <v>1.0590993020879902E-2</v>
      </c>
      <c r="I16386">
        <v>1.059099302087998E-2</v>
      </c>
    </row>
    <row r="16387" spans="1:9" x14ac:dyDescent="0.25">
      <c r="A16387">
        <v>523</v>
      </c>
      <c r="B16387" t="s">
        <v>4249</v>
      </c>
      <c r="C16387" t="s">
        <v>10</v>
      </c>
      <c r="D16387" t="s">
        <v>483</v>
      </c>
      <c r="E16387">
        <f t="shared" si="773"/>
        <v>9.3457943925233638E-3</v>
      </c>
      <c r="F16387">
        <v>61</v>
      </c>
      <c r="G16387">
        <f>LOG(382/(61+1))</f>
        <v>0.7896716734134549</v>
      </c>
      <c r="H16387">
        <f>0.00934579439252336*1.81828622356148</f>
        <v>1.6993329192163356E-2</v>
      </c>
      <c r="I16387">
        <v>1.6993329192163401E-2</v>
      </c>
    </row>
    <row r="16388" spans="1:9" x14ac:dyDescent="0.25">
      <c r="A16388">
        <v>523</v>
      </c>
      <c r="B16388" t="s">
        <v>4249</v>
      </c>
      <c r="C16388" t="s">
        <v>10</v>
      </c>
      <c r="D16388" t="s">
        <v>680</v>
      </c>
      <c r="E16388">
        <f t="shared" si="773"/>
        <v>9.3457943925233638E-3</v>
      </c>
      <c r="F16388">
        <v>25</v>
      </c>
      <c r="G16388">
        <f>LOG(382/(25+1))</f>
        <v>1.1670900149408907</v>
      </c>
      <c r="H16388">
        <f>0.00934579439252336*2.68732407058509</f>
        <v>2.5115178229767186E-2</v>
      </c>
      <c r="I16388">
        <v>2.5115178229767221E-2</v>
      </c>
    </row>
    <row r="16389" spans="1:9" x14ac:dyDescent="0.25">
      <c r="A16389">
        <v>523</v>
      </c>
      <c r="B16389" t="s">
        <v>4249</v>
      </c>
      <c r="C16389" t="s">
        <v>10</v>
      </c>
      <c r="D16389" t="s">
        <v>322</v>
      </c>
      <c r="E16389">
        <f t="shared" si="773"/>
        <v>9.3457943925233638E-3</v>
      </c>
      <c r="F16389">
        <v>128</v>
      </c>
      <c r="G16389">
        <f>LOG(382/(128+1))</f>
        <v>0.47147365261245977</v>
      </c>
      <c r="H16389">
        <f>0.00934579439252336*1.0856082042449</f>
        <v>1.0145871067709341E-2</v>
      </c>
      <c r="I16389">
        <v>1.014587106770937E-2</v>
      </c>
    </row>
    <row r="16390" spans="1:9" x14ac:dyDescent="0.25">
      <c r="A16390">
        <v>523</v>
      </c>
      <c r="B16390" t="s">
        <v>4249</v>
      </c>
      <c r="C16390" t="s">
        <v>10</v>
      </c>
      <c r="D16390" t="s">
        <v>123</v>
      </c>
      <c r="E16390">
        <f t="shared" si="773"/>
        <v>9.3457943925233638E-3</v>
      </c>
      <c r="F16390">
        <v>74</v>
      </c>
      <c r="G16390">
        <f>LOG(382/(74+1))</f>
        <v>0.7070020995200087</v>
      </c>
      <c r="H16390">
        <f>0.00934579439252336*1.62793249507026</f>
        <v>1.5214322383834199E-2</v>
      </c>
      <c r="I16390">
        <v>1.521432238383425E-2</v>
      </c>
    </row>
    <row r="16391" spans="1:9" x14ac:dyDescent="0.25">
      <c r="A16391">
        <v>523</v>
      </c>
      <c r="B16391" t="s">
        <v>4249</v>
      </c>
      <c r="C16391" t="s">
        <v>10</v>
      </c>
      <c r="D16391" t="s">
        <v>1855</v>
      </c>
      <c r="E16391">
        <f>2/107</f>
        <v>1.8691588785046728E-2</v>
      </c>
      <c r="F16391">
        <v>17</v>
      </c>
      <c r="G16391">
        <f>LOG(382/(17+1))</f>
        <v>1.3267908578084027</v>
      </c>
      <c r="H16391">
        <f>0.0186915887850467*3.05504885071041</f>
        <v>5.7103716835708508E-2</v>
      </c>
      <c r="I16391">
        <v>5.7103716835708598E-2</v>
      </c>
    </row>
    <row r="16392" spans="1:9" x14ac:dyDescent="0.25">
      <c r="A16392">
        <v>523</v>
      </c>
      <c r="B16392" t="s">
        <v>4249</v>
      </c>
      <c r="C16392" t="s">
        <v>10</v>
      </c>
      <c r="D16392" t="s">
        <v>81</v>
      </c>
      <c r="E16392">
        <f>3/107</f>
        <v>2.8037383177570093E-2</v>
      </c>
      <c r="F16392">
        <v>114</v>
      </c>
      <c r="G16392">
        <f>LOG(382/(114+1))</f>
        <v>0.52136552255809698</v>
      </c>
      <c r="H16392">
        <f>0.02803738317757*1.20048848024332</f>
        <v>3.3658555520840634E-2</v>
      </c>
      <c r="I16392">
        <v>3.3658555520840891E-2</v>
      </c>
    </row>
    <row r="16393" spans="1:9" x14ac:dyDescent="0.25">
      <c r="A16393">
        <v>523</v>
      </c>
      <c r="B16393" t="s">
        <v>4249</v>
      </c>
      <c r="C16393" t="s">
        <v>10</v>
      </c>
      <c r="D16393" t="s">
        <v>324</v>
      </c>
      <c r="E16393">
        <f>1/107</f>
        <v>9.3457943925233638E-3</v>
      </c>
      <c r="F16393">
        <v>82</v>
      </c>
      <c r="G16393">
        <f>LOG(382/(82+1))</f>
        <v>0.66298527053563483</v>
      </c>
      <c r="H16393">
        <f>0.00934579439252336*1.52658000080997</f>
        <v>1.4267102811308123E-2</v>
      </c>
      <c r="I16393">
        <v>1.42671028113082E-2</v>
      </c>
    </row>
    <row r="16394" spans="1:9" x14ac:dyDescent="0.25">
      <c r="A16394">
        <v>523</v>
      </c>
      <c r="B16394" t="s">
        <v>4249</v>
      </c>
      <c r="C16394" t="s">
        <v>10</v>
      </c>
      <c r="D16394" t="s">
        <v>1857</v>
      </c>
      <c r="E16394">
        <f>1/107</f>
        <v>9.3457943925233638E-3</v>
      </c>
      <c r="F16394">
        <v>17</v>
      </c>
      <c r="G16394">
        <f>LOG(382/(17+1))</f>
        <v>1.3267908578084027</v>
      </c>
      <c r="H16394">
        <f>0.00934579439252336*3.05504885071041</f>
        <v>2.8551858417854285E-2</v>
      </c>
      <c r="I16394">
        <v>2.8551858417854299E-2</v>
      </c>
    </row>
    <row r="16395" spans="1:9" x14ac:dyDescent="0.25">
      <c r="A16395">
        <v>523</v>
      </c>
      <c r="B16395" t="s">
        <v>4249</v>
      </c>
      <c r="C16395" t="s">
        <v>10</v>
      </c>
      <c r="D16395" t="s">
        <v>237</v>
      </c>
      <c r="E16395">
        <f>1/107</f>
        <v>9.3457943925233638E-3</v>
      </c>
      <c r="F16395">
        <v>138</v>
      </c>
      <c r="G16395">
        <f>LOG(382/(138+1))</f>
        <v>0.43904856265761361</v>
      </c>
      <c r="H16395">
        <f>0.00934579439252336*1.01094667547588</f>
        <v>9.4480997708026124E-3</v>
      </c>
      <c r="I16395">
        <v>9.4480997708026471E-3</v>
      </c>
    </row>
    <row r="16396" spans="1:9" x14ac:dyDescent="0.25">
      <c r="A16396">
        <v>523</v>
      </c>
      <c r="B16396" t="s">
        <v>4249</v>
      </c>
      <c r="C16396" t="s">
        <v>10</v>
      </c>
      <c r="D16396" t="s">
        <v>133</v>
      </c>
      <c r="E16396">
        <f>2/107</f>
        <v>1.8691588785046728E-2</v>
      </c>
      <c r="F16396">
        <v>142</v>
      </c>
      <c r="G16396">
        <f>LOG(382/(142+1))</f>
        <v>0.42672732544664693</v>
      </c>
      <c r="H16396">
        <f>0.0186915887850467*0.982575978346667</f>
        <v>1.836590613732085E-2</v>
      </c>
      <c r="I16396">
        <v>1.8365906137320889E-2</v>
      </c>
    </row>
    <row r="16397" spans="1:9" x14ac:dyDescent="0.25">
      <c r="A16397">
        <v>523</v>
      </c>
      <c r="B16397" t="s">
        <v>4249</v>
      </c>
      <c r="C16397" t="s">
        <v>10</v>
      </c>
      <c r="D16397" t="s">
        <v>331</v>
      </c>
      <c r="E16397">
        <f>3/107</f>
        <v>2.8037383177570093E-2</v>
      </c>
      <c r="F16397">
        <v>130</v>
      </c>
      <c r="G16397">
        <f>LOG(382/(130+1))</f>
        <v>0.46479206725594452</v>
      </c>
      <c r="H16397">
        <f>0.02803738317757*1.07022328540542</f>
        <v>3.0006260338469624E-2</v>
      </c>
      <c r="I16397">
        <v>3.0006260338469821E-2</v>
      </c>
    </row>
    <row r="16398" spans="1:9" x14ac:dyDescent="0.25">
      <c r="A16398">
        <v>523</v>
      </c>
      <c r="B16398" t="s">
        <v>4249</v>
      </c>
      <c r="C16398" t="s">
        <v>10</v>
      </c>
      <c r="D16398" t="s">
        <v>218</v>
      </c>
      <c r="E16398">
        <f>1/107</f>
        <v>9.3457943925233638E-3</v>
      </c>
      <c r="F16398">
        <v>35</v>
      </c>
      <c r="G16398">
        <f>LOG(382/(35+1))</f>
        <v>1.0257608621444214</v>
      </c>
      <c r="H16398">
        <f>0.00934579439252336*2.36190167015046</f>
        <v>2.207384738458373E-2</v>
      </c>
      <c r="I16398">
        <v>2.2073847384583779E-2</v>
      </c>
    </row>
    <row r="16399" spans="1:9" x14ac:dyDescent="0.25">
      <c r="A16399">
        <v>523</v>
      </c>
      <c r="B16399" t="s">
        <v>4249</v>
      </c>
      <c r="C16399" t="s">
        <v>10</v>
      </c>
      <c r="D16399" t="s">
        <v>1953</v>
      </c>
      <c r="E16399">
        <f>1/107</f>
        <v>9.3457943925233638E-3</v>
      </c>
      <c r="F16399">
        <v>11</v>
      </c>
      <c r="G16399">
        <f>LOG(382/(11+1))</f>
        <v>1.5028821168640838</v>
      </c>
      <c r="H16399">
        <f>0.00934579439252336*3.46051395881857</f>
        <v>3.2341251951575403E-2</v>
      </c>
      <c r="I16399">
        <v>3.2341251951575473E-2</v>
      </c>
    </row>
    <row r="16400" spans="1:9" x14ac:dyDescent="0.25">
      <c r="A16400">
        <v>523</v>
      </c>
      <c r="B16400" t="s">
        <v>4249</v>
      </c>
      <c r="C16400" t="s">
        <v>10</v>
      </c>
      <c r="D16400" t="s">
        <v>2211</v>
      </c>
      <c r="E16400">
        <f>1/107</f>
        <v>9.3457943925233638E-3</v>
      </c>
      <c r="F16400">
        <v>9</v>
      </c>
      <c r="G16400">
        <f>LOG(382/(9+1))</f>
        <v>1.5820633629117087</v>
      </c>
      <c r="H16400">
        <f>0.00934579439252336*3.64283551561252</f>
        <v>3.4045191734696431E-2</v>
      </c>
      <c r="I16400">
        <v>3.4045191734696542E-2</v>
      </c>
    </row>
    <row r="16401" spans="1:9" x14ac:dyDescent="0.25">
      <c r="A16401">
        <v>523</v>
      </c>
      <c r="B16401" t="s">
        <v>4249</v>
      </c>
      <c r="C16401" t="s">
        <v>10</v>
      </c>
      <c r="D16401" t="s">
        <v>812</v>
      </c>
      <c r="E16401">
        <f>1/107</f>
        <v>9.3457943925233638E-3</v>
      </c>
      <c r="F16401">
        <v>11</v>
      </c>
      <c r="G16401">
        <f>LOG(382/(11+1))</f>
        <v>1.5028821168640838</v>
      </c>
      <c r="H16401">
        <f>0.00934579439252336*3.46051395881857</f>
        <v>3.2341251951575403E-2</v>
      </c>
      <c r="I16401">
        <v>3.2341251951575473E-2</v>
      </c>
    </row>
    <row r="16402" spans="1:9" x14ac:dyDescent="0.25">
      <c r="A16402">
        <v>523</v>
      </c>
      <c r="B16402" t="s">
        <v>4249</v>
      </c>
      <c r="C16402" t="s">
        <v>10</v>
      </c>
      <c r="D16402" t="s">
        <v>887</v>
      </c>
      <c r="E16402">
        <f>2/107</f>
        <v>1.8691588785046728E-2</v>
      </c>
      <c r="F16402">
        <v>12</v>
      </c>
      <c r="G16402">
        <f>LOG(382/(12+1))</f>
        <v>1.468120010604872</v>
      </c>
      <c r="H16402">
        <f>0.0186915887850467*3.38047125114503</f>
        <v>6.3186378526075226E-2</v>
      </c>
      <c r="I16402">
        <v>6.3186378526075476E-2</v>
      </c>
    </row>
    <row r="16403" spans="1:9" x14ac:dyDescent="0.25">
      <c r="A16403">
        <v>523</v>
      </c>
      <c r="B16403" t="s">
        <v>4249</v>
      </c>
      <c r="C16403" t="s">
        <v>10</v>
      </c>
      <c r="D16403" t="s">
        <v>888</v>
      </c>
      <c r="E16403">
        <f>3/107</f>
        <v>2.8037383177570093E-2</v>
      </c>
      <c r="F16403">
        <v>21</v>
      </c>
      <c r="G16403">
        <f>LOG(382/(21+1))</f>
        <v>1.2396406820895025</v>
      </c>
      <c r="H16403">
        <f>0.02803738317757*2.85437815524825</f>
        <v>8.0029294072380575E-2</v>
      </c>
      <c r="I16403">
        <v>8.0029294072381102E-2</v>
      </c>
    </row>
    <row r="16404" spans="1:9" x14ac:dyDescent="0.25">
      <c r="A16404">
        <v>523</v>
      </c>
      <c r="B16404" t="s">
        <v>4249</v>
      </c>
      <c r="C16404" t="s">
        <v>10</v>
      </c>
      <c r="D16404" t="s">
        <v>263</v>
      </c>
      <c r="E16404">
        <f>1/107</f>
        <v>9.3457943925233638E-3</v>
      </c>
      <c r="F16404">
        <v>41</v>
      </c>
      <c r="G16404">
        <f>LOG(382/(41+1))</f>
        <v>0.95881407251380824</v>
      </c>
      <c r="H16404">
        <f>0.00934579439252336*2.2077509903232</f>
        <v>2.0633186825450459E-2</v>
      </c>
      <c r="I16404">
        <v>2.0633186825450529E-2</v>
      </c>
    </row>
    <row r="16405" spans="1:9" x14ac:dyDescent="0.25">
      <c r="A16405">
        <v>523</v>
      </c>
      <c r="B16405" t="s">
        <v>4249</v>
      </c>
      <c r="C16405" t="s">
        <v>10</v>
      </c>
      <c r="D16405" t="s">
        <v>1208</v>
      </c>
      <c r="E16405">
        <f>2/107</f>
        <v>1.8691588785046728E-2</v>
      </c>
      <c r="F16405">
        <v>10</v>
      </c>
      <c r="G16405">
        <f>LOG(382/(10+1))</f>
        <v>1.5406706777534838</v>
      </c>
      <c r="H16405">
        <f>0.0186915887850467*3.5475253358082</f>
        <v>6.6308884781461588E-2</v>
      </c>
      <c r="I16405">
        <v>6.6308884781461769E-2</v>
      </c>
    </row>
    <row r="16406" spans="1:9" x14ac:dyDescent="0.25">
      <c r="A16406">
        <v>523</v>
      </c>
      <c r="B16406" t="s">
        <v>4249</v>
      </c>
      <c r="C16406" t="s">
        <v>10</v>
      </c>
      <c r="D16406" t="s">
        <v>754</v>
      </c>
      <c r="E16406">
        <f>1/107</f>
        <v>9.3457943925233638E-3</v>
      </c>
      <c r="F16406">
        <v>111</v>
      </c>
      <c r="G16406">
        <f>LOG(382/(111+1))</f>
        <v>0.53284534024152708</v>
      </c>
      <c r="H16406">
        <f>0.00934579439252336*1.22692173731148</f>
        <v>1.1466558292630649E-2</v>
      </c>
      <c r="I16406">
        <v>1.1466558292630659E-2</v>
      </c>
    </row>
    <row r="16407" spans="1:9" x14ac:dyDescent="0.25">
      <c r="A16407">
        <v>523</v>
      </c>
      <c r="B16407" t="s">
        <v>4249</v>
      </c>
      <c r="C16407" t="s">
        <v>10</v>
      </c>
      <c r="D16407" t="s">
        <v>4252</v>
      </c>
      <c r="E16407">
        <f>1/107</f>
        <v>9.3457943925233638E-3</v>
      </c>
      <c r="F16407">
        <v>1</v>
      </c>
      <c r="G16407">
        <f>LOG(382/(1+1))</f>
        <v>2.2810333672477277</v>
      </c>
      <c r="H16407">
        <f>0.00934579439252336*5.25227342804663</f>
        <v>4.9086667551837639E-2</v>
      </c>
      <c r="I16407">
        <v>4.9086667551837659E-2</v>
      </c>
    </row>
    <row r="16408" spans="1:9" x14ac:dyDescent="0.25">
      <c r="A16408">
        <v>523</v>
      </c>
      <c r="B16408" t="s">
        <v>4249</v>
      </c>
      <c r="C16408" t="s">
        <v>10</v>
      </c>
      <c r="D16408" t="s">
        <v>453</v>
      </c>
      <c r="E16408">
        <f>2/107</f>
        <v>1.8691588785046728E-2</v>
      </c>
      <c r="F16408">
        <v>68</v>
      </c>
      <c r="G16408">
        <f>LOG(382/(68+1))</f>
        <v>0.74321427217445335</v>
      </c>
      <c r="H16408">
        <f>0.0186915887850467*1.71131410400931</f>
        <v>3.1987179514192658E-2</v>
      </c>
      <c r="I16408">
        <v>3.1987179514192818E-2</v>
      </c>
    </row>
    <row r="16409" spans="1:9" x14ac:dyDescent="0.25">
      <c r="A16409">
        <v>523</v>
      </c>
      <c r="B16409" t="s">
        <v>4249</v>
      </c>
      <c r="C16409" t="s">
        <v>10</v>
      </c>
      <c r="D16409" t="s">
        <v>485</v>
      </c>
      <c r="E16409">
        <f>1/107</f>
        <v>9.3457943925233638E-3</v>
      </c>
      <c r="F16409">
        <v>74</v>
      </c>
      <c r="G16409">
        <f>LOG(382/(74+1))</f>
        <v>0.7070020995200087</v>
      </c>
      <c r="H16409">
        <f>0.00934579439252336*1.62793249507026</f>
        <v>1.5214322383834199E-2</v>
      </c>
      <c r="I16409">
        <v>1.521432238383425E-2</v>
      </c>
    </row>
    <row r="16410" spans="1:9" x14ac:dyDescent="0.25">
      <c r="A16410">
        <v>523</v>
      </c>
      <c r="B16410" t="s">
        <v>4249</v>
      </c>
      <c r="C16410" t="s">
        <v>10</v>
      </c>
      <c r="D16410" t="s">
        <v>726</v>
      </c>
      <c r="E16410">
        <f>1/107</f>
        <v>9.3457943925233638E-3</v>
      </c>
      <c r="F16410">
        <v>37</v>
      </c>
      <c r="G16410">
        <f>LOG(382/(37+1))</f>
        <v>1.0022797662948986</v>
      </c>
      <c r="H16410">
        <f>0.00934579439252336*2.30783444888018</f>
        <v>2.1568546251216625E-2</v>
      </c>
      <c r="I16410">
        <v>2.1568546251216719E-2</v>
      </c>
    </row>
    <row r="16411" spans="1:9" x14ac:dyDescent="0.25">
      <c r="A16411">
        <v>523</v>
      </c>
      <c r="B16411" t="s">
        <v>4249</v>
      </c>
      <c r="C16411" t="s">
        <v>10</v>
      </c>
      <c r="D16411" t="s">
        <v>161</v>
      </c>
      <c r="E16411">
        <f>1/107</f>
        <v>9.3457943925233638E-3</v>
      </c>
      <c r="F16411">
        <v>33</v>
      </c>
      <c r="G16411">
        <f>LOG(382/(33+1))</f>
        <v>1.0505844458694535</v>
      </c>
      <c r="H16411">
        <f>0.00934579439252336*2.41906008399041</f>
        <v>2.2608038168134663E-2</v>
      </c>
      <c r="I16411">
        <v>2.2608038168134701E-2</v>
      </c>
    </row>
    <row r="16412" spans="1:9" x14ac:dyDescent="0.25">
      <c r="A16412">
        <v>523</v>
      </c>
      <c r="B16412" t="s">
        <v>4249</v>
      </c>
      <c r="C16412" t="s">
        <v>10</v>
      </c>
      <c r="D16412" t="s">
        <v>932</v>
      </c>
      <c r="E16412">
        <f>1/107</f>
        <v>9.3457943925233638E-3</v>
      </c>
      <c r="F16412">
        <v>35</v>
      </c>
      <c r="G16412">
        <f>LOG(382/(35+1))</f>
        <v>1.0257608621444214</v>
      </c>
      <c r="H16412">
        <f>0.00934579439252336*2.36190167015046</f>
        <v>2.207384738458373E-2</v>
      </c>
      <c r="I16412">
        <v>2.2073847384583779E-2</v>
      </c>
    </row>
    <row r="16413" spans="1:9" x14ac:dyDescent="0.25">
      <c r="A16413">
        <v>523</v>
      </c>
      <c r="B16413" t="s">
        <v>4249</v>
      </c>
      <c r="C16413" t="s">
        <v>10</v>
      </c>
      <c r="D16413" t="s">
        <v>243</v>
      </c>
      <c r="E16413">
        <f>2/107</f>
        <v>1.8691588785046728E-2</v>
      </c>
      <c r="F16413">
        <v>131</v>
      </c>
      <c r="G16413">
        <f>LOG(382/(131+1))</f>
        <v>0.46148943170585888</v>
      </c>
      <c r="H16413">
        <f>0.0186915887850467*1.0626186860202</f>
        <v>1.9862031514396233E-2</v>
      </c>
      <c r="I16413">
        <v>1.986203151439634E-2</v>
      </c>
    </row>
    <row r="16414" spans="1:9" x14ac:dyDescent="0.25">
      <c r="A16414">
        <v>523</v>
      </c>
      <c r="B16414" t="s">
        <v>4249</v>
      </c>
      <c r="C16414" t="s">
        <v>10</v>
      </c>
      <c r="D16414" t="s">
        <v>4253</v>
      </c>
      <c r="E16414">
        <f>1/107</f>
        <v>9.3457943925233638E-3</v>
      </c>
      <c r="F16414">
        <v>1</v>
      </c>
      <c r="G16414">
        <f>LOG(382/(1+1))</f>
        <v>2.2810333672477277</v>
      </c>
      <c r="H16414">
        <f>0.00934579439252336*5.25227342804663</f>
        <v>4.9086667551837639E-2</v>
      </c>
      <c r="I16414">
        <v>4.9086667551837659E-2</v>
      </c>
    </row>
    <row r="16415" spans="1:9" x14ac:dyDescent="0.25">
      <c r="A16415">
        <v>523</v>
      </c>
      <c r="B16415" t="s">
        <v>4249</v>
      </c>
      <c r="C16415" t="s">
        <v>10</v>
      </c>
      <c r="D16415" t="s">
        <v>894</v>
      </c>
      <c r="E16415">
        <f>1/107</f>
        <v>9.3457943925233638E-3</v>
      </c>
      <c r="F16415">
        <v>5</v>
      </c>
      <c r="G16415">
        <f>LOG(382/(5+1))</f>
        <v>1.803912112528065</v>
      </c>
      <c r="H16415">
        <f>0.00934579439252336*4.15366113937852</f>
        <v>3.8819262984845962E-2</v>
      </c>
      <c r="I16415">
        <v>3.8819262984845983E-2</v>
      </c>
    </row>
    <row r="16416" spans="1:9" x14ac:dyDescent="0.25">
      <c r="A16416">
        <v>523</v>
      </c>
      <c r="B16416" t="s">
        <v>4249</v>
      </c>
      <c r="C16416" t="s">
        <v>10</v>
      </c>
      <c r="D16416" t="s">
        <v>4254</v>
      </c>
      <c r="E16416">
        <f>1/107</f>
        <v>9.3457943925233638E-3</v>
      </c>
      <c r="F16416">
        <v>1</v>
      </c>
      <c r="G16416">
        <f>LOG(382/(1+1))</f>
        <v>2.2810333672477277</v>
      </c>
      <c r="H16416">
        <f>0.00934579439252336*5.25227342804663</f>
        <v>4.9086667551837639E-2</v>
      </c>
      <c r="I16416">
        <v>4.9086667551837659E-2</v>
      </c>
    </row>
    <row r="16417" spans="1:9" x14ac:dyDescent="0.25">
      <c r="A16417">
        <v>523</v>
      </c>
      <c r="B16417" t="s">
        <v>4249</v>
      </c>
      <c r="C16417" t="s">
        <v>10</v>
      </c>
      <c r="D16417" t="s">
        <v>361</v>
      </c>
      <c r="E16417">
        <f>2/107</f>
        <v>1.8691588785046728E-2</v>
      </c>
      <c r="F16417">
        <v>118</v>
      </c>
      <c r="G16417">
        <f>LOG(382/(118+1))</f>
        <v>0.50651640151917798</v>
      </c>
      <c r="H16417">
        <f>0.0186915887850467*1.16629711549504</f>
        <v>2.1799946084019403E-2</v>
      </c>
      <c r="I16417">
        <v>2.1799946084019549E-2</v>
      </c>
    </row>
    <row r="16418" spans="1:9" x14ac:dyDescent="0.25">
      <c r="A16418">
        <v>523</v>
      </c>
      <c r="B16418" t="s">
        <v>4249</v>
      </c>
      <c r="C16418" t="s">
        <v>10</v>
      </c>
      <c r="D16418" t="s">
        <v>434</v>
      </c>
      <c r="E16418">
        <f t="shared" ref="E16418:E16428" si="774">1/107</f>
        <v>9.3457943925233638E-3</v>
      </c>
      <c r="F16418">
        <v>97</v>
      </c>
      <c r="G16418">
        <f>LOG(382/(97+1))</f>
        <v>0.59083728721921391</v>
      </c>
      <c r="H16418">
        <f>0.00934579439252336*1.360453129936</f>
        <v>1.2714515233046723E-2</v>
      </c>
      <c r="I16418">
        <v>1.271451523304676E-2</v>
      </c>
    </row>
    <row r="16419" spans="1:9" x14ac:dyDescent="0.25">
      <c r="A16419">
        <v>523</v>
      </c>
      <c r="B16419" t="s">
        <v>4249</v>
      </c>
      <c r="C16419" t="s">
        <v>10</v>
      </c>
      <c r="D16419" t="s">
        <v>236</v>
      </c>
      <c r="E16419">
        <f t="shared" si="774"/>
        <v>9.3457943925233638E-3</v>
      </c>
      <c r="F16419">
        <v>87</v>
      </c>
      <c r="G16419">
        <f>LOG(382/(87+1))</f>
        <v>0.63758069076154011</v>
      </c>
      <c r="H16419">
        <f>0.00934579439252336*1.46808379412836</f>
        <v>1.3720409290919246E-2</v>
      </c>
      <c r="I16419">
        <v>1.372040929091933E-2</v>
      </c>
    </row>
    <row r="16420" spans="1:9" x14ac:dyDescent="0.25">
      <c r="A16420">
        <v>523</v>
      </c>
      <c r="B16420" t="s">
        <v>4249</v>
      </c>
      <c r="C16420" t="s">
        <v>10</v>
      </c>
      <c r="D16420" t="s">
        <v>438</v>
      </c>
      <c r="E16420">
        <f t="shared" si="774"/>
        <v>9.3457943925233638E-3</v>
      </c>
      <c r="F16420">
        <v>37</v>
      </c>
      <c r="G16420">
        <f>LOG(382/(37+1))</f>
        <v>1.0022797662948986</v>
      </c>
      <c r="H16420">
        <f>0.00934579439252336*2.30783444888018</f>
        <v>2.1568546251216625E-2</v>
      </c>
      <c r="I16420">
        <v>2.1568546251216719E-2</v>
      </c>
    </row>
    <row r="16421" spans="1:9" x14ac:dyDescent="0.25">
      <c r="A16421">
        <v>523</v>
      </c>
      <c r="B16421" t="s">
        <v>4249</v>
      </c>
      <c r="C16421" t="s">
        <v>10</v>
      </c>
      <c r="D16421" t="s">
        <v>307</v>
      </c>
      <c r="E16421">
        <f t="shared" si="774"/>
        <v>9.3457943925233638E-3</v>
      </c>
      <c r="F16421">
        <v>67</v>
      </c>
      <c r="G16421">
        <f>LOG(382/(67+1))</f>
        <v>0.7495544502054724</v>
      </c>
      <c r="H16421">
        <f>0.00934579439252336*1.72591290343046</f>
        <v>1.6130027134864108E-2</v>
      </c>
      <c r="I16421">
        <v>1.6130027134864191E-2</v>
      </c>
    </row>
    <row r="16422" spans="1:9" x14ac:dyDescent="0.25">
      <c r="A16422">
        <v>523</v>
      </c>
      <c r="B16422" t="s">
        <v>4249</v>
      </c>
      <c r="C16422" t="s">
        <v>10</v>
      </c>
      <c r="D16422" t="s">
        <v>1812</v>
      </c>
      <c r="E16422">
        <f t="shared" si="774"/>
        <v>9.3457943925233638E-3</v>
      </c>
      <c r="F16422">
        <v>10</v>
      </c>
      <c r="G16422">
        <f>LOG(382/(10+1))</f>
        <v>1.5406706777534838</v>
      </c>
      <c r="H16422">
        <f>0.00934579439252336*3.5475253358082</f>
        <v>3.3154442390730829E-2</v>
      </c>
      <c r="I16422">
        <v>3.3154442390730877E-2</v>
      </c>
    </row>
    <row r="16423" spans="1:9" x14ac:dyDescent="0.25">
      <c r="A16423">
        <v>523</v>
      </c>
      <c r="B16423" t="s">
        <v>4249</v>
      </c>
      <c r="C16423" t="s">
        <v>10</v>
      </c>
      <c r="D16423" t="s">
        <v>770</v>
      </c>
      <c r="E16423">
        <f t="shared" si="774"/>
        <v>9.3457943925233638E-3</v>
      </c>
      <c r="F16423">
        <v>47</v>
      </c>
      <c r="G16423">
        <f>LOG(382/(47+1))</f>
        <v>0.90082212553612151</v>
      </c>
      <c r="H16423">
        <f>0.00934579439252336*2.07421959769868</f>
        <v>1.9385229885034386E-2</v>
      </c>
      <c r="I16423">
        <v>1.9385229885034432E-2</v>
      </c>
    </row>
    <row r="16424" spans="1:9" x14ac:dyDescent="0.25">
      <c r="A16424">
        <v>523</v>
      </c>
      <c r="B16424" t="s">
        <v>4249</v>
      </c>
      <c r="C16424" t="s">
        <v>10</v>
      </c>
      <c r="D16424" t="s">
        <v>1398</v>
      </c>
      <c r="E16424">
        <f t="shared" si="774"/>
        <v>9.3457943925233638E-3</v>
      </c>
      <c r="F16424">
        <v>29</v>
      </c>
      <c r="G16424">
        <f>LOG(382/(29+1))</f>
        <v>1.1049421081920463</v>
      </c>
      <c r="H16424">
        <f>0.00934579439252336*2.54422322694442</f>
        <v>2.3777787167704848E-2</v>
      </c>
      <c r="I16424">
        <v>2.3777787167704859E-2</v>
      </c>
    </row>
    <row r="16425" spans="1:9" x14ac:dyDescent="0.25">
      <c r="A16425">
        <v>523</v>
      </c>
      <c r="B16425" t="s">
        <v>4249</v>
      </c>
      <c r="C16425" t="s">
        <v>10</v>
      </c>
      <c r="D16425" t="s">
        <v>339</v>
      </c>
      <c r="E16425">
        <f t="shared" si="774"/>
        <v>9.3457943925233638E-3</v>
      </c>
      <c r="F16425">
        <v>66</v>
      </c>
      <c r="G16425">
        <f>LOG(382/(66+1))</f>
        <v>0.75598856021088234</v>
      </c>
      <c r="H16425">
        <f>0.00934579439252336*1.7407279892156</f>
        <v>1.6268485880519618E-2</v>
      </c>
      <c r="I16425">
        <v>1.6268485880519708E-2</v>
      </c>
    </row>
    <row r="16426" spans="1:9" x14ac:dyDescent="0.25">
      <c r="A16426">
        <v>523</v>
      </c>
      <c r="B16426" t="s">
        <v>4249</v>
      </c>
      <c r="C16426" t="s">
        <v>10</v>
      </c>
      <c r="D16426" t="s">
        <v>591</v>
      </c>
      <c r="E16426">
        <f t="shared" si="774"/>
        <v>9.3457943925233638E-3</v>
      </c>
      <c r="F16426">
        <v>21</v>
      </c>
      <c r="G16426">
        <f>LOG(382/(21+1))</f>
        <v>1.2396406820895025</v>
      </c>
      <c r="H16426">
        <f>0.00934579439252336*2.85437815524825</f>
        <v>2.6676431357460267E-2</v>
      </c>
      <c r="I16426">
        <v>2.667643135746036E-2</v>
      </c>
    </row>
    <row r="16427" spans="1:9" x14ac:dyDescent="0.25">
      <c r="A16427">
        <v>523</v>
      </c>
      <c r="B16427" t="s">
        <v>4249</v>
      </c>
      <c r="C16427" t="s">
        <v>10</v>
      </c>
      <c r="D16427" t="s">
        <v>1433</v>
      </c>
      <c r="E16427">
        <f t="shared" si="774"/>
        <v>9.3457943925233638E-3</v>
      </c>
      <c r="F16427">
        <v>21</v>
      </c>
      <c r="G16427">
        <f>LOG(382/(21+1))</f>
        <v>1.2396406820895025</v>
      </c>
      <c r="H16427">
        <f>0.00934579439252336*2.85437815524825</f>
        <v>2.6676431357460267E-2</v>
      </c>
      <c r="I16427">
        <v>2.667643135746036E-2</v>
      </c>
    </row>
    <row r="16428" spans="1:9" x14ac:dyDescent="0.25">
      <c r="A16428">
        <v>523</v>
      </c>
      <c r="B16428" t="s">
        <v>4249</v>
      </c>
      <c r="C16428" t="s">
        <v>10</v>
      </c>
      <c r="D16428" t="s">
        <v>432</v>
      </c>
      <c r="E16428">
        <f t="shared" si="774"/>
        <v>9.3457943925233638E-3</v>
      </c>
      <c r="F16428">
        <v>67</v>
      </c>
      <c r="G16428">
        <f>LOG(382/(67+1))</f>
        <v>0.7495544502054724</v>
      </c>
      <c r="H16428">
        <f>0.00934579439252336*1.72591290343046</f>
        <v>1.6130027134864108E-2</v>
      </c>
      <c r="I16428">
        <v>1.6130027134864191E-2</v>
      </c>
    </row>
    <row r="16429" spans="1:9" x14ac:dyDescent="0.25">
      <c r="A16429">
        <v>523</v>
      </c>
      <c r="B16429" t="s">
        <v>4249</v>
      </c>
      <c r="C16429" t="s">
        <v>10</v>
      </c>
      <c r="D16429" t="s">
        <v>1473</v>
      </c>
      <c r="E16429">
        <f>2/107</f>
        <v>1.8691588785046728E-2</v>
      </c>
      <c r="F16429">
        <v>39</v>
      </c>
      <c r="G16429">
        <f>LOG(382/(39+1))</f>
        <v>0.9800033715837464</v>
      </c>
      <c r="H16429">
        <f>0.0186915887850467*2.25654115449263</f>
        <v>4.217833933631078E-2</v>
      </c>
      <c r="I16429">
        <v>4.2178339336311009E-2</v>
      </c>
    </row>
    <row r="16430" spans="1:9" x14ac:dyDescent="0.25">
      <c r="A16430">
        <v>523</v>
      </c>
      <c r="B16430" t="s">
        <v>4249</v>
      </c>
      <c r="C16430" t="s">
        <v>10</v>
      </c>
      <c r="D16430" t="s">
        <v>599</v>
      </c>
      <c r="E16430">
        <f>1/107</f>
        <v>9.3457943925233638E-3</v>
      </c>
      <c r="F16430">
        <v>28</v>
      </c>
      <c r="G16430">
        <f>LOG(382/(28+1))</f>
        <v>1.1196653650127526</v>
      </c>
      <c r="H16430">
        <f>0.00934579439252336*2.5781247786201</f>
        <v>2.4094624099253257E-2</v>
      </c>
      <c r="I16430">
        <v>2.4094624099253281E-2</v>
      </c>
    </row>
    <row r="16431" spans="1:9" x14ac:dyDescent="0.25">
      <c r="A16431">
        <v>523</v>
      </c>
      <c r="B16431" t="s">
        <v>4249</v>
      </c>
      <c r="C16431" t="s">
        <v>10</v>
      </c>
      <c r="D16431" t="s">
        <v>600</v>
      </c>
      <c r="E16431">
        <f>2/107</f>
        <v>1.8691588785046728E-2</v>
      </c>
      <c r="F16431">
        <v>102</v>
      </c>
      <c r="G16431">
        <f>LOG(382/(102+1))</f>
        <v>0.56922613820653656</v>
      </c>
      <c r="H16431">
        <f>0.0186915887850467*1.31069162037693</f>
        <v>2.4498908792092114E-2</v>
      </c>
      <c r="I16431">
        <v>2.4498908792092329E-2</v>
      </c>
    </row>
    <row r="16432" spans="1:9" x14ac:dyDescent="0.25">
      <c r="A16432">
        <v>523</v>
      </c>
      <c r="B16432" t="s">
        <v>4249</v>
      </c>
      <c r="C16432" t="s">
        <v>10</v>
      </c>
      <c r="D16432" t="s">
        <v>82</v>
      </c>
      <c r="E16432">
        <f>1/107</f>
        <v>9.3457943925233638E-3</v>
      </c>
      <c r="F16432">
        <v>92</v>
      </c>
      <c r="G16432">
        <f>LOG(382/(92+1))</f>
        <v>0.61358041435777355</v>
      </c>
      <c r="H16432">
        <f>0.00934579439252336*1.41282111545331</f>
        <v>1.3203935658442143E-2</v>
      </c>
      <c r="I16432">
        <v>1.320393565844223E-2</v>
      </c>
    </row>
    <row r="16433" spans="1:9" x14ac:dyDescent="0.25">
      <c r="A16433">
        <v>523</v>
      </c>
      <c r="B16433" t="s">
        <v>4249</v>
      </c>
      <c r="C16433" t="s">
        <v>10</v>
      </c>
      <c r="D16433" t="s">
        <v>2070</v>
      </c>
      <c r="E16433">
        <f>1/107</f>
        <v>9.3457943925233638E-3</v>
      </c>
      <c r="F16433">
        <v>5</v>
      </c>
      <c r="G16433">
        <f>LOG(382/(5+1))</f>
        <v>1.803912112528065</v>
      </c>
      <c r="H16433">
        <f>0.00934579439252336*4.15366113937852</f>
        <v>3.8819262984845962E-2</v>
      </c>
      <c r="I16433">
        <v>3.8819262984845983E-2</v>
      </c>
    </row>
    <row r="16434" spans="1:9" x14ac:dyDescent="0.25">
      <c r="A16434">
        <v>525</v>
      </c>
      <c r="B16434" t="s">
        <v>4255</v>
      </c>
      <c r="C16434" t="s">
        <v>48</v>
      </c>
      <c r="D16434" t="s">
        <v>147</v>
      </c>
      <c r="E16434">
        <f>4/79</f>
        <v>5.0632911392405063E-2</v>
      </c>
      <c r="F16434">
        <v>48</v>
      </c>
      <c r="G16434">
        <f>LOG(382/(48+1))</f>
        <v>0.89186728288319506</v>
      </c>
      <c r="H16434">
        <f>0.050632911392405*2.05360031049594</f>
        <v>0.10397976255675632</v>
      </c>
      <c r="I16434">
        <v>0.10397976255675689</v>
      </c>
    </row>
    <row r="16435" spans="1:9" x14ac:dyDescent="0.25">
      <c r="A16435">
        <v>525</v>
      </c>
      <c r="B16435" t="s">
        <v>4255</v>
      </c>
      <c r="C16435" t="s">
        <v>48</v>
      </c>
      <c r="D16435" t="s">
        <v>432</v>
      </c>
      <c r="E16435">
        <f>4/79</f>
        <v>5.0632911392405063E-2</v>
      </c>
      <c r="F16435">
        <v>67</v>
      </c>
      <c r="G16435">
        <f>LOG(382/(67+1))</f>
        <v>0.7495544502054724</v>
      </c>
      <c r="H16435">
        <f>0.050632911392405*1.72591290343046</f>
        <v>8.7387995110402933E-2</v>
      </c>
      <c r="I16435">
        <v>8.738799511040346E-2</v>
      </c>
    </row>
    <row r="16436" spans="1:9" x14ac:dyDescent="0.25">
      <c r="A16436">
        <v>525</v>
      </c>
      <c r="B16436" t="s">
        <v>4255</v>
      </c>
      <c r="C16436" t="s">
        <v>48</v>
      </c>
      <c r="D16436" t="s">
        <v>42</v>
      </c>
      <c r="E16436">
        <f>1/79</f>
        <v>1.2658227848101266E-2</v>
      </c>
      <c r="F16436">
        <v>251</v>
      </c>
      <c r="G16436">
        <f>LOG(382/(251+1))</f>
        <v>0.18066282213016463</v>
      </c>
      <c r="H16436">
        <f>0.0126582278481012*0.415991521095151</f>
        <v>5.2657154569006178E-3</v>
      </c>
      <c r="I16436">
        <v>5.265715456900656E-3</v>
      </c>
    </row>
    <row r="16437" spans="1:9" x14ac:dyDescent="0.25">
      <c r="A16437">
        <v>525</v>
      </c>
      <c r="B16437" t="s">
        <v>4255</v>
      </c>
      <c r="C16437" t="s">
        <v>48</v>
      </c>
      <c r="D16437" t="s">
        <v>65</v>
      </c>
      <c r="E16437">
        <f>1/79</f>
        <v>1.2658227848101266E-2</v>
      </c>
      <c r="F16437">
        <v>32</v>
      </c>
      <c r="G16437">
        <f>LOG(382/(32+1))</f>
        <v>1.0635494230338212</v>
      </c>
      <c r="H16437">
        <f>0.0126582278481012*2.44891304714009</f>
        <v>3.0998899330887054E-2</v>
      </c>
      <c r="I16437">
        <v>3.0998899330887279E-2</v>
      </c>
    </row>
    <row r="16438" spans="1:9" x14ac:dyDescent="0.25">
      <c r="A16438">
        <v>525</v>
      </c>
      <c r="B16438" t="s">
        <v>4255</v>
      </c>
      <c r="C16438" t="s">
        <v>48</v>
      </c>
      <c r="D16438" t="s">
        <v>40</v>
      </c>
      <c r="E16438">
        <f>8/79</f>
        <v>0.10126582278481013</v>
      </c>
      <c r="F16438">
        <v>159</v>
      </c>
      <c r="G16438">
        <f>LOG(382/(159+1))</f>
        <v>0.377943380255784</v>
      </c>
      <c r="H16438">
        <f>0.10126582278481*0.870246793372748</f>
        <v>8.8126257556733867E-2</v>
      </c>
      <c r="I16438">
        <v>8.8126257556734006E-2</v>
      </c>
    </row>
    <row r="16439" spans="1:9" x14ac:dyDescent="0.25">
      <c r="A16439">
        <v>525</v>
      </c>
      <c r="B16439" t="s">
        <v>4255</v>
      </c>
      <c r="C16439" t="s">
        <v>48</v>
      </c>
      <c r="D16439" t="s">
        <v>41</v>
      </c>
      <c r="E16439">
        <f>7/79</f>
        <v>8.8607594936708861E-2</v>
      </c>
      <c r="F16439">
        <v>195</v>
      </c>
      <c r="G16439">
        <f>LOG(382/(195+1))</f>
        <v>0.28980729155523272</v>
      </c>
      <c r="H16439">
        <f>0.0886075949367088*0.667305949376058</f>
        <v>5.9128375261169659E-2</v>
      </c>
      <c r="I16439">
        <v>5.9128375261169701E-2</v>
      </c>
    </row>
    <row r="16440" spans="1:9" x14ac:dyDescent="0.25">
      <c r="A16440">
        <v>525</v>
      </c>
      <c r="B16440" t="s">
        <v>4255</v>
      </c>
      <c r="C16440" t="s">
        <v>48</v>
      </c>
      <c r="D16440" t="s">
        <v>22</v>
      </c>
      <c r="E16440">
        <f>1/79</f>
        <v>1.2658227848101266E-2</v>
      </c>
      <c r="F16440">
        <v>259</v>
      </c>
      <c r="G16440">
        <f>LOG(382/(259+1))</f>
        <v>0.16709001494089079</v>
      </c>
      <c r="H16440">
        <f>0.0126582278481012*0.384738977591047</f>
        <v>4.8701136403929753E-3</v>
      </c>
      <c r="I16440">
        <v>4.8701136403930074E-3</v>
      </c>
    </row>
    <row r="16441" spans="1:9" x14ac:dyDescent="0.25">
      <c r="A16441">
        <v>525</v>
      </c>
      <c r="B16441" t="s">
        <v>4255</v>
      </c>
      <c r="C16441" t="s">
        <v>48</v>
      </c>
      <c r="D16441" t="s">
        <v>23</v>
      </c>
      <c r="E16441">
        <f>1/79</f>
        <v>1.2658227848101266E-2</v>
      </c>
      <c r="F16441">
        <v>275</v>
      </c>
      <c r="G16441">
        <f>LOG(382/(275+1))</f>
        <v>0.14115428084649101</v>
      </c>
      <c r="H16441">
        <f>0.0126582278481012*0.325019742889425</f>
        <v>4.1141739606256108E-3</v>
      </c>
      <c r="I16441">
        <v>4.1141739606256351E-3</v>
      </c>
    </row>
    <row r="16442" spans="1:9" x14ac:dyDescent="0.25">
      <c r="A16442">
        <v>525</v>
      </c>
      <c r="B16442" t="s">
        <v>4255</v>
      </c>
      <c r="C16442" t="s">
        <v>48</v>
      </c>
      <c r="D16442" t="s">
        <v>38</v>
      </c>
      <c r="E16442">
        <f>3/79</f>
        <v>3.7974683544303799E-2</v>
      </c>
      <c r="F16442">
        <v>86</v>
      </c>
      <c r="G16442">
        <f>LOG(382/(86+1))</f>
        <v>0.64254411029309022</v>
      </c>
      <c r="H16442">
        <f>0.0379746835443038*1.47951248995199</f>
        <v>5.6184018605771775E-2</v>
      </c>
      <c r="I16442">
        <v>5.6184018605771817E-2</v>
      </c>
    </row>
    <row r="16443" spans="1:9" x14ac:dyDescent="0.25">
      <c r="A16443">
        <v>525</v>
      </c>
      <c r="B16443" t="s">
        <v>4255</v>
      </c>
      <c r="C16443" t="s">
        <v>48</v>
      </c>
      <c r="D16443" t="s">
        <v>247</v>
      </c>
      <c r="E16443">
        <f>1/79</f>
        <v>1.2658227848101266E-2</v>
      </c>
      <c r="F16443">
        <v>121</v>
      </c>
      <c r="G16443">
        <f>LOG(382/(121+1))</f>
        <v>0.49570353223696051</v>
      </c>
      <c r="H16443">
        <f>0.0126582278481012*1.14139956387331</f>
        <v>1.4448095745231699E-2</v>
      </c>
      <c r="I16443">
        <v>1.4448095745231881E-2</v>
      </c>
    </row>
    <row r="16444" spans="1:9" x14ac:dyDescent="0.25">
      <c r="A16444">
        <v>525</v>
      </c>
      <c r="B16444" t="s">
        <v>4255</v>
      </c>
      <c r="C16444" t="s">
        <v>48</v>
      </c>
      <c r="D16444" t="s">
        <v>39</v>
      </c>
      <c r="E16444">
        <f>1/79</f>
        <v>1.2658227848101266E-2</v>
      </c>
      <c r="F16444">
        <v>145</v>
      </c>
      <c r="G16444">
        <f>LOG(382/(145+1))</f>
        <v>0.41771050712727159</v>
      </c>
      <c r="H16444">
        <f>0.0126582278481012*0.961813986898238</f>
        <v>1.217486059364852E-2</v>
      </c>
      <c r="I16444">
        <v>1.217486059364859E-2</v>
      </c>
    </row>
    <row r="16445" spans="1:9" x14ac:dyDescent="0.25">
      <c r="A16445">
        <v>525</v>
      </c>
      <c r="B16445" t="s">
        <v>4255</v>
      </c>
      <c r="C16445" t="s">
        <v>48</v>
      </c>
      <c r="D16445" t="s">
        <v>216</v>
      </c>
      <c r="E16445">
        <f>1/79</f>
        <v>1.2658227848101266E-2</v>
      </c>
      <c r="F16445">
        <v>63</v>
      </c>
      <c r="G16445">
        <f>LOG(382/(63+1))</f>
        <v>0.7758833889278216</v>
      </c>
      <c r="H16445">
        <f>0.0126582278481012*1.7865375252469</f>
        <v>2.2614399053758109E-2</v>
      </c>
      <c r="I16445">
        <v>2.2614399053758269E-2</v>
      </c>
    </row>
    <row r="16446" spans="1:9" x14ac:dyDescent="0.25">
      <c r="A16446">
        <v>525</v>
      </c>
      <c r="B16446" t="s">
        <v>4255</v>
      </c>
      <c r="C16446" t="s">
        <v>48</v>
      </c>
      <c r="D16446" t="s">
        <v>144</v>
      </c>
      <c r="E16446">
        <f>1/79</f>
        <v>1.2658227848101266E-2</v>
      </c>
      <c r="F16446">
        <v>105</v>
      </c>
      <c r="G16446">
        <f>LOG(382/(105+1))</f>
        <v>0.55675749764693849</v>
      </c>
      <c r="H16446">
        <f>0.0126582278481012*1.2819815144945</f>
        <v>1.622761410752523E-2</v>
      </c>
      <c r="I16446">
        <v>1.622761410752542E-2</v>
      </c>
    </row>
    <row r="16447" spans="1:9" x14ac:dyDescent="0.25">
      <c r="A16447">
        <v>525</v>
      </c>
      <c r="B16447" t="s">
        <v>4255</v>
      </c>
      <c r="C16447" t="s">
        <v>48</v>
      </c>
      <c r="D16447" t="s">
        <v>218</v>
      </c>
      <c r="E16447">
        <f>1/79</f>
        <v>1.2658227848101266E-2</v>
      </c>
      <c r="F16447">
        <v>35</v>
      </c>
      <c r="G16447">
        <f>LOG(382/(35+1))</f>
        <v>1.0257608621444214</v>
      </c>
      <c r="H16447">
        <f>0.0126582278481012*2.36190167015046</f>
        <v>2.9897489495575288E-2</v>
      </c>
      <c r="I16447">
        <v>2.98974894955755E-2</v>
      </c>
    </row>
    <row r="16448" spans="1:9" x14ac:dyDescent="0.25">
      <c r="A16448">
        <v>525</v>
      </c>
      <c r="B16448" t="s">
        <v>4255</v>
      </c>
      <c r="C16448" t="s">
        <v>48</v>
      </c>
      <c r="D16448" t="s">
        <v>307</v>
      </c>
      <c r="E16448">
        <f>2/79</f>
        <v>2.5316455696202531E-2</v>
      </c>
      <c r="F16448">
        <v>67</v>
      </c>
      <c r="G16448">
        <f>LOG(382/(67+1))</f>
        <v>0.7495544502054724</v>
      </c>
      <c r="H16448">
        <f>0.0253164556962025*1.72591290343046</f>
        <v>4.3693997555201466E-2</v>
      </c>
      <c r="I16448">
        <v>4.369399755520173E-2</v>
      </c>
    </row>
    <row r="16449" spans="1:9" x14ac:dyDescent="0.25">
      <c r="A16449">
        <v>525</v>
      </c>
      <c r="B16449" t="s">
        <v>4255</v>
      </c>
      <c r="C16449" t="s">
        <v>48</v>
      </c>
      <c r="D16449" t="s">
        <v>1015</v>
      </c>
      <c r="E16449">
        <f t="shared" ref="E16449:E16457" si="775">1/79</f>
        <v>1.2658227848101266E-2</v>
      </c>
      <c r="F16449">
        <v>8</v>
      </c>
      <c r="G16449">
        <f>LOG(382/(8+1))</f>
        <v>1.6278208534723839</v>
      </c>
      <c r="H16449">
        <f>0.0126582278481012*3.74819603127035</f>
        <v>4.7445519383168738E-2</v>
      </c>
      <c r="I16449">
        <v>4.7445519383169057E-2</v>
      </c>
    </row>
    <row r="16450" spans="1:9" x14ac:dyDescent="0.25">
      <c r="A16450">
        <v>525</v>
      </c>
      <c r="B16450" t="s">
        <v>4255</v>
      </c>
      <c r="C16450" t="s">
        <v>48</v>
      </c>
      <c r="D16450" t="s">
        <v>17</v>
      </c>
      <c r="E16450">
        <f t="shared" si="775"/>
        <v>1.2658227848101266E-2</v>
      </c>
      <c r="F16450">
        <v>169</v>
      </c>
      <c r="G16450">
        <f>LOG(382/(169+1))</f>
        <v>0.3516144415334348</v>
      </c>
      <c r="H16450">
        <f>0.0126582278481012*0.809622171556313</f>
        <v>1.0248381918434288E-2</v>
      </c>
      <c r="I16450">
        <v>1.024838191843435E-2</v>
      </c>
    </row>
    <row r="16451" spans="1:9" x14ac:dyDescent="0.25">
      <c r="A16451">
        <v>525</v>
      </c>
      <c r="B16451" t="s">
        <v>4255</v>
      </c>
      <c r="C16451" t="s">
        <v>48</v>
      </c>
      <c r="D16451" t="s">
        <v>1907</v>
      </c>
      <c r="E16451">
        <f t="shared" si="775"/>
        <v>1.2658227848101266E-2</v>
      </c>
      <c r="F16451">
        <v>20</v>
      </c>
      <c r="G16451">
        <f>LOG(382/(20+1))</f>
        <v>1.2598440681777894</v>
      </c>
      <c r="H16451">
        <f>0.0126582278481012*2.90089817088315</f>
        <v>3.6720230011178925E-2</v>
      </c>
      <c r="I16451">
        <v>3.672023001117914E-2</v>
      </c>
    </row>
    <row r="16452" spans="1:9" x14ac:dyDescent="0.25">
      <c r="A16452">
        <v>525</v>
      </c>
      <c r="B16452" t="s">
        <v>4255</v>
      </c>
      <c r="C16452" t="s">
        <v>48</v>
      </c>
      <c r="D16452" t="s">
        <v>1908</v>
      </c>
      <c r="E16452">
        <f t="shared" si="775"/>
        <v>1.2658227848101266E-2</v>
      </c>
      <c r="F16452">
        <v>20</v>
      </c>
      <c r="G16452">
        <f>LOG(382/(20+1))</f>
        <v>1.2598440681777894</v>
      </c>
      <c r="H16452">
        <f>0.0126582278481012*2.90089817088315</f>
        <v>3.6720230011178925E-2</v>
      </c>
      <c r="I16452">
        <v>3.672023001117914E-2</v>
      </c>
    </row>
    <row r="16453" spans="1:9" x14ac:dyDescent="0.25">
      <c r="A16453">
        <v>525</v>
      </c>
      <c r="B16453" t="s">
        <v>4255</v>
      </c>
      <c r="C16453" t="s">
        <v>48</v>
      </c>
      <c r="D16453" t="s">
        <v>91</v>
      </c>
      <c r="E16453">
        <f t="shared" si="775"/>
        <v>1.2658227848101266E-2</v>
      </c>
      <c r="F16453">
        <v>33</v>
      </c>
      <c r="G16453">
        <f>LOG(382/(33+1))</f>
        <v>1.0505844458694535</v>
      </c>
      <c r="H16453">
        <f>0.0126582278481012*2.41906008399041</f>
        <v>3.0621013721397437E-2</v>
      </c>
      <c r="I16453">
        <v>3.0621013721397639E-2</v>
      </c>
    </row>
    <row r="16454" spans="1:9" x14ac:dyDescent="0.25">
      <c r="A16454">
        <v>525</v>
      </c>
      <c r="B16454" t="s">
        <v>4255</v>
      </c>
      <c r="C16454" t="s">
        <v>48</v>
      </c>
      <c r="D16454" t="s">
        <v>19</v>
      </c>
      <c r="E16454">
        <f t="shared" si="775"/>
        <v>1.2658227848101266E-2</v>
      </c>
      <c r="F16454">
        <v>220</v>
      </c>
      <c r="G16454">
        <f>LOG(382/(220+1))</f>
        <v>0.23767108922659805</v>
      </c>
      <c r="H16454">
        <f>0.0126582278481012*0.547257907088822</f>
        <v>6.9273152796053058E-3</v>
      </c>
      <c r="I16454">
        <v>6.9273152796053474E-3</v>
      </c>
    </row>
    <row r="16455" spans="1:9" x14ac:dyDescent="0.25">
      <c r="A16455">
        <v>525</v>
      </c>
      <c r="B16455" t="s">
        <v>4255</v>
      </c>
      <c r="C16455" t="s">
        <v>48</v>
      </c>
      <c r="D16455" t="s">
        <v>195</v>
      </c>
      <c r="E16455">
        <f t="shared" si="775"/>
        <v>1.2658227848101266E-2</v>
      </c>
      <c r="F16455">
        <v>55</v>
      </c>
      <c r="G16455">
        <f>LOG(382/(55+1))</f>
        <v>0.83387533590550833</v>
      </c>
      <c r="H16455">
        <f>0.0126582278481012*1.92006891787142</f>
        <v>2.4304669846473545E-2</v>
      </c>
      <c r="I16455">
        <v>2.430466984647375E-2</v>
      </c>
    </row>
    <row r="16456" spans="1:9" x14ac:dyDescent="0.25">
      <c r="A16456">
        <v>525</v>
      </c>
      <c r="B16456" t="s">
        <v>4255</v>
      </c>
      <c r="C16456" t="s">
        <v>48</v>
      </c>
      <c r="D16456" t="s">
        <v>119</v>
      </c>
      <c r="E16456">
        <f t="shared" si="775"/>
        <v>1.2658227848101266E-2</v>
      </c>
      <c r="F16456">
        <v>79</v>
      </c>
      <c r="G16456">
        <f>LOG(382/(79+1))</f>
        <v>0.67897337591976514</v>
      </c>
      <c r="H16456">
        <f>0.0126582278481012*1.56339397393269</f>
        <v>1.9789797138388378E-2</v>
      </c>
      <c r="I16456">
        <v>1.9789797138388531E-2</v>
      </c>
    </row>
    <row r="16457" spans="1:9" x14ac:dyDescent="0.25">
      <c r="A16457">
        <v>525</v>
      </c>
      <c r="B16457" t="s">
        <v>4255</v>
      </c>
      <c r="C16457" t="s">
        <v>48</v>
      </c>
      <c r="D16457" t="s">
        <v>237</v>
      </c>
      <c r="E16457">
        <f t="shared" si="775"/>
        <v>1.2658227848101266E-2</v>
      </c>
      <c r="F16457">
        <v>138</v>
      </c>
      <c r="G16457">
        <f>LOG(382/(138+1))</f>
        <v>0.43904856265761361</v>
      </c>
      <c r="H16457">
        <f>0.0126582278481012*1.01094667547588</f>
        <v>1.279679336045411E-2</v>
      </c>
      <c r="I16457">
        <v>1.2796793360454219E-2</v>
      </c>
    </row>
    <row r="16458" spans="1:9" x14ac:dyDescent="0.25">
      <c r="A16458">
        <v>525</v>
      </c>
      <c r="B16458" t="s">
        <v>4255</v>
      </c>
      <c r="C16458" t="s">
        <v>48</v>
      </c>
      <c r="D16458" t="s">
        <v>25</v>
      </c>
      <c r="E16458">
        <f>3/79</f>
        <v>3.7974683544303799E-2</v>
      </c>
      <c r="F16458">
        <v>106</v>
      </c>
      <c r="G16458">
        <f>LOG(382/(106+1))</f>
        <v>0.55267958522649907</v>
      </c>
      <c r="H16458">
        <f>0.0379746835443038*1.27259177414466</f>
        <v>4.8326269904227594E-2</v>
      </c>
      <c r="I16458">
        <v>4.8326269904227941E-2</v>
      </c>
    </row>
    <row r="16459" spans="1:9" x14ac:dyDescent="0.25">
      <c r="A16459">
        <v>525</v>
      </c>
      <c r="B16459" t="s">
        <v>4255</v>
      </c>
      <c r="C16459" t="s">
        <v>48</v>
      </c>
      <c r="D16459" t="s">
        <v>1250</v>
      </c>
      <c r="E16459">
        <f t="shared" ref="E16459:E16488" si="776">1/79</f>
        <v>1.2658227848101266E-2</v>
      </c>
      <c r="F16459">
        <v>5</v>
      </c>
      <c r="G16459">
        <f>LOG(382/(5+1))</f>
        <v>1.803912112528065</v>
      </c>
      <c r="H16459">
        <f>0.0126582278481012*4.15366113937852</f>
        <v>5.257798910605694E-2</v>
      </c>
      <c r="I16459">
        <v>5.257798910605721E-2</v>
      </c>
    </row>
    <row r="16460" spans="1:9" x14ac:dyDescent="0.25">
      <c r="A16460">
        <v>525</v>
      </c>
      <c r="B16460" t="s">
        <v>4255</v>
      </c>
      <c r="C16460" t="s">
        <v>48</v>
      </c>
      <c r="D16460" t="s">
        <v>4256</v>
      </c>
      <c r="E16460">
        <f t="shared" si="776"/>
        <v>1.2658227848101266E-2</v>
      </c>
      <c r="F16460">
        <v>2</v>
      </c>
      <c r="G16460">
        <f>LOG(382/(2+1))</f>
        <v>2.1049421081920463</v>
      </c>
      <c r="H16460">
        <f>0.0126582278481012*4.84680831993846</f>
        <v>6.1352004049853602E-2</v>
      </c>
      <c r="I16460">
        <v>6.1352004049853991E-2</v>
      </c>
    </row>
    <row r="16461" spans="1:9" x14ac:dyDescent="0.25">
      <c r="A16461">
        <v>525</v>
      </c>
      <c r="B16461" t="s">
        <v>4255</v>
      </c>
      <c r="C16461" t="s">
        <v>48</v>
      </c>
      <c r="D16461" t="s">
        <v>4257</v>
      </c>
      <c r="E16461">
        <f t="shared" si="776"/>
        <v>1.2658227848101266E-2</v>
      </c>
      <c r="F16461">
        <v>1</v>
      </c>
      <c r="G16461">
        <f>LOG(382/(1+1))</f>
        <v>2.2810333672477277</v>
      </c>
      <c r="H16461">
        <f>0.0126582278481012*5.25227342804663</f>
        <v>6.6484473772741803E-2</v>
      </c>
      <c r="I16461">
        <v>6.648447377274215E-2</v>
      </c>
    </row>
    <row r="16462" spans="1:9" x14ac:dyDescent="0.25">
      <c r="A16462">
        <v>525</v>
      </c>
      <c r="B16462" t="s">
        <v>4255</v>
      </c>
      <c r="C16462" t="s">
        <v>48</v>
      </c>
      <c r="D16462" t="s">
        <v>1083</v>
      </c>
      <c r="E16462">
        <f t="shared" si="776"/>
        <v>1.2658227848101266E-2</v>
      </c>
      <c r="F16462">
        <v>51</v>
      </c>
      <c r="G16462">
        <f>LOG(382/(51+1))</f>
        <v>0.86606001927690957</v>
      </c>
      <c r="H16462">
        <f>0.0126582278481012*1.99417689002514</f>
        <v>2.5242745443356071E-2</v>
      </c>
      <c r="I16462">
        <v>2.52427454433563E-2</v>
      </c>
    </row>
    <row r="16463" spans="1:9" x14ac:dyDescent="0.25">
      <c r="A16463">
        <v>525</v>
      </c>
      <c r="B16463" t="s">
        <v>4255</v>
      </c>
      <c r="C16463" t="s">
        <v>48</v>
      </c>
      <c r="D16463" t="s">
        <v>112</v>
      </c>
      <c r="E16463">
        <f t="shared" si="776"/>
        <v>1.2658227848101266E-2</v>
      </c>
      <c r="F16463">
        <v>52</v>
      </c>
      <c r="G16463">
        <f>LOG(382/(52+1))</f>
        <v>0.85778749331091964</v>
      </c>
      <c r="H16463">
        <f>0.0126582278481012*1.97512869505445</f>
        <v>2.500162905132202E-2</v>
      </c>
      <c r="I16463">
        <v>2.500162905132219E-2</v>
      </c>
    </row>
    <row r="16464" spans="1:9" x14ac:dyDescent="0.25">
      <c r="A16464">
        <v>525</v>
      </c>
      <c r="B16464" t="s">
        <v>4255</v>
      </c>
      <c r="C16464" t="s">
        <v>48</v>
      </c>
      <c r="D16464" t="s">
        <v>612</v>
      </c>
      <c r="E16464">
        <f t="shared" si="776"/>
        <v>1.2658227848101266E-2</v>
      </c>
      <c r="F16464">
        <v>5</v>
      </c>
      <c r="G16464">
        <f>LOG(382/(5+1))</f>
        <v>1.803912112528065</v>
      </c>
      <c r="H16464">
        <f>0.0126582278481012*4.15366113937852</f>
        <v>5.257798910605694E-2</v>
      </c>
      <c r="I16464">
        <v>5.257798910605721E-2</v>
      </c>
    </row>
    <row r="16465" spans="1:9" x14ac:dyDescent="0.25">
      <c r="A16465">
        <v>525</v>
      </c>
      <c r="B16465" t="s">
        <v>4255</v>
      </c>
      <c r="C16465" t="s">
        <v>48</v>
      </c>
      <c r="D16465" t="s">
        <v>4258</v>
      </c>
      <c r="E16465">
        <f t="shared" si="776"/>
        <v>1.2658227848101266E-2</v>
      </c>
      <c r="F16465">
        <v>1</v>
      </c>
      <c r="G16465">
        <f>LOG(382/(1+1))</f>
        <v>2.2810333672477277</v>
      </c>
      <c r="H16465">
        <f>0.0126582278481012*5.25227342804663</f>
        <v>6.6484473772741803E-2</v>
      </c>
      <c r="I16465">
        <v>6.648447377274215E-2</v>
      </c>
    </row>
    <row r="16466" spans="1:9" x14ac:dyDescent="0.25">
      <c r="A16466">
        <v>525</v>
      </c>
      <c r="B16466" t="s">
        <v>4255</v>
      </c>
      <c r="C16466" t="s">
        <v>48</v>
      </c>
      <c r="D16466" t="s">
        <v>656</v>
      </c>
      <c r="E16466">
        <f t="shared" si="776"/>
        <v>1.2658227848101266E-2</v>
      </c>
      <c r="F16466">
        <v>3</v>
      </c>
      <c r="G16466">
        <f>LOG(382/(3+1))</f>
        <v>1.9800033715837464</v>
      </c>
      <c r="H16466">
        <f>0.0126582278481012*4.55912624748668</f>
        <v>5.7710458828945016E-2</v>
      </c>
      <c r="I16466">
        <v>5.771045882894537E-2</v>
      </c>
    </row>
    <row r="16467" spans="1:9" x14ac:dyDescent="0.25">
      <c r="A16467">
        <v>525</v>
      </c>
      <c r="B16467" t="s">
        <v>4255</v>
      </c>
      <c r="C16467" t="s">
        <v>48</v>
      </c>
      <c r="D16467" t="s">
        <v>2263</v>
      </c>
      <c r="E16467">
        <f t="shared" si="776"/>
        <v>1.2658227848101266E-2</v>
      </c>
      <c r="F16467">
        <v>2</v>
      </c>
      <c r="G16467">
        <f>LOG(382/(2+1))</f>
        <v>2.1049421081920463</v>
      </c>
      <c r="H16467">
        <f>0.0126582278481012*4.84680831993846</f>
        <v>6.1352004049853602E-2</v>
      </c>
      <c r="I16467">
        <v>6.1352004049853991E-2</v>
      </c>
    </row>
    <row r="16468" spans="1:9" x14ac:dyDescent="0.25">
      <c r="A16468">
        <v>525</v>
      </c>
      <c r="B16468" t="s">
        <v>4255</v>
      </c>
      <c r="C16468" t="s">
        <v>48</v>
      </c>
      <c r="D16468" t="s">
        <v>4259</v>
      </c>
      <c r="E16468">
        <f t="shared" si="776"/>
        <v>1.2658227848101266E-2</v>
      </c>
      <c r="F16468">
        <v>3</v>
      </c>
      <c r="G16468">
        <f>LOG(382/(3+1))</f>
        <v>1.9800033715837464</v>
      </c>
      <c r="H16468">
        <f>0.0126582278481012*4.55912624748668</f>
        <v>5.7710458828945016E-2</v>
      </c>
      <c r="I16468">
        <v>5.771045882894537E-2</v>
      </c>
    </row>
    <row r="16469" spans="1:9" x14ac:dyDescent="0.25">
      <c r="A16469">
        <v>525</v>
      </c>
      <c r="B16469" t="s">
        <v>4255</v>
      </c>
      <c r="C16469" t="s">
        <v>48</v>
      </c>
      <c r="D16469" t="s">
        <v>31</v>
      </c>
      <c r="E16469">
        <f t="shared" si="776"/>
        <v>1.2658227848101266E-2</v>
      </c>
      <c r="F16469">
        <v>31</v>
      </c>
      <c r="G16469">
        <f>LOG(382/(31+1))</f>
        <v>1.0769133845918029</v>
      </c>
      <c r="H16469">
        <f>0.0126582278481012*2.47968470580684</f>
        <v>3.1388413997554772E-2</v>
      </c>
      <c r="I16469">
        <v>3.1388413997555049E-2</v>
      </c>
    </row>
    <row r="16470" spans="1:9" x14ac:dyDescent="0.25">
      <c r="A16470">
        <v>525</v>
      </c>
      <c r="B16470" t="s">
        <v>4255</v>
      </c>
      <c r="C16470" t="s">
        <v>48</v>
      </c>
      <c r="D16470" t="s">
        <v>943</v>
      </c>
      <c r="E16470">
        <f t="shared" si="776"/>
        <v>1.2658227848101266E-2</v>
      </c>
      <c r="F16470">
        <v>3</v>
      </c>
      <c r="G16470">
        <f>LOG(382/(3+1))</f>
        <v>1.9800033715837464</v>
      </c>
      <c r="H16470">
        <f>0.0126582278481012*4.55912624748668</f>
        <v>5.7710458828945016E-2</v>
      </c>
      <c r="I16470">
        <v>5.771045882894537E-2</v>
      </c>
    </row>
    <row r="16471" spans="1:9" x14ac:dyDescent="0.25">
      <c r="A16471">
        <v>525</v>
      </c>
      <c r="B16471" t="s">
        <v>4255</v>
      </c>
      <c r="C16471" t="s">
        <v>48</v>
      </c>
      <c r="D16471" t="s">
        <v>1578</v>
      </c>
      <c r="E16471">
        <f t="shared" si="776"/>
        <v>1.2658227848101266E-2</v>
      </c>
      <c r="F16471">
        <v>8</v>
      </c>
      <c r="G16471">
        <f>LOG(382/(8+1))</f>
        <v>1.6278208534723839</v>
      </c>
      <c r="H16471">
        <f>0.0126582278481012*3.74819603127035</f>
        <v>4.7445519383168738E-2</v>
      </c>
      <c r="I16471">
        <v>4.7445519383169057E-2</v>
      </c>
    </row>
    <row r="16472" spans="1:9" x14ac:dyDescent="0.25">
      <c r="A16472">
        <v>525</v>
      </c>
      <c r="B16472" t="s">
        <v>4255</v>
      </c>
      <c r="C16472" t="s">
        <v>48</v>
      </c>
      <c r="D16472" t="s">
        <v>726</v>
      </c>
      <c r="E16472">
        <f t="shared" si="776"/>
        <v>1.2658227848101266E-2</v>
      </c>
      <c r="F16472">
        <v>37</v>
      </c>
      <c r="G16472">
        <f>LOG(382/(37+1))</f>
        <v>1.0022797662948986</v>
      </c>
      <c r="H16472">
        <f>0.0126582278481012*2.30783444888018</f>
        <v>2.9213094289622377E-2</v>
      </c>
      <c r="I16472">
        <v>2.9213094289622651E-2</v>
      </c>
    </row>
    <row r="16473" spans="1:9" x14ac:dyDescent="0.25">
      <c r="A16473">
        <v>525</v>
      </c>
      <c r="B16473" t="s">
        <v>4255</v>
      </c>
      <c r="C16473" t="s">
        <v>48</v>
      </c>
      <c r="D16473" t="s">
        <v>1579</v>
      </c>
      <c r="E16473">
        <f t="shared" si="776"/>
        <v>1.2658227848101266E-2</v>
      </c>
      <c r="F16473">
        <v>6</v>
      </c>
      <c r="G16473">
        <f>LOG(382/(6+1))</f>
        <v>1.736965322897452</v>
      </c>
      <c r="H16473">
        <f>0.0126582278481012*3.99951045955126</f>
        <v>5.0626714677863789E-2</v>
      </c>
      <c r="I16473">
        <v>5.0626714677864067E-2</v>
      </c>
    </row>
    <row r="16474" spans="1:9" x14ac:dyDescent="0.25">
      <c r="A16474">
        <v>525</v>
      </c>
      <c r="B16474" t="s">
        <v>4255</v>
      </c>
      <c r="C16474" t="s">
        <v>48</v>
      </c>
      <c r="D16474" t="s">
        <v>485</v>
      </c>
      <c r="E16474">
        <f t="shared" si="776"/>
        <v>1.2658227848101266E-2</v>
      </c>
      <c r="F16474">
        <v>74</v>
      </c>
      <c r="G16474">
        <f>LOG(382/(74+1))</f>
        <v>0.7070020995200087</v>
      </c>
      <c r="H16474">
        <f>0.0126582278481012*1.62793249507026</f>
        <v>2.0606740443927234E-2</v>
      </c>
      <c r="I16474">
        <v>2.06067404439274E-2</v>
      </c>
    </row>
    <row r="16475" spans="1:9" x14ac:dyDescent="0.25">
      <c r="A16475">
        <v>525</v>
      </c>
      <c r="B16475" t="s">
        <v>4255</v>
      </c>
      <c r="C16475" t="s">
        <v>48</v>
      </c>
      <c r="D16475" t="s">
        <v>4260</v>
      </c>
      <c r="E16475">
        <f t="shared" si="776"/>
        <v>1.2658227848101266E-2</v>
      </c>
      <c r="F16475">
        <v>1</v>
      </c>
      <c r="G16475">
        <f>LOG(382/(1+1))</f>
        <v>2.2810333672477277</v>
      </c>
      <c r="H16475">
        <f>0.0126582278481012*5.25227342804663</f>
        <v>6.6484473772741803E-2</v>
      </c>
      <c r="I16475">
        <v>6.648447377274215E-2</v>
      </c>
    </row>
    <row r="16476" spans="1:9" x14ac:dyDescent="0.25">
      <c r="A16476">
        <v>525</v>
      </c>
      <c r="B16476" t="s">
        <v>4255</v>
      </c>
      <c r="C16476" t="s">
        <v>48</v>
      </c>
      <c r="D16476" t="s">
        <v>475</v>
      </c>
      <c r="E16476">
        <f t="shared" si="776"/>
        <v>1.2658227848101266E-2</v>
      </c>
      <c r="F16476">
        <v>16</v>
      </c>
      <c r="G16476">
        <f>LOG(382/(16+1))</f>
        <v>1.3516144415334348</v>
      </c>
      <c r="H16476">
        <f>0.0126582278481012*3.11220726455035</f>
        <v>3.9395028665194093E-2</v>
      </c>
      <c r="I16476">
        <v>3.9395028665194419E-2</v>
      </c>
    </row>
    <row r="16477" spans="1:9" x14ac:dyDescent="0.25">
      <c r="A16477">
        <v>525</v>
      </c>
      <c r="B16477" t="s">
        <v>4255</v>
      </c>
      <c r="C16477" t="s">
        <v>48</v>
      </c>
      <c r="D16477" t="s">
        <v>321</v>
      </c>
      <c r="E16477">
        <f t="shared" si="776"/>
        <v>1.2658227848101266E-2</v>
      </c>
      <c r="F16477">
        <v>5</v>
      </c>
      <c r="G16477">
        <f>LOG(382/(5+1))</f>
        <v>1.803912112528065</v>
      </c>
      <c r="H16477">
        <f>0.0126582278481012*4.15366113937852</f>
        <v>5.257798910605694E-2</v>
      </c>
      <c r="I16477">
        <v>5.257798910605721E-2</v>
      </c>
    </row>
    <row r="16478" spans="1:9" x14ac:dyDescent="0.25">
      <c r="A16478">
        <v>525</v>
      </c>
      <c r="B16478" t="s">
        <v>4255</v>
      </c>
      <c r="C16478" t="s">
        <v>48</v>
      </c>
      <c r="D16478" t="s">
        <v>241</v>
      </c>
      <c r="E16478">
        <f t="shared" si="776"/>
        <v>1.2658227848101266E-2</v>
      </c>
      <c r="F16478">
        <v>19</v>
      </c>
      <c r="G16478">
        <f>LOG(382/(19+1))</f>
        <v>1.2810333672477277</v>
      </c>
      <c r="H16478">
        <f>0.0126582278481012*2.94968833505258</f>
        <v>3.7337827025981832E-2</v>
      </c>
      <c r="I16478">
        <v>3.7337827025982082E-2</v>
      </c>
    </row>
    <row r="16479" spans="1:9" x14ac:dyDescent="0.25">
      <c r="A16479">
        <v>525</v>
      </c>
      <c r="B16479" t="s">
        <v>4255</v>
      </c>
      <c r="C16479" t="s">
        <v>48</v>
      </c>
      <c r="D16479" t="s">
        <v>542</v>
      </c>
      <c r="E16479">
        <f t="shared" si="776"/>
        <v>1.2658227848101266E-2</v>
      </c>
      <c r="F16479">
        <v>42</v>
      </c>
      <c r="G16479">
        <f>LOG(382/(42+1))</f>
        <v>0.94859490733212215</v>
      </c>
      <c r="H16479">
        <f>0.0126582278481012*2.18422049291301</f>
        <v>2.764836066978479E-2</v>
      </c>
      <c r="I16479">
        <v>2.7648360669784971E-2</v>
      </c>
    </row>
    <row r="16480" spans="1:9" x14ac:dyDescent="0.25">
      <c r="A16480">
        <v>525</v>
      </c>
      <c r="B16480" t="s">
        <v>4255</v>
      </c>
      <c r="C16480" t="s">
        <v>48</v>
      </c>
      <c r="D16480" t="s">
        <v>4261</v>
      </c>
      <c r="E16480">
        <f t="shared" si="776"/>
        <v>1.2658227848101266E-2</v>
      </c>
      <c r="F16480">
        <v>1</v>
      </c>
      <c r="G16480">
        <f>LOG(382/(1+1))</f>
        <v>2.2810333672477277</v>
      </c>
      <c r="H16480">
        <f>0.0126582278481012*5.25227342804663</f>
        <v>6.6484473772741803E-2</v>
      </c>
      <c r="I16480">
        <v>6.648447377274215E-2</v>
      </c>
    </row>
    <row r="16481" spans="1:9" x14ac:dyDescent="0.25">
      <c r="A16481">
        <v>525</v>
      </c>
      <c r="B16481" t="s">
        <v>4255</v>
      </c>
      <c r="C16481" t="s">
        <v>48</v>
      </c>
      <c r="D16481" t="s">
        <v>28</v>
      </c>
      <c r="E16481">
        <f t="shared" si="776"/>
        <v>1.2658227848101266E-2</v>
      </c>
      <c r="F16481">
        <v>35</v>
      </c>
      <c r="G16481">
        <f>LOG(382/(35+1))</f>
        <v>1.0257608621444214</v>
      </c>
      <c r="H16481">
        <f>0.0126582278481012*2.36190167015046</f>
        <v>2.9897489495575288E-2</v>
      </c>
      <c r="I16481">
        <v>2.98974894955755E-2</v>
      </c>
    </row>
    <row r="16482" spans="1:9" x14ac:dyDescent="0.25">
      <c r="A16482">
        <v>525</v>
      </c>
      <c r="B16482" t="s">
        <v>4255</v>
      </c>
      <c r="C16482" t="s">
        <v>48</v>
      </c>
      <c r="D16482" t="s">
        <v>68</v>
      </c>
      <c r="E16482">
        <f t="shared" si="776"/>
        <v>1.2658227848101266E-2</v>
      </c>
      <c r="F16482">
        <v>43</v>
      </c>
      <c r="G16482">
        <f>LOG(382/(43+1))</f>
        <v>0.93861068642552126</v>
      </c>
      <c r="H16482">
        <f>0.0126582278481012*2.16123097468831</f>
        <v>2.7357354109978461E-2</v>
      </c>
      <c r="I16482">
        <v>2.7357354109978659E-2</v>
      </c>
    </row>
    <row r="16483" spans="1:9" x14ac:dyDescent="0.25">
      <c r="A16483">
        <v>525</v>
      </c>
      <c r="B16483" t="s">
        <v>4255</v>
      </c>
      <c r="C16483" t="s">
        <v>48</v>
      </c>
      <c r="D16483" t="s">
        <v>44</v>
      </c>
      <c r="E16483">
        <f t="shared" si="776"/>
        <v>1.2658227848101266E-2</v>
      </c>
      <c r="F16483">
        <v>151</v>
      </c>
      <c r="G16483">
        <f>LOG(382/(151+1))</f>
        <v>0.40021977496693617</v>
      </c>
      <c r="H16483">
        <f>0.0126582278481012*0.921540087760298</f>
        <v>1.1665064402029029E-2</v>
      </c>
      <c r="I16483">
        <v>1.16650644020291E-2</v>
      </c>
    </row>
    <row r="16484" spans="1:9" x14ac:dyDescent="0.25">
      <c r="A16484">
        <v>525</v>
      </c>
      <c r="B16484" t="s">
        <v>4255</v>
      </c>
      <c r="C16484" t="s">
        <v>48</v>
      </c>
      <c r="D16484" t="s">
        <v>1377</v>
      </c>
      <c r="E16484">
        <f t="shared" si="776"/>
        <v>1.2658227848101266E-2</v>
      </c>
      <c r="F16484">
        <v>5</v>
      </c>
      <c r="G16484">
        <f>LOG(382/(5+1))</f>
        <v>1.803912112528065</v>
      </c>
      <c r="H16484">
        <f>0.0126582278481012*4.15366113937852</f>
        <v>5.257798910605694E-2</v>
      </c>
      <c r="I16484">
        <v>5.257798910605721E-2</v>
      </c>
    </row>
    <row r="16485" spans="1:9" x14ac:dyDescent="0.25">
      <c r="A16485">
        <v>525</v>
      </c>
      <c r="B16485" t="s">
        <v>4255</v>
      </c>
      <c r="C16485" t="s">
        <v>48</v>
      </c>
      <c r="D16485" t="s">
        <v>105</v>
      </c>
      <c r="E16485">
        <f t="shared" si="776"/>
        <v>1.2658227848101266E-2</v>
      </c>
      <c r="F16485">
        <v>122</v>
      </c>
      <c r="G16485">
        <f>LOG(382/(122+1))</f>
        <v>0.49215825147231079</v>
      </c>
      <c r="H16485">
        <f>0.0126582278481012*1.13323625323415</f>
        <v>1.4344762699166382E-2</v>
      </c>
      <c r="I16485">
        <v>1.434476269916655E-2</v>
      </c>
    </row>
    <row r="16486" spans="1:9" x14ac:dyDescent="0.25">
      <c r="A16486">
        <v>525</v>
      </c>
      <c r="B16486" t="s">
        <v>4255</v>
      </c>
      <c r="C16486" t="s">
        <v>48</v>
      </c>
      <c r="D16486" t="s">
        <v>2454</v>
      </c>
      <c r="E16486">
        <f t="shared" si="776"/>
        <v>1.2658227848101266E-2</v>
      </c>
      <c r="F16486">
        <v>3</v>
      </c>
      <c r="G16486">
        <f>LOG(382/(3+1))</f>
        <v>1.9800033715837464</v>
      </c>
      <c r="H16486">
        <f>0.0126582278481012*4.55912624748668</f>
        <v>5.7710458828945016E-2</v>
      </c>
      <c r="I16486">
        <v>5.771045882894537E-2</v>
      </c>
    </row>
    <row r="16487" spans="1:9" x14ac:dyDescent="0.25">
      <c r="A16487">
        <v>525</v>
      </c>
      <c r="B16487" t="s">
        <v>4255</v>
      </c>
      <c r="C16487" t="s">
        <v>48</v>
      </c>
      <c r="D16487" t="s">
        <v>331</v>
      </c>
      <c r="E16487">
        <f t="shared" si="776"/>
        <v>1.2658227848101266E-2</v>
      </c>
      <c r="F16487">
        <v>130</v>
      </c>
      <c r="G16487">
        <f>LOG(382/(130+1))</f>
        <v>0.46479206725594452</v>
      </c>
      <c r="H16487">
        <f>0.0126582278481012*1.07022328540542</f>
        <v>1.3547130195005247E-2</v>
      </c>
      <c r="I16487">
        <v>1.354713019500536E-2</v>
      </c>
    </row>
    <row r="16488" spans="1:9" x14ac:dyDescent="0.25">
      <c r="A16488">
        <v>525</v>
      </c>
      <c r="B16488" t="s">
        <v>4255</v>
      </c>
      <c r="C16488" t="s">
        <v>48</v>
      </c>
      <c r="D16488" t="s">
        <v>582</v>
      </c>
      <c r="E16488">
        <f t="shared" si="776"/>
        <v>1.2658227848101266E-2</v>
      </c>
      <c r="F16488">
        <v>14</v>
      </c>
      <c r="G16488">
        <f>LOG(382/(14+1))</f>
        <v>1.4059721038560276</v>
      </c>
      <c r="H16488">
        <f>0.0126582278481012*3.23737040750436</f>
        <v>4.0979372246890418E-2</v>
      </c>
      <c r="I16488">
        <v>4.0979372246890702E-2</v>
      </c>
    </row>
    <row r="16489" spans="1:9" x14ac:dyDescent="0.25">
      <c r="A16489">
        <v>526</v>
      </c>
      <c r="B16489" t="s">
        <v>4262</v>
      </c>
      <c r="C16489" t="s">
        <v>75</v>
      </c>
      <c r="D16489" t="s">
        <v>1217</v>
      </c>
      <c r="E16489">
        <f t="shared" ref="E16489:E16503" si="777">1/48</f>
        <v>2.0833333333333332E-2</v>
      </c>
      <c r="F16489">
        <v>5</v>
      </c>
      <c r="G16489">
        <f>LOG(382/(5+1))</f>
        <v>1.803912112528065</v>
      </c>
      <c r="H16489">
        <f>0.0208333333333333*4.15366113937852</f>
        <v>8.6534607070385697E-2</v>
      </c>
      <c r="I16489">
        <v>8.6534607070385822E-2</v>
      </c>
    </row>
    <row r="16490" spans="1:9" x14ac:dyDescent="0.25">
      <c r="A16490">
        <v>526</v>
      </c>
      <c r="B16490" t="s">
        <v>4262</v>
      </c>
      <c r="C16490" t="s">
        <v>75</v>
      </c>
      <c r="D16490" t="s">
        <v>1765</v>
      </c>
      <c r="E16490">
        <f t="shared" si="777"/>
        <v>2.0833333333333332E-2</v>
      </c>
      <c r="F16490">
        <v>14</v>
      </c>
      <c r="G16490">
        <f>LOG(382/(14+1))</f>
        <v>1.4059721038560276</v>
      </c>
      <c r="H16490">
        <f>0.0208333333333333*3.23737040750436</f>
        <v>6.7445216823007387E-2</v>
      </c>
      <c r="I16490">
        <v>6.7445216823007609E-2</v>
      </c>
    </row>
    <row r="16491" spans="1:9" x14ac:dyDescent="0.25">
      <c r="A16491">
        <v>526</v>
      </c>
      <c r="B16491" t="s">
        <v>4262</v>
      </c>
      <c r="C16491" t="s">
        <v>75</v>
      </c>
      <c r="D16491" t="s">
        <v>2257</v>
      </c>
      <c r="E16491">
        <f t="shared" si="777"/>
        <v>2.0833333333333332E-2</v>
      </c>
      <c r="F16491">
        <v>11</v>
      </c>
      <c r="G16491">
        <f>LOG(382/(11+1))</f>
        <v>1.5028821168640838</v>
      </c>
      <c r="H16491">
        <f>0.0208333333333333*3.46051395881857</f>
        <v>7.2094040808720103E-2</v>
      </c>
      <c r="I16491">
        <v>7.2094040808720311E-2</v>
      </c>
    </row>
    <row r="16492" spans="1:9" x14ac:dyDescent="0.25">
      <c r="A16492">
        <v>526</v>
      </c>
      <c r="B16492" t="s">
        <v>4262</v>
      </c>
      <c r="C16492" t="s">
        <v>75</v>
      </c>
      <c r="D16492" t="s">
        <v>42</v>
      </c>
      <c r="E16492">
        <f t="shared" si="777"/>
        <v>2.0833333333333332E-2</v>
      </c>
      <c r="F16492">
        <v>251</v>
      </c>
      <c r="G16492">
        <f>LOG(382/(251+1))</f>
        <v>0.18066282213016463</v>
      </c>
      <c r="H16492">
        <f>0.0208333333333333*0.415991521095151</f>
        <v>8.666490022815632E-3</v>
      </c>
      <c r="I16492">
        <v>8.6664900228156632E-3</v>
      </c>
    </row>
    <row r="16493" spans="1:9" x14ac:dyDescent="0.25">
      <c r="A16493">
        <v>526</v>
      </c>
      <c r="B16493" t="s">
        <v>4262</v>
      </c>
      <c r="C16493" t="s">
        <v>75</v>
      </c>
      <c r="D16493" t="s">
        <v>294</v>
      </c>
      <c r="E16493">
        <f t="shared" si="777"/>
        <v>2.0833333333333332E-2</v>
      </c>
      <c r="F16493">
        <v>3</v>
      </c>
      <c r="G16493">
        <f>LOG(382/(3+1))</f>
        <v>1.9800033715837464</v>
      </c>
      <c r="H16493">
        <f>0.0208333333333333*4.55912624748668</f>
        <v>9.498179682263902E-2</v>
      </c>
      <c r="I16493">
        <v>9.4981796822639256E-2</v>
      </c>
    </row>
    <row r="16494" spans="1:9" x14ac:dyDescent="0.25">
      <c r="A16494">
        <v>526</v>
      </c>
      <c r="B16494" t="s">
        <v>4262</v>
      </c>
      <c r="C16494" t="s">
        <v>75</v>
      </c>
      <c r="D16494" t="s">
        <v>17</v>
      </c>
      <c r="E16494">
        <f t="shared" si="777"/>
        <v>2.0833333333333332E-2</v>
      </c>
      <c r="F16494">
        <v>169</v>
      </c>
      <c r="G16494">
        <f>LOG(382/(169+1))</f>
        <v>0.3516144415334348</v>
      </c>
      <c r="H16494">
        <f>0.0208333333333333*0.809622171556313</f>
        <v>1.6867128574089826E-2</v>
      </c>
      <c r="I16494">
        <v>1.6867128574089861E-2</v>
      </c>
    </row>
    <row r="16495" spans="1:9" x14ac:dyDescent="0.25">
      <c r="A16495">
        <v>526</v>
      </c>
      <c r="B16495" t="s">
        <v>4262</v>
      </c>
      <c r="C16495" t="s">
        <v>75</v>
      </c>
      <c r="D16495" t="s">
        <v>111</v>
      </c>
      <c r="E16495">
        <f t="shared" si="777"/>
        <v>2.0833333333333332E-2</v>
      </c>
      <c r="F16495">
        <v>33</v>
      </c>
      <c r="G16495">
        <f>LOG(382/(33+1))</f>
        <v>1.0505844458694535</v>
      </c>
      <c r="H16495">
        <f>0.0208333333333333*2.41906008399041</f>
        <v>5.0397085083133467E-2</v>
      </c>
      <c r="I16495">
        <v>5.0397085083133619E-2</v>
      </c>
    </row>
    <row r="16496" spans="1:9" x14ac:dyDescent="0.25">
      <c r="A16496">
        <v>526</v>
      </c>
      <c r="B16496" t="s">
        <v>4262</v>
      </c>
      <c r="C16496" t="s">
        <v>75</v>
      </c>
      <c r="D16496" t="s">
        <v>4135</v>
      </c>
      <c r="E16496">
        <f t="shared" si="777"/>
        <v>2.0833333333333332E-2</v>
      </c>
      <c r="F16496">
        <v>6</v>
      </c>
      <c r="G16496">
        <f>LOG(382/(6+1))</f>
        <v>1.736965322897452</v>
      </c>
      <c r="H16496">
        <f>0.0208333333333333*3.99951045955126</f>
        <v>8.332313457398445E-2</v>
      </c>
      <c r="I16496">
        <v>8.3323134573984617E-2</v>
      </c>
    </row>
    <row r="16497" spans="1:9" x14ac:dyDescent="0.25">
      <c r="A16497">
        <v>526</v>
      </c>
      <c r="B16497" t="s">
        <v>4262</v>
      </c>
      <c r="C16497" t="s">
        <v>75</v>
      </c>
      <c r="D16497" t="s">
        <v>19</v>
      </c>
      <c r="E16497">
        <f t="shared" si="777"/>
        <v>2.0833333333333332E-2</v>
      </c>
      <c r="F16497">
        <v>220</v>
      </c>
      <c r="G16497">
        <f>LOG(382/(220+1))</f>
        <v>0.23767108922659805</v>
      </c>
      <c r="H16497">
        <f>0.0208333333333333*0.547257907088822</f>
        <v>1.1401206397683775E-2</v>
      </c>
      <c r="I16497">
        <v>1.14012063976838E-2</v>
      </c>
    </row>
    <row r="16498" spans="1:9" x14ac:dyDescent="0.25">
      <c r="A16498">
        <v>526</v>
      </c>
      <c r="B16498" t="s">
        <v>4262</v>
      </c>
      <c r="C16498" t="s">
        <v>75</v>
      </c>
      <c r="D16498" t="s">
        <v>808</v>
      </c>
      <c r="E16498">
        <f t="shared" si="777"/>
        <v>2.0833333333333332E-2</v>
      </c>
      <c r="F16498">
        <v>20</v>
      </c>
      <c r="G16498">
        <f>LOG(382/(20+1))</f>
        <v>1.2598440681777894</v>
      </c>
      <c r="H16498">
        <f>0.0208333333333333*2.90089817088315</f>
        <v>6.0435378560065534E-2</v>
      </c>
      <c r="I16498">
        <v>6.0435378560065672E-2</v>
      </c>
    </row>
    <row r="16499" spans="1:9" x14ac:dyDescent="0.25">
      <c r="A16499">
        <v>526</v>
      </c>
      <c r="B16499" t="s">
        <v>4262</v>
      </c>
      <c r="C16499" t="s">
        <v>75</v>
      </c>
      <c r="D16499" t="s">
        <v>809</v>
      </c>
      <c r="E16499">
        <f t="shared" si="777"/>
        <v>2.0833333333333332E-2</v>
      </c>
      <c r="F16499">
        <v>19</v>
      </c>
      <c r="G16499">
        <f>LOG(382/(19+1))</f>
        <v>1.2810333672477277</v>
      </c>
      <c r="H16499">
        <f>0.0208333333333333*2.94968833505258</f>
        <v>6.1451840313595324E-2</v>
      </c>
      <c r="I16499">
        <v>6.1451840313595497E-2</v>
      </c>
    </row>
    <row r="16500" spans="1:9" x14ac:dyDescent="0.25">
      <c r="A16500">
        <v>526</v>
      </c>
      <c r="B16500" t="s">
        <v>4262</v>
      </c>
      <c r="C16500" t="s">
        <v>75</v>
      </c>
      <c r="D16500" t="s">
        <v>22</v>
      </c>
      <c r="E16500">
        <f t="shared" si="777"/>
        <v>2.0833333333333332E-2</v>
      </c>
      <c r="F16500">
        <v>259</v>
      </c>
      <c r="G16500">
        <f>LOG(382/(259+1))</f>
        <v>0.16709001494089079</v>
      </c>
      <c r="H16500">
        <f>0.0208333333333333*0.384738977591047</f>
        <v>8.0153953664801342E-3</v>
      </c>
      <c r="I16500">
        <v>8.0153953664801568E-3</v>
      </c>
    </row>
    <row r="16501" spans="1:9" x14ac:dyDescent="0.25">
      <c r="A16501">
        <v>526</v>
      </c>
      <c r="B16501" t="s">
        <v>4262</v>
      </c>
      <c r="C16501" t="s">
        <v>75</v>
      </c>
      <c r="D16501" t="s">
        <v>23</v>
      </c>
      <c r="E16501">
        <f t="shared" si="777"/>
        <v>2.0833333333333332E-2</v>
      </c>
      <c r="F16501">
        <v>275</v>
      </c>
      <c r="G16501">
        <f>LOG(382/(275+1))</f>
        <v>0.14115428084649101</v>
      </c>
      <c r="H16501">
        <f>0.0208333333333333*0.325019742889425</f>
        <v>6.7712446435296766E-3</v>
      </c>
      <c r="I16501">
        <v>6.7712446435296914E-3</v>
      </c>
    </row>
    <row r="16502" spans="1:9" x14ac:dyDescent="0.25">
      <c r="A16502">
        <v>526</v>
      </c>
      <c r="B16502" t="s">
        <v>4262</v>
      </c>
      <c r="C16502" t="s">
        <v>75</v>
      </c>
      <c r="D16502" t="s">
        <v>3779</v>
      </c>
      <c r="E16502">
        <f t="shared" si="777"/>
        <v>2.0833333333333332E-2</v>
      </c>
      <c r="F16502">
        <v>5</v>
      </c>
      <c r="G16502">
        <f>LOG(382/(5+1))</f>
        <v>1.803912112528065</v>
      </c>
      <c r="H16502">
        <f>0.0208333333333333*4.15366113937852</f>
        <v>8.6534607070385697E-2</v>
      </c>
      <c r="I16502">
        <v>8.6534607070385822E-2</v>
      </c>
    </row>
    <row r="16503" spans="1:9" x14ac:dyDescent="0.25">
      <c r="A16503">
        <v>526</v>
      </c>
      <c r="B16503" t="s">
        <v>4262</v>
      </c>
      <c r="C16503" t="s">
        <v>75</v>
      </c>
      <c r="D16503" t="s">
        <v>105</v>
      </c>
      <c r="E16503">
        <f t="shared" si="777"/>
        <v>2.0833333333333332E-2</v>
      </c>
      <c r="F16503">
        <v>122</v>
      </c>
      <c r="G16503">
        <f>LOG(382/(122+1))</f>
        <v>0.49215825147231079</v>
      </c>
      <c r="H16503">
        <f>0.0208333333333333*1.13323625323415</f>
        <v>2.3609088609044756E-2</v>
      </c>
      <c r="I16503">
        <v>2.360908860904495E-2</v>
      </c>
    </row>
    <row r="16504" spans="1:9" x14ac:dyDescent="0.25">
      <c r="A16504">
        <v>526</v>
      </c>
      <c r="B16504" t="s">
        <v>4262</v>
      </c>
      <c r="C16504" t="s">
        <v>75</v>
      </c>
      <c r="D16504" t="s">
        <v>78</v>
      </c>
      <c r="E16504">
        <f>2/48</f>
        <v>4.1666666666666664E-2</v>
      </c>
      <c r="F16504">
        <v>122</v>
      </c>
      <c r="G16504">
        <f>LOG(382/(122+1))</f>
        <v>0.49215825147231079</v>
      </c>
      <c r="H16504">
        <f>0.0416666666666666*1.13323625323415</f>
        <v>4.7218177218089512E-2</v>
      </c>
      <c r="I16504">
        <v>4.7218177218089893E-2</v>
      </c>
    </row>
    <row r="16505" spans="1:9" x14ac:dyDescent="0.25">
      <c r="A16505">
        <v>526</v>
      </c>
      <c r="B16505" t="s">
        <v>4262</v>
      </c>
      <c r="C16505" t="s">
        <v>75</v>
      </c>
      <c r="D16505" t="s">
        <v>754</v>
      </c>
      <c r="E16505">
        <f>2/48</f>
        <v>4.1666666666666664E-2</v>
      </c>
      <c r="F16505">
        <v>111</v>
      </c>
      <c r="G16505">
        <f>LOG(382/(111+1))</f>
        <v>0.53284534024152708</v>
      </c>
      <c r="H16505">
        <f>0.0416666666666666*1.22692173731148</f>
        <v>5.112173905464492E-2</v>
      </c>
      <c r="I16505">
        <v>5.1121739054645017E-2</v>
      </c>
    </row>
    <row r="16506" spans="1:9" x14ac:dyDescent="0.25">
      <c r="A16506">
        <v>526</v>
      </c>
      <c r="B16506" t="s">
        <v>4262</v>
      </c>
      <c r="C16506" t="s">
        <v>75</v>
      </c>
      <c r="D16506" t="s">
        <v>362</v>
      </c>
      <c r="E16506">
        <f>2/48</f>
        <v>4.1666666666666664E-2</v>
      </c>
      <c r="F16506">
        <v>81</v>
      </c>
      <c r="G16506">
        <f>LOG(382/(81+1))</f>
        <v>0.66824951052799197</v>
      </c>
      <c r="H16506">
        <f>0.0416666666666666*1.53870136134232</f>
        <v>6.4112556722596567E-2</v>
      </c>
      <c r="I16506">
        <v>6.4112556722596747E-2</v>
      </c>
    </row>
    <row r="16507" spans="1:9" x14ac:dyDescent="0.25">
      <c r="A16507">
        <v>526</v>
      </c>
      <c r="B16507" t="s">
        <v>4262</v>
      </c>
      <c r="C16507" t="s">
        <v>75</v>
      </c>
      <c r="D16507" t="s">
        <v>2238</v>
      </c>
      <c r="E16507">
        <f>1/48</f>
        <v>2.0833333333333332E-2</v>
      </c>
      <c r="F16507">
        <v>68</v>
      </c>
      <c r="G16507">
        <f>LOG(382/(68+1))</f>
        <v>0.74321427217445335</v>
      </c>
      <c r="H16507">
        <f>0.0208333333333333*1.71131410400931</f>
        <v>3.5652377166860573E-2</v>
      </c>
      <c r="I16507">
        <v>3.5652377166860753E-2</v>
      </c>
    </row>
    <row r="16508" spans="1:9" x14ac:dyDescent="0.25">
      <c r="A16508">
        <v>526</v>
      </c>
      <c r="B16508" t="s">
        <v>4262</v>
      </c>
      <c r="C16508" t="s">
        <v>75</v>
      </c>
      <c r="D16508" t="s">
        <v>1762</v>
      </c>
      <c r="E16508">
        <f>2/48</f>
        <v>4.1666666666666664E-2</v>
      </c>
      <c r="F16508">
        <v>60</v>
      </c>
      <c r="G16508">
        <f>LOG(382/(60+1))</f>
        <v>0.79673352790094176</v>
      </c>
      <c r="H16508">
        <f>0.0416666666666666*1.83454674443326</f>
        <v>7.6439447684719039E-2</v>
      </c>
      <c r="I16508">
        <v>7.643944768471933E-2</v>
      </c>
    </row>
    <row r="16509" spans="1:9" x14ac:dyDescent="0.25">
      <c r="A16509">
        <v>526</v>
      </c>
      <c r="B16509" t="s">
        <v>4262</v>
      </c>
      <c r="C16509" t="s">
        <v>75</v>
      </c>
      <c r="D16509" t="s">
        <v>98</v>
      </c>
      <c r="E16509">
        <f>2/48</f>
        <v>4.1666666666666664E-2</v>
      </c>
      <c r="F16509">
        <v>56</v>
      </c>
      <c r="G16509">
        <f>LOG(382/(56+1))</f>
        <v>0.82618850723921733</v>
      </c>
      <c r="H16509">
        <f>0.0416666666666666*1.90236934077202</f>
        <v>7.9265389198834038E-2</v>
      </c>
      <c r="I16509">
        <v>7.9265389198834371E-2</v>
      </c>
    </row>
    <row r="16510" spans="1:9" x14ac:dyDescent="0.25">
      <c r="A16510">
        <v>526</v>
      </c>
      <c r="B16510" t="s">
        <v>4262</v>
      </c>
      <c r="C16510" t="s">
        <v>75</v>
      </c>
      <c r="D16510" t="s">
        <v>50</v>
      </c>
      <c r="E16510">
        <f>3/48</f>
        <v>6.25E-2</v>
      </c>
      <c r="F16510">
        <v>109</v>
      </c>
      <c r="G16510">
        <f>LOG(382/(109+1))</f>
        <v>0.54067067775348365</v>
      </c>
      <c r="H16510">
        <f>0.0625*1.24494024281415</f>
        <v>7.7808765175884378E-2</v>
      </c>
      <c r="I16510">
        <v>7.7808765175884934E-2</v>
      </c>
    </row>
    <row r="16511" spans="1:9" x14ac:dyDescent="0.25">
      <c r="A16511">
        <v>526</v>
      </c>
      <c r="B16511" t="s">
        <v>4262</v>
      </c>
      <c r="C16511" t="s">
        <v>75</v>
      </c>
      <c r="D16511" t="s">
        <v>1546</v>
      </c>
      <c r="E16511">
        <f>1/48</f>
        <v>2.0833333333333332E-2</v>
      </c>
      <c r="F16511">
        <v>44</v>
      </c>
      <c r="G16511">
        <f>LOG(382/(44+1))</f>
        <v>0.92885084913636506</v>
      </c>
      <c r="H16511">
        <f>0.0208333333333333*2.13875811883625</f>
        <v>4.455746080908847E-2</v>
      </c>
      <c r="I16511">
        <v>4.455746080908865E-2</v>
      </c>
    </row>
    <row r="16512" spans="1:9" x14ac:dyDescent="0.25">
      <c r="A16512">
        <v>526</v>
      </c>
      <c r="B16512" t="s">
        <v>4262</v>
      </c>
      <c r="C16512" t="s">
        <v>75</v>
      </c>
      <c r="D16512" t="s">
        <v>243</v>
      </c>
      <c r="E16512">
        <f>1/48</f>
        <v>2.0833333333333332E-2</v>
      </c>
      <c r="F16512">
        <v>131</v>
      </c>
      <c r="G16512">
        <f>LOG(382/(131+1))</f>
        <v>0.46148943170585888</v>
      </c>
      <c r="H16512">
        <f>0.0208333333333333*1.0626186860202</f>
        <v>2.2137889292087466E-2</v>
      </c>
      <c r="I16512">
        <v>2.2137889292087591E-2</v>
      </c>
    </row>
    <row r="16513" spans="1:9" x14ac:dyDescent="0.25">
      <c r="A16513">
        <v>526</v>
      </c>
      <c r="B16513" t="s">
        <v>4262</v>
      </c>
      <c r="C16513" t="s">
        <v>75</v>
      </c>
      <c r="D16513" t="s">
        <v>453</v>
      </c>
      <c r="E16513">
        <f>1/48</f>
        <v>2.0833333333333332E-2</v>
      </c>
      <c r="F16513">
        <v>68</v>
      </c>
      <c r="G16513">
        <f>LOG(382/(68+1))</f>
        <v>0.74321427217445335</v>
      </c>
      <c r="H16513">
        <f>0.0208333333333333*1.71131410400931</f>
        <v>3.5652377166860573E-2</v>
      </c>
      <c r="I16513">
        <v>3.5652377166860753E-2</v>
      </c>
    </row>
    <row r="16514" spans="1:9" x14ac:dyDescent="0.25">
      <c r="A16514">
        <v>526</v>
      </c>
      <c r="B16514" t="s">
        <v>4262</v>
      </c>
      <c r="C16514" t="s">
        <v>75</v>
      </c>
      <c r="D16514" t="s">
        <v>455</v>
      </c>
      <c r="E16514">
        <f>1/48</f>
        <v>2.0833333333333332E-2</v>
      </c>
      <c r="F16514">
        <v>78</v>
      </c>
      <c r="G16514">
        <f>LOG(382/(78+1))</f>
        <v>0.6844362716212673</v>
      </c>
      <c r="H16514">
        <f>0.0208333333333333*1.57597275613955</f>
        <v>3.2832765752907243E-2</v>
      </c>
      <c r="I16514">
        <v>3.2832765752907368E-2</v>
      </c>
    </row>
    <row r="16515" spans="1:9" x14ac:dyDescent="0.25">
      <c r="A16515">
        <v>526</v>
      </c>
      <c r="B16515" t="s">
        <v>4262</v>
      </c>
      <c r="C16515" t="s">
        <v>75</v>
      </c>
      <c r="D16515" t="s">
        <v>456</v>
      </c>
      <c r="E16515">
        <f>1/48</f>
        <v>2.0833333333333332E-2</v>
      </c>
      <c r="F16515">
        <v>71</v>
      </c>
      <c r="G16515">
        <f>LOG(382/(71+1))</f>
        <v>0.72473086648044027</v>
      </c>
      <c r="H16515">
        <f>0.0208333333333333*1.66875448959051</f>
        <v>3.4765718533135571E-2</v>
      </c>
      <c r="I16515">
        <v>3.4765718533135828E-2</v>
      </c>
    </row>
    <row r="16516" spans="1:9" x14ac:dyDescent="0.25">
      <c r="A16516">
        <v>526</v>
      </c>
      <c r="B16516" t="s">
        <v>4262</v>
      </c>
      <c r="C16516" t="s">
        <v>75</v>
      </c>
      <c r="D16516" t="s">
        <v>81</v>
      </c>
      <c r="E16516">
        <f>2/48</f>
        <v>4.1666666666666664E-2</v>
      </c>
      <c r="F16516">
        <v>114</v>
      </c>
      <c r="G16516">
        <f>LOG(382/(114+1))</f>
        <v>0.52136552255809698</v>
      </c>
      <c r="H16516">
        <f>0.0416666666666666*1.20048848024332</f>
        <v>5.0020353343471588E-2</v>
      </c>
      <c r="I16516">
        <v>5.0020353343471879E-2</v>
      </c>
    </row>
    <row r="16517" spans="1:9" x14ac:dyDescent="0.25">
      <c r="A16517">
        <v>526</v>
      </c>
      <c r="B16517" t="s">
        <v>4262</v>
      </c>
      <c r="C16517" t="s">
        <v>75</v>
      </c>
      <c r="D16517" t="s">
        <v>361</v>
      </c>
      <c r="E16517">
        <f t="shared" ref="E16517:E16528" si="778">1/48</f>
        <v>2.0833333333333332E-2</v>
      </c>
      <c r="F16517">
        <v>118</v>
      </c>
      <c r="G16517">
        <f>LOG(382/(118+1))</f>
        <v>0.50651640151917798</v>
      </c>
      <c r="H16517">
        <f>0.0208333333333333*1.16629711549504</f>
        <v>2.4297856572813293E-2</v>
      </c>
      <c r="I16517">
        <v>2.4297856572813459E-2</v>
      </c>
    </row>
    <row r="16518" spans="1:9" x14ac:dyDescent="0.25">
      <c r="A16518">
        <v>526</v>
      </c>
      <c r="B16518" t="s">
        <v>4262</v>
      </c>
      <c r="C16518" t="s">
        <v>75</v>
      </c>
      <c r="D16518" t="s">
        <v>434</v>
      </c>
      <c r="E16518">
        <f t="shared" si="778"/>
        <v>2.0833333333333332E-2</v>
      </c>
      <c r="F16518">
        <v>97</v>
      </c>
      <c r="G16518">
        <f>LOG(382/(97+1))</f>
        <v>0.59083728721921391</v>
      </c>
      <c r="H16518">
        <f>0.0208333333333333*1.360453129936</f>
        <v>2.834277354033329E-2</v>
      </c>
      <c r="I16518">
        <v>2.8342773540333401E-2</v>
      </c>
    </row>
    <row r="16519" spans="1:9" x14ac:dyDescent="0.25">
      <c r="A16519">
        <v>526</v>
      </c>
      <c r="B16519" t="s">
        <v>4262</v>
      </c>
      <c r="C16519" t="s">
        <v>75</v>
      </c>
      <c r="D16519" t="s">
        <v>322</v>
      </c>
      <c r="E16519">
        <f t="shared" si="778"/>
        <v>2.0833333333333332E-2</v>
      </c>
      <c r="F16519">
        <v>128</v>
      </c>
      <c r="G16519">
        <f>LOG(382/(128+1))</f>
        <v>0.47147365261245977</v>
      </c>
      <c r="H16519">
        <f>0.0208333333333333*1.0856082042449</f>
        <v>2.2616837588435381E-2</v>
      </c>
      <c r="I16519">
        <v>2.2616837588435482E-2</v>
      </c>
    </row>
    <row r="16520" spans="1:9" x14ac:dyDescent="0.25">
      <c r="A16520">
        <v>526</v>
      </c>
      <c r="B16520" t="s">
        <v>4262</v>
      </c>
      <c r="C16520" t="s">
        <v>75</v>
      </c>
      <c r="D16520" t="s">
        <v>1551</v>
      </c>
      <c r="E16520">
        <f t="shared" si="778"/>
        <v>2.0833333333333332E-2</v>
      </c>
      <c r="F16520">
        <v>15</v>
      </c>
      <c r="G16520">
        <f>LOG(382/(15+1))</f>
        <v>1.3779433802557839</v>
      </c>
      <c r="H16520">
        <f>0.0208333333333333*3.17283188636679</f>
        <v>6.6100664299308026E-2</v>
      </c>
      <c r="I16520">
        <v>6.6100664299308207E-2</v>
      </c>
    </row>
    <row r="16521" spans="1:9" x14ac:dyDescent="0.25">
      <c r="A16521">
        <v>526</v>
      </c>
      <c r="B16521" t="s">
        <v>4262</v>
      </c>
      <c r="C16521" t="s">
        <v>75</v>
      </c>
      <c r="D16521" t="s">
        <v>1732</v>
      </c>
      <c r="E16521">
        <f t="shared" si="778"/>
        <v>2.0833333333333332E-2</v>
      </c>
      <c r="F16521">
        <v>16</v>
      </c>
      <c r="G16521">
        <f>LOG(382/(16+1))</f>
        <v>1.3516144415334348</v>
      </c>
      <c r="H16521">
        <f>0.0208333333333333*3.11220726455035</f>
        <v>6.4837651344798852E-2</v>
      </c>
      <c r="I16521">
        <v>6.4837651344799144E-2</v>
      </c>
    </row>
    <row r="16522" spans="1:9" x14ac:dyDescent="0.25">
      <c r="A16522">
        <v>526</v>
      </c>
      <c r="B16522" t="s">
        <v>4262</v>
      </c>
      <c r="C16522" t="s">
        <v>75</v>
      </c>
      <c r="D16522" t="s">
        <v>1733</v>
      </c>
      <c r="E16522">
        <f t="shared" si="778"/>
        <v>2.0833333333333332E-2</v>
      </c>
      <c r="F16522">
        <v>19</v>
      </c>
      <c r="G16522">
        <f>LOG(382/(19+1))</f>
        <v>1.2810333672477277</v>
      </c>
      <c r="H16522">
        <f>0.0208333333333333*2.94968833505258</f>
        <v>6.1451840313595324E-2</v>
      </c>
      <c r="I16522">
        <v>6.1451840313595497E-2</v>
      </c>
    </row>
    <row r="16523" spans="1:9" x14ac:dyDescent="0.25">
      <c r="A16523">
        <v>526</v>
      </c>
      <c r="B16523" t="s">
        <v>4262</v>
      </c>
      <c r="C16523" t="s">
        <v>75</v>
      </c>
      <c r="D16523" t="s">
        <v>1550</v>
      </c>
      <c r="E16523">
        <f t="shared" si="778"/>
        <v>2.0833333333333332E-2</v>
      </c>
      <c r="F16523">
        <v>16</v>
      </c>
      <c r="G16523">
        <f>LOG(382/(16+1))</f>
        <v>1.3516144415334348</v>
      </c>
      <c r="H16523">
        <f>0.0208333333333333*3.11220726455035</f>
        <v>6.4837651344798852E-2</v>
      </c>
      <c r="I16523">
        <v>6.4837651344799144E-2</v>
      </c>
    </row>
    <row r="16524" spans="1:9" x14ac:dyDescent="0.25">
      <c r="A16524">
        <v>526</v>
      </c>
      <c r="B16524" t="s">
        <v>4262</v>
      </c>
      <c r="C16524" t="s">
        <v>75</v>
      </c>
      <c r="D16524" t="s">
        <v>1738</v>
      </c>
      <c r="E16524">
        <f t="shared" si="778"/>
        <v>2.0833333333333332E-2</v>
      </c>
      <c r="F16524">
        <v>24</v>
      </c>
      <c r="G16524">
        <f>LOG(382/(24+1))</f>
        <v>1.1841233542396712</v>
      </c>
      <c r="H16524">
        <f>0.0208333333333333*2.72654478373837</f>
        <v>5.6803016327882615E-2</v>
      </c>
      <c r="I16524">
        <v>5.6803016327882802E-2</v>
      </c>
    </row>
    <row r="16525" spans="1:9" x14ac:dyDescent="0.25">
      <c r="A16525">
        <v>526</v>
      </c>
      <c r="B16525" t="s">
        <v>4262</v>
      </c>
      <c r="C16525" t="s">
        <v>75</v>
      </c>
      <c r="D16525" t="s">
        <v>1739</v>
      </c>
      <c r="E16525">
        <f t="shared" si="778"/>
        <v>2.0833333333333332E-2</v>
      </c>
      <c r="F16525">
        <v>30</v>
      </c>
      <c r="G16525">
        <f>LOG(382/(30+1))</f>
        <v>1.090701669077436</v>
      </c>
      <c r="H16525">
        <f>0.0208333333333333*2.51143340412142</f>
        <v>5.2321529252529503E-2</v>
      </c>
      <c r="I16525">
        <v>5.2321529252529773E-2</v>
      </c>
    </row>
    <row r="16526" spans="1:9" x14ac:dyDescent="0.25">
      <c r="A16526">
        <v>526</v>
      </c>
      <c r="B16526" t="s">
        <v>4262</v>
      </c>
      <c r="C16526" t="s">
        <v>75</v>
      </c>
      <c r="D16526" t="s">
        <v>126</v>
      </c>
      <c r="E16526">
        <f t="shared" si="778"/>
        <v>2.0833333333333332E-2</v>
      </c>
      <c r="F16526">
        <v>79</v>
      </c>
      <c r="G16526">
        <f>LOG(382/(79+1))</f>
        <v>0.67897337591976514</v>
      </c>
      <c r="H16526">
        <f>0.0208333333333333*1.56339397393269</f>
        <v>3.2570707790264324E-2</v>
      </c>
      <c r="I16526">
        <v>3.2570707790264448E-2</v>
      </c>
    </row>
    <row r="16527" spans="1:9" x14ac:dyDescent="0.25">
      <c r="A16527">
        <v>526</v>
      </c>
      <c r="B16527" t="s">
        <v>4262</v>
      </c>
      <c r="C16527" t="s">
        <v>75</v>
      </c>
      <c r="D16527" t="s">
        <v>767</v>
      </c>
      <c r="E16527">
        <f t="shared" si="778"/>
        <v>2.0833333333333332E-2</v>
      </c>
      <c r="F16527">
        <v>47</v>
      </c>
      <c r="G16527">
        <f>LOG(382/(47+1))</f>
        <v>0.90082212553612151</v>
      </c>
      <c r="H16527">
        <f>0.0208333333333333*2.07421959769868</f>
        <v>4.3212908285389103E-2</v>
      </c>
      <c r="I16527">
        <v>4.3212908285389248E-2</v>
      </c>
    </row>
    <row r="16528" spans="1:9" x14ac:dyDescent="0.25">
      <c r="A16528">
        <v>526</v>
      </c>
      <c r="B16528" t="s">
        <v>4262</v>
      </c>
      <c r="C16528" t="s">
        <v>75</v>
      </c>
      <c r="D16528" t="s">
        <v>256</v>
      </c>
      <c r="E16528">
        <f t="shared" si="778"/>
        <v>2.0833333333333332E-2</v>
      </c>
      <c r="F16528">
        <v>28</v>
      </c>
      <c r="G16528">
        <f>LOG(382/(28+1))</f>
        <v>1.1196653650127526</v>
      </c>
      <c r="H16528">
        <f>0.0208333333333333*2.5781247786201</f>
        <v>5.3710932887918665E-2</v>
      </c>
      <c r="I16528">
        <v>5.3710932887918769E-2</v>
      </c>
    </row>
    <row r="16529" spans="1:9" x14ac:dyDescent="0.25">
      <c r="A16529">
        <v>527</v>
      </c>
      <c r="B16529" t="s">
        <v>4263</v>
      </c>
      <c r="C16529" t="s">
        <v>75</v>
      </c>
      <c r="D16529" t="s">
        <v>112</v>
      </c>
      <c r="E16529">
        <f>1/66</f>
        <v>1.5151515151515152E-2</v>
      </c>
      <c r="F16529">
        <v>52</v>
      </c>
      <c r="G16529">
        <f>LOG(382/(52+1))</f>
        <v>0.85778749331091964</v>
      </c>
      <c r="H16529">
        <f>0.0151515151515151*1.97512869505445</f>
        <v>2.9926192349309745E-2</v>
      </c>
      <c r="I16529">
        <v>2.9926192349309901E-2</v>
      </c>
    </row>
    <row r="16530" spans="1:9" x14ac:dyDescent="0.25">
      <c r="A16530">
        <v>527</v>
      </c>
      <c r="B16530" t="s">
        <v>4263</v>
      </c>
      <c r="C16530" t="s">
        <v>75</v>
      </c>
      <c r="D16530" t="s">
        <v>82</v>
      </c>
      <c r="E16530">
        <f>1/66</f>
        <v>1.5151515151515152E-2</v>
      </c>
      <c r="F16530">
        <v>92</v>
      </c>
      <c r="G16530">
        <f>LOG(382/(92+1))</f>
        <v>0.61358041435777355</v>
      </c>
      <c r="H16530">
        <f>0.0151515151515151*1.41282111545331</f>
        <v>2.1406380537171289E-2</v>
      </c>
      <c r="I16530">
        <v>2.1406380537171501E-2</v>
      </c>
    </row>
    <row r="16531" spans="1:9" x14ac:dyDescent="0.25">
      <c r="A16531">
        <v>527</v>
      </c>
      <c r="B16531" t="s">
        <v>4263</v>
      </c>
      <c r="C16531" t="s">
        <v>75</v>
      </c>
      <c r="D16531" t="s">
        <v>126</v>
      </c>
      <c r="E16531">
        <f>4/66</f>
        <v>6.0606060606060608E-2</v>
      </c>
      <c r="F16531">
        <v>79</v>
      </c>
      <c r="G16531">
        <f>LOG(382/(79+1))</f>
        <v>0.67897337591976514</v>
      </c>
      <c r="H16531">
        <f>0.0606060606060606*1.56339397393269</f>
        <v>9.4751149935314541E-2</v>
      </c>
      <c r="I16531">
        <v>9.4751149935314763E-2</v>
      </c>
    </row>
    <row r="16532" spans="1:9" x14ac:dyDescent="0.25">
      <c r="A16532">
        <v>527</v>
      </c>
      <c r="B16532" t="s">
        <v>4263</v>
      </c>
      <c r="C16532" t="s">
        <v>75</v>
      </c>
      <c r="D16532" t="s">
        <v>50</v>
      </c>
      <c r="E16532">
        <f>4/66</f>
        <v>6.0606060606060608E-2</v>
      </c>
      <c r="F16532">
        <v>109</v>
      </c>
      <c r="G16532">
        <f>LOG(382/(109+1))</f>
        <v>0.54067067775348365</v>
      </c>
      <c r="H16532">
        <f>0.0606060606060606*1.24494024281415</f>
        <v>7.5450923806918174E-2</v>
      </c>
      <c r="I16532">
        <v>7.5450923806918729E-2</v>
      </c>
    </row>
    <row r="16533" spans="1:9" x14ac:dyDescent="0.25">
      <c r="A16533">
        <v>527</v>
      </c>
      <c r="B16533" t="s">
        <v>4263</v>
      </c>
      <c r="C16533" t="s">
        <v>75</v>
      </c>
      <c r="D16533" t="s">
        <v>4264</v>
      </c>
      <c r="E16533">
        <f>1/66</f>
        <v>1.5151515151515152E-2</v>
      </c>
      <c r="F16533">
        <v>1</v>
      </c>
      <c r="G16533">
        <f>LOG(382/(1+1))</f>
        <v>2.2810333672477277</v>
      </c>
      <c r="H16533">
        <f>0.0151515151515151*5.25227342804663</f>
        <v>7.9579900424948669E-2</v>
      </c>
      <c r="I16533">
        <v>7.9579900424948946E-2</v>
      </c>
    </row>
    <row r="16534" spans="1:9" x14ac:dyDescent="0.25">
      <c r="A16534">
        <v>527</v>
      </c>
      <c r="B16534" t="s">
        <v>4263</v>
      </c>
      <c r="C16534" t="s">
        <v>75</v>
      </c>
      <c r="D16534" t="s">
        <v>42</v>
      </c>
      <c r="E16534">
        <f>1/66</f>
        <v>1.5151515151515152E-2</v>
      </c>
      <c r="F16534">
        <v>251</v>
      </c>
      <c r="G16534">
        <f>LOG(382/(251+1))</f>
        <v>0.18066282213016463</v>
      </c>
      <c r="H16534">
        <f>0.0151515151515151*0.415991521095151</f>
        <v>6.3029018347749936E-3</v>
      </c>
      <c r="I16534">
        <v>6.3029018347750283E-3</v>
      </c>
    </row>
    <row r="16535" spans="1:9" x14ac:dyDescent="0.25">
      <c r="A16535">
        <v>527</v>
      </c>
      <c r="B16535" t="s">
        <v>4263</v>
      </c>
      <c r="C16535" t="s">
        <v>75</v>
      </c>
      <c r="D16535" t="s">
        <v>4265</v>
      </c>
      <c r="E16535">
        <f t="shared" ref="E16535:E16541" si="779">2/66</f>
        <v>3.0303030303030304E-2</v>
      </c>
      <c r="F16535">
        <v>1</v>
      </c>
      <c r="G16535">
        <f>LOG(382/(1+1))</f>
        <v>2.2810333672477277</v>
      </c>
      <c r="H16535">
        <f>0.0303030303030303*5.25227342804663</f>
        <v>0.15915980084989786</v>
      </c>
      <c r="I16535">
        <v>0.15915980084989789</v>
      </c>
    </row>
    <row r="16536" spans="1:9" x14ac:dyDescent="0.25">
      <c r="A16536">
        <v>527</v>
      </c>
      <c r="B16536" t="s">
        <v>4263</v>
      </c>
      <c r="C16536" t="s">
        <v>75</v>
      </c>
      <c r="D16536" t="s">
        <v>2636</v>
      </c>
      <c r="E16536">
        <f t="shared" si="779"/>
        <v>3.0303030303030304E-2</v>
      </c>
      <c r="F16536">
        <v>2</v>
      </c>
      <c r="G16536">
        <f>LOG(382/(2+1))</f>
        <v>2.1049421081920463</v>
      </c>
      <c r="H16536">
        <f>0.0303030303030303*4.84680831993846</f>
        <v>0.14687297939207453</v>
      </c>
      <c r="I16536">
        <v>0.14687297939207469</v>
      </c>
    </row>
    <row r="16537" spans="1:9" x14ac:dyDescent="0.25">
      <c r="A16537">
        <v>527</v>
      </c>
      <c r="B16537" t="s">
        <v>4263</v>
      </c>
      <c r="C16537" t="s">
        <v>75</v>
      </c>
      <c r="D16537" t="s">
        <v>1060</v>
      </c>
      <c r="E16537">
        <f t="shared" si="779"/>
        <v>3.0303030303030304E-2</v>
      </c>
      <c r="F16537">
        <v>15</v>
      </c>
      <c r="G16537">
        <f>LOG(382/(15+1))</f>
        <v>1.3779433802557839</v>
      </c>
      <c r="H16537">
        <f>0.0303030303030303*3.17283188636679</f>
        <v>9.6146420798993631E-2</v>
      </c>
      <c r="I16537">
        <v>9.614642079899377E-2</v>
      </c>
    </row>
    <row r="16538" spans="1:9" x14ac:dyDescent="0.25">
      <c r="A16538">
        <v>527</v>
      </c>
      <c r="B16538" t="s">
        <v>4263</v>
      </c>
      <c r="C16538" t="s">
        <v>75</v>
      </c>
      <c r="D16538" t="s">
        <v>17</v>
      </c>
      <c r="E16538">
        <f t="shared" si="779"/>
        <v>3.0303030303030304E-2</v>
      </c>
      <c r="F16538">
        <v>169</v>
      </c>
      <c r="G16538">
        <f>LOG(382/(169+1))</f>
        <v>0.3516144415334348</v>
      </c>
      <c r="H16538">
        <f>0.0303030303030303*0.809622171556313</f>
        <v>2.453400519867615E-2</v>
      </c>
      <c r="I16538">
        <v>2.453400519867617E-2</v>
      </c>
    </row>
    <row r="16539" spans="1:9" x14ac:dyDescent="0.25">
      <c r="A16539">
        <v>527</v>
      </c>
      <c r="B16539" t="s">
        <v>4263</v>
      </c>
      <c r="C16539" t="s">
        <v>75</v>
      </c>
      <c r="D16539" t="s">
        <v>3438</v>
      </c>
      <c r="E16539">
        <f t="shared" si="779"/>
        <v>3.0303030303030304E-2</v>
      </c>
      <c r="F16539">
        <v>4</v>
      </c>
      <c r="G16539">
        <f>LOG(382/(4+1))</f>
        <v>1.8830933585756899</v>
      </c>
      <c r="H16539">
        <f>0.0303030303030303*4.33598269617247</f>
        <v>0.1313934150355294</v>
      </c>
      <c r="I16539">
        <v>0.13139341503552951</v>
      </c>
    </row>
    <row r="16540" spans="1:9" x14ac:dyDescent="0.25">
      <c r="A16540">
        <v>527</v>
      </c>
      <c r="B16540" t="s">
        <v>4263</v>
      </c>
      <c r="C16540" t="s">
        <v>75</v>
      </c>
      <c r="D16540" t="s">
        <v>19</v>
      </c>
      <c r="E16540">
        <f t="shared" si="779"/>
        <v>3.0303030303030304E-2</v>
      </c>
      <c r="F16540">
        <v>220</v>
      </c>
      <c r="G16540">
        <f>LOG(382/(220+1))</f>
        <v>0.23767108922659805</v>
      </c>
      <c r="H16540">
        <f>0.0303030303030303*0.547257907088822</f>
        <v>1.6583572942085515E-2</v>
      </c>
      <c r="I16540">
        <v>1.6583572942085529E-2</v>
      </c>
    </row>
    <row r="16541" spans="1:9" x14ac:dyDescent="0.25">
      <c r="A16541">
        <v>527</v>
      </c>
      <c r="B16541" t="s">
        <v>4263</v>
      </c>
      <c r="C16541" t="s">
        <v>75</v>
      </c>
      <c r="D16541" t="s">
        <v>1238</v>
      </c>
      <c r="E16541">
        <f t="shared" si="779"/>
        <v>3.0303030303030304E-2</v>
      </c>
      <c r="F16541">
        <v>10</v>
      </c>
      <c r="G16541">
        <f>LOG(382/(10+1))</f>
        <v>1.5406706777534838</v>
      </c>
      <c r="H16541">
        <f>0.0303030303030303*3.5475253358082</f>
        <v>0.10750076775176363</v>
      </c>
      <c r="I16541">
        <v>0.1075007677517638</v>
      </c>
    </row>
    <row r="16542" spans="1:9" x14ac:dyDescent="0.25">
      <c r="A16542">
        <v>527</v>
      </c>
      <c r="B16542" t="s">
        <v>4263</v>
      </c>
      <c r="C16542" t="s">
        <v>75</v>
      </c>
      <c r="D16542" t="s">
        <v>23</v>
      </c>
      <c r="E16542">
        <f>4/66</f>
        <v>6.0606060606060608E-2</v>
      </c>
      <c r="F16542">
        <v>275</v>
      </c>
      <c r="G16542">
        <f>LOG(382/(275+1))</f>
        <v>0.14115428084649101</v>
      </c>
      <c r="H16542">
        <f>0.0606060606060606*0.325019742889425</f>
        <v>1.9698166235722726E-2</v>
      </c>
      <c r="I16542">
        <v>1.969816623572274E-2</v>
      </c>
    </row>
    <row r="16543" spans="1:9" x14ac:dyDescent="0.25">
      <c r="A16543">
        <v>527</v>
      </c>
      <c r="B16543" t="s">
        <v>4263</v>
      </c>
      <c r="C16543" t="s">
        <v>75</v>
      </c>
      <c r="D16543" t="s">
        <v>22</v>
      </c>
      <c r="E16543">
        <f>2/66</f>
        <v>3.0303030303030304E-2</v>
      </c>
      <c r="F16543">
        <v>259</v>
      </c>
      <c r="G16543">
        <f>LOG(382/(259+1))</f>
        <v>0.16709001494089079</v>
      </c>
      <c r="H16543">
        <f>0.0303030303030303*0.384738977591047</f>
        <v>1.1658756896698394E-2</v>
      </c>
      <c r="I16543">
        <v>1.1658756896698409E-2</v>
      </c>
    </row>
    <row r="16544" spans="1:9" x14ac:dyDescent="0.25">
      <c r="A16544">
        <v>527</v>
      </c>
      <c r="B16544" t="s">
        <v>4263</v>
      </c>
      <c r="C16544" t="s">
        <v>75</v>
      </c>
      <c r="D16544" t="s">
        <v>4266</v>
      </c>
      <c r="E16544">
        <f>2/66</f>
        <v>3.0303030303030304E-2</v>
      </c>
      <c r="F16544">
        <v>2</v>
      </c>
      <c r="G16544">
        <f>LOG(382/(2+1))</f>
        <v>2.1049421081920463</v>
      </c>
      <c r="H16544">
        <f>0.0303030303030303*4.84680831993846</f>
        <v>0.14687297939207453</v>
      </c>
      <c r="I16544">
        <v>0.14687297939207469</v>
      </c>
    </row>
    <row r="16545" spans="1:9" x14ac:dyDescent="0.25">
      <c r="A16545">
        <v>527</v>
      </c>
      <c r="B16545" t="s">
        <v>4263</v>
      </c>
      <c r="C16545" t="s">
        <v>75</v>
      </c>
      <c r="D16545" t="s">
        <v>105</v>
      </c>
      <c r="E16545">
        <f>1/66</f>
        <v>1.5151515151515152E-2</v>
      </c>
      <c r="F16545">
        <v>122</v>
      </c>
      <c r="G16545">
        <f>LOG(382/(122+1))</f>
        <v>0.49215825147231079</v>
      </c>
      <c r="H16545">
        <f>0.0151515151515151*1.13323625323415</f>
        <v>1.7170246261123425E-2</v>
      </c>
      <c r="I16545">
        <v>1.7170246261123599E-2</v>
      </c>
    </row>
    <row r="16546" spans="1:9" x14ac:dyDescent="0.25">
      <c r="A16546">
        <v>527</v>
      </c>
      <c r="B16546" t="s">
        <v>4263</v>
      </c>
      <c r="C16546" t="s">
        <v>75</v>
      </c>
      <c r="D16546" t="s">
        <v>1762</v>
      </c>
      <c r="E16546">
        <f>2/66</f>
        <v>3.0303030303030304E-2</v>
      </c>
      <c r="F16546">
        <v>60</v>
      </c>
      <c r="G16546">
        <f>LOG(382/(60+1))</f>
        <v>0.79673352790094176</v>
      </c>
      <c r="H16546">
        <f>0.0303030303030303*1.83454674443326</f>
        <v>5.559232558888666E-2</v>
      </c>
      <c r="I16546">
        <v>5.5592325588886778E-2</v>
      </c>
    </row>
    <row r="16547" spans="1:9" x14ac:dyDescent="0.25">
      <c r="A16547">
        <v>527</v>
      </c>
      <c r="B16547" t="s">
        <v>4263</v>
      </c>
      <c r="C16547" t="s">
        <v>75</v>
      </c>
      <c r="D16547" t="s">
        <v>98</v>
      </c>
      <c r="E16547">
        <f t="shared" ref="E16547:E16575" si="780">1/66</f>
        <v>1.5151515151515152E-2</v>
      </c>
      <c r="F16547">
        <v>56</v>
      </c>
      <c r="G16547">
        <f>LOG(382/(56+1))</f>
        <v>0.82618850723921733</v>
      </c>
      <c r="H16547">
        <f>0.0151515151515151*1.90236934077202</f>
        <v>2.8823777890485052E-2</v>
      </c>
      <c r="I16547">
        <v>2.8823777890485229E-2</v>
      </c>
    </row>
    <row r="16548" spans="1:9" x14ac:dyDescent="0.25">
      <c r="A16548">
        <v>527</v>
      </c>
      <c r="B16548" t="s">
        <v>4263</v>
      </c>
      <c r="C16548" t="s">
        <v>75</v>
      </c>
      <c r="D16548" t="s">
        <v>240</v>
      </c>
      <c r="E16548">
        <f t="shared" si="780"/>
        <v>1.5151515151515152E-2</v>
      </c>
      <c r="F16548">
        <v>15</v>
      </c>
      <c r="G16548">
        <f>LOG(382/(15+1))</f>
        <v>1.3779433802557839</v>
      </c>
      <c r="H16548">
        <f>0.0151515151515151*3.17283188636679</f>
        <v>4.8073210399496656E-2</v>
      </c>
      <c r="I16548">
        <v>4.8073210399496892E-2</v>
      </c>
    </row>
    <row r="16549" spans="1:9" x14ac:dyDescent="0.25">
      <c r="A16549">
        <v>527</v>
      </c>
      <c r="B16549" t="s">
        <v>4263</v>
      </c>
      <c r="C16549" t="s">
        <v>75</v>
      </c>
      <c r="D16549" t="s">
        <v>3492</v>
      </c>
      <c r="E16549">
        <f t="shared" si="780"/>
        <v>1.5151515151515152E-2</v>
      </c>
      <c r="F16549">
        <v>12</v>
      </c>
      <c r="G16549">
        <f>LOG(382/(12+1))</f>
        <v>1.468120010604872</v>
      </c>
      <c r="H16549">
        <f>0.0151515151515151*3.38047125114503</f>
        <v>5.1219261380985127E-2</v>
      </c>
      <c r="I16549">
        <v>5.1219261380985433E-2</v>
      </c>
    </row>
    <row r="16550" spans="1:9" x14ac:dyDescent="0.25">
      <c r="A16550">
        <v>527</v>
      </c>
      <c r="B16550" t="s">
        <v>4263</v>
      </c>
      <c r="C16550" t="s">
        <v>75</v>
      </c>
      <c r="D16550" t="s">
        <v>243</v>
      </c>
      <c r="E16550">
        <f t="shared" si="780"/>
        <v>1.5151515151515152E-2</v>
      </c>
      <c r="F16550">
        <v>131</v>
      </c>
      <c r="G16550">
        <f>LOG(382/(131+1))</f>
        <v>0.46148943170585888</v>
      </c>
      <c r="H16550">
        <f>0.0151515151515151*1.0626186860202</f>
        <v>1.6100283121518129E-2</v>
      </c>
      <c r="I16550">
        <v>1.610028312151825E-2</v>
      </c>
    </row>
    <row r="16551" spans="1:9" x14ac:dyDescent="0.25">
      <c r="A16551">
        <v>527</v>
      </c>
      <c r="B16551" t="s">
        <v>4263</v>
      </c>
      <c r="C16551" t="s">
        <v>75</v>
      </c>
      <c r="D16551" t="s">
        <v>453</v>
      </c>
      <c r="E16551">
        <f t="shared" si="780"/>
        <v>1.5151515151515152E-2</v>
      </c>
      <c r="F16551">
        <v>68</v>
      </c>
      <c r="G16551">
        <f>LOG(382/(68+1))</f>
        <v>0.74321427217445335</v>
      </c>
      <c r="H16551">
        <f>0.0151515151515151*1.71131410400931</f>
        <v>2.5929001575898548E-2</v>
      </c>
      <c r="I16551">
        <v>2.5929001575898721E-2</v>
      </c>
    </row>
    <row r="16552" spans="1:9" x14ac:dyDescent="0.25">
      <c r="A16552">
        <v>527</v>
      </c>
      <c r="B16552" t="s">
        <v>4263</v>
      </c>
      <c r="C16552" t="s">
        <v>75</v>
      </c>
      <c r="D16552" t="s">
        <v>1905</v>
      </c>
      <c r="E16552">
        <f t="shared" si="780"/>
        <v>1.5151515151515152E-2</v>
      </c>
      <c r="F16552">
        <v>24</v>
      </c>
      <c r="G16552">
        <f>LOG(382/(24+1))</f>
        <v>1.1841233542396712</v>
      </c>
      <c r="H16552">
        <f>0.0151515151515151*2.72654478373837</f>
        <v>4.1311284602096369E-2</v>
      </c>
      <c r="I16552">
        <v>4.1311284602096578E-2</v>
      </c>
    </row>
    <row r="16553" spans="1:9" x14ac:dyDescent="0.25">
      <c r="A16553">
        <v>527</v>
      </c>
      <c r="B16553" t="s">
        <v>4263</v>
      </c>
      <c r="C16553" t="s">
        <v>75</v>
      </c>
      <c r="D16553" t="s">
        <v>455</v>
      </c>
      <c r="E16553">
        <f t="shared" si="780"/>
        <v>1.5151515151515152E-2</v>
      </c>
      <c r="F16553">
        <v>78</v>
      </c>
      <c r="G16553">
        <f>LOG(382/(78+1))</f>
        <v>0.6844362716212673</v>
      </c>
      <c r="H16553">
        <f>0.0151515151515151*1.57597275613955</f>
        <v>2.3878375093023405E-2</v>
      </c>
      <c r="I16553">
        <v>2.3878375093023541E-2</v>
      </c>
    </row>
    <row r="16554" spans="1:9" x14ac:dyDescent="0.25">
      <c r="A16554">
        <v>527</v>
      </c>
      <c r="B16554" t="s">
        <v>4263</v>
      </c>
      <c r="C16554" t="s">
        <v>75</v>
      </c>
      <c r="D16554" t="s">
        <v>456</v>
      </c>
      <c r="E16554">
        <f t="shared" si="780"/>
        <v>1.5151515151515152E-2</v>
      </c>
      <c r="F16554">
        <v>71</v>
      </c>
      <c r="G16554">
        <f>LOG(382/(71+1))</f>
        <v>0.72473086648044027</v>
      </c>
      <c r="H16554">
        <f>0.0151515151515151*1.66875448959051</f>
        <v>2.5284158933189461E-2</v>
      </c>
      <c r="I16554">
        <v>2.528415893318969E-2</v>
      </c>
    </row>
    <row r="16555" spans="1:9" x14ac:dyDescent="0.25">
      <c r="A16555">
        <v>527</v>
      </c>
      <c r="B16555" t="s">
        <v>4263</v>
      </c>
      <c r="C16555" t="s">
        <v>75</v>
      </c>
      <c r="D16555" t="s">
        <v>4267</v>
      </c>
      <c r="E16555">
        <f t="shared" si="780"/>
        <v>1.5151515151515152E-2</v>
      </c>
      <c r="F16555">
        <v>1</v>
      </c>
      <c r="G16555">
        <f>LOG(382/(1+1))</f>
        <v>2.2810333672477277</v>
      </c>
      <c r="H16555">
        <f>0.0151515151515151*5.25227342804663</f>
        <v>7.9579900424948669E-2</v>
      </c>
      <c r="I16555">
        <v>7.9579900424948946E-2</v>
      </c>
    </row>
    <row r="16556" spans="1:9" x14ac:dyDescent="0.25">
      <c r="A16556">
        <v>527</v>
      </c>
      <c r="B16556" t="s">
        <v>4263</v>
      </c>
      <c r="C16556" t="s">
        <v>75</v>
      </c>
      <c r="D16556" t="s">
        <v>361</v>
      </c>
      <c r="E16556">
        <f t="shared" si="780"/>
        <v>1.5151515151515152E-2</v>
      </c>
      <c r="F16556">
        <v>118</v>
      </c>
      <c r="G16556">
        <f>LOG(382/(118+1))</f>
        <v>0.50651640151917798</v>
      </c>
      <c r="H16556">
        <f>0.0151515151515151*1.16629711549504</f>
        <v>1.7671168416591453E-2</v>
      </c>
      <c r="I16556">
        <v>1.7671168416591609E-2</v>
      </c>
    </row>
    <row r="16557" spans="1:9" x14ac:dyDescent="0.25">
      <c r="A16557">
        <v>527</v>
      </c>
      <c r="B16557" t="s">
        <v>4263</v>
      </c>
      <c r="C16557" t="s">
        <v>75</v>
      </c>
      <c r="D16557" t="s">
        <v>434</v>
      </c>
      <c r="E16557">
        <f t="shared" si="780"/>
        <v>1.5151515151515152E-2</v>
      </c>
      <c r="F16557">
        <v>97</v>
      </c>
      <c r="G16557">
        <f>LOG(382/(97+1))</f>
        <v>0.59083728721921391</v>
      </c>
      <c r="H16557">
        <f>0.0151515151515151*1.360453129936</f>
        <v>2.0612926211151447E-2</v>
      </c>
      <c r="I16557">
        <v>2.0612926211151569E-2</v>
      </c>
    </row>
    <row r="16558" spans="1:9" x14ac:dyDescent="0.25">
      <c r="A16558">
        <v>527</v>
      </c>
      <c r="B16558" t="s">
        <v>4263</v>
      </c>
      <c r="C16558" t="s">
        <v>75</v>
      </c>
      <c r="D16558" t="s">
        <v>3325</v>
      </c>
      <c r="E16558">
        <f t="shared" si="780"/>
        <v>1.5151515151515152E-2</v>
      </c>
      <c r="F16558">
        <v>19</v>
      </c>
      <c r="G16558">
        <f>LOG(382/(19+1))</f>
        <v>1.2810333672477277</v>
      </c>
      <c r="H16558">
        <f>0.0151515151515151*2.94968833505258</f>
        <v>4.4692247500796513E-2</v>
      </c>
      <c r="I16558">
        <v>4.4692247500796728E-2</v>
      </c>
    </row>
    <row r="16559" spans="1:9" x14ac:dyDescent="0.25">
      <c r="A16559">
        <v>527</v>
      </c>
      <c r="B16559" t="s">
        <v>4263</v>
      </c>
      <c r="C16559" t="s">
        <v>75</v>
      </c>
      <c r="D16559" t="s">
        <v>3327</v>
      </c>
      <c r="E16559">
        <f t="shared" si="780"/>
        <v>1.5151515151515152E-2</v>
      </c>
      <c r="F16559">
        <v>21</v>
      </c>
      <c r="G16559">
        <f>LOG(382/(21+1))</f>
        <v>1.2396406820895025</v>
      </c>
      <c r="H16559">
        <f>0.0151515151515151*2.85437815524825</f>
        <v>4.3248153867397575E-2</v>
      </c>
      <c r="I16559">
        <v>4.3248153867397873E-2</v>
      </c>
    </row>
    <row r="16560" spans="1:9" x14ac:dyDescent="0.25">
      <c r="A16560">
        <v>527</v>
      </c>
      <c r="B16560" t="s">
        <v>4263</v>
      </c>
      <c r="C16560" t="s">
        <v>75</v>
      </c>
      <c r="D16560" t="s">
        <v>4268</v>
      </c>
      <c r="E16560">
        <f t="shared" si="780"/>
        <v>1.5151515151515152E-2</v>
      </c>
      <c r="F16560">
        <v>2</v>
      </c>
      <c r="G16560">
        <f>LOG(382/(2+1))</f>
        <v>2.1049421081920463</v>
      </c>
      <c r="H16560">
        <f>0.0151515151515151*4.84680831993846</f>
        <v>7.3436489696037027E-2</v>
      </c>
      <c r="I16560">
        <v>7.343648969603736E-2</v>
      </c>
    </row>
    <row r="16561" spans="1:9" x14ac:dyDescent="0.25">
      <c r="A16561">
        <v>527</v>
      </c>
      <c r="B16561" t="s">
        <v>4263</v>
      </c>
      <c r="C16561" t="s">
        <v>75</v>
      </c>
      <c r="D16561" t="s">
        <v>149</v>
      </c>
      <c r="E16561">
        <f t="shared" si="780"/>
        <v>1.5151515151515152E-2</v>
      </c>
      <c r="F16561">
        <v>35</v>
      </c>
      <c r="G16561">
        <f>LOG(382/(35+1))</f>
        <v>1.0257608621444214</v>
      </c>
      <c r="H16561">
        <f>0.0151515151515151*2.36190167015046</f>
        <v>3.5786388941673512E-2</v>
      </c>
      <c r="I16561">
        <v>3.5786388941673707E-2</v>
      </c>
    </row>
    <row r="16562" spans="1:9" x14ac:dyDescent="0.25">
      <c r="A16562">
        <v>527</v>
      </c>
      <c r="B16562" t="s">
        <v>4263</v>
      </c>
      <c r="C16562" t="s">
        <v>75</v>
      </c>
      <c r="D16562" t="s">
        <v>1468</v>
      </c>
      <c r="E16562">
        <f t="shared" si="780"/>
        <v>1.5151515151515152E-2</v>
      </c>
      <c r="F16562">
        <v>8</v>
      </c>
      <c r="G16562">
        <f>LOG(382/(8+1))</f>
        <v>1.6278208534723839</v>
      </c>
      <c r="H16562">
        <f>0.0151515151515151*3.74819603127035</f>
        <v>5.679084895864147E-2</v>
      </c>
      <c r="I16562">
        <v>5.6790848958641747E-2</v>
      </c>
    </row>
    <row r="16563" spans="1:9" x14ac:dyDescent="0.25">
      <c r="A16563">
        <v>527</v>
      </c>
      <c r="B16563" t="s">
        <v>4263</v>
      </c>
      <c r="C16563" t="s">
        <v>75</v>
      </c>
      <c r="D16563" t="s">
        <v>214</v>
      </c>
      <c r="E16563">
        <f t="shared" si="780"/>
        <v>1.5151515151515152E-2</v>
      </c>
      <c r="F16563">
        <v>68</v>
      </c>
      <c r="G16563">
        <f>LOG(382/(68+1))</f>
        <v>0.74321427217445335</v>
      </c>
      <c r="H16563">
        <f>0.0151515151515151*1.71131410400931</f>
        <v>2.5929001575898548E-2</v>
      </c>
      <c r="I16563">
        <v>2.5929001575898721E-2</v>
      </c>
    </row>
    <row r="16564" spans="1:9" x14ac:dyDescent="0.25">
      <c r="A16564">
        <v>527</v>
      </c>
      <c r="B16564" t="s">
        <v>4263</v>
      </c>
      <c r="C16564" t="s">
        <v>75</v>
      </c>
      <c r="D16564" t="s">
        <v>322</v>
      </c>
      <c r="E16564">
        <f t="shared" si="780"/>
        <v>1.5151515151515152E-2</v>
      </c>
      <c r="F16564">
        <v>128</v>
      </c>
      <c r="G16564">
        <f>LOG(382/(128+1))</f>
        <v>0.47147365261245977</v>
      </c>
      <c r="H16564">
        <f>0.0151515151515151*1.0856082042449</f>
        <v>1.6448609155225703E-2</v>
      </c>
      <c r="I16564">
        <v>1.64486091552258E-2</v>
      </c>
    </row>
    <row r="16565" spans="1:9" x14ac:dyDescent="0.25">
      <c r="A16565">
        <v>527</v>
      </c>
      <c r="B16565" t="s">
        <v>4263</v>
      </c>
      <c r="C16565" t="s">
        <v>75</v>
      </c>
      <c r="D16565" t="s">
        <v>362</v>
      </c>
      <c r="E16565">
        <f t="shared" si="780"/>
        <v>1.5151515151515152E-2</v>
      </c>
      <c r="F16565">
        <v>81</v>
      </c>
      <c r="G16565">
        <f>LOG(382/(81+1))</f>
        <v>0.66824951052799197</v>
      </c>
      <c r="H16565">
        <f>0.0151515151515151*1.53870136134232</f>
        <v>2.331365699003507E-2</v>
      </c>
      <c r="I16565">
        <v>2.3313656990035181E-2</v>
      </c>
    </row>
    <row r="16566" spans="1:9" x14ac:dyDescent="0.25">
      <c r="A16566">
        <v>527</v>
      </c>
      <c r="B16566" t="s">
        <v>4263</v>
      </c>
      <c r="C16566" t="s">
        <v>75</v>
      </c>
      <c r="D16566" t="s">
        <v>1551</v>
      </c>
      <c r="E16566">
        <f t="shared" si="780"/>
        <v>1.5151515151515152E-2</v>
      </c>
      <c r="F16566">
        <v>15</v>
      </c>
      <c r="G16566">
        <f>LOG(382/(15+1))</f>
        <v>1.3779433802557839</v>
      </c>
      <c r="H16566">
        <f>0.0151515151515151*3.17283188636679</f>
        <v>4.8073210399496656E-2</v>
      </c>
      <c r="I16566">
        <v>4.8073210399496892E-2</v>
      </c>
    </row>
    <row r="16567" spans="1:9" x14ac:dyDescent="0.25">
      <c r="A16567">
        <v>527</v>
      </c>
      <c r="B16567" t="s">
        <v>4263</v>
      </c>
      <c r="C16567" t="s">
        <v>75</v>
      </c>
      <c r="D16567" t="s">
        <v>1732</v>
      </c>
      <c r="E16567">
        <f t="shared" si="780"/>
        <v>1.5151515151515152E-2</v>
      </c>
      <c r="F16567">
        <v>16</v>
      </c>
      <c r="G16567">
        <f>LOG(382/(16+1))</f>
        <v>1.3516144415334348</v>
      </c>
      <c r="H16567">
        <f>0.0151515151515151*3.11220726455035</f>
        <v>4.7154655523489991E-2</v>
      </c>
      <c r="I16567">
        <v>4.7154655523490289E-2</v>
      </c>
    </row>
    <row r="16568" spans="1:9" x14ac:dyDescent="0.25">
      <c r="A16568">
        <v>527</v>
      </c>
      <c r="B16568" t="s">
        <v>4263</v>
      </c>
      <c r="C16568" t="s">
        <v>75</v>
      </c>
      <c r="D16568" t="s">
        <v>1733</v>
      </c>
      <c r="E16568">
        <f t="shared" si="780"/>
        <v>1.5151515151515152E-2</v>
      </c>
      <c r="F16568">
        <v>19</v>
      </c>
      <c r="G16568">
        <f>LOG(382/(19+1))</f>
        <v>1.2810333672477277</v>
      </c>
      <c r="H16568">
        <f>0.0151515151515151*2.94968833505258</f>
        <v>4.4692247500796513E-2</v>
      </c>
      <c r="I16568">
        <v>4.4692247500796728E-2</v>
      </c>
    </row>
    <row r="16569" spans="1:9" x14ac:dyDescent="0.25">
      <c r="A16569">
        <v>527</v>
      </c>
      <c r="B16569" t="s">
        <v>4263</v>
      </c>
      <c r="C16569" t="s">
        <v>75</v>
      </c>
      <c r="D16569" t="s">
        <v>1550</v>
      </c>
      <c r="E16569">
        <f t="shared" si="780"/>
        <v>1.5151515151515152E-2</v>
      </c>
      <c r="F16569">
        <v>16</v>
      </c>
      <c r="G16569">
        <f>LOG(382/(16+1))</f>
        <v>1.3516144415334348</v>
      </c>
      <c r="H16569">
        <f>0.0151515151515151*3.11220726455035</f>
        <v>4.7154655523489991E-2</v>
      </c>
      <c r="I16569">
        <v>4.7154655523490289E-2</v>
      </c>
    </row>
    <row r="16570" spans="1:9" x14ac:dyDescent="0.25">
      <c r="A16570">
        <v>527</v>
      </c>
      <c r="B16570" t="s">
        <v>4263</v>
      </c>
      <c r="C16570" t="s">
        <v>75</v>
      </c>
      <c r="D16570" t="s">
        <v>1738</v>
      </c>
      <c r="E16570">
        <f t="shared" si="780"/>
        <v>1.5151515151515152E-2</v>
      </c>
      <c r="F16570">
        <v>24</v>
      </c>
      <c r="G16570">
        <f>LOG(382/(24+1))</f>
        <v>1.1841233542396712</v>
      </c>
      <c r="H16570">
        <f>0.0151515151515151*2.72654478373837</f>
        <v>4.1311284602096369E-2</v>
      </c>
      <c r="I16570">
        <v>4.1311284602096578E-2</v>
      </c>
    </row>
    <row r="16571" spans="1:9" x14ac:dyDescent="0.25">
      <c r="A16571">
        <v>527</v>
      </c>
      <c r="B16571" t="s">
        <v>4263</v>
      </c>
      <c r="C16571" t="s">
        <v>75</v>
      </c>
      <c r="D16571" t="s">
        <v>1739</v>
      </c>
      <c r="E16571">
        <f t="shared" si="780"/>
        <v>1.5151515151515152E-2</v>
      </c>
      <c r="F16571">
        <v>30</v>
      </c>
      <c r="G16571">
        <f>LOG(382/(30+1))</f>
        <v>1.090701669077436</v>
      </c>
      <c r="H16571">
        <f>0.0151515151515151*2.51143340412142</f>
        <v>3.805202127456684E-2</v>
      </c>
      <c r="I16571">
        <v>3.805202127456711E-2</v>
      </c>
    </row>
    <row r="16572" spans="1:9" x14ac:dyDescent="0.25">
      <c r="A16572">
        <v>527</v>
      </c>
      <c r="B16572" t="s">
        <v>4263</v>
      </c>
      <c r="C16572" t="s">
        <v>75</v>
      </c>
      <c r="D16572" t="s">
        <v>78</v>
      </c>
      <c r="E16572">
        <f t="shared" si="780"/>
        <v>1.5151515151515152E-2</v>
      </c>
      <c r="F16572">
        <v>122</v>
      </c>
      <c r="G16572">
        <f>LOG(382/(122+1))</f>
        <v>0.49215825147231079</v>
      </c>
      <c r="H16572">
        <f>0.0151515151515151*1.13323625323415</f>
        <v>1.7170246261123425E-2</v>
      </c>
      <c r="I16572">
        <v>1.7170246261123599E-2</v>
      </c>
    </row>
    <row r="16573" spans="1:9" x14ac:dyDescent="0.25">
      <c r="A16573">
        <v>527</v>
      </c>
      <c r="B16573" t="s">
        <v>4263</v>
      </c>
      <c r="C16573" t="s">
        <v>75</v>
      </c>
      <c r="D16573" t="s">
        <v>754</v>
      </c>
      <c r="E16573">
        <f t="shared" si="780"/>
        <v>1.5151515151515152E-2</v>
      </c>
      <c r="F16573">
        <v>111</v>
      </c>
      <c r="G16573">
        <f>LOG(382/(111+1))</f>
        <v>0.53284534024152708</v>
      </c>
      <c r="H16573">
        <f>0.0151515151515151*1.22692173731148</f>
        <v>1.8589723292598118E-2</v>
      </c>
      <c r="I16573">
        <v>1.8589723292598191E-2</v>
      </c>
    </row>
    <row r="16574" spans="1:9" x14ac:dyDescent="0.25">
      <c r="A16574">
        <v>527</v>
      </c>
      <c r="B16574" t="s">
        <v>4263</v>
      </c>
      <c r="C16574" t="s">
        <v>75</v>
      </c>
      <c r="D16574" t="s">
        <v>767</v>
      </c>
      <c r="E16574">
        <f t="shared" si="780"/>
        <v>1.5151515151515152E-2</v>
      </c>
      <c r="F16574">
        <v>47</v>
      </c>
      <c r="G16574">
        <f>LOG(382/(47+1))</f>
        <v>0.90082212553612151</v>
      </c>
      <c r="H16574">
        <f>0.0151515151515151*2.07421959769868</f>
        <v>3.1427569662101106E-2</v>
      </c>
      <c r="I16574">
        <v>3.1427569662101279E-2</v>
      </c>
    </row>
    <row r="16575" spans="1:9" x14ac:dyDescent="0.25">
      <c r="A16575">
        <v>527</v>
      </c>
      <c r="B16575" t="s">
        <v>4263</v>
      </c>
      <c r="C16575" t="s">
        <v>75</v>
      </c>
      <c r="D16575" t="s">
        <v>256</v>
      </c>
      <c r="E16575">
        <f t="shared" si="780"/>
        <v>1.5151515151515152E-2</v>
      </c>
      <c r="F16575">
        <v>28</v>
      </c>
      <c r="G16575">
        <f>LOG(382/(28+1))</f>
        <v>1.1196653650127526</v>
      </c>
      <c r="H16575">
        <f>0.0151515151515151*2.5781247786201</f>
        <v>3.9062496645758955E-2</v>
      </c>
      <c r="I16575">
        <v>3.9062496645759108E-2</v>
      </c>
    </row>
    <row r="16576" spans="1:9" x14ac:dyDescent="0.25">
      <c r="A16576">
        <v>528</v>
      </c>
      <c r="B16576" t="s">
        <v>4269</v>
      </c>
      <c r="C16576" t="s">
        <v>138</v>
      </c>
      <c r="D16576" t="s">
        <v>744</v>
      </c>
      <c r="E16576">
        <f>10/138</f>
        <v>7.2463768115942032E-2</v>
      </c>
      <c r="F16576">
        <v>28</v>
      </c>
      <c r="G16576">
        <f>LOG(382/(28+1))</f>
        <v>1.1196653650127526</v>
      </c>
      <c r="H16576">
        <f>0.072463768115942*2.5781247786201</f>
        <v>0.18682063613189123</v>
      </c>
      <c r="I16576">
        <v>0.1868206361318914</v>
      </c>
    </row>
    <row r="16577" spans="1:9" x14ac:dyDescent="0.25">
      <c r="A16577">
        <v>528</v>
      </c>
      <c r="B16577" t="s">
        <v>4269</v>
      </c>
      <c r="C16577" t="s">
        <v>138</v>
      </c>
      <c r="D16577" t="s">
        <v>408</v>
      </c>
      <c r="E16577">
        <f>3/138</f>
        <v>2.1739130434782608E-2</v>
      </c>
      <c r="F16577">
        <v>27</v>
      </c>
      <c r="G16577">
        <f>LOG(382/(27+1))</f>
        <v>1.1349053315694895</v>
      </c>
      <c r="H16577">
        <f>0.0217391304347826*2.61321609843137</f>
        <v>5.6809045618073248E-2</v>
      </c>
      <c r="I16577">
        <v>5.6809045618073283E-2</v>
      </c>
    </row>
    <row r="16578" spans="1:9" x14ac:dyDescent="0.25">
      <c r="A16578">
        <v>528</v>
      </c>
      <c r="B16578" t="s">
        <v>4269</v>
      </c>
      <c r="C16578" t="s">
        <v>138</v>
      </c>
      <c r="D16578" t="s">
        <v>2257</v>
      </c>
      <c r="E16578">
        <f>3/138</f>
        <v>2.1739130434782608E-2</v>
      </c>
      <c r="F16578">
        <v>11</v>
      </c>
      <c r="G16578">
        <f>LOG(382/(11+1))</f>
        <v>1.5028821168640838</v>
      </c>
      <c r="H16578">
        <f>0.0217391304347826*3.46051395881857</f>
        <v>7.5228564322142796E-2</v>
      </c>
      <c r="I16578">
        <v>7.5228564322142935E-2</v>
      </c>
    </row>
    <row r="16579" spans="1:9" x14ac:dyDescent="0.25">
      <c r="A16579">
        <v>528</v>
      </c>
      <c r="B16579" t="s">
        <v>4269</v>
      </c>
      <c r="C16579" t="s">
        <v>138</v>
      </c>
      <c r="D16579" t="s">
        <v>4270</v>
      </c>
      <c r="E16579">
        <f>3/138</f>
        <v>2.1739130434782608E-2</v>
      </c>
      <c r="F16579">
        <v>1</v>
      </c>
      <c r="G16579">
        <f>LOG(382/(1+1))</f>
        <v>2.2810333672477277</v>
      </c>
      <c r="H16579">
        <f>0.0217391304347826*5.25227342804663</f>
        <v>0.11417985713144843</v>
      </c>
      <c r="I16579">
        <v>0.1141798571314485</v>
      </c>
    </row>
    <row r="16580" spans="1:9" x14ac:dyDescent="0.25">
      <c r="A16580">
        <v>528</v>
      </c>
      <c r="B16580" t="s">
        <v>4269</v>
      </c>
      <c r="C16580" t="s">
        <v>138</v>
      </c>
      <c r="D16580" t="s">
        <v>760</v>
      </c>
      <c r="E16580">
        <f>3/138</f>
        <v>2.1739130434782608E-2</v>
      </c>
      <c r="F16580">
        <v>4</v>
      </c>
      <c r="G16580">
        <f>LOG(382/(4+1))</f>
        <v>1.8830933585756899</v>
      </c>
      <c r="H16580">
        <f>0.0217391304347826*4.33598269617247</f>
        <v>9.4260493395053671E-2</v>
      </c>
      <c r="I16580">
        <v>9.4260493395053796E-2</v>
      </c>
    </row>
    <row r="16581" spans="1:9" x14ac:dyDescent="0.25">
      <c r="A16581">
        <v>528</v>
      </c>
      <c r="B16581" t="s">
        <v>4269</v>
      </c>
      <c r="C16581" t="s">
        <v>138</v>
      </c>
      <c r="D16581" t="s">
        <v>4271</v>
      </c>
      <c r="E16581">
        <f>3/138</f>
        <v>2.1739130434782608E-2</v>
      </c>
      <c r="F16581">
        <v>1</v>
      </c>
      <c r="G16581">
        <f>LOG(382/(1+1))</f>
        <v>2.2810333672477277</v>
      </c>
      <c r="H16581">
        <f>0.0217391304347826*5.25227342804663</f>
        <v>0.11417985713144843</v>
      </c>
      <c r="I16581">
        <v>0.1141798571314485</v>
      </c>
    </row>
    <row r="16582" spans="1:9" x14ac:dyDescent="0.25">
      <c r="A16582">
        <v>528</v>
      </c>
      <c r="B16582" t="s">
        <v>4269</v>
      </c>
      <c r="C16582" t="s">
        <v>138</v>
      </c>
      <c r="D16582" t="s">
        <v>105</v>
      </c>
      <c r="E16582">
        <f>2/138</f>
        <v>1.4492753623188406E-2</v>
      </c>
      <c r="F16582">
        <v>122</v>
      </c>
      <c r="G16582">
        <f>LOG(382/(122+1))</f>
        <v>0.49215825147231079</v>
      </c>
      <c r="H16582">
        <f>0.0144927536231884*1.13323625323415</f>
        <v>1.6423713814987674E-2</v>
      </c>
      <c r="I16582">
        <v>1.6423713814987789E-2</v>
      </c>
    </row>
    <row r="16583" spans="1:9" x14ac:dyDescent="0.25">
      <c r="A16583">
        <v>528</v>
      </c>
      <c r="B16583" t="s">
        <v>4269</v>
      </c>
      <c r="C16583" t="s">
        <v>138</v>
      </c>
      <c r="D16583" t="s">
        <v>4272</v>
      </c>
      <c r="E16583">
        <f>1/138</f>
        <v>7.246376811594203E-3</v>
      </c>
      <c r="F16583">
        <v>1</v>
      </c>
      <c r="G16583">
        <f>LOG(382/(1+1))</f>
        <v>2.2810333672477277</v>
      </c>
      <c r="H16583">
        <f>0.0072463768115942*5.25227342804663</f>
        <v>3.8059952377149479E-2</v>
      </c>
      <c r="I16583">
        <v>3.8059952377149493E-2</v>
      </c>
    </row>
    <row r="16584" spans="1:9" x14ac:dyDescent="0.25">
      <c r="A16584">
        <v>528</v>
      </c>
      <c r="B16584" t="s">
        <v>4269</v>
      </c>
      <c r="C16584" t="s">
        <v>138</v>
      </c>
      <c r="D16584" t="s">
        <v>2200</v>
      </c>
      <c r="E16584">
        <f>1/138</f>
        <v>7.246376811594203E-3</v>
      </c>
      <c r="F16584">
        <v>2</v>
      </c>
      <c r="G16584">
        <f>LOG(382/(2+1))</f>
        <v>2.1049421081920463</v>
      </c>
      <c r="H16584">
        <f>0.0072463768115942*4.84680831993846</f>
        <v>3.5121799419843898E-2</v>
      </c>
      <c r="I16584">
        <v>3.5121799419843953E-2</v>
      </c>
    </row>
    <row r="16585" spans="1:9" x14ac:dyDescent="0.25">
      <c r="A16585">
        <v>528</v>
      </c>
      <c r="B16585" t="s">
        <v>4269</v>
      </c>
      <c r="C16585" t="s">
        <v>138</v>
      </c>
      <c r="D16585" t="s">
        <v>4273</v>
      </c>
      <c r="E16585">
        <f>1/138</f>
        <v>7.246376811594203E-3</v>
      </c>
      <c r="F16585">
        <v>1</v>
      </c>
      <c r="G16585">
        <f>LOG(382/(1+1))</f>
        <v>2.2810333672477277</v>
      </c>
      <c r="H16585">
        <f>0.0072463768115942*5.25227342804663</f>
        <v>3.8059952377149479E-2</v>
      </c>
      <c r="I16585">
        <v>3.8059952377149493E-2</v>
      </c>
    </row>
    <row r="16586" spans="1:9" x14ac:dyDescent="0.25">
      <c r="A16586">
        <v>528</v>
      </c>
      <c r="B16586" t="s">
        <v>4269</v>
      </c>
      <c r="C16586" t="s">
        <v>138</v>
      </c>
      <c r="D16586" t="s">
        <v>183</v>
      </c>
      <c r="E16586">
        <f>2/138</f>
        <v>1.4492753623188406E-2</v>
      </c>
      <c r="F16586">
        <v>46</v>
      </c>
      <c r="G16586">
        <f>LOG(382/(46+1))</f>
        <v>0.90996550497599127</v>
      </c>
      <c r="H16586">
        <f>0.0144927536231884*2.09527300689651</f>
        <v>3.0366275462268253E-2</v>
      </c>
      <c r="I16586">
        <v>3.036627546226835E-2</v>
      </c>
    </row>
    <row r="16587" spans="1:9" x14ac:dyDescent="0.25">
      <c r="A16587">
        <v>528</v>
      </c>
      <c r="B16587" t="s">
        <v>4269</v>
      </c>
      <c r="C16587" t="s">
        <v>138</v>
      </c>
      <c r="D16587" t="s">
        <v>204</v>
      </c>
      <c r="E16587">
        <f>2/138</f>
        <v>1.4492753623188406E-2</v>
      </c>
      <c r="F16587">
        <v>166</v>
      </c>
      <c r="G16587">
        <f>LOG(382/(166+1))</f>
        <v>0.35934689176412549</v>
      </c>
      <c r="H16587">
        <f>0.0144927536231884*0.82742679618982</f>
        <v>1.1991692698403184E-2</v>
      </c>
      <c r="I16587">
        <v>1.1991692698403189E-2</v>
      </c>
    </row>
    <row r="16588" spans="1:9" x14ac:dyDescent="0.25">
      <c r="A16588">
        <v>528</v>
      </c>
      <c r="B16588" t="s">
        <v>4269</v>
      </c>
      <c r="C16588" t="s">
        <v>138</v>
      </c>
      <c r="D16588" t="s">
        <v>322</v>
      </c>
      <c r="E16588">
        <f>4/138</f>
        <v>2.8985507246376812E-2</v>
      </c>
      <c r="F16588">
        <v>128</v>
      </c>
      <c r="G16588">
        <f>LOG(382/(128+1))</f>
        <v>0.47147365261245977</v>
      </c>
      <c r="H16588">
        <f>0.0289855072463768*1.0856082042449</f>
        <v>3.1466904470866655E-2</v>
      </c>
      <c r="I16588">
        <v>3.1466904470866759E-2</v>
      </c>
    </row>
    <row r="16589" spans="1:9" x14ac:dyDescent="0.25">
      <c r="A16589">
        <v>528</v>
      </c>
      <c r="B16589" t="s">
        <v>4269</v>
      </c>
      <c r="C16589" t="s">
        <v>138</v>
      </c>
      <c r="D16589" t="s">
        <v>338</v>
      </c>
      <c r="E16589">
        <f>1/138</f>
        <v>7.246376811594203E-3</v>
      </c>
      <c r="F16589">
        <v>54</v>
      </c>
      <c r="G16589">
        <f>LOG(382/(54+1))</f>
        <v>0.84170067341746491</v>
      </c>
      <c r="H16589">
        <f>0.0072463768115942*1.9380874233741</f>
        <v>1.404411176358043E-2</v>
      </c>
      <c r="I16589">
        <v>1.4044111763580469E-2</v>
      </c>
    </row>
    <row r="16590" spans="1:9" x14ac:dyDescent="0.25">
      <c r="A16590">
        <v>528</v>
      </c>
      <c r="B16590" t="s">
        <v>4269</v>
      </c>
      <c r="C16590" t="s">
        <v>138</v>
      </c>
      <c r="D16590" t="s">
        <v>754</v>
      </c>
      <c r="E16590">
        <f>3/138</f>
        <v>2.1739130434782608E-2</v>
      </c>
      <c r="F16590">
        <v>111</v>
      </c>
      <c r="G16590">
        <f>LOG(382/(111+1))</f>
        <v>0.53284534024152708</v>
      </c>
      <c r="H16590">
        <f>0.0217391304347826*1.22692173731148</f>
        <v>2.667221168068434E-2</v>
      </c>
      <c r="I16590">
        <v>2.6672211680684361E-2</v>
      </c>
    </row>
    <row r="16591" spans="1:9" x14ac:dyDescent="0.25">
      <c r="A16591">
        <v>528</v>
      </c>
      <c r="B16591" t="s">
        <v>4269</v>
      </c>
      <c r="C16591" t="s">
        <v>138</v>
      </c>
      <c r="D16591" t="s">
        <v>649</v>
      </c>
      <c r="E16591">
        <f>7/138</f>
        <v>5.0724637681159424E-2</v>
      </c>
      <c r="F16591">
        <v>25</v>
      </c>
      <c r="G16591">
        <f>LOG(382/(25+1))</f>
        <v>1.1670900149408907</v>
      </c>
      <c r="H16591">
        <f>0.0507246376811594*2.68732407058509</f>
        <v>0.13631353981228714</v>
      </c>
      <c r="I16591">
        <v>0.1363135398122873</v>
      </c>
    </row>
    <row r="16592" spans="1:9" x14ac:dyDescent="0.25">
      <c r="A16592">
        <v>528</v>
      </c>
      <c r="B16592" t="s">
        <v>4269</v>
      </c>
      <c r="C16592" t="s">
        <v>138</v>
      </c>
      <c r="D16592" t="s">
        <v>1532</v>
      </c>
      <c r="E16592">
        <f>3/138</f>
        <v>2.1739130434782608E-2</v>
      </c>
      <c r="F16592">
        <v>28</v>
      </c>
      <c r="G16592">
        <f>LOG(382/(28+1))</f>
        <v>1.1196653650127526</v>
      </c>
      <c r="H16592">
        <f>0.0217391304347826*2.5781247786201</f>
        <v>5.604619083956737E-2</v>
      </c>
      <c r="I16592">
        <v>5.6046190839567411E-2</v>
      </c>
    </row>
    <row r="16593" spans="1:9" x14ac:dyDescent="0.25">
      <c r="A16593">
        <v>528</v>
      </c>
      <c r="B16593" t="s">
        <v>4269</v>
      </c>
      <c r="C16593" t="s">
        <v>138</v>
      </c>
      <c r="D16593" t="s">
        <v>1533</v>
      </c>
      <c r="E16593">
        <f>3/138</f>
        <v>2.1739130434782608E-2</v>
      </c>
      <c r="F16593">
        <v>33</v>
      </c>
      <c r="G16593">
        <f>LOG(382/(33+1))</f>
        <v>1.0505844458694535</v>
      </c>
      <c r="H16593">
        <f>0.0217391304347826*2.41906008399041</f>
        <v>5.2588262695443679E-2</v>
      </c>
      <c r="I16593">
        <v>5.2588262695443783E-2</v>
      </c>
    </row>
    <row r="16594" spans="1:9" x14ac:dyDescent="0.25">
      <c r="A16594">
        <v>528</v>
      </c>
      <c r="B16594" t="s">
        <v>4269</v>
      </c>
      <c r="C16594" t="s">
        <v>138</v>
      </c>
      <c r="D16594" t="s">
        <v>2424</v>
      </c>
      <c r="E16594">
        <f>2/138</f>
        <v>1.4492753623188406E-2</v>
      </c>
      <c r="F16594">
        <v>9</v>
      </c>
      <c r="G16594">
        <f>LOG(382/(9+1))</f>
        <v>1.5820633629117087</v>
      </c>
      <c r="H16594">
        <f>0.0144927536231884*3.64283551561252</f>
        <v>5.2794717617572734E-2</v>
      </c>
      <c r="I16594">
        <v>5.2794717617572887E-2</v>
      </c>
    </row>
    <row r="16595" spans="1:9" x14ac:dyDescent="0.25">
      <c r="A16595">
        <v>528</v>
      </c>
      <c r="B16595" t="s">
        <v>4269</v>
      </c>
      <c r="C16595" t="s">
        <v>138</v>
      </c>
      <c r="D16595" t="s">
        <v>1537</v>
      </c>
      <c r="E16595">
        <f>3/138</f>
        <v>2.1739130434782608E-2</v>
      </c>
      <c r="F16595">
        <v>80</v>
      </c>
      <c r="G16595">
        <f>LOG(382/(80+1))</f>
        <v>0.67357834403305894</v>
      </c>
      <c r="H16595">
        <f>0.0217391304347826*1.55097145393413</f>
        <v>3.3716770737698465E-2</v>
      </c>
      <c r="I16595">
        <v>3.3716770737698618E-2</v>
      </c>
    </row>
    <row r="16596" spans="1:9" x14ac:dyDescent="0.25">
      <c r="A16596">
        <v>528</v>
      </c>
      <c r="B16596" t="s">
        <v>4269</v>
      </c>
      <c r="C16596" t="s">
        <v>138</v>
      </c>
      <c r="D16596" t="s">
        <v>362</v>
      </c>
      <c r="E16596">
        <f>2/138</f>
        <v>1.4492753623188406E-2</v>
      </c>
      <c r="F16596">
        <v>81</v>
      </c>
      <c r="G16596">
        <f>LOG(382/(81+1))</f>
        <v>0.66824951052799197</v>
      </c>
      <c r="H16596">
        <f>0.0144927536231884*1.53870136134232</f>
        <v>2.2300019729598834E-2</v>
      </c>
      <c r="I16596">
        <v>2.2300019729598872E-2</v>
      </c>
    </row>
    <row r="16597" spans="1:9" x14ac:dyDescent="0.25">
      <c r="A16597">
        <v>528</v>
      </c>
      <c r="B16597" t="s">
        <v>4269</v>
      </c>
      <c r="C16597" t="s">
        <v>138</v>
      </c>
      <c r="D16597" t="s">
        <v>1762</v>
      </c>
      <c r="E16597">
        <f>2/138</f>
        <v>1.4492753623188406E-2</v>
      </c>
      <c r="F16597">
        <v>60</v>
      </c>
      <c r="G16597">
        <f>LOG(382/(60+1))</f>
        <v>0.79673352790094176</v>
      </c>
      <c r="H16597">
        <f>0.0144927536231884*1.83454674443326</f>
        <v>2.6587633977293613E-2</v>
      </c>
      <c r="I16597">
        <v>2.6587633977293679E-2</v>
      </c>
    </row>
    <row r="16598" spans="1:9" x14ac:dyDescent="0.25">
      <c r="A16598">
        <v>528</v>
      </c>
      <c r="B16598" t="s">
        <v>4269</v>
      </c>
      <c r="C16598" t="s">
        <v>138</v>
      </c>
      <c r="D16598" t="s">
        <v>201</v>
      </c>
      <c r="E16598">
        <f>2/138</f>
        <v>1.4492753623188406E-2</v>
      </c>
      <c r="F16598">
        <v>72</v>
      </c>
      <c r="G16598">
        <f>LOG(382/(72+1))</f>
        <v>0.71874050279125279</v>
      </c>
      <c r="H16598">
        <f>0.0144927536231884*1.65496116745818</f>
        <v>2.3984944455915643E-2</v>
      </c>
      <c r="I16598">
        <v>2.3984944455915709E-2</v>
      </c>
    </row>
    <row r="16599" spans="1:9" x14ac:dyDescent="0.25">
      <c r="A16599">
        <v>528</v>
      </c>
      <c r="B16599" t="s">
        <v>4269</v>
      </c>
      <c r="C16599" t="s">
        <v>138</v>
      </c>
      <c r="D16599" t="s">
        <v>243</v>
      </c>
      <c r="E16599">
        <f>2/138</f>
        <v>1.4492753623188406E-2</v>
      </c>
      <c r="F16599">
        <v>131</v>
      </c>
      <c r="G16599">
        <f>LOG(382/(131+1))</f>
        <v>0.46148943170585888</v>
      </c>
      <c r="H16599">
        <f>0.0144927536231884*1.0626186860202</f>
        <v>1.5400270811886952E-2</v>
      </c>
      <c r="I16599">
        <v>1.540027081188702E-2</v>
      </c>
    </row>
    <row r="16600" spans="1:9" x14ac:dyDescent="0.25">
      <c r="A16600">
        <v>528</v>
      </c>
      <c r="B16600" t="s">
        <v>4269</v>
      </c>
      <c r="C16600" t="s">
        <v>138</v>
      </c>
      <c r="D16600" t="s">
        <v>453</v>
      </c>
      <c r="E16600">
        <f>1/138</f>
        <v>7.246376811594203E-3</v>
      </c>
      <c r="F16600">
        <v>68</v>
      </c>
      <c r="G16600">
        <f>LOG(382/(68+1))</f>
        <v>0.74321427217445335</v>
      </c>
      <c r="H16600">
        <f>0.0072463768115942*1.71131410400931</f>
        <v>1.240082684064717E-2</v>
      </c>
      <c r="I16600">
        <v>1.240082684064722E-2</v>
      </c>
    </row>
    <row r="16601" spans="1:9" x14ac:dyDescent="0.25">
      <c r="A16601">
        <v>528</v>
      </c>
      <c r="B16601" t="s">
        <v>4269</v>
      </c>
      <c r="C16601" t="s">
        <v>138</v>
      </c>
      <c r="D16601" t="s">
        <v>455</v>
      </c>
      <c r="E16601">
        <f>1/138</f>
        <v>7.246376811594203E-3</v>
      </c>
      <c r="F16601">
        <v>78</v>
      </c>
      <c r="G16601">
        <f>LOG(382/(78+1))</f>
        <v>0.6844362716212673</v>
      </c>
      <c r="H16601">
        <f>0.0072463768115942*1.57597275613955</f>
        <v>1.1420092435793837E-2</v>
      </c>
      <c r="I16601">
        <v>1.1420092435793869E-2</v>
      </c>
    </row>
    <row r="16602" spans="1:9" x14ac:dyDescent="0.25">
      <c r="A16602">
        <v>528</v>
      </c>
      <c r="B16602" t="s">
        <v>4269</v>
      </c>
      <c r="C16602" t="s">
        <v>138</v>
      </c>
      <c r="D16602" t="s">
        <v>456</v>
      </c>
      <c r="E16602">
        <f>1/138</f>
        <v>7.246376811594203E-3</v>
      </c>
      <c r="F16602">
        <v>71</v>
      </c>
      <c r="G16602">
        <f>LOG(382/(71+1))</f>
        <v>0.72473086648044027</v>
      </c>
      <c r="H16602">
        <f>0.0072463768115942*1.66875448959051</f>
        <v>1.2092423837612387E-2</v>
      </c>
      <c r="I16602">
        <v>1.209242383761246E-2</v>
      </c>
    </row>
    <row r="16603" spans="1:9" x14ac:dyDescent="0.25">
      <c r="A16603">
        <v>528</v>
      </c>
      <c r="B16603" t="s">
        <v>4269</v>
      </c>
      <c r="C16603" t="s">
        <v>138</v>
      </c>
      <c r="D16603" t="s">
        <v>1779</v>
      </c>
      <c r="E16603">
        <f>1/138</f>
        <v>7.246376811594203E-3</v>
      </c>
      <c r="F16603">
        <v>41</v>
      </c>
      <c r="G16603">
        <f>LOG(382/(41+1))</f>
        <v>0.95881407251380824</v>
      </c>
      <c r="H16603">
        <f>0.0072463768115942*2.2077509903232</f>
        <v>1.599819558205217E-2</v>
      </c>
      <c r="I16603">
        <v>1.5998195582052229E-2</v>
      </c>
    </row>
    <row r="16604" spans="1:9" x14ac:dyDescent="0.25">
      <c r="A16604">
        <v>528</v>
      </c>
      <c r="B16604" t="s">
        <v>4269</v>
      </c>
      <c r="C16604" t="s">
        <v>138</v>
      </c>
      <c r="D16604" t="s">
        <v>4274</v>
      </c>
      <c r="E16604">
        <f>1/138</f>
        <v>7.246376811594203E-3</v>
      </c>
      <c r="F16604">
        <v>1</v>
      </c>
      <c r="G16604">
        <f>LOG(382/(1+1))</f>
        <v>2.2810333672477277</v>
      </c>
      <c r="H16604">
        <f>0.0072463768115942*5.25227342804663</f>
        <v>3.8059952377149479E-2</v>
      </c>
      <c r="I16604">
        <v>3.8059952377149493E-2</v>
      </c>
    </row>
    <row r="16605" spans="1:9" x14ac:dyDescent="0.25">
      <c r="A16605">
        <v>528</v>
      </c>
      <c r="B16605" t="s">
        <v>4269</v>
      </c>
      <c r="C16605" t="s">
        <v>138</v>
      </c>
      <c r="D16605" t="s">
        <v>133</v>
      </c>
      <c r="E16605">
        <f>2/138</f>
        <v>1.4492753623188406E-2</v>
      </c>
      <c r="F16605">
        <v>142</v>
      </c>
      <c r="G16605">
        <f>LOG(382/(142+1))</f>
        <v>0.42672732544664693</v>
      </c>
      <c r="H16605">
        <f>0.0144927536231884*0.982575978346667</f>
        <v>1.4240231570241546E-2</v>
      </c>
      <c r="I16605">
        <v>1.424023157024156E-2</v>
      </c>
    </row>
    <row r="16606" spans="1:9" x14ac:dyDescent="0.25">
      <c r="A16606">
        <v>528</v>
      </c>
      <c r="B16606" t="s">
        <v>4269</v>
      </c>
      <c r="C16606" t="s">
        <v>138</v>
      </c>
      <c r="D16606" t="s">
        <v>81</v>
      </c>
      <c r="E16606">
        <f>3/138</f>
        <v>2.1739130434782608E-2</v>
      </c>
      <c r="F16606">
        <v>114</v>
      </c>
      <c r="G16606">
        <f>LOG(382/(114+1))</f>
        <v>0.52136552255809698</v>
      </c>
      <c r="H16606">
        <f>0.0217391304347826*1.20048848024332</f>
        <v>2.609757565746347E-2</v>
      </c>
      <c r="I16606">
        <v>2.6097575657463588E-2</v>
      </c>
    </row>
    <row r="16607" spans="1:9" x14ac:dyDescent="0.25">
      <c r="A16607">
        <v>528</v>
      </c>
      <c r="B16607" t="s">
        <v>4269</v>
      </c>
      <c r="C16607" t="s">
        <v>138</v>
      </c>
      <c r="D16607" t="s">
        <v>324</v>
      </c>
      <c r="E16607">
        <f>4/138</f>
        <v>2.8985507246376812E-2</v>
      </c>
      <c r="F16607">
        <v>82</v>
      </c>
      <c r="G16607">
        <f>LOG(382/(82+1))</f>
        <v>0.66298527053563483</v>
      </c>
      <c r="H16607">
        <f>0.0289855072463768*1.52658000080997</f>
        <v>4.4248695675651289E-2</v>
      </c>
      <c r="I16607">
        <v>4.4248695675651512E-2</v>
      </c>
    </row>
    <row r="16608" spans="1:9" x14ac:dyDescent="0.25">
      <c r="A16608">
        <v>528</v>
      </c>
      <c r="B16608" t="s">
        <v>4269</v>
      </c>
      <c r="C16608" t="s">
        <v>138</v>
      </c>
      <c r="D16608" t="s">
        <v>746</v>
      </c>
      <c r="E16608">
        <f>1/138</f>
        <v>7.246376811594203E-3</v>
      </c>
      <c r="F16608">
        <v>58</v>
      </c>
      <c r="G16608">
        <f>LOG(382/(58+1))</f>
        <v>0.81121135126956456</v>
      </c>
      <c r="H16608">
        <f>0.0072463768115942*1.86788316470085</f>
        <v>1.353538525145543E-2</v>
      </c>
      <c r="I16608">
        <v>1.353538525145547E-2</v>
      </c>
    </row>
    <row r="16609" spans="1:9" x14ac:dyDescent="0.25">
      <c r="A16609">
        <v>528</v>
      </c>
      <c r="B16609" t="s">
        <v>4269</v>
      </c>
      <c r="C16609" t="s">
        <v>138</v>
      </c>
      <c r="D16609" t="s">
        <v>2238</v>
      </c>
      <c r="E16609">
        <f>1/138</f>
        <v>7.246376811594203E-3</v>
      </c>
      <c r="F16609">
        <v>68</v>
      </c>
      <c r="G16609">
        <f>LOG(382/(68+1))</f>
        <v>0.74321427217445335</v>
      </c>
      <c r="H16609">
        <f>0.0072463768115942*1.71131410400931</f>
        <v>1.240082684064717E-2</v>
      </c>
      <c r="I16609">
        <v>1.240082684064722E-2</v>
      </c>
    </row>
    <row r="16610" spans="1:9" x14ac:dyDescent="0.25">
      <c r="A16610">
        <v>528</v>
      </c>
      <c r="B16610" t="s">
        <v>4269</v>
      </c>
      <c r="C16610" t="s">
        <v>138</v>
      </c>
      <c r="D16610" t="s">
        <v>1773</v>
      </c>
      <c r="E16610">
        <f>1/138</f>
        <v>7.246376811594203E-3</v>
      </c>
      <c r="F16610">
        <v>24</v>
      </c>
      <c r="G16610">
        <f>LOG(382/(24+1))</f>
        <v>1.1841233542396712</v>
      </c>
      <c r="H16610">
        <f>0.0072463768115942*2.72654478373837</f>
        <v>1.9757570896654846E-2</v>
      </c>
      <c r="I16610">
        <v>1.9757570896654891E-2</v>
      </c>
    </row>
    <row r="16611" spans="1:9" x14ac:dyDescent="0.25">
      <c r="A16611">
        <v>528</v>
      </c>
      <c r="B16611" t="s">
        <v>4269</v>
      </c>
      <c r="C16611" t="s">
        <v>138</v>
      </c>
      <c r="D16611" t="s">
        <v>447</v>
      </c>
      <c r="E16611">
        <f>2/138</f>
        <v>1.4492753623188406E-2</v>
      </c>
      <c r="F16611">
        <v>37</v>
      </c>
      <c r="G16611">
        <f>LOG(382/(37+1))</f>
        <v>1.0022797662948986</v>
      </c>
      <c r="H16611">
        <f>0.0144927536231884*2.30783444888018</f>
        <v>3.344687607072723E-2</v>
      </c>
      <c r="I16611">
        <v>3.3446876070727383E-2</v>
      </c>
    </row>
    <row r="16612" spans="1:9" x14ac:dyDescent="0.25">
      <c r="A16612">
        <v>528</v>
      </c>
      <c r="B16612" t="s">
        <v>4269</v>
      </c>
      <c r="C16612" t="s">
        <v>138</v>
      </c>
      <c r="D16612" t="s">
        <v>339</v>
      </c>
      <c r="E16612">
        <f>1/138</f>
        <v>7.246376811594203E-3</v>
      </c>
      <c r="F16612">
        <v>66</v>
      </c>
      <c r="G16612">
        <f>LOG(382/(66+1))</f>
        <v>0.75598856021088234</v>
      </c>
      <c r="H16612">
        <f>0.0072463768115942*1.7407279892156</f>
        <v>1.2613970936344924E-2</v>
      </c>
      <c r="I16612">
        <v>1.261397093634499E-2</v>
      </c>
    </row>
    <row r="16613" spans="1:9" x14ac:dyDescent="0.25">
      <c r="A16613">
        <v>528</v>
      </c>
      <c r="B16613" t="s">
        <v>4269</v>
      </c>
      <c r="C16613" t="s">
        <v>138</v>
      </c>
      <c r="D16613" t="s">
        <v>3944</v>
      </c>
      <c r="E16613">
        <f>1/138</f>
        <v>7.246376811594203E-3</v>
      </c>
      <c r="F16613">
        <v>6</v>
      </c>
      <c r="G16613">
        <f>LOG(382/(6+1))</f>
        <v>1.736965322897452</v>
      </c>
      <c r="H16613">
        <f>0.0072463768115942*3.99951045955126</f>
        <v>2.8981959851820716E-2</v>
      </c>
      <c r="I16613">
        <v>2.8981959851820741E-2</v>
      </c>
    </row>
    <row r="16614" spans="1:9" x14ac:dyDescent="0.25">
      <c r="A16614">
        <v>528</v>
      </c>
      <c r="B16614" t="s">
        <v>4269</v>
      </c>
      <c r="C16614" t="s">
        <v>138</v>
      </c>
      <c r="D16614" t="s">
        <v>1073</v>
      </c>
      <c r="E16614">
        <f>1/138</f>
        <v>7.246376811594203E-3</v>
      </c>
      <c r="F16614">
        <v>25</v>
      </c>
      <c r="G16614">
        <f>LOG(382/(25+1))</f>
        <v>1.1670900149408907</v>
      </c>
      <c r="H16614">
        <f>0.0072463768115942*2.68732407058509</f>
        <v>1.9473362830326732E-2</v>
      </c>
      <c r="I16614">
        <v>1.947336283032676E-2</v>
      </c>
    </row>
    <row r="16615" spans="1:9" x14ac:dyDescent="0.25">
      <c r="A16615">
        <v>528</v>
      </c>
      <c r="B16615" t="s">
        <v>4269</v>
      </c>
      <c r="C16615" t="s">
        <v>138</v>
      </c>
      <c r="D16615" t="s">
        <v>1397</v>
      </c>
      <c r="E16615">
        <f>1/138</f>
        <v>7.246376811594203E-3</v>
      </c>
      <c r="F16615">
        <v>29</v>
      </c>
      <c r="G16615">
        <f>LOG(382/(29+1))</f>
        <v>1.1049421081920463</v>
      </c>
      <c r="H16615">
        <f>0.0072463768115942*2.54422322694442</f>
        <v>1.8436400195249412E-2</v>
      </c>
      <c r="I16615">
        <v>1.8436400195249419E-2</v>
      </c>
    </row>
    <row r="16616" spans="1:9" x14ac:dyDescent="0.25">
      <c r="A16616">
        <v>528</v>
      </c>
      <c r="B16616" t="s">
        <v>4269</v>
      </c>
      <c r="C16616" t="s">
        <v>138</v>
      </c>
      <c r="D16616" t="s">
        <v>1222</v>
      </c>
      <c r="E16616">
        <f>2/138</f>
        <v>1.4492753623188406E-2</v>
      </c>
      <c r="F16616">
        <v>56</v>
      </c>
      <c r="G16616">
        <f>LOG(382/(56+1))</f>
        <v>0.82618850723921733</v>
      </c>
      <c r="H16616">
        <f>0.0144927536231884*1.90236934077202</f>
        <v>2.757057015611622E-2</v>
      </c>
      <c r="I16616">
        <v>2.757057015611631E-2</v>
      </c>
    </row>
    <row r="16617" spans="1:9" x14ac:dyDescent="0.25">
      <c r="A16617">
        <v>528</v>
      </c>
      <c r="B16617" t="s">
        <v>4269</v>
      </c>
      <c r="C16617" t="s">
        <v>138</v>
      </c>
      <c r="D16617" t="s">
        <v>388</v>
      </c>
      <c r="E16617">
        <f>1/138</f>
        <v>7.246376811594203E-3</v>
      </c>
      <c r="F16617">
        <v>44</v>
      </c>
      <c r="G16617">
        <f>LOG(382/(44+1))</f>
        <v>0.92885084913636506</v>
      </c>
      <c r="H16617">
        <f>0.0072463768115942*2.13875811883625</f>
        <v>1.5498247237943834E-2</v>
      </c>
      <c r="I16617">
        <v>1.549824723794388E-2</v>
      </c>
    </row>
    <row r="16618" spans="1:9" x14ac:dyDescent="0.25">
      <c r="A16618">
        <v>528</v>
      </c>
      <c r="B16618" t="s">
        <v>4269</v>
      </c>
      <c r="C16618" t="s">
        <v>138</v>
      </c>
      <c r="D16618" t="s">
        <v>596</v>
      </c>
      <c r="E16618">
        <f>2/138</f>
        <v>1.4492753623188406E-2</v>
      </c>
      <c r="F16618">
        <v>60</v>
      </c>
      <c r="G16618">
        <f>LOG(382/(60+1))</f>
        <v>0.79673352790094176</v>
      </c>
      <c r="H16618">
        <f>0.0144927536231884*1.83454674443326</f>
        <v>2.6587633977293613E-2</v>
      </c>
      <c r="I16618">
        <v>2.6587633977293679E-2</v>
      </c>
    </row>
    <row r="16619" spans="1:9" x14ac:dyDescent="0.25">
      <c r="A16619">
        <v>528</v>
      </c>
      <c r="B16619" t="s">
        <v>4269</v>
      </c>
      <c r="C16619" t="s">
        <v>138</v>
      </c>
      <c r="D16619" t="s">
        <v>597</v>
      </c>
      <c r="E16619">
        <f>1/138</f>
        <v>7.246376811594203E-3</v>
      </c>
      <c r="F16619">
        <v>51</v>
      </c>
      <c r="G16619">
        <f>LOG(382/(51+1))</f>
        <v>0.86606001927690957</v>
      </c>
      <c r="H16619">
        <f>0.0072463768115942*1.99417689002514</f>
        <v>1.4450557174095211E-2</v>
      </c>
      <c r="I16619">
        <v>1.445055717409527E-2</v>
      </c>
    </row>
    <row r="16620" spans="1:9" x14ac:dyDescent="0.25">
      <c r="A16620">
        <v>528</v>
      </c>
      <c r="B16620" t="s">
        <v>4269</v>
      </c>
      <c r="C16620" t="s">
        <v>138</v>
      </c>
      <c r="D16620" t="s">
        <v>762</v>
      </c>
      <c r="E16620">
        <f>3/138</f>
        <v>2.1739130434782608E-2</v>
      </c>
      <c r="F16620">
        <v>29</v>
      </c>
      <c r="G16620">
        <f>LOG(382/(29+1))</f>
        <v>1.1049421081920463</v>
      </c>
      <c r="H16620">
        <f>0.0217391304347826*2.54422322694442</f>
        <v>5.5309200585748237E-2</v>
      </c>
      <c r="I16620">
        <v>5.5309200585748258E-2</v>
      </c>
    </row>
    <row r="16621" spans="1:9" x14ac:dyDescent="0.25">
      <c r="A16621">
        <v>528</v>
      </c>
      <c r="B16621" t="s">
        <v>4269</v>
      </c>
      <c r="C16621" t="s">
        <v>138</v>
      </c>
      <c r="D16621" t="s">
        <v>3015</v>
      </c>
      <c r="E16621">
        <f t="shared" ref="E16621:E16628" si="781">1/138</f>
        <v>7.246376811594203E-3</v>
      </c>
      <c r="F16621">
        <v>9</v>
      </c>
      <c r="G16621">
        <f>LOG(382/(9+1))</f>
        <v>1.5820633629117087</v>
      </c>
      <c r="H16621">
        <f>0.0072463768115942*3.64283551561252</f>
        <v>2.6397358808786367E-2</v>
      </c>
      <c r="I16621">
        <v>2.639735880878645E-2</v>
      </c>
    </row>
    <row r="16622" spans="1:9" x14ac:dyDescent="0.25">
      <c r="A16622">
        <v>528</v>
      </c>
      <c r="B16622" t="s">
        <v>4269</v>
      </c>
      <c r="C16622" t="s">
        <v>138</v>
      </c>
      <c r="D16622" t="s">
        <v>4275</v>
      </c>
      <c r="E16622">
        <f t="shared" si="781"/>
        <v>7.246376811594203E-3</v>
      </c>
      <c r="F16622">
        <v>3</v>
      </c>
      <c r="G16622">
        <f>LOG(382/(3+1))</f>
        <v>1.9800033715837464</v>
      </c>
      <c r="H16622">
        <f>0.0072463768115942*4.55912624748668</f>
        <v>3.3037146720917961E-2</v>
      </c>
      <c r="I16622">
        <v>3.3037146720918002E-2</v>
      </c>
    </row>
    <row r="16623" spans="1:9" x14ac:dyDescent="0.25">
      <c r="A16623">
        <v>528</v>
      </c>
      <c r="B16623" t="s">
        <v>4269</v>
      </c>
      <c r="C16623" t="s">
        <v>138</v>
      </c>
      <c r="D16623" t="s">
        <v>4276</v>
      </c>
      <c r="E16623">
        <f t="shared" si="781"/>
        <v>7.246376811594203E-3</v>
      </c>
      <c r="F16623">
        <v>8</v>
      </c>
      <c r="G16623">
        <f>LOG(382/(8+1))</f>
        <v>1.6278208534723839</v>
      </c>
      <c r="H16623">
        <f>0.0072463768115942*3.74819603127035</f>
        <v>2.7160840806306874E-2</v>
      </c>
      <c r="I16623">
        <v>2.716084080630693E-2</v>
      </c>
    </row>
    <row r="16624" spans="1:9" x14ac:dyDescent="0.25">
      <c r="A16624">
        <v>528</v>
      </c>
      <c r="B16624" t="s">
        <v>4269</v>
      </c>
      <c r="C16624" t="s">
        <v>138</v>
      </c>
      <c r="D16624" t="s">
        <v>142</v>
      </c>
      <c r="E16624">
        <f t="shared" si="781"/>
        <v>7.246376811594203E-3</v>
      </c>
      <c r="F16624">
        <v>4</v>
      </c>
      <c r="G16624">
        <f>LOG(382/(4+1))</f>
        <v>1.8830933585756899</v>
      </c>
      <c r="H16624">
        <f>0.0072463768115942*4.33598269617247</f>
        <v>3.1420164465017893E-2</v>
      </c>
      <c r="I16624">
        <v>3.1420164465017927E-2</v>
      </c>
    </row>
    <row r="16625" spans="1:9" x14ac:dyDescent="0.25">
      <c r="A16625">
        <v>528</v>
      </c>
      <c r="B16625" t="s">
        <v>4269</v>
      </c>
      <c r="C16625" t="s">
        <v>138</v>
      </c>
      <c r="D16625" t="s">
        <v>1708</v>
      </c>
      <c r="E16625">
        <f t="shared" si="781"/>
        <v>7.246376811594203E-3</v>
      </c>
      <c r="F16625">
        <v>7</v>
      </c>
      <c r="G16625">
        <f>LOG(382/(7+1))</f>
        <v>1.6789733759197651</v>
      </c>
      <c r="H16625">
        <f>0.0072463768115942*3.86597906692673</f>
        <v>2.8014341064686442E-2</v>
      </c>
      <c r="I16625">
        <v>2.8014341064686511E-2</v>
      </c>
    </row>
    <row r="16626" spans="1:9" x14ac:dyDescent="0.25">
      <c r="A16626">
        <v>528</v>
      </c>
      <c r="B16626" t="s">
        <v>4269</v>
      </c>
      <c r="C16626" t="s">
        <v>138</v>
      </c>
      <c r="D16626" t="s">
        <v>1453</v>
      </c>
      <c r="E16626">
        <f t="shared" si="781"/>
        <v>7.246376811594203E-3</v>
      </c>
      <c r="F16626">
        <v>23</v>
      </c>
      <c r="G16626">
        <f>LOG(382/(23+1))</f>
        <v>1.2018521212001028</v>
      </c>
      <c r="H16626">
        <f>0.0072463768115942*2.76736677825862</f>
        <v>2.0053382451149415E-2</v>
      </c>
      <c r="I16626">
        <v>2.0053382451149491E-2</v>
      </c>
    </row>
    <row r="16627" spans="1:9" x14ac:dyDescent="0.25">
      <c r="A16627">
        <v>528</v>
      </c>
      <c r="B16627" t="s">
        <v>4269</v>
      </c>
      <c r="C16627" t="s">
        <v>138</v>
      </c>
      <c r="D16627" t="s">
        <v>755</v>
      </c>
      <c r="E16627">
        <f t="shared" si="781"/>
        <v>7.246376811594203E-3</v>
      </c>
      <c r="F16627">
        <v>19</v>
      </c>
      <c r="G16627">
        <f>LOG(382/(19+1))</f>
        <v>1.2810333672477277</v>
      </c>
      <c r="H16627">
        <f>0.0072463768115942*2.94968833505258</f>
        <v>2.1374553152554921E-2</v>
      </c>
      <c r="I16627">
        <v>2.1374553152554959E-2</v>
      </c>
    </row>
    <row r="16628" spans="1:9" x14ac:dyDescent="0.25">
      <c r="A16628">
        <v>528</v>
      </c>
      <c r="B16628" t="s">
        <v>4269</v>
      </c>
      <c r="C16628" t="s">
        <v>138</v>
      </c>
      <c r="D16628" t="s">
        <v>4277</v>
      </c>
      <c r="E16628">
        <f t="shared" si="781"/>
        <v>7.246376811594203E-3</v>
      </c>
      <c r="F16628">
        <v>1</v>
      </c>
      <c r="G16628">
        <f>LOG(382/(1+1))</f>
        <v>2.2810333672477277</v>
      </c>
      <c r="H16628">
        <f>0.0072463768115942*5.25227342804663</f>
        <v>3.8059952377149479E-2</v>
      </c>
      <c r="I16628">
        <v>3.8059952377149493E-2</v>
      </c>
    </row>
    <row r="16629" spans="1:9" x14ac:dyDescent="0.25">
      <c r="A16629">
        <v>528</v>
      </c>
      <c r="B16629" t="s">
        <v>4269</v>
      </c>
      <c r="C16629" t="s">
        <v>138</v>
      </c>
      <c r="D16629" t="s">
        <v>144</v>
      </c>
      <c r="E16629">
        <f>2/138</f>
        <v>1.4492753623188406E-2</v>
      </c>
      <c r="F16629">
        <v>105</v>
      </c>
      <c r="G16629">
        <f>LOG(382/(105+1))</f>
        <v>0.55675749764693849</v>
      </c>
      <c r="H16629">
        <f>0.0144927536231884*1.2819815144945</f>
        <v>1.8579442239050718E-2</v>
      </c>
      <c r="I16629">
        <v>1.857944223905084E-2</v>
      </c>
    </row>
    <row r="16630" spans="1:9" x14ac:dyDescent="0.25">
      <c r="A16630">
        <v>528</v>
      </c>
      <c r="B16630" t="s">
        <v>4269</v>
      </c>
      <c r="C16630" t="s">
        <v>138</v>
      </c>
      <c r="D16630" t="s">
        <v>758</v>
      </c>
      <c r="E16630">
        <f t="shared" ref="E16630:E16638" si="782">1/138</f>
        <v>7.246376811594203E-3</v>
      </c>
      <c r="F16630">
        <v>26</v>
      </c>
      <c r="G16630">
        <f>LOG(382/(26+1))</f>
        <v>1.1506995987527215</v>
      </c>
      <c r="H16630">
        <f>0.0072463768115942*2.64958374260224</f>
        <v>1.9199882192769847E-2</v>
      </c>
      <c r="I16630">
        <v>1.9199882192769899E-2</v>
      </c>
    </row>
    <row r="16631" spans="1:9" x14ac:dyDescent="0.25">
      <c r="A16631">
        <v>528</v>
      </c>
      <c r="B16631" t="s">
        <v>4269</v>
      </c>
      <c r="C16631" t="s">
        <v>138</v>
      </c>
      <c r="D16631" t="s">
        <v>830</v>
      </c>
      <c r="E16631">
        <f t="shared" si="782"/>
        <v>7.246376811594203E-3</v>
      </c>
      <c r="F16631">
        <v>19</v>
      </c>
      <c r="G16631">
        <f>LOG(382/(19+1))</f>
        <v>1.2810333672477277</v>
      </c>
      <c r="H16631">
        <f>0.0072463768115942*2.94968833505258</f>
        <v>2.1374553152554921E-2</v>
      </c>
      <c r="I16631">
        <v>2.1374553152554959E-2</v>
      </c>
    </row>
    <row r="16632" spans="1:9" x14ac:dyDescent="0.25">
      <c r="A16632">
        <v>528</v>
      </c>
      <c r="B16632" t="s">
        <v>4269</v>
      </c>
      <c r="C16632" t="s">
        <v>138</v>
      </c>
      <c r="D16632" t="s">
        <v>1407</v>
      </c>
      <c r="E16632">
        <f t="shared" si="782"/>
        <v>7.246376811594203E-3</v>
      </c>
      <c r="F16632">
        <v>16</v>
      </c>
      <c r="G16632">
        <f>LOG(382/(16+1))</f>
        <v>1.3516144415334348</v>
      </c>
      <c r="H16632">
        <f>0.0072463768115942*3.11220726455035</f>
        <v>2.2552226554712673E-2</v>
      </c>
      <c r="I16632">
        <v>2.255222655471275E-2</v>
      </c>
    </row>
    <row r="16633" spans="1:9" x14ac:dyDescent="0.25">
      <c r="A16633">
        <v>528</v>
      </c>
      <c r="B16633" t="s">
        <v>4269</v>
      </c>
      <c r="C16633" t="s">
        <v>138</v>
      </c>
      <c r="D16633" t="s">
        <v>40</v>
      </c>
      <c r="E16633">
        <f t="shared" si="782"/>
        <v>7.246376811594203E-3</v>
      </c>
      <c r="F16633">
        <v>159</v>
      </c>
      <c r="G16633">
        <f>LOG(382/(159+1))</f>
        <v>0.377943380255784</v>
      </c>
      <c r="H16633">
        <f>0.0072463768115942*0.870246793372748</f>
        <v>6.3061361838604906E-3</v>
      </c>
      <c r="I16633">
        <v>6.3061361838604958E-3</v>
      </c>
    </row>
    <row r="16634" spans="1:9" x14ac:dyDescent="0.25">
      <c r="A16634">
        <v>528</v>
      </c>
      <c r="B16634" t="s">
        <v>4269</v>
      </c>
      <c r="C16634" t="s">
        <v>138</v>
      </c>
      <c r="D16634" t="s">
        <v>41</v>
      </c>
      <c r="E16634">
        <f t="shared" si="782"/>
        <v>7.246376811594203E-3</v>
      </c>
      <c r="F16634">
        <v>195</v>
      </c>
      <c r="G16634">
        <f>LOG(382/(195+1))</f>
        <v>0.28980729155523272</v>
      </c>
      <c r="H16634">
        <f>0.0072463768115942*0.667305949376058</f>
        <v>4.83555035779752E-3</v>
      </c>
      <c r="I16634">
        <v>4.8355503577975217E-3</v>
      </c>
    </row>
    <row r="16635" spans="1:9" x14ac:dyDescent="0.25">
      <c r="A16635">
        <v>528</v>
      </c>
      <c r="B16635" t="s">
        <v>4269</v>
      </c>
      <c r="C16635" t="s">
        <v>138</v>
      </c>
      <c r="D16635" t="s">
        <v>247</v>
      </c>
      <c r="E16635">
        <f t="shared" si="782"/>
        <v>7.246376811594203E-3</v>
      </c>
      <c r="F16635">
        <v>121</v>
      </c>
      <c r="G16635">
        <f>LOG(382/(121+1))</f>
        <v>0.49570353223696051</v>
      </c>
      <c r="H16635">
        <f>0.0072463768115942*1.14139956387331</f>
        <v>8.271011332415288E-3</v>
      </c>
      <c r="I16635">
        <v>8.2710113324153539E-3</v>
      </c>
    </row>
    <row r="16636" spans="1:9" x14ac:dyDescent="0.25">
      <c r="A16636">
        <v>528</v>
      </c>
      <c r="B16636" t="s">
        <v>4269</v>
      </c>
      <c r="C16636" t="s">
        <v>138</v>
      </c>
      <c r="D16636" t="s">
        <v>39</v>
      </c>
      <c r="E16636">
        <f t="shared" si="782"/>
        <v>7.246376811594203E-3</v>
      </c>
      <c r="F16636">
        <v>145</v>
      </c>
      <c r="G16636">
        <f>LOG(382/(145+1))</f>
        <v>0.41771050712727159</v>
      </c>
      <c r="H16636">
        <f>0.0072463768115942*0.961813986898238</f>
        <v>6.9696665717263601E-3</v>
      </c>
      <c r="I16636">
        <v>6.9696665717263679E-3</v>
      </c>
    </row>
    <row r="16637" spans="1:9" x14ac:dyDescent="0.25">
      <c r="A16637">
        <v>528</v>
      </c>
      <c r="B16637" t="s">
        <v>4269</v>
      </c>
      <c r="C16637" t="s">
        <v>138</v>
      </c>
      <c r="D16637" t="s">
        <v>22</v>
      </c>
      <c r="E16637">
        <f t="shared" si="782"/>
        <v>7.246376811594203E-3</v>
      </c>
      <c r="F16637">
        <v>259</v>
      </c>
      <c r="G16637">
        <f>LOG(382/(259+1))</f>
        <v>0.16709001494089079</v>
      </c>
      <c r="H16637">
        <f>0.0072463768115942*0.384738977591047</f>
        <v>2.787963605732224E-3</v>
      </c>
      <c r="I16637">
        <v>2.7879636057322279E-3</v>
      </c>
    </row>
    <row r="16638" spans="1:9" x14ac:dyDescent="0.25">
      <c r="A16638">
        <v>528</v>
      </c>
      <c r="B16638" t="s">
        <v>4269</v>
      </c>
      <c r="C16638" t="s">
        <v>138</v>
      </c>
      <c r="D16638" t="s">
        <v>23</v>
      </c>
      <c r="E16638">
        <f t="shared" si="782"/>
        <v>7.246376811594203E-3</v>
      </c>
      <c r="F16638">
        <v>275</v>
      </c>
      <c r="G16638">
        <f>LOG(382/(275+1))</f>
        <v>0.14115428084649101</v>
      </c>
      <c r="H16638">
        <f>0.0072463768115942*0.325019742889425</f>
        <v>2.355215528184238E-3</v>
      </c>
      <c r="I16638">
        <v>2.3552155281842402E-3</v>
      </c>
    </row>
    <row r="16639" spans="1:9" x14ac:dyDescent="0.25">
      <c r="A16639">
        <v>528</v>
      </c>
      <c r="B16639" t="s">
        <v>4269</v>
      </c>
      <c r="C16639" t="s">
        <v>138</v>
      </c>
      <c r="D16639" t="s">
        <v>361</v>
      </c>
      <c r="E16639">
        <f>3/138</f>
        <v>2.1739130434782608E-2</v>
      </c>
      <c r="F16639">
        <v>118</v>
      </c>
      <c r="G16639">
        <f>LOG(382/(118+1))</f>
        <v>0.50651640151917798</v>
      </c>
      <c r="H16639">
        <f>0.0217391304347826*1.16629711549504</f>
        <v>2.5354285119457379E-2</v>
      </c>
      <c r="I16639">
        <v>2.5354285119457521E-2</v>
      </c>
    </row>
    <row r="16640" spans="1:9" x14ac:dyDescent="0.25">
      <c r="A16640">
        <v>528</v>
      </c>
      <c r="B16640" t="s">
        <v>4269</v>
      </c>
      <c r="C16640" t="s">
        <v>138</v>
      </c>
      <c r="D16640" t="s">
        <v>434</v>
      </c>
      <c r="E16640">
        <f>3/138</f>
        <v>2.1739130434782608E-2</v>
      </c>
      <c r="F16640">
        <v>97</v>
      </c>
      <c r="G16640">
        <f>LOG(382/(97+1))</f>
        <v>0.59083728721921391</v>
      </c>
      <c r="H16640">
        <f>0.0217391304347826*1.360453129936</f>
        <v>2.9575068042086948E-2</v>
      </c>
      <c r="I16640">
        <v>2.9575068042087021E-2</v>
      </c>
    </row>
    <row r="16641" spans="1:9" x14ac:dyDescent="0.25">
      <c r="A16641">
        <v>528</v>
      </c>
      <c r="B16641" t="s">
        <v>4269</v>
      </c>
      <c r="C16641" t="s">
        <v>138</v>
      </c>
      <c r="D16641" t="s">
        <v>379</v>
      </c>
      <c r="E16641">
        <f>1/138</f>
        <v>7.246376811594203E-3</v>
      </c>
      <c r="F16641">
        <v>17</v>
      </c>
      <c r="G16641">
        <f>LOG(382/(17+1))</f>
        <v>1.3267908578084027</v>
      </c>
      <c r="H16641">
        <f>0.0072463768115942*3.05504885071041</f>
        <v>2.2138035150075425E-2</v>
      </c>
      <c r="I16641">
        <v>2.2138035150075439E-2</v>
      </c>
    </row>
    <row r="16642" spans="1:9" x14ac:dyDescent="0.25">
      <c r="A16642">
        <v>528</v>
      </c>
      <c r="B16642" t="s">
        <v>4269</v>
      </c>
      <c r="C16642" t="s">
        <v>138</v>
      </c>
      <c r="D16642" t="s">
        <v>438</v>
      </c>
      <c r="E16642">
        <f>2/138</f>
        <v>1.4492753623188406E-2</v>
      </c>
      <c r="F16642">
        <v>37</v>
      </c>
      <c r="G16642">
        <f>LOG(382/(37+1))</f>
        <v>1.0022797662948986</v>
      </c>
      <c r="H16642">
        <f>0.0144927536231884*2.30783444888018</f>
        <v>3.344687607072723E-2</v>
      </c>
      <c r="I16642">
        <v>3.3446876070727383E-2</v>
      </c>
    </row>
    <row r="16643" spans="1:9" x14ac:dyDescent="0.25">
      <c r="A16643">
        <v>528</v>
      </c>
      <c r="B16643" t="s">
        <v>4269</v>
      </c>
      <c r="C16643" t="s">
        <v>138</v>
      </c>
      <c r="D16643" t="s">
        <v>307</v>
      </c>
      <c r="E16643">
        <f>1/138</f>
        <v>7.246376811594203E-3</v>
      </c>
      <c r="F16643">
        <v>67</v>
      </c>
      <c r="G16643">
        <f>LOG(382/(67+1))</f>
        <v>0.7495544502054724</v>
      </c>
      <c r="H16643">
        <f>0.0072463768115942*1.72591290343046</f>
        <v>1.2506615242249707E-2</v>
      </c>
      <c r="I16643">
        <v>1.2506615242249769E-2</v>
      </c>
    </row>
    <row r="16644" spans="1:9" x14ac:dyDescent="0.25">
      <c r="A16644">
        <v>528</v>
      </c>
      <c r="B16644" t="s">
        <v>4269</v>
      </c>
      <c r="C16644" t="s">
        <v>138</v>
      </c>
      <c r="D16644" t="s">
        <v>218</v>
      </c>
      <c r="E16644">
        <f>1/138</f>
        <v>7.246376811594203E-3</v>
      </c>
      <c r="F16644">
        <v>35</v>
      </c>
      <c r="G16644">
        <f>LOG(382/(35+1))</f>
        <v>1.0257608621444214</v>
      </c>
      <c r="H16644">
        <f>0.0072463768115942*2.36190167015046</f>
        <v>1.7115229493843906E-2</v>
      </c>
      <c r="I16644">
        <v>1.7115229493843951E-2</v>
      </c>
    </row>
    <row r="16645" spans="1:9" x14ac:dyDescent="0.25">
      <c r="A16645">
        <v>528</v>
      </c>
      <c r="B16645" t="s">
        <v>4269</v>
      </c>
      <c r="C16645" t="s">
        <v>138</v>
      </c>
      <c r="D16645" t="s">
        <v>770</v>
      </c>
      <c r="E16645">
        <f>1/138</f>
        <v>7.246376811594203E-3</v>
      </c>
      <c r="F16645">
        <v>47</v>
      </c>
      <c r="G16645">
        <f>LOG(382/(47+1))</f>
        <v>0.90082212553612151</v>
      </c>
      <c r="H16645">
        <f>0.0072463768115942*2.07421959769868</f>
        <v>1.5030576794917967E-2</v>
      </c>
      <c r="I16645">
        <v>1.5030576794918E-2</v>
      </c>
    </row>
    <row r="16646" spans="1:9" x14ac:dyDescent="0.25">
      <c r="A16646">
        <v>528</v>
      </c>
      <c r="B16646" t="s">
        <v>4269</v>
      </c>
      <c r="C16646" t="s">
        <v>138</v>
      </c>
      <c r="D16646" t="s">
        <v>772</v>
      </c>
      <c r="E16646">
        <f>2/138</f>
        <v>1.4492753623188406E-2</v>
      </c>
      <c r="F16646">
        <v>31</v>
      </c>
      <c r="G16646">
        <f>LOG(382/(31+1))</f>
        <v>1.0769133845918029</v>
      </c>
      <c r="H16646">
        <f>0.0144927536231884*2.47968470580684</f>
        <v>3.5937459504446941E-2</v>
      </c>
      <c r="I16646">
        <v>3.5937459504447093E-2</v>
      </c>
    </row>
    <row r="16647" spans="1:9" x14ac:dyDescent="0.25">
      <c r="A16647">
        <v>528</v>
      </c>
      <c r="B16647" t="s">
        <v>4269</v>
      </c>
      <c r="C16647" t="s">
        <v>138</v>
      </c>
      <c r="D16647" t="s">
        <v>3334</v>
      </c>
      <c r="E16647">
        <f>1/138</f>
        <v>7.246376811594203E-3</v>
      </c>
      <c r="F16647">
        <v>12</v>
      </c>
      <c r="G16647">
        <f>LOG(382/(12+1))</f>
        <v>1.468120010604872</v>
      </c>
      <c r="H16647">
        <f>0.0072463768115942*3.38047125114503</f>
        <v>2.4496168486558181E-2</v>
      </c>
      <c r="I16647">
        <v>2.4496168486558251E-2</v>
      </c>
    </row>
    <row r="16648" spans="1:9" x14ac:dyDescent="0.25">
      <c r="A16648">
        <v>528</v>
      </c>
      <c r="B16648" t="s">
        <v>4269</v>
      </c>
      <c r="C16648" t="s">
        <v>138</v>
      </c>
      <c r="D16648" t="s">
        <v>239</v>
      </c>
      <c r="E16648">
        <f>1/138</f>
        <v>7.246376811594203E-3</v>
      </c>
      <c r="F16648">
        <v>40</v>
      </c>
      <c r="G16648">
        <f>LOG(382/(40+1))</f>
        <v>0.96927950619197323</v>
      </c>
      <c r="H16648">
        <f>0.0072463768115942*2.23184854190226</f>
        <v>1.6172815521030861E-2</v>
      </c>
      <c r="I16648">
        <v>1.617281552103092E-2</v>
      </c>
    </row>
    <row r="16649" spans="1:9" x14ac:dyDescent="0.25">
      <c r="A16649">
        <v>528</v>
      </c>
      <c r="B16649" t="s">
        <v>4269</v>
      </c>
      <c r="C16649" t="s">
        <v>138</v>
      </c>
      <c r="D16649" t="s">
        <v>233</v>
      </c>
      <c r="E16649">
        <f>1/138</f>
        <v>7.246376811594203E-3</v>
      </c>
      <c r="F16649">
        <v>14</v>
      </c>
      <c r="G16649">
        <f>LOG(382/(14+1))</f>
        <v>1.4059721038560276</v>
      </c>
      <c r="H16649">
        <f>0.0072463768115942*3.23737040750436</f>
        <v>2.3459205851480862E-2</v>
      </c>
      <c r="I16649">
        <v>2.345920585148091E-2</v>
      </c>
    </row>
    <row r="16650" spans="1:9" x14ac:dyDescent="0.25">
      <c r="A16650">
        <v>528</v>
      </c>
      <c r="B16650" t="s">
        <v>4269</v>
      </c>
      <c r="C16650" t="s">
        <v>138</v>
      </c>
      <c r="D16650" t="s">
        <v>763</v>
      </c>
      <c r="E16650">
        <f>1/138</f>
        <v>7.246376811594203E-3</v>
      </c>
      <c r="F16650">
        <v>47</v>
      </c>
      <c r="G16650">
        <f>LOG(382/(47+1))</f>
        <v>0.90082212553612151</v>
      </c>
      <c r="H16650">
        <f>0.0072463768115942*2.07421959769868</f>
        <v>1.5030576794917967E-2</v>
      </c>
      <c r="I16650">
        <v>1.5030576794918E-2</v>
      </c>
    </row>
    <row r="16651" spans="1:9" x14ac:dyDescent="0.25">
      <c r="A16651">
        <v>528</v>
      </c>
      <c r="B16651" t="s">
        <v>4269</v>
      </c>
      <c r="C16651" t="s">
        <v>138</v>
      </c>
      <c r="D16651" t="s">
        <v>767</v>
      </c>
      <c r="E16651">
        <f>1/138</f>
        <v>7.246376811594203E-3</v>
      </c>
      <c r="F16651">
        <v>47</v>
      </c>
      <c r="G16651">
        <f>LOG(382/(47+1))</f>
        <v>0.90082212553612151</v>
      </c>
      <c r="H16651">
        <f>0.0072463768115942*2.07421959769868</f>
        <v>1.5030576794917967E-2</v>
      </c>
      <c r="I16651">
        <v>1.5030576794918E-2</v>
      </c>
    </row>
    <row r="16652" spans="1:9" x14ac:dyDescent="0.25">
      <c r="A16652">
        <v>529</v>
      </c>
      <c r="B16652" t="s">
        <v>4278</v>
      </c>
      <c r="C16652" t="s">
        <v>138</v>
      </c>
      <c r="D16652" t="s">
        <v>3987</v>
      </c>
      <c r="E16652">
        <f>1/70</f>
        <v>1.4285714285714285E-2</v>
      </c>
      <c r="F16652">
        <v>2</v>
      </c>
      <c r="G16652">
        <f>LOG(382/(2+1))</f>
        <v>2.1049421081920463</v>
      </c>
      <c r="H16652">
        <f>0.0142857142857142*4.84680831993846</f>
        <v>6.92401188562633E-2</v>
      </c>
      <c r="I16652">
        <v>6.9240118856263785E-2</v>
      </c>
    </row>
    <row r="16653" spans="1:9" x14ac:dyDescent="0.25">
      <c r="A16653">
        <v>529</v>
      </c>
      <c r="B16653" t="s">
        <v>4278</v>
      </c>
      <c r="C16653" t="s">
        <v>138</v>
      </c>
      <c r="D16653" t="s">
        <v>3989</v>
      </c>
      <c r="E16653">
        <f>1/70</f>
        <v>1.4285714285714285E-2</v>
      </c>
      <c r="F16653">
        <v>2</v>
      </c>
      <c r="G16653">
        <f>LOG(382/(2+1))</f>
        <v>2.1049421081920463</v>
      </c>
      <c r="H16653">
        <f>0.0142857142857142*4.84680831993846</f>
        <v>6.92401188562633E-2</v>
      </c>
      <c r="I16653">
        <v>6.9240118856263785E-2</v>
      </c>
    </row>
    <row r="16654" spans="1:9" x14ac:dyDescent="0.25">
      <c r="A16654">
        <v>529</v>
      </c>
      <c r="B16654" t="s">
        <v>4278</v>
      </c>
      <c r="C16654" t="s">
        <v>138</v>
      </c>
      <c r="D16654" t="s">
        <v>755</v>
      </c>
      <c r="E16654">
        <f>2/70</f>
        <v>2.8571428571428571E-2</v>
      </c>
      <c r="F16654">
        <v>19</v>
      </c>
      <c r="G16654">
        <f>LOG(382/(19+1))</f>
        <v>1.2810333672477277</v>
      </c>
      <c r="H16654">
        <f>0.0285714285714285*2.94968833505258</f>
        <v>8.4276809572930655E-2</v>
      </c>
      <c r="I16654">
        <v>8.4276809572930975E-2</v>
      </c>
    </row>
    <row r="16655" spans="1:9" x14ac:dyDescent="0.25">
      <c r="A16655">
        <v>529</v>
      </c>
      <c r="B16655" t="s">
        <v>4278</v>
      </c>
      <c r="C16655" t="s">
        <v>138</v>
      </c>
      <c r="D16655" t="s">
        <v>42</v>
      </c>
      <c r="E16655">
        <f t="shared" ref="E16655:E16666" si="783">1/70</f>
        <v>1.4285714285714285E-2</v>
      </c>
      <c r="F16655">
        <v>251</v>
      </c>
      <c r="G16655">
        <f>LOG(382/(251+1))</f>
        <v>0.18066282213016463</v>
      </c>
      <c r="H16655">
        <f>0.0142857142857142*0.415991521095151</f>
        <v>5.942736015644978E-3</v>
      </c>
      <c r="I16655">
        <v>5.9427360156450266E-3</v>
      </c>
    </row>
    <row r="16656" spans="1:9" x14ac:dyDescent="0.25">
      <c r="A16656">
        <v>529</v>
      </c>
      <c r="B16656" t="s">
        <v>4278</v>
      </c>
      <c r="C16656" t="s">
        <v>138</v>
      </c>
      <c r="D16656" t="s">
        <v>636</v>
      </c>
      <c r="E16656">
        <f t="shared" si="783"/>
        <v>1.4285714285714285E-2</v>
      </c>
      <c r="F16656">
        <v>31</v>
      </c>
      <c r="G16656">
        <f>LOG(382/(31+1))</f>
        <v>1.0769133845918029</v>
      </c>
      <c r="H16656">
        <f>0.0142857142857142*2.47968470580684</f>
        <v>3.5424067225811789E-2</v>
      </c>
      <c r="I16656">
        <v>3.5424067225812123E-2</v>
      </c>
    </row>
    <row r="16657" spans="1:9" x14ac:dyDescent="0.25">
      <c r="A16657">
        <v>529</v>
      </c>
      <c r="B16657" t="s">
        <v>4278</v>
      </c>
      <c r="C16657" t="s">
        <v>138</v>
      </c>
      <c r="D16657" t="s">
        <v>637</v>
      </c>
      <c r="E16657">
        <f t="shared" si="783"/>
        <v>1.4285714285714285E-2</v>
      </c>
      <c r="F16657">
        <v>29</v>
      </c>
      <c r="G16657">
        <f>LOG(382/(29+1))</f>
        <v>1.1049421081920463</v>
      </c>
      <c r="H16657">
        <f>0.0142857142857142*2.54422322694442</f>
        <v>3.6346046099205782E-2</v>
      </c>
      <c r="I16657">
        <v>3.6346046099205997E-2</v>
      </c>
    </row>
    <row r="16658" spans="1:9" x14ac:dyDescent="0.25">
      <c r="A16658">
        <v>529</v>
      </c>
      <c r="B16658" t="s">
        <v>4278</v>
      </c>
      <c r="C16658" t="s">
        <v>138</v>
      </c>
      <c r="D16658" t="s">
        <v>70</v>
      </c>
      <c r="E16658">
        <f t="shared" si="783"/>
        <v>1.4285714285714285E-2</v>
      </c>
      <c r="F16658">
        <v>44</v>
      </c>
      <c r="G16658">
        <f>LOG(382/(44+1))</f>
        <v>0.92885084913636506</v>
      </c>
      <c r="H16658">
        <f>0.0142857142857142*2.13875811883625</f>
        <v>3.0553687411946244E-2</v>
      </c>
      <c r="I16658">
        <v>3.0553687411946501E-2</v>
      </c>
    </row>
    <row r="16659" spans="1:9" x14ac:dyDescent="0.25">
      <c r="A16659">
        <v>529</v>
      </c>
      <c r="B16659" t="s">
        <v>4278</v>
      </c>
      <c r="C16659" t="s">
        <v>138</v>
      </c>
      <c r="D16659" t="s">
        <v>19</v>
      </c>
      <c r="E16659">
        <f t="shared" si="783"/>
        <v>1.4285714285714285E-2</v>
      </c>
      <c r="F16659">
        <v>220</v>
      </c>
      <c r="G16659">
        <f>LOG(382/(220+1))</f>
        <v>0.23767108922659805</v>
      </c>
      <c r="H16659">
        <f>0.0142857142857142*0.547257907088822</f>
        <v>7.8179701012688393E-3</v>
      </c>
      <c r="I16659">
        <v>7.8179701012688913E-3</v>
      </c>
    </row>
    <row r="16660" spans="1:9" x14ac:dyDescent="0.25">
      <c r="A16660">
        <v>529</v>
      </c>
      <c r="B16660" t="s">
        <v>4278</v>
      </c>
      <c r="C16660" t="s">
        <v>138</v>
      </c>
      <c r="D16660" t="s">
        <v>44</v>
      </c>
      <c r="E16660">
        <f t="shared" si="783"/>
        <v>1.4285714285714285E-2</v>
      </c>
      <c r="F16660">
        <v>151</v>
      </c>
      <c r="G16660">
        <f>LOG(382/(151+1))</f>
        <v>0.40021977496693617</v>
      </c>
      <c r="H16660">
        <f>0.0142857142857142*0.921540087760298</f>
        <v>1.3164858396575607E-2</v>
      </c>
      <c r="I16660">
        <v>1.3164858396575701E-2</v>
      </c>
    </row>
    <row r="16661" spans="1:9" x14ac:dyDescent="0.25">
      <c r="A16661">
        <v>529</v>
      </c>
      <c r="B16661" t="s">
        <v>4278</v>
      </c>
      <c r="C16661" t="s">
        <v>138</v>
      </c>
      <c r="D16661" t="s">
        <v>22</v>
      </c>
      <c r="E16661">
        <f t="shared" si="783"/>
        <v>1.4285714285714285E-2</v>
      </c>
      <c r="F16661">
        <v>259</v>
      </c>
      <c r="G16661">
        <f>LOG(382/(259+1))</f>
        <v>0.16709001494089079</v>
      </c>
      <c r="H16661">
        <f>0.0142857142857142*0.384738977591047</f>
        <v>5.496271108443496E-3</v>
      </c>
      <c r="I16661">
        <v>5.4962711084435359E-3</v>
      </c>
    </row>
    <row r="16662" spans="1:9" x14ac:dyDescent="0.25">
      <c r="A16662">
        <v>529</v>
      </c>
      <c r="B16662" t="s">
        <v>4278</v>
      </c>
      <c r="C16662" t="s">
        <v>138</v>
      </c>
      <c r="D16662" t="s">
        <v>23</v>
      </c>
      <c r="E16662">
        <f t="shared" si="783"/>
        <v>1.4285714285714285E-2</v>
      </c>
      <c r="F16662">
        <v>275</v>
      </c>
      <c r="G16662">
        <f>LOG(382/(275+1))</f>
        <v>0.14115428084649101</v>
      </c>
      <c r="H16662">
        <f>0.0142857142857142*0.325019742889425</f>
        <v>4.6431391841346148E-3</v>
      </c>
      <c r="I16662">
        <v>4.6431391841346452E-3</v>
      </c>
    </row>
    <row r="16663" spans="1:9" x14ac:dyDescent="0.25">
      <c r="A16663">
        <v>529</v>
      </c>
      <c r="B16663" t="s">
        <v>4278</v>
      </c>
      <c r="C16663" t="s">
        <v>138</v>
      </c>
      <c r="D16663" t="s">
        <v>1785</v>
      </c>
      <c r="E16663">
        <f t="shared" si="783"/>
        <v>1.4285714285714285E-2</v>
      </c>
      <c r="F16663">
        <v>21</v>
      </c>
      <c r="G16663">
        <f>LOG(382/(21+1))</f>
        <v>1.2396406820895025</v>
      </c>
      <c r="H16663">
        <f>0.0142857142857142*2.85437815524825</f>
        <v>4.077683078926047E-2</v>
      </c>
      <c r="I16663">
        <v>4.0776830789260837E-2</v>
      </c>
    </row>
    <row r="16664" spans="1:9" x14ac:dyDescent="0.25">
      <c r="A16664">
        <v>529</v>
      </c>
      <c r="B16664" t="s">
        <v>4278</v>
      </c>
      <c r="C16664" t="s">
        <v>138</v>
      </c>
      <c r="D16664" t="s">
        <v>105</v>
      </c>
      <c r="E16664">
        <f t="shared" si="783"/>
        <v>1.4285714285714285E-2</v>
      </c>
      <c r="F16664">
        <v>122</v>
      </c>
      <c r="G16664">
        <f>LOG(382/(122+1))</f>
        <v>0.49215825147231079</v>
      </c>
      <c r="H16664">
        <f>0.0142857142857142*1.13323625323415</f>
        <v>1.6189089331916331E-2</v>
      </c>
      <c r="I16664">
        <v>1.618908933191654E-2</v>
      </c>
    </row>
    <row r="16665" spans="1:9" x14ac:dyDescent="0.25">
      <c r="A16665">
        <v>529</v>
      </c>
      <c r="B16665" t="s">
        <v>4278</v>
      </c>
      <c r="C16665" t="s">
        <v>138</v>
      </c>
      <c r="D16665" t="s">
        <v>78</v>
      </c>
      <c r="E16665">
        <f t="shared" si="783"/>
        <v>1.4285714285714285E-2</v>
      </c>
      <c r="F16665">
        <v>122</v>
      </c>
      <c r="G16665">
        <f>LOG(382/(122+1))</f>
        <v>0.49215825147231079</v>
      </c>
      <c r="H16665">
        <f>0.0142857142857142*1.13323625323415</f>
        <v>1.6189089331916331E-2</v>
      </c>
      <c r="I16665">
        <v>1.618908933191654E-2</v>
      </c>
    </row>
    <row r="16666" spans="1:9" x14ac:dyDescent="0.25">
      <c r="A16666">
        <v>529</v>
      </c>
      <c r="B16666" t="s">
        <v>4278</v>
      </c>
      <c r="C16666" t="s">
        <v>138</v>
      </c>
      <c r="D16666" t="s">
        <v>754</v>
      </c>
      <c r="E16666">
        <f t="shared" si="783"/>
        <v>1.4285714285714285E-2</v>
      </c>
      <c r="F16666">
        <v>111</v>
      </c>
      <c r="G16666">
        <f>LOG(382/(111+1))</f>
        <v>0.53284534024152708</v>
      </c>
      <c r="H16666">
        <f>0.0142857142857142*1.22692173731148</f>
        <v>1.7527453390163896E-2</v>
      </c>
      <c r="I16666">
        <v>1.7527453390164011E-2</v>
      </c>
    </row>
    <row r="16667" spans="1:9" x14ac:dyDescent="0.25">
      <c r="A16667">
        <v>529</v>
      </c>
      <c r="B16667" t="s">
        <v>4278</v>
      </c>
      <c r="C16667" t="s">
        <v>138</v>
      </c>
      <c r="D16667" t="s">
        <v>322</v>
      </c>
      <c r="E16667">
        <f>3/70</f>
        <v>4.2857142857142858E-2</v>
      </c>
      <c r="F16667">
        <v>128</v>
      </c>
      <c r="G16667">
        <f>LOG(382/(128+1))</f>
        <v>0.47147365261245977</v>
      </c>
      <c r="H16667">
        <f>0.0428571428571428*1.0856082042449</f>
        <v>4.6526065896209938E-2</v>
      </c>
      <c r="I16667">
        <v>4.6526065896210132E-2</v>
      </c>
    </row>
    <row r="16668" spans="1:9" x14ac:dyDescent="0.25">
      <c r="A16668">
        <v>529</v>
      </c>
      <c r="B16668" t="s">
        <v>4278</v>
      </c>
      <c r="C16668" t="s">
        <v>138</v>
      </c>
      <c r="D16668" t="s">
        <v>753</v>
      </c>
      <c r="E16668">
        <f>1/70</f>
        <v>1.4285714285714285E-2</v>
      </c>
      <c r="F16668">
        <v>19</v>
      </c>
      <c r="G16668">
        <f>LOG(382/(19+1))</f>
        <v>1.2810333672477277</v>
      </c>
      <c r="H16668">
        <f>0.0142857142857142*2.94968833505258</f>
        <v>4.2138404786465175E-2</v>
      </c>
      <c r="I16668">
        <v>4.2138404786465487E-2</v>
      </c>
    </row>
    <row r="16669" spans="1:9" x14ac:dyDescent="0.25">
      <c r="A16669">
        <v>529</v>
      </c>
      <c r="B16669" t="s">
        <v>4278</v>
      </c>
      <c r="C16669" t="s">
        <v>138</v>
      </c>
      <c r="D16669" t="s">
        <v>746</v>
      </c>
      <c r="E16669">
        <f>1/70</f>
        <v>1.4285714285714285E-2</v>
      </c>
      <c r="F16669">
        <v>58</v>
      </c>
      <c r="G16669">
        <f>LOG(382/(58+1))</f>
        <v>0.81121135126956456</v>
      </c>
      <c r="H16669">
        <f>0.0142857142857142*1.86788316470085</f>
        <v>2.6684045210011983E-2</v>
      </c>
      <c r="I16669">
        <v>2.6684045210012219E-2</v>
      </c>
    </row>
    <row r="16670" spans="1:9" x14ac:dyDescent="0.25">
      <c r="A16670">
        <v>529</v>
      </c>
      <c r="B16670" t="s">
        <v>4278</v>
      </c>
      <c r="C16670" t="s">
        <v>138</v>
      </c>
      <c r="D16670" t="s">
        <v>119</v>
      </c>
      <c r="E16670">
        <f>1/70</f>
        <v>1.4285714285714285E-2</v>
      </c>
      <c r="F16670">
        <v>79</v>
      </c>
      <c r="G16670">
        <f>LOG(382/(79+1))</f>
        <v>0.67897337591976514</v>
      </c>
      <c r="H16670">
        <f>0.0142857142857142*1.56339397393269</f>
        <v>2.2334199627609724E-2</v>
      </c>
      <c r="I16670">
        <v>2.2334199627609911E-2</v>
      </c>
    </row>
    <row r="16671" spans="1:9" x14ac:dyDescent="0.25">
      <c r="A16671">
        <v>529</v>
      </c>
      <c r="B16671" t="s">
        <v>4278</v>
      </c>
      <c r="C16671" t="s">
        <v>138</v>
      </c>
      <c r="D16671" t="s">
        <v>236</v>
      </c>
      <c r="E16671">
        <f>1/70</f>
        <v>1.4285714285714285E-2</v>
      </c>
      <c r="F16671">
        <v>87</v>
      </c>
      <c r="G16671">
        <f>LOG(382/(87+1))</f>
        <v>0.63758069076154011</v>
      </c>
      <c r="H16671">
        <f>0.0142857142857142*1.46808379412836</f>
        <v>2.0972625630405018E-2</v>
      </c>
      <c r="I16671">
        <v>2.0972625630405261E-2</v>
      </c>
    </row>
    <row r="16672" spans="1:9" x14ac:dyDescent="0.25">
      <c r="A16672">
        <v>529</v>
      </c>
      <c r="B16672" t="s">
        <v>4278</v>
      </c>
      <c r="C16672" t="s">
        <v>138</v>
      </c>
      <c r="D16672" t="s">
        <v>40</v>
      </c>
      <c r="E16672">
        <f>2/70</f>
        <v>2.8571428571428571E-2</v>
      </c>
      <c r="F16672">
        <v>159</v>
      </c>
      <c r="G16672">
        <f>LOG(382/(159+1))</f>
        <v>0.377943380255784</v>
      </c>
      <c r="H16672">
        <f>0.0285714285714285*0.870246793372748</f>
        <v>2.4864194096364169E-2</v>
      </c>
      <c r="I16672">
        <v>2.4864194096364239E-2</v>
      </c>
    </row>
    <row r="16673" spans="1:9" x14ac:dyDescent="0.25">
      <c r="A16673">
        <v>529</v>
      </c>
      <c r="B16673" t="s">
        <v>4278</v>
      </c>
      <c r="C16673" t="s">
        <v>138</v>
      </c>
      <c r="D16673" t="s">
        <v>41</v>
      </c>
      <c r="E16673">
        <f t="shared" ref="E16673:E16679" si="784">1/70</f>
        <v>1.4285714285714285E-2</v>
      </c>
      <c r="F16673">
        <v>195</v>
      </c>
      <c r="G16673">
        <f>LOG(382/(195+1))</f>
        <v>0.28980729155523272</v>
      </c>
      <c r="H16673">
        <f>0.0142857142857142*0.667305949376058</f>
        <v>9.5329421339436296E-3</v>
      </c>
      <c r="I16673">
        <v>9.5329421339436851E-3</v>
      </c>
    </row>
    <row r="16674" spans="1:9" x14ac:dyDescent="0.25">
      <c r="A16674">
        <v>529</v>
      </c>
      <c r="B16674" t="s">
        <v>4278</v>
      </c>
      <c r="C16674" t="s">
        <v>138</v>
      </c>
      <c r="D16674" t="s">
        <v>243</v>
      </c>
      <c r="E16674">
        <f t="shared" si="784"/>
        <v>1.4285714285714285E-2</v>
      </c>
      <c r="F16674">
        <v>131</v>
      </c>
      <c r="G16674">
        <f>LOG(382/(131+1))</f>
        <v>0.46148943170585888</v>
      </c>
      <c r="H16674">
        <f>0.0142857142857142*1.0626186860202</f>
        <v>1.5180266943145624E-2</v>
      </c>
      <c r="I16674">
        <v>1.5180266943145769E-2</v>
      </c>
    </row>
    <row r="16675" spans="1:9" x14ac:dyDescent="0.25">
      <c r="A16675">
        <v>529</v>
      </c>
      <c r="B16675" t="s">
        <v>4278</v>
      </c>
      <c r="C16675" t="s">
        <v>138</v>
      </c>
      <c r="D16675" t="s">
        <v>453</v>
      </c>
      <c r="E16675">
        <f t="shared" si="784"/>
        <v>1.4285714285714285E-2</v>
      </c>
      <c r="F16675">
        <v>68</v>
      </c>
      <c r="G16675">
        <f>LOG(382/(68+1))</f>
        <v>0.74321427217445335</v>
      </c>
      <c r="H16675">
        <f>0.0142857142857142*1.71131410400931</f>
        <v>2.4447344342989997E-2</v>
      </c>
      <c r="I16675">
        <v>2.4447344342990229E-2</v>
      </c>
    </row>
    <row r="16676" spans="1:9" x14ac:dyDescent="0.25">
      <c r="A16676">
        <v>529</v>
      </c>
      <c r="B16676" t="s">
        <v>4278</v>
      </c>
      <c r="C16676" t="s">
        <v>138</v>
      </c>
      <c r="D16676" t="s">
        <v>455</v>
      </c>
      <c r="E16676">
        <f t="shared" si="784"/>
        <v>1.4285714285714285E-2</v>
      </c>
      <c r="F16676">
        <v>78</v>
      </c>
      <c r="G16676">
        <f>LOG(382/(78+1))</f>
        <v>0.6844362716212673</v>
      </c>
      <c r="H16676">
        <f>0.0142857142857142*1.57597275613955</f>
        <v>2.251389651627915E-2</v>
      </c>
      <c r="I16676">
        <v>2.2513896516279341E-2</v>
      </c>
    </row>
    <row r="16677" spans="1:9" x14ac:dyDescent="0.25">
      <c r="A16677">
        <v>529</v>
      </c>
      <c r="B16677" t="s">
        <v>4278</v>
      </c>
      <c r="C16677" t="s">
        <v>138</v>
      </c>
      <c r="D16677" t="s">
        <v>456</v>
      </c>
      <c r="E16677">
        <f t="shared" si="784"/>
        <v>1.4285714285714285E-2</v>
      </c>
      <c r="F16677">
        <v>71</v>
      </c>
      <c r="G16677">
        <f>LOG(382/(71+1))</f>
        <v>0.72473086648044027</v>
      </c>
      <c r="H16677">
        <f>0.0142857142857142*1.66875448959051</f>
        <v>2.3839349851292858E-2</v>
      </c>
      <c r="I16677">
        <v>2.3839349851293139E-2</v>
      </c>
    </row>
    <row r="16678" spans="1:9" x14ac:dyDescent="0.25">
      <c r="A16678">
        <v>529</v>
      </c>
      <c r="B16678" t="s">
        <v>4278</v>
      </c>
      <c r="C16678" t="s">
        <v>138</v>
      </c>
      <c r="D16678" t="s">
        <v>1779</v>
      </c>
      <c r="E16678">
        <f t="shared" si="784"/>
        <v>1.4285714285714285E-2</v>
      </c>
      <c r="F16678">
        <v>41</v>
      </c>
      <c r="G16678">
        <f>LOG(382/(41+1))</f>
        <v>0.95881407251380824</v>
      </c>
      <c r="H16678">
        <f>0.0142857142857142*2.2077509903232</f>
        <v>3.1539299861759816E-2</v>
      </c>
      <c r="I16678">
        <v>3.1539299861760101E-2</v>
      </c>
    </row>
    <row r="16679" spans="1:9" x14ac:dyDescent="0.25">
      <c r="A16679">
        <v>529</v>
      </c>
      <c r="B16679" t="s">
        <v>4278</v>
      </c>
      <c r="C16679" t="s">
        <v>138</v>
      </c>
      <c r="D16679" t="s">
        <v>4279</v>
      </c>
      <c r="E16679">
        <f t="shared" si="784"/>
        <v>1.4285714285714285E-2</v>
      </c>
      <c r="F16679">
        <v>1</v>
      </c>
      <c r="G16679">
        <f>LOG(382/(1+1))</f>
        <v>2.2810333672477277</v>
      </c>
      <c r="H16679">
        <f>0.0142857142857142*5.25227342804663</f>
        <v>7.5032477543522838E-2</v>
      </c>
      <c r="I16679">
        <v>7.5032477543523282E-2</v>
      </c>
    </row>
    <row r="16680" spans="1:9" x14ac:dyDescent="0.25">
      <c r="A16680">
        <v>529</v>
      </c>
      <c r="B16680" t="s">
        <v>4278</v>
      </c>
      <c r="C16680" t="s">
        <v>138</v>
      </c>
      <c r="D16680" t="s">
        <v>762</v>
      </c>
      <c r="E16680">
        <f>3/70</f>
        <v>4.2857142857142858E-2</v>
      </c>
      <c r="F16680">
        <v>29</v>
      </c>
      <c r="G16680">
        <f>LOG(382/(29+1))</f>
        <v>1.1049421081920463</v>
      </c>
      <c r="H16680">
        <f>0.0428571428571428*2.54422322694442</f>
        <v>0.10903813829761785</v>
      </c>
      <c r="I16680">
        <v>0.10903813829761801</v>
      </c>
    </row>
    <row r="16681" spans="1:9" x14ac:dyDescent="0.25">
      <c r="A16681">
        <v>529</v>
      </c>
      <c r="B16681" t="s">
        <v>4278</v>
      </c>
      <c r="C16681" t="s">
        <v>138</v>
      </c>
      <c r="D16681" t="s">
        <v>338</v>
      </c>
      <c r="E16681">
        <f t="shared" ref="E16681:E16686" si="785">1/70</f>
        <v>1.4285714285714285E-2</v>
      </c>
      <c r="F16681">
        <v>54</v>
      </c>
      <c r="G16681">
        <f>LOG(382/(54+1))</f>
        <v>0.84170067341746491</v>
      </c>
      <c r="H16681">
        <f>0.0142857142857142*1.9380874233741</f>
        <v>2.7686963191058404E-2</v>
      </c>
      <c r="I16681">
        <v>2.7686963191058629E-2</v>
      </c>
    </row>
    <row r="16682" spans="1:9" x14ac:dyDescent="0.25">
      <c r="A16682">
        <v>529</v>
      </c>
      <c r="B16682" t="s">
        <v>4278</v>
      </c>
      <c r="C16682" t="s">
        <v>138</v>
      </c>
      <c r="D16682" t="s">
        <v>4275</v>
      </c>
      <c r="E16682">
        <f t="shared" si="785"/>
        <v>1.4285714285714285E-2</v>
      </c>
      <c r="F16682">
        <v>3</v>
      </c>
      <c r="G16682">
        <f>LOG(382/(3+1))</f>
        <v>1.9800033715837464</v>
      </c>
      <c r="H16682">
        <f>0.0142857142857142*4.55912624748668</f>
        <v>6.5130374964095045E-2</v>
      </c>
      <c r="I16682">
        <v>6.5130374964095489E-2</v>
      </c>
    </row>
    <row r="16683" spans="1:9" x14ac:dyDescent="0.25">
      <c r="A16683">
        <v>529</v>
      </c>
      <c r="B16683" t="s">
        <v>4278</v>
      </c>
      <c r="C16683" t="s">
        <v>138</v>
      </c>
      <c r="D16683" t="s">
        <v>4276</v>
      </c>
      <c r="E16683">
        <f t="shared" si="785"/>
        <v>1.4285714285714285E-2</v>
      </c>
      <c r="F16683">
        <v>8</v>
      </c>
      <c r="G16683">
        <f>LOG(382/(8+1))</f>
        <v>1.6278208534723839</v>
      </c>
      <c r="H16683">
        <f>0.0142857142857142*3.74819603127035</f>
        <v>5.3545657589576107E-2</v>
      </c>
      <c r="I16683">
        <v>5.3545657589576509E-2</v>
      </c>
    </row>
    <row r="16684" spans="1:9" x14ac:dyDescent="0.25">
      <c r="A16684">
        <v>529</v>
      </c>
      <c r="B16684" t="s">
        <v>4278</v>
      </c>
      <c r="C16684" t="s">
        <v>138</v>
      </c>
      <c r="D16684" t="s">
        <v>1773</v>
      </c>
      <c r="E16684">
        <f t="shared" si="785"/>
        <v>1.4285714285714285E-2</v>
      </c>
      <c r="F16684">
        <v>24</v>
      </c>
      <c r="G16684">
        <f>LOG(382/(24+1))</f>
        <v>1.1841233542396712</v>
      </c>
      <c r="H16684">
        <f>0.0142857142857142*2.72654478373837</f>
        <v>3.8950639767690767E-2</v>
      </c>
      <c r="I16684">
        <v>3.8950639767691059E-2</v>
      </c>
    </row>
    <row r="16685" spans="1:9" x14ac:dyDescent="0.25">
      <c r="A16685">
        <v>529</v>
      </c>
      <c r="B16685" t="s">
        <v>4278</v>
      </c>
      <c r="C16685" t="s">
        <v>138</v>
      </c>
      <c r="D16685" t="s">
        <v>447</v>
      </c>
      <c r="E16685">
        <f t="shared" si="785"/>
        <v>1.4285714285714285E-2</v>
      </c>
      <c r="F16685">
        <v>37</v>
      </c>
      <c r="G16685">
        <f>LOG(382/(37+1))</f>
        <v>1.0022797662948986</v>
      </c>
      <c r="H16685">
        <f>0.0142857142857142*2.30783444888018</f>
        <v>3.2969063555430944E-2</v>
      </c>
      <c r="I16685">
        <v>3.296906355543127E-2</v>
      </c>
    </row>
    <row r="16686" spans="1:9" x14ac:dyDescent="0.25">
      <c r="A16686">
        <v>529</v>
      </c>
      <c r="B16686" t="s">
        <v>4278</v>
      </c>
      <c r="C16686" t="s">
        <v>138</v>
      </c>
      <c r="D16686" t="s">
        <v>931</v>
      </c>
      <c r="E16686">
        <f t="shared" si="785"/>
        <v>1.4285714285714285E-2</v>
      </c>
      <c r="F16686">
        <v>22</v>
      </c>
      <c r="G16686">
        <f>LOG(382/(22+1))</f>
        <v>1.2203355268941158</v>
      </c>
      <c r="H16686">
        <f>0.0142857142857142*2.80992639267742</f>
        <v>4.0141805609677186E-2</v>
      </c>
      <c r="I16686">
        <v>4.0141805609677512E-2</v>
      </c>
    </row>
    <row r="16687" spans="1:9" x14ac:dyDescent="0.25">
      <c r="A16687">
        <v>529</v>
      </c>
      <c r="B16687" t="s">
        <v>4278</v>
      </c>
      <c r="C16687" t="s">
        <v>138</v>
      </c>
      <c r="D16687" t="s">
        <v>597</v>
      </c>
      <c r="E16687">
        <f>2/70</f>
        <v>2.8571428571428571E-2</v>
      </c>
      <c r="F16687">
        <v>51</v>
      </c>
      <c r="G16687">
        <f>LOG(382/(51+1))</f>
        <v>0.86606001927690957</v>
      </c>
      <c r="H16687">
        <f>0.0285714285714285*1.99417689002514</f>
        <v>5.6976482572146714E-2</v>
      </c>
      <c r="I16687">
        <v>5.6976482572147068E-2</v>
      </c>
    </row>
    <row r="16688" spans="1:9" x14ac:dyDescent="0.25">
      <c r="A16688">
        <v>529</v>
      </c>
      <c r="B16688" t="s">
        <v>4278</v>
      </c>
      <c r="C16688" t="s">
        <v>138</v>
      </c>
      <c r="D16688" t="s">
        <v>11</v>
      </c>
      <c r="E16688">
        <f t="shared" ref="E16688:E16705" si="786">1/70</f>
        <v>1.4285714285714285E-2</v>
      </c>
      <c r="F16688">
        <v>83</v>
      </c>
      <c r="G16688">
        <f>LOG(382/(83+1))</f>
        <v>0.65778407684982709</v>
      </c>
      <c r="H16688">
        <f>0.0142857142857142*1.51460380976326</f>
        <v>2.1637197282332155E-2</v>
      </c>
      <c r="I16688">
        <v>2.1637197282332311E-2</v>
      </c>
    </row>
    <row r="16689" spans="1:9" x14ac:dyDescent="0.25">
      <c r="A16689">
        <v>529</v>
      </c>
      <c r="B16689" t="s">
        <v>4278</v>
      </c>
      <c r="C16689" t="s">
        <v>138</v>
      </c>
      <c r="D16689" t="s">
        <v>1832</v>
      </c>
      <c r="E16689">
        <f t="shared" si="786"/>
        <v>1.4285714285714285E-2</v>
      </c>
      <c r="F16689">
        <v>9</v>
      </c>
      <c r="G16689">
        <f>LOG(382/(9+1))</f>
        <v>1.5820633629117087</v>
      </c>
      <c r="H16689">
        <f>0.0142857142857142*3.64283551561252</f>
        <v>5.204050736589283E-2</v>
      </c>
      <c r="I16689">
        <v>5.2040507365893267E-2</v>
      </c>
    </row>
    <row r="16690" spans="1:9" x14ac:dyDescent="0.25">
      <c r="A16690">
        <v>529</v>
      </c>
      <c r="B16690" t="s">
        <v>4278</v>
      </c>
      <c r="C16690" t="s">
        <v>138</v>
      </c>
      <c r="D16690" t="s">
        <v>4280</v>
      </c>
      <c r="E16690">
        <f t="shared" si="786"/>
        <v>1.4285714285714285E-2</v>
      </c>
      <c r="F16690">
        <v>3</v>
      </c>
      <c r="G16690">
        <f>LOG(382/(3+1))</f>
        <v>1.9800033715837464</v>
      </c>
      <c r="H16690">
        <f>0.0142857142857142*4.55912624748668</f>
        <v>6.5130374964095045E-2</v>
      </c>
      <c r="I16690">
        <v>6.5130374964095489E-2</v>
      </c>
    </row>
    <row r="16691" spans="1:9" x14ac:dyDescent="0.25">
      <c r="A16691">
        <v>529</v>
      </c>
      <c r="B16691" t="s">
        <v>4278</v>
      </c>
      <c r="C16691" t="s">
        <v>138</v>
      </c>
      <c r="D16691" t="s">
        <v>76</v>
      </c>
      <c r="E16691">
        <f t="shared" si="786"/>
        <v>1.4285714285714285E-2</v>
      </c>
      <c r="F16691">
        <v>140</v>
      </c>
      <c r="G16691">
        <f>LOG(382/(140+1))</f>
        <v>0.43284425025632883</v>
      </c>
      <c r="H16691">
        <f>0.0142857142857142*0.996660718228407</f>
        <v>1.4238010260405729E-2</v>
      </c>
      <c r="I16691">
        <v>1.423801026040581E-2</v>
      </c>
    </row>
    <row r="16692" spans="1:9" x14ac:dyDescent="0.25">
      <c r="A16692">
        <v>529</v>
      </c>
      <c r="B16692" t="s">
        <v>4278</v>
      </c>
      <c r="C16692" t="s">
        <v>138</v>
      </c>
      <c r="D16692" t="s">
        <v>726</v>
      </c>
      <c r="E16692">
        <f t="shared" si="786"/>
        <v>1.4285714285714285E-2</v>
      </c>
      <c r="F16692">
        <v>37</v>
      </c>
      <c r="G16692">
        <f>LOG(382/(37+1))</f>
        <v>1.0022797662948986</v>
      </c>
      <c r="H16692">
        <f>0.0142857142857142*2.30783444888018</f>
        <v>3.2969063555430944E-2</v>
      </c>
      <c r="I16692">
        <v>3.296906355543127E-2</v>
      </c>
    </row>
    <row r="16693" spans="1:9" x14ac:dyDescent="0.25">
      <c r="A16693">
        <v>529</v>
      </c>
      <c r="B16693" t="s">
        <v>4278</v>
      </c>
      <c r="C16693" t="s">
        <v>138</v>
      </c>
      <c r="D16693" t="s">
        <v>1537</v>
      </c>
      <c r="E16693">
        <f t="shared" si="786"/>
        <v>1.4285714285714285E-2</v>
      </c>
      <c r="F16693">
        <v>80</v>
      </c>
      <c r="G16693">
        <f>LOG(382/(80+1))</f>
        <v>0.67357834403305894</v>
      </c>
      <c r="H16693">
        <f>0.0142857142857142*1.55097145393413</f>
        <v>2.2156735056201724E-2</v>
      </c>
      <c r="I16693">
        <v>2.215673505620195E-2</v>
      </c>
    </row>
    <row r="16694" spans="1:9" x14ac:dyDescent="0.25">
      <c r="A16694">
        <v>529</v>
      </c>
      <c r="B16694" t="s">
        <v>4278</v>
      </c>
      <c r="C16694" t="s">
        <v>138</v>
      </c>
      <c r="D16694" t="s">
        <v>362</v>
      </c>
      <c r="E16694">
        <f t="shared" si="786"/>
        <v>1.4285714285714285E-2</v>
      </c>
      <c r="F16694">
        <v>81</v>
      </c>
      <c r="G16694">
        <f>LOG(382/(81+1))</f>
        <v>0.66824951052799197</v>
      </c>
      <c r="H16694">
        <f>0.0142857142857142*1.53870136134232</f>
        <v>2.1981448019175866E-2</v>
      </c>
      <c r="I16694">
        <v>2.1981448019176029E-2</v>
      </c>
    </row>
    <row r="16695" spans="1:9" x14ac:dyDescent="0.25">
      <c r="A16695">
        <v>529</v>
      </c>
      <c r="B16695" t="s">
        <v>4278</v>
      </c>
      <c r="C16695" t="s">
        <v>138</v>
      </c>
      <c r="D16695" t="s">
        <v>1762</v>
      </c>
      <c r="E16695">
        <f t="shared" si="786"/>
        <v>1.4285714285714285E-2</v>
      </c>
      <c r="F16695">
        <v>60</v>
      </c>
      <c r="G16695">
        <f>LOG(382/(60+1))</f>
        <v>0.79673352790094176</v>
      </c>
      <c r="H16695">
        <f>0.0142857142857142*1.83454674443326</f>
        <v>2.62078106347607E-2</v>
      </c>
      <c r="I16695">
        <v>2.6207810634760909E-2</v>
      </c>
    </row>
    <row r="16696" spans="1:9" x14ac:dyDescent="0.25">
      <c r="A16696">
        <v>529</v>
      </c>
      <c r="B16696" t="s">
        <v>4278</v>
      </c>
      <c r="C16696" t="s">
        <v>138</v>
      </c>
      <c r="D16696" t="s">
        <v>201</v>
      </c>
      <c r="E16696">
        <f t="shared" si="786"/>
        <v>1.4285714285714285E-2</v>
      </c>
      <c r="F16696">
        <v>72</v>
      </c>
      <c r="G16696">
        <f>LOG(382/(72+1))</f>
        <v>0.71874050279125279</v>
      </c>
      <c r="H16696">
        <f>0.0142857142857142*1.65496116745818</f>
        <v>2.3642302392259573E-2</v>
      </c>
      <c r="I16696">
        <v>2.364230239225977E-2</v>
      </c>
    </row>
    <row r="16697" spans="1:9" x14ac:dyDescent="0.25">
      <c r="A16697">
        <v>529</v>
      </c>
      <c r="B16697" t="s">
        <v>4278</v>
      </c>
      <c r="C16697" t="s">
        <v>138</v>
      </c>
      <c r="D16697" t="s">
        <v>225</v>
      </c>
      <c r="E16697">
        <f t="shared" si="786"/>
        <v>1.4285714285714285E-2</v>
      </c>
      <c r="F16697">
        <v>30</v>
      </c>
      <c r="G16697">
        <f>LOG(382/(30+1))</f>
        <v>1.090701669077436</v>
      </c>
      <c r="H16697">
        <f>0.0142857142857142*2.51143340412142</f>
        <v>3.5877620058877215E-2</v>
      </c>
      <c r="I16697">
        <v>3.5877620058877548E-2</v>
      </c>
    </row>
    <row r="16698" spans="1:9" x14ac:dyDescent="0.25">
      <c r="A16698">
        <v>529</v>
      </c>
      <c r="B16698" t="s">
        <v>4278</v>
      </c>
      <c r="C16698" t="s">
        <v>138</v>
      </c>
      <c r="D16698" t="s">
        <v>1257</v>
      </c>
      <c r="E16698">
        <f t="shared" si="786"/>
        <v>1.4285714285714285E-2</v>
      </c>
      <c r="F16698">
        <v>10</v>
      </c>
      <c r="G16698">
        <f>LOG(382/(10+1))</f>
        <v>1.5406706777534838</v>
      </c>
      <c r="H16698">
        <f>0.0142857142857142*3.5475253358082</f>
        <v>5.067893336868827E-2</v>
      </c>
      <c r="I16698">
        <v>5.0678933368688638E-2</v>
      </c>
    </row>
    <row r="16699" spans="1:9" x14ac:dyDescent="0.25">
      <c r="A16699">
        <v>529</v>
      </c>
      <c r="B16699" t="s">
        <v>4278</v>
      </c>
      <c r="C16699" t="s">
        <v>138</v>
      </c>
      <c r="D16699" t="s">
        <v>937</v>
      </c>
      <c r="E16699">
        <f t="shared" si="786"/>
        <v>1.4285714285714285E-2</v>
      </c>
      <c r="F16699">
        <v>41</v>
      </c>
      <c r="G16699">
        <f>LOG(382/(41+1))</f>
        <v>0.95881407251380824</v>
      </c>
      <c r="H16699">
        <f>0.0142857142857142*2.2077509903232</f>
        <v>3.1539299861759816E-2</v>
      </c>
      <c r="I16699">
        <v>3.1539299861760101E-2</v>
      </c>
    </row>
    <row r="16700" spans="1:9" x14ac:dyDescent="0.25">
      <c r="A16700">
        <v>529</v>
      </c>
      <c r="B16700" t="s">
        <v>4278</v>
      </c>
      <c r="C16700" t="s">
        <v>138</v>
      </c>
      <c r="D16700" t="s">
        <v>123</v>
      </c>
      <c r="E16700">
        <f t="shared" si="786"/>
        <v>1.4285714285714285E-2</v>
      </c>
      <c r="F16700">
        <v>74</v>
      </c>
      <c r="G16700">
        <f>LOG(382/(74+1))</f>
        <v>0.7070020995200087</v>
      </c>
      <c r="H16700">
        <f>0.0142857142857142*1.62793249507026</f>
        <v>2.3256178501003574E-2</v>
      </c>
      <c r="I16700">
        <v>2.3256178501003779E-2</v>
      </c>
    </row>
    <row r="16701" spans="1:9" x14ac:dyDescent="0.25">
      <c r="A16701">
        <v>529</v>
      </c>
      <c r="B16701" t="s">
        <v>4278</v>
      </c>
      <c r="C16701" t="s">
        <v>138</v>
      </c>
      <c r="D16701" t="s">
        <v>81</v>
      </c>
      <c r="E16701">
        <f t="shared" si="786"/>
        <v>1.4285714285714285E-2</v>
      </c>
      <c r="F16701">
        <v>114</v>
      </c>
      <c r="G16701">
        <f>LOG(382/(114+1))</f>
        <v>0.52136552255809698</v>
      </c>
      <c r="H16701">
        <f>0.0142857142857142*1.20048848024332</f>
        <v>1.7149835432047327E-2</v>
      </c>
      <c r="I16701">
        <v>1.7149835432047501E-2</v>
      </c>
    </row>
    <row r="16702" spans="1:9" x14ac:dyDescent="0.25">
      <c r="A16702">
        <v>529</v>
      </c>
      <c r="B16702" t="s">
        <v>4278</v>
      </c>
      <c r="C16702" t="s">
        <v>138</v>
      </c>
      <c r="D16702" t="s">
        <v>1974</v>
      </c>
      <c r="E16702">
        <f t="shared" si="786"/>
        <v>1.4285714285714285E-2</v>
      </c>
      <c r="F16702">
        <v>9</v>
      </c>
      <c r="G16702">
        <f>LOG(382/(9+1))</f>
        <v>1.5820633629117087</v>
      </c>
      <c r="H16702">
        <f>0.0142857142857142*3.64283551561252</f>
        <v>5.204050736589283E-2</v>
      </c>
      <c r="I16702">
        <v>5.2040507365893267E-2</v>
      </c>
    </row>
    <row r="16703" spans="1:9" x14ac:dyDescent="0.25">
      <c r="A16703">
        <v>529</v>
      </c>
      <c r="B16703" t="s">
        <v>4278</v>
      </c>
      <c r="C16703" t="s">
        <v>138</v>
      </c>
      <c r="D16703" t="s">
        <v>2025</v>
      </c>
      <c r="E16703">
        <f t="shared" si="786"/>
        <v>1.4285714285714285E-2</v>
      </c>
      <c r="F16703">
        <v>3</v>
      </c>
      <c r="G16703">
        <f>LOG(382/(3+1))</f>
        <v>1.9800033715837464</v>
      </c>
      <c r="H16703">
        <f>0.0142857142857142*4.55912624748668</f>
        <v>6.5130374964095045E-2</v>
      </c>
      <c r="I16703">
        <v>6.5130374964095489E-2</v>
      </c>
    </row>
    <row r="16704" spans="1:9" x14ac:dyDescent="0.25">
      <c r="A16704">
        <v>529</v>
      </c>
      <c r="B16704" t="s">
        <v>4278</v>
      </c>
      <c r="C16704" t="s">
        <v>138</v>
      </c>
      <c r="D16704" t="s">
        <v>324</v>
      </c>
      <c r="E16704">
        <f t="shared" si="786"/>
        <v>1.4285714285714285E-2</v>
      </c>
      <c r="F16704">
        <v>82</v>
      </c>
      <c r="G16704">
        <f>LOG(382/(82+1))</f>
        <v>0.66298527053563483</v>
      </c>
      <c r="H16704">
        <f>0.0142857142857142*1.52658000080997</f>
        <v>2.1808285725856583E-2</v>
      </c>
      <c r="I16704">
        <v>2.1808285725856819E-2</v>
      </c>
    </row>
    <row r="16705" spans="1:9" x14ac:dyDescent="0.25">
      <c r="A16705">
        <v>529</v>
      </c>
      <c r="B16705" t="s">
        <v>4278</v>
      </c>
      <c r="C16705" t="s">
        <v>138</v>
      </c>
      <c r="D16705" t="s">
        <v>315</v>
      </c>
      <c r="E16705">
        <f t="shared" si="786"/>
        <v>1.4285714285714285E-2</v>
      </c>
      <c r="F16705">
        <v>55</v>
      </c>
      <c r="G16705">
        <f>LOG(382/(55+1))</f>
        <v>0.83387533590550833</v>
      </c>
      <c r="H16705">
        <f>0.0142857142857142*1.92006891787142</f>
        <v>2.7429555969591551E-2</v>
      </c>
      <c r="I16705">
        <v>2.7429555969591801E-2</v>
      </c>
    </row>
    <row r="16706" spans="1:9" x14ac:dyDescent="0.25">
      <c r="A16706">
        <v>529</v>
      </c>
      <c r="B16706" t="s">
        <v>4278</v>
      </c>
      <c r="C16706" t="s">
        <v>138</v>
      </c>
      <c r="D16706" t="s">
        <v>767</v>
      </c>
      <c r="E16706">
        <f>3/70</f>
        <v>4.2857142857142858E-2</v>
      </c>
      <c r="F16706">
        <v>47</v>
      </c>
      <c r="G16706">
        <f>LOG(382/(47+1))</f>
        <v>0.90082212553612151</v>
      </c>
      <c r="H16706">
        <f>0.0428571428571428*2.07421959769868</f>
        <v>8.88951256156576E-2</v>
      </c>
      <c r="I16706">
        <v>8.8895125615657891E-2</v>
      </c>
    </row>
    <row r="16707" spans="1:9" x14ac:dyDescent="0.25">
      <c r="A16707">
        <v>529</v>
      </c>
      <c r="B16707" t="s">
        <v>4278</v>
      </c>
      <c r="C16707" t="s">
        <v>138</v>
      </c>
      <c r="D16707" t="s">
        <v>1397</v>
      </c>
      <c r="E16707">
        <f>2/70</f>
        <v>2.8571428571428571E-2</v>
      </c>
      <c r="F16707">
        <v>29</v>
      </c>
      <c r="G16707">
        <f>LOG(382/(29+1))</f>
        <v>1.1049421081920463</v>
      </c>
      <c r="H16707">
        <f>0.0285714285714285*2.54422322694442</f>
        <v>7.2692092198411815E-2</v>
      </c>
      <c r="I16707">
        <v>7.2692092198411995E-2</v>
      </c>
    </row>
    <row r="16708" spans="1:9" x14ac:dyDescent="0.25">
      <c r="A16708">
        <v>529</v>
      </c>
      <c r="B16708" t="s">
        <v>4278</v>
      </c>
      <c r="C16708" t="s">
        <v>138</v>
      </c>
      <c r="D16708" t="s">
        <v>92</v>
      </c>
      <c r="E16708">
        <f>1/70</f>
        <v>1.4285714285714285E-2</v>
      </c>
      <c r="F16708">
        <v>12</v>
      </c>
      <c r="G16708">
        <f>LOG(382/(12+1))</f>
        <v>1.468120010604872</v>
      </c>
      <c r="H16708">
        <f>0.0142857142857142*3.38047125114503</f>
        <v>4.8292446444928715E-2</v>
      </c>
      <c r="I16708">
        <v>4.8292446444929117E-2</v>
      </c>
    </row>
    <row r="16709" spans="1:9" x14ac:dyDescent="0.25">
      <c r="A16709">
        <v>529</v>
      </c>
      <c r="B16709" t="s">
        <v>4278</v>
      </c>
      <c r="C16709" t="s">
        <v>138</v>
      </c>
      <c r="D16709" t="s">
        <v>4281</v>
      </c>
      <c r="E16709">
        <f>1/70</f>
        <v>1.4285714285714285E-2</v>
      </c>
      <c r="F16709">
        <v>1</v>
      </c>
      <c r="G16709">
        <f>LOG(382/(1+1))</f>
        <v>2.2810333672477277</v>
      </c>
      <c r="H16709">
        <f>0.0142857142857142*5.25227342804663</f>
        <v>7.5032477543522838E-2</v>
      </c>
      <c r="I16709">
        <v>7.5032477543523282E-2</v>
      </c>
    </row>
    <row r="16710" spans="1:9" x14ac:dyDescent="0.25">
      <c r="A16710">
        <v>529</v>
      </c>
      <c r="B16710" t="s">
        <v>4278</v>
      </c>
      <c r="C16710" t="s">
        <v>138</v>
      </c>
      <c r="D16710" t="s">
        <v>4282</v>
      </c>
      <c r="E16710">
        <f>1/70</f>
        <v>1.4285714285714285E-2</v>
      </c>
      <c r="F16710">
        <v>2</v>
      </c>
      <c r="G16710">
        <f>LOG(382/(2+1))</f>
        <v>2.1049421081920463</v>
      </c>
      <c r="H16710">
        <f>0.0142857142857142*4.84680831993846</f>
        <v>6.92401188562633E-2</v>
      </c>
      <c r="I16710">
        <v>6.9240118856263785E-2</v>
      </c>
    </row>
    <row r="16711" spans="1:9" x14ac:dyDescent="0.25">
      <c r="A16711">
        <v>529</v>
      </c>
      <c r="B16711" t="s">
        <v>4278</v>
      </c>
      <c r="C16711" t="s">
        <v>138</v>
      </c>
      <c r="D16711" t="s">
        <v>1073</v>
      </c>
      <c r="E16711">
        <f>1/70</f>
        <v>1.4285714285714285E-2</v>
      </c>
      <c r="F16711">
        <v>25</v>
      </c>
      <c r="G16711">
        <f>LOG(382/(25+1))</f>
        <v>1.1670900149408907</v>
      </c>
      <c r="H16711">
        <f>0.0142857142857142*2.68732407058509</f>
        <v>3.839034386550106E-2</v>
      </c>
      <c r="I16711">
        <v>3.8390343865501331E-2</v>
      </c>
    </row>
    <row r="16712" spans="1:9" x14ac:dyDescent="0.25">
      <c r="A16712">
        <v>530</v>
      </c>
      <c r="B16712" t="s">
        <v>4283</v>
      </c>
      <c r="C16712" t="s">
        <v>138</v>
      </c>
      <c r="D16712" t="s">
        <v>44</v>
      </c>
      <c r="E16712">
        <f>3/79</f>
        <v>3.7974683544303799E-2</v>
      </c>
      <c r="F16712">
        <v>151</v>
      </c>
      <c r="G16712">
        <f>LOG(382/(151+1))</f>
        <v>0.40021977496693617</v>
      </c>
      <c r="H16712">
        <f>0.0379746835443038*0.921540087760298</f>
        <v>3.4995193206087266E-2</v>
      </c>
      <c r="I16712">
        <v>3.4995193206087287E-2</v>
      </c>
    </row>
    <row r="16713" spans="1:9" x14ac:dyDescent="0.25">
      <c r="A16713">
        <v>530</v>
      </c>
      <c r="B16713" t="s">
        <v>4283</v>
      </c>
      <c r="C16713" t="s">
        <v>138</v>
      </c>
      <c r="D16713" t="s">
        <v>2427</v>
      </c>
      <c r="E16713">
        <f>2/79</f>
        <v>2.5316455696202531E-2</v>
      </c>
      <c r="F16713">
        <v>3</v>
      </c>
      <c r="G16713">
        <f>LOG(382/(3+1))</f>
        <v>1.9800033715837464</v>
      </c>
      <c r="H16713">
        <f>0.0253164556962025*4.55912624748668</f>
        <v>0.11542091765789049</v>
      </c>
      <c r="I16713">
        <v>0.1154209176578907</v>
      </c>
    </row>
    <row r="16714" spans="1:9" x14ac:dyDescent="0.25">
      <c r="A16714">
        <v>530</v>
      </c>
      <c r="B16714" t="s">
        <v>4283</v>
      </c>
      <c r="C16714" t="s">
        <v>138</v>
      </c>
      <c r="D16714" t="s">
        <v>750</v>
      </c>
      <c r="E16714">
        <f>2/79</f>
        <v>2.5316455696202531E-2</v>
      </c>
      <c r="F16714">
        <v>9</v>
      </c>
      <c r="G16714">
        <f>LOG(382/(9+1))</f>
        <v>1.5820633629117087</v>
      </c>
      <c r="H16714">
        <f>0.0253164556962025*3.64283551561252</f>
        <v>9.2223683939557349E-2</v>
      </c>
      <c r="I16714">
        <v>9.222368393955771E-2</v>
      </c>
    </row>
    <row r="16715" spans="1:9" x14ac:dyDescent="0.25">
      <c r="A16715">
        <v>530</v>
      </c>
      <c r="B16715" t="s">
        <v>4283</v>
      </c>
      <c r="C16715" t="s">
        <v>138</v>
      </c>
      <c r="D16715" t="s">
        <v>747</v>
      </c>
      <c r="E16715">
        <f t="shared" ref="E16715:E16725" si="787">1/79</f>
        <v>1.2658227848101266E-2</v>
      </c>
      <c r="F16715">
        <v>14</v>
      </c>
      <c r="G16715">
        <f>LOG(382/(14+1))</f>
        <v>1.4059721038560276</v>
      </c>
      <c r="H16715">
        <f>0.0126582278481012*3.23737040750436</f>
        <v>4.0979372246890418E-2</v>
      </c>
      <c r="I16715">
        <v>4.0979372246890702E-2</v>
      </c>
    </row>
    <row r="16716" spans="1:9" x14ac:dyDescent="0.25">
      <c r="A16716">
        <v>530</v>
      </c>
      <c r="B16716" t="s">
        <v>4283</v>
      </c>
      <c r="C16716" t="s">
        <v>138</v>
      </c>
      <c r="D16716" t="s">
        <v>42</v>
      </c>
      <c r="E16716">
        <f t="shared" si="787"/>
        <v>1.2658227848101266E-2</v>
      </c>
      <c r="F16716">
        <v>251</v>
      </c>
      <c r="G16716">
        <f>LOG(382/(251+1))</f>
        <v>0.18066282213016463</v>
      </c>
      <c r="H16716">
        <f>0.0126582278481012*0.415991521095151</f>
        <v>5.2657154569006178E-3</v>
      </c>
      <c r="I16716">
        <v>5.265715456900656E-3</v>
      </c>
    </row>
    <row r="16717" spans="1:9" x14ac:dyDescent="0.25">
      <c r="A16717">
        <v>530</v>
      </c>
      <c r="B16717" t="s">
        <v>4283</v>
      </c>
      <c r="C16717" t="s">
        <v>138</v>
      </c>
      <c r="D16717" t="s">
        <v>636</v>
      </c>
      <c r="E16717">
        <f t="shared" si="787"/>
        <v>1.2658227848101266E-2</v>
      </c>
      <c r="F16717">
        <v>31</v>
      </c>
      <c r="G16717">
        <f>LOG(382/(31+1))</f>
        <v>1.0769133845918029</v>
      </c>
      <c r="H16717">
        <f>0.0126582278481012*2.47968470580684</f>
        <v>3.1388413997554772E-2</v>
      </c>
      <c r="I16717">
        <v>3.1388413997555049E-2</v>
      </c>
    </row>
    <row r="16718" spans="1:9" x14ac:dyDescent="0.25">
      <c r="A16718">
        <v>530</v>
      </c>
      <c r="B16718" t="s">
        <v>4283</v>
      </c>
      <c r="C16718" t="s">
        <v>138</v>
      </c>
      <c r="D16718" t="s">
        <v>637</v>
      </c>
      <c r="E16718">
        <f t="shared" si="787"/>
        <v>1.2658227848101266E-2</v>
      </c>
      <c r="F16718">
        <v>29</v>
      </c>
      <c r="G16718">
        <f>LOG(382/(29+1))</f>
        <v>1.1049421081920463</v>
      </c>
      <c r="H16718">
        <f>0.0126582278481012*2.54422322694442</f>
        <v>3.2205357303093755E-2</v>
      </c>
      <c r="I16718">
        <v>3.2205357303093922E-2</v>
      </c>
    </row>
    <row r="16719" spans="1:9" x14ac:dyDescent="0.25">
      <c r="A16719">
        <v>530</v>
      </c>
      <c r="B16719" t="s">
        <v>4283</v>
      </c>
      <c r="C16719" t="s">
        <v>138</v>
      </c>
      <c r="D16719" t="s">
        <v>70</v>
      </c>
      <c r="E16719">
        <f t="shared" si="787"/>
        <v>1.2658227848101266E-2</v>
      </c>
      <c r="F16719">
        <v>44</v>
      </c>
      <c r="G16719">
        <f>LOG(382/(44+1))</f>
        <v>0.92885084913636506</v>
      </c>
      <c r="H16719">
        <f>0.0126582278481012*2.13875811883625</f>
        <v>2.7072887580205554E-2</v>
      </c>
      <c r="I16719">
        <v>2.7072887580205759E-2</v>
      </c>
    </row>
    <row r="16720" spans="1:9" x14ac:dyDescent="0.25">
      <c r="A16720">
        <v>530</v>
      </c>
      <c r="B16720" t="s">
        <v>4283</v>
      </c>
      <c r="C16720" t="s">
        <v>138</v>
      </c>
      <c r="D16720" t="s">
        <v>19</v>
      </c>
      <c r="E16720">
        <f t="shared" si="787"/>
        <v>1.2658227848101266E-2</v>
      </c>
      <c r="F16720">
        <v>220</v>
      </c>
      <c r="G16720">
        <f>LOG(382/(220+1))</f>
        <v>0.23767108922659805</v>
      </c>
      <c r="H16720">
        <f>0.0126582278481012*0.547257907088822</f>
        <v>6.9273152796053058E-3</v>
      </c>
      <c r="I16720">
        <v>6.9273152796053474E-3</v>
      </c>
    </row>
    <row r="16721" spans="1:9" x14ac:dyDescent="0.25">
      <c r="A16721">
        <v>530</v>
      </c>
      <c r="B16721" t="s">
        <v>4283</v>
      </c>
      <c r="C16721" t="s">
        <v>138</v>
      </c>
      <c r="D16721" t="s">
        <v>22</v>
      </c>
      <c r="E16721">
        <f t="shared" si="787"/>
        <v>1.2658227848101266E-2</v>
      </c>
      <c r="F16721">
        <v>259</v>
      </c>
      <c r="G16721">
        <f>LOG(382/(259+1))</f>
        <v>0.16709001494089079</v>
      </c>
      <c r="H16721">
        <f>0.0126582278481012*0.384738977591047</f>
        <v>4.8701136403929753E-3</v>
      </c>
      <c r="I16721">
        <v>4.8701136403930074E-3</v>
      </c>
    </row>
    <row r="16722" spans="1:9" x14ac:dyDescent="0.25">
      <c r="A16722">
        <v>530</v>
      </c>
      <c r="B16722" t="s">
        <v>4283</v>
      </c>
      <c r="C16722" t="s">
        <v>138</v>
      </c>
      <c r="D16722" t="s">
        <v>23</v>
      </c>
      <c r="E16722">
        <f t="shared" si="787"/>
        <v>1.2658227848101266E-2</v>
      </c>
      <c r="F16722">
        <v>275</v>
      </c>
      <c r="G16722">
        <f>LOG(382/(275+1))</f>
        <v>0.14115428084649101</v>
      </c>
      <c r="H16722">
        <f>0.0126582278481012*0.325019742889425</f>
        <v>4.1141739606256108E-3</v>
      </c>
      <c r="I16722">
        <v>4.1141739606256351E-3</v>
      </c>
    </row>
    <row r="16723" spans="1:9" x14ac:dyDescent="0.25">
      <c r="A16723">
        <v>530</v>
      </c>
      <c r="B16723" t="s">
        <v>4283</v>
      </c>
      <c r="C16723" t="s">
        <v>138</v>
      </c>
      <c r="D16723" t="s">
        <v>1785</v>
      </c>
      <c r="E16723">
        <f t="shared" si="787"/>
        <v>1.2658227848101266E-2</v>
      </c>
      <c r="F16723">
        <v>21</v>
      </c>
      <c r="G16723">
        <f>LOG(382/(21+1))</f>
        <v>1.2396406820895025</v>
      </c>
      <c r="H16723">
        <f>0.0126582278481012*2.85437815524825</f>
        <v>3.6131369053775127E-2</v>
      </c>
      <c r="I16723">
        <v>3.6131369053775432E-2</v>
      </c>
    </row>
    <row r="16724" spans="1:9" x14ac:dyDescent="0.25">
      <c r="A16724">
        <v>530</v>
      </c>
      <c r="B16724" t="s">
        <v>4283</v>
      </c>
      <c r="C16724" t="s">
        <v>138</v>
      </c>
      <c r="D16724" t="s">
        <v>751</v>
      </c>
      <c r="E16724">
        <f t="shared" si="787"/>
        <v>1.2658227848101266E-2</v>
      </c>
      <c r="F16724">
        <v>4</v>
      </c>
      <c r="G16724">
        <f>LOG(382/(4+1))</f>
        <v>1.8830933585756899</v>
      </c>
      <c r="H16724">
        <f>0.0126582278481012*4.33598269617247</f>
        <v>5.4885856913575289E-2</v>
      </c>
      <c r="I16724">
        <v>5.4885856913575629E-2</v>
      </c>
    </row>
    <row r="16725" spans="1:9" x14ac:dyDescent="0.25">
      <c r="A16725">
        <v>530</v>
      </c>
      <c r="B16725" t="s">
        <v>4283</v>
      </c>
      <c r="C16725" t="s">
        <v>138</v>
      </c>
      <c r="D16725" t="s">
        <v>204</v>
      </c>
      <c r="E16725">
        <f t="shared" si="787"/>
        <v>1.2658227848101266E-2</v>
      </c>
      <c r="F16725">
        <v>166</v>
      </c>
      <c r="G16725">
        <f>LOG(382/(166+1))</f>
        <v>0.35934689176412549</v>
      </c>
      <c r="H16725">
        <f>0.0126582278481012*0.82742679618982</f>
        <v>1.0473756913795134E-2</v>
      </c>
      <c r="I16725">
        <v>1.047375691379519E-2</v>
      </c>
    </row>
    <row r="16726" spans="1:9" x14ac:dyDescent="0.25">
      <c r="A16726">
        <v>530</v>
      </c>
      <c r="B16726" t="s">
        <v>4283</v>
      </c>
      <c r="C16726" t="s">
        <v>138</v>
      </c>
      <c r="D16726" t="s">
        <v>76</v>
      </c>
      <c r="E16726">
        <f>2/79</f>
        <v>2.5316455696202531E-2</v>
      </c>
      <c r="F16726">
        <v>140</v>
      </c>
      <c r="G16726">
        <f>LOG(382/(140+1))</f>
        <v>0.43284425025632883</v>
      </c>
      <c r="H16726">
        <f>0.0253164556962025*0.996660718228407</f>
        <v>2.5231916917174829E-2</v>
      </c>
      <c r="I16726">
        <v>2.523191691717486E-2</v>
      </c>
    </row>
    <row r="16727" spans="1:9" x14ac:dyDescent="0.25">
      <c r="A16727">
        <v>530</v>
      </c>
      <c r="B16727" t="s">
        <v>4283</v>
      </c>
      <c r="C16727" t="s">
        <v>138</v>
      </c>
      <c r="D16727" t="s">
        <v>40</v>
      </c>
      <c r="E16727">
        <f>3/79</f>
        <v>3.7974683544303799E-2</v>
      </c>
      <c r="F16727">
        <v>159</v>
      </c>
      <c r="G16727">
        <f>LOG(382/(159+1))</f>
        <v>0.377943380255784</v>
      </c>
      <c r="H16727">
        <f>0.0379746835443038*0.870246793372748</f>
        <v>3.3047346583775242E-2</v>
      </c>
      <c r="I16727">
        <v>3.3047346583775263E-2</v>
      </c>
    </row>
    <row r="16728" spans="1:9" x14ac:dyDescent="0.25">
      <c r="A16728">
        <v>530</v>
      </c>
      <c r="B16728" t="s">
        <v>4283</v>
      </c>
      <c r="C16728" t="s">
        <v>138</v>
      </c>
      <c r="D16728" t="s">
        <v>41</v>
      </c>
      <c r="E16728">
        <f>1/79</f>
        <v>1.2658227848101266E-2</v>
      </c>
      <c r="F16728">
        <v>195</v>
      </c>
      <c r="G16728">
        <f>LOG(382/(195+1))</f>
        <v>0.28980729155523272</v>
      </c>
      <c r="H16728">
        <f>0.0126582278481012*0.667305949376058</f>
        <v>8.4469107515956279E-3</v>
      </c>
      <c r="I16728">
        <v>8.4469107515956713E-3</v>
      </c>
    </row>
    <row r="16729" spans="1:9" x14ac:dyDescent="0.25">
      <c r="A16729">
        <v>530</v>
      </c>
      <c r="B16729" t="s">
        <v>4283</v>
      </c>
      <c r="C16729" t="s">
        <v>138</v>
      </c>
      <c r="D16729" t="s">
        <v>752</v>
      </c>
      <c r="E16729">
        <f>1/79</f>
        <v>1.2658227848101266E-2</v>
      </c>
      <c r="F16729">
        <v>34</v>
      </c>
      <c r="G16729">
        <f>LOG(382/(34+1))</f>
        <v>1.037995318561433</v>
      </c>
      <c r="H16729">
        <f>0.0126582278481012*2.39007254711716</f>
        <v>3.0254082874900601E-2</v>
      </c>
      <c r="I16729">
        <v>3.0254082874900771E-2</v>
      </c>
    </row>
    <row r="16730" spans="1:9" x14ac:dyDescent="0.25">
      <c r="A16730">
        <v>530</v>
      </c>
      <c r="B16730" t="s">
        <v>4283</v>
      </c>
      <c r="C16730" t="s">
        <v>138</v>
      </c>
      <c r="D16730" t="s">
        <v>322</v>
      </c>
      <c r="E16730">
        <f>3/79</f>
        <v>3.7974683544303799E-2</v>
      </c>
      <c r="F16730">
        <v>128</v>
      </c>
      <c r="G16730">
        <f>LOG(382/(128+1))</f>
        <v>0.47147365261245977</v>
      </c>
      <c r="H16730">
        <f>0.0379746835443038*1.0856082042449</f>
        <v>4.1225628009299999E-2</v>
      </c>
      <c r="I16730">
        <v>4.1225628009300123E-2</v>
      </c>
    </row>
    <row r="16731" spans="1:9" x14ac:dyDescent="0.25">
      <c r="A16731">
        <v>530</v>
      </c>
      <c r="B16731" t="s">
        <v>4283</v>
      </c>
      <c r="C16731" t="s">
        <v>138</v>
      </c>
      <c r="D16731" t="s">
        <v>338</v>
      </c>
      <c r="E16731">
        <f>2/79</f>
        <v>2.5316455696202531E-2</v>
      </c>
      <c r="F16731">
        <v>54</v>
      </c>
      <c r="G16731">
        <f>LOG(382/(54+1))</f>
        <v>0.84170067341746491</v>
      </c>
      <c r="H16731">
        <f>0.0253164556962025*1.9380874233741</f>
        <v>4.9065504389217661E-2</v>
      </c>
      <c r="I16731">
        <v>4.9065504389217827E-2</v>
      </c>
    </row>
    <row r="16732" spans="1:9" x14ac:dyDescent="0.25">
      <c r="A16732">
        <v>530</v>
      </c>
      <c r="B16732" t="s">
        <v>4283</v>
      </c>
      <c r="C16732" t="s">
        <v>138</v>
      </c>
      <c r="D16732" t="s">
        <v>754</v>
      </c>
      <c r="E16732">
        <f>1/79</f>
        <v>1.2658227848101266E-2</v>
      </c>
      <c r="F16732">
        <v>111</v>
      </c>
      <c r="G16732">
        <f>LOG(382/(111+1))</f>
        <v>0.53284534024152708</v>
      </c>
      <c r="H16732">
        <f>0.0126582278481012*1.22692173731148</f>
        <v>1.5530654902676881E-2</v>
      </c>
      <c r="I16732">
        <v>1.5530654902676969E-2</v>
      </c>
    </row>
    <row r="16733" spans="1:9" x14ac:dyDescent="0.25">
      <c r="A16733">
        <v>530</v>
      </c>
      <c r="B16733" t="s">
        <v>4283</v>
      </c>
      <c r="C16733" t="s">
        <v>138</v>
      </c>
      <c r="D16733" t="s">
        <v>649</v>
      </c>
      <c r="E16733">
        <f>2/79</f>
        <v>2.5316455696202531E-2</v>
      </c>
      <c r="F16733">
        <v>25</v>
      </c>
      <c r="G16733">
        <f>LOG(382/(25+1))</f>
        <v>1.1670900149408907</v>
      </c>
      <c r="H16733">
        <f>0.0253164556962025*2.68732407058509</f>
        <v>6.8033520774305994E-2</v>
      </c>
      <c r="I16733">
        <v>6.8033520774306161E-2</v>
      </c>
    </row>
    <row r="16734" spans="1:9" x14ac:dyDescent="0.25">
      <c r="A16734">
        <v>530</v>
      </c>
      <c r="B16734" t="s">
        <v>4283</v>
      </c>
      <c r="C16734" t="s">
        <v>138</v>
      </c>
      <c r="D16734" t="s">
        <v>243</v>
      </c>
      <c r="E16734">
        <f t="shared" ref="E16734:E16741" si="788">1/79</f>
        <v>1.2658227848101266E-2</v>
      </c>
      <c r="F16734">
        <v>131</v>
      </c>
      <c r="G16734">
        <f>LOG(382/(131+1))</f>
        <v>0.46148943170585888</v>
      </c>
      <c r="H16734">
        <f>0.0126582278481012*1.0626186860202</f>
        <v>1.34508694432936E-2</v>
      </c>
      <c r="I16734">
        <v>1.3450869443293731E-2</v>
      </c>
    </row>
    <row r="16735" spans="1:9" x14ac:dyDescent="0.25">
      <c r="A16735">
        <v>530</v>
      </c>
      <c r="B16735" t="s">
        <v>4283</v>
      </c>
      <c r="C16735" t="s">
        <v>138</v>
      </c>
      <c r="D16735" t="s">
        <v>453</v>
      </c>
      <c r="E16735">
        <f t="shared" si="788"/>
        <v>1.2658227848101266E-2</v>
      </c>
      <c r="F16735">
        <v>68</v>
      </c>
      <c r="G16735">
        <f>LOG(382/(68+1))</f>
        <v>0.74321427217445335</v>
      </c>
      <c r="H16735">
        <f>0.0126582278481012*1.71131410400931</f>
        <v>2.1662203848219E-2</v>
      </c>
      <c r="I16735">
        <v>2.1662203848219191E-2</v>
      </c>
    </row>
    <row r="16736" spans="1:9" x14ac:dyDescent="0.25">
      <c r="A16736">
        <v>530</v>
      </c>
      <c r="B16736" t="s">
        <v>4283</v>
      </c>
      <c r="C16736" t="s">
        <v>138</v>
      </c>
      <c r="D16736" t="s">
        <v>455</v>
      </c>
      <c r="E16736">
        <f t="shared" si="788"/>
        <v>1.2658227848101266E-2</v>
      </c>
      <c r="F16736">
        <v>78</v>
      </c>
      <c r="G16736">
        <f>LOG(382/(78+1))</f>
        <v>0.6844362716212673</v>
      </c>
      <c r="H16736">
        <f>0.0126582278481012*1.57597275613955</f>
        <v>1.9949022229614453E-2</v>
      </c>
      <c r="I16736">
        <v>1.9949022229614609E-2</v>
      </c>
    </row>
    <row r="16737" spans="1:9" x14ac:dyDescent="0.25">
      <c r="A16737">
        <v>530</v>
      </c>
      <c r="B16737" t="s">
        <v>4283</v>
      </c>
      <c r="C16737" t="s">
        <v>138</v>
      </c>
      <c r="D16737" t="s">
        <v>456</v>
      </c>
      <c r="E16737">
        <f t="shared" si="788"/>
        <v>1.2658227848101266E-2</v>
      </c>
      <c r="F16737">
        <v>71</v>
      </c>
      <c r="G16737">
        <f>LOG(382/(71+1))</f>
        <v>0.72473086648044027</v>
      </c>
      <c r="H16737">
        <f>0.0126582278481012*1.66875448959051</f>
        <v>2.1123474551778498E-2</v>
      </c>
      <c r="I16737">
        <v>2.112347455177873E-2</v>
      </c>
    </row>
    <row r="16738" spans="1:9" x14ac:dyDescent="0.25">
      <c r="A16738">
        <v>530</v>
      </c>
      <c r="B16738" t="s">
        <v>4283</v>
      </c>
      <c r="C16738" t="s">
        <v>138</v>
      </c>
      <c r="D16738" t="s">
        <v>1779</v>
      </c>
      <c r="E16738">
        <f t="shared" si="788"/>
        <v>1.2658227848101266E-2</v>
      </c>
      <c r="F16738">
        <v>41</v>
      </c>
      <c r="G16738">
        <f>LOG(382/(41+1))</f>
        <v>0.95881407251380824</v>
      </c>
      <c r="H16738">
        <f>0.0126582278481012*2.2077509903232</f>
        <v>2.7946215067382135E-2</v>
      </c>
      <c r="I16738">
        <v>2.794621506738236E-2</v>
      </c>
    </row>
    <row r="16739" spans="1:9" x14ac:dyDescent="0.25">
      <c r="A16739">
        <v>530</v>
      </c>
      <c r="B16739" t="s">
        <v>4283</v>
      </c>
      <c r="C16739" t="s">
        <v>138</v>
      </c>
      <c r="D16739" t="s">
        <v>3956</v>
      </c>
      <c r="E16739">
        <f t="shared" si="788"/>
        <v>1.2658227848101266E-2</v>
      </c>
      <c r="F16739">
        <v>8</v>
      </c>
      <c r="G16739">
        <f>LOG(382/(8+1))</f>
        <v>1.6278208534723839</v>
      </c>
      <c r="H16739">
        <f>0.0126582278481012*3.74819603127035</f>
        <v>4.7445519383168738E-2</v>
      </c>
      <c r="I16739">
        <v>4.7445519383169057E-2</v>
      </c>
    </row>
    <row r="16740" spans="1:9" x14ac:dyDescent="0.25">
      <c r="A16740">
        <v>530</v>
      </c>
      <c r="B16740" t="s">
        <v>4283</v>
      </c>
      <c r="C16740" t="s">
        <v>138</v>
      </c>
      <c r="D16740" t="s">
        <v>4284</v>
      </c>
      <c r="E16740">
        <f t="shared" si="788"/>
        <v>1.2658227848101266E-2</v>
      </c>
      <c r="F16740">
        <v>1</v>
      </c>
      <c r="G16740">
        <f>LOG(382/(1+1))</f>
        <v>2.2810333672477277</v>
      </c>
      <c r="H16740">
        <f>0.0126582278481012*5.25227342804663</f>
        <v>6.6484473772741803E-2</v>
      </c>
      <c r="I16740">
        <v>6.648447377274215E-2</v>
      </c>
    </row>
    <row r="16741" spans="1:9" x14ac:dyDescent="0.25">
      <c r="A16741">
        <v>530</v>
      </c>
      <c r="B16741" t="s">
        <v>4283</v>
      </c>
      <c r="C16741" t="s">
        <v>138</v>
      </c>
      <c r="D16741" t="s">
        <v>4285</v>
      </c>
      <c r="E16741">
        <f t="shared" si="788"/>
        <v>1.2658227848101266E-2</v>
      </c>
      <c r="F16741">
        <v>1</v>
      </c>
      <c r="G16741">
        <f>LOG(382/(1+1))</f>
        <v>2.2810333672477277</v>
      </c>
      <c r="H16741">
        <f>0.0126582278481012*5.25227342804663</f>
        <v>6.6484473772741803E-2</v>
      </c>
      <c r="I16741">
        <v>6.648447377274215E-2</v>
      </c>
    </row>
    <row r="16742" spans="1:9" x14ac:dyDescent="0.25">
      <c r="A16742">
        <v>530</v>
      </c>
      <c r="B16742" t="s">
        <v>4283</v>
      </c>
      <c r="C16742" t="s">
        <v>138</v>
      </c>
      <c r="D16742" t="s">
        <v>762</v>
      </c>
      <c r="E16742">
        <f>3/79</f>
        <v>3.7974683544303799E-2</v>
      </c>
      <c r="F16742">
        <v>29</v>
      </c>
      <c r="G16742">
        <f>LOG(382/(29+1))</f>
        <v>1.1049421081920463</v>
      </c>
      <c r="H16742">
        <f>0.0379746835443038*2.54422322694442</f>
        <v>9.6616071909281773E-2</v>
      </c>
      <c r="I16742">
        <v>9.6616071909281773E-2</v>
      </c>
    </row>
    <row r="16743" spans="1:9" x14ac:dyDescent="0.25">
      <c r="A16743">
        <v>530</v>
      </c>
      <c r="B16743" t="s">
        <v>4283</v>
      </c>
      <c r="C16743" t="s">
        <v>138</v>
      </c>
      <c r="D16743" t="s">
        <v>4275</v>
      </c>
      <c r="E16743">
        <f>1/79</f>
        <v>1.2658227848101266E-2</v>
      </c>
      <c r="F16743">
        <v>3</v>
      </c>
      <c r="G16743">
        <f>LOG(382/(3+1))</f>
        <v>1.9800033715837464</v>
      </c>
      <c r="H16743">
        <f>0.0126582278481012*4.55912624748668</f>
        <v>5.7710458828945016E-2</v>
      </c>
      <c r="I16743">
        <v>5.771045882894537E-2</v>
      </c>
    </row>
    <row r="16744" spans="1:9" x14ac:dyDescent="0.25">
      <c r="A16744">
        <v>530</v>
      </c>
      <c r="B16744" t="s">
        <v>4283</v>
      </c>
      <c r="C16744" t="s">
        <v>138</v>
      </c>
      <c r="D16744" t="s">
        <v>4276</v>
      </c>
      <c r="E16744">
        <f>1/79</f>
        <v>1.2658227848101266E-2</v>
      </c>
      <c r="F16744">
        <v>8</v>
      </c>
      <c r="G16744">
        <f>LOG(382/(8+1))</f>
        <v>1.6278208534723839</v>
      </c>
      <c r="H16744">
        <f>0.0126582278481012*3.74819603127035</f>
        <v>4.7445519383168738E-2</v>
      </c>
      <c r="I16744">
        <v>4.7445519383169057E-2</v>
      </c>
    </row>
    <row r="16745" spans="1:9" x14ac:dyDescent="0.25">
      <c r="A16745">
        <v>530</v>
      </c>
      <c r="B16745" t="s">
        <v>4283</v>
      </c>
      <c r="C16745" t="s">
        <v>138</v>
      </c>
      <c r="D16745" t="s">
        <v>1773</v>
      </c>
      <c r="E16745">
        <f>1/79</f>
        <v>1.2658227848101266E-2</v>
      </c>
      <c r="F16745">
        <v>24</v>
      </c>
      <c r="G16745">
        <f>LOG(382/(24+1))</f>
        <v>1.1841233542396712</v>
      </c>
      <c r="H16745">
        <f>0.0126582278481012*2.72654478373837</f>
        <v>3.4513225110612097E-2</v>
      </c>
      <c r="I16745">
        <v>3.4513225110612333E-2</v>
      </c>
    </row>
    <row r="16746" spans="1:9" x14ac:dyDescent="0.25">
      <c r="A16746">
        <v>530</v>
      </c>
      <c r="B16746" t="s">
        <v>4283</v>
      </c>
      <c r="C16746" t="s">
        <v>138</v>
      </c>
      <c r="D16746" t="s">
        <v>447</v>
      </c>
      <c r="E16746">
        <f>2/79</f>
        <v>2.5316455696202531E-2</v>
      </c>
      <c r="F16746">
        <v>37</v>
      </c>
      <c r="G16746">
        <f>LOG(382/(37+1))</f>
        <v>1.0022797662948986</v>
      </c>
      <c r="H16746">
        <f>0.0253164556962025*2.30783444888018</f>
        <v>5.8426188579244989E-2</v>
      </c>
      <c r="I16746">
        <v>5.8426188579245288E-2</v>
      </c>
    </row>
    <row r="16747" spans="1:9" x14ac:dyDescent="0.25">
      <c r="A16747">
        <v>530</v>
      </c>
      <c r="B16747" t="s">
        <v>4283</v>
      </c>
      <c r="C16747" t="s">
        <v>138</v>
      </c>
      <c r="D16747" t="s">
        <v>931</v>
      </c>
      <c r="E16747">
        <f t="shared" ref="E16747:E16759" si="789">1/79</f>
        <v>1.2658227848101266E-2</v>
      </c>
      <c r="F16747">
        <v>22</v>
      </c>
      <c r="G16747">
        <f>LOG(382/(22+1))</f>
        <v>1.2203355268941158</v>
      </c>
      <c r="H16747">
        <f>0.0126582278481012*2.80992639267742</f>
        <v>3.5568688514903864E-2</v>
      </c>
      <c r="I16747">
        <v>3.556868851490412E-2</v>
      </c>
    </row>
    <row r="16748" spans="1:9" x14ac:dyDescent="0.25">
      <c r="A16748">
        <v>530</v>
      </c>
      <c r="B16748" t="s">
        <v>4283</v>
      </c>
      <c r="C16748" t="s">
        <v>138</v>
      </c>
      <c r="D16748" t="s">
        <v>597</v>
      </c>
      <c r="E16748">
        <f t="shared" si="789"/>
        <v>1.2658227848101266E-2</v>
      </c>
      <c r="F16748">
        <v>51</v>
      </c>
      <c r="G16748">
        <f>LOG(382/(51+1))</f>
        <v>0.86606001927690957</v>
      </c>
      <c r="H16748">
        <f>0.0126582278481012*1.99417689002514</f>
        <v>2.5242745443356071E-2</v>
      </c>
      <c r="I16748">
        <v>2.52427454433563E-2</v>
      </c>
    </row>
    <row r="16749" spans="1:9" x14ac:dyDescent="0.25">
      <c r="A16749">
        <v>530</v>
      </c>
      <c r="B16749" t="s">
        <v>4283</v>
      </c>
      <c r="C16749" t="s">
        <v>138</v>
      </c>
      <c r="D16749" t="s">
        <v>11</v>
      </c>
      <c r="E16749">
        <f t="shared" si="789"/>
        <v>1.2658227848101266E-2</v>
      </c>
      <c r="F16749">
        <v>83</v>
      </c>
      <c r="G16749">
        <f>LOG(382/(83+1))</f>
        <v>0.65778407684982709</v>
      </c>
      <c r="H16749">
        <f>0.0126582278481012*1.51460380976326</f>
        <v>1.9172200123585469E-2</v>
      </c>
      <c r="I16749">
        <v>1.917220012358559E-2</v>
      </c>
    </row>
    <row r="16750" spans="1:9" x14ac:dyDescent="0.25">
      <c r="A16750">
        <v>530</v>
      </c>
      <c r="B16750" t="s">
        <v>4283</v>
      </c>
      <c r="C16750" t="s">
        <v>138</v>
      </c>
      <c r="D16750" t="s">
        <v>1832</v>
      </c>
      <c r="E16750">
        <f t="shared" si="789"/>
        <v>1.2658227848101266E-2</v>
      </c>
      <c r="F16750">
        <v>9</v>
      </c>
      <c r="G16750">
        <f>LOG(382/(9+1))</f>
        <v>1.5820633629117087</v>
      </c>
      <c r="H16750">
        <f>0.0126582278481012*3.64283551561252</f>
        <v>4.6111841969778494E-2</v>
      </c>
      <c r="I16750">
        <v>4.6111841969778862E-2</v>
      </c>
    </row>
    <row r="16751" spans="1:9" x14ac:dyDescent="0.25">
      <c r="A16751">
        <v>530</v>
      </c>
      <c r="B16751" t="s">
        <v>4283</v>
      </c>
      <c r="C16751" t="s">
        <v>138</v>
      </c>
      <c r="D16751" t="s">
        <v>4280</v>
      </c>
      <c r="E16751">
        <f t="shared" si="789"/>
        <v>1.2658227848101266E-2</v>
      </c>
      <c r="F16751">
        <v>3</v>
      </c>
      <c r="G16751">
        <f>LOG(382/(3+1))</f>
        <v>1.9800033715837464</v>
      </c>
      <c r="H16751">
        <f>0.0126582278481012*4.55912624748668</f>
        <v>5.7710458828945016E-2</v>
      </c>
      <c r="I16751">
        <v>5.771045882894537E-2</v>
      </c>
    </row>
    <row r="16752" spans="1:9" x14ac:dyDescent="0.25">
      <c r="A16752">
        <v>530</v>
      </c>
      <c r="B16752" t="s">
        <v>4283</v>
      </c>
      <c r="C16752" t="s">
        <v>138</v>
      </c>
      <c r="D16752" t="s">
        <v>726</v>
      </c>
      <c r="E16752">
        <f t="shared" si="789"/>
        <v>1.2658227848101266E-2</v>
      </c>
      <c r="F16752">
        <v>37</v>
      </c>
      <c r="G16752">
        <f>LOG(382/(37+1))</f>
        <v>1.0022797662948986</v>
      </c>
      <c r="H16752">
        <f>0.0126582278481012*2.30783444888018</f>
        <v>2.9213094289622377E-2</v>
      </c>
      <c r="I16752">
        <v>2.9213094289622651E-2</v>
      </c>
    </row>
    <row r="16753" spans="1:9" x14ac:dyDescent="0.25">
      <c r="A16753">
        <v>530</v>
      </c>
      <c r="B16753" t="s">
        <v>4283</v>
      </c>
      <c r="C16753" t="s">
        <v>138</v>
      </c>
      <c r="D16753" t="s">
        <v>1537</v>
      </c>
      <c r="E16753">
        <f t="shared" si="789"/>
        <v>1.2658227848101266E-2</v>
      </c>
      <c r="F16753">
        <v>80</v>
      </c>
      <c r="G16753">
        <f>LOG(382/(80+1))</f>
        <v>0.67357834403305894</v>
      </c>
      <c r="H16753">
        <f>0.0126582278481012*1.55097145393413</f>
        <v>1.9632550049799011E-2</v>
      </c>
      <c r="I16753">
        <v>1.9632550049799191E-2</v>
      </c>
    </row>
    <row r="16754" spans="1:9" x14ac:dyDescent="0.25">
      <c r="A16754">
        <v>530</v>
      </c>
      <c r="B16754" t="s">
        <v>4283</v>
      </c>
      <c r="C16754" t="s">
        <v>138</v>
      </c>
      <c r="D16754" t="s">
        <v>362</v>
      </c>
      <c r="E16754">
        <f t="shared" si="789"/>
        <v>1.2658227848101266E-2</v>
      </c>
      <c r="F16754">
        <v>81</v>
      </c>
      <c r="G16754">
        <f>LOG(382/(81+1))</f>
        <v>0.66824951052799197</v>
      </c>
      <c r="H16754">
        <f>0.0126582278481012*1.53870136134232</f>
        <v>1.9477232422054579E-2</v>
      </c>
      <c r="I16754">
        <v>1.9477232422054711E-2</v>
      </c>
    </row>
    <row r="16755" spans="1:9" x14ac:dyDescent="0.25">
      <c r="A16755">
        <v>530</v>
      </c>
      <c r="B16755" t="s">
        <v>4283</v>
      </c>
      <c r="C16755" t="s">
        <v>138</v>
      </c>
      <c r="D16755" t="s">
        <v>1762</v>
      </c>
      <c r="E16755">
        <f t="shared" si="789"/>
        <v>1.2658227848101266E-2</v>
      </c>
      <c r="F16755">
        <v>60</v>
      </c>
      <c r="G16755">
        <f>LOG(382/(60+1))</f>
        <v>0.79673352790094176</v>
      </c>
      <c r="H16755">
        <f>0.0126582278481012*1.83454674443326</f>
        <v>2.3222110689028484E-2</v>
      </c>
      <c r="I16755">
        <v>2.3222110689028661E-2</v>
      </c>
    </row>
    <row r="16756" spans="1:9" x14ac:dyDescent="0.25">
      <c r="A16756">
        <v>530</v>
      </c>
      <c r="B16756" t="s">
        <v>4283</v>
      </c>
      <c r="C16756" t="s">
        <v>138</v>
      </c>
      <c r="D16756" t="s">
        <v>201</v>
      </c>
      <c r="E16756">
        <f t="shared" si="789"/>
        <v>1.2658227848101266E-2</v>
      </c>
      <c r="F16756">
        <v>72</v>
      </c>
      <c r="G16756">
        <f>LOG(382/(72+1))</f>
        <v>0.71874050279125279</v>
      </c>
      <c r="H16756">
        <f>0.0126582278481012*1.65496116745818</f>
        <v>2.0948875537445205E-2</v>
      </c>
      <c r="I16756">
        <v>2.0948875537445361E-2</v>
      </c>
    </row>
    <row r="16757" spans="1:9" x14ac:dyDescent="0.25">
      <c r="A16757">
        <v>530</v>
      </c>
      <c r="B16757" t="s">
        <v>4283</v>
      </c>
      <c r="C16757" t="s">
        <v>138</v>
      </c>
      <c r="D16757" t="s">
        <v>225</v>
      </c>
      <c r="E16757">
        <f t="shared" si="789"/>
        <v>1.2658227848101266E-2</v>
      </c>
      <c r="F16757">
        <v>30</v>
      </c>
      <c r="G16757">
        <f>LOG(382/(30+1))</f>
        <v>1.090701669077436</v>
      </c>
      <c r="H16757">
        <f>0.0126582278481012*2.51143340412142</f>
        <v>3.1790296254701353E-2</v>
      </c>
      <c r="I16757">
        <v>3.179029625470163E-2</v>
      </c>
    </row>
    <row r="16758" spans="1:9" x14ac:dyDescent="0.25">
      <c r="A16758">
        <v>530</v>
      </c>
      <c r="B16758" t="s">
        <v>4283</v>
      </c>
      <c r="C16758" t="s">
        <v>138</v>
      </c>
      <c r="D16758" t="s">
        <v>1257</v>
      </c>
      <c r="E16758">
        <f t="shared" si="789"/>
        <v>1.2658227848101266E-2</v>
      </c>
      <c r="F16758">
        <v>10</v>
      </c>
      <c r="G16758">
        <f>LOG(382/(10+1))</f>
        <v>1.5406706777534838</v>
      </c>
      <c r="H16758">
        <f>0.0126582278481012*3.5475253358082</f>
        <v>4.4905383997571921E-2</v>
      </c>
      <c r="I16758">
        <v>4.4905383997572212E-2</v>
      </c>
    </row>
    <row r="16759" spans="1:9" x14ac:dyDescent="0.25">
      <c r="A16759">
        <v>530</v>
      </c>
      <c r="B16759" t="s">
        <v>4283</v>
      </c>
      <c r="C16759" t="s">
        <v>138</v>
      </c>
      <c r="D16759" t="s">
        <v>937</v>
      </c>
      <c r="E16759">
        <f t="shared" si="789"/>
        <v>1.2658227848101266E-2</v>
      </c>
      <c r="F16759">
        <v>41</v>
      </c>
      <c r="G16759">
        <f>LOG(382/(41+1))</f>
        <v>0.95881407251380824</v>
      </c>
      <c r="H16759">
        <f>0.0126582278481012*2.2077509903232</f>
        <v>2.7946215067382135E-2</v>
      </c>
      <c r="I16759">
        <v>2.794621506738236E-2</v>
      </c>
    </row>
    <row r="16760" spans="1:9" x14ac:dyDescent="0.25">
      <c r="A16760">
        <v>530</v>
      </c>
      <c r="B16760" t="s">
        <v>4283</v>
      </c>
      <c r="C16760" t="s">
        <v>138</v>
      </c>
      <c r="D16760" t="s">
        <v>1532</v>
      </c>
      <c r="E16760">
        <f>2/79</f>
        <v>2.5316455696202531E-2</v>
      </c>
      <c r="F16760">
        <v>28</v>
      </c>
      <c r="G16760">
        <f>LOG(382/(28+1))</f>
        <v>1.1196653650127526</v>
      </c>
      <c r="H16760">
        <f>0.0253164556962025*2.5781247786201</f>
        <v>6.5268981737217638E-2</v>
      </c>
      <c r="I16760">
        <v>6.5268981737217749E-2</v>
      </c>
    </row>
    <row r="16761" spans="1:9" x14ac:dyDescent="0.25">
      <c r="A16761">
        <v>530</v>
      </c>
      <c r="B16761" t="s">
        <v>4283</v>
      </c>
      <c r="C16761" t="s">
        <v>138</v>
      </c>
      <c r="D16761" t="s">
        <v>1533</v>
      </c>
      <c r="E16761">
        <f>2/79</f>
        <v>2.5316455696202531E-2</v>
      </c>
      <c r="F16761">
        <v>33</v>
      </c>
      <c r="G16761">
        <f>LOG(382/(33+1))</f>
        <v>1.0505844458694535</v>
      </c>
      <c r="H16761">
        <f>0.0253164556962025*2.41906008399041</f>
        <v>6.1242027442795118E-2</v>
      </c>
      <c r="I16761">
        <v>6.1242027442795277E-2</v>
      </c>
    </row>
    <row r="16762" spans="1:9" x14ac:dyDescent="0.25">
      <c r="A16762">
        <v>530</v>
      </c>
      <c r="B16762" t="s">
        <v>4283</v>
      </c>
      <c r="C16762" t="s">
        <v>138</v>
      </c>
      <c r="D16762" t="s">
        <v>81</v>
      </c>
      <c r="E16762">
        <f>2/79</f>
        <v>2.5316455696202531E-2</v>
      </c>
      <c r="F16762">
        <v>114</v>
      </c>
      <c r="G16762">
        <f>LOG(382/(114+1))</f>
        <v>0.52136552255809698</v>
      </c>
      <c r="H16762">
        <f>0.0253164556962025*1.20048848024332</f>
        <v>3.039211342388148E-2</v>
      </c>
      <c r="I16762">
        <v>3.039211342388165E-2</v>
      </c>
    </row>
    <row r="16763" spans="1:9" x14ac:dyDescent="0.25">
      <c r="A16763">
        <v>530</v>
      </c>
      <c r="B16763" t="s">
        <v>4283</v>
      </c>
      <c r="C16763" t="s">
        <v>138</v>
      </c>
      <c r="D16763" t="s">
        <v>2424</v>
      </c>
      <c r="E16763">
        <f t="shared" ref="E16763:E16768" si="790">1/79</f>
        <v>1.2658227848101266E-2</v>
      </c>
      <c r="F16763">
        <v>9</v>
      </c>
      <c r="G16763">
        <f>LOG(382/(9+1))</f>
        <v>1.5820633629117087</v>
      </c>
      <c r="H16763">
        <f>0.0126582278481012*3.64283551561252</f>
        <v>4.6111841969778494E-2</v>
      </c>
      <c r="I16763">
        <v>4.6111841969778862E-2</v>
      </c>
    </row>
    <row r="16764" spans="1:9" x14ac:dyDescent="0.25">
      <c r="A16764">
        <v>530</v>
      </c>
      <c r="B16764" t="s">
        <v>4283</v>
      </c>
      <c r="C16764" t="s">
        <v>138</v>
      </c>
      <c r="D16764" t="s">
        <v>1085</v>
      </c>
      <c r="E16764">
        <f t="shared" si="790"/>
        <v>1.2658227848101266E-2</v>
      </c>
      <c r="F16764">
        <v>16</v>
      </c>
      <c r="G16764">
        <f>LOG(382/(16+1))</f>
        <v>1.3516144415334348</v>
      </c>
      <c r="H16764">
        <f>0.0126582278481012*3.11220726455035</f>
        <v>3.9395028665194093E-2</v>
      </c>
      <c r="I16764">
        <v>3.9395028665194419E-2</v>
      </c>
    </row>
    <row r="16765" spans="1:9" x14ac:dyDescent="0.25">
      <c r="A16765">
        <v>530</v>
      </c>
      <c r="B16765" t="s">
        <v>4283</v>
      </c>
      <c r="C16765" t="s">
        <v>138</v>
      </c>
      <c r="D16765" t="s">
        <v>324</v>
      </c>
      <c r="E16765">
        <f t="shared" si="790"/>
        <v>1.2658227848101266E-2</v>
      </c>
      <c r="F16765">
        <v>82</v>
      </c>
      <c r="G16765">
        <f>LOG(382/(82+1))</f>
        <v>0.66298527053563483</v>
      </c>
      <c r="H16765">
        <f>0.0126582278481012*1.52658000080997</f>
        <v>1.9323797478607112E-2</v>
      </c>
      <c r="I16765">
        <v>1.932379747860731E-2</v>
      </c>
    </row>
    <row r="16766" spans="1:9" x14ac:dyDescent="0.25">
      <c r="A16766">
        <v>530</v>
      </c>
      <c r="B16766" t="s">
        <v>4283</v>
      </c>
      <c r="C16766" t="s">
        <v>138</v>
      </c>
      <c r="D16766" t="s">
        <v>1222</v>
      </c>
      <c r="E16766">
        <f t="shared" si="790"/>
        <v>1.2658227848101266E-2</v>
      </c>
      <c r="F16766">
        <v>56</v>
      </c>
      <c r="G16766">
        <f>LOG(382/(56+1))</f>
        <v>0.82618850723921733</v>
      </c>
      <c r="H16766">
        <f>0.0126582278481012*1.90236934077202</f>
        <v>2.4080624566734304E-2</v>
      </c>
      <c r="I16766">
        <v>2.4080624566734491E-2</v>
      </c>
    </row>
    <row r="16767" spans="1:9" x14ac:dyDescent="0.25">
      <c r="A16767">
        <v>530</v>
      </c>
      <c r="B16767" t="s">
        <v>4283</v>
      </c>
      <c r="C16767" t="s">
        <v>138</v>
      </c>
      <c r="D16767" t="s">
        <v>570</v>
      </c>
      <c r="E16767">
        <f t="shared" si="790"/>
        <v>1.2658227848101266E-2</v>
      </c>
      <c r="F16767">
        <v>27</v>
      </c>
      <c r="G16767">
        <f>LOG(382/(27+1))</f>
        <v>1.1349053315694895</v>
      </c>
      <c r="H16767">
        <f>0.0126582278481012*2.61321609843137</f>
        <v>3.3078684790270332E-2</v>
      </c>
      <c r="I16767">
        <v>3.307868479027052E-2</v>
      </c>
    </row>
    <row r="16768" spans="1:9" x14ac:dyDescent="0.25">
      <c r="A16768">
        <v>530</v>
      </c>
      <c r="B16768" t="s">
        <v>4283</v>
      </c>
      <c r="C16768" t="s">
        <v>138</v>
      </c>
      <c r="D16768" t="s">
        <v>767</v>
      </c>
      <c r="E16768">
        <f t="shared" si="790"/>
        <v>1.2658227848101266E-2</v>
      </c>
      <c r="F16768">
        <v>47</v>
      </c>
      <c r="G16768">
        <f>LOG(382/(47+1))</f>
        <v>0.90082212553612151</v>
      </c>
      <c r="H16768">
        <f>0.0126582278481012*2.07421959769868</f>
        <v>2.6255944274666699E-2</v>
      </c>
      <c r="I16768">
        <v>2.625594427466689E-2</v>
      </c>
    </row>
    <row r="16769" spans="1:9" x14ac:dyDescent="0.25">
      <c r="A16769">
        <v>530</v>
      </c>
      <c r="B16769" t="s">
        <v>4283</v>
      </c>
      <c r="C16769" t="s">
        <v>138</v>
      </c>
      <c r="D16769" t="s">
        <v>144</v>
      </c>
      <c r="E16769">
        <f>2/79</f>
        <v>2.5316455696202531E-2</v>
      </c>
      <c r="F16769">
        <v>105</v>
      </c>
      <c r="G16769">
        <f>LOG(382/(105+1))</f>
        <v>0.55675749764693849</v>
      </c>
      <c r="H16769">
        <f>0.0253164556962025*1.2819815144945</f>
        <v>3.2455228215050591E-2</v>
      </c>
      <c r="I16769">
        <v>3.2455228215050827E-2</v>
      </c>
    </row>
    <row r="16770" spans="1:9" x14ac:dyDescent="0.25">
      <c r="A16770">
        <v>530</v>
      </c>
      <c r="B16770" t="s">
        <v>4283</v>
      </c>
      <c r="C16770" t="s">
        <v>138</v>
      </c>
      <c r="D16770" t="s">
        <v>758</v>
      </c>
      <c r="E16770">
        <f>1/79</f>
        <v>1.2658227848101266E-2</v>
      </c>
      <c r="F16770">
        <v>26</v>
      </c>
      <c r="G16770">
        <f>LOG(382/(26+1))</f>
        <v>1.1506995987527215</v>
      </c>
      <c r="H16770">
        <f>0.0126582278481012*2.64958374260224</f>
        <v>3.3539034716483875E-2</v>
      </c>
      <c r="I16770">
        <v>3.3539034716484131E-2</v>
      </c>
    </row>
    <row r="16771" spans="1:9" x14ac:dyDescent="0.25">
      <c r="A16771">
        <v>530</v>
      </c>
      <c r="B16771" t="s">
        <v>4283</v>
      </c>
      <c r="C16771" t="s">
        <v>138</v>
      </c>
      <c r="D16771" t="s">
        <v>65</v>
      </c>
      <c r="E16771">
        <f>1/79</f>
        <v>1.2658227848101266E-2</v>
      </c>
      <c r="F16771">
        <v>32</v>
      </c>
      <c r="G16771">
        <f>LOG(382/(32+1))</f>
        <v>1.0635494230338212</v>
      </c>
      <c r="H16771">
        <f>0.0126582278481012*2.44891304714009</f>
        <v>3.0998899330887054E-2</v>
      </c>
      <c r="I16771">
        <v>3.0998899330887279E-2</v>
      </c>
    </row>
    <row r="16772" spans="1:9" x14ac:dyDescent="0.25">
      <c r="A16772">
        <v>530</v>
      </c>
      <c r="B16772" t="s">
        <v>4283</v>
      </c>
      <c r="C16772" t="s">
        <v>138</v>
      </c>
      <c r="D16772" t="s">
        <v>1858</v>
      </c>
      <c r="E16772">
        <f>1/79</f>
        <v>1.2658227848101266E-2</v>
      </c>
      <c r="F16772">
        <v>6</v>
      </c>
      <c r="G16772">
        <f>LOG(382/(6+1))</f>
        <v>1.736965322897452</v>
      </c>
      <c r="H16772">
        <f>0.0126582278481012*3.99951045955126</f>
        <v>5.0626714677863789E-2</v>
      </c>
      <c r="I16772">
        <v>5.0626714677864067E-2</v>
      </c>
    </row>
    <row r="16773" spans="1:9" x14ac:dyDescent="0.25">
      <c r="A16773">
        <v>531</v>
      </c>
      <c r="B16773" t="s">
        <v>4286</v>
      </c>
      <c r="C16773" t="s">
        <v>138</v>
      </c>
      <c r="D16773" t="s">
        <v>4287</v>
      </c>
      <c r="E16773">
        <f>1/66</f>
        <v>1.5151515151515152E-2</v>
      </c>
      <c r="F16773">
        <v>1</v>
      </c>
      <c r="G16773">
        <f>LOG(382/(1+1))</f>
        <v>2.2810333672477277</v>
      </c>
      <c r="H16773">
        <f>0.0151515151515151*5.25227342804663</f>
        <v>7.9579900424948669E-2</v>
      </c>
      <c r="I16773">
        <v>7.9579900424948946E-2</v>
      </c>
    </row>
    <row r="16774" spans="1:9" x14ac:dyDescent="0.25">
      <c r="A16774">
        <v>531</v>
      </c>
      <c r="B16774" t="s">
        <v>4286</v>
      </c>
      <c r="C16774" t="s">
        <v>138</v>
      </c>
      <c r="D16774" t="s">
        <v>2841</v>
      </c>
      <c r="E16774">
        <f>3/66</f>
        <v>4.5454545454545456E-2</v>
      </c>
      <c r="F16774">
        <v>2</v>
      </c>
      <c r="G16774">
        <f>LOG(382/(2+1))</f>
        <v>2.1049421081920463</v>
      </c>
      <c r="H16774">
        <f>0.0454545454545454*4.84680831993846</f>
        <v>0.22030946908811155</v>
      </c>
      <c r="I16774">
        <v>0.22030946908811211</v>
      </c>
    </row>
    <row r="16775" spans="1:9" x14ac:dyDescent="0.25">
      <c r="A16775">
        <v>531</v>
      </c>
      <c r="B16775" t="s">
        <v>4286</v>
      </c>
      <c r="C16775" t="s">
        <v>138</v>
      </c>
      <c r="D16775" t="s">
        <v>2257</v>
      </c>
      <c r="E16775">
        <f>1/66</f>
        <v>1.5151515151515152E-2</v>
      </c>
      <c r="F16775">
        <v>11</v>
      </c>
      <c r="G16775">
        <f>LOG(382/(11+1))</f>
        <v>1.5028821168640838</v>
      </c>
      <c r="H16775">
        <f>0.0151515151515151*3.46051395881857</f>
        <v>5.2432029679069063E-2</v>
      </c>
      <c r="I16775">
        <v>5.243202967906932E-2</v>
      </c>
    </row>
    <row r="16776" spans="1:9" x14ac:dyDescent="0.25">
      <c r="A16776">
        <v>531</v>
      </c>
      <c r="B16776" t="s">
        <v>4286</v>
      </c>
      <c r="C16776" t="s">
        <v>138</v>
      </c>
      <c r="D16776" t="s">
        <v>408</v>
      </c>
      <c r="E16776">
        <f>1/66</f>
        <v>1.5151515151515152E-2</v>
      </c>
      <c r="F16776">
        <v>27</v>
      </c>
      <c r="G16776">
        <f>LOG(382/(27+1))</f>
        <v>1.1349053315694895</v>
      </c>
      <c r="H16776">
        <f>0.0151515151515151*2.61321609843137</f>
        <v>3.9594183309566079E-2</v>
      </c>
      <c r="I16776">
        <v>3.9594183309566232E-2</v>
      </c>
    </row>
    <row r="16777" spans="1:9" x14ac:dyDescent="0.25">
      <c r="A16777">
        <v>531</v>
      </c>
      <c r="B16777" t="s">
        <v>4286</v>
      </c>
      <c r="C16777" t="s">
        <v>138</v>
      </c>
      <c r="D16777" t="s">
        <v>1208</v>
      </c>
      <c r="E16777">
        <f>2/66</f>
        <v>3.0303030303030304E-2</v>
      </c>
      <c r="F16777">
        <v>10</v>
      </c>
      <c r="G16777">
        <f>LOG(382/(10+1))</f>
        <v>1.5406706777534838</v>
      </c>
      <c r="H16777">
        <f>0.0303030303030303*3.5475253358082</f>
        <v>0.10750076775176363</v>
      </c>
      <c r="I16777">
        <v>0.1075007677517638</v>
      </c>
    </row>
    <row r="16778" spans="1:9" x14ac:dyDescent="0.25">
      <c r="A16778">
        <v>531</v>
      </c>
      <c r="B16778" t="s">
        <v>4286</v>
      </c>
      <c r="C16778" t="s">
        <v>138</v>
      </c>
      <c r="D16778" t="s">
        <v>747</v>
      </c>
      <c r="E16778">
        <f>1/66</f>
        <v>1.5151515151515152E-2</v>
      </c>
      <c r="F16778">
        <v>14</v>
      </c>
      <c r="G16778">
        <f>LOG(382/(14+1))</f>
        <v>1.4059721038560276</v>
      </c>
      <c r="H16778">
        <f>0.0151515151515151*3.23737040750436</f>
        <v>4.905106678036892E-2</v>
      </c>
      <c r="I16778">
        <v>4.9051066780369169E-2</v>
      </c>
    </row>
    <row r="16779" spans="1:9" x14ac:dyDescent="0.25">
      <c r="A16779">
        <v>531</v>
      </c>
      <c r="B16779" t="s">
        <v>4286</v>
      </c>
      <c r="C16779" t="s">
        <v>138</v>
      </c>
      <c r="D16779" t="s">
        <v>42</v>
      </c>
      <c r="E16779">
        <f>1/66</f>
        <v>1.5151515151515152E-2</v>
      </c>
      <c r="F16779">
        <v>251</v>
      </c>
      <c r="G16779">
        <f>LOG(382/(251+1))</f>
        <v>0.18066282213016463</v>
      </c>
      <c r="H16779">
        <f>0.0151515151515151*0.415991521095151</f>
        <v>6.3029018347749936E-3</v>
      </c>
      <c r="I16779">
        <v>6.3029018347750283E-3</v>
      </c>
    </row>
    <row r="16780" spans="1:9" x14ac:dyDescent="0.25">
      <c r="A16780">
        <v>531</v>
      </c>
      <c r="B16780" t="s">
        <v>4286</v>
      </c>
      <c r="C16780" t="s">
        <v>138</v>
      </c>
      <c r="D16780" t="s">
        <v>4288</v>
      </c>
      <c r="E16780">
        <f t="shared" ref="E16780:E16790" si="791">2/66</f>
        <v>3.0303030303030304E-2</v>
      </c>
      <c r="F16780">
        <v>1</v>
      </c>
      <c r="G16780">
        <f>LOG(382/(1+1))</f>
        <v>2.2810333672477277</v>
      </c>
      <c r="H16780">
        <f>0.0303030303030303*5.25227342804663</f>
        <v>0.15915980084989786</v>
      </c>
      <c r="I16780">
        <v>0.15915980084989789</v>
      </c>
    </row>
    <row r="16781" spans="1:9" x14ac:dyDescent="0.25">
      <c r="A16781">
        <v>531</v>
      </c>
      <c r="B16781" t="s">
        <v>4286</v>
      </c>
      <c r="C16781" t="s">
        <v>138</v>
      </c>
      <c r="D16781" t="s">
        <v>17</v>
      </c>
      <c r="E16781">
        <f t="shared" si="791"/>
        <v>3.0303030303030304E-2</v>
      </c>
      <c r="F16781">
        <v>169</v>
      </c>
      <c r="G16781">
        <f>LOG(382/(169+1))</f>
        <v>0.3516144415334348</v>
      </c>
      <c r="H16781">
        <f>0.0303030303030303*0.809622171556313</f>
        <v>2.453400519867615E-2</v>
      </c>
      <c r="I16781">
        <v>2.453400519867617E-2</v>
      </c>
    </row>
    <row r="16782" spans="1:9" x14ac:dyDescent="0.25">
      <c r="A16782">
        <v>531</v>
      </c>
      <c r="B16782" t="s">
        <v>4286</v>
      </c>
      <c r="C16782" t="s">
        <v>138</v>
      </c>
      <c r="D16782" t="s">
        <v>466</v>
      </c>
      <c r="E16782">
        <f t="shared" si="791"/>
        <v>3.0303030303030304E-2</v>
      </c>
      <c r="F16782">
        <v>2</v>
      </c>
      <c r="G16782">
        <f>LOG(382/(2+1))</f>
        <v>2.1049421081920463</v>
      </c>
      <c r="H16782">
        <f>0.0303030303030303*4.84680831993846</f>
        <v>0.14687297939207453</v>
      </c>
      <c r="I16782">
        <v>0.14687297939207469</v>
      </c>
    </row>
    <row r="16783" spans="1:9" x14ac:dyDescent="0.25">
      <c r="A16783">
        <v>531</v>
      </c>
      <c r="B16783" t="s">
        <v>4286</v>
      </c>
      <c r="C16783" t="s">
        <v>138</v>
      </c>
      <c r="D16783" t="s">
        <v>467</v>
      </c>
      <c r="E16783">
        <f t="shared" si="791"/>
        <v>3.0303030303030304E-2</v>
      </c>
      <c r="F16783">
        <v>3</v>
      </c>
      <c r="G16783">
        <f>LOG(382/(3+1))</f>
        <v>1.9800033715837464</v>
      </c>
      <c r="H16783">
        <f>0.0303030303030303*4.55912624748668</f>
        <v>0.13815534083292969</v>
      </c>
      <c r="I16783">
        <v>0.1381553408329298</v>
      </c>
    </row>
    <row r="16784" spans="1:9" x14ac:dyDescent="0.25">
      <c r="A16784">
        <v>531</v>
      </c>
      <c r="B16784" t="s">
        <v>4286</v>
      </c>
      <c r="C16784" t="s">
        <v>138</v>
      </c>
      <c r="D16784" t="s">
        <v>19</v>
      </c>
      <c r="E16784">
        <f t="shared" si="791"/>
        <v>3.0303030303030304E-2</v>
      </c>
      <c r="F16784">
        <v>220</v>
      </c>
      <c r="G16784">
        <f>LOG(382/(220+1))</f>
        <v>0.23767108922659805</v>
      </c>
      <c r="H16784">
        <f>0.0303030303030303*0.547257907088822</f>
        <v>1.6583572942085515E-2</v>
      </c>
      <c r="I16784">
        <v>1.6583572942085529E-2</v>
      </c>
    </row>
    <row r="16785" spans="1:9" x14ac:dyDescent="0.25">
      <c r="A16785">
        <v>531</v>
      </c>
      <c r="B16785" t="s">
        <v>4286</v>
      </c>
      <c r="C16785" t="s">
        <v>138</v>
      </c>
      <c r="D16785" t="s">
        <v>808</v>
      </c>
      <c r="E16785">
        <f t="shared" si="791"/>
        <v>3.0303030303030304E-2</v>
      </c>
      <c r="F16785">
        <v>20</v>
      </c>
      <c r="G16785">
        <f>LOG(382/(20+1))</f>
        <v>1.2598440681777894</v>
      </c>
      <c r="H16785">
        <f>0.0303030303030303*2.90089817088315</f>
        <v>8.7906005178277263E-2</v>
      </c>
      <c r="I16785">
        <v>8.7906005178277347E-2</v>
      </c>
    </row>
    <row r="16786" spans="1:9" x14ac:dyDescent="0.25">
      <c r="A16786">
        <v>531</v>
      </c>
      <c r="B16786" t="s">
        <v>4286</v>
      </c>
      <c r="C16786" t="s">
        <v>138</v>
      </c>
      <c r="D16786" t="s">
        <v>809</v>
      </c>
      <c r="E16786">
        <f t="shared" si="791"/>
        <v>3.0303030303030304E-2</v>
      </c>
      <c r="F16786">
        <v>19</v>
      </c>
      <c r="G16786">
        <f>LOG(382/(19+1))</f>
        <v>1.2810333672477277</v>
      </c>
      <c r="H16786">
        <f>0.0303030303030303*2.94968833505258</f>
        <v>8.9384495001593331E-2</v>
      </c>
      <c r="I16786">
        <v>8.938449500159347E-2</v>
      </c>
    </row>
    <row r="16787" spans="1:9" x14ac:dyDescent="0.25">
      <c r="A16787">
        <v>531</v>
      </c>
      <c r="B16787" t="s">
        <v>4286</v>
      </c>
      <c r="C16787" t="s">
        <v>138</v>
      </c>
      <c r="D16787" t="s">
        <v>22</v>
      </c>
      <c r="E16787">
        <f t="shared" si="791"/>
        <v>3.0303030303030304E-2</v>
      </c>
      <c r="F16787">
        <v>259</v>
      </c>
      <c r="G16787">
        <f>LOG(382/(259+1))</f>
        <v>0.16709001494089079</v>
      </c>
      <c r="H16787">
        <f>0.0303030303030303*0.384738977591047</f>
        <v>1.1658756896698394E-2</v>
      </c>
      <c r="I16787">
        <v>1.1658756896698409E-2</v>
      </c>
    </row>
    <row r="16788" spans="1:9" x14ac:dyDescent="0.25">
      <c r="A16788">
        <v>531</v>
      </c>
      <c r="B16788" t="s">
        <v>4286</v>
      </c>
      <c r="C16788" t="s">
        <v>138</v>
      </c>
      <c r="D16788" t="s">
        <v>23</v>
      </c>
      <c r="E16788">
        <f t="shared" si="791"/>
        <v>3.0303030303030304E-2</v>
      </c>
      <c r="F16788">
        <v>275</v>
      </c>
      <c r="G16788">
        <f>LOG(382/(275+1))</f>
        <v>0.14115428084649101</v>
      </c>
      <c r="H16788">
        <f>0.0303030303030303*0.325019742889425</f>
        <v>9.8490831178613628E-3</v>
      </c>
      <c r="I16788">
        <v>9.849083117861368E-3</v>
      </c>
    </row>
    <row r="16789" spans="1:9" x14ac:dyDescent="0.25">
      <c r="A16789">
        <v>531</v>
      </c>
      <c r="B16789" t="s">
        <v>4286</v>
      </c>
      <c r="C16789" t="s">
        <v>138</v>
      </c>
      <c r="D16789" t="s">
        <v>1753</v>
      </c>
      <c r="E16789">
        <f t="shared" si="791"/>
        <v>3.0303030303030304E-2</v>
      </c>
      <c r="F16789">
        <v>2</v>
      </c>
      <c r="G16789">
        <f>LOG(382/(2+1))</f>
        <v>2.1049421081920463</v>
      </c>
      <c r="H16789">
        <f>0.0303030303030303*4.84680831993846</f>
        <v>0.14687297939207453</v>
      </c>
      <c r="I16789">
        <v>0.14687297939207469</v>
      </c>
    </row>
    <row r="16790" spans="1:9" x14ac:dyDescent="0.25">
      <c r="A16790">
        <v>531</v>
      </c>
      <c r="B16790" t="s">
        <v>4286</v>
      </c>
      <c r="C16790" t="s">
        <v>138</v>
      </c>
      <c r="D16790" t="s">
        <v>204</v>
      </c>
      <c r="E16790">
        <f t="shared" si="791"/>
        <v>3.0303030303030304E-2</v>
      </c>
      <c r="F16790">
        <v>166</v>
      </c>
      <c r="G16790">
        <f>LOG(382/(166+1))</f>
        <v>0.35934689176412549</v>
      </c>
      <c r="H16790">
        <f>0.0303030303030303*0.82742679618982</f>
        <v>2.5073539278479391E-2</v>
      </c>
      <c r="I16790">
        <v>2.5073539278479402E-2</v>
      </c>
    </row>
    <row r="16791" spans="1:9" x14ac:dyDescent="0.25">
      <c r="A16791">
        <v>531</v>
      </c>
      <c r="B16791" t="s">
        <v>4286</v>
      </c>
      <c r="C16791" t="s">
        <v>138</v>
      </c>
      <c r="D16791" t="s">
        <v>322</v>
      </c>
      <c r="E16791">
        <f>3/66</f>
        <v>4.5454545454545456E-2</v>
      </c>
      <c r="F16791">
        <v>128</v>
      </c>
      <c r="G16791">
        <f>LOG(382/(128+1))</f>
        <v>0.47147365261245977</v>
      </c>
      <c r="H16791">
        <f>0.0454545454545454*1.0856082042449</f>
        <v>4.9345827465677214E-2</v>
      </c>
      <c r="I16791">
        <v>4.9345827465677422E-2</v>
      </c>
    </row>
    <row r="16792" spans="1:9" x14ac:dyDescent="0.25">
      <c r="A16792">
        <v>531</v>
      </c>
      <c r="B16792" t="s">
        <v>4286</v>
      </c>
      <c r="C16792" t="s">
        <v>138</v>
      </c>
      <c r="D16792" t="s">
        <v>1537</v>
      </c>
      <c r="E16792">
        <f>2/66</f>
        <v>3.0303030303030304E-2</v>
      </c>
      <c r="F16792">
        <v>80</v>
      </c>
      <c r="G16792">
        <f>LOG(382/(80+1))</f>
        <v>0.67357834403305894</v>
      </c>
      <c r="H16792">
        <f>0.0303030303030303*1.55097145393413</f>
        <v>4.6999134967700903E-2</v>
      </c>
      <c r="I16792">
        <v>4.6999134967701098E-2</v>
      </c>
    </row>
    <row r="16793" spans="1:9" x14ac:dyDescent="0.25">
      <c r="A16793">
        <v>531</v>
      </c>
      <c r="B16793" t="s">
        <v>4286</v>
      </c>
      <c r="C16793" t="s">
        <v>138</v>
      </c>
      <c r="D16793" t="s">
        <v>754</v>
      </c>
      <c r="E16793">
        <f>2/66</f>
        <v>3.0303030303030304E-2</v>
      </c>
      <c r="F16793">
        <v>111</v>
      </c>
      <c r="G16793">
        <f>LOG(382/(111+1))</f>
        <v>0.53284534024152708</v>
      </c>
      <c r="H16793">
        <f>0.0303030303030303*1.22692173731148</f>
        <v>3.7179446585196362E-2</v>
      </c>
      <c r="I16793">
        <v>3.7179446585196382E-2</v>
      </c>
    </row>
    <row r="16794" spans="1:9" x14ac:dyDescent="0.25">
      <c r="A16794">
        <v>531</v>
      </c>
      <c r="B16794" t="s">
        <v>4286</v>
      </c>
      <c r="C16794" t="s">
        <v>138</v>
      </c>
      <c r="D16794" t="s">
        <v>119</v>
      </c>
      <c r="E16794">
        <f>1/66</f>
        <v>1.5151515151515152E-2</v>
      </c>
      <c r="F16794">
        <v>79</v>
      </c>
      <c r="G16794">
        <f>LOG(382/(79+1))</f>
        <v>0.67897337591976514</v>
      </c>
      <c r="H16794">
        <f>0.0151515151515151*1.56339397393269</f>
        <v>2.3687787483828555E-2</v>
      </c>
      <c r="I16794">
        <v>2.3687787483828691E-2</v>
      </c>
    </row>
    <row r="16795" spans="1:9" x14ac:dyDescent="0.25">
      <c r="A16795">
        <v>531</v>
      </c>
      <c r="B16795" t="s">
        <v>4286</v>
      </c>
      <c r="C16795" t="s">
        <v>138</v>
      </c>
      <c r="D16795" t="s">
        <v>236</v>
      </c>
      <c r="E16795">
        <f>1/66</f>
        <v>1.5151515151515152E-2</v>
      </c>
      <c r="F16795">
        <v>87</v>
      </c>
      <c r="G16795">
        <f>LOG(382/(87+1))</f>
        <v>0.63758069076154011</v>
      </c>
      <c r="H16795">
        <f>0.0151515151515151*1.46808379412836</f>
        <v>2.2243693850429621E-2</v>
      </c>
      <c r="I16795">
        <v>2.2243693850429829E-2</v>
      </c>
    </row>
    <row r="16796" spans="1:9" x14ac:dyDescent="0.25">
      <c r="A16796">
        <v>531</v>
      </c>
      <c r="B16796" t="s">
        <v>4286</v>
      </c>
      <c r="C16796" t="s">
        <v>138</v>
      </c>
      <c r="D16796" t="s">
        <v>1104</v>
      </c>
      <c r="E16796">
        <f>2/66</f>
        <v>3.0303030303030304E-2</v>
      </c>
      <c r="F16796">
        <v>3</v>
      </c>
      <c r="G16796">
        <f>LOG(382/(3+1))</f>
        <v>1.9800033715837464</v>
      </c>
      <c r="H16796">
        <f>0.0303030303030303*4.55912624748668</f>
        <v>0.13815534083292969</v>
      </c>
      <c r="I16796">
        <v>0.1381553408329298</v>
      </c>
    </row>
    <row r="16797" spans="1:9" x14ac:dyDescent="0.25">
      <c r="A16797">
        <v>531</v>
      </c>
      <c r="B16797" t="s">
        <v>4286</v>
      </c>
      <c r="C16797" t="s">
        <v>138</v>
      </c>
      <c r="D16797" t="s">
        <v>243</v>
      </c>
      <c r="E16797">
        <f t="shared" ref="E16797:E16819" si="792">1/66</f>
        <v>1.5151515151515152E-2</v>
      </c>
      <c r="F16797">
        <v>131</v>
      </c>
      <c r="G16797">
        <f>LOG(382/(131+1))</f>
        <v>0.46148943170585888</v>
      </c>
      <c r="H16797">
        <f>0.0151515151515151*1.0626186860202</f>
        <v>1.6100283121518129E-2</v>
      </c>
      <c r="I16797">
        <v>1.610028312151825E-2</v>
      </c>
    </row>
    <row r="16798" spans="1:9" x14ac:dyDescent="0.25">
      <c r="A16798">
        <v>531</v>
      </c>
      <c r="B16798" t="s">
        <v>4286</v>
      </c>
      <c r="C16798" t="s">
        <v>138</v>
      </c>
      <c r="D16798" t="s">
        <v>453</v>
      </c>
      <c r="E16798">
        <f t="shared" si="792"/>
        <v>1.5151515151515152E-2</v>
      </c>
      <c r="F16798">
        <v>68</v>
      </c>
      <c r="G16798">
        <f>LOG(382/(68+1))</f>
        <v>0.74321427217445335</v>
      </c>
      <c r="H16798">
        <f>0.0151515151515151*1.71131410400931</f>
        <v>2.5929001575898548E-2</v>
      </c>
      <c r="I16798">
        <v>2.5929001575898721E-2</v>
      </c>
    </row>
    <row r="16799" spans="1:9" x14ac:dyDescent="0.25">
      <c r="A16799">
        <v>531</v>
      </c>
      <c r="B16799" t="s">
        <v>4286</v>
      </c>
      <c r="C16799" t="s">
        <v>138</v>
      </c>
      <c r="D16799" t="s">
        <v>1905</v>
      </c>
      <c r="E16799">
        <f t="shared" si="792"/>
        <v>1.5151515151515152E-2</v>
      </c>
      <c r="F16799">
        <v>24</v>
      </c>
      <c r="G16799">
        <f>LOG(382/(24+1))</f>
        <v>1.1841233542396712</v>
      </c>
      <c r="H16799">
        <f>0.0151515151515151*2.72654478373837</f>
        <v>4.1311284602096369E-2</v>
      </c>
      <c r="I16799">
        <v>4.1311284602096578E-2</v>
      </c>
    </row>
    <row r="16800" spans="1:9" x14ac:dyDescent="0.25">
      <c r="A16800">
        <v>531</v>
      </c>
      <c r="B16800" t="s">
        <v>4286</v>
      </c>
      <c r="C16800" t="s">
        <v>138</v>
      </c>
      <c r="D16800" t="s">
        <v>455</v>
      </c>
      <c r="E16800">
        <f t="shared" si="792"/>
        <v>1.5151515151515152E-2</v>
      </c>
      <c r="F16800">
        <v>78</v>
      </c>
      <c r="G16800">
        <f>LOG(382/(78+1))</f>
        <v>0.6844362716212673</v>
      </c>
      <c r="H16800">
        <f>0.0151515151515151*1.57597275613955</f>
        <v>2.3878375093023405E-2</v>
      </c>
      <c r="I16800">
        <v>2.3878375093023541E-2</v>
      </c>
    </row>
    <row r="16801" spans="1:9" x14ac:dyDescent="0.25">
      <c r="A16801">
        <v>531</v>
      </c>
      <c r="B16801" t="s">
        <v>4286</v>
      </c>
      <c r="C16801" t="s">
        <v>138</v>
      </c>
      <c r="D16801" t="s">
        <v>456</v>
      </c>
      <c r="E16801">
        <f t="shared" si="792"/>
        <v>1.5151515151515152E-2</v>
      </c>
      <c r="F16801">
        <v>71</v>
      </c>
      <c r="G16801">
        <f>LOG(382/(71+1))</f>
        <v>0.72473086648044027</v>
      </c>
      <c r="H16801">
        <f>0.0151515151515151*1.66875448959051</f>
        <v>2.5284158933189461E-2</v>
      </c>
      <c r="I16801">
        <v>2.528415893318969E-2</v>
      </c>
    </row>
    <row r="16802" spans="1:9" x14ac:dyDescent="0.25">
      <c r="A16802">
        <v>531</v>
      </c>
      <c r="B16802" t="s">
        <v>4286</v>
      </c>
      <c r="C16802" t="s">
        <v>138</v>
      </c>
      <c r="D16802" t="s">
        <v>1779</v>
      </c>
      <c r="E16802">
        <f t="shared" si="792"/>
        <v>1.5151515151515152E-2</v>
      </c>
      <c r="F16802">
        <v>41</v>
      </c>
      <c r="G16802">
        <f>LOG(382/(41+1))</f>
        <v>0.95881407251380824</v>
      </c>
      <c r="H16802">
        <f>0.0151515151515151*2.2077509903232</f>
        <v>3.3450772580654438E-2</v>
      </c>
      <c r="I16802">
        <v>3.3450772580654653E-2</v>
      </c>
    </row>
    <row r="16803" spans="1:9" x14ac:dyDescent="0.25">
      <c r="A16803">
        <v>531</v>
      </c>
      <c r="B16803" t="s">
        <v>4286</v>
      </c>
      <c r="C16803" t="s">
        <v>138</v>
      </c>
      <c r="D16803" t="s">
        <v>4289</v>
      </c>
      <c r="E16803">
        <f t="shared" si="792"/>
        <v>1.5151515151515152E-2</v>
      </c>
      <c r="F16803">
        <v>1</v>
      </c>
      <c r="G16803">
        <f>LOG(382/(1+1))</f>
        <v>2.2810333672477277</v>
      </c>
      <c r="H16803">
        <f>0.0151515151515151*5.25227342804663</f>
        <v>7.9579900424948669E-2</v>
      </c>
      <c r="I16803">
        <v>7.9579900424948946E-2</v>
      </c>
    </row>
    <row r="16804" spans="1:9" x14ac:dyDescent="0.25">
      <c r="A16804">
        <v>531</v>
      </c>
      <c r="B16804" t="s">
        <v>4286</v>
      </c>
      <c r="C16804" t="s">
        <v>138</v>
      </c>
      <c r="D16804" t="s">
        <v>762</v>
      </c>
      <c r="E16804">
        <f t="shared" si="792"/>
        <v>1.5151515151515152E-2</v>
      </c>
      <c r="F16804">
        <v>29</v>
      </c>
      <c r="G16804">
        <f>LOG(382/(29+1))</f>
        <v>1.1049421081920463</v>
      </c>
      <c r="H16804">
        <f>0.0151515151515151*2.54422322694442</f>
        <v>3.8548836771885017E-2</v>
      </c>
      <c r="I16804">
        <v>3.8548836771885149E-2</v>
      </c>
    </row>
    <row r="16805" spans="1:9" x14ac:dyDescent="0.25">
      <c r="A16805">
        <v>531</v>
      </c>
      <c r="B16805" t="s">
        <v>4286</v>
      </c>
      <c r="C16805" t="s">
        <v>138</v>
      </c>
      <c r="D16805" t="s">
        <v>338</v>
      </c>
      <c r="E16805">
        <f t="shared" si="792"/>
        <v>1.5151515151515152E-2</v>
      </c>
      <c r="F16805">
        <v>54</v>
      </c>
      <c r="G16805">
        <f>LOG(382/(54+1))</f>
        <v>0.84170067341746491</v>
      </c>
      <c r="H16805">
        <f>0.0151515151515151*1.9380874233741</f>
        <v>2.9364960960213536E-2</v>
      </c>
      <c r="I16805">
        <v>2.9364960960213699E-2</v>
      </c>
    </row>
    <row r="16806" spans="1:9" x14ac:dyDescent="0.25">
      <c r="A16806">
        <v>531</v>
      </c>
      <c r="B16806" t="s">
        <v>4286</v>
      </c>
      <c r="C16806" t="s">
        <v>138</v>
      </c>
      <c r="D16806" t="s">
        <v>399</v>
      </c>
      <c r="E16806">
        <f t="shared" si="792"/>
        <v>1.5151515151515152E-2</v>
      </c>
      <c r="F16806">
        <v>27</v>
      </c>
      <c r="G16806">
        <f>LOG(382/(27+1))</f>
        <v>1.1349053315694895</v>
      </c>
      <c r="H16806">
        <f>0.0151515151515151*2.61321609843137</f>
        <v>3.9594183309566079E-2</v>
      </c>
      <c r="I16806">
        <v>3.9594183309566232E-2</v>
      </c>
    </row>
    <row r="16807" spans="1:9" x14ac:dyDescent="0.25">
      <c r="A16807">
        <v>531</v>
      </c>
      <c r="B16807" t="s">
        <v>4286</v>
      </c>
      <c r="C16807" t="s">
        <v>138</v>
      </c>
      <c r="D16807" t="s">
        <v>649</v>
      </c>
      <c r="E16807">
        <f t="shared" si="792"/>
        <v>1.5151515151515152E-2</v>
      </c>
      <c r="F16807">
        <v>25</v>
      </c>
      <c r="G16807">
        <f>LOG(382/(25+1))</f>
        <v>1.1670900149408907</v>
      </c>
      <c r="H16807">
        <f>0.0151515151515151*2.68732407058509</f>
        <v>4.0717031372501225E-2</v>
      </c>
      <c r="I16807">
        <v>4.0717031372501412E-2</v>
      </c>
    </row>
    <row r="16808" spans="1:9" x14ac:dyDescent="0.25">
      <c r="A16808">
        <v>531</v>
      </c>
      <c r="B16808" t="s">
        <v>4286</v>
      </c>
      <c r="C16808" t="s">
        <v>138</v>
      </c>
      <c r="D16808" t="s">
        <v>362</v>
      </c>
      <c r="E16808">
        <f t="shared" si="792"/>
        <v>1.5151515151515152E-2</v>
      </c>
      <c r="F16808">
        <v>81</v>
      </c>
      <c r="G16808">
        <f>LOG(382/(81+1))</f>
        <v>0.66824951052799197</v>
      </c>
      <c r="H16808">
        <f>0.0151515151515151*1.53870136134232</f>
        <v>2.331365699003507E-2</v>
      </c>
      <c r="I16808">
        <v>2.3313656990035181E-2</v>
      </c>
    </row>
    <row r="16809" spans="1:9" x14ac:dyDescent="0.25">
      <c r="A16809">
        <v>531</v>
      </c>
      <c r="B16809" t="s">
        <v>4286</v>
      </c>
      <c r="C16809" t="s">
        <v>138</v>
      </c>
      <c r="D16809" t="s">
        <v>1762</v>
      </c>
      <c r="E16809">
        <f t="shared" si="792"/>
        <v>1.5151515151515152E-2</v>
      </c>
      <c r="F16809">
        <v>60</v>
      </c>
      <c r="G16809">
        <f>LOG(382/(60+1))</f>
        <v>0.79673352790094176</v>
      </c>
      <c r="H16809">
        <f>0.0151515151515151*1.83454674443326</f>
        <v>2.7796162794443236E-2</v>
      </c>
      <c r="I16809">
        <v>2.7796162794443389E-2</v>
      </c>
    </row>
    <row r="16810" spans="1:9" x14ac:dyDescent="0.25">
      <c r="A16810">
        <v>531</v>
      </c>
      <c r="B16810" t="s">
        <v>4286</v>
      </c>
      <c r="C16810" t="s">
        <v>138</v>
      </c>
      <c r="D16810" t="s">
        <v>201</v>
      </c>
      <c r="E16810">
        <f t="shared" si="792"/>
        <v>1.5151515151515152E-2</v>
      </c>
      <c r="F16810">
        <v>72</v>
      </c>
      <c r="G16810">
        <f>LOG(382/(72+1))</f>
        <v>0.71874050279125279</v>
      </c>
      <c r="H16810">
        <f>0.0151515151515151*1.65496116745818</f>
        <v>2.5075169203911733E-2</v>
      </c>
      <c r="I16810">
        <v>2.5075169203911878E-2</v>
      </c>
    </row>
    <row r="16811" spans="1:9" x14ac:dyDescent="0.25">
      <c r="A16811">
        <v>531</v>
      </c>
      <c r="B16811" t="s">
        <v>4286</v>
      </c>
      <c r="C16811" t="s">
        <v>138</v>
      </c>
      <c r="D16811" t="s">
        <v>225</v>
      </c>
      <c r="E16811">
        <f t="shared" si="792"/>
        <v>1.5151515151515152E-2</v>
      </c>
      <c r="F16811">
        <v>30</v>
      </c>
      <c r="G16811">
        <f>LOG(382/(30+1))</f>
        <v>1.090701669077436</v>
      </c>
      <c r="H16811">
        <f>0.0151515151515151*2.51143340412142</f>
        <v>3.805202127456684E-2</v>
      </c>
      <c r="I16811">
        <v>3.805202127456711E-2</v>
      </c>
    </row>
    <row r="16812" spans="1:9" x14ac:dyDescent="0.25">
      <c r="A16812">
        <v>531</v>
      </c>
      <c r="B16812" t="s">
        <v>4286</v>
      </c>
      <c r="C16812" t="s">
        <v>138</v>
      </c>
      <c r="D16812" t="s">
        <v>1257</v>
      </c>
      <c r="E16812">
        <f t="shared" si="792"/>
        <v>1.5151515151515152E-2</v>
      </c>
      <c r="F16812">
        <v>10</v>
      </c>
      <c r="G16812">
        <f>LOG(382/(10+1))</f>
        <v>1.5406706777534838</v>
      </c>
      <c r="H16812">
        <f>0.0151515151515151*3.5475253358082</f>
        <v>5.3750383875881637E-2</v>
      </c>
      <c r="I16812">
        <v>5.3750383875881887E-2</v>
      </c>
    </row>
    <row r="16813" spans="1:9" x14ac:dyDescent="0.25">
      <c r="A16813">
        <v>531</v>
      </c>
      <c r="B16813" t="s">
        <v>4286</v>
      </c>
      <c r="C16813" t="s">
        <v>138</v>
      </c>
      <c r="D16813" t="s">
        <v>937</v>
      </c>
      <c r="E16813">
        <f t="shared" si="792"/>
        <v>1.5151515151515152E-2</v>
      </c>
      <c r="F16813">
        <v>41</v>
      </c>
      <c r="G16813">
        <f>LOG(382/(41+1))</f>
        <v>0.95881407251380824</v>
      </c>
      <c r="H16813">
        <f>0.0151515151515151*2.2077509903232</f>
        <v>3.3450772580654438E-2</v>
      </c>
      <c r="I16813">
        <v>3.3450772580654653E-2</v>
      </c>
    </row>
    <row r="16814" spans="1:9" x14ac:dyDescent="0.25">
      <c r="A16814">
        <v>531</v>
      </c>
      <c r="B16814" t="s">
        <v>4286</v>
      </c>
      <c r="C16814" t="s">
        <v>138</v>
      </c>
      <c r="D16814" t="s">
        <v>144</v>
      </c>
      <c r="E16814">
        <f t="shared" si="792"/>
        <v>1.5151515151515152E-2</v>
      </c>
      <c r="F16814">
        <v>105</v>
      </c>
      <c r="G16814">
        <f>LOG(382/(105+1))</f>
        <v>0.55675749764693849</v>
      </c>
      <c r="H16814">
        <f>0.0151515151515151*1.2819815144945</f>
        <v>1.942396234082569E-2</v>
      </c>
      <c r="I16814">
        <v>1.9423962340825881E-2</v>
      </c>
    </row>
    <row r="16815" spans="1:9" x14ac:dyDescent="0.25">
      <c r="A16815">
        <v>531</v>
      </c>
      <c r="B16815" t="s">
        <v>4286</v>
      </c>
      <c r="C16815" t="s">
        <v>138</v>
      </c>
      <c r="D16815" t="s">
        <v>76</v>
      </c>
      <c r="E16815">
        <f t="shared" si="792"/>
        <v>1.5151515151515152E-2</v>
      </c>
      <c r="F16815">
        <v>140</v>
      </c>
      <c r="G16815">
        <f>LOG(382/(140+1))</f>
        <v>0.43284425025632883</v>
      </c>
      <c r="H16815">
        <f>0.0151515151515151*0.996660718228407</f>
        <v>1.510091997315763E-2</v>
      </c>
      <c r="I16815">
        <v>1.510091997315768E-2</v>
      </c>
    </row>
    <row r="16816" spans="1:9" x14ac:dyDescent="0.25">
      <c r="A16816">
        <v>531</v>
      </c>
      <c r="B16816" t="s">
        <v>4286</v>
      </c>
      <c r="C16816" t="s">
        <v>138</v>
      </c>
      <c r="D16816" t="s">
        <v>331</v>
      </c>
      <c r="E16816">
        <f t="shared" si="792"/>
        <v>1.5151515151515152E-2</v>
      </c>
      <c r="F16816">
        <v>130</v>
      </c>
      <c r="G16816">
        <f>LOG(382/(130+1))</f>
        <v>0.46479206725594452</v>
      </c>
      <c r="H16816">
        <f>0.0151515151515151*1.07022328540542</f>
        <v>1.6215504324324493E-2</v>
      </c>
      <c r="I16816">
        <v>1.6215504324324601E-2</v>
      </c>
    </row>
    <row r="16817" spans="1:9" x14ac:dyDescent="0.25">
      <c r="A16817">
        <v>531</v>
      </c>
      <c r="B16817" t="s">
        <v>4286</v>
      </c>
      <c r="C16817" t="s">
        <v>138</v>
      </c>
      <c r="D16817" t="s">
        <v>77</v>
      </c>
      <c r="E16817">
        <f t="shared" si="792"/>
        <v>1.5151515151515152E-2</v>
      </c>
      <c r="F16817">
        <v>148</v>
      </c>
      <c r="G16817">
        <f>LOG(382/(148+1))</f>
        <v>0.40887709449943471</v>
      </c>
      <c r="H16817">
        <f>0.0151515151515151*0.941474302661116</f>
        <v>1.4264762161532012E-2</v>
      </c>
      <c r="I16817">
        <v>1.4264762161532061E-2</v>
      </c>
    </row>
    <row r="16818" spans="1:9" x14ac:dyDescent="0.25">
      <c r="A16818">
        <v>531</v>
      </c>
      <c r="B16818" t="s">
        <v>4286</v>
      </c>
      <c r="C16818" t="s">
        <v>138</v>
      </c>
      <c r="D16818" t="s">
        <v>936</v>
      </c>
      <c r="E16818">
        <f t="shared" si="792"/>
        <v>1.5151515151515152E-2</v>
      </c>
      <c r="F16818">
        <v>21</v>
      </c>
      <c r="G16818">
        <f>LOG(382/(21+1))</f>
        <v>1.2396406820895025</v>
      </c>
      <c r="H16818">
        <f>0.0151515151515151*2.85437815524825</f>
        <v>4.3248153867397575E-2</v>
      </c>
      <c r="I16818">
        <v>4.3248153867397873E-2</v>
      </c>
    </row>
    <row r="16819" spans="1:9" x14ac:dyDescent="0.25">
      <c r="A16819">
        <v>531</v>
      </c>
      <c r="B16819" t="s">
        <v>4286</v>
      </c>
      <c r="C16819" t="s">
        <v>138</v>
      </c>
      <c r="D16819" t="s">
        <v>79</v>
      </c>
      <c r="E16819">
        <f t="shared" si="792"/>
        <v>1.5151515151515152E-2</v>
      </c>
      <c r="F16819">
        <v>26</v>
      </c>
      <c r="G16819">
        <f>LOG(382/(26+1))</f>
        <v>1.1506995987527215</v>
      </c>
      <c r="H16819">
        <f>0.0151515151515151*2.64958374260224</f>
        <v>4.0145208221245926E-2</v>
      </c>
      <c r="I16819">
        <v>4.0145208221246162E-2</v>
      </c>
    </row>
    <row r="16820" spans="1:9" x14ac:dyDescent="0.25">
      <c r="A16820">
        <v>532</v>
      </c>
      <c r="B16820" t="s">
        <v>4290</v>
      </c>
      <c r="C16820" t="s">
        <v>138</v>
      </c>
      <c r="D16820" t="s">
        <v>744</v>
      </c>
      <c r="E16820">
        <f>3/76</f>
        <v>3.9473684210526314E-2</v>
      </c>
      <c r="F16820">
        <v>28</v>
      </c>
      <c r="G16820">
        <f>LOG(382/(28+1))</f>
        <v>1.1196653650127526</v>
      </c>
      <c r="H16820">
        <f>0.0394736842105263*2.5781247786201</f>
        <v>0.10176808336658284</v>
      </c>
      <c r="I16820">
        <v>0.1017680833665829</v>
      </c>
    </row>
    <row r="16821" spans="1:9" x14ac:dyDescent="0.25">
      <c r="A16821">
        <v>532</v>
      </c>
      <c r="B16821" t="s">
        <v>4290</v>
      </c>
      <c r="C16821" t="s">
        <v>138</v>
      </c>
      <c r="D16821" t="s">
        <v>154</v>
      </c>
      <c r="E16821">
        <f>3/76</f>
        <v>3.9473684210526314E-2</v>
      </c>
      <c r="F16821">
        <v>5</v>
      </c>
      <c r="G16821">
        <f>LOG(382/(5+1))</f>
        <v>1.803912112528065</v>
      </c>
      <c r="H16821">
        <f>0.0394736842105263*4.15366113937852</f>
        <v>0.16396030813336257</v>
      </c>
      <c r="I16821">
        <v>0.1639603081333626</v>
      </c>
    </row>
    <row r="16822" spans="1:9" x14ac:dyDescent="0.25">
      <c r="A16822">
        <v>532</v>
      </c>
      <c r="B16822" t="s">
        <v>4290</v>
      </c>
      <c r="C16822" t="s">
        <v>138</v>
      </c>
      <c r="D16822" t="s">
        <v>4291</v>
      </c>
      <c r="E16822">
        <f>2/76</f>
        <v>2.6315789473684209E-2</v>
      </c>
      <c r="F16822">
        <v>1</v>
      </c>
      <c r="G16822">
        <f>LOG(382/(1+1))</f>
        <v>2.2810333672477277</v>
      </c>
      <c r="H16822">
        <f>0.0263157894736842*5.25227342804663</f>
        <v>0.13821772179070071</v>
      </c>
      <c r="I16822">
        <v>0.1382177217907008</v>
      </c>
    </row>
    <row r="16823" spans="1:9" x14ac:dyDescent="0.25">
      <c r="A16823">
        <v>532</v>
      </c>
      <c r="B16823" t="s">
        <v>4290</v>
      </c>
      <c r="C16823" t="s">
        <v>138</v>
      </c>
      <c r="D16823" t="s">
        <v>747</v>
      </c>
      <c r="E16823">
        <f>1/76</f>
        <v>1.3157894736842105E-2</v>
      </c>
      <c r="F16823">
        <v>14</v>
      </c>
      <c r="G16823">
        <f>LOG(382/(14+1))</f>
        <v>1.4059721038560276</v>
      </c>
      <c r="H16823">
        <f>0.0131578947368421*3.23737040750436</f>
        <v>4.2596979046109977E-2</v>
      </c>
      <c r="I16823">
        <v>4.2596979046110067E-2</v>
      </c>
    </row>
    <row r="16824" spans="1:9" x14ac:dyDescent="0.25">
      <c r="A16824">
        <v>532</v>
      </c>
      <c r="B16824" t="s">
        <v>4290</v>
      </c>
      <c r="C16824" t="s">
        <v>138</v>
      </c>
      <c r="D16824" t="s">
        <v>42</v>
      </c>
      <c r="E16824">
        <f>1/76</f>
        <v>1.3157894736842105E-2</v>
      </c>
      <c r="F16824">
        <v>251</v>
      </c>
      <c r="G16824">
        <f>LOG(382/(251+1))</f>
        <v>0.18066282213016463</v>
      </c>
      <c r="H16824">
        <f>0.0131578947368421*0.415991521095151</f>
        <v>5.4735726459888261E-3</v>
      </c>
      <c r="I16824">
        <v>5.47357264598884E-3</v>
      </c>
    </row>
    <row r="16825" spans="1:9" x14ac:dyDescent="0.25">
      <c r="A16825">
        <v>532</v>
      </c>
      <c r="B16825" t="s">
        <v>4290</v>
      </c>
      <c r="C16825" t="s">
        <v>138</v>
      </c>
      <c r="D16825" t="s">
        <v>600</v>
      </c>
      <c r="E16825">
        <f>1/76</f>
        <v>1.3157894736842105E-2</v>
      </c>
      <c r="F16825">
        <v>102</v>
      </c>
      <c r="G16825">
        <f>LOG(382/(102+1))</f>
        <v>0.56922613820653656</v>
      </c>
      <c r="H16825">
        <f>0.0131578947368421*1.31069162037693</f>
        <v>1.7245942373380653E-2</v>
      </c>
      <c r="I16825">
        <v>1.7245942373380781E-2</v>
      </c>
    </row>
    <row r="16826" spans="1:9" x14ac:dyDescent="0.25">
      <c r="A16826">
        <v>532</v>
      </c>
      <c r="B16826" t="s">
        <v>4290</v>
      </c>
      <c r="C16826" t="s">
        <v>138</v>
      </c>
      <c r="D16826" t="s">
        <v>674</v>
      </c>
      <c r="E16826">
        <f>1/76</f>
        <v>1.3157894736842105E-2</v>
      </c>
      <c r="F16826">
        <v>11</v>
      </c>
      <c r="G16826">
        <f>LOG(382/(11+1))</f>
        <v>1.5028821168640838</v>
      </c>
      <c r="H16826">
        <f>0.0131578947368421*3.46051395881857</f>
        <v>4.5533078405507479E-2</v>
      </c>
      <c r="I16826">
        <v>4.5533078405507563E-2</v>
      </c>
    </row>
    <row r="16827" spans="1:9" x14ac:dyDescent="0.25">
      <c r="A16827">
        <v>532</v>
      </c>
      <c r="B16827" t="s">
        <v>4290</v>
      </c>
      <c r="C16827" t="s">
        <v>138</v>
      </c>
      <c r="D16827" t="s">
        <v>68</v>
      </c>
      <c r="E16827">
        <f>1/76</f>
        <v>1.3157894736842105E-2</v>
      </c>
      <c r="F16827">
        <v>43</v>
      </c>
      <c r="G16827">
        <f>LOG(382/(43+1))</f>
        <v>0.93861068642552126</v>
      </c>
      <c r="H16827">
        <f>0.0131578947368421*2.16123097468831</f>
        <v>2.8437249666951433E-2</v>
      </c>
      <c r="I16827">
        <v>2.8437249666951499E-2</v>
      </c>
    </row>
    <row r="16828" spans="1:9" x14ac:dyDescent="0.25">
      <c r="A16828">
        <v>532</v>
      </c>
      <c r="B16828" t="s">
        <v>4290</v>
      </c>
      <c r="C16828" t="s">
        <v>138</v>
      </c>
      <c r="D16828" t="s">
        <v>44</v>
      </c>
      <c r="E16828">
        <f>2/76</f>
        <v>2.6315789473684209E-2</v>
      </c>
      <c r="F16828">
        <v>151</v>
      </c>
      <c r="G16828">
        <f>LOG(382/(151+1))</f>
        <v>0.40021977496693617</v>
      </c>
      <c r="H16828">
        <f>0.0263157894736842*0.921540087760298</f>
        <v>2.4251054941060463E-2</v>
      </c>
      <c r="I16828">
        <v>2.4251054941060491E-2</v>
      </c>
    </row>
    <row r="16829" spans="1:9" x14ac:dyDescent="0.25">
      <c r="A16829">
        <v>532</v>
      </c>
      <c r="B16829" t="s">
        <v>4290</v>
      </c>
      <c r="C16829" t="s">
        <v>138</v>
      </c>
      <c r="D16829" t="s">
        <v>19</v>
      </c>
      <c r="E16829">
        <f>1/76</f>
        <v>1.3157894736842105E-2</v>
      </c>
      <c r="F16829">
        <v>220</v>
      </c>
      <c r="G16829">
        <f>LOG(382/(220+1))</f>
        <v>0.23767108922659805</v>
      </c>
      <c r="H16829">
        <f>0.0131578947368421*0.547257907088822</f>
        <v>7.2007619353792341E-3</v>
      </c>
      <c r="I16829">
        <v>7.200761935379241E-3</v>
      </c>
    </row>
    <row r="16830" spans="1:9" x14ac:dyDescent="0.25">
      <c r="A16830">
        <v>532</v>
      </c>
      <c r="B16830" t="s">
        <v>4290</v>
      </c>
      <c r="C16830" t="s">
        <v>138</v>
      </c>
      <c r="D16830" t="s">
        <v>22</v>
      </c>
      <c r="E16830">
        <f>1/76</f>
        <v>1.3157894736842105E-2</v>
      </c>
      <c r="F16830">
        <v>259</v>
      </c>
      <c r="G16830">
        <f>LOG(382/(259+1))</f>
        <v>0.16709001494089079</v>
      </c>
      <c r="H16830">
        <f>0.0131578947368421*0.384738977591047</f>
        <v>5.0623549683032482E-3</v>
      </c>
      <c r="I16830">
        <v>5.0623549683032568E-3</v>
      </c>
    </row>
    <row r="16831" spans="1:9" x14ac:dyDescent="0.25">
      <c r="A16831">
        <v>532</v>
      </c>
      <c r="B16831" t="s">
        <v>4290</v>
      </c>
      <c r="C16831" t="s">
        <v>138</v>
      </c>
      <c r="D16831" t="s">
        <v>23</v>
      </c>
      <c r="E16831">
        <f>1/76</f>
        <v>1.3157894736842105E-2</v>
      </c>
      <c r="F16831">
        <v>275</v>
      </c>
      <c r="G16831">
        <f>LOG(382/(275+1))</f>
        <v>0.14115428084649101</v>
      </c>
      <c r="H16831">
        <f>0.0131578947368421*0.325019742889425</f>
        <v>4.2765755643345369E-3</v>
      </c>
      <c r="I16831">
        <v>4.2765755643345412E-3</v>
      </c>
    </row>
    <row r="16832" spans="1:9" x14ac:dyDescent="0.25">
      <c r="A16832">
        <v>532</v>
      </c>
      <c r="B16832" t="s">
        <v>4290</v>
      </c>
      <c r="C16832" t="s">
        <v>138</v>
      </c>
      <c r="D16832" t="s">
        <v>1785</v>
      </c>
      <c r="E16832">
        <f>1/76</f>
        <v>1.3157894736842105E-2</v>
      </c>
      <c r="F16832">
        <v>21</v>
      </c>
      <c r="G16832">
        <f>LOG(382/(21+1))</f>
        <v>1.2396406820895025</v>
      </c>
      <c r="H16832">
        <f>0.0131578947368421*2.85437815524825</f>
        <v>3.7557607305898008E-2</v>
      </c>
      <c r="I16832">
        <v>3.7557607305898147E-2</v>
      </c>
    </row>
    <row r="16833" spans="1:9" x14ac:dyDescent="0.25">
      <c r="A16833">
        <v>532</v>
      </c>
      <c r="B16833" t="s">
        <v>4290</v>
      </c>
      <c r="C16833" t="s">
        <v>138</v>
      </c>
      <c r="D16833" t="s">
        <v>204</v>
      </c>
      <c r="E16833">
        <f>2/76</f>
        <v>2.6315789473684209E-2</v>
      </c>
      <c r="F16833">
        <v>166</v>
      </c>
      <c r="G16833">
        <f>LOG(382/(166+1))</f>
        <v>0.35934689176412549</v>
      </c>
      <c r="H16833">
        <f>0.0263157894736842*0.82742679618982</f>
        <v>2.1774389373416306E-2</v>
      </c>
      <c r="I16833">
        <v>2.177438937341632E-2</v>
      </c>
    </row>
    <row r="16834" spans="1:9" x14ac:dyDescent="0.25">
      <c r="A16834">
        <v>532</v>
      </c>
      <c r="B16834" t="s">
        <v>4290</v>
      </c>
      <c r="C16834" t="s">
        <v>138</v>
      </c>
      <c r="D16834" t="s">
        <v>331</v>
      </c>
      <c r="E16834">
        <f>1/76</f>
        <v>1.3157894736842105E-2</v>
      </c>
      <c r="F16834">
        <v>130</v>
      </c>
      <c r="G16834">
        <f>LOG(382/(130+1))</f>
        <v>0.46479206725594452</v>
      </c>
      <c r="H16834">
        <f>0.0131578947368421*1.07022328540542</f>
        <v>1.4081885334281837E-2</v>
      </c>
      <c r="I16834">
        <v>1.4081885334281889E-2</v>
      </c>
    </row>
    <row r="16835" spans="1:9" x14ac:dyDescent="0.25">
      <c r="A16835">
        <v>532</v>
      </c>
      <c r="B16835" t="s">
        <v>4290</v>
      </c>
      <c r="C16835" t="s">
        <v>138</v>
      </c>
      <c r="D16835" t="s">
        <v>755</v>
      </c>
      <c r="E16835">
        <f>1/76</f>
        <v>1.3157894736842105E-2</v>
      </c>
      <c r="F16835">
        <v>19</v>
      </c>
      <c r="G16835">
        <f>LOG(382/(19+1))</f>
        <v>1.2810333672477277</v>
      </c>
      <c r="H16835">
        <f>0.0131578947368421*2.94968833505258</f>
        <v>3.8811688619112876E-2</v>
      </c>
      <c r="I16835">
        <v>3.8811688619112952E-2</v>
      </c>
    </row>
    <row r="16836" spans="1:9" x14ac:dyDescent="0.25">
      <c r="A16836">
        <v>532</v>
      </c>
      <c r="B16836" t="s">
        <v>4290</v>
      </c>
      <c r="C16836" t="s">
        <v>138</v>
      </c>
      <c r="D16836" t="s">
        <v>754</v>
      </c>
      <c r="E16836">
        <f>2/76</f>
        <v>2.6315789473684209E-2</v>
      </c>
      <c r="F16836">
        <v>111</v>
      </c>
      <c r="G16836">
        <f>LOG(382/(111+1))</f>
        <v>0.53284534024152708</v>
      </c>
      <c r="H16836">
        <f>0.0263157894736842*1.22692173731148</f>
        <v>3.2287414139775775E-2</v>
      </c>
      <c r="I16836">
        <v>3.2287414139775802E-2</v>
      </c>
    </row>
    <row r="16837" spans="1:9" x14ac:dyDescent="0.25">
      <c r="A16837">
        <v>532</v>
      </c>
      <c r="B16837" t="s">
        <v>4290</v>
      </c>
      <c r="C16837" t="s">
        <v>138</v>
      </c>
      <c r="D16837" t="s">
        <v>76</v>
      </c>
      <c r="E16837">
        <f>1/76</f>
        <v>1.3157894736842105E-2</v>
      </c>
      <c r="F16837">
        <v>140</v>
      </c>
      <c r="G16837">
        <f>LOG(382/(140+1))</f>
        <v>0.43284425025632883</v>
      </c>
      <c r="H16837">
        <f>0.0131578947368421*0.996660718228407</f>
        <v>1.3113956818794823E-2</v>
      </c>
      <c r="I16837">
        <v>1.311395681879483E-2</v>
      </c>
    </row>
    <row r="16838" spans="1:9" x14ac:dyDescent="0.25">
      <c r="A16838">
        <v>532</v>
      </c>
      <c r="B16838" t="s">
        <v>4290</v>
      </c>
      <c r="C16838" t="s">
        <v>138</v>
      </c>
      <c r="D16838" t="s">
        <v>77</v>
      </c>
      <c r="E16838">
        <f>1/76</f>
        <v>1.3157894736842105E-2</v>
      </c>
      <c r="F16838">
        <v>148</v>
      </c>
      <c r="G16838">
        <f>LOG(382/(148+1))</f>
        <v>0.40887709449943471</v>
      </c>
      <c r="H16838">
        <f>0.0131578947368421*0.941474302661116</f>
        <v>1.2387819771856783E-2</v>
      </c>
      <c r="I16838">
        <v>1.238781977185679E-2</v>
      </c>
    </row>
    <row r="16839" spans="1:9" x14ac:dyDescent="0.25">
      <c r="A16839">
        <v>532</v>
      </c>
      <c r="B16839" t="s">
        <v>4290</v>
      </c>
      <c r="C16839" t="s">
        <v>138</v>
      </c>
      <c r="D16839" t="s">
        <v>40</v>
      </c>
      <c r="E16839">
        <f>3/76</f>
        <v>3.9473684210526314E-2</v>
      </c>
      <c r="F16839">
        <v>159</v>
      </c>
      <c r="G16839">
        <f>LOG(382/(159+1))</f>
        <v>0.377943380255784</v>
      </c>
      <c r="H16839">
        <f>0.0394736842105263*0.870246793372748</f>
        <v>3.4351847106818989E-2</v>
      </c>
      <c r="I16839">
        <v>3.435184710681901E-2</v>
      </c>
    </row>
    <row r="16840" spans="1:9" x14ac:dyDescent="0.25">
      <c r="A16840">
        <v>532</v>
      </c>
      <c r="B16840" t="s">
        <v>4290</v>
      </c>
      <c r="C16840" t="s">
        <v>138</v>
      </c>
      <c r="D16840" t="s">
        <v>41</v>
      </c>
      <c r="E16840">
        <f>3/76</f>
        <v>3.9473684210526314E-2</v>
      </c>
      <c r="F16840">
        <v>195</v>
      </c>
      <c r="G16840">
        <f>LOG(382/(195+1))</f>
        <v>0.28980729155523272</v>
      </c>
      <c r="H16840">
        <f>0.0394736842105263*0.667305949376058</f>
        <v>2.6341024317475963E-2</v>
      </c>
      <c r="I16840">
        <v>2.634102431747597E-2</v>
      </c>
    </row>
    <row r="16841" spans="1:9" x14ac:dyDescent="0.25">
      <c r="A16841">
        <v>532</v>
      </c>
      <c r="B16841" t="s">
        <v>4290</v>
      </c>
      <c r="C16841" t="s">
        <v>138</v>
      </c>
      <c r="D16841" t="s">
        <v>243</v>
      </c>
      <c r="E16841">
        <f t="shared" ref="E16841:E16846" si="793">1/76</f>
        <v>1.3157894736842105E-2</v>
      </c>
      <c r="F16841">
        <v>131</v>
      </c>
      <c r="G16841">
        <f>LOG(382/(131+1))</f>
        <v>0.46148943170585888</v>
      </c>
      <c r="H16841">
        <f>0.0131578947368421*1.0626186860202</f>
        <v>1.3981824816055257E-2</v>
      </c>
      <c r="I16841">
        <v>1.3981824816055319E-2</v>
      </c>
    </row>
    <row r="16842" spans="1:9" x14ac:dyDescent="0.25">
      <c r="A16842">
        <v>532</v>
      </c>
      <c r="B16842" t="s">
        <v>4290</v>
      </c>
      <c r="C16842" t="s">
        <v>138</v>
      </c>
      <c r="D16842" t="s">
        <v>453</v>
      </c>
      <c r="E16842">
        <f t="shared" si="793"/>
        <v>1.3157894736842105E-2</v>
      </c>
      <c r="F16842">
        <v>68</v>
      </c>
      <c r="G16842">
        <f>LOG(382/(68+1))</f>
        <v>0.74321427217445335</v>
      </c>
      <c r="H16842">
        <f>0.0131578947368421*1.71131410400931</f>
        <v>2.2517290842227755E-2</v>
      </c>
      <c r="I16842">
        <v>2.2517290842227838E-2</v>
      </c>
    </row>
    <row r="16843" spans="1:9" x14ac:dyDescent="0.25">
      <c r="A16843">
        <v>532</v>
      </c>
      <c r="B16843" t="s">
        <v>4290</v>
      </c>
      <c r="C16843" t="s">
        <v>138</v>
      </c>
      <c r="D16843" t="s">
        <v>455</v>
      </c>
      <c r="E16843">
        <f t="shared" si="793"/>
        <v>1.3157894736842105E-2</v>
      </c>
      <c r="F16843">
        <v>78</v>
      </c>
      <c r="G16843">
        <f>LOG(382/(78+1))</f>
        <v>0.6844362716212673</v>
      </c>
      <c r="H16843">
        <f>0.0131578947368421*1.57597275613955</f>
        <v>2.0736483633415122E-2</v>
      </c>
      <c r="I16843">
        <v>2.0736483633415181E-2</v>
      </c>
    </row>
    <row r="16844" spans="1:9" x14ac:dyDescent="0.25">
      <c r="A16844">
        <v>532</v>
      </c>
      <c r="B16844" t="s">
        <v>4290</v>
      </c>
      <c r="C16844" t="s">
        <v>138</v>
      </c>
      <c r="D16844" t="s">
        <v>456</v>
      </c>
      <c r="E16844">
        <f t="shared" si="793"/>
        <v>1.3157894736842105E-2</v>
      </c>
      <c r="F16844">
        <v>71</v>
      </c>
      <c r="G16844">
        <f>LOG(382/(71+1))</f>
        <v>0.72473086648044027</v>
      </c>
      <c r="H16844">
        <f>0.0131578947368421*1.66875448959051</f>
        <v>2.1957295915664594E-2</v>
      </c>
      <c r="I16844">
        <v>2.195729591566473E-2</v>
      </c>
    </row>
    <row r="16845" spans="1:9" x14ac:dyDescent="0.25">
      <c r="A16845">
        <v>532</v>
      </c>
      <c r="B16845" t="s">
        <v>4290</v>
      </c>
      <c r="C16845" t="s">
        <v>138</v>
      </c>
      <c r="D16845" t="s">
        <v>1779</v>
      </c>
      <c r="E16845">
        <f t="shared" si="793"/>
        <v>1.3157894736842105E-2</v>
      </c>
      <c r="F16845">
        <v>41</v>
      </c>
      <c r="G16845">
        <f>LOG(382/(41+1))</f>
        <v>0.95881407251380824</v>
      </c>
      <c r="H16845">
        <f>0.0131578947368421*2.2077509903232</f>
        <v>2.9049355135831567E-2</v>
      </c>
      <c r="I16845">
        <v>2.9049355135831671E-2</v>
      </c>
    </row>
    <row r="16846" spans="1:9" x14ac:dyDescent="0.25">
      <c r="A16846">
        <v>532</v>
      </c>
      <c r="B16846" t="s">
        <v>4290</v>
      </c>
      <c r="C16846" t="s">
        <v>138</v>
      </c>
      <c r="D16846" t="s">
        <v>4292</v>
      </c>
      <c r="E16846">
        <f t="shared" si="793"/>
        <v>1.3157894736842105E-2</v>
      </c>
      <c r="F16846">
        <v>1</v>
      </c>
      <c r="G16846">
        <f>LOG(382/(1+1))</f>
        <v>2.2810333672477277</v>
      </c>
      <c r="H16846">
        <f>0.0131578947368421*5.25227342804663</f>
        <v>6.9108860895350357E-2</v>
      </c>
      <c r="I16846">
        <v>6.9108860895350385E-2</v>
      </c>
    </row>
    <row r="16847" spans="1:9" x14ac:dyDescent="0.25">
      <c r="A16847">
        <v>532</v>
      </c>
      <c r="B16847" t="s">
        <v>4290</v>
      </c>
      <c r="C16847" t="s">
        <v>138</v>
      </c>
      <c r="D16847" t="s">
        <v>322</v>
      </c>
      <c r="E16847">
        <f>3/76</f>
        <v>3.9473684210526314E-2</v>
      </c>
      <c r="F16847">
        <v>128</v>
      </c>
      <c r="G16847">
        <f>LOG(382/(128+1))</f>
        <v>0.47147365261245977</v>
      </c>
      <c r="H16847">
        <f>0.0394736842105263*1.0856082042449</f>
        <v>4.2852955430719722E-2</v>
      </c>
      <c r="I16847">
        <v>4.2852955430719861E-2</v>
      </c>
    </row>
    <row r="16848" spans="1:9" x14ac:dyDescent="0.25">
      <c r="A16848">
        <v>532</v>
      </c>
      <c r="B16848" t="s">
        <v>4290</v>
      </c>
      <c r="C16848" t="s">
        <v>138</v>
      </c>
      <c r="D16848" t="s">
        <v>762</v>
      </c>
      <c r="E16848">
        <f>2/76</f>
        <v>2.6315789473684209E-2</v>
      </c>
      <c r="F16848">
        <v>29</v>
      </c>
      <c r="G16848">
        <f>LOG(382/(29+1))</f>
        <v>1.1049421081920463</v>
      </c>
      <c r="H16848">
        <f>0.0263157894736842*2.54422322694442</f>
        <v>6.695324281432681E-2</v>
      </c>
      <c r="I16848">
        <v>6.6953242814326838E-2</v>
      </c>
    </row>
    <row r="16849" spans="1:9" x14ac:dyDescent="0.25">
      <c r="A16849">
        <v>532</v>
      </c>
      <c r="B16849" t="s">
        <v>4290</v>
      </c>
      <c r="C16849" t="s">
        <v>138</v>
      </c>
      <c r="D16849" t="s">
        <v>338</v>
      </c>
      <c r="E16849">
        <f>1/76</f>
        <v>1.3157894736842105E-2</v>
      </c>
      <c r="F16849">
        <v>54</v>
      </c>
      <c r="G16849">
        <f>LOG(382/(54+1))</f>
        <v>0.84170067341746491</v>
      </c>
      <c r="H16849">
        <f>0.0131578947368421*1.9380874233741</f>
        <v>2.5501150307553934E-2</v>
      </c>
      <c r="I16849">
        <v>2.5501150307554E-2</v>
      </c>
    </row>
    <row r="16850" spans="1:9" x14ac:dyDescent="0.25">
      <c r="A16850">
        <v>532</v>
      </c>
      <c r="B16850" t="s">
        <v>4290</v>
      </c>
      <c r="C16850" t="s">
        <v>138</v>
      </c>
      <c r="D16850" t="s">
        <v>399</v>
      </c>
      <c r="E16850">
        <f>1/76</f>
        <v>1.3157894736842105E-2</v>
      </c>
      <c r="F16850">
        <v>27</v>
      </c>
      <c r="G16850">
        <f>LOG(382/(27+1))</f>
        <v>1.1349053315694895</v>
      </c>
      <c r="H16850">
        <f>0.0131578947368421*2.61321609843137</f>
        <v>3.438442234778117E-2</v>
      </c>
      <c r="I16850">
        <v>3.4384422347781197E-2</v>
      </c>
    </row>
    <row r="16851" spans="1:9" x14ac:dyDescent="0.25">
      <c r="A16851">
        <v>532</v>
      </c>
      <c r="B16851" t="s">
        <v>4290</v>
      </c>
      <c r="C16851" t="s">
        <v>138</v>
      </c>
      <c r="D16851" t="s">
        <v>649</v>
      </c>
      <c r="E16851">
        <f>2/76</f>
        <v>2.6315789473684209E-2</v>
      </c>
      <c r="F16851">
        <v>25</v>
      </c>
      <c r="G16851">
        <f>LOG(382/(25+1))</f>
        <v>1.1670900149408907</v>
      </c>
      <c r="H16851">
        <f>0.0263157894736842*2.68732407058509</f>
        <v>7.0719054489081279E-2</v>
      </c>
      <c r="I16851">
        <v>7.071905448908139E-2</v>
      </c>
    </row>
    <row r="16852" spans="1:9" x14ac:dyDescent="0.25">
      <c r="A16852">
        <v>532</v>
      </c>
      <c r="B16852" t="s">
        <v>4290</v>
      </c>
      <c r="C16852" t="s">
        <v>138</v>
      </c>
      <c r="D16852" t="s">
        <v>1537</v>
      </c>
      <c r="E16852">
        <f t="shared" ref="E16852:E16858" si="794">1/76</f>
        <v>1.3157894736842105E-2</v>
      </c>
      <c r="F16852">
        <v>80</v>
      </c>
      <c r="G16852">
        <f>LOG(382/(80+1))</f>
        <v>0.67357834403305894</v>
      </c>
      <c r="H16852">
        <f>0.0131578947368421*1.55097145393413</f>
        <v>2.0407519130712228E-2</v>
      </c>
      <c r="I16852">
        <v>2.0407519130712318E-2</v>
      </c>
    </row>
    <row r="16853" spans="1:9" x14ac:dyDescent="0.25">
      <c r="A16853">
        <v>532</v>
      </c>
      <c r="B16853" t="s">
        <v>4290</v>
      </c>
      <c r="C16853" t="s">
        <v>138</v>
      </c>
      <c r="D16853" t="s">
        <v>362</v>
      </c>
      <c r="E16853">
        <f t="shared" si="794"/>
        <v>1.3157894736842105E-2</v>
      </c>
      <c r="F16853">
        <v>81</v>
      </c>
      <c r="G16853">
        <f>LOG(382/(81+1))</f>
        <v>0.66824951052799197</v>
      </c>
      <c r="H16853">
        <f>0.0131578947368421*1.53870136134232</f>
        <v>2.0246070543977885E-2</v>
      </c>
      <c r="I16853">
        <v>2.024607054397792E-2</v>
      </c>
    </row>
    <row r="16854" spans="1:9" x14ac:dyDescent="0.25">
      <c r="A16854">
        <v>532</v>
      </c>
      <c r="B16854" t="s">
        <v>4290</v>
      </c>
      <c r="C16854" t="s">
        <v>138</v>
      </c>
      <c r="D16854" t="s">
        <v>1762</v>
      </c>
      <c r="E16854">
        <f t="shared" si="794"/>
        <v>1.3157894736842105E-2</v>
      </c>
      <c r="F16854">
        <v>60</v>
      </c>
      <c r="G16854">
        <f>LOG(382/(60+1))</f>
        <v>0.79673352790094176</v>
      </c>
      <c r="H16854">
        <f>0.0131578947368421*1.83454674443326</f>
        <v>2.4138772953069199E-2</v>
      </c>
      <c r="I16854">
        <v>2.4138772953069262E-2</v>
      </c>
    </row>
    <row r="16855" spans="1:9" x14ac:dyDescent="0.25">
      <c r="A16855">
        <v>532</v>
      </c>
      <c r="B16855" t="s">
        <v>4290</v>
      </c>
      <c r="C16855" t="s">
        <v>138</v>
      </c>
      <c r="D16855" t="s">
        <v>201</v>
      </c>
      <c r="E16855">
        <f t="shared" si="794"/>
        <v>1.3157894736842105E-2</v>
      </c>
      <c r="F16855">
        <v>72</v>
      </c>
      <c r="G16855">
        <f>LOG(382/(72+1))</f>
        <v>0.71874050279125279</v>
      </c>
      <c r="H16855">
        <f>0.0131578947368421*1.65496116745818</f>
        <v>2.1775804834976042E-2</v>
      </c>
      <c r="I16855">
        <v>2.1775804834976101E-2</v>
      </c>
    </row>
    <row r="16856" spans="1:9" x14ac:dyDescent="0.25">
      <c r="A16856">
        <v>532</v>
      </c>
      <c r="B16856" t="s">
        <v>4290</v>
      </c>
      <c r="C16856" t="s">
        <v>138</v>
      </c>
      <c r="D16856" t="s">
        <v>225</v>
      </c>
      <c r="E16856">
        <f t="shared" si="794"/>
        <v>1.3157894736842105E-2</v>
      </c>
      <c r="F16856">
        <v>30</v>
      </c>
      <c r="G16856">
        <f>LOG(382/(30+1))</f>
        <v>1.090701669077436</v>
      </c>
      <c r="H16856">
        <f>0.0131578947368421*2.51143340412142</f>
        <v>3.3045176370018671E-2</v>
      </c>
      <c r="I16856">
        <v>3.3045176370018803E-2</v>
      </c>
    </row>
    <row r="16857" spans="1:9" x14ac:dyDescent="0.25">
      <c r="A16857">
        <v>532</v>
      </c>
      <c r="B16857" t="s">
        <v>4290</v>
      </c>
      <c r="C16857" t="s">
        <v>138</v>
      </c>
      <c r="D16857" t="s">
        <v>1257</v>
      </c>
      <c r="E16857">
        <f t="shared" si="794"/>
        <v>1.3157894736842105E-2</v>
      </c>
      <c r="F16857">
        <v>10</v>
      </c>
      <c r="G16857">
        <f>LOG(382/(10+1))</f>
        <v>1.5406706777534838</v>
      </c>
      <c r="H16857">
        <f>0.0131578947368421*3.5475253358082</f>
        <v>4.6677964944844719E-2</v>
      </c>
      <c r="I16857">
        <v>4.6677964944844802E-2</v>
      </c>
    </row>
    <row r="16858" spans="1:9" x14ac:dyDescent="0.25">
      <c r="A16858">
        <v>532</v>
      </c>
      <c r="B16858" t="s">
        <v>4290</v>
      </c>
      <c r="C16858" t="s">
        <v>138</v>
      </c>
      <c r="D16858" t="s">
        <v>937</v>
      </c>
      <c r="E16858">
        <f t="shared" si="794"/>
        <v>1.3157894736842105E-2</v>
      </c>
      <c r="F16858">
        <v>41</v>
      </c>
      <c r="G16858">
        <f>LOG(382/(41+1))</f>
        <v>0.95881407251380824</v>
      </c>
      <c r="H16858">
        <f>0.0131578947368421*2.2077509903232</f>
        <v>2.9049355135831567E-2</v>
      </c>
      <c r="I16858">
        <v>2.9049355135831671E-2</v>
      </c>
    </row>
    <row r="16859" spans="1:9" x14ac:dyDescent="0.25">
      <c r="A16859">
        <v>532</v>
      </c>
      <c r="B16859" t="s">
        <v>4290</v>
      </c>
      <c r="C16859" t="s">
        <v>138</v>
      </c>
      <c r="D16859" t="s">
        <v>1532</v>
      </c>
      <c r="E16859">
        <f>2/76</f>
        <v>2.6315789473684209E-2</v>
      </c>
      <c r="F16859">
        <v>28</v>
      </c>
      <c r="G16859">
        <f>LOG(382/(28+1))</f>
        <v>1.1196653650127526</v>
      </c>
      <c r="H16859">
        <f>0.0263157894736842*2.5781247786201</f>
        <v>6.7845388911055224E-2</v>
      </c>
      <c r="I16859">
        <v>6.7845388911055293E-2</v>
      </c>
    </row>
    <row r="16860" spans="1:9" x14ac:dyDescent="0.25">
      <c r="A16860">
        <v>532</v>
      </c>
      <c r="B16860" t="s">
        <v>4290</v>
      </c>
      <c r="C16860" t="s">
        <v>138</v>
      </c>
      <c r="D16860" t="s">
        <v>1533</v>
      </c>
      <c r="E16860">
        <f>2/76</f>
        <v>2.6315789473684209E-2</v>
      </c>
      <c r="F16860">
        <v>33</v>
      </c>
      <c r="G16860">
        <f>LOG(382/(33+1))</f>
        <v>1.0505844458694535</v>
      </c>
      <c r="H16860">
        <f>0.0263157894736842*2.41906008399041</f>
        <v>6.3659475894484452E-2</v>
      </c>
      <c r="I16860">
        <v>6.3659475894484563E-2</v>
      </c>
    </row>
    <row r="16861" spans="1:9" x14ac:dyDescent="0.25">
      <c r="A16861">
        <v>532</v>
      </c>
      <c r="B16861" t="s">
        <v>4290</v>
      </c>
      <c r="C16861" t="s">
        <v>138</v>
      </c>
      <c r="D16861" t="s">
        <v>81</v>
      </c>
      <c r="E16861">
        <f>2/76</f>
        <v>2.6315789473684209E-2</v>
      </c>
      <c r="F16861">
        <v>114</v>
      </c>
      <c r="G16861">
        <f>LOG(382/(114+1))</f>
        <v>0.52136552255809698</v>
      </c>
      <c r="H16861">
        <f>0.0263157894736842*1.20048848024332</f>
        <v>3.1591802111666303E-2</v>
      </c>
      <c r="I16861">
        <v>3.1591802111666449E-2</v>
      </c>
    </row>
    <row r="16862" spans="1:9" x14ac:dyDescent="0.25">
      <c r="A16862">
        <v>532</v>
      </c>
      <c r="B16862" t="s">
        <v>4290</v>
      </c>
      <c r="C16862" t="s">
        <v>138</v>
      </c>
      <c r="D16862" t="s">
        <v>2424</v>
      </c>
      <c r="E16862">
        <f t="shared" ref="E16862:E16868" si="795">1/76</f>
        <v>1.3157894736842105E-2</v>
      </c>
      <c r="F16862">
        <v>9</v>
      </c>
      <c r="G16862">
        <f>LOG(382/(9+1))</f>
        <v>1.5820633629117087</v>
      </c>
      <c r="H16862">
        <f>0.0131578947368421*3.64283551561252</f>
        <v>4.7932046258059455E-2</v>
      </c>
      <c r="I16862">
        <v>4.7932046258059587E-2</v>
      </c>
    </row>
    <row r="16863" spans="1:9" x14ac:dyDescent="0.25">
      <c r="A16863">
        <v>532</v>
      </c>
      <c r="B16863" t="s">
        <v>4290</v>
      </c>
      <c r="C16863" t="s">
        <v>138</v>
      </c>
      <c r="D16863" t="s">
        <v>1085</v>
      </c>
      <c r="E16863">
        <f t="shared" si="795"/>
        <v>1.3157894736842105E-2</v>
      </c>
      <c r="F16863">
        <v>16</v>
      </c>
      <c r="G16863">
        <f>LOG(382/(16+1))</f>
        <v>1.3516144415334348</v>
      </c>
      <c r="H16863">
        <f>0.0131578947368421*3.11220726455035</f>
        <v>4.0950095586188798E-2</v>
      </c>
      <c r="I16863">
        <v>4.0950095586188943E-2</v>
      </c>
    </row>
    <row r="16864" spans="1:9" x14ac:dyDescent="0.25">
      <c r="A16864">
        <v>532</v>
      </c>
      <c r="B16864" t="s">
        <v>4290</v>
      </c>
      <c r="C16864" t="s">
        <v>138</v>
      </c>
      <c r="D16864" t="s">
        <v>324</v>
      </c>
      <c r="E16864">
        <f t="shared" si="795"/>
        <v>1.3157894736842105E-2</v>
      </c>
      <c r="F16864">
        <v>82</v>
      </c>
      <c r="G16864">
        <f>LOG(382/(82+1))</f>
        <v>0.66298527053563483</v>
      </c>
      <c r="H16864">
        <f>0.0131578947368421*1.52658000080997</f>
        <v>2.0086578958025909E-2</v>
      </c>
      <c r="I16864">
        <v>2.008657895802602E-2</v>
      </c>
    </row>
    <row r="16865" spans="1:9" x14ac:dyDescent="0.25">
      <c r="A16865">
        <v>532</v>
      </c>
      <c r="B16865" t="s">
        <v>4290</v>
      </c>
      <c r="C16865" t="s">
        <v>138</v>
      </c>
      <c r="D16865" t="s">
        <v>1222</v>
      </c>
      <c r="E16865">
        <f t="shared" si="795"/>
        <v>1.3157894736842105E-2</v>
      </c>
      <c r="F16865">
        <v>56</v>
      </c>
      <c r="G16865">
        <f>LOG(382/(56+1))</f>
        <v>0.82618850723921733</v>
      </c>
      <c r="H16865">
        <f>0.0131578947368421*1.90236934077202</f>
        <v>2.5031175536473934E-2</v>
      </c>
      <c r="I16865">
        <v>2.503117553647401E-2</v>
      </c>
    </row>
    <row r="16866" spans="1:9" x14ac:dyDescent="0.25">
      <c r="A16866">
        <v>532</v>
      </c>
      <c r="B16866" t="s">
        <v>4290</v>
      </c>
      <c r="C16866" t="s">
        <v>138</v>
      </c>
      <c r="D16866" t="s">
        <v>447</v>
      </c>
      <c r="E16866">
        <f t="shared" si="795"/>
        <v>1.3157894736842105E-2</v>
      </c>
      <c r="F16866">
        <v>37</v>
      </c>
      <c r="G16866">
        <f>LOG(382/(37+1))</f>
        <v>1.0022797662948986</v>
      </c>
      <c r="H16866">
        <f>0.0131578947368421*2.30783444888018</f>
        <v>3.0366242748423405E-2</v>
      </c>
      <c r="I16866">
        <v>3.036624274842354E-2</v>
      </c>
    </row>
    <row r="16867" spans="1:9" x14ac:dyDescent="0.25">
      <c r="A16867">
        <v>532</v>
      </c>
      <c r="B16867" t="s">
        <v>4290</v>
      </c>
      <c r="C16867" t="s">
        <v>138</v>
      </c>
      <c r="D16867" t="s">
        <v>570</v>
      </c>
      <c r="E16867">
        <f t="shared" si="795"/>
        <v>1.3157894736842105E-2</v>
      </c>
      <c r="F16867">
        <v>27</v>
      </c>
      <c r="G16867">
        <f>LOG(382/(27+1))</f>
        <v>1.1349053315694895</v>
      </c>
      <c r="H16867">
        <f>0.0131578947368421*2.61321609843137</f>
        <v>3.438442234778117E-2</v>
      </c>
      <c r="I16867">
        <v>3.4384422347781197E-2</v>
      </c>
    </row>
    <row r="16868" spans="1:9" x14ac:dyDescent="0.25">
      <c r="A16868">
        <v>532</v>
      </c>
      <c r="B16868" t="s">
        <v>4290</v>
      </c>
      <c r="C16868" t="s">
        <v>138</v>
      </c>
      <c r="D16868" t="s">
        <v>767</v>
      </c>
      <c r="E16868">
        <f t="shared" si="795"/>
        <v>1.3157894736842105E-2</v>
      </c>
      <c r="F16868">
        <v>47</v>
      </c>
      <c r="G16868">
        <f>LOG(382/(47+1))</f>
        <v>0.90082212553612151</v>
      </c>
      <c r="H16868">
        <f>0.0131578947368421*2.07421959769868</f>
        <v>2.72923631276142E-2</v>
      </c>
      <c r="I16868">
        <v>2.7292363127614259E-2</v>
      </c>
    </row>
    <row r="16869" spans="1:9" x14ac:dyDescent="0.25">
      <c r="A16869">
        <v>532</v>
      </c>
      <c r="B16869" t="s">
        <v>4290</v>
      </c>
      <c r="C16869" t="s">
        <v>138</v>
      </c>
      <c r="D16869" t="s">
        <v>144</v>
      </c>
      <c r="E16869">
        <f>2/76</f>
        <v>2.6315789473684209E-2</v>
      </c>
      <c r="F16869">
        <v>105</v>
      </c>
      <c r="G16869">
        <f>LOG(382/(105+1))</f>
        <v>0.55675749764693849</v>
      </c>
      <c r="H16869">
        <f>0.0263157894736842*1.2819815144945</f>
        <v>3.3736355644592091E-2</v>
      </c>
      <c r="I16869">
        <v>3.3736355644592313E-2</v>
      </c>
    </row>
    <row r="16870" spans="1:9" x14ac:dyDescent="0.25">
      <c r="A16870">
        <v>532</v>
      </c>
      <c r="B16870" t="s">
        <v>4290</v>
      </c>
      <c r="C16870" t="s">
        <v>138</v>
      </c>
      <c r="D16870" t="s">
        <v>758</v>
      </c>
      <c r="E16870">
        <f t="shared" ref="E16870:E16875" si="796">1/76</f>
        <v>1.3157894736842105E-2</v>
      </c>
      <c r="F16870">
        <v>26</v>
      </c>
      <c r="G16870">
        <f>LOG(382/(26+1))</f>
        <v>1.1506995987527215</v>
      </c>
      <c r="H16870">
        <f>0.0131578947368421*2.64958374260224</f>
        <v>3.4862943981608406E-2</v>
      </c>
      <c r="I16870">
        <v>3.4862943981608503E-2</v>
      </c>
    </row>
    <row r="16871" spans="1:9" x14ac:dyDescent="0.25">
      <c r="A16871">
        <v>532</v>
      </c>
      <c r="B16871" t="s">
        <v>4290</v>
      </c>
      <c r="C16871" t="s">
        <v>138</v>
      </c>
      <c r="D16871" t="s">
        <v>65</v>
      </c>
      <c r="E16871">
        <f t="shared" si="796"/>
        <v>1.3157894736842105E-2</v>
      </c>
      <c r="F16871">
        <v>32</v>
      </c>
      <c r="G16871">
        <f>LOG(382/(32+1))</f>
        <v>1.0635494230338212</v>
      </c>
      <c r="H16871">
        <f>0.0131578947368421*2.44891304714009</f>
        <v>3.2222540093948537E-2</v>
      </c>
      <c r="I16871">
        <v>3.2222540093948621E-2</v>
      </c>
    </row>
    <row r="16872" spans="1:9" x14ac:dyDescent="0.25">
      <c r="A16872">
        <v>532</v>
      </c>
      <c r="B16872" t="s">
        <v>4290</v>
      </c>
      <c r="C16872" t="s">
        <v>138</v>
      </c>
      <c r="D16872" t="s">
        <v>339</v>
      </c>
      <c r="E16872">
        <f t="shared" si="796"/>
        <v>1.3157894736842105E-2</v>
      </c>
      <c r="F16872">
        <v>66</v>
      </c>
      <c r="G16872">
        <f>LOG(382/(66+1))</f>
        <v>0.75598856021088234</v>
      </c>
      <c r="H16872">
        <f>0.0131578947368421*1.7407279892156</f>
        <v>2.2904315647573673E-2</v>
      </c>
      <c r="I16872">
        <v>2.2904315647573802E-2</v>
      </c>
    </row>
    <row r="16873" spans="1:9" x14ac:dyDescent="0.25">
      <c r="A16873">
        <v>532</v>
      </c>
      <c r="B16873" t="s">
        <v>4290</v>
      </c>
      <c r="C16873" t="s">
        <v>138</v>
      </c>
      <c r="D16873" t="s">
        <v>340</v>
      </c>
      <c r="E16873">
        <f t="shared" si="796"/>
        <v>1.3157894736842105E-2</v>
      </c>
      <c r="F16873">
        <v>28</v>
      </c>
      <c r="G16873">
        <f>LOG(382/(28+1))</f>
        <v>1.1196653650127526</v>
      </c>
      <c r="H16873">
        <f>0.0131578947368421*2.5781247786201</f>
        <v>3.3922694455527612E-2</v>
      </c>
      <c r="I16873">
        <v>3.3922694455527647E-2</v>
      </c>
    </row>
    <row r="16874" spans="1:9" x14ac:dyDescent="0.25">
      <c r="A16874">
        <v>532</v>
      </c>
      <c r="B16874" t="s">
        <v>4290</v>
      </c>
      <c r="C16874" t="s">
        <v>138</v>
      </c>
      <c r="D16874" t="s">
        <v>247</v>
      </c>
      <c r="E16874">
        <f t="shared" si="796"/>
        <v>1.3157894736842105E-2</v>
      </c>
      <c r="F16874">
        <v>121</v>
      </c>
      <c r="G16874">
        <f>LOG(382/(121+1))</f>
        <v>0.49570353223696051</v>
      </c>
      <c r="H16874">
        <f>0.0131578947368421*1.14139956387331</f>
        <v>1.5018415314122494E-2</v>
      </c>
      <c r="I16874">
        <v>1.501841531412261E-2</v>
      </c>
    </row>
    <row r="16875" spans="1:9" x14ac:dyDescent="0.25">
      <c r="A16875">
        <v>532</v>
      </c>
      <c r="B16875" t="s">
        <v>4290</v>
      </c>
      <c r="C16875" t="s">
        <v>138</v>
      </c>
      <c r="D16875" t="s">
        <v>39</v>
      </c>
      <c r="E16875">
        <f t="shared" si="796"/>
        <v>1.3157894736842105E-2</v>
      </c>
      <c r="F16875">
        <v>145</v>
      </c>
      <c r="G16875">
        <f>LOG(382/(145+1))</f>
        <v>0.41771050712727159</v>
      </c>
      <c r="H16875">
        <f>0.0131578947368421*0.961813986898238</f>
        <v>1.2655447196029443E-2</v>
      </c>
      <c r="I16875">
        <v>1.265544719602946E-2</v>
      </c>
    </row>
    <row r="16876" spans="1:9" x14ac:dyDescent="0.25">
      <c r="A16876">
        <v>534</v>
      </c>
      <c r="B16876" t="s">
        <v>4293</v>
      </c>
      <c r="C16876" t="s">
        <v>138</v>
      </c>
      <c r="D16876" t="s">
        <v>1106</v>
      </c>
      <c r="E16876">
        <f>1/94</f>
        <v>1.0638297872340425E-2</v>
      </c>
      <c r="F16876">
        <v>7</v>
      </c>
      <c r="G16876">
        <f>LOG(382/(7+1))</f>
        <v>1.6789733759197651</v>
      </c>
      <c r="H16876">
        <f>0.0106382978723404*3.86597906692673</f>
        <v>4.1127436882199157E-2</v>
      </c>
      <c r="I16876">
        <v>4.1127436882199352E-2</v>
      </c>
    </row>
    <row r="16877" spans="1:9" x14ac:dyDescent="0.25">
      <c r="A16877">
        <v>534</v>
      </c>
      <c r="B16877" t="s">
        <v>4293</v>
      </c>
      <c r="C16877" t="s">
        <v>138</v>
      </c>
      <c r="D16877" t="s">
        <v>147</v>
      </c>
      <c r="E16877">
        <f>1/94</f>
        <v>1.0638297872340425E-2</v>
      </c>
      <c r="F16877">
        <v>48</v>
      </c>
      <c r="G16877">
        <f>LOG(382/(48+1))</f>
        <v>0.89186728288319506</v>
      </c>
      <c r="H16877">
        <f>0.0106382978723404*2.05360031049594</f>
        <v>2.1846811813786542E-2</v>
      </c>
      <c r="I16877">
        <v>2.1846811813786692E-2</v>
      </c>
    </row>
    <row r="16878" spans="1:9" x14ac:dyDescent="0.25">
      <c r="A16878">
        <v>534</v>
      </c>
      <c r="B16878" t="s">
        <v>4293</v>
      </c>
      <c r="C16878" t="s">
        <v>138</v>
      </c>
      <c r="D16878" t="s">
        <v>1066</v>
      </c>
      <c r="E16878">
        <f>1/94</f>
        <v>1.0638297872340425E-2</v>
      </c>
      <c r="F16878">
        <v>3</v>
      </c>
      <c r="G16878">
        <f>LOG(382/(3+1))</f>
        <v>1.9800033715837464</v>
      </c>
      <c r="H16878">
        <f>0.0106382978723404*4.55912624748668</f>
        <v>4.8501343058368819E-2</v>
      </c>
      <c r="I16878">
        <v>4.8501343058368993E-2</v>
      </c>
    </row>
    <row r="16879" spans="1:9" x14ac:dyDescent="0.25">
      <c r="A16879">
        <v>534</v>
      </c>
      <c r="B16879" t="s">
        <v>4293</v>
      </c>
      <c r="C16879" t="s">
        <v>138</v>
      </c>
      <c r="D16879" t="s">
        <v>744</v>
      </c>
      <c r="E16879">
        <f>3/94</f>
        <v>3.1914893617021274E-2</v>
      </c>
      <c r="F16879">
        <v>28</v>
      </c>
      <c r="G16879">
        <f>LOG(382/(28+1))</f>
        <v>1.1196653650127526</v>
      </c>
      <c r="H16879">
        <f>0.0319148936170212*2.5781247786201</f>
        <v>8.228057804106681E-2</v>
      </c>
      <c r="I16879">
        <v>8.2280578041067046E-2</v>
      </c>
    </row>
    <row r="16880" spans="1:9" x14ac:dyDescent="0.25">
      <c r="A16880">
        <v>534</v>
      </c>
      <c r="B16880" t="s">
        <v>4293</v>
      </c>
      <c r="C16880" t="s">
        <v>138</v>
      </c>
      <c r="D16880" t="s">
        <v>747</v>
      </c>
      <c r="E16880">
        <f>1/94</f>
        <v>1.0638297872340425E-2</v>
      </c>
      <c r="F16880">
        <v>14</v>
      </c>
      <c r="G16880">
        <f>LOG(382/(14+1))</f>
        <v>1.4059721038560276</v>
      </c>
      <c r="H16880">
        <f>0.0106382978723404*3.23737040750436</f>
        <v>3.4440110718131405E-2</v>
      </c>
      <c r="I16880">
        <v>3.4440110718131543E-2</v>
      </c>
    </row>
    <row r="16881" spans="1:9" x14ac:dyDescent="0.25">
      <c r="A16881">
        <v>534</v>
      </c>
      <c r="B16881" t="s">
        <v>4293</v>
      </c>
      <c r="C16881" t="s">
        <v>138</v>
      </c>
      <c r="D16881" t="s">
        <v>42</v>
      </c>
      <c r="E16881">
        <f>1/94</f>
        <v>1.0638297872340425E-2</v>
      </c>
      <c r="F16881">
        <v>251</v>
      </c>
      <c r="G16881">
        <f>LOG(382/(251+1))</f>
        <v>0.18066282213016463</v>
      </c>
      <c r="H16881">
        <f>0.0106382978723404*0.415991521095151</f>
        <v>4.4254417137781906E-3</v>
      </c>
      <c r="I16881">
        <v>4.4254417137782106E-3</v>
      </c>
    </row>
    <row r="16882" spans="1:9" x14ac:dyDescent="0.25">
      <c r="A16882">
        <v>534</v>
      </c>
      <c r="B16882" t="s">
        <v>4293</v>
      </c>
      <c r="C16882" t="s">
        <v>138</v>
      </c>
      <c r="D16882" t="s">
        <v>1496</v>
      </c>
      <c r="E16882">
        <f t="shared" ref="E16882:E16896" si="797">2/94</f>
        <v>2.1276595744680851E-2</v>
      </c>
      <c r="F16882">
        <v>39</v>
      </c>
      <c r="G16882">
        <f>LOG(382/(39+1))</f>
        <v>0.9800033715837464</v>
      </c>
      <c r="H16882">
        <f>0.0212765957446808*2.25654115449263</f>
        <v>4.8011513925374991E-2</v>
      </c>
      <c r="I16882">
        <v>4.8011513925375303E-2</v>
      </c>
    </row>
    <row r="16883" spans="1:9" x14ac:dyDescent="0.25">
      <c r="A16883">
        <v>534</v>
      </c>
      <c r="B16883" t="s">
        <v>4293</v>
      </c>
      <c r="C16883" t="s">
        <v>138</v>
      </c>
      <c r="D16883" t="s">
        <v>4294</v>
      </c>
      <c r="E16883">
        <f t="shared" si="797"/>
        <v>2.1276595744680851E-2</v>
      </c>
      <c r="F16883">
        <v>1</v>
      </c>
      <c r="G16883">
        <f>LOG(382/(1+1))</f>
        <v>2.2810333672477277</v>
      </c>
      <c r="H16883">
        <f>0.0212765957446808*5.25227342804663</f>
        <v>0.11175049846907696</v>
      </c>
      <c r="I16883">
        <v>0.1117504984690772</v>
      </c>
    </row>
    <row r="16884" spans="1:9" x14ac:dyDescent="0.25">
      <c r="A16884">
        <v>534</v>
      </c>
      <c r="B16884" t="s">
        <v>4293</v>
      </c>
      <c r="C16884" t="s">
        <v>138</v>
      </c>
      <c r="D16884" t="s">
        <v>4295</v>
      </c>
      <c r="E16884">
        <f t="shared" si="797"/>
        <v>2.1276595744680851E-2</v>
      </c>
      <c r="F16884">
        <v>1</v>
      </c>
      <c r="G16884">
        <f>LOG(382/(1+1))</f>
        <v>2.2810333672477277</v>
      </c>
      <c r="H16884">
        <f>0.0212765957446808*5.25227342804663</f>
        <v>0.11175049846907696</v>
      </c>
      <c r="I16884">
        <v>0.1117504984690772</v>
      </c>
    </row>
    <row r="16885" spans="1:9" x14ac:dyDescent="0.25">
      <c r="A16885">
        <v>534</v>
      </c>
      <c r="B16885" t="s">
        <v>4293</v>
      </c>
      <c r="C16885" t="s">
        <v>138</v>
      </c>
      <c r="D16885" t="s">
        <v>4296</v>
      </c>
      <c r="E16885">
        <f t="shared" si="797"/>
        <v>2.1276595744680851E-2</v>
      </c>
      <c r="F16885">
        <v>1</v>
      </c>
      <c r="G16885">
        <f>LOG(382/(1+1))</f>
        <v>2.2810333672477277</v>
      </c>
      <c r="H16885">
        <f>0.0212765957446808*5.25227342804663</f>
        <v>0.11175049846907696</v>
      </c>
      <c r="I16885">
        <v>0.1117504984690772</v>
      </c>
    </row>
    <row r="16886" spans="1:9" x14ac:dyDescent="0.25">
      <c r="A16886">
        <v>534</v>
      </c>
      <c r="B16886" t="s">
        <v>4293</v>
      </c>
      <c r="C16886" t="s">
        <v>138</v>
      </c>
      <c r="D16886" t="s">
        <v>104</v>
      </c>
      <c r="E16886">
        <f t="shared" si="797"/>
        <v>2.1276595744680851E-2</v>
      </c>
      <c r="F16886">
        <v>49</v>
      </c>
      <c r="G16886">
        <f>LOG(382/(49+1))</f>
        <v>0.88309335857568994</v>
      </c>
      <c r="H16886">
        <f>0.0212765957446808*2.03339760317842</f>
        <v>4.3263778791030105E-2</v>
      </c>
      <c r="I16886">
        <v>4.3263778791030397E-2</v>
      </c>
    </row>
    <row r="16887" spans="1:9" x14ac:dyDescent="0.25">
      <c r="A16887">
        <v>534</v>
      </c>
      <c r="B16887" t="s">
        <v>4293</v>
      </c>
      <c r="C16887" t="s">
        <v>138</v>
      </c>
      <c r="D16887" t="s">
        <v>17</v>
      </c>
      <c r="E16887">
        <f t="shared" si="797"/>
        <v>2.1276595744680851E-2</v>
      </c>
      <c r="F16887">
        <v>169</v>
      </c>
      <c r="G16887">
        <f>LOG(382/(169+1))</f>
        <v>0.3516144415334348</v>
      </c>
      <c r="H16887">
        <f>0.0212765957446808*0.809622171556313</f>
        <v>1.7226003650134276E-2</v>
      </c>
      <c r="I16887">
        <v>1.7226003650134328E-2</v>
      </c>
    </row>
    <row r="16888" spans="1:9" x14ac:dyDescent="0.25">
      <c r="A16888">
        <v>534</v>
      </c>
      <c r="B16888" t="s">
        <v>4293</v>
      </c>
      <c r="C16888" t="s">
        <v>138</v>
      </c>
      <c r="D16888" t="s">
        <v>1907</v>
      </c>
      <c r="E16888">
        <f t="shared" si="797"/>
        <v>2.1276595744680851E-2</v>
      </c>
      <c r="F16888">
        <v>20</v>
      </c>
      <c r="G16888">
        <f>LOG(382/(20+1))</f>
        <v>1.2598440681777894</v>
      </c>
      <c r="H16888">
        <f>0.0212765957446808*2.90089817088315</f>
        <v>6.1721237678364745E-2</v>
      </c>
      <c r="I16888">
        <v>6.1721237678364939E-2</v>
      </c>
    </row>
    <row r="16889" spans="1:9" x14ac:dyDescent="0.25">
      <c r="A16889">
        <v>534</v>
      </c>
      <c r="B16889" t="s">
        <v>4293</v>
      </c>
      <c r="C16889" t="s">
        <v>138</v>
      </c>
      <c r="D16889" t="s">
        <v>1908</v>
      </c>
      <c r="E16889">
        <f t="shared" si="797"/>
        <v>2.1276595744680851E-2</v>
      </c>
      <c r="F16889">
        <v>20</v>
      </c>
      <c r="G16889">
        <f>LOG(382/(20+1))</f>
        <v>1.2598440681777894</v>
      </c>
      <c r="H16889">
        <f>0.0212765957446808*2.90089817088315</f>
        <v>6.1721237678364745E-2</v>
      </c>
      <c r="I16889">
        <v>6.1721237678364939E-2</v>
      </c>
    </row>
    <row r="16890" spans="1:9" x14ac:dyDescent="0.25">
      <c r="A16890">
        <v>534</v>
      </c>
      <c r="B16890" t="s">
        <v>4293</v>
      </c>
      <c r="C16890" t="s">
        <v>138</v>
      </c>
      <c r="D16890" t="s">
        <v>91</v>
      </c>
      <c r="E16890">
        <f t="shared" si="797"/>
        <v>2.1276595744680851E-2</v>
      </c>
      <c r="F16890">
        <v>33</v>
      </c>
      <c r="G16890">
        <f>LOG(382/(33+1))</f>
        <v>1.0505844458694535</v>
      </c>
      <c r="H16890">
        <f>0.0212765957446808*2.41906008399041</f>
        <v>5.1469363489157538E-2</v>
      </c>
      <c r="I16890">
        <v>5.1469363489157739E-2</v>
      </c>
    </row>
    <row r="16891" spans="1:9" x14ac:dyDescent="0.25">
      <c r="A16891">
        <v>534</v>
      </c>
      <c r="B16891" t="s">
        <v>4293</v>
      </c>
      <c r="C16891" t="s">
        <v>138</v>
      </c>
      <c r="D16891" t="s">
        <v>19</v>
      </c>
      <c r="E16891">
        <f t="shared" si="797"/>
        <v>2.1276595744680851E-2</v>
      </c>
      <c r="F16891">
        <v>220</v>
      </c>
      <c r="G16891">
        <f>LOG(382/(220+1))</f>
        <v>0.23767108922659805</v>
      </c>
      <c r="H16891">
        <f>0.0212765957446808*0.547257907088822</f>
        <v>1.1643785257208951E-2</v>
      </c>
      <c r="I16891">
        <v>1.164378525720899E-2</v>
      </c>
    </row>
    <row r="16892" spans="1:9" x14ac:dyDescent="0.25">
      <c r="A16892">
        <v>534</v>
      </c>
      <c r="B16892" t="s">
        <v>4293</v>
      </c>
      <c r="C16892" t="s">
        <v>138</v>
      </c>
      <c r="D16892" t="s">
        <v>195</v>
      </c>
      <c r="E16892">
        <f t="shared" si="797"/>
        <v>2.1276595744680851E-2</v>
      </c>
      <c r="F16892">
        <v>55</v>
      </c>
      <c r="G16892">
        <f>LOG(382/(55+1))</f>
        <v>0.83387533590550833</v>
      </c>
      <c r="H16892">
        <f>0.0212765957446808*1.92006891787142</f>
        <v>4.0852530167476919E-2</v>
      </c>
      <c r="I16892">
        <v>4.0852530167477148E-2</v>
      </c>
    </row>
    <row r="16893" spans="1:9" x14ac:dyDescent="0.25">
      <c r="A16893">
        <v>534</v>
      </c>
      <c r="B16893" t="s">
        <v>4293</v>
      </c>
      <c r="C16893" t="s">
        <v>138</v>
      </c>
      <c r="D16893" t="s">
        <v>22</v>
      </c>
      <c r="E16893">
        <f t="shared" si="797"/>
        <v>2.1276595744680851E-2</v>
      </c>
      <c r="F16893">
        <v>259</v>
      </c>
      <c r="G16893">
        <f>LOG(382/(259+1))</f>
        <v>0.16709001494089079</v>
      </c>
      <c r="H16893">
        <f>0.0212765957446808*0.384738977591047</f>
        <v>8.1859356934265125E-3</v>
      </c>
      <c r="I16893">
        <v>8.1859356934265437E-3</v>
      </c>
    </row>
    <row r="16894" spans="1:9" x14ac:dyDescent="0.25">
      <c r="A16894">
        <v>534</v>
      </c>
      <c r="B16894" t="s">
        <v>4293</v>
      </c>
      <c r="C16894" t="s">
        <v>138</v>
      </c>
      <c r="D16894" t="s">
        <v>23</v>
      </c>
      <c r="E16894">
        <f t="shared" si="797"/>
        <v>2.1276595744680851E-2</v>
      </c>
      <c r="F16894">
        <v>275</v>
      </c>
      <c r="G16894">
        <f>LOG(382/(275+1))</f>
        <v>0.14115428084649101</v>
      </c>
      <c r="H16894">
        <f>0.0212765957446808*0.325019742889425</f>
        <v>6.915313678498387E-3</v>
      </c>
      <c r="I16894">
        <v>6.915313678498407E-3</v>
      </c>
    </row>
    <row r="16895" spans="1:9" x14ac:dyDescent="0.25">
      <c r="A16895">
        <v>534</v>
      </c>
      <c r="B16895" t="s">
        <v>4293</v>
      </c>
      <c r="C16895" t="s">
        <v>138</v>
      </c>
      <c r="D16895" t="s">
        <v>2291</v>
      </c>
      <c r="E16895">
        <f t="shared" si="797"/>
        <v>2.1276595744680851E-2</v>
      </c>
      <c r="F16895">
        <v>17</v>
      </c>
      <c r="G16895">
        <f>LOG(382/(17+1))</f>
        <v>1.3267908578084027</v>
      </c>
      <c r="H16895">
        <f>0.0212765957446808*3.05504885071041</f>
        <v>6.5001039376817074E-2</v>
      </c>
      <c r="I16895">
        <v>6.5001039376817241E-2</v>
      </c>
    </row>
    <row r="16896" spans="1:9" x14ac:dyDescent="0.25">
      <c r="A16896">
        <v>534</v>
      </c>
      <c r="B16896" t="s">
        <v>4293</v>
      </c>
      <c r="C16896" t="s">
        <v>138</v>
      </c>
      <c r="D16896" t="s">
        <v>204</v>
      </c>
      <c r="E16896">
        <f t="shared" si="797"/>
        <v>2.1276595744680851E-2</v>
      </c>
      <c r="F16896">
        <v>166</v>
      </c>
      <c r="G16896">
        <f>LOG(382/(166+1))</f>
        <v>0.35934689176412549</v>
      </c>
      <c r="H16896">
        <f>0.0212765957446808*0.82742679618982</f>
        <v>1.760482545084719E-2</v>
      </c>
      <c r="I16896">
        <v>1.7604825450847239E-2</v>
      </c>
    </row>
    <row r="16897" spans="1:9" x14ac:dyDescent="0.25">
      <c r="A16897">
        <v>534</v>
      </c>
      <c r="B16897" t="s">
        <v>4293</v>
      </c>
      <c r="C16897" t="s">
        <v>138</v>
      </c>
      <c r="D16897" t="s">
        <v>76</v>
      </c>
      <c r="E16897">
        <f>1/94</f>
        <v>1.0638297872340425E-2</v>
      </c>
      <c r="F16897">
        <v>140</v>
      </c>
      <c r="G16897">
        <f>LOG(382/(140+1))</f>
        <v>0.43284425025632883</v>
      </c>
      <c r="H16897">
        <f>0.0106382978723404*0.996660718228407</f>
        <v>1.0602773598174516E-2</v>
      </c>
      <c r="I16897">
        <v>1.0602773598174541E-2</v>
      </c>
    </row>
    <row r="16898" spans="1:9" x14ac:dyDescent="0.25">
      <c r="A16898">
        <v>534</v>
      </c>
      <c r="B16898" t="s">
        <v>4293</v>
      </c>
      <c r="C16898" t="s">
        <v>138</v>
      </c>
      <c r="D16898" t="s">
        <v>77</v>
      </c>
      <c r="E16898">
        <f>1/94</f>
        <v>1.0638297872340425E-2</v>
      </c>
      <c r="F16898">
        <v>148</v>
      </c>
      <c r="G16898">
        <f>LOG(382/(148+1))</f>
        <v>0.40887709449943471</v>
      </c>
      <c r="H16898">
        <f>0.0106382978723404*0.941474302661116</f>
        <v>1.0015684070862911E-2</v>
      </c>
      <c r="I16898">
        <v>1.0015684070862939E-2</v>
      </c>
    </row>
    <row r="16899" spans="1:9" x14ac:dyDescent="0.25">
      <c r="A16899">
        <v>534</v>
      </c>
      <c r="B16899" t="s">
        <v>4293</v>
      </c>
      <c r="C16899" t="s">
        <v>138</v>
      </c>
      <c r="D16899" t="s">
        <v>40</v>
      </c>
      <c r="E16899">
        <f>3/94</f>
        <v>3.1914893617021274E-2</v>
      </c>
      <c r="F16899">
        <v>159</v>
      </c>
      <c r="G16899">
        <f>LOG(382/(159+1))</f>
        <v>0.377943380255784</v>
      </c>
      <c r="H16899">
        <f>0.0319148936170212*0.870246793372748</f>
        <v>2.7773833831045081E-2</v>
      </c>
      <c r="I16899">
        <v>2.7773833831045161E-2</v>
      </c>
    </row>
    <row r="16900" spans="1:9" x14ac:dyDescent="0.25">
      <c r="A16900">
        <v>534</v>
      </c>
      <c r="B16900" t="s">
        <v>4293</v>
      </c>
      <c r="C16900" t="s">
        <v>138</v>
      </c>
      <c r="D16900" t="s">
        <v>41</v>
      </c>
      <c r="E16900">
        <f>3/94</f>
        <v>3.1914893617021274E-2</v>
      </c>
      <c r="F16900">
        <v>195</v>
      </c>
      <c r="G16900">
        <f>LOG(382/(195+1))</f>
        <v>0.28980729155523272</v>
      </c>
      <c r="H16900">
        <f>0.0319148936170212*0.667305949376058</f>
        <v>2.1296998384342226E-2</v>
      </c>
      <c r="I16900">
        <v>2.1296998384342271E-2</v>
      </c>
    </row>
    <row r="16901" spans="1:9" x14ac:dyDescent="0.25">
      <c r="A16901">
        <v>534</v>
      </c>
      <c r="B16901" t="s">
        <v>4293</v>
      </c>
      <c r="C16901" t="s">
        <v>138</v>
      </c>
      <c r="D16901" t="s">
        <v>322</v>
      </c>
      <c r="E16901">
        <f>4/94</f>
        <v>4.2553191489361701E-2</v>
      </c>
      <c r="F16901">
        <v>128</v>
      </c>
      <c r="G16901">
        <f>LOG(382/(128+1))</f>
        <v>0.47147365261245977</v>
      </c>
      <c r="H16901">
        <f>0.0425531914893617*1.0856082042449</f>
        <v>4.6196093797655317E-2</v>
      </c>
      <c r="I16901">
        <v>4.6196093797655449E-2</v>
      </c>
    </row>
    <row r="16902" spans="1:9" x14ac:dyDescent="0.25">
      <c r="A16902">
        <v>534</v>
      </c>
      <c r="B16902" t="s">
        <v>4293</v>
      </c>
      <c r="C16902" t="s">
        <v>138</v>
      </c>
      <c r="D16902" t="s">
        <v>754</v>
      </c>
      <c r="E16902">
        <f>2/94</f>
        <v>2.1276595744680851E-2</v>
      </c>
      <c r="F16902">
        <v>111</v>
      </c>
      <c r="G16902">
        <f>LOG(382/(111+1))</f>
        <v>0.53284534024152708</v>
      </c>
      <c r="H16902">
        <f>0.0212765957446808*1.22692173731148</f>
        <v>2.6104717815137807E-2</v>
      </c>
      <c r="I16902">
        <v>2.6104717815137891E-2</v>
      </c>
    </row>
    <row r="16903" spans="1:9" x14ac:dyDescent="0.25">
      <c r="A16903">
        <v>534</v>
      </c>
      <c r="B16903" t="s">
        <v>4293</v>
      </c>
      <c r="C16903" t="s">
        <v>138</v>
      </c>
      <c r="D16903" t="s">
        <v>649</v>
      </c>
      <c r="E16903">
        <f>3/94</f>
        <v>3.1914893617021274E-2</v>
      </c>
      <c r="F16903">
        <v>25</v>
      </c>
      <c r="G16903">
        <f>LOG(382/(25+1))</f>
        <v>1.1670900149408907</v>
      </c>
      <c r="H16903">
        <f>0.0319148936170212*2.68732407058509</f>
        <v>8.5765661827183509E-2</v>
      </c>
      <c r="I16903">
        <v>8.5765661827183814E-2</v>
      </c>
    </row>
    <row r="16904" spans="1:9" x14ac:dyDescent="0.25">
      <c r="A16904">
        <v>534</v>
      </c>
      <c r="B16904" t="s">
        <v>4293</v>
      </c>
      <c r="C16904" t="s">
        <v>138</v>
      </c>
      <c r="D16904" t="s">
        <v>243</v>
      </c>
      <c r="E16904">
        <f t="shared" ref="E16904:E16910" si="798">1/94</f>
        <v>1.0638297872340425E-2</v>
      </c>
      <c r="F16904">
        <v>131</v>
      </c>
      <c r="G16904">
        <f>LOG(382/(131+1))</f>
        <v>0.46148943170585888</v>
      </c>
      <c r="H16904">
        <f>0.0106382978723404*1.0626186860202</f>
        <v>1.1304454106597845E-2</v>
      </c>
      <c r="I16904">
        <v>1.130445410659792E-2</v>
      </c>
    </row>
    <row r="16905" spans="1:9" x14ac:dyDescent="0.25">
      <c r="A16905">
        <v>534</v>
      </c>
      <c r="B16905" t="s">
        <v>4293</v>
      </c>
      <c r="C16905" t="s">
        <v>138</v>
      </c>
      <c r="D16905" t="s">
        <v>453</v>
      </c>
      <c r="E16905">
        <f t="shared" si="798"/>
        <v>1.0638297872340425E-2</v>
      </c>
      <c r="F16905">
        <v>68</v>
      </c>
      <c r="G16905">
        <f>LOG(382/(68+1))</f>
        <v>0.74321427217445335</v>
      </c>
      <c r="H16905">
        <f>0.0106382978723404*1.71131410400931</f>
        <v>1.8205469191588358E-2</v>
      </c>
      <c r="I16905">
        <v>1.8205469191588469E-2</v>
      </c>
    </row>
    <row r="16906" spans="1:9" x14ac:dyDescent="0.25">
      <c r="A16906">
        <v>534</v>
      </c>
      <c r="B16906" t="s">
        <v>4293</v>
      </c>
      <c r="C16906" t="s">
        <v>138</v>
      </c>
      <c r="D16906" t="s">
        <v>1905</v>
      </c>
      <c r="E16906">
        <f t="shared" si="798"/>
        <v>1.0638297872340425E-2</v>
      </c>
      <c r="F16906">
        <v>24</v>
      </c>
      <c r="G16906">
        <f>LOG(382/(24+1))</f>
        <v>1.1841233542396712</v>
      </c>
      <c r="H16906">
        <f>0.0106382978723404*2.72654478373837</f>
        <v>2.9005795571684714E-2</v>
      </c>
      <c r="I16906">
        <v>2.9005795571684829E-2</v>
      </c>
    </row>
    <row r="16907" spans="1:9" x14ac:dyDescent="0.25">
      <c r="A16907">
        <v>534</v>
      </c>
      <c r="B16907" t="s">
        <v>4293</v>
      </c>
      <c r="C16907" t="s">
        <v>138</v>
      </c>
      <c r="D16907" t="s">
        <v>455</v>
      </c>
      <c r="E16907">
        <f t="shared" si="798"/>
        <v>1.0638297872340425E-2</v>
      </c>
      <c r="F16907">
        <v>78</v>
      </c>
      <c r="G16907">
        <f>LOG(382/(78+1))</f>
        <v>0.6844362716212673</v>
      </c>
      <c r="H16907">
        <f>0.0106382978723404*1.57597275613955</f>
        <v>1.6765667618505811E-2</v>
      </c>
      <c r="I16907">
        <v>1.676566761850589E-2</v>
      </c>
    </row>
    <row r="16908" spans="1:9" x14ac:dyDescent="0.25">
      <c r="A16908">
        <v>534</v>
      </c>
      <c r="B16908" t="s">
        <v>4293</v>
      </c>
      <c r="C16908" t="s">
        <v>138</v>
      </c>
      <c r="D16908" t="s">
        <v>456</v>
      </c>
      <c r="E16908">
        <f t="shared" si="798"/>
        <v>1.0638297872340425E-2</v>
      </c>
      <c r="F16908">
        <v>71</v>
      </c>
      <c r="G16908">
        <f>LOG(382/(71+1))</f>
        <v>0.72473086648044027</v>
      </c>
      <c r="H16908">
        <f>0.0106382978723404*1.66875448959051</f>
        <v>1.775270733606921E-2</v>
      </c>
      <c r="I16908">
        <v>1.7752707336069359E-2</v>
      </c>
    </row>
    <row r="16909" spans="1:9" x14ac:dyDescent="0.25">
      <c r="A16909">
        <v>534</v>
      </c>
      <c r="B16909" t="s">
        <v>4293</v>
      </c>
      <c r="C16909" t="s">
        <v>138</v>
      </c>
      <c r="D16909" t="s">
        <v>1779</v>
      </c>
      <c r="E16909">
        <f t="shared" si="798"/>
        <v>1.0638297872340425E-2</v>
      </c>
      <c r="F16909">
        <v>41</v>
      </c>
      <c r="G16909">
        <f>LOG(382/(41+1))</f>
        <v>0.95881407251380824</v>
      </c>
      <c r="H16909">
        <f>0.0106382978723404*2.2077509903232</f>
        <v>2.3486712663012711E-2</v>
      </c>
      <c r="I16909">
        <v>2.3486712663012839E-2</v>
      </c>
    </row>
    <row r="16910" spans="1:9" x14ac:dyDescent="0.25">
      <c r="A16910">
        <v>534</v>
      </c>
      <c r="B16910" t="s">
        <v>4293</v>
      </c>
      <c r="C16910" t="s">
        <v>138</v>
      </c>
      <c r="D16910" t="s">
        <v>4297</v>
      </c>
      <c r="E16910">
        <f t="shared" si="798"/>
        <v>1.0638297872340425E-2</v>
      </c>
      <c r="F16910">
        <v>1</v>
      </c>
      <c r="G16910">
        <f>LOG(382/(1+1))</f>
        <v>2.2810333672477277</v>
      </c>
      <c r="H16910">
        <f>0.0106382978723404*5.25227342804663</f>
        <v>5.5875249234538481E-2</v>
      </c>
      <c r="I16910">
        <v>5.5875249234538613E-2</v>
      </c>
    </row>
    <row r="16911" spans="1:9" x14ac:dyDescent="0.25">
      <c r="A16911">
        <v>534</v>
      </c>
      <c r="B16911" t="s">
        <v>4293</v>
      </c>
      <c r="C16911" t="s">
        <v>138</v>
      </c>
      <c r="D16911" t="s">
        <v>762</v>
      </c>
      <c r="E16911">
        <f>2/94</f>
        <v>2.1276595744680851E-2</v>
      </c>
      <c r="F16911">
        <v>29</v>
      </c>
      <c r="G16911">
        <f>LOG(382/(29+1))</f>
        <v>1.1049421081920463</v>
      </c>
      <c r="H16911">
        <f>0.0212765957446808*2.54422322694442</f>
        <v>5.4132409083923694E-2</v>
      </c>
      <c r="I16911">
        <v>5.4132409083923833E-2</v>
      </c>
    </row>
    <row r="16912" spans="1:9" x14ac:dyDescent="0.25">
      <c r="A16912">
        <v>534</v>
      </c>
      <c r="B16912" t="s">
        <v>4293</v>
      </c>
      <c r="C16912" t="s">
        <v>138</v>
      </c>
      <c r="D16912" t="s">
        <v>338</v>
      </c>
      <c r="E16912">
        <f t="shared" ref="E16912:E16920" si="799">1/94</f>
        <v>1.0638297872340425E-2</v>
      </c>
      <c r="F16912">
        <v>54</v>
      </c>
      <c r="G16912">
        <f>LOG(382/(54+1))</f>
        <v>0.84170067341746491</v>
      </c>
      <c r="H16912">
        <f>0.0106382978723404*1.9380874233741</f>
        <v>2.0617951312490373E-2</v>
      </c>
      <c r="I16912">
        <v>2.061795131249047E-2</v>
      </c>
    </row>
    <row r="16913" spans="1:9" x14ac:dyDescent="0.25">
      <c r="A16913">
        <v>534</v>
      </c>
      <c r="B16913" t="s">
        <v>4293</v>
      </c>
      <c r="C16913" t="s">
        <v>138</v>
      </c>
      <c r="D16913" t="s">
        <v>399</v>
      </c>
      <c r="E16913">
        <f t="shared" si="799"/>
        <v>1.0638297872340425E-2</v>
      </c>
      <c r="F16913">
        <v>27</v>
      </c>
      <c r="G16913">
        <f>LOG(382/(27+1))</f>
        <v>1.1349053315694895</v>
      </c>
      <c r="H16913">
        <f>0.0106382978723404*2.61321609843137</f>
        <v>2.7800171259908125E-2</v>
      </c>
      <c r="I16913">
        <v>2.7800171259908201E-2</v>
      </c>
    </row>
    <row r="16914" spans="1:9" x14ac:dyDescent="0.25">
      <c r="A16914">
        <v>534</v>
      </c>
      <c r="B16914" t="s">
        <v>4293</v>
      </c>
      <c r="C16914" t="s">
        <v>138</v>
      </c>
      <c r="D16914" t="s">
        <v>1537</v>
      </c>
      <c r="E16914">
        <f t="shared" si="799"/>
        <v>1.0638297872340425E-2</v>
      </c>
      <c r="F16914">
        <v>80</v>
      </c>
      <c r="G16914">
        <f>LOG(382/(80+1))</f>
        <v>0.67357834403305894</v>
      </c>
      <c r="H16914">
        <f>0.0106382978723404*1.55097145393413</f>
        <v>1.6499696318448151E-2</v>
      </c>
      <c r="I16914">
        <v>1.6499696318448259E-2</v>
      </c>
    </row>
    <row r="16915" spans="1:9" x14ac:dyDescent="0.25">
      <c r="A16915">
        <v>534</v>
      </c>
      <c r="B16915" t="s">
        <v>4293</v>
      </c>
      <c r="C16915" t="s">
        <v>138</v>
      </c>
      <c r="D16915" t="s">
        <v>362</v>
      </c>
      <c r="E16915">
        <f t="shared" si="799"/>
        <v>1.0638297872340425E-2</v>
      </c>
      <c r="F16915">
        <v>81</v>
      </c>
      <c r="G16915">
        <f>LOG(382/(81+1))</f>
        <v>0.66824951052799197</v>
      </c>
      <c r="H16915">
        <f>0.0106382978723404*1.53870136134232</f>
        <v>1.6369163418535278E-2</v>
      </c>
      <c r="I16915">
        <v>1.6369163418535341E-2</v>
      </c>
    </row>
    <row r="16916" spans="1:9" x14ac:dyDescent="0.25">
      <c r="A16916">
        <v>534</v>
      </c>
      <c r="B16916" t="s">
        <v>4293</v>
      </c>
      <c r="C16916" t="s">
        <v>138</v>
      </c>
      <c r="D16916" t="s">
        <v>1762</v>
      </c>
      <c r="E16916">
        <f t="shared" si="799"/>
        <v>1.0638297872340425E-2</v>
      </c>
      <c r="F16916">
        <v>60</v>
      </c>
      <c r="G16916">
        <f>LOG(382/(60+1))</f>
        <v>0.79673352790094176</v>
      </c>
      <c r="H16916">
        <f>0.0106382978723404*1.83454674443326</f>
        <v>1.9516454728013357E-2</v>
      </c>
      <c r="I16916">
        <v>1.9516454728013451E-2</v>
      </c>
    </row>
    <row r="16917" spans="1:9" x14ac:dyDescent="0.25">
      <c r="A16917">
        <v>534</v>
      </c>
      <c r="B16917" t="s">
        <v>4293</v>
      </c>
      <c r="C16917" t="s">
        <v>138</v>
      </c>
      <c r="D16917" t="s">
        <v>201</v>
      </c>
      <c r="E16917">
        <f t="shared" si="799"/>
        <v>1.0638297872340425E-2</v>
      </c>
      <c r="F16917">
        <v>72</v>
      </c>
      <c r="G16917">
        <f>LOG(382/(72+1))</f>
        <v>0.71874050279125279</v>
      </c>
      <c r="H16917">
        <f>0.0106382978723404*1.65496116745818</f>
        <v>1.7605969866576338E-2</v>
      </c>
      <c r="I16917">
        <v>1.7605969866576421E-2</v>
      </c>
    </row>
    <row r="16918" spans="1:9" x14ac:dyDescent="0.25">
      <c r="A16918">
        <v>534</v>
      </c>
      <c r="B16918" t="s">
        <v>4293</v>
      </c>
      <c r="C16918" t="s">
        <v>138</v>
      </c>
      <c r="D16918" t="s">
        <v>225</v>
      </c>
      <c r="E16918">
        <f t="shared" si="799"/>
        <v>1.0638297872340425E-2</v>
      </c>
      <c r="F16918">
        <v>30</v>
      </c>
      <c r="G16918">
        <f>LOG(382/(30+1))</f>
        <v>1.090701669077436</v>
      </c>
      <c r="H16918">
        <f>0.0106382978723404*2.51143340412142</f>
        <v>2.6717376639589511E-2</v>
      </c>
      <c r="I16918">
        <v>2.671737663958967E-2</v>
      </c>
    </row>
    <row r="16919" spans="1:9" x14ac:dyDescent="0.25">
      <c r="A16919">
        <v>534</v>
      </c>
      <c r="B16919" t="s">
        <v>4293</v>
      </c>
      <c r="C16919" t="s">
        <v>138</v>
      </c>
      <c r="D16919" t="s">
        <v>1257</v>
      </c>
      <c r="E16919">
        <f t="shared" si="799"/>
        <v>1.0638297872340425E-2</v>
      </c>
      <c r="F16919">
        <v>10</v>
      </c>
      <c r="G16919">
        <f>LOG(382/(10+1))</f>
        <v>1.5406706777534838</v>
      </c>
      <c r="H16919">
        <f>0.0106382978723404*3.5475253358082</f>
        <v>3.7739631232002038E-2</v>
      </c>
      <c r="I16919">
        <v>3.7739631232002177E-2</v>
      </c>
    </row>
    <row r="16920" spans="1:9" x14ac:dyDescent="0.25">
      <c r="A16920">
        <v>534</v>
      </c>
      <c r="B16920" t="s">
        <v>4293</v>
      </c>
      <c r="C16920" t="s">
        <v>138</v>
      </c>
      <c r="D16920" t="s">
        <v>937</v>
      </c>
      <c r="E16920">
        <f t="shared" si="799"/>
        <v>1.0638297872340425E-2</v>
      </c>
      <c r="F16920">
        <v>41</v>
      </c>
      <c r="G16920">
        <f>LOG(382/(41+1))</f>
        <v>0.95881407251380824</v>
      </c>
      <c r="H16920">
        <f>0.0106382978723404*2.2077509903232</f>
        <v>2.3486712663012711E-2</v>
      </c>
      <c r="I16920">
        <v>2.3486712663012839E-2</v>
      </c>
    </row>
    <row r="16921" spans="1:9" x14ac:dyDescent="0.25">
      <c r="A16921">
        <v>534</v>
      </c>
      <c r="B16921" t="s">
        <v>4293</v>
      </c>
      <c r="C16921" t="s">
        <v>138</v>
      </c>
      <c r="D16921" t="s">
        <v>1532</v>
      </c>
      <c r="E16921">
        <f>2/94</f>
        <v>2.1276595744680851E-2</v>
      </c>
      <c r="F16921">
        <v>28</v>
      </c>
      <c r="G16921">
        <f>LOG(382/(28+1))</f>
        <v>1.1196653650127526</v>
      </c>
      <c r="H16921">
        <f>0.0212765957446808*2.5781247786201</f>
        <v>5.485371869404454E-2</v>
      </c>
      <c r="I16921">
        <v>5.4853718694044713E-2</v>
      </c>
    </row>
    <row r="16922" spans="1:9" x14ac:dyDescent="0.25">
      <c r="A16922">
        <v>534</v>
      </c>
      <c r="B16922" t="s">
        <v>4293</v>
      </c>
      <c r="C16922" t="s">
        <v>138</v>
      </c>
      <c r="D16922" t="s">
        <v>1533</v>
      </c>
      <c r="E16922">
        <f>2/94</f>
        <v>2.1276595744680851E-2</v>
      </c>
      <c r="F16922">
        <v>33</v>
      </c>
      <c r="G16922">
        <f>LOG(382/(33+1))</f>
        <v>1.0505844458694535</v>
      </c>
      <c r="H16922">
        <f>0.0212765957446808*2.41906008399041</f>
        <v>5.1469363489157538E-2</v>
      </c>
      <c r="I16922">
        <v>5.1469363489157739E-2</v>
      </c>
    </row>
    <row r="16923" spans="1:9" x14ac:dyDescent="0.25">
      <c r="A16923">
        <v>534</v>
      </c>
      <c r="B16923" t="s">
        <v>4293</v>
      </c>
      <c r="C16923" t="s">
        <v>138</v>
      </c>
      <c r="D16923" t="s">
        <v>81</v>
      </c>
      <c r="E16923">
        <f>2/94</f>
        <v>2.1276595744680851E-2</v>
      </c>
      <c r="F16923">
        <v>114</v>
      </c>
      <c r="G16923">
        <f>LOG(382/(114+1))</f>
        <v>0.52136552255809698</v>
      </c>
      <c r="H16923">
        <f>0.0212765957446808*1.20048848024332</f>
        <v>2.554230809028334E-2</v>
      </c>
      <c r="I16923">
        <v>2.554230809028351E-2</v>
      </c>
    </row>
    <row r="16924" spans="1:9" x14ac:dyDescent="0.25">
      <c r="A16924">
        <v>534</v>
      </c>
      <c r="B16924" t="s">
        <v>4293</v>
      </c>
      <c r="C16924" t="s">
        <v>138</v>
      </c>
      <c r="D16924" t="s">
        <v>2424</v>
      </c>
      <c r="E16924">
        <f t="shared" ref="E16924:E16930" si="800">1/94</f>
        <v>1.0638297872340425E-2</v>
      </c>
      <c r="F16924">
        <v>9</v>
      </c>
      <c r="G16924">
        <f>LOG(382/(9+1))</f>
        <v>1.5820633629117087</v>
      </c>
      <c r="H16924">
        <f>0.0106382978723404*3.64283551561252</f>
        <v>3.8753569315026715E-2</v>
      </c>
      <c r="I16924">
        <v>3.8753569315026909E-2</v>
      </c>
    </row>
    <row r="16925" spans="1:9" x14ac:dyDescent="0.25">
      <c r="A16925">
        <v>534</v>
      </c>
      <c r="B16925" t="s">
        <v>4293</v>
      </c>
      <c r="C16925" t="s">
        <v>138</v>
      </c>
      <c r="D16925" t="s">
        <v>1085</v>
      </c>
      <c r="E16925">
        <f t="shared" si="800"/>
        <v>1.0638297872340425E-2</v>
      </c>
      <c r="F16925">
        <v>16</v>
      </c>
      <c r="G16925">
        <f>LOG(382/(16+1))</f>
        <v>1.3516144415334348</v>
      </c>
      <c r="H16925">
        <f>0.0106382978723404*3.11220726455035</f>
        <v>3.310858792074832E-2</v>
      </c>
      <c r="I16925">
        <v>3.31085879207485E-2</v>
      </c>
    </row>
    <row r="16926" spans="1:9" x14ac:dyDescent="0.25">
      <c r="A16926">
        <v>534</v>
      </c>
      <c r="B16926" t="s">
        <v>4293</v>
      </c>
      <c r="C16926" t="s">
        <v>138</v>
      </c>
      <c r="D16926" t="s">
        <v>324</v>
      </c>
      <c r="E16926">
        <f t="shared" si="800"/>
        <v>1.0638297872340425E-2</v>
      </c>
      <c r="F16926">
        <v>82</v>
      </c>
      <c r="G16926">
        <f>LOG(382/(82+1))</f>
        <v>0.66298527053563483</v>
      </c>
      <c r="H16926">
        <f>0.0106382978723404*1.52658000080997</f>
        <v>1.6240212774574107E-2</v>
      </c>
      <c r="I16926">
        <v>1.6240212774574221E-2</v>
      </c>
    </row>
    <row r="16927" spans="1:9" x14ac:dyDescent="0.25">
      <c r="A16927">
        <v>534</v>
      </c>
      <c r="B16927" t="s">
        <v>4293</v>
      </c>
      <c r="C16927" t="s">
        <v>138</v>
      </c>
      <c r="D16927" t="s">
        <v>1222</v>
      </c>
      <c r="E16927">
        <f t="shared" si="800"/>
        <v>1.0638297872340425E-2</v>
      </c>
      <c r="F16927">
        <v>56</v>
      </c>
      <c r="G16927">
        <f>LOG(382/(56+1))</f>
        <v>0.82618850723921733</v>
      </c>
      <c r="H16927">
        <f>0.0106382978723404*1.90236934077202</f>
        <v>2.0237971710340589E-2</v>
      </c>
      <c r="I16927">
        <v>2.0237971710340689E-2</v>
      </c>
    </row>
    <row r="16928" spans="1:9" x14ac:dyDescent="0.25">
      <c r="A16928">
        <v>534</v>
      </c>
      <c r="B16928" t="s">
        <v>4293</v>
      </c>
      <c r="C16928" t="s">
        <v>138</v>
      </c>
      <c r="D16928" t="s">
        <v>447</v>
      </c>
      <c r="E16928">
        <f t="shared" si="800"/>
        <v>1.0638297872340425E-2</v>
      </c>
      <c r="F16928">
        <v>37</v>
      </c>
      <c r="G16928">
        <f>LOG(382/(37+1))</f>
        <v>1.0022797662948986</v>
      </c>
      <c r="H16928">
        <f>0.0106382978723404*2.30783444888018</f>
        <v>2.4551430307235896E-2</v>
      </c>
      <c r="I16928">
        <v>2.4551430307236059E-2</v>
      </c>
    </row>
    <row r="16929" spans="1:9" x14ac:dyDescent="0.25">
      <c r="A16929">
        <v>534</v>
      </c>
      <c r="B16929" t="s">
        <v>4293</v>
      </c>
      <c r="C16929" t="s">
        <v>138</v>
      </c>
      <c r="D16929" t="s">
        <v>570</v>
      </c>
      <c r="E16929">
        <f t="shared" si="800"/>
        <v>1.0638297872340425E-2</v>
      </c>
      <c r="F16929">
        <v>27</v>
      </c>
      <c r="G16929">
        <f>LOG(382/(27+1))</f>
        <v>1.1349053315694895</v>
      </c>
      <c r="H16929">
        <f>0.0106382978723404*2.61321609843137</f>
        <v>2.7800171259908125E-2</v>
      </c>
      <c r="I16929">
        <v>2.7800171259908201E-2</v>
      </c>
    </row>
    <row r="16930" spans="1:9" x14ac:dyDescent="0.25">
      <c r="A16930">
        <v>534</v>
      </c>
      <c r="B16930" t="s">
        <v>4293</v>
      </c>
      <c r="C16930" t="s">
        <v>138</v>
      </c>
      <c r="D16930" t="s">
        <v>767</v>
      </c>
      <c r="E16930">
        <f t="shared" si="800"/>
        <v>1.0638297872340425E-2</v>
      </c>
      <c r="F16930">
        <v>47</v>
      </c>
      <c r="G16930">
        <f>LOG(382/(47+1))</f>
        <v>0.90082212553612151</v>
      </c>
      <c r="H16930">
        <f>0.0106382978723404*2.07421959769868</f>
        <v>2.2066165932964628E-2</v>
      </c>
      <c r="I16930">
        <v>2.2066165932964728E-2</v>
      </c>
    </row>
    <row r="16931" spans="1:9" x14ac:dyDescent="0.25">
      <c r="A16931">
        <v>534</v>
      </c>
      <c r="B16931" t="s">
        <v>4293</v>
      </c>
      <c r="C16931" t="s">
        <v>138</v>
      </c>
      <c r="D16931" t="s">
        <v>144</v>
      </c>
      <c r="E16931">
        <f>2/94</f>
        <v>2.1276595744680851E-2</v>
      </c>
      <c r="F16931">
        <v>105</v>
      </c>
      <c r="G16931">
        <f>LOG(382/(105+1))</f>
        <v>0.55675749764693849</v>
      </c>
      <c r="H16931">
        <f>0.0212765957446808*1.2819815144945</f>
        <v>2.7276202436053124E-2</v>
      </c>
      <c r="I16931">
        <v>2.7276202436053359E-2</v>
      </c>
    </row>
    <row r="16932" spans="1:9" x14ac:dyDescent="0.25">
      <c r="A16932">
        <v>534</v>
      </c>
      <c r="B16932" t="s">
        <v>4293</v>
      </c>
      <c r="C16932" t="s">
        <v>138</v>
      </c>
      <c r="D16932" t="s">
        <v>758</v>
      </c>
      <c r="E16932">
        <f t="shared" ref="E16932:E16937" si="801">1/94</f>
        <v>1.0638297872340425E-2</v>
      </c>
      <c r="F16932">
        <v>26</v>
      </c>
      <c r="G16932">
        <f>LOG(382/(26+1))</f>
        <v>1.1506995987527215</v>
      </c>
      <c r="H16932">
        <f>0.0106382978723404*2.64958374260224</f>
        <v>2.8187061091513123E-2</v>
      </c>
      <c r="I16932">
        <v>2.8187061091513251E-2</v>
      </c>
    </row>
    <row r="16933" spans="1:9" x14ac:dyDescent="0.25">
      <c r="A16933">
        <v>534</v>
      </c>
      <c r="B16933" t="s">
        <v>4293</v>
      </c>
      <c r="C16933" t="s">
        <v>138</v>
      </c>
      <c r="D16933" t="s">
        <v>65</v>
      </c>
      <c r="E16933">
        <f t="shared" si="801"/>
        <v>1.0638297872340425E-2</v>
      </c>
      <c r="F16933">
        <v>32</v>
      </c>
      <c r="G16933">
        <f>LOG(382/(32+1))</f>
        <v>1.0635494230338212</v>
      </c>
      <c r="H16933">
        <f>0.0106382978723404*2.44891304714009</f>
        <v>2.6052266458937066E-2</v>
      </c>
      <c r="I16933">
        <v>2.6052266458937181E-2</v>
      </c>
    </row>
    <row r="16934" spans="1:9" x14ac:dyDescent="0.25">
      <c r="A16934">
        <v>534</v>
      </c>
      <c r="B16934" t="s">
        <v>4293</v>
      </c>
      <c r="C16934" t="s">
        <v>138</v>
      </c>
      <c r="D16934" t="s">
        <v>339</v>
      </c>
      <c r="E16934">
        <f t="shared" si="801"/>
        <v>1.0638297872340425E-2</v>
      </c>
      <c r="F16934">
        <v>66</v>
      </c>
      <c r="G16934">
        <f>LOG(382/(66+1))</f>
        <v>0.75598856021088234</v>
      </c>
      <c r="H16934">
        <f>0.0106382978723404*1.7407279892156</f>
        <v>1.8518382863995698E-2</v>
      </c>
      <c r="I16934">
        <v>1.851838286399584E-2</v>
      </c>
    </row>
    <row r="16935" spans="1:9" x14ac:dyDescent="0.25">
      <c r="A16935">
        <v>534</v>
      </c>
      <c r="B16935" t="s">
        <v>4293</v>
      </c>
      <c r="C16935" t="s">
        <v>138</v>
      </c>
      <c r="D16935" t="s">
        <v>340</v>
      </c>
      <c r="E16935">
        <f t="shared" si="801"/>
        <v>1.0638297872340425E-2</v>
      </c>
      <c r="F16935">
        <v>28</v>
      </c>
      <c r="G16935">
        <f>LOG(382/(28+1))</f>
        <v>1.1196653650127526</v>
      </c>
      <c r="H16935">
        <f>0.0106382978723404*2.5781247786201</f>
        <v>2.742685934702227E-2</v>
      </c>
      <c r="I16935">
        <v>2.742685934702235E-2</v>
      </c>
    </row>
    <row r="16936" spans="1:9" x14ac:dyDescent="0.25">
      <c r="A16936">
        <v>534</v>
      </c>
      <c r="B16936" t="s">
        <v>4293</v>
      </c>
      <c r="C16936" t="s">
        <v>138</v>
      </c>
      <c r="D16936" t="s">
        <v>247</v>
      </c>
      <c r="E16936">
        <f t="shared" si="801"/>
        <v>1.0638297872340425E-2</v>
      </c>
      <c r="F16936">
        <v>121</v>
      </c>
      <c r="G16936">
        <f>LOG(382/(121+1))</f>
        <v>0.49570353223696051</v>
      </c>
      <c r="H16936">
        <f>0.0106382978723404*1.14139956387331</f>
        <v>1.2142548551843695E-2</v>
      </c>
      <c r="I16936">
        <v>1.214254855184382E-2</v>
      </c>
    </row>
    <row r="16937" spans="1:9" x14ac:dyDescent="0.25">
      <c r="A16937">
        <v>534</v>
      </c>
      <c r="B16937" t="s">
        <v>4293</v>
      </c>
      <c r="C16937" t="s">
        <v>138</v>
      </c>
      <c r="D16937" t="s">
        <v>39</v>
      </c>
      <c r="E16937">
        <f t="shared" si="801"/>
        <v>1.0638297872340425E-2</v>
      </c>
      <c r="F16937">
        <v>145</v>
      </c>
      <c r="G16937">
        <f>LOG(382/(145+1))</f>
        <v>0.41771050712727159</v>
      </c>
      <c r="H16937">
        <f>0.0106382978723404*0.961813986898238</f>
        <v>1.0232063690406763E-2</v>
      </c>
      <c r="I16937">
        <v>1.023206369040679E-2</v>
      </c>
    </row>
    <row r="16938" spans="1:9" x14ac:dyDescent="0.25">
      <c r="A16938">
        <v>535</v>
      </c>
      <c r="B16938" t="s">
        <v>4298</v>
      </c>
      <c r="C16938" t="s">
        <v>75</v>
      </c>
      <c r="D16938" t="s">
        <v>3488</v>
      </c>
      <c r="E16938">
        <f t="shared" ref="E16938:E16955" si="802">1/49</f>
        <v>2.0408163265306121E-2</v>
      </c>
      <c r="F16938">
        <v>6</v>
      </c>
      <c r="G16938">
        <f>LOG(382/(6+1))</f>
        <v>1.736965322897452</v>
      </c>
      <c r="H16938">
        <f>0.0204081632653061*3.99951045955126</f>
        <v>8.1622662439821539E-2</v>
      </c>
      <c r="I16938">
        <v>8.1622662439821664E-2</v>
      </c>
    </row>
    <row r="16939" spans="1:9" x14ac:dyDescent="0.25">
      <c r="A16939">
        <v>535</v>
      </c>
      <c r="B16939" t="s">
        <v>4298</v>
      </c>
      <c r="C16939" t="s">
        <v>75</v>
      </c>
      <c r="D16939" t="s">
        <v>3489</v>
      </c>
      <c r="E16939">
        <f t="shared" si="802"/>
        <v>2.0408163265306121E-2</v>
      </c>
      <c r="F16939">
        <v>2</v>
      </c>
      <c r="G16939">
        <f>LOG(382/(2+1))</f>
        <v>2.1049421081920463</v>
      </c>
      <c r="H16939">
        <f>0.0204081632653061*4.84680831993846</f>
        <v>9.8914455508948049E-2</v>
      </c>
      <c r="I16939">
        <v>9.8914455508948257E-2</v>
      </c>
    </row>
    <row r="16940" spans="1:9" x14ac:dyDescent="0.25">
      <c r="A16940">
        <v>535</v>
      </c>
      <c r="B16940" t="s">
        <v>4298</v>
      </c>
      <c r="C16940" t="s">
        <v>75</v>
      </c>
      <c r="D16940" t="s">
        <v>42</v>
      </c>
      <c r="E16940">
        <f t="shared" si="802"/>
        <v>2.0408163265306121E-2</v>
      </c>
      <c r="F16940">
        <v>251</v>
      </c>
      <c r="G16940">
        <f>LOG(382/(251+1))</f>
        <v>0.18066282213016463</v>
      </c>
      <c r="H16940">
        <f>0.0204081632653061*0.415991521095151</f>
        <v>8.4896228794928679E-3</v>
      </c>
      <c r="I16940">
        <v>8.4896228794928939E-3</v>
      </c>
    </row>
    <row r="16941" spans="1:9" x14ac:dyDescent="0.25">
      <c r="A16941">
        <v>535</v>
      </c>
      <c r="B16941" t="s">
        <v>4298</v>
      </c>
      <c r="C16941" t="s">
        <v>75</v>
      </c>
      <c r="D16941" t="s">
        <v>600</v>
      </c>
      <c r="E16941">
        <f t="shared" si="802"/>
        <v>2.0408163265306121E-2</v>
      </c>
      <c r="F16941">
        <v>102</v>
      </c>
      <c r="G16941">
        <f>LOG(382/(102+1))</f>
        <v>0.56922613820653656</v>
      </c>
      <c r="H16941">
        <f>0.0204081632653061*1.31069162037693</f>
        <v>2.6748808579120993E-2</v>
      </c>
      <c r="I16941">
        <v>2.6748808579121212E-2</v>
      </c>
    </row>
    <row r="16942" spans="1:9" x14ac:dyDescent="0.25">
      <c r="A16942">
        <v>535</v>
      </c>
      <c r="B16942" t="s">
        <v>4298</v>
      </c>
      <c r="C16942" t="s">
        <v>75</v>
      </c>
      <c r="D16942" t="s">
        <v>4299</v>
      </c>
      <c r="E16942">
        <f t="shared" si="802"/>
        <v>2.0408163265306121E-2</v>
      </c>
      <c r="F16942">
        <v>1</v>
      </c>
      <c r="G16942">
        <f>LOG(382/(1+1))</f>
        <v>2.2810333672477277</v>
      </c>
      <c r="H16942">
        <f>0.0204081632653061*5.25227342804663</f>
        <v>0.10718925363360457</v>
      </c>
      <c r="I16942">
        <v>0.10718925363360469</v>
      </c>
    </row>
    <row r="16943" spans="1:9" x14ac:dyDescent="0.25">
      <c r="A16943">
        <v>535</v>
      </c>
      <c r="B16943" t="s">
        <v>4298</v>
      </c>
      <c r="C16943" t="s">
        <v>75</v>
      </c>
      <c r="D16943" t="s">
        <v>294</v>
      </c>
      <c r="E16943">
        <f t="shared" si="802"/>
        <v>2.0408163265306121E-2</v>
      </c>
      <c r="F16943">
        <v>3</v>
      </c>
      <c r="G16943">
        <f>LOG(382/(3+1))</f>
        <v>1.9800033715837464</v>
      </c>
      <c r="H16943">
        <f>0.0204081632653061*4.55912624748668</f>
        <v>9.3043392805850514E-2</v>
      </c>
      <c r="I16943">
        <v>9.3043392805850694E-2</v>
      </c>
    </row>
    <row r="16944" spans="1:9" x14ac:dyDescent="0.25">
      <c r="A16944">
        <v>535</v>
      </c>
      <c r="B16944" t="s">
        <v>4298</v>
      </c>
      <c r="C16944" t="s">
        <v>75</v>
      </c>
      <c r="D16944" t="s">
        <v>17</v>
      </c>
      <c r="E16944">
        <f t="shared" si="802"/>
        <v>2.0408163265306121E-2</v>
      </c>
      <c r="F16944">
        <v>169</v>
      </c>
      <c r="G16944">
        <f>LOG(382/(169+1))</f>
        <v>0.3516144415334348</v>
      </c>
      <c r="H16944">
        <f>0.0204081632653061*0.809622171556313</f>
        <v>1.65229014603329E-2</v>
      </c>
      <c r="I16944">
        <v>1.6522901460332931E-2</v>
      </c>
    </row>
    <row r="16945" spans="1:9" x14ac:dyDescent="0.25">
      <c r="A16945">
        <v>535</v>
      </c>
      <c r="B16945" t="s">
        <v>4298</v>
      </c>
      <c r="C16945" t="s">
        <v>75</v>
      </c>
      <c r="D16945" t="s">
        <v>111</v>
      </c>
      <c r="E16945">
        <f t="shared" si="802"/>
        <v>2.0408163265306121E-2</v>
      </c>
      <c r="F16945">
        <v>33</v>
      </c>
      <c r="G16945">
        <f>LOG(382/(33+1))</f>
        <v>1.0505844458694535</v>
      </c>
      <c r="H16945">
        <f>0.0204081632653061*2.41906008399041</f>
        <v>4.9368573142661375E-2</v>
      </c>
      <c r="I16945">
        <v>4.93685731426615E-2</v>
      </c>
    </row>
    <row r="16946" spans="1:9" x14ac:dyDescent="0.25">
      <c r="A16946">
        <v>535</v>
      </c>
      <c r="B16946" t="s">
        <v>4298</v>
      </c>
      <c r="C16946" t="s">
        <v>75</v>
      </c>
      <c r="D16946" t="s">
        <v>4135</v>
      </c>
      <c r="E16946">
        <f t="shared" si="802"/>
        <v>2.0408163265306121E-2</v>
      </c>
      <c r="F16946">
        <v>6</v>
      </c>
      <c r="G16946">
        <f>LOG(382/(6+1))</f>
        <v>1.736965322897452</v>
      </c>
      <c r="H16946">
        <f>0.0204081632653061*3.99951045955126</f>
        <v>8.1622662439821539E-2</v>
      </c>
      <c r="I16946">
        <v>8.1622662439821664E-2</v>
      </c>
    </row>
    <row r="16947" spans="1:9" x14ac:dyDescent="0.25">
      <c r="A16947">
        <v>535</v>
      </c>
      <c r="B16947" t="s">
        <v>4298</v>
      </c>
      <c r="C16947" t="s">
        <v>75</v>
      </c>
      <c r="D16947" t="s">
        <v>19</v>
      </c>
      <c r="E16947">
        <f t="shared" si="802"/>
        <v>2.0408163265306121E-2</v>
      </c>
      <c r="F16947">
        <v>220</v>
      </c>
      <c r="G16947">
        <f>LOG(382/(220+1))</f>
        <v>0.23767108922659805</v>
      </c>
      <c r="H16947">
        <f>0.0204081632653061*0.547257907088822</f>
        <v>1.1168528716098396E-2</v>
      </c>
      <c r="I16947">
        <v>1.1168528716098421E-2</v>
      </c>
    </row>
    <row r="16948" spans="1:9" x14ac:dyDescent="0.25">
      <c r="A16948">
        <v>535</v>
      </c>
      <c r="B16948" t="s">
        <v>4298</v>
      </c>
      <c r="C16948" t="s">
        <v>75</v>
      </c>
      <c r="D16948" t="s">
        <v>808</v>
      </c>
      <c r="E16948">
        <f t="shared" si="802"/>
        <v>2.0408163265306121E-2</v>
      </c>
      <c r="F16948">
        <v>20</v>
      </c>
      <c r="G16948">
        <f>LOG(382/(20+1))</f>
        <v>1.2598440681777894</v>
      </c>
      <c r="H16948">
        <f>0.0204081632653061*2.90089817088315</f>
        <v>5.9202003487411163E-2</v>
      </c>
      <c r="I16948">
        <v>5.9202003487411267E-2</v>
      </c>
    </row>
    <row r="16949" spans="1:9" x14ac:dyDescent="0.25">
      <c r="A16949">
        <v>535</v>
      </c>
      <c r="B16949" t="s">
        <v>4298</v>
      </c>
      <c r="C16949" t="s">
        <v>75</v>
      </c>
      <c r="D16949" t="s">
        <v>809</v>
      </c>
      <c r="E16949">
        <f t="shared" si="802"/>
        <v>2.0408163265306121E-2</v>
      </c>
      <c r="F16949">
        <v>19</v>
      </c>
      <c r="G16949">
        <f>LOG(382/(19+1))</f>
        <v>1.2810333672477277</v>
      </c>
      <c r="H16949">
        <f>0.0204081632653061*2.94968833505258</f>
        <v>6.0197721123521973E-2</v>
      </c>
      <c r="I16949">
        <v>6.0197721123522133E-2</v>
      </c>
    </row>
    <row r="16950" spans="1:9" x14ac:dyDescent="0.25">
      <c r="A16950">
        <v>535</v>
      </c>
      <c r="B16950" t="s">
        <v>4298</v>
      </c>
      <c r="C16950" t="s">
        <v>75</v>
      </c>
      <c r="D16950" t="s">
        <v>22</v>
      </c>
      <c r="E16950">
        <f t="shared" si="802"/>
        <v>2.0408163265306121E-2</v>
      </c>
      <c r="F16950">
        <v>259</v>
      </c>
      <c r="G16950">
        <f>LOG(382/(259+1))</f>
        <v>0.16709001494089079</v>
      </c>
      <c r="H16950">
        <f>0.0204081632653061*0.384738977591047</f>
        <v>7.8518158692050324E-3</v>
      </c>
      <c r="I16950">
        <v>7.8518158692050515E-3</v>
      </c>
    </row>
    <row r="16951" spans="1:9" x14ac:dyDescent="0.25">
      <c r="A16951">
        <v>535</v>
      </c>
      <c r="B16951" t="s">
        <v>4298</v>
      </c>
      <c r="C16951" t="s">
        <v>75</v>
      </c>
      <c r="D16951" t="s">
        <v>23</v>
      </c>
      <c r="E16951">
        <f t="shared" si="802"/>
        <v>2.0408163265306121E-2</v>
      </c>
      <c r="F16951">
        <v>275</v>
      </c>
      <c r="G16951">
        <f>LOG(382/(275+1))</f>
        <v>0.14115428084649101</v>
      </c>
      <c r="H16951">
        <f>0.0204081632653061*0.325019742889425</f>
        <v>6.633055977335196E-3</v>
      </c>
      <c r="I16951">
        <v>6.6330559773352064E-3</v>
      </c>
    </row>
    <row r="16952" spans="1:9" x14ac:dyDescent="0.25">
      <c r="A16952">
        <v>535</v>
      </c>
      <c r="B16952" t="s">
        <v>4298</v>
      </c>
      <c r="C16952" t="s">
        <v>75</v>
      </c>
      <c r="D16952" t="s">
        <v>3779</v>
      </c>
      <c r="E16952">
        <f t="shared" si="802"/>
        <v>2.0408163265306121E-2</v>
      </c>
      <c r="F16952">
        <v>5</v>
      </c>
      <c r="G16952">
        <f>LOG(382/(5+1))</f>
        <v>1.803912112528065</v>
      </c>
      <c r="H16952">
        <f>0.0204081632653061*4.15366113937852</f>
        <v>8.4768594681194187E-2</v>
      </c>
      <c r="I16952">
        <v>8.476859468119427E-2</v>
      </c>
    </row>
    <row r="16953" spans="1:9" x14ac:dyDescent="0.25">
      <c r="A16953">
        <v>535</v>
      </c>
      <c r="B16953" t="s">
        <v>4298</v>
      </c>
      <c r="C16953" t="s">
        <v>75</v>
      </c>
      <c r="D16953" t="s">
        <v>1537</v>
      </c>
      <c r="E16953">
        <f t="shared" si="802"/>
        <v>2.0408163265306121E-2</v>
      </c>
      <c r="F16953">
        <v>80</v>
      </c>
      <c r="G16953">
        <f>LOG(382/(80+1))</f>
        <v>0.67357834403305894</v>
      </c>
      <c r="H16953">
        <f>0.0204081632653061*1.55097145393413</f>
        <v>3.16524786517169E-2</v>
      </c>
      <c r="I16953">
        <v>3.1652478651717067E-2</v>
      </c>
    </row>
    <row r="16954" spans="1:9" x14ac:dyDescent="0.25">
      <c r="A16954">
        <v>535</v>
      </c>
      <c r="B16954" t="s">
        <v>4298</v>
      </c>
      <c r="C16954" t="s">
        <v>75</v>
      </c>
      <c r="D16954" t="s">
        <v>105</v>
      </c>
      <c r="E16954">
        <f t="shared" si="802"/>
        <v>2.0408163265306121E-2</v>
      </c>
      <c r="F16954">
        <v>122</v>
      </c>
      <c r="G16954">
        <f>LOG(382/(122+1))</f>
        <v>0.49215825147231079</v>
      </c>
      <c r="H16954">
        <f>0.0204081632653061*1.13323625323415</f>
        <v>2.3127270474166302E-2</v>
      </c>
      <c r="I16954">
        <v>2.3127270474166479E-2</v>
      </c>
    </row>
    <row r="16955" spans="1:9" x14ac:dyDescent="0.25">
      <c r="A16955">
        <v>535</v>
      </c>
      <c r="B16955" t="s">
        <v>4298</v>
      </c>
      <c r="C16955" t="s">
        <v>75</v>
      </c>
      <c r="D16955" t="s">
        <v>1769</v>
      </c>
      <c r="E16955">
        <f t="shared" si="802"/>
        <v>2.0408163265306121E-2</v>
      </c>
      <c r="F16955">
        <v>84</v>
      </c>
      <c r="G16955">
        <f>LOG(382/(84+1))</f>
        <v>0.65264443719741605</v>
      </c>
      <c r="H16955">
        <f>0.0204081632653061*1.50276935211625</f>
        <v>3.0668762288086699E-2</v>
      </c>
      <c r="I16955">
        <v>3.0668762288086911E-2</v>
      </c>
    </row>
    <row r="16956" spans="1:9" x14ac:dyDescent="0.25">
      <c r="A16956">
        <v>535</v>
      </c>
      <c r="B16956" t="s">
        <v>4298</v>
      </c>
      <c r="C16956" t="s">
        <v>75</v>
      </c>
      <c r="D16956" t="s">
        <v>3335</v>
      </c>
      <c r="E16956">
        <f>2/49</f>
        <v>4.0816326530612242E-2</v>
      </c>
      <c r="F16956">
        <v>16</v>
      </c>
      <c r="G16956">
        <f>LOG(382/(16+1))</f>
        <v>1.3516144415334348</v>
      </c>
      <c r="H16956">
        <f>0.0408163265306122*3.11220726455035</f>
        <v>0.12702886794083046</v>
      </c>
      <c r="I16956">
        <v>0.12702886794083099</v>
      </c>
    </row>
    <row r="16957" spans="1:9" x14ac:dyDescent="0.25">
      <c r="A16957">
        <v>535</v>
      </c>
      <c r="B16957" t="s">
        <v>4298</v>
      </c>
      <c r="C16957" t="s">
        <v>75</v>
      </c>
      <c r="D16957" t="s">
        <v>126</v>
      </c>
      <c r="E16957">
        <f t="shared" ref="E16957:E16969" si="803">1/49</f>
        <v>2.0408163265306121E-2</v>
      </c>
      <c r="F16957">
        <v>79</v>
      </c>
      <c r="G16957">
        <f>LOG(382/(79+1))</f>
        <v>0.67897337591976514</v>
      </c>
      <c r="H16957">
        <f>0.0204081632653061*1.56339397393269</f>
        <v>3.1905999468014049E-2</v>
      </c>
      <c r="I16957">
        <v>3.1905999468014153E-2</v>
      </c>
    </row>
    <row r="16958" spans="1:9" x14ac:dyDescent="0.25">
      <c r="A16958">
        <v>535</v>
      </c>
      <c r="B16958" t="s">
        <v>4298</v>
      </c>
      <c r="C16958" t="s">
        <v>75</v>
      </c>
      <c r="D16958" t="s">
        <v>4300</v>
      </c>
      <c r="E16958">
        <f t="shared" si="803"/>
        <v>2.0408163265306121E-2</v>
      </c>
      <c r="F16958">
        <v>2</v>
      </c>
      <c r="G16958">
        <f>LOG(382/(2+1))</f>
        <v>2.1049421081920463</v>
      </c>
      <c r="H16958">
        <f>0.0204081632653061*4.84680831993846</f>
        <v>9.8914455508948049E-2</v>
      </c>
      <c r="I16958">
        <v>9.8914455508948257E-2</v>
      </c>
    </row>
    <row r="16959" spans="1:9" x14ac:dyDescent="0.25">
      <c r="A16959">
        <v>535</v>
      </c>
      <c r="B16959" t="s">
        <v>4298</v>
      </c>
      <c r="C16959" t="s">
        <v>75</v>
      </c>
      <c r="D16959" t="s">
        <v>1546</v>
      </c>
      <c r="E16959">
        <f t="shared" si="803"/>
        <v>2.0408163265306121E-2</v>
      </c>
      <c r="F16959">
        <v>44</v>
      </c>
      <c r="G16959">
        <f>LOG(382/(44+1))</f>
        <v>0.92885084913636506</v>
      </c>
      <c r="H16959">
        <f>0.0204081632653061*2.13875811883625</f>
        <v>4.3648124874209132E-2</v>
      </c>
      <c r="I16959">
        <v>4.3648124874209278E-2</v>
      </c>
    </row>
    <row r="16960" spans="1:9" x14ac:dyDescent="0.25">
      <c r="A16960">
        <v>535</v>
      </c>
      <c r="B16960" t="s">
        <v>4298</v>
      </c>
      <c r="C16960" t="s">
        <v>75</v>
      </c>
      <c r="D16960" t="s">
        <v>474</v>
      </c>
      <c r="E16960">
        <f t="shared" si="803"/>
        <v>2.0408163265306121E-2</v>
      </c>
      <c r="F16960">
        <v>25</v>
      </c>
      <c r="G16960">
        <f>LOG(382/(25+1))</f>
        <v>1.1670900149408907</v>
      </c>
      <c r="H16960">
        <f>0.0204081632653061*2.68732407058509</f>
        <v>5.484334837928749E-2</v>
      </c>
      <c r="I16960">
        <v>5.4843348379287608E-2</v>
      </c>
    </row>
    <row r="16961" spans="1:9" x14ac:dyDescent="0.25">
      <c r="A16961">
        <v>535</v>
      </c>
      <c r="B16961" t="s">
        <v>4298</v>
      </c>
      <c r="C16961" t="s">
        <v>75</v>
      </c>
      <c r="D16961" t="s">
        <v>260</v>
      </c>
      <c r="E16961">
        <f t="shared" si="803"/>
        <v>2.0408163265306121E-2</v>
      </c>
      <c r="F16961">
        <v>31</v>
      </c>
      <c r="G16961">
        <f>LOG(382/(31+1))</f>
        <v>1.0769133845918029</v>
      </c>
      <c r="H16961">
        <f>0.0204081632653061*2.47968470580684</f>
        <v>5.0605810322588513E-2</v>
      </c>
      <c r="I16961">
        <v>5.0605810322588748E-2</v>
      </c>
    </row>
    <row r="16962" spans="1:9" x14ac:dyDescent="0.25">
      <c r="A16962">
        <v>535</v>
      </c>
      <c r="B16962" t="s">
        <v>4298</v>
      </c>
      <c r="C16962" t="s">
        <v>75</v>
      </c>
      <c r="D16962" t="s">
        <v>243</v>
      </c>
      <c r="E16962">
        <f t="shared" si="803"/>
        <v>2.0408163265306121E-2</v>
      </c>
      <c r="F16962">
        <v>131</v>
      </c>
      <c r="G16962">
        <f>LOG(382/(131+1))</f>
        <v>0.46148943170585888</v>
      </c>
      <c r="H16962">
        <f>0.0204081632653061*1.0626186860202</f>
        <v>2.1686095633065283E-2</v>
      </c>
      <c r="I16962">
        <v>2.1686095633065391E-2</v>
      </c>
    </row>
    <row r="16963" spans="1:9" x14ac:dyDescent="0.25">
      <c r="A16963">
        <v>535</v>
      </c>
      <c r="B16963" t="s">
        <v>4298</v>
      </c>
      <c r="C16963" t="s">
        <v>75</v>
      </c>
      <c r="D16963" t="s">
        <v>453</v>
      </c>
      <c r="E16963">
        <f t="shared" si="803"/>
        <v>2.0408163265306121E-2</v>
      </c>
      <c r="F16963">
        <v>68</v>
      </c>
      <c r="G16963">
        <f>LOG(382/(68+1))</f>
        <v>0.74321427217445335</v>
      </c>
      <c r="H16963">
        <f>0.0204081632653061*1.71131410400931</f>
        <v>3.4924777632843025E-2</v>
      </c>
      <c r="I16963">
        <v>3.4924777632843178E-2</v>
      </c>
    </row>
    <row r="16964" spans="1:9" x14ac:dyDescent="0.25">
      <c r="A16964">
        <v>535</v>
      </c>
      <c r="B16964" t="s">
        <v>4298</v>
      </c>
      <c r="C16964" t="s">
        <v>75</v>
      </c>
      <c r="D16964" t="s">
        <v>361</v>
      </c>
      <c r="E16964">
        <f t="shared" si="803"/>
        <v>2.0408163265306121E-2</v>
      </c>
      <c r="F16964">
        <v>118</v>
      </c>
      <c r="G16964">
        <f>LOG(382/(118+1))</f>
        <v>0.50651640151917798</v>
      </c>
      <c r="H16964">
        <f>0.0204081632653061*1.16629711549504</f>
        <v>2.380198194887834E-2</v>
      </c>
      <c r="I16964">
        <v>2.380198194887849E-2</v>
      </c>
    </row>
    <row r="16965" spans="1:9" x14ac:dyDescent="0.25">
      <c r="A16965">
        <v>535</v>
      </c>
      <c r="B16965" t="s">
        <v>4298</v>
      </c>
      <c r="C16965" t="s">
        <v>75</v>
      </c>
      <c r="D16965" t="s">
        <v>434</v>
      </c>
      <c r="E16965">
        <f t="shared" si="803"/>
        <v>2.0408163265306121E-2</v>
      </c>
      <c r="F16965">
        <v>97</v>
      </c>
      <c r="G16965">
        <f>LOG(382/(97+1))</f>
        <v>0.59083728721921391</v>
      </c>
      <c r="H16965">
        <f>0.0204081632653061*1.360453129936</f>
        <v>2.7764349590530583E-2</v>
      </c>
      <c r="I16965">
        <v>2.7764349590530681E-2</v>
      </c>
    </row>
    <row r="16966" spans="1:9" x14ac:dyDescent="0.25">
      <c r="A16966">
        <v>535</v>
      </c>
      <c r="B16966" t="s">
        <v>4298</v>
      </c>
      <c r="C16966" t="s">
        <v>75</v>
      </c>
      <c r="D16966" t="s">
        <v>2241</v>
      </c>
      <c r="E16966">
        <f t="shared" si="803"/>
        <v>2.0408163265306121E-2</v>
      </c>
      <c r="F16966">
        <v>12</v>
      </c>
      <c r="G16966">
        <f>LOG(382/(12+1))</f>
        <v>1.468120010604872</v>
      </c>
      <c r="H16966">
        <f>0.0204081632653061*3.38047125114503</f>
        <v>6.8989209207041352E-2</v>
      </c>
      <c r="I16966">
        <v>6.8989209207041602E-2</v>
      </c>
    </row>
    <row r="16967" spans="1:9" x14ac:dyDescent="0.25">
      <c r="A16967">
        <v>535</v>
      </c>
      <c r="B16967" t="s">
        <v>4298</v>
      </c>
      <c r="C16967" t="s">
        <v>75</v>
      </c>
      <c r="D16967" t="s">
        <v>2242</v>
      </c>
      <c r="E16967">
        <f t="shared" si="803"/>
        <v>2.0408163265306121E-2</v>
      </c>
      <c r="F16967">
        <v>18</v>
      </c>
      <c r="G16967">
        <f>LOG(382/(18+1))</f>
        <v>1.3033097619588798</v>
      </c>
      <c r="H16967">
        <f>0.0204081632653061*3.00098162944013</f>
        <v>6.1244523049798508E-2</v>
      </c>
      <c r="I16967">
        <v>6.124452304979866E-2</v>
      </c>
    </row>
    <row r="16968" spans="1:9" x14ac:dyDescent="0.25">
      <c r="A16968">
        <v>535</v>
      </c>
      <c r="B16968" t="s">
        <v>4298</v>
      </c>
      <c r="C16968" t="s">
        <v>75</v>
      </c>
      <c r="D16968" t="s">
        <v>214</v>
      </c>
      <c r="E16968">
        <f t="shared" si="803"/>
        <v>2.0408163265306121E-2</v>
      </c>
      <c r="F16968">
        <v>68</v>
      </c>
      <c r="G16968">
        <f>LOG(382/(68+1))</f>
        <v>0.74321427217445335</v>
      </c>
      <c r="H16968">
        <f>0.0204081632653061*1.71131410400931</f>
        <v>3.4924777632843025E-2</v>
      </c>
      <c r="I16968">
        <v>3.4924777632843178E-2</v>
      </c>
    </row>
    <row r="16969" spans="1:9" x14ac:dyDescent="0.25">
      <c r="A16969">
        <v>535</v>
      </c>
      <c r="B16969" t="s">
        <v>4298</v>
      </c>
      <c r="C16969" t="s">
        <v>75</v>
      </c>
      <c r="D16969" t="s">
        <v>322</v>
      </c>
      <c r="E16969">
        <f t="shared" si="803"/>
        <v>2.0408163265306121E-2</v>
      </c>
      <c r="F16969">
        <v>128</v>
      </c>
      <c r="G16969">
        <f>LOG(382/(128+1))</f>
        <v>0.47147365261245977</v>
      </c>
      <c r="H16969">
        <f>0.0204081632653061*1.0856082042449</f>
        <v>2.2155269474385689E-2</v>
      </c>
      <c r="I16969">
        <v>2.2155269474385779E-2</v>
      </c>
    </row>
    <row r="16970" spans="1:9" x14ac:dyDescent="0.25">
      <c r="A16970">
        <v>535</v>
      </c>
      <c r="B16970" t="s">
        <v>4298</v>
      </c>
      <c r="C16970" t="s">
        <v>75</v>
      </c>
      <c r="D16970" t="s">
        <v>2238</v>
      </c>
      <c r="E16970">
        <f>2/49</f>
        <v>4.0816326530612242E-2</v>
      </c>
      <c r="F16970">
        <v>68</v>
      </c>
      <c r="G16970">
        <f>LOG(382/(68+1))</f>
        <v>0.74321427217445335</v>
      </c>
      <c r="H16970">
        <f>0.0408163265306122*1.71131410400931</f>
        <v>6.984955526568605E-2</v>
      </c>
      <c r="I16970">
        <v>6.9849555265686356E-2</v>
      </c>
    </row>
    <row r="16971" spans="1:9" x14ac:dyDescent="0.25">
      <c r="A16971">
        <v>535</v>
      </c>
      <c r="B16971" t="s">
        <v>4298</v>
      </c>
      <c r="C16971" t="s">
        <v>75</v>
      </c>
      <c r="D16971" t="s">
        <v>823</v>
      </c>
      <c r="E16971">
        <f t="shared" ref="E16971:E16984" si="804">1/49</f>
        <v>2.0408163265306121E-2</v>
      </c>
      <c r="F16971">
        <v>45</v>
      </c>
      <c r="G16971">
        <f>LOG(382/(45+1))</f>
        <v>0.9193055312301347</v>
      </c>
      <c r="H16971">
        <f>0.0204081632653061*2.11677921211748</f>
        <v>4.3199575757499546E-2</v>
      </c>
      <c r="I16971">
        <v>4.3199575757499588E-2</v>
      </c>
    </row>
    <row r="16972" spans="1:9" x14ac:dyDescent="0.25">
      <c r="A16972">
        <v>535</v>
      </c>
      <c r="B16972" t="s">
        <v>4298</v>
      </c>
      <c r="C16972" t="s">
        <v>75</v>
      </c>
      <c r="D16972" t="s">
        <v>746</v>
      </c>
      <c r="E16972">
        <f t="shared" si="804"/>
        <v>2.0408163265306121E-2</v>
      </c>
      <c r="F16972">
        <v>58</v>
      </c>
      <c r="G16972">
        <f>LOG(382/(58+1))</f>
        <v>0.81121135126956456</v>
      </c>
      <c r="H16972">
        <f>0.0204081632653061*1.86788316470085</f>
        <v>3.812006458573159E-2</v>
      </c>
      <c r="I16972">
        <v>3.8120064585731743E-2</v>
      </c>
    </row>
    <row r="16973" spans="1:9" x14ac:dyDescent="0.25">
      <c r="A16973">
        <v>535</v>
      </c>
      <c r="B16973" t="s">
        <v>4298</v>
      </c>
      <c r="C16973" t="s">
        <v>75</v>
      </c>
      <c r="D16973" t="s">
        <v>3895</v>
      </c>
      <c r="E16973">
        <f t="shared" si="804"/>
        <v>2.0408163265306121E-2</v>
      </c>
      <c r="F16973">
        <v>4</v>
      </c>
      <c r="G16973">
        <f>LOG(382/(4+1))</f>
        <v>1.8830933585756899</v>
      </c>
      <c r="H16973">
        <f>0.0204081632653061*4.33598269617247</f>
        <v>8.8489442779029912E-2</v>
      </c>
      <c r="I16973">
        <v>8.8489442779030092E-2</v>
      </c>
    </row>
    <row r="16974" spans="1:9" x14ac:dyDescent="0.25">
      <c r="A16974">
        <v>535</v>
      </c>
      <c r="B16974" t="s">
        <v>4298</v>
      </c>
      <c r="C16974" t="s">
        <v>75</v>
      </c>
      <c r="D16974" t="s">
        <v>3376</v>
      </c>
      <c r="E16974">
        <f t="shared" si="804"/>
        <v>2.0408163265306121E-2</v>
      </c>
      <c r="F16974">
        <v>21</v>
      </c>
      <c r="G16974">
        <f>LOG(382/(21+1))</f>
        <v>1.2396406820895025</v>
      </c>
      <c r="H16974">
        <f>0.0204081632653061*2.85437815524825</f>
        <v>5.8252615413229528E-2</v>
      </c>
      <c r="I16974">
        <v>5.8252615413229777E-2</v>
      </c>
    </row>
    <row r="16975" spans="1:9" x14ac:dyDescent="0.25">
      <c r="A16975">
        <v>535</v>
      </c>
      <c r="B16975" t="s">
        <v>4298</v>
      </c>
      <c r="C16975" t="s">
        <v>75</v>
      </c>
      <c r="D16975" t="s">
        <v>1732</v>
      </c>
      <c r="E16975">
        <f t="shared" si="804"/>
        <v>2.0408163265306121E-2</v>
      </c>
      <c r="F16975">
        <v>16</v>
      </c>
      <c r="G16975">
        <f>LOG(382/(16+1))</f>
        <v>1.3516144415334348</v>
      </c>
      <c r="H16975">
        <f>0.0204081632653061*3.11220726455035</f>
        <v>6.3514433970415229E-2</v>
      </c>
      <c r="I16975">
        <v>6.3514433970415493E-2</v>
      </c>
    </row>
    <row r="16976" spans="1:9" x14ac:dyDescent="0.25">
      <c r="A16976">
        <v>535</v>
      </c>
      <c r="B16976" t="s">
        <v>4298</v>
      </c>
      <c r="C16976" t="s">
        <v>75</v>
      </c>
      <c r="D16976" t="s">
        <v>3722</v>
      </c>
      <c r="E16976">
        <f t="shared" si="804"/>
        <v>2.0408163265306121E-2</v>
      </c>
      <c r="F16976">
        <v>3</v>
      </c>
      <c r="G16976">
        <f>LOG(382/(3+1))</f>
        <v>1.9800033715837464</v>
      </c>
      <c r="H16976">
        <f>0.0204081632653061*4.55912624748668</f>
        <v>9.3043392805850514E-2</v>
      </c>
      <c r="I16976">
        <v>9.3043392805850694E-2</v>
      </c>
    </row>
    <row r="16977" spans="1:9" x14ac:dyDescent="0.25">
      <c r="A16977">
        <v>535</v>
      </c>
      <c r="B16977" t="s">
        <v>4298</v>
      </c>
      <c r="C16977" t="s">
        <v>75</v>
      </c>
      <c r="D16977" t="s">
        <v>81</v>
      </c>
      <c r="E16977">
        <f t="shared" si="804"/>
        <v>2.0408163265306121E-2</v>
      </c>
      <c r="F16977">
        <v>114</v>
      </c>
      <c r="G16977">
        <f>LOG(382/(114+1))</f>
        <v>0.52136552255809698</v>
      </c>
      <c r="H16977">
        <f>0.0204081632653061*1.20048848024332</f>
        <v>2.4499764902924871E-2</v>
      </c>
      <c r="I16977">
        <v>2.4499764902924999E-2</v>
      </c>
    </row>
    <row r="16978" spans="1:9" x14ac:dyDescent="0.25">
      <c r="A16978">
        <v>535</v>
      </c>
      <c r="B16978" t="s">
        <v>4298</v>
      </c>
      <c r="C16978" t="s">
        <v>75</v>
      </c>
      <c r="D16978" t="s">
        <v>254</v>
      </c>
      <c r="E16978">
        <f t="shared" si="804"/>
        <v>2.0408163265306121E-2</v>
      </c>
      <c r="F16978">
        <v>3</v>
      </c>
      <c r="G16978">
        <f>LOG(382/(3+1))</f>
        <v>1.9800033715837464</v>
      </c>
      <c r="H16978">
        <f>0.0204081632653061*4.55912624748668</f>
        <v>9.3043392805850514E-2</v>
      </c>
      <c r="I16978">
        <v>9.3043392805850694E-2</v>
      </c>
    </row>
    <row r="16979" spans="1:9" x14ac:dyDescent="0.25">
      <c r="A16979">
        <v>535</v>
      </c>
      <c r="B16979" t="s">
        <v>4298</v>
      </c>
      <c r="C16979" t="s">
        <v>75</v>
      </c>
      <c r="D16979" t="s">
        <v>3648</v>
      </c>
      <c r="E16979">
        <f t="shared" si="804"/>
        <v>2.0408163265306121E-2</v>
      </c>
      <c r="F16979">
        <v>4</v>
      </c>
      <c r="G16979">
        <f>LOG(382/(4+1))</f>
        <v>1.8830933585756899</v>
      </c>
      <c r="H16979">
        <f>0.0204081632653061*4.33598269617247</f>
        <v>8.8489442779029912E-2</v>
      </c>
      <c r="I16979">
        <v>8.8489442779030092E-2</v>
      </c>
    </row>
    <row r="16980" spans="1:9" x14ac:dyDescent="0.25">
      <c r="A16980">
        <v>535</v>
      </c>
      <c r="B16980" t="s">
        <v>4298</v>
      </c>
      <c r="C16980" t="s">
        <v>75</v>
      </c>
      <c r="D16980" t="s">
        <v>1738</v>
      </c>
      <c r="E16980">
        <f t="shared" si="804"/>
        <v>2.0408163265306121E-2</v>
      </c>
      <c r="F16980">
        <v>24</v>
      </c>
      <c r="G16980">
        <f>LOG(382/(24+1))</f>
        <v>1.1841233542396712</v>
      </c>
      <c r="H16980">
        <f>0.0204081632653061*2.72654478373837</f>
        <v>5.5643771096701364E-2</v>
      </c>
      <c r="I16980">
        <v>5.564377109670151E-2</v>
      </c>
    </row>
    <row r="16981" spans="1:9" x14ac:dyDescent="0.25">
      <c r="A16981">
        <v>535</v>
      </c>
      <c r="B16981" t="s">
        <v>4298</v>
      </c>
      <c r="C16981" t="s">
        <v>75</v>
      </c>
      <c r="D16981" t="s">
        <v>1739</v>
      </c>
      <c r="E16981">
        <f t="shared" si="804"/>
        <v>2.0408163265306121E-2</v>
      </c>
      <c r="F16981">
        <v>30</v>
      </c>
      <c r="G16981">
        <f>LOG(382/(30+1))</f>
        <v>1.090701669077436</v>
      </c>
      <c r="H16981">
        <f>0.0204081632653061*2.51143340412142</f>
        <v>5.1253742941253413E-2</v>
      </c>
      <c r="I16981">
        <v>5.1253742941253649E-2</v>
      </c>
    </row>
    <row r="16982" spans="1:9" x14ac:dyDescent="0.25">
      <c r="A16982">
        <v>535</v>
      </c>
      <c r="B16982" t="s">
        <v>4298</v>
      </c>
      <c r="C16982" t="s">
        <v>75</v>
      </c>
      <c r="D16982" t="s">
        <v>82</v>
      </c>
      <c r="E16982">
        <f t="shared" si="804"/>
        <v>2.0408163265306121E-2</v>
      </c>
      <c r="F16982">
        <v>92</v>
      </c>
      <c r="G16982">
        <f>LOG(382/(92+1))</f>
        <v>0.61358041435777355</v>
      </c>
      <c r="H16982">
        <f>0.0204081632653061*1.41282111545331</f>
        <v>2.8833083988843027E-2</v>
      </c>
      <c r="I16982">
        <v>2.8833083988843249E-2</v>
      </c>
    </row>
    <row r="16983" spans="1:9" x14ac:dyDescent="0.25">
      <c r="A16983">
        <v>535</v>
      </c>
      <c r="B16983" t="s">
        <v>4298</v>
      </c>
      <c r="C16983" t="s">
        <v>75</v>
      </c>
      <c r="D16983" t="s">
        <v>763</v>
      </c>
      <c r="E16983">
        <f t="shared" si="804"/>
        <v>2.0408163265306121E-2</v>
      </c>
      <c r="F16983">
        <v>47</v>
      </c>
      <c r="G16983">
        <f>LOG(382/(47+1))</f>
        <v>0.90082212553612151</v>
      </c>
      <c r="H16983">
        <f>0.0204081632653061*2.07421959769868</f>
        <v>4.23310121979322E-2</v>
      </c>
      <c r="I16983">
        <v>4.2331012197932318E-2</v>
      </c>
    </row>
    <row r="16984" spans="1:9" x14ac:dyDescent="0.25">
      <c r="A16984">
        <v>535</v>
      </c>
      <c r="B16984" t="s">
        <v>4298</v>
      </c>
      <c r="C16984" t="s">
        <v>75</v>
      </c>
      <c r="D16984" t="s">
        <v>754</v>
      </c>
      <c r="E16984">
        <f t="shared" si="804"/>
        <v>2.0408163265306121E-2</v>
      </c>
      <c r="F16984">
        <v>111</v>
      </c>
      <c r="G16984">
        <f>LOG(382/(111+1))</f>
        <v>0.53284534024152708</v>
      </c>
      <c r="H16984">
        <f>0.0204081632653061*1.22692173731148</f>
        <v>2.5039219128805686E-2</v>
      </c>
      <c r="I16984">
        <v>2.5039219128805731E-2</v>
      </c>
    </row>
    <row r="16985" spans="1:9" x14ac:dyDescent="0.25">
      <c r="A16985">
        <v>536</v>
      </c>
      <c r="B16985" t="s">
        <v>4301</v>
      </c>
      <c r="C16985" t="s">
        <v>138</v>
      </c>
      <c r="D16985" t="s">
        <v>3144</v>
      </c>
      <c r="E16985">
        <f>1/74</f>
        <v>1.3513513513513514E-2</v>
      </c>
      <c r="F16985">
        <v>3</v>
      </c>
      <c r="G16985">
        <f>LOG(382/(3+1))</f>
        <v>1.9800033715837464</v>
      </c>
      <c r="H16985">
        <f>0.0135135135135135*4.55912624748668</f>
        <v>6.1609814155225345E-2</v>
      </c>
      <c r="I16985">
        <v>6.160981415522547E-2</v>
      </c>
    </row>
    <row r="16986" spans="1:9" x14ac:dyDescent="0.25">
      <c r="A16986">
        <v>536</v>
      </c>
      <c r="B16986" t="s">
        <v>4301</v>
      </c>
      <c r="C16986" t="s">
        <v>138</v>
      </c>
      <c r="D16986" t="s">
        <v>41</v>
      </c>
      <c r="E16986">
        <f>2/74</f>
        <v>2.7027027027027029E-2</v>
      </c>
      <c r="F16986">
        <v>195</v>
      </c>
      <c r="G16986">
        <f>LOG(382/(195+1))</f>
        <v>0.28980729155523272</v>
      </c>
      <c r="H16986">
        <f>0.027027027027027*0.667305949376058</f>
        <v>1.8035295929082634E-2</v>
      </c>
      <c r="I16986">
        <v>1.8035295929082651E-2</v>
      </c>
    </row>
    <row r="16987" spans="1:9" x14ac:dyDescent="0.25">
      <c r="A16987">
        <v>536</v>
      </c>
      <c r="B16987" t="s">
        <v>4301</v>
      </c>
      <c r="C16987" t="s">
        <v>138</v>
      </c>
      <c r="D16987" t="s">
        <v>744</v>
      </c>
      <c r="E16987">
        <f>4/74</f>
        <v>5.4054054054054057E-2</v>
      </c>
      <c r="F16987">
        <v>28</v>
      </c>
      <c r="G16987">
        <f>LOG(382/(28+1))</f>
        <v>1.1196653650127526</v>
      </c>
      <c r="H16987">
        <f>0.054054054054054*2.5781247786201</f>
        <v>0.13935809614162689</v>
      </c>
      <c r="I16987">
        <v>0.13935809614162711</v>
      </c>
    </row>
    <row r="16988" spans="1:9" x14ac:dyDescent="0.25">
      <c r="A16988">
        <v>536</v>
      </c>
      <c r="B16988" t="s">
        <v>4301</v>
      </c>
      <c r="C16988" t="s">
        <v>138</v>
      </c>
      <c r="D16988" t="s">
        <v>408</v>
      </c>
      <c r="E16988">
        <f t="shared" ref="E16988:E16998" si="805">1/74</f>
        <v>1.3513513513513514E-2</v>
      </c>
      <c r="F16988">
        <v>27</v>
      </c>
      <c r="G16988">
        <f>LOG(382/(27+1))</f>
        <v>1.1349053315694895</v>
      </c>
      <c r="H16988">
        <f>0.0135135135135135*2.61321609843137</f>
        <v>3.5313731059883349E-2</v>
      </c>
      <c r="I16988">
        <v>3.5313731059883391E-2</v>
      </c>
    </row>
    <row r="16989" spans="1:9" x14ac:dyDescent="0.25">
      <c r="A16989">
        <v>536</v>
      </c>
      <c r="B16989" t="s">
        <v>4301</v>
      </c>
      <c r="C16989" t="s">
        <v>138</v>
      </c>
      <c r="D16989" t="s">
        <v>4302</v>
      </c>
      <c r="E16989">
        <f t="shared" si="805"/>
        <v>1.3513513513513514E-2</v>
      </c>
      <c r="F16989">
        <v>1</v>
      </c>
      <c r="G16989">
        <f>LOG(382/(1+1))</f>
        <v>2.2810333672477277</v>
      </c>
      <c r="H16989">
        <f>0.0135135135135135*5.25227342804663</f>
        <v>7.0976667946576005E-2</v>
      </c>
      <c r="I16989">
        <v>7.0976667946576089E-2</v>
      </c>
    </row>
    <row r="16990" spans="1:9" x14ac:dyDescent="0.25">
      <c r="A16990">
        <v>536</v>
      </c>
      <c r="B16990" t="s">
        <v>4301</v>
      </c>
      <c r="C16990" t="s">
        <v>138</v>
      </c>
      <c r="D16990" t="s">
        <v>3238</v>
      </c>
      <c r="E16990">
        <f t="shared" si="805"/>
        <v>1.3513513513513514E-2</v>
      </c>
      <c r="F16990">
        <v>2</v>
      </c>
      <c r="G16990">
        <f>LOG(382/(2+1))</f>
        <v>2.1049421081920463</v>
      </c>
      <c r="H16990">
        <f>0.0135135135135135*4.84680831993846</f>
        <v>6.5497409728898046E-2</v>
      </c>
      <c r="I16990">
        <v>6.5497409728898184E-2</v>
      </c>
    </row>
    <row r="16991" spans="1:9" x14ac:dyDescent="0.25">
      <c r="A16991">
        <v>536</v>
      </c>
      <c r="B16991" t="s">
        <v>4301</v>
      </c>
      <c r="C16991" t="s">
        <v>138</v>
      </c>
      <c r="D16991" t="s">
        <v>2189</v>
      </c>
      <c r="E16991">
        <f t="shared" si="805"/>
        <v>1.3513513513513514E-2</v>
      </c>
      <c r="F16991">
        <v>12</v>
      </c>
      <c r="G16991">
        <f>LOG(382/(12+1))</f>
        <v>1.468120010604872</v>
      </c>
      <c r="H16991">
        <f>0.0135135135135135*3.38047125114503</f>
        <v>4.5682043934392257E-2</v>
      </c>
      <c r="I16991">
        <v>4.5682043934392423E-2</v>
      </c>
    </row>
    <row r="16992" spans="1:9" x14ac:dyDescent="0.25">
      <c r="A16992">
        <v>536</v>
      </c>
      <c r="B16992" t="s">
        <v>4301</v>
      </c>
      <c r="C16992" t="s">
        <v>138</v>
      </c>
      <c r="D16992" t="s">
        <v>863</v>
      </c>
      <c r="E16992">
        <f t="shared" si="805"/>
        <v>1.3513513513513514E-2</v>
      </c>
      <c r="F16992">
        <v>14</v>
      </c>
      <c r="G16992">
        <f>LOG(382/(14+1))</f>
        <v>1.4059721038560276</v>
      </c>
      <c r="H16992">
        <f>0.0135135135135135*3.23737040750436</f>
        <v>4.3748248750058873E-2</v>
      </c>
      <c r="I16992">
        <v>4.3748248750058991E-2</v>
      </c>
    </row>
    <row r="16993" spans="1:9" x14ac:dyDescent="0.25">
      <c r="A16993">
        <v>536</v>
      </c>
      <c r="B16993" t="s">
        <v>4301</v>
      </c>
      <c r="C16993" t="s">
        <v>138</v>
      </c>
      <c r="D16993" t="s">
        <v>42</v>
      </c>
      <c r="E16993">
        <f t="shared" si="805"/>
        <v>1.3513513513513514E-2</v>
      </c>
      <c r="F16993">
        <v>251</v>
      </c>
      <c r="G16993">
        <f>LOG(382/(251+1))</f>
        <v>0.18066282213016463</v>
      </c>
      <c r="H16993">
        <f>0.0135135135135135*0.415991521095151</f>
        <v>5.6215070418263588E-3</v>
      </c>
      <c r="I16993">
        <v>5.621507041826377E-3</v>
      </c>
    </row>
    <row r="16994" spans="1:9" x14ac:dyDescent="0.25">
      <c r="A16994">
        <v>536</v>
      </c>
      <c r="B16994" t="s">
        <v>4301</v>
      </c>
      <c r="C16994" t="s">
        <v>138</v>
      </c>
      <c r="D16994" t="s">
        <v>1343</v>
      </c>
      <c r="E16994">
        <f t="shared" si="805"/>
        <v>1.3513513513513514E-2</v>
      </c>
      <c r="F16994">
        <v>2</v>
      </c>
      <c r="G16994">
        <f>LOG(382/(2+1))</f>
        <v>2.1049421081920463</v>
      </c>
      <c r="H16994">
        <f>0.0135135135135135*4.84680831993846</f>
        <v>6.5497409728898046E-2</v>
      </c>
      <c r="I16994">
        <v>6.5497409728898184E-2</v>
      </c>
    </row>
    <row r="16995" spans="1:9" x14ac:dyDescent="0.25">
      <c r="A16995">
        <v>536</v>
      </c>
      <c r="B16995" t="s">
        <v>4301</v>
      </c>
      <c r="C16995" t="s">
        <v>138</v>
      </c>
      <c r="D16995" t="s">
        <v>104</v>
      </c>
      <c r="E16995">
        <f t="shared" si="805"/>
        <v>1.3513513513513514E-2</v>
      </c>
      <c r="F16995">
        <v>49</v>
      </c>
      <c r="G16995">
        <f>LOG(382/(49+1))</f>
        <v>0.88309335857568994</v>
      </c>
      <c r="H16995">
        <f>0.0135135135135135*2.03339760317842</f>
        <v>2.7478345988897541E-2</v>
      </c>
      <c r="I16995">
        <v>2.7478345988897691E-2</v>
      </c>
    </row>
    <row r="16996" spans="1:9" x14ac:dyDescent="0.25">
      <c r="A16996">
        <v>536</v>
      </c>
      <c r="B16996" t="s">
        <v>4301</v>
      </c>
      <c r="C16996" t="s">
        <v>138</v>
      </c>
      <c r="D16996" t="s">
        <v>900</v>
      </c>
      <c r="E16996">
        <f t="shared" si="805"/>
        <v>1.3513513513513514E-2</v>
      </c>
      <c r="F16996">
        <v>5</v>
      </c>
      <c r="G16996">
        <f>LOG(382/(5+1))</f>
        <v>1.803912112528065</v>
      </c>
      <c r="H16996">
        <f>0.0135135135135135*4.15366113937852</f>
        <v>5.613055593754751E-2</v>
      </c>
      <c r="I16996">
        <v>5.6130555937547573E-2</v>
      </c>
    </row>
    <row r="16997" spans="1:9" x14ac:dyDescent="0.25">
      <c r="A16997">
        <v>536</v>
      </c>
      <c r="B16997" t="s">
        <v>4301</v>
      </c>
      <c r="C16997" t="s">
        <v>138</v>
      </c>
      <c r="D16997" t="s">
        <v>4303</v>
      </c>
      <c r="E16997">
        <f t="shared" si="805"/>
        <v>1.3513513513513514E-2</v>
      </c>
      <c r="F16997">
        <v>2</v>
      </c>
      <c r="G16997">
        <f>LOG(382/(2+1))</f>
        <v>2.1049421081920463</v>
      </c>
      <c r="H16997">
        <f>0.0135135135135135*4.84680831993846</f>
        <v>6.5497409728898046E-2</v>
      </c>
      <c r="I16997">
        <v>6.5497409728898184E-2</v>
      </c>
    </row>
    <row r="16998" spans="1:9" x14ac:dyDescent="0.25">
      <c r="A16998">
        <v>536</v>
      </c>
      <c r="B16998" t="s">
        <v>4301</v>
      </c>
      <c r="C16998" t="s">
        <v>138</v>
      </c>
      <c r="D16998" t="s">
        <v>17</v>
      </c>
      <c r="E16998">
        <f t="shared" si="805"/>
        <v>1.3513513513513514E-2</v>
      </c>
      <c r="F16998">
        <v>169</v>
      </c>
      <c r="G16998">
        <f>LOG(382/(169+1))</f>
        <v>0.3516144415334348</v>
      </c>
      <c r="H16998">
        <f>0.0135135135135135*0.809622171556313</f>
        <v>1.094084015616638E-2</v>
      </c>
      <c r="I16998">
        <v>1.09408401561664E-2</v>
      </c>
    </row>
    <row r="16999" spans="1:9" x14ac:dyDescent="0.25">
      <c r="A16999">
        <v>536</v>
      </c>
      <c r="B16999" t="s">
        <v>4301</v>
      </c>
      <c r="C16999" t="s">
        <v>138</v>
      </c>
      <c r="D16999" t="s">
        <v>168</v>
      </c>
      <c r="E16999">
        <f>2/74</f>
        <v>2.7027027027027029E-2</v>
      </c>
      <c r="F16999">
        <v>34</v>
      </c>
      <c r="G16999">
        <f>LOG(382/(34+1))</f>
        <v>1.037995318561433</v>
      </c>
      <c r="H16999">
        <f>0.027027027027027*2.39007254711716</f>
        <v>6.4596555327490743E-2</v>
      </c>
      <c r="I16999">
        <v>6.4596555327490854E-2</v>
      </c>
    </row>
    <row r="17000" spans="1:9" x14ac:dyDescent="0.25">
      <c r="A17000">
        <v>536</v>
      </c>
      <c r="B17000" t="s">
        <v>4301</v>
      </c>
      <c r="C17000" t="s">
        <v>138</v>
      </c>
      <c r="D17000" t="s">
        <v>19</v>
      </c>
      <c r="E17000">
        <f>1/74</f>
        <v>1.3513513513513514E-2</v>
      </c>
      <c r="F17000">
        <v>220</v>
      </c>
      <c r="G17000">
        <f>LOG(382/(220+1))</f>
        <v>0.23767108922659805</v>
      </c>
      <c r="H17000">
        <f>0.0135135135135135*0.547257907088822</f>
        <v>7.3953771228219122E-3</v>
      </c>
      <c r="I17000">
        <v>7.3953771228219244E-3</v>
      </c>
    </row>
    <row r="17001" spans="1:9" x14ac:dyDescent="0.25">
      <c r="A17001">
        <v>536</v>
      </c>
      <c r="B17001" t="s">
        <v>4301</v>
      </c>
      <c r="C17001" t="s">
        <v>138</v>
      </c>
      <c r="D17001" t="s">
        <v>22</v>
      </c>
      <c r="E17001">
        <f>1/74</f>
        <v>1.3513513513513514E-2</v>
      </c>
      <c r="F17001">
        <v>259</v>
      </c>
      <c r="G17001">
        <f>LOG(382/(259+1))</f>
        <v>0.16709001494089079</v>
      </c>
      <c r="H17001">
        <f>0.0135135135135135*0.384738977591047</f>
        <v>5.1991753728519814E-3</v>
      </c>
      <c r="I17001">
        <v>5.1991753728519944E-3</v>
      </c>
    </row>
    <row r="17002" spans="1:9" x14ac:dyDescent="0.25">
      <c r="A17002">
        <v>536</v>
      </c>
      <c r="B17002" t="s">
        <v>4301</v>
      </c>
      <c r="C17002" t="s">
        <v>138</v>
      </c>
      <c r="D17002" t="s">
        <v>23</v>
      </c>
      <c r="E17002">
        <f>1/74</f>
        <v>1.3513513513513514E-2</v>
      </c>
      <c r="F17002">
        <v>275</v>
      </c>
      <c r="G17002">
        <f>LOG(382/(275+1))</f>
        <v>0.14115428084649101</v>
      </c>
      <c r="H17002">
        <f>0.0135135135135135*0.325019742889425</f>
        <v>4.3921586876949281E-3</v>
      </c>
      <c r="I17002">
        <v>4.392158687694935E-3</v>
      </c>
    </row>
    <row r="17003" spans="1:9" x14ac:dyDescent="0.25">
      <c r="A17003">
        <v>536</v>
      </c>
      <c r="B17003" t="s">
        <v>4301</v>
      </c>
      <c r="C17003" t="s">
        <v>138</v>
      </c>
      <c r="D17003" t="s">
        <v>204</v>
      </c>
      <c r="E17003">
        <f>1/74</f>
        <v>1.3513513513513514E-2</v>
      </c>
      <c r="F17003">
        <v>166</v>
      </c>
      <c r="G17003">
        <f>LOG(382/(166+1))</f>
        <v>0.35934689176412549</v>
      </c>
      <c r="H17003">
        <f>0.0135135135135135*0.82742679618982</f>
        <v>1.1181443191754313E-2</v>
      </c>
      <c r="I17003">
        <v>1.118144319175433E-2</v>
      </c>
    </row>
    <row r="17004" spans="1:9" x14ac:dyDescent="0.25">
      <c r="A17004">
        <v>536</v>
      </c>
      <c r="B17004" t="s">
        <v>4301</v>
      </c>
      <c r="C17004" t="s">
        <v>138</v>
      </c>
      <c r="D17004" t="s">
        <v>4304</v>
      </c>
      <c r="E17004">
        <f>2/74</f>
        <v>2.7027027027027029E-2</v>
      </c>
      <c r="F17004">
        <v>1</v>
      </c>
      <c r="G17004">
        <f>LOG(382/(1+1))</f>
        <v>2.2810333672477277</v>
      </c>
      <c r="H17004">
        <f>0.027027027027027*5.25227342804663</f>
        <v>0.14195333589315201</v>
      </c>
      <c r="I17004">
        <v>0.1419533358931522</v>
      </c>
    </row>
    <row r="17005" spans="1:9" x14ac:dyDescent="0.25">
      <c r="A17005">
        <v>536</v>
      </c>
      <c r="B17005" t="s">
        <v>4301</v>
      </c>
      <c r="C17005" t="s">
        <v>138</v>
      </c>
      <c r="D17005" t="s">
        <v>762</v>
      </c>
      <c r="E17005">
        <f>3/74</f>
        <v>4.0540540540540543E-2</v>
      </c>
      <c r="F17005">
        <v>29</v>
      </c>
      <c r="G17005">
        <f>LOG(382/(29+1))</f>
        <v>1.1049421081920463</v>
      </c>
      <c r="H17005">
        <f>0.0405405405405405*2.54422322694442</f>
        <v>0.10314418487612503</v>
      </c>
      <c r="I17005">
        <v>0.1031441848761251</v>
      </c>
    </row>
    <row r="17006" spans="1:9" x14ac:dyDescent="0.25">
      <c r="A17006">
        <v>536</v>
      </c>
      <c r="B17006" t="s">
        <v>4301</v>
      </c>
      <c r="C17006" t="s">
        <v>138</v>
      </c>
      <c r="D17006" t="s">
        <v>754</v>
      </c>
      <c r="E17006">
        <f>2/74</f>
        <v>2.7027027027027029E-2</v>
      </c>
      <c r="F17006">
        <v>111</v>
      </c>
      <c r="G17006">
        <f>LOG(382/(111+1))</f>
        <v>0.53284534024152708</v>
      </c>
      <c r="H17006">
        <f>0.027027027027027*1.22692173731148</f>
        <v>3.3160046954364295E-2</v>
      </c>
      <c r="I17006">
        <v>3.3160046954364343E-2</v>
      </c>
    </row>
    <row r="17007" spans="1:9" x14ac:dyDescent="0.25">
      <c r="A17007">
        <v>536</v>
      </c>
      <c r="B17007" t="s">
        <v>4301</v>
      </c>
      <c r="C17007" t="s">
        <v>138</v>
      </c>
      <c r="D17007" t="s">
        <v>763</v>
      </c>
      <c r="E17007">
        <f>1/74</f>
        <v>1.3513513513513514E-2</v>
      </c>
      <c r="F17007">
        <v>47</v>
      </c>
      <c r="G17007">
        <f>LOG(382/(47+1))</f>
        <v>0.90082212553612151</v>
      </c>
      <c r="H17007">
        <f>0.0135135135135135*2.07421959769868</f>
        <v>2.8029994563495652E-2</v>
      </c>
      <c r="I17007">
        <v>2.8029994563495728E-2</v>
      </c>
    </row>
    <row r="17008" spans="1:9" x14ac:dyDescent="0.25">
      <c r="A17008">
        <v>536</v>
      </c>
      <c r="B17008" t="s">
        <v>4301</v>
      </c>
      <c r="C17008" t="s">
        <v>138</v>
      </c>
      <c r="D17008" t="s">
        <v>322</v>
      </c>
      <c r="E17008">
        <f>3/74</f>
        <v>4.0540540540540543E-2</v>
      </c>
      <c r="F17008">
        <v>128</v>
      </c>
      <c r="G17008">
        <f>LOG(382/(128+1))</f>
        <v>0.47147365261245977</v>
      </c>
      <c r="H17008">
        <f>0.0405405405405405*1.0856082042449</f>
        <v>4.4011143415333742E-2</v>
      </c>
      <c r="I17008">
        <v>4.4011143415333923E-2</v>
      </c>
    </row>
    <row r="17009" spans="1:9" x14ac:dyDescent="0.25">
      <c r="A17009">
        <v>536</v>
      </c>
      <c r="B17009" t="s">
        <v>4301</v>
      </c>
      <c r="C17009" t="s">
        <v>138</v>
      </c>
      <c r="D17009" t="s">
        <v>1130</v>
      </c>
      <c r="E17009">
        <f>1/74</f>
        <v>1.3513513513513514E-2</v>
      </c>
      <c r="F17009">
        <v>12</v>
      </c>
      <c r="G17009">
        <f>LOG(382/(12+1))</f>
        <v>1.468120010604872</v>
      </c>
      <c r="H17009">
        <f>0.0135135135135135*3.38047125114503</f>
        <v>4.5682043934392257E-2</v>
      </c>
      <c r="I17009">
        <v>4.5682043934392423E-2</v>
      </c>
    </row>
    <row r="17010" spans="1:9" x14ac:dyDescent="0.25">
      <c r="A17010">
        <v>536</v>
      </c>
      <c r="B17010" t="s">
        <v>4301</v>
      </c>
      <c r="C17010" t="s">
        <v>138</v>
      </c>
      <c r="D17010" t="s">
        <v>776</v>
      </c>
      <c r="E17010">
        <f>1/74</f>
        <v>1.3513513513513514E-2</v>
      </c>
      <c r="F17010">
        <v>15</v>
      </c>
      <c r="G17010">
        <f>LOG(382/(15+1))</f>
        <v>1.3779433802557839</v>
      </c>
      <c r="H17010">
        <f>0.0135135135135135*3.17283188636679</f>
        <v>4.287610657252415E-2</v>
      </c>
      <c r="I17010">
        <v>4.2876106572524247E-2</v>
      </c>
    </row>
    <row r="17011" spans="1:9" x14ac:dyDescent="0.25">
      <c r="A17011">
        <v>536</v>
      </c>
      <c r="B17011" t="s">
        <v>4301</v>
      </c>
      <c r="C17011" t="s">
        <v>138</v>
      </c>
      <c r="D17011" t="s">
        <v>649</v>
      </c>
      <c r="E17011">
        <f>3/74</f>
        <v>4.0540540540540543E-2</v>
      </c>
      <c r="F17011">
        <v>25</v>
      </c>
      <c r="G17011">
        <f>LOG(382/(25+1))</f>
        <v>1.1670900149408907</v>
      </c>
      <c r="H17011">
        <f>0.0405405405405405*2.68732407058509</f>
        <v>0.10894557042912517</v>
      </c>
      <c r="I17011">
        <v>0.10894557042912539</v>
      </c>
    </row>
    <row r="17012" spans="1:9" x14ac:dyDescent="0.25">
      <c r="A17012">
        <v>536</v>
      </c>
      <c r="B17012" t="s">
        <v>4301</v>
      </c>
      <c r="C17012" t="s">
        <v>138</v>
      </c>
      <c r="D17012" t="s">
        <v>823</v>
      </c>
      <c r="E17012">
        <f>1/74</f>
        <v>1.3513513513513514E-2</v>
      </c>
      <c r="F17012">
        <v>45</v>
      </c>
      <c r="G17012">
        <f>LOG(382/(45+1))</f>
        <v>0.9193055312301347</v>
      </c>
      <c r="H17012">
        <f>0.0135135135135135*2.11677921211748</f>
        <v>2.8605124488074028E-2</v>
      </c>
      <c r="I17012">
        <v>2.8605124488074059E-2</v>
      </c>
    </row>
    <row r="17013" spans="1:9" x14ac:dyDescent="0.25">
      <c r="A17013">
        <v>536</v>
      </c>
      <c r="B17013" t="s">
        <v>4301</v>
      </c>
      <c r="C17013" t="s">
        <v>138</v>
      </c>
      <c r="D17013" t="s">
        <v>1094</v>
      </c>
      <c r="E17013">
        <f>1/74</f>
        <v>1.3513513513513514E-2</v>
      </c>
      <c r="F17013">
        <v>7</v>
      </c>
      <c r="G17013">
        <f>LOG(382/(7+1))</f>
        <v>1.6789733759197651</v>
      </c>
      <c r="H17013">
        <f>0.0135135135135135*3.86597906692673</f>
        <v>5.2242960363874678E-2</v>
      </c>
      <c r="I17013">
        <v>5.2242960363874859E-2</v>
      </c>
    </row>
    <row r="17014" spans="1:9" x14ac:dyDescent="0.25">
      <c r="A17014">
        <v>536</v>
      </c>
      <c r="B17014" t="s">
        <v>4301</v>
      </c>
      <c r="C17014" t="s">
        <v>138</v>
      </c>
      <c r="D17014" t="s">
        <v>1532</v>
      </c>
      <c r="E17014">
        <f>2/74</f>
        <v>2.7027027027027029E-2</v>
      </c>
      <c r="F17014">
        <v>28</v>
      </c>
      <c r="G17014">
        <f>LOG(382/(28+1))</f>
        <v>1.1196653650127526</v>
      </c>
      <c r="H17014">
        <f>0.027027027027027*2.5781247786201</f>
        <v>6.9679048070813446E-2</v>
      </c>
      <c r="I17014">
        <v>6.9679048070813543E-2</v>
      </c>
    </row>
    <row r="17015" spans="1:9" x14ac:dyDescent="0.25">
      <c r="A17015">
        <v>536</v>
      </c>
      <c r="B17015" t="s">
        <v>4301</v>
      </c>
      <c r="C17015" t="s">
        <v>138</v>
      </c>
      <c r="D17015" t="s">
        <v>1533</v>
      </c>
      <c r="E17015">
        <f>2/74</f>
        <v>2.7027027027027029E-2</v>
      </c>
      <c r="F17015">
        <v>33</v>
      </c>
      <c r="G17015">
        <f>LOG(382/(33+1))</f>
        <v>1.0505844458694535</v>
      </c>
      <c r="H17015">
        <f>0.027027027027027*2.41906008399041</f>
        <v>6.538000227001102E-2</v>
      </c>
      <c r="I17015">
        <v>6.5380002270011187E-2</v>
      </c>
    </row>
    <row r="17016" spans="1:9" x14ac:dyDescent="0.25">
      <c r="A17016">
        <v>536</v>
      </c>
      <c r="B17016" t="s">
        <v>4301</v>
      </c>
      <c r="C17016" t="s">
        <v>138</v>
      </c>
      <c r="D17016" t="s">
        <v>81</v>
      </c>
      <c r="E17016">
        <f>2/74</f>
        <v>2.7027027027027029E-2</v>
      </c>
      <c r="F17016">
        <v>114</v>
      </c>
      <c r="G17016">
        <f>LOG(382/(114+1))</f>
        <v>0.52136552255809698</v>
      </c>
      <c r="H17016">
        <f>0.027027027027027*1.20048848024332</f>
        <v>3.2445634601170781E-2</v>
      </c>
      <c r="I17016">
        <v>3.2445634601170947E-2</v>
      </c>
    </row>
    <row r="17017" spans="1:9" x14ac:dyDescent="0.25">
      <c r="A17017">
        <v>536</v>
      </c>
      <c r="B17017" t="s">
        <v>4301</v>
      </c>
      <c r="C17017" t="s">
        <v>138</v>
      </c>
      <c r="D17017" t="s">
        <v>1085</v>
      </c>
      <c r="E17017">
        <f t="shared" ref="E17017:E17022" si="806">1/74</f>
        <v>1.3513513513513514E-2</v>
      </c>
      <c r="F17017">
        <v>16</v>
      </c>
      <c r="G17017">
        <f>LOG(382/(16+1))</f>
        <v>1.3516144415334348</v>
      </c>
      <c r="H17017">
        <f>0.0135135135135135*3.11220726455035</f>
        <v>4.2056854926356038E-2</v>
      </c>
      <c r="I17017">
        <v>4.2056854926356198E-2</v>
      </c>
    </row>
    <row r="17018" spans="1:9" x14ac:dyDescent="0.25">
      <c r="A17018">
        <v>536</v>
      </c>
      <c r="B17018" t="s">
        <v>4301</v>
      </c>
      <c r="C17018" t="s">
        <v>138</v>
      </c>
      <c r="D17018" t="s">
        <v>1537</v>
      </c>
      <c r="E17018">
        <f t="shared" si="806"/>
        <v>1.3513513513513514E-2</v>
      </c>
      <c r="F17018">
        <v>80</v>
      </c>
      <c r="G17018">
        <f>LOG(382/(80+1))</f>
        <v>0.67357834403305894</v>
      </c>
      <c r="H17018">
        <f>0.0135135135135135*1.55097145393413</f>
        <v>2.0959073701812547E-2</v>
      </c>
      <c r="I17018">
        <v>2.0959073701812651E-2</v>
      </c>
    </row>
    <row r="17019" spans="1:9" x14ac:dyDescent="0.25">
      <c r="A17019">
        <v>536</v>
      </c>
      <c r="B17019" t="s">
        <v>4301</v>
      </c>
      <c r="C17019" t="s">
        <v>138</v>
      </c>
      <c r="D17019" t="s">
        <v>362</v>
      </c>
      <c r="E17019">
        <f t="shared" si="806"/>
        <v>1.3513513513513514E-2</v>
      </c>
      <c r="F17019">
        <v>81</v>
      </c>
      <c r="G17019">
        <f>LOG(382/(81+1))</f>
        <v>0.66824951052799197</v>
      </c>
      <c r="H17019">
        <f>0.0135135135135135*1.53870136134232</f>
        <v>2.079326163976106E-2</v>
      </c>
      <c r="I17019">
        <v>2.0793261639761109E-2</v>
      </c>
    </row>
    <row r="17020" spans="1:9" x14ac:dyDescent="0.25">
      <c r="A17020">
        <v>536</v>
      </c>
      <c r="B17020" t="s">
        <v>4301</v>
      </c>
      <c r="C17020" t="s">
        <v>138</v>
      </c>
      <c r="D17020" t="s">
        <v>746</v>
      </c>
      <c r="E17020">
        <f t="shared" si="806"/>
        <v>1.3513513513513514E-2</v>
      </c>
      <c r="F17020">
        <v>58</v>
      </c>
      <c r="G17020">
        <f>LOG(382/(58+1))</f>
        <v>0.81121135126956456</v>
      </c>
      <c r="H17020">
        <f>0.0135135135135135*1.86788316470085</f>
        <v>2.5241664387849302E-2</v>
      </c>
      <c r="I17020">
        <v>2.5241664387849399E-2</v>
      </c>
    </row>
    <row r="17021" spans="1:9" x14ac:dyDescent="0.25">
      <c r="A17021">
        <v>536</v>
      </c>
      <c r="B17021" t="s">
        <v>4301</v>
      </c>
      <c r="C17021" t="s">
        <v>138</v>
      </c>
      <c r="D17021" t="s">
        <v>1762</v>
      </c>
      <c r="E17021">
        <f t="shared" si="806"/>
        <v>1.3513513513513514E-2</v>
      </c>
      <c r="F17021">
        <v>60</v>
      </c>
      <c r="G17021">
        <f>LOG(382/(60+1))</f>
        <v>0.79673352790094176</v>
      </c>
      <c r="H17021">
        <f>0.0135135135135135*1.83454674443326</f>
        <v>2.4791172222071056E-2</v>
      </c>
      <c r="I17021">
        <v>2.4791172222071139E-2</v>
      </c>
    </row>
    <row r="17022" spans="1:9" x14ac:dyDescent="0.25">
      <c r="A17022">
        <v>536</v>
      </c>
      <c r="B17022" t="s">
        <v>4301</v>
      </c>
      <c r="C17022" t="s">
        <v>138</v>
      </c>
      <c r="D17022" t="s">
        <v>201</v>
      </c>
      <c r="E17022">
        <f t="shared" si="806"/>
        <v>1.3513513513513514E-2</v>
      </c>
      <c r="F17022">
        <v>72</v>
      </c>
      <c r="G17022">
        <f>LOG(382/(72+1))</f>
        <v>0.71874050279125279</v>
      </c>
      <c r="H17022">
        <f>0.0135135135135135*1.65496116745818</f>
        <v>2.2364340100786192E-2</v>
      </c>
      <c r="I17022">
        <v>2.2364340100786272E-2</v>
      </c>
    </row>
    <row r="17023" spans="1:9" x14ac:dyDescent="0.25">
      <c r="A17023">
        <v>536</v>
      </c>
      <c r="B17023" t="s">
        <v>4301</v>
      </c>
      <c r="C17023" t="s">
        <v>138</v>
      </c>
      <c r="D17023" t="s">
        <v>225</v>
      </c>
      <c r="E17023">
        <f>2/74</f>
        <v>2.7027027027027029E-2</v>
      </c>
      <c r="F17023">
        <v>30</v>
      </c>
      <c r="G17023">
        <f>LOG(382/(30+1))</f>
        <v>1.090701669077436</v>
      </c>
      <c r="H17023">
        <f>0.027027027027027*2.51143340412142</f>
        <v>6.7876578489768052E-2</v>
      </c>
      <c r="I17023">
        <v>6.7876578489768358E-2</v>
      </c>
    </row>
    <row r="17024" spans="1:9" x14ac:dyDescent="0.25">
      <c r="A17024">
        <v>536</v>
      </c>
      <c r="B17024" t="s">
        <v>4301</v>
      </c>
      <c r="C17024" t="s">
        <v>138</v>
      </c>
      <c r="D17024" t="s">
        <v>4305</v>
      </c>
      <c r="E17024">
        <f>2/74</f>
        <v>2.7027027027027029E-2</v>
      </c>
      <c r="F17024">
        <v>1</v>
      </c>
      <c r="G17024">
        <f>LOG(382/(1+1))</f>
        <v>2.2810333672477277</v>
      </c>
      <c r="H17024">
        <f>0.027027027027027*5.25227342804663</f>
        <v>0.14195333589315201</v>
      </c>
      <c r="I17024">
        <v>0.1419533358931522</v>
      </c>
    </row>
    <row r="17025" spans="1:9" x14ac:dyDescent="0.25">
      <c r="A17025">
        <v>536</v>
      </c>
      <c r="B17025" t="s">
        <v>4301</v>
      </c>
      <c r="C17025" t="s">
        <v>138</v>
      </c>
      <c r="D17025" t="s">
        <v>309</v>
      </c>
      <c r="E17025">
        <f>1/74</f>
        <v>1.3513513513513514E-2</v>
      </c>
      <c r="F17025">
        <v>25</v>
      </c>
      <c r="G17025">
        <f>LOG(382/(25+1))</f>
        <v>1.1670900149408907</v>
      </c>
      <c r="H17025">
        <f>0.0135135135135135*2.68732407058509</f>
        <v>3.6315190143041721E-2</v>
      </c>
      <c r="I17025">
        <v>3.6315190143041798E-2</v>
      </c>
    </row>
    <row r="17026" spans="1:9" x14ac:dyDescent="0.25">
      <c r="A17026">
        <v>536</v>
      </c>
      <c r="B17026" t="s">
        <v>4301</v>
      </c>
      <c r="C17026" t="s">
        <v>138</v>
      </c>
      <c r="D17026" t="s">
        <v>739</v>
      </c>
      <c r="E17026">
        <f>1/74</f>
        <v>1.3513513513513514E-2</v>
      </c>
      <c r="F17026">
        <v>24</v>
      </c>
      <c r="G17026">
        <f>LOG(382/(24+1))</f>
        <v>1.1841233542396712</v>
      </c>
      <c r="H17026">
        <f>0.0135135135135135*2.72654478373837</f>
        <v>3.6845199780248208E-2</v>
      </c>
      <c r="I17026">
        <v>3.6845199780248312E-2</v>
      </c>
    </row>
    <row r="17027" spans="1:9" x14ac:dyDescent="0.25">
      <c r="A17027">
        <v>536</v>
      </c>
      <c r="B17027" t="s">
        <v>4301</v>
      </c>
      <c r="C17027" t="s">
        <v>138</v>
      </c>
      <c r="D17027" t="s">
        <v>733</v>
      </c>
      <c r="E17027">
        <f>1/74</f>
        <v>1.3513513513513514E-2</v>
      </c>
      <c r="F17027">
        <v>6</v>
      </c>
      <c r="G17027">
        <f>LOG(382/(6+1))</f>
        <v>1.736965322897452</v>
      </c>
      <c r="H17027">
        <f>0.0135135135135135*3.99951045955126</f>
        <v>5.4047438642584544E-2</v>
      </c>
      <c r="I17027">
        <v>5.4047438642584621E-2</v>
      </c>
    </row>
    <row r="17028" spans="1:9" x14ac:dyDescent="0.25">
      <c r="A17028">
        <v>536</v>
      </c>
      <c r="B17028" t="s">
        <v>4301</v>
      </c>
      <c r="C17028" t="s">
        <v>138</v>
      </c>
      <c r="D17028" t="s">
        <v>224</v>
      </c>
      <c r="E17028">
        <f>1/74</f>
        <v>1.3513513513513514E-2</v>
      </c>
      <c r="F17028">
        <v>16</v>
      </c>
      <c r="G17028">
        <f>LOG(382/(16+1))</f>
        <v>1.3516144415334348</v>
      </c>
      <c r="H17028">
        <f>0.0135135135135135*3.11220726455035</f>
        <v>4.2056854926356038E-2</v>
      </c>
      <c r="I17028">
        <v>4.2056854926356198E-2</v>
      </c>
    </row>
    <row r="17029" spans="1:9" x14ac:dyDescent="0.25">
      <c r="A17029">
        <v>536</v>
      </c>
      <c r="B17029" t="s">
        <v>4301</v>
      </c>
      <c r="C17029" t="s">
        <v>138</v>
      </c>
      <c r="D17029" t="s">
        <v>144</v>
      </c>
      <c r="E17029">
        <f>2/74</f>
        <v>2.7027027027027029E-2</v>
      </c>
      <c r="F17029">
        <v>105</v>
      </c>
      <c r="G17029">
        <f>LOG(382/(105+1))</f>
        <v>0.55675749764693849</v>
      </c>
      <c r="H17029">
        <f>0.027027027027027*1.2819815144945</f>
        <v>3.464814904039186E-2</v>
      </c>
      <c r="I17029">
        <v>3.4648149040392109E-2</v>
      </c>
    </row>
    <row r="17030" spans="1:9" x14ac:dyDescent="0.25">
      <c r="A17030">
        <v>536</v>
      </c>
      <c r="B17030" t="s">
        <v>4301</v>
      </c>
      <c r="C17030" t="s">
        <v>138</v>
      </c>
      <c r="D17030" t="s">
        <v>758</v>
      </c>
      <c r="E17030">
        <f>1/74</f>
        <v>1.3513513513513514E-2</v>
      </c>
      <c r="F17030">
        <v>26</v>
      </c>
      <c r="G17030">
        <f>LOG(382/(26+1))</f>
        <v>1.1506995987527215</v>
      </c>
      <c r="H17030">
        <f>0.0135135135135135*2.64958374260224</f>
        <v>3.5805185710841049E-2</v>
      </c>
      <c r="I17030">
        <v>3.5805185710841167E-2</v>
      </c>
    </row>
    <row r="17031" spans="1:9" x14ac:dyDescent="0.25">
      <c r="A17031">
        <v>536</v>
      </c>
      <c r="B17031" t="s">
        <v>4301</v>
      </c>
      <c r="C17031" t="s">
        <v>138</v>
      </c>
      <c r="D17031" t="s">
        <v>1403</v>
      </c>
      <c r="E17031">
        <f>1/74</f>
        <v>1.3513513513513514E-2</v>
      </c>
      <c r="F17031">
        <v>10</v>
      </c>
      <c r="G17031">
        <f>LOG(382/(10+1))</f>
        <v>1.5406706777534838</v>
      </c>
      <c r="H17031">
        <f>0.0135135135135135*3.5475253358082</f>
        <v>4.7939531564975629E-2</v>
      </c>
      <c r="I17031">
        <v>4.793953156497574E-2</v>
      </c>
    </row>
    <row r="17032" spans="1:9" x14ac:dyDescent="0.25">
      <c r="A17032">
        <v>536</v>
      </c>
      <c r="B17032" t="s">
        <v>4301</v>
      </c>
      <c r="C17032" t="s">
        <v>138</v>
      </c>
      <c r="D17032" t="s">
        <v>1407</v>
      </c>
      <c r="E17032">
        <f>2/74</f>
        <v>2.7027027027027029E-2</v>
      </c>
      <c r="F17032">
        <v>16</v>
      </c>
      <c r="G17032">
        <f>LOG(382/(16+1))</f>
        <v>1.3516144415334348</v>
      </c>
      <c r="H17032">
        <f>0.027027027027027*3.11220726455035</f>
        <v>8.4113709852712076E-2</v>
      </c>
      <c r="I17032">
        <v>8.4113709852712409E-2</v>
      </c>
    </row>
    <row r="17033" spans="1:9" x14ac:dyDescent="0.25">
      <c r="A17033">
        <v>536</v>
      </c>
      <c r="B17033" t="s">
        <v>4301</v>
      </c>
      <c r="C17033" t="s">
        <v>138</v>
      </c>
      <c r="D17033" t="s">
        <v>4306</v>
      </c>
      <c r="E17033">
        <f t="shared" ref="E17033:E17038" si="807">1/74</f>
        <v>1.3513513513513514E-2</v>
      </c>
      <c r="F17033">
        <v>4</v>
      </c>
      <c r="G17033">
        <f>LOG(382/(4+1))</f>
        <v>1.8830933585756899</v>
      </c>
      <c r="H17033">
        <f>0.0135135135135135*4.33598269617247</f>
        <v>5.8594360759087381E-2</v>
      </c>
      <c r="I17033">
        <v>5.8594360759087499E-2</v>
      </c>
    </row>
    <row r="17034" spans="1:9" x14ac:dyDescent="0.25">
      <c r="A17034">
        <v>536</v>
      </c>
      <c r="B17034" t="s">
        <v>4301</v>
      </c>
      <c r="C17034" t="s">
        <v>138</v>
      </c>
      <c r="D17034" t="s">
        <v>1059</v>
      </c>
      <c r="E17034">
        <f t="shared" si="807"/>
        <v>1.3513513513513514E-2</v>
      </c>
      <c r="F17034">
        <v>16</v>
      </c>
      <c r="G17034">
        <f>LOG(382/(16+1))</f>
        <v>1.3516144415334348</v>
      </c>
      <c r="H17034">
        <f>0.0135135135135135*3.11220726455035</f>
        <v>4.2056854926356038E-2</v>
      </c>
      <c r="I17034">
        <v>4.2056854926356198E-2</v>
      </c>
    </row>
    <row r="17035" spans="1:9" x14ac:dyDescent="0.25">
      <c r="A17035">
        <v>536</v>
      </c>
      <c r="B17035" t="s">
        <v>4301</v>
      </c>
      <c r="C17035" t="s">
        <v>138</v>
      </c>
      <c r="D17035" t="s">
        <v>1061</v>
      </c>
      <c r="E17035">
        <f t="shared" si="807"/>
        <v>1.3513513513513514E-2</v>
      </c>
      <c r="F17035">
        <v>2</v>
      </c>
      <c r="G17035">
        <f>LOG(382/(2+1))</f>
        <v>2.1049421081920463</v>
      </c>
      <c r="H17035">
        <f>0.0135135135135135*4.84680831993846</f>
        <v>6.5497409728898046E-2</v>
      </c>
      <c r="I17035">
        <v>6.5497409728898184E-2</v>
      </c>
    </row>
    <row r="17036" spans="1:9" x14ac:dyDescent="0.25">
      <c r="A17036">
        <v>536</v>
      </c>
      <c r="B17036" t="s">
        <v>4301</v>
      </c>
      <c r="C17036" t="s">
        <v>138</v>
      </c>
      <c r="D17036" t="s">
        <v>865</v>
      </c>
      <c r="E17036">
        <f t="shared" si="807"/>
        <v>1.3513513513513514E-2</v>
      </c>
      <c r="F17036">
        <v>13</v>
      </c>
      <c r="G17036">
        <f>LOG(382/(13+1))</f>
        <v>1.4359353272334707</v>
      </c>
      <c r="H17036">
        <f>0.0135135135135135*3.30636327899131</f>
        <v>4.4680584851233877E-2</v>
      </c>
      <c r="I17036">
        <v>4.4680584851234009E-2</v>
      </c>
    </row>
    <row r="17037" spans="1:9" x14ac:dyDescent="0.25">
      <c r="A17037">
        <v>536</v>
      </c>
      <c r="B17037" t="s">
        <v>4301</v>
      </c>
      <c r="C17037" t="s">
        <v>138</v>
      </c>
      <c r="D17037" t="s">
        <v>196</v>
      </c>
      <c r="E17037">
        <f t="shared" si="807"/>
        <v>1.3513513513513514E-2</v>
      </c>
      <c r="F17037">
        <v>33</v>
      </c>
      <c r="G17037">
        <f>LOG(382/(33+1))</f>
        <v>1.0505844458694535</v>
      </c>
      <c r="H17037">
        <f>0.0135135135135135*2.41906008399041</f>
        <v>3.269000113500551E-2</v>
      </c>
      <c r="I17037">
        <v>3.2690001135005593E-2</v>
      </c>
    </row>
    <row r="17038" spans="1:9" x14ac:dyDescent="0.25">
      <c r="A17038">
        <v>536</v>
      </c>
      <c r="B17038" t="s">
        <v>4301</v>
      </c>
      <c r="C17038" t="s">
        <v>138</v>
      </c>
      <c r="D17038" t="s">
        <v>432</v>
      </c>
      <c r="E17038">
        <f t="shared" si="807"/>
        <v>1.3513513513513514E-2</v>
      </c>
      <c r="F17038">
        <v>67</v>
      </c>
      <c r="G17038">
        <f>LOG(382/(67+1))</f>
        <v>0.7495544502054724</v>
      </c>
      <c r="H17038">
        <f>0.0135135135135135*1.72591290343046</f>
        <v>2.3323147343654843E-2</v>
      </c>
      <c r="I17038">
        <v>2.3323147343654978E-2</v>
      </c>
    </row>
    <row r="17039" spans="1:9" x14ac:dyDescent="0.25">
      <c r="A17039">
        <v>537</v>
      </c>
      <c r="B17039" t="s">
        <v>4307</v>
      </c>
      <c r="C17039" t="s">
        <v>75</v>
      </c>
      <c r="D17039" t="s">
        <v>3488</v>
      </c>
      <c r="E17039">
        <f>1/64</f>
        <v>1.5625E-2</v>
      </c>
      <c r="F17039">
        <v>6</v>
      </c>
      <c r="G17039">
        <f>LOG(382/(6+1))</f>
        <v>1.736965322897452</v>
      </c>
      <c r="H17039">
        <f>0.015625*3.99951045955126</f>
        <v>6.2492350930488438E-2</v>
      </c>
      <c r="I17039">
        <v>6.2492350930488473E-2</v>
      </c>
    </row>
    <row r="17040" spans="1:9" x14ac:dyDescent="0.25">
      <c r="A17040">
        <v>537</v>
      </c>
      <c r="B17040" t="s">
        <v>4307</v>
      </c>
      <c r="C17040" t="s">
        <v>75</v>
      </c>
      <c r="D17040" t="s">
        <v>3491</v>
      </c>
      <c r="E17040">
        <f>1/64</f>
        <v>1.5625E-2</v>
      </c>
      <c r="F17040">
        <v>3</v>
      </c>
      <c r="G17040">
        <f>LOG(382/(3+1))</f>
        <v>1.9800033715837464</v>
      </c>
      <c r="H17040">
        <f>0.015625*4.55912624748668</f>
        <v>7.1236347616979376E-2</v>
      </c>
      <c r="I17040">
        <v>7.1236347616979445E-2</v>
      </c>
    </row>
    <row r="17041" spans="1:9" x14ac:dyDescent="0.25">
      <c r="A17041">
        <v>537</v>
      </c>
      <c r="B17041" t="s">
        <v>4307</v>
      </c>
      <c r="C17041" t="s">
        <v>75</v>
      </c>
      <c r="D17041" t="s">
        <v>42</v>
      </c>
      <c r="E17041">
        <f>1/64</f>
        <v>1.5625E-2</v>
      </c>
      <c r="F17041">
        <v>251</v>
      </c>
      <c r="G17041">
        <f>LOG(382/(251+1))</f>
        <v>0.18066282213016463</v>
      </c>
      <c r="H17041">
        <f>0.015625*0.415991521095151</f>
        <v>6.499867517111734E-3</v>
      </c>
      <c r="I17041">
        <v>6.4998675171117478E-3</v>
      </c>
    </row>
    <row r="17042" spans="1:9" x14ac:dyDescent="0.25">
      <c r="A17042">
        <v>537</v>
      </c>
      <c r="B17042" t="s">
        <v>4307</v>
      </c>
      <c r="C17042" t="s">
        <v>75</v>
      </c>
      <c r="D17042" t="s">
        <v>1496</v>
      </c>
      <c r="E17042">
        <f>2/64</f>
        <v>3.125E-2</v>
      </c>
      <c r="F17042">
        <v>39</v>
      </c>
      <c r="G17042">
        <f>LOG(382/(39+1))</f>
        <v>0.9800033715837464</v>
      </c>
      <c r="H17042">
        <f>0.03125*2.25654115449263</f>
        <v>7.0516911077894692E-2</v>
      </c>
      <c r="I17042">
        <v>7.051691107789497E-2</v>
      </c>
    </row>
    <row r="17043" spans="1:9" x14ac:dyDescent="0.25">
      <c r="A17043">
        <v>537</v>
      </c>
      <c r="B17043" t="s">
        <v>4307</v>
      </c>
      <c r="C17043" t="s">
        <v>75</v>
      </c>
      <c r="D17043" t="s">
        <v>3438</v>
      </c>
      <c r="E17043">
        <f>4/64</f>
        <v>6.25E-2</v>
      </c>
      <c r="F17043">
        <v>4</v>
      </c>
      <c r="G17043">
        <f>LOG(382/(4+1))</f>
        <v>1.8830933585756899</v>
      </c>
      <c r="H17043">
        <f>0.0625*4.33598269617247</f>
        <v>0.2709989185107794</v>
      </c>
      <c r="I17043">
        <v>0.27099891851077967</v>
      </c>
    </row>
    <row r="17044" spans="1:9" x14ac:dyDescent="0.25">
      <c r="A17044">
        <v>537</v>
      </c>
      <c r="B17044" t="s">
        <v>4307</v>
      </c>
      <c r="C17044" t="s">
        <v>75</v>
      </c>
      <c r="D17044" t="s">
        <v>147</v>
      </c>
      <c r="E17044">
        <f>2/64</f>
        <v>3.125E-2</v>
      </c>
      <c r="F17044">
        <v>48</v>
      </c>
      <c r="G17044">
        <f>LOG(382/(48+1))</f>
        <v>0.89186728288319506</v>
      </c>
      <c r="H17044">
        <f>0.03125*2.05360031049594</f>
        <v>6.4175009702998123E-2</v>
      </c>
      <c r="I17044">
        <v>6.4175009702998401E-2</v>
      </c>
    </row>
    <row r="17045" spans="1:9" x14ac:dyDescent="0.25">
      <c r="A17045">
        <v>537</v>
      </c>
      <c r="B17045" t="s">
        <v>4307</v>
      </c>
      <c r="C17045" t="s">
        <v>75</v>
      </c>
      <c r="D17045" t="s">
        <v>552</v>
      </c>
      <c r="E17045">
        <f>2/64</f>
        <v>3.125E-2</v>
      </c>
      <c r="F17045">
        <v>14</v>
      </c>
      <c r="G17045">
        <f>LOG(382/(14+1))</f>
        <v>1.4059721038560276</v>
      </c>
      <c r="H17045">
        <f>0.03125*3.23737040750436</f>
        <v>0.10116782523451125</v>
      </c>
      <c r="I17045">
        <v>0.1011678252345114</v>
      </c>
    </row>
    <row r="17046" spans="1:9" x14ac:dyDescent="0.25">
      <c r="A17046">
        <v>537</v>
      </c>
      <c r="B17046" t="s">
        <v>4307</v>
      </c>
      <c r="C17046" t="s">
        <v>75</v>
      </c>
      <c r="D17046" t="s">
        <v>4308</v>
      </c>
      <c r="E17046">
        <f>2/64</f>
        <v>3.125E-2</v>
      </c>
      <c r="F17046">
        <v>2</v>
      </c>
      <c r="G17046">
        <f>LOG(382/(2+1))</f>
        <v>2.1049421081920463</v>
      </c>
      <c r="H17046">
        <f>0.03125*4.84680831993846</f>
        <v>0.15146275999807687</v>
      </c>
      <c r="I17046">
        <v>0.15146275999807701</v>
      </c>
    </row>
    <row r="17047" spans="1:9" x14ac:dyDescent="0.25">
      <c r="A17047">
        <v>537</v>
      </c>
      <c r="B17047" t="s">
        <v>4307</v>
      </c>
      <c r="C17047" t="s">
        <v>75</v>
      </c>
      <c r="D17047" t="s">
        <v>17</v>
      </c>
      <c r="E17047">
        <f>1/64</f>
        <v>1.5625E-2</v>
      </c>
      <c r="F17047">
        <v>169</v>
      </c>
      <c r="G17047">
        <f>LOG(382/(169+1))</f>
        <v>0.3516144415334348</v>
      </c>
      <c r="H17047">
        <f>0.015625*0.809622171556313</f>
        <v>1.2650346430567391E-2</v>
      </c>
      <c r="I17047">
        <v>1.2650346430567399E-2</v>
      </c>
    </row>
    <row r="17048" spans="1:9" x14ac:dyDescent="0.25">
      <c r="A17048">
        <v>537</v>
      </c>
      <c r="B17048" t="s">
        <v>4307</v>
      </c>
      <c r="C17048" t="s">
        <v>75</v>
      </c>
      <c r="D17048" t="s">
        <v>19</v>
      </c>
      <c r="E17048">
        <f>2/64</f>
        <v>3.125E-2</v>
      </c>
      <c r="F17048">
        <v>220</v>
      </c>
      <c r="G17048">
        <f>LOG(382/(220+1))</f>
        <v>0.23767108922659805</v>
      </c>
      <c r="H17048">
        <f>0.03125*0.547257907088822</f>
        <v>1.7101809596525689E-2</v>
      </c>
      <c r="I17048">
        <v>1.7101809596525699E-2</v>
      </c>
    </row>
    <row r="17049" spans="1:9" x14ac:dyDescent="0.25">
      <c r="A17049">
        <v>537</v>
      </c>
      <c r="B17049" t="s">
        <v>4307</v>
      </c>
      <c r="C17049" t="s">
        <v>75</v>
      </c>
      <c r="D17049" t="s">
        <v>1238</v>
      </c>
      <c r="E17049">
        <f>2/64</f>
        <v>3.125E-2</v>
      </c>
      <c r="F17049">
        <v>10</v>
      </c>
      <c r="G17049">
        <f>LOG(382/(10+1))</f>
        <v>1.5406706777534838</v>
      </c>
      <c r="H17049">
        <f>0.03125*3.5475253358082</f>
        <v>0.11086016674400626</v>
      </c>
      <c r="I17049">
        <v>0.11086016674400639</v>
      </c>
    </row>
    <row r="17050" spans="1:9" x14ac:dyDescent="0.25">
      <c r="A17050">
        <v>537</v>
      </c>
      <c r="B17050" t="s">
        <v>4307</v>
      </c>
      <c r="C17050" t="s">
        <v>75</v>
      </c>
      <c r="D17050" t="s">
        <v>23</v>
      </c>
      <c r="E17050">
        <f>4/64</f>
        <v>6.25E-2</v>
      </c>
      <c r="F17050">
        <v>275</v>
      </c>
      <c r="G17050">
        <f>LOG(382/(275+1))</f>
        <v>0.14115428084649101</v>
      </c>
      <c r="H17050">
        <f>0.0625*0.325019742889425</f>
        <v>2.0313733930589061E-2</v>
      </c>
      <c r="I17050">
        <v>2.0313733930589072E-2</v>
      </c>
    </row>
    <row r="17051" spans="1:9" x14ac:dyDescent="0.25">
      <c r="A17051">
        <v>537</v>
      </c>
      <c r="B17051" t="s">
        <v>4307</v>
      </c>
      <c r="C17051" t="s">
        <v>75</v>
      </c>
      <c r="D17051" t="s">
        <v>22</v>
      </c>
      <c r="E17051">
        <f>2/64</f>
        <v>3.125E-2</v>
      </c>
      <c r="F17051">
        <v>259</v>
      </c>
      <c r="G17051">
        <f>LOG(382/(259+1))</f>
        <v>0.16709001494089079</v>
      </c>
      <c r="H17051">
        <f>0.03125*0.384738977591047</f>
        <v>1.202309304972022E-2</v>
      </c>
      <c r="I17051">
        <v>1.202309304972024E-2</v>
      </c>
    </row>
    <row r="17052" spans="1:9" x14ac:dyDescent="0.25">
      <c r="A17052">
        <v>537</v>
      </c>
      <c r="B17052" t="s">
        <v>4307</v>
      </c>
      <c r="C17052" t="s">
        <v>75</v>
      </c>
      <c r="D17052" t="s">
        <v>4266</v>
      </c>
      <c r="E17052">
        <f>2/64</f>
        <v>3.125E-2</v>
      </c>
      <c r="F17052">
        <v>2</v>
      </c>
      <c r="G17052">
        <f>LOG(382/(2+1))</f>
        <v>2.1049421081920463</v>
      </c>
      <c r="H17052">
        <f>0.03125*4.84680831993846</f>
        <v>0.15146275999807687</v>
      </c>
      <c r="I17052">
        <v>0.15146275999807701</v>
      </c>
    </row>
    <row r="17053" spans="1:9" x14ac:dyDescent="0.25">
      <c r="A17053">
        <v>537</v>
      </c>
      <c r="B17053" t="s">
        <v>4307</v>
      </c>
      <c r="C17053" t="s">
        <v>75</v>
      </c>
      <c r="D17053" t="s">
        <v>1537</v>
      </c>
      <c r="E17053">
        <f>1/64</f>
        <v>1.5625E-2</v>
      </c>
      <c r="F17053">
        <v>80</v>
      </c>
      <c r="G17053">
        <f>LOG(382/(80+1))</f>
        <v>0.67357834403305894</v>
      </c>
      <c r="H17053">
        <f>0.015625*1.55097145393413</f>
        <v>2.423392896772078E-2</v>
      </c>
      <c r="I17053">
        <v>2.4233928967720881E-2</v>
      </c>
    </row>
    <row r="17054" spans="1:9" x14ac:dyDescent="0.25">
      <c r="A17054">
        <v>537</v>
      </c>
      <c r="B17054" t="s">
        <v>4307</v>
      </c>
      <c r="C17054" t="s">
        <v>75</v>
      </c>
      <c r="D17054" t="s">
        <v>105</v>
      </c>
      <c r="E17054">
        <f>1/64</f>
        <v>1.5625E-2</v>
      </c>
      <c r="F17054">
        <v>122</v>
      </c>
      <c r="G17054">
        <f>LOG(382/(122+1))</f>
        <v>0.49215825147231079</v>
      </c>
      <c r="H17054">
        <f>0.015625*1.13323625323415</f>
        <v>1.7706816456783594E-2</v>
      </c>
      <c r="I17054">
        <v>1.7706816456783708E-2</v>
      </c>
    </row>
    <row r="17055" spans="1:9" x14ac:dyDescent="0.25">
      <c r="A17055">
        <v>537</v>
      </c>
      <c r="B17055" t="s">
        <v>4307</v>
      </c>
      <c r="C17055" t="s">
        <v>75</v>
      </c>
      <c r="D17055" t="s">
        <v>1769</v>
      </c>
      <c r="E17055">
        <f>1/64</f>
        <v>1.5625E-2</v>
      </c>
      <c r="F17055">
        <v>84</v>
      </c>
      <c r="G17055">
        <f>LOG(382/(84+1))</f>
        <v>0.65264443719741605</v>
      </c>
      <c r="H17055">
        <f>0.015625*1.50276935211625</f>
        <v>2.3480771126816406E-2</v>
      </c>
      <c r="I17055">
        <v>2.3480771126816541E-2</v>
      </c>
    </row>
    <row r="17056" spans="1:9" x14ac:dyDescent="0.25">
      <c r="A17056">
        <v>537</v>
      </c>
      <c r="B17056" t="s">
        <v>4307</v>
      </c>
      <c r="C17056" t="s">
        <v>75</v>
      </c>
      <c r="D17056" t="s">
        <v>3335</v>
      </c>
      <c r="E17056">
        <f>2/64</f>
        <v>3.125E-2</v>
      </c>
      <c r="F17056">
        <v>16</v>
      </c>
      <c r="G17056">
        <f>LOG(382/(16+1))</f>
        <v>1.3516144415334348</v>
      </c>
      <c r="H17056">
        <f>0.03125*3.11220726455035</f>
        <v>9.7256477017198431E-2</v>
      </c>
      <c r="I17056">
        <v>9.7256477017198723E-2</v>
      </c>
    </row>
    <row r="17057" spans="1:9" x14ac:dyDescent="0.25">
      <c r="A17057">
        <v>537</v>
      </c>
      <c r="B17057" t="s">
        <v>4307</v>
      </c>
      <c r="C17057" t="s">
        <v>75</v>
      </c>
      <c r="D17057" t="s">
        <v>126</v>
      </c>
      <c r="E17057">
        <f t="shared" ref="E17057:E17071" si="808">1/64</f>
        <v>1.5625E-2</v>
      </c>
      <c r="F17057">
        <v>79</v>
      </c>
      <c r="G17057">
        <f>LOG(382/(79+1))</f>
        <v>0.67897337591976514</v>
      </c>
      <c r="H17057">
        <f>0.015625*1.56339397393269</f>
        <v>2.4428030842698283E-2</v>
      </c>
      <c r="I17057">
        <v>2.4428030842698342E-2</v>
      </c>
    </row>
    <row r="17058" spans="1:9" x14ac:dyDescent="0.25">
      <c r="A17058">
        <v>537</v>
      </c>
      <c r="B17058" t="s">
        <v>4307</v>
      </c>
      <c r="C17058" t="s">
        <v>75</v>
      </c>
      <c r="D17058" t="s">
        <v>4300</v>
      </c>
      <c r="E17058">
        <f t="shared" si="808"/>
        <v>1.5625E-2</v>
      </c>
      <c r="F17058">
        <v>2</v>
      </c>
      <c r="G17058">
        <f>LOG(382/(2+1))</f>
        <v>2.1049421081920463</v>
      </c>
      <c r="H17058">
        <f>0.015625*4.84680831993846</f>
        <v>7.5731379999038437E-2</v>
      </c>
      <c r="I17058">
        <v>7.573137999903852E-2</v>
      </c>
    </row>
    <row r="17059" spans="1:9" x14ac:dyDescent="0.25">
      <c r="A17059">
        <v>537</v>
      </c>
      <c r="B17059" t="s">
        <v>4307</v>
      </c>
      <c r="C17059" t="s">
        <v>75</v>
      </c>
      <c r="D17059" t="s">
        <v>1546</v>
      </c>
      <c r="E17059">
        <f t="shared" si="808"/>
        <v>1.5625E-2</v>
      </c>
      <c r="F17059">
        <v>44</v>
      </c>
      <c r="G17059">
        <f>LOG(382/(44+1))</f>
        <v>0.92885084913636506</v>
      </c>
      <c r="H17059">
        <f>0.015625*2.13875811883625</f>
        <v>3.3418095606816405E-2</v>
      </c>
      <c r="I17059">
        <v>3.3418095606816488E-2</v>
      </c>
    </row>
    <row r="17060" spans="1:9" x14ac:dyDescent="0.25">
      <c r="A17060">
        <v>537</v>
      </c>
      <c r="B17060" t="s">
        <v>4307</v>
      </c>
      <c r="C17060" t="s">
        <v>75</v>
      </c>
      <c r="D17060" t="s">
        <v>474</v>
      </c>
      <c r="E17060">
        <f t="shared" si="808"/>
        <v>1.5625E-2</v>
      </c>
      <c r="F17060">
        <v>25</v>
      </c>
      <c r="G17060">
        <f>LOG(382/(25+1))</f>
        <v>1.1670900149408907</v>
      </c>
      <c r="H17060">
        <f>0.015625*2.68732407058509</f>
        <v>4.1989438602892032E-2</v>
      </c>
      <c r="I17060">
        <v>4.198943860289208E-2</v>
      </c>
    </row>
    <row r="17061" spans="1:9" x14ac:dyDescent="0.25">
      <c r="A17061">
        <v>537</v>
      </c>
      <c r="B17061" t="s">
        <v>4307</v>
      </c>
      <c r="C17061" t="s">
        <v>75</v>
      </c>
      <c r="D17061" t="s">
        <v>260</v>
      </c>
      <c r="E17061">
        <f t="shared" si="808"/>
        <v>1.5625E-2</v>
      </c>
      <c r="F17061">
        <v>31</v>
      </c>
      <c r="G17061">
        <f>LOG(382/(31+1))</f>
        <v>1.0769133845918029</v>
      </c>
      <c r="H17061">
        <f>0.015625*2.47968470580684</f>
        <v>3.8745073528231873E-2</v>
      </c>
      <c r="I17061">
        <v>3.8745073528232012E-2</v>
      </c>
    </row>
    <row r="17062" spans="1:9" x14ac:dyDescent="0.25">
      <c r="A17062">
        <v>537</v>
      </c>
      <c r="B17062" t="s">
        <v>4307</v>
      </c>
      <c r="C17062" t="s">
        <v>75</v>
      </c>
      <c r="D17062" t="s">
        <v>243</v>
      </c>
      <c r="E17062">
        <f t="shared" si="808"/>
        <v>1.5625E-2</v>
      </c>
      <c r="F17062">
        <v>131</v>
      </c>
      <c r="G17062">
        <f>LOG(382/(131+1))</f>
        <v>0.46148943170585888</v>
      </c>
      <c r="H17062">
        <f>0.015625*1.0626186860202</f>
        <v>1.6603416969065626E-2</v>
      </c>
      <c r="I17062">
        <v>1.6603416969065692E-2</v>
      </c>
    </row>
    <row r="17063" spans="1:9" x14ac:dyDescent="0.25">
      <c r="A17063">
        <v>537</v>
      </c>
      <c r="B17063" t="s">
        <v>4307</v>
      </c>
      <c r="C17063" t="s">
        <v>75</v>
      </c>
      <c r="D17063" t="s">
        <v>453</v>
      </c>
      <c r="E17063">
        <f t="shared" si="808"/>
        <v>1.5625E-2</v>
      </c>
      <c r="F17063">
        <v>68</v>
      </c>
      <c r="G17063">
        <f>LOG(382/(68+1))</f>
        <v>0.74321427217445335</v>
      </c>
      <c r="H17063">
        <f>0.015625*1.71131410400931</f>
        <v>2.673928287514547E-2</v>
      </c>
      <c r="I17063">
        <v>2.673928287514556E-2</v>
      </c>
    </row>
    <row r="17064" spans="1:9" x14ac:dyDescent="0.25">
      <c r="A17064">
        <v>537</v>
      </c>
      <c r="B17064" t="s">
        <v>4307</v>
      </c>
      <c r="C17064" t="s">
        <v>75</v>
      </c>
      <c r="D17064" t="s">
        <v>1905</v>
      </c>
      <c r="E17064">
        <f t="shared" si="808"/>
        <v>1.5625E-2</v>
      </c>
      <c r="F17064">
        <v>24</v>
      </c>
      <c r="G17064">
        <f>LOG(382/(24+1))</f>
        <v>1.1841233542396712</v>
      </c>
      <c r="H17064">
        <f>0.015625*2.72654478373837</f>
        <v>4.2602262245912029E-2</v>
      </c>
      <c r="I17064">
        <v>4.2602262245912098E-2</v>
      </c>
    </row>
    <row r="17065" spans="1:9" x14ac:dyDescent="0.25">
      <c r="A17065">
        <v>537</v>
      </c>
      <c r="B17065" t="s">
        <v>4307</v>
      </c>
      <c r="C17065" t="s">
        <v>75</v>
      </c>
      <c r="D17065" t="s">
        <v>2394</v>
      </c>
      <c r="E17065">
        <f t="shared" si="808"/>
        <v>1.5625E-2</v>
      </c>
      <c r="F17065">
        <v>8</v>
      </c>
      <c r="G17065">
        <f>LOG(382/(8+1))</f>
        <v>1.6278208534723839</v>
      </c>
      <c r="H17065">
        <f>0.015625*3.74819603127035</f>
        <v>5.8565562988599218E-2</v>
      </c>
      <c r="I17065">
        <v>5.8565562988599308E-2</v>
      </c>
    </row>
    <row r="17066" spans="1:9" x14ac:dyDescent="0.25">
      <c r="A17066">
        <v>537</v>
      </c>
      <c r="B17066" t="s">
        <v>4307</v>
      </c>
      <c r="C17066" t="s">
        <v>75</v>
      </c>
      <c r="D17066" t="s">
        <v>361</v>
      </c>
      <c r="E17066">
        <f t="shared" si="808"/>
        <v>1.5625E-2</v>
      </c>
      <c r="F17066">
        <v>118</v>
      </c>
      <c r="G17066">
        <f>LOG(382/(118+1))</f>
        <v>0.50651640151917798</v>
      </c>
      <c r="H17066">
        <f>0.015625*1.16629711549504</f>
        <v>1.8223392429609998E-2</v>
      </c>
      <c r="I17066">
        <v>1.8223392429610089E-2</v>
      </c>
    </row>
    <row r="17067" spans="1:9" x14ac:dyDescent="0.25">
      <c r="A17067">
        <v>537</v>
      </c>
      <c r="B17067" t="s">
        <v>4307</v>
      </c>
      <c r="C17067" t="s">
        <v>75</v>
      </c>
      <c r="D17067" t="s">
        <v>434</v>
      </c>
      <c r="E17067">
        <f t="shared" si="808"/>
        <v>1.5625E-2</v>
      </c>
      <c r="F17067">
        <v>97</v>
      </c>
      <c r="G17067">
        <f>LOG(382/(97+1))</f>
        <v>0.59083728721921391</v>
      </c>
      <c r="H17067">
        <f>0.015625*1.360453129936</f>
        <v>2.1257080155250001E-2</v>
      </c>
      <c r="I17067">
        <v>2.125708015525005E-2</v>
      </c>
    </row>
    <row r="17068" spans="1:9" x14ac:dyDescent="0.25">
      <c r="A17068">
        <v>537</v>
      </c>
      <c r="B17068" t="s">
        <v>4307</v>
      </c>
      <c r="C17068" t="s">
        <v>75</v>
      </c>
      <c r="D17068" t="s">
        <v>2241</v>
      </c>
      <c r="E17068">
        <f t="shared" si="808"/>
        <v>1.5625E-2</v>
      </c>
      <c r="F17068">
        <v>12</v>
      </c>
      <c r="G17068">
        <f>LOG(382/(12+1))</f>
        <v>1.468120010604872</v>
      </c>
      <c r="H17068">
        <f>0.015625*3.38047125114503</f>
        <v>5.2819863299141095E-2</v>
      </c>
      <c r="I17068">
        <v>5.2819863299141227E-2</v>
      </c>
    </row>
    <row r="17069" spans="1:9" x14ac:dyDescent="0.25">
      <c r="A17069">
        <v>537</v>
      </c>
      <c r="B17069" t="s">
        <v>4307</v>
      </c>
      <c r="C17069" t="s">
        <v>75</v>
      </c>
      <c r="D17069" t="s">
        <v>2242</v>
      </c>
      <c r="E17069">
        <f t="shared" si="808"/>
        <v>1.5625E-2</v>
      </c>
      <c r="F17069">
        <v>18</v>
      </c>
      <c r="G17069">
        <f>LOG(382/(18+1))</f>
        <v>1.3033097619588798</v>
      </c>
      <c r="H17069">
        <f>0.015625*3.00098162944013</f>
        <v>4.6890337960002033E-2</v>
      </c>
      <c r="I17069">
        <v>4.6890337960002103E-2</v>
      </c>
    </row>
    <row r="17070" spans="1:9" x14ac:dyDescent="0.25">
      <c r="A17070">
        <v>537</v>
      </c>
      <c r="B17070" t="s">
        <v>4307</v>
      </c>
      <c r="C17070" t="s">
        <v>75</v>
      </c>
      <c r="D17070" t="s">
        <v>214</v>
      </c>
      <c r="E17070">
        <f t="shared" si="808"/>
        <v>1.5625E-2</v>
      </c>
      <c r="F17070">
        <v>68</v>
      </c>
      <c r="G17070">
        <f>LOG(382/(68+1))</f>
        <v>0.74321427217445335</v>
      </c>
      <c r="H17070">
        <f>0.015625*1.71131410400931</f>
        <v>2.673928287514547E-2</v>
      </c>
      <c r="I17070">
        <v>2.673928287514556E-2</v>
      </c>
    </row>
    <row r="17071" spans="1:9" x14ac:dyDescent="0.25">
      <c r="A17071">
        <v>537</v>
      </c>
      <c r="B17071" t="s">
        <v>4307</v>
      </c>
      <c r="C17071" t="s">
        <v>75</v>
      </c>
      <c r="D17071" t="s">
        <v>322</v>
      </c>
      <c r="E17071">
        <f t="shared" si="808"/>
        <v>1.5625E-2</v>
      </c>
      <c r="F17071">
        <v>128</v>
      </c>
      <c r="G17071">
        <f>LOG(382/(128+1))</f>
        <v>0.47147365261245977</v>
      </c>
      <c r="H17071">
        <f>0.015625*1.0856082042449</f>
        <v>1.6962628191326563E-2</v>
      </c>
      <c r="I17071">
        <v>1.6962628191326611E-2</v>
      </c>
    </row>
    <row r="17072" spans="1:9" x14ac:dyDescent="0.25">
      <c r="A17072">
        <v>537</v>
      </c>
      <c r="B17072" t="s">
        <v>4307</v>
      </c>
      <c r="C17072" t="s">
        <v>75</v>
      </c>
      <c r="D17072" t="s">
        <v>2238</v>
      </c>
      <c r="E17072">
        <f>2/64</f>
        <v>3.125E-2</v>
      </c>
      <c r="F17072">
        <v>68</v>
      </c>
      <c r="G17072">
        <f>LOG(382/(68+1))</f>
        <v>0.74321427217445335</v>
      </c>
      <c r="H17072">
        <f>0.03125*1.71131410400931</f>
        <v>5.3478565750290939E-2</v>
      </c>
      <c r="I17072">
        <v>5.347856575029112E-2</v>
      </c>
    </row>
    <row r="17073" spans="1:9" x14ac:dyDescent="0.25">
      <c r="A17073">
        <v>537</v>
      </c>
      <c r="B17073" t="s">
        <v>4307</v>
      </c>
      <c r="C17073" t="s">
        <v>75</v>
      </c>
      <c r="D17073" t="s">
        <v>823</v>
      </c>
      <c r="E17073">
        <f t="shared" ref="E17073:E17086" si="809">1/64</f>
        <v>1.5625E-2</v>
      </c>
      <c r="F17073">
        <v>45</v>
      </c>
      <c r="G17073">
        <f>LOG(382/(45+1))</f>
        <v>0.9193055312301347</v>
      </c>
      <c r="H17073">
        <f>0.015625*2.11677921211748</f>
        <v>3.3074675189335628E-2</v>
      </c>
      <c r="I17073">
        <v>3.3074675189335628E-2</v>
      </c>
    </row>
    <row r="17074" spans="1:9" x14ac:dyDescent="0.25">
      <c r="A17074">
        <v>537</v>
      </c>
      <c r="B17074" t="s">
        <v>4307</v>
      </c>
      <c r="C17074" t="s">
        <v>75</v>
      </c>
      <c r="D17074" t="s">
        <v>746</v>
      </c>
      <c r="E17074">
        <f t="shared" si="809"/>
        <v>1.5625E-2</v>
      </c>
      <c r="F17074">
        <v>58</v>
      </c>
      <c r="G17074">
        <f>LOG(382/(58+1))</f>
        <v>0.81121135126956456</v>
      </c>
      <c r="H17074">
        <f>0.015625*1.86788316470085</f>
        <v>2.9185674448450782E-2</v>
      </c>
      <c r="I17074">
        <v>2.9185674448450868E-2</v>
      </c>
    </row>
    <row r="17075" spans="1:9" x14ac:dyDescent="0.25">
      <c r="A17075">
        <v>537</v>
      </c>
      <c r="B17075" t="s">
        <v>4307</v>
      </c>
      <c r="C17075" t="s">
        <v>75</v>
      </c>
      <c r="D17075" t="s">
        <v>3895</v>
      </c>
      <c r="E17075">
        <f t="shared" si="809"/>
        <v>1.5625E-2</v>
      </c>
      <c r="F17075">
        <v>4</v>
      </c>
      <c r="G17075">
        <f>LOG(382/(4+1))</f>
        <v>1.8830933585756899</v>
      </c>
      <c r="H17075">
        <f>0.015625*4.33598269617247</f>
        <v>6.7749729627694849E-2</v>
      </c>
      <c r="I17075">
        <v>6.7749729627694918E-2</v>
      </c>
    </row>
    <row r="17076" spans="1:9" x14ac:dyDescent="0.25">
      <c r="A17076">
        <v>537</v>
      </c>
      <c r="B17076" t="s">
        <v>4307</v>
      </c>
      <c r="C17076" t="s">
        <v>75</v>
      </c>
      <c r="D17076" t="s">
        <v>3376</v>
      </c>
      <c r="E17076">
        <f t="shared" si="809"/>
        <v>1.5625E-2</v>
      </c>
      <c r="F17076">
        <v>21</v>
      </c>
      <c r="G17076">
        <f>LOG(382/(21+1))</f>
        <v>1.2396406820895025</v>
      </c>
      <c r="H17076">
        <f>0.015625*2.85437815524825</f>
        <v>4.4599658675753905E-2</v>
      </c>
      <c r="I17076">
        <v>4.459965867575405E-2</v>
      </c>
    </row>
    <row r="17077" spans="1:9" x14ac:dyDescent="0.25">
      <c r="A17077">
        <v>537</v>
      </c>
      <c r="B17077" t="s">
        <v>4307</v>
      </c>
      <c r="C17077" t="s">
        <v>75</v>
      </c>
      <c r="D17077" t="s">
        <v>1732</v>
      </c>
      <c r="E17077">
        <f t="shared" si="809"/>
        <v>1.5625E-2</v>
      </c>
      <c r="F17077">
        <v>16</v>
      </c>
      <c r="G17077">
        <f>LOG(382/(16+1))</f>
        <v>1.3516144415334348</v>
      </c>
      <c r="H17077">
        <f>0.015625*3.11220726455035</f>
        <v>4.8628238508599216E-2</v>
      </c>
      <c r="I17077">
        <v>4.8628238508599361E-2</v>
      </c>
    </row>
    <row r="17078" spans="1:9" x14ac:dyDescent="0.25">
      <c r="A17078">
        <v>537</v>
      </c>
      <c r="B17078" t="s">
        <v>4307</v>
      </c>
      <c r="C17078" t="s">
        <v>75</v>
      </c>
      <c r="D17078" t="s">
        <v>3722</v>
      </c>
      <c r="E17078">
        <f t="shared" si="809"/>
        <v>1.5625E-2</v>
      </c>
      <c r="F17078">
        <v>3</v>
      </c>
      <c r="G17078">
        <f>LOG(382/(3+1))</f>
        <v>1.9800033715837464</v>
      </c>
      <c r="H17078">
        <f>0.015625*4.55912624748668</f>
        <v>7.1236347616979376E-2</v>
      </c>
      <c r="I17078">
        <v>7.1236347616979445E-2</v>
      </c>
    </row>
    <row r="17079" spans="1:9" x14ac:dyDescent="0.25">
      <c r="A17079">
        <v>537</v>
      </c>
      <c r="B17079" t="s">
        <v>4307</v>
      </c>
      <c r="C17079" t="s">
        <v>75</v>
      </c>
      <c r="D17079" t="s">
        <v>81</v>
      </c>
      <c r="E17079">
        <f t="shared" si="809"/>
        <v>1.5625E-2</v>
      </c>
      <c r="F17079">
        <v>114</v>
      </c>
      <c r="G17079">
        <f>LOG(382/(114+1))</f>
        <v>0.52136552255809698</v>
      </c>
      <c r="H17079">
        <f>0.015625*1.20048848024332</f>
        <v>1.8757632503801875E-2</v>
      </c>
      <c r="I17079">
        <v>1.8757632503801951E-2</v>
      </c>
    </row>
    <row r="17080" spans="1:9" x14ac:dyDescent="0.25">
      <c r="A17080">
        <v>537</v>
      </c>
      <c r="B17080" t="s">
        <v>4307</v>
      </c>
      <c r="C17080" t="s">
        <v>75</v>
      </c>
      <c r="D17080" t="s">
        <v>254</v>
      </c>
      <c r="E17080">
        <f t="shared" si="809"/>
        <v>1.5625E-2</v>
      </c>
      <c r="F17080">
        <v>3</v>
      </c>
      <c r="G17080">
        <f>LOG(382/(3+1))</f>
        <v>1.9800033715837464</v>
      </c>
      <c r="H17080">
        <f>0.015625*4.55912624748668</f>
        <v>7.1236347616979376E-2</v>
      </c>
      <c r="I17080">
        <v>7.1236347616979445E-2</v>
      </c>
    </row>
    <row r="17081" spans="1:9" x14ac:dyDescent="0.25">
      <c r="A17081">
        <v>537</v>
      </c>
      <c r="B17081" t="s">
        <v>4307</v>
      </c>
      <c r="C17081" t="s">
        <v>75</v>
      </c>
      <c r="D17081" t="s">
        <v>3648</v>
      </c>
      <c r="E17081">
        <f t="shared" si="809"/>
        <v>1.5625E-2</v>
      </c>
      <c r="F17081">
        <v>4</v>
      </c>
      <c r="G17081">
        <f>LOG(382/(4+1))</f>
        <v>1.8830933585756899</v>
      </c>
      <c r="H17081">
        <f>0.015625*4.33598269617247</f>
        <v>6.7749729627694849E-2</v>
      </c>
      <c r="I17081">
        <v>6.7749729627694918E-2</v>
      </c>
    </row>
    <row r="17082" spans="1:9" x14ac:dyDescent="0.25">
      <c r="A17082">
        <v>537</v>
      </c>
      <c r="B17082" t="s">
        <v>4307</v>
      </c>
      <c r="C17082" t="s">
        <v>75</v>
      </c>
      <c r="D17082" t="s">
        <v>1738</v>
      </c>
      <c r="E17082">
        <f t="shared" si="809"/>
        <v>1.5625E-2</v>
      </c>
      <c r="F17082">
        <v>24</v>
      </c>
      <c r="G17082">
        <f>LOG(382/(24+1))</f>
        <v>1.1841233542396712</v>
      </c>
      <c r="H17082">
        <f>0.015625*2.72654478373837</f>
        <v>4.2602262245912029E-2</v>
      </c>
      <c r="I17082">
        <v>4.2602262245912098E-2</v>
      </c>
    </row>
    <row r="17083" spans="1:9" x14ac:dyDescent="0.25">
      <c r="A17083">
        <v>537</v>
      </c>
      <c r="B17083" t="s">
        <v>4307</v>
      </c>
      <c r="C17083" t="s">
        <v>75</v>
      </c>
      <c r="D17083" t="s">
        <v>1739</v>
      </c>
      <c r="E17083">
        <f t="shared" si="809"/>
        <v>1.5625E-2</v>
      </c>
      <c r="F17083">
        <v>30</v>
      </c>
      <c r="G17083">
        <f>LOG(382/(30+1))</f>
        <v>1.090701669077436</v>
      </c>
      <c r="H17083">
        <f>0.015625*2.51143340412142</f>
        <v>3.924114693939719E-2</v>
      </c>
      <c r="I17083">
        <v>3.9241146939397328E-2</v>
      </c>
    </row>
    <row r="17084" spans="1:9" x14ac:dyDescent="0.25">
      <c r="A17084">
        <v>537</v>
      </c>
      <c r="B17084" t="s">
        <v>4307</v>
      </c>
      <c r="C17084" t="s">
        <v>75</v>
      </c>
      <c r="D17084" t="s">
        <v>82</v>
      </c>
      <c r="E17084">
        <f t="shared" si="809"/>
        <v>1.5625E-2</v>
      </c>
      <c r="F17084">
        <v>92</v>
      </c>
      <c r="G17084">
        <f>LOG(382/(92+1))</f>
        <v>0.61358041435777355</v>
      </c>
      <c r="H17084">
        <f>0.015625*1.41282111545331</f>
        <v>2.2075329928957967E-2</v>
      </c>
      <c r="I17084">
        <v>2.207532992895811E-2</v>
      </c>
    </row>
    <row r="17085" spans="1:9" x14ac:dyDescent="0.25">
      <c r="A17085">
        <v>537</v>
      </c>
      <c r="B17085" t="s">
        <v>4307</v>
      </c>
      <c r="C17085" t="s">
        <v>75</v>
      </c>
      <c r="D17085" t="s">
        <v>763</v>
      </c>
      <c r="E17085">
        <f t="shared" si="809"/>
        <v>1.5625E-2</v>
      </c>
      <c r="F17085">
        <v>47</v>
      </c>
      <c r="G17085">
        <f>LOG(382/(47+1))</f>
        <v>0.90082212553612151</v>
      </c>
      <c r="H17085">
        <f>0.015625*2.07421959769868</f>
        <v>3.2409681214041877E-2</v>
      </c>
      <c r="I17085">
        <v>3.240968121404194E-2</v>
      </c>
    </row>
    <row r="17086" spans="1:9" x14ac:dyDescent="0.25">
      <c r="A17086">
        <v>537</v>
      </c>
      <c r="B17086" t="s">
        <v>4307</v>
      </c>
      <c r="C17086" t="s">
        <v>75</v>
      </c>
      <c r="D17086" t="s">
        <v>754</v>
      </c>
      <c r="E17086">
        <f t="shared" si="809"/>
        <v>1.5625E-2</v>
      </c>
      <c r="F17086">
        <v>111</v>
      </c>
      <c r="G17086">
        <f>LOG(382/(111+1))</f>
        <v>0.53284534024152708</v>
      </c>
      <c r="H17086">
        <f>0.015625*1.22692173731148</f>
        <v>1.9170652145491875E-2</v>
      </c>
      <c r="I17086">
        <v>1.9170652145491889E-2</v>
      </c>
    </row>
    <row r="17087" spans="1:9" x14ac:dyDescent="0.25">
      <c r="A17087">
        <v>538</v>
      </c>
      <c r="B17087" t="s">
        <v>4309</v>
      </c>
      <c r="C17087" t="s">
        <v>138</v>
      </c>
      <c r="D17087" t="s">
        <v>4310</v>
      </c>
      <c r="E17087">
        <f>1/108</f>
        <v>9.2592592592592587E-3</v>
      </c>
      <c r="F17087">
        <v>1</v>
      </c>
      <c r="G17087">
        <f>LOG(382/(1+1))</f>
        <v>2.2810333672477277</v>
      </c>
      <c r="H17087">
        <f>0.00925925925925925*5.25227342804663</f>
        <v>4.8632161370802084E-2</v>
      </c>
      <c r="I17087">
        <v>4.8632161370802132E-2</v>
      </c>
    </row>
    <row r="17088" spans="1:9" x14ac:dyDescent="0.25">
      <c r="A17088">
        <v>538</v>
      </c>
      <c r="B17088" t="s">
        <v>4309</v>
      </c>
      <c r="C17088" t="s">
        <v>138</v>
      </c>
      <c r="D17088" t="s">
        <v>744</v>
      </c>
      <c r="E17088">
        <f>4/108</f>
        <v>3.7037037037037035E-2</v>
      </c>
      <c r="F17088">
        <v>28</v>
      </c>
      <c r="G17088">
        <f>LOG(382/(28+1))</f>
        <v>1.1196653650127526</v>
      </c>
      <c r="H17088">
        <f>0.037037037037037*2.5781247786201</f>
        <v>9.5486102911855456E-2</v>
      </c>
      <c r="I17088">
        <v>9.5486102911855594E-2</v>
      </c>
    </row>
    <row r="17089" spans="1:9" x14ac:dyDescent="0.25">
      <c r="A17089">
        <v>538</v>
      </c>
      <c r="B17089" t="s">
        <v>4309</v>
      </c>
      <c r="C17089" t="s">
        <v>138</v>
      </c>
      <c r="D17089" t="s">
        <v>1488</v>
      </c>
      <c r="E17089">
        <f>2/108</f>
        <v>1.8518518518518517E-2</v>
      </c>
      <c r="F17089">
        <v>2</v>
      </c>
      <c r="G17089">
        <f>LOG(382/(2+1))</f>
        <v>2.1049421081920463</v>
      </c>
      <c r="H17089">
        <f>0.0185185185185185*4.84680831993846</f>
        <v>8.9755709628489916E-2</v>
      </c>
      <c r="I17089">
        <v>8.9755709628490096E-2</v>
      </c>
    </row>
    <row r="17090" spans="1:9" x14ac:dyDescent="0.25">
      <c r="A17090">
        <v>538</v>
      </c>
      <c r="B17090" t="s">
        <v>4309</v>
      </c>
      <c r="C17090" t="s">
        <v>138</v>
      </c>
      <c r="D17090" t="s">
        <v>2189</v>
      </c>
      <c r="E17090">
        <f>1/108</f>
        <v>9.2592592592592587E-3</v>
      </c>
      <c r="F17090">
        <v>12</v>
      </c>
      <c r="G17090">
        <f>LOG(382/(12+1))</f>
        <v>1.468120010604872</v>
      </c>
      <c r="H17090">
        <f>0.00925925925925925*3.38047125114503</f>
        <v>3.1300659732824324E-2</v>
      </c>
      <c r="I17090">
        <v>3.1300659732824428E-2</v>
      </c>
    </row>
    <row r="17091" spans="1:9" x14ac:dyDescent="0.25">
      <c r="A17091">
        <v>538</v>
      </c>
      <c r="B17091" t="s">
        <v>4309</v>
      </c>
      <c r="C17091" t="s">
        <v>138</v>
      </c>
      <c r="D17091" t="s">
        <v>865</v>
      </c>
      <c r="E17091">
        <f>1/108</f>
        <v>9.2592592592592587E-3</v>
      </c>
      <c r="F17091">
        <v>13</v>
      </c>
      <c r="G17091">
        <f>LOG(382/(13+1))</f>
        <v>1.4359353272334707</v>
      </c>
      <c r="H17091">
        <f>0.00925925925925925*3.30636327899131</f>
        <v>3.0614474805475064E-2</v>
      </c>
      <c r="I17091">
        <v>3.0614474805475151E-2</v>
      </c>
    </row>
    <row r="17092" spans="1:9" x14ac:dyDescent="0.25">
      <c r="A17092">
        <v>538</v>
      </c>
      <c r="B17092" t="s">
        <v>4309</v>
      </c>
      <c r="C17092" t="s">
        <v>138</v>
      </c>
      <c r="D17092" t="s">
        <v>204</v>
      </c>
      <c r="E17092">
        <f>1/108</f>
        <v>9.2592592592592587E-3</v>
      </c>
      <c r="F17092">
        <v>166</v>
      </c>
      <c r="G17092">
        <f>LOG(382/(166+1))</f>
        <v>0.35934689176412549</v>
      </c>
      <c r="H17092">
        <f>0.00925925925925925*0.82742679618982</f>
        <v>7.6613592239798065E-3</v>
      </c>
      <c r="I17092">
        <v>7.6613592239798151E-3</v>
      </c>
    </row>
    <row r="17093" spans="1:9" x14ac:dyDescent="0.25">
      <c r="A17093">
        <v>538</v>
      </c>
      <c r="B17093" t="s">
        <v>4309</v>
      </c>
      <c r="C17093" t="s">
        <v>138</v>
      </c>
      <c r="D17093" t="s">
        <v>747</v>
      </c>
      <c r="E17093">
        <f>2/108</f>
        <v>1.8518518518518517E-2</v>
      </c>
      <c r="F17093">
        <v>14</v>
      </c>
      <c r="G17093">
        <f>LOG(382/(14+1))</f>
        <v>1.4059721038560276</v>
      </c>
      <c r="H17093">
        <f>0.0185185185185185*3.23737040750436</f>
        <v>5.9951303842673269E-2</v>
      </c>
      <c r="I17093">
        <v>5.9951303842673428E-2</v>
      </c>
    </row>
    <row r="17094" spans="1:9" x14ac:dyDescent="0.25">
      <c r="A17094">
        <v>538</v>
      </c>
      <c r="B17094" t="s">
        <v>4309</v>
      </c>
      <c r="C17094" t="s">
        <v>138</v>
      </c>
      <c r="D17094" t="s">
        <v>898</v>
      </c>
      <c r="E17094">
        <f>2/108</f>
        <v>1.8518518518518517E-2</v>
      </c>
      <c r="F17094">
        <v>22</v>
      </c>
      <c r="G17094">
        <f>LOG(382/(22+1))</f>
        <v>1.2203355268941158</v>
      </c>
      <c r="H17094">
        <f>0.0185185185185185*2.80992639267742</f>
        <v>5.2035673938470688E-2</v>
      </c>
      <c r="I17094">
        <v>5.203567393847084E-2</v>
      </c>
    </row>
    <row r="17095" spans="1:9" x14ac:dyDescent="0.25">
      <c r="A17095">
        <v>538</v>
      </c>
      <c r="B17095" t="s">
        <v>4309</v>
      </c>
      <c r="C17095" t="s">
        <v>138</v>
      </c>
      <c r="D17095" t="s">
        <v>4311</v>
      </c>
      <c r="E17095">
        <f>1/108</f>
        <v>9.2592592592592587E-3</v>
      </c>
      <c r="F17095">
        <v>1</v>
      </c>
      <c r="G17095">
        <f>LOG(382/(1+1))</f>
        <v>2.2810333672477277</v>
      </c>
      <c r="H17095">
        <f>0.00925925925925925*5.25227342804663</f>
        <v>4.8632161370802084E-2</v>
      </c>
      <c r="I17095">
        <v>4.8632161370802132E-2</v>
      </c>
    </row>
    <row r="17096" spans="1:9" x14ac:dyDescent="0.25">
      <c r="A17096">
        <v>538</v>
      </c>
      <c r="B17096" t="s">
        <v>4309</v>
      </c>
      <c r="C17096" t="s">
        <v>138</v>
      </c>
      <c r="D17096" t="s">
        <v>762</v>
      </c>
      <c r="E17096">
        <f>5/108</f>
        <v>4.6296296296296294E-2</v>
      </c>
      <c r="F17096">
        <v>29</v>
      </c>
      <c r="G17096">
        <f>LOG(382/(29+1))</f>
        <v>1.1049421081920463</v>
      </c>
      <c r="H17096">
        <f>0.0462962962962962*2.54422322694442</f>
        <v>0.1177881123585377</v>
      </c>
      <c r="I17096">
        <v>0.11778811235853789</v>
      </c>
    </row>
    <row r="17097" spans="1:9" x14ac:dyDescent="0.25">
      <c r="A17097">
        <v>538</v>
      </c>
      <c r="B17097" t="s">
        <v>4309</v>
      </c>
      <c r="C17097" t="s">
        <v>138</v>
      </c>
      <c r="D17097" t="s">
        <v>4225</v>
      </c>
      <c r="E17097">
        <f>3/108</f>
        <v>2.7777777777777776E-2</v>
      </c>
      <c r="F17097">
        <v>2</v>
      </c>
      <c r="G17097">
        <f>LOG(382/(2+1))</f>
        <v>2.1049421081920463</v>
      </c>
      <c r="H17097">
        <f>0.0277777777777777*4.84680831993846</f>
        <v>0.13463356444273461</v>
      </c>
      <c r="I17097">
        <v>0.13463356444273511</v>
      </c>
    </row>
    <row r="17098" spans="1:9" x14ac:dyDescent="0.25">
      <c r="A17098">
        <v>538</v>
      </c>
      <c r="B17098" t="s">
        <v>4309</v>
      </c>
      <c r="C17098" t="s">
        <v>138</v>
      </c>
      <c r="D17098" t="s">
        <v>1478</v>
      </c>
      <c r="E17098">
        <f>3/108</f>
        <v>2.7777777777777776E-2</v>
      </c>
      <c r="F17098">
        <v>17</v>
      </c>
      <c r="G17098">
        <f>LOG(382/(17+1))</f>
        <v>1.3267908578084027</v>
      </c>
      <c r="H17098">
        <f>0.0277777777777777*3.05504885071041</f>
        <v>8.4862468075288924E-2</v>
      </c>
      <c r="I17098">
        <v>8.4862468075289174E-2</v>
      </c>
    </row>
    <row r="17099" spans="1:9" x14ac:dyDescent="0.25">
      <c r="A17099">
        <v>538</v>
      </c>
      <c r="B17099" t="s">
        <v>4309</v>
      </c>
      <c r="C17099" t="s">
        <v>138</v>
      </c>
      <c r="D17099" t="s">
        <v>830</v>
      </c>
      <c r="E17099">
        <f>2/108</f>
        <v>1.8518518518518517E-2</v>
      </c>
      <c r="F17099">
        <v>19</v>
      </c>
      <c r="G17099">
        <f>LOG(382/(19+1))</f>
        <v>1.2810333672477277</v>
      </c>
      <c r="H17099">
        <f>0.0185185185185185*2.94968833505258</f>
        <v>5.4623858056529202E-2</v>
      </c>
      <c r="I17099">
        <v>5.4623858056529341E-2</v>
      </c>
    </row>
    <row r="17100" spans="1:9" x14ac:dyDescent="0.25">
      <c r="A17100">
        <v>538</v>
      </c>
      <c r="B17100" t="s">
        <v>4309</v>
      </c>
      <c r="C17100" t="s">
        <v>138</v>
      </c>
      <c r="D17100" t="s">
        <v>1407</v>
      </c>
      <c r="E17100">
        <f>3/108</f>
        <v>2.7777777777777776E-2</v>
      </c>
      <c r="F17100">
        <v>16</v>
      </c>
      <c r="G17100">
        <f>LOG(382/(16+1))</f>
        <v>1.3516144415334348</v>
      </c>
      <c r="H17100">
        <f>0.0277777777777777*3.11220726455035</f>
        <v>8.6450201793065035E-2</v>
      </c>
      <c r="I17100">
        <v>8.645020179306552E-2</v>
      </c>
    </row>
    <row r="17101" spans="1:9" x14ac:dyDescent="0.25">
      <c r="A17101">
        <v>538</v>
      </c>
      <c r="B17101" t="s">
        <v>4309</v>
      </c>
      <c r="C17101" t="s">
        <v>138</v>
      </c>
      <c r="D17101" t="s">
        <v>600</v>
      </c>
      <c r="E17101">
        <f>2/108</f>
        <v>1.8518518518518517E-2</v>
      </c>
      <c r="F17101">
        <v>102</v>
      </c>
      <c r="G17101">
        <f>LOG(382/(102+1))</f>
        <v>0.56922613820653656</v>
      </c>
      <c r="H17101">
        <f>0.0185185185185185*1.31069162037693</f>
        <v>2.4272067044017201E-2</v>
      </c>
      <c r="I17101">
        <v>2.4272067044017399E-2</v>
      </c>
    </row>
    <row r="17102" spans="1:9" x14ac:dyDescent="0.25">
      <c r="A17102">
        <v>538</v>
      </c>
      <c r="B17102" t="s">
        <v>4309</v>
      </c>
      <c r="C17102" t="s">
        <v>138</v>
      </c>
      <c r="D17102" t="s">
        <v>2431</v>
      </c>
      <c r="E17102">
        <f>2/108</f>
        <v>1.8518518518518517E-2</v>
      </c>
      <c r="F17102">
        <v>12</v>
      </c>
      <c r="G17102">
        <f>LOG(382/(12+1))</f>
        <v>1.468120010604872</v>
      </c>
      <c r="H17102">
        <f>0.0185185185185185*3.38047125114503</f>
        <v>6.2601319465648647E-2</v>
      </c>
      <c r="I17102">
        <v>6.2601319465648855E-2</v>
      </c>
    </row>
    <row r="17103" spans="1:9" x14ac:dyDescent="0.25">
      <c r="A17103">
        <v>538</v>
      </c>
      <c r="B17103" t="s">
        <v>4309</v>
      </c>
      <c r="C17103" t="s">
        <v>138</v>
      </c>
      <c r="D17103" t="s">
        <v>196</v>
      </c>
      <c r="E17103">
        <f>1/108</f>
        <v>9.2592592592592587E-3</v>
      </c>
      <c r="F17103">
        <v>33</v>
      </c>
      <c r="G17103">
        <f>LOG(382/(33+1))</f>
        <v>1.0505844458694535</v>
      </c>
      <c r="H17103">
        <f>0.00925925925925925*2.41906008399041</f>
        <v>2.2398704481392664E-2</v>
      </c>
      <c r="I17103">
        <v>2.2398704481392719E-2</v>
      </c>
    </row>
    <row r="17104" spans="1:9" x14ac:dyDescent="0.25">
      <c r="A17104">
        <v>538</v>
      </c>
      <c r="B17104" t="s">
        <v>4309</v>
      </c>
      <c r="C17104" t="s">
        <v>138</v>
      </c>
      <c r="D17104" t="s">
        <v>144</v>
      </c>
      <c r="E17104">
        <f>2/108</f>
        <v>1.8518518518518517E-2</v>
      </c>
      <c r="F17104">
        <v>105</v>
      </c>
      <c r="G17104">
        <f>LOG(382/(105+1))</f>
        <v>0.55675749764693849</v>
      </c>
      <c r="H17104">
        <f>0.0185185185185185*1.2819815144945</f>
        <v>2.3740398416564789E-2</v>
      </c>
      <c r="I17104">
        <v>2.3740398416564959E-2</v>
      </c>
    </row>
    <row r="17105" spans="1:9" x14ac:dyDescent="0.25">
      <c r="A17105">
        <v>538</v>
      </c>
      <c r="B17105" t="s">
        <v>4309</v>
      </c>
      <c r="C17105" t="s">
        <v>138</v>
      </c>
      <c r="D17105" t="s">
        <v>4312</v>
      </c>
      <c r="E17105">
        <f t="shared" ref="E17105:E17111" si="810">1/108</f>
        <v>9.2592592592592587E-3</v>
      </c>
      <c r="F17105">
        <v>1</v>
      </c>
      <c r="G17105">
        <f>LOG(382/(1+1))</f>
        <v>2.2810333672477277</v>
      </c>
      <c r="H17105">
        <f>0.00925925925925925*5.25227342804663</f>
        <v>4.8632161370802084E-2</v>
      </c>
      <c r="I17105">
        <v>4.8632161370802132E-2</v>
      </c>
    </row>
    <row r="17106" spans="1:9" x14ac:dyDescent="0.25">
      <c r="A17106">
        <v>538</v>
      </c>
      <c r="B17106" t="s">
        <v>4309</v>
      </c>
      <c r="C17106" t="s">
        <v>138</v>
      </c>
      <c r="D17106" t="s">
        <v>596</v>
      </c>
      <c r="E17106">
        <f t="shared" si="810"/>
        <v>9.2592592592592587E-3</v>
      </c>
      <c r="F17106">
        <v>60</v>
      </c>
      <c r="G17106">
        <f>LOG(382/(60+1))</f>
        <v>0.79673352790094176</v>
      </c>
      <c r="H17106">
        <f>0.00925925925925925*1.83454674443326</f>
        <v>1.6986543929937575E-2</v>
      </c>
      <c r="I17106">
        <v>1.698654392993763E-2</v>
      </c>
    </row>
    <row r="17107" spans="1:9" x14ac:dyDescent="0.25">
      <c r="A17107">
        <v>538</v>
      </c>
      <c r="B17107" t="s">
        <v>4309</v>
      </c>
      <c r="C17107" t="s">
        <v>138</v>
      </c>
      <c r="D17107" t="s">
        <v>2267</v>
      </c>
      <c r="E17107">
        <f t="shared" si="810"/>
        <v>9.2592592592592587E-3</v>
      </c>
      <c r="F17107">
        <v>9</v>
      </c>
      <c r="G17107">
        <f>LOG(382/(9+1))</f>
        <v>1.5820633629117087</v>
      </c>
      <c r="H17107">
        <f>0.00925925925925925*3.64283551561252</f>
        <v>3.3729958477893673E-2</v>
      </c>
      <c r="I17107">
        <v>3.3729958477893791E-2</v>
      </c>
    </row>
    <row r="17108" spans="1:9" x14ac:dyDescent="0.25">
      <c r="A17108">
        <v>538</v>
      </c>
      <c r="B17108" t="s">
        <v>4309</v>
      </c>
      <c r="C17108" t="s">
        <v>138</v>
      </c>
      <c r="D17108" t="s">
        <v>36</v>
      </c>
      <c r="E17108">
        <f t="shared" si="810"/>
        <v>9.2592592592592587E-3</v>
      </c>
      <c r="F17108">
        <v>58</v>
      </c>
      <c r="G17108">
        <f>LOG(382/(58+1))</f>
        <v>0.81121135126956456</v>
      </c>
      <c r="H17108">
        <f>0.00925925925925925*1.86788316470085</f>
        <v>1.7295214487970816E-2</v>
      </c>
      <c r="I17108">
        <v>1.7295214487970889E-2</v>
      </c>
    </row>
    <row r="17109" spans="1:9" x14ac:dyDescent="0.25">
      <c r="A17109">
        <v>538</v>
      </c>
      <c r="B17109" t="s">
        <v>4309</v>
      </c>
      <c r="C17109" t="s">
        <v>138</v>
      </c>
      <c r="D17109" t="s">
        <v>2153</v>
      </c>
      <c r="E17109">
        <f t="shared" si="810"/>
        <v>9.2592592592592587E-3</v>
      </c>
      <c r="F17109">
        <v>2</v>
      </c>
      <c r="G17109">
        <f>LOG(382/(2+1))</f>
        <v>2.1049421081920463</v>
      </c>
      <c r="H17109">
        <f>0.00925925925925925*4.84680831993846</f>
        <v>4.4877854814244958E-2</v>
      </c>
      <c r="I17109">
        <v>4.4877854814245048E-2</v>
      </c>
    </row>
    <row r="17110" spans="1:9" x14ac:dyDescent="0.25">
      <c r="A17110">
        <v>538</v>
      </c>
      <c r="B17110" t="s">
        <v>4309</v>
      </c>
      <c r="C17110" t="s">
        <v>138</v>
      </c>
      <c r="D17110" t="s">
        <v>1133</v>
      </c>
      <c r="E17110">
        <f t="shared" si="810"/>
        <v>9.2592592592592587E-3</v>
      </c>
      <c r="F17110">
        <v>5</v>
      </c>
      <c r="G17110">
        <f>LOG(382/(5+1))</f>
        <v>1.803912112528065</v>
      </c>
      <c r="H17110">
        <f>0.00925925925925925*4.15366113937852</f>
        <v>3.8459825364615889E-2</v>
      </c>
      <c r="I17110">
        <v>3.8459825364615917E-2</v>
      </c>
    </row>
    <row r="17111" spans="1:9" x14ac:dyDescent="0.25">
      <c r="A17111">
        <v>538</v>
      </c>
      <c r="B17111" t="s">
        <v>4309</v>
      </c>
      <c r="C17111" t="s">
        <v>138</v>
      </c>
      <c r="D17111" t="s">
        <v>779</v>
      </c>
      <c r="E17111">
        <f t="shared" si="810"/>
        <v>9.2592592592592587E-3</v>
      </c>
      <c r="F17111">
        <v>25</v>
      </c>
      <c r="G17111">
        <f>LOG(382/(25+1))</f>
        <v>1.1670900149408907</v>
      </c>
      <c r="H17111">
        <f>0.00925925925925925*2.68732407058509</f>
        <v>2.4882630283195255E-2</v>
      </c>
      <c r="I17111">
        <v>2.488263028319531E-2</v>
      </c>
    </row>
    <row r="17112" spans="1:9" x14ac:dyDescent="0.25">
      <c r="A17112">
        <v>538</v>
      </c>
      <c r="B17112" t="s">
        <v>4309</v>
      </c>
      <c r="C17112" t="s">
        <v>138</v>
      </c>
      <c r="D17112" t="s">
        <v>649</v>
      </c>
      <c r="E17112">
        <f>2/108</f>
        <v>1.8518518518518517E-2</v>
      </c>
      <c r="F17112">
        <v>25</v>
      </c>
      <c r="G17112">
        <f>LOG(382/(25+1))</f>
        <v>1.1670900149408907</v>
      </c>
      <c r="H17112">
        <f>0.0185185185185185*2.68732407058509</f>
        <v>4.976526056639051E-2</v>
      </c>
      <c r="I17112">
        <v>4.9765260566390607E-2</v>
      </c>
    </row>
    <row r="17113" spans="1:9" x14ac:dyDescent="0.25">
      <c r="A17113">
        <v>538</v>
      </c>
      <c r="B17113" t="s">
        <v>4309</v>
      </c>
      <c r="C17113" t="s">
        <v>138</v>
      </c>
      <c r="D17113" t="s">
        <v>739</v>
      </c>
      <c r="E17113">
        <f>2/108</f>
        <v>1.8518518518518517E-2</v>
      </c>
      <c r="F17113">
        <v>24</v>
      </c>
      <c r="G17113">
        <f>LOG(382/(24+1))</f>
        <v>1.1841233542396712</v>
      </c>
      <c r="H17113">
        <f>0.0185185185185185*2.72654478373837</f>
        <v>5.0491570069229018E-2</v>
      </c>
      <c r="I17113">
        <v>5.049157006922915E-2</v>
      </c>
    </row>
    <row r="17114" spans="1:9" x14ac:dyDescent="0.25">
      <c r="A17114">
        <v>538</v>
      </c>
      <c r="B17114" t="s">
        <v>4309</v>
      </c>
      <c r="C17114" t="s">
        <v>138</v>
      </c>
      <c r="D17114" t="s">
        <v>4306</v>
      </c>
      <c r="E17114">
        <f>1/108</f>
        <v>9.2592592592592587E-3</v>
      </c>
      <c r="F17114">
        <v>4</v>
      </c>
      <c r="G17114">
        <f>LOG(382/(4+1))</f>
        <v>1.8830933585756899</v>
      </c>
      <c r="H17114">
        <f>0.00925925925925925*4.33598269617247</f>
        <v>4.0147987927522832E-2</v>
      </c>
      <c r="I17114">
        <v>4.0147987927522923E-2</v>
      </c>
    </row>
    <row r="17115" spans="1:9" x14ac:dyDescent="0.25">
      <c r="A17115">
        <v>538</v>
      </c>
      <c r="B17115" t="s">
        <v>4309</v>
      </c>
      <c r="C17115" t="s">
        <v>138</v>
      </c>
      <c r="D17115" t="s">
        <v>4308</v>
      </c>
      <c r="E17115">
        <f>1/108</f>
        <v>9.2592592592592587E-3</v>
      </c>
      <c r="F17115">
        <v>2</v>
      </c>
      <c r="G17115">
        <f>LOG(382/(2+1))</f>
        <v>2.1049421081920463</v>
      </c>
      <c r="H17115">
        <f>0.00925925925925925*4.84680831993846</f>
        <v>4.4877854814244958E-2</v>
      </c>
      <c r="I17115">
        <v>4.4877854814245048E-2</v>
      </c>
    </row>
    <row r="17116" spans="1:9" x14ac:dyDescent="0.25">
      <c r="A17116">
        <v>538</v>
      </c>
      <c r="B17116" t="s">
        <v>4309</v>
      </c>
      <c r="C17116" t="s">
        <v>138</v>
      </c>
      <c r="D17116" t="s">
        <v>322</v>
      </c>
      <c r="E17116">
        <f>2/108</f>
        <v>1.8518518518518517E-2</v>
      </c>
      <c r="F17116">
        <v>128</v>
      </c>
      <c r="G17116">
        <f>LOG(382/(128+1))</f>
        <v>0.47147365261245977</v>
      </c>
      <c r="H17116">
        <f>0.0185185185185185*1.0856082042449</f>
        <v>2.0103855634164794E-2</v>
      </c>
      <c r="I17116">
        <v>2.010385563416487E-2</v>
      </c>
    </row>
    <row r="17117" spans="1:9" x14ac:dyDescent="0.25">
      <c r="A17117">
        <v>538</v>
      </c>
      <c r="B17117" t="s">
        <v>4309</v>
      </c>
      <c r="C17117" t="s">
        <v>138</v>
      </c>
      <c r="D17117" t="s">
        <v>4313</v>
      </c>
      <c r="E17117">
        <f t="shared" ref="E17117:E17128" si="811">1/108</f>
        <v>9.2592592592592587E-3</v>
      </c>
      <c r="F17117">
        <v>2</v>
      </c>
      <c r="G17117">
        <f>LOG(382/(2+1))</f>
        <v>2.1049421081920463</v>
      </c>
      <c r="H17117">
        <f>0.00925925925925925*4.84680831993846</f>
        <v>4.4877854814244958E-2</v>
      </c>
      <c r="I17117">
        <v>4.4877854814245048E-2</v>
      </c>
    </row>
    <row r="17118" spans="1:9" x14ac:dyDescent="0.25">
      <c r="A17118">
        <v>538</v>
      </c>
      <c r="B17118" t="s">
        <v>4309</v>
      </c>
      <c r="C17118" t="s">
        <v>138</v>
      </c>
      <c r="D17118" t="s">
        <v>3293</v>
      </c>
      <c r="E17118">
        <f t="shared" si="811"/>
        <v>9.2592592592592587E-3</v>
      </c>
      <c r="F17118">
        <v>6</v>
      </c>
      <c r="G17118">
        <f>LOG(382/(6+1))</f>
        <v>1.736965322897452</v>
      </c>
      <c r="H17118">
        <f>0.00925925925925925*3.99951045955126</f>
        <v>3.7032504255104223E-2</v>
      </c>
      <c r="I17118">
        <v>3.7032504255104272E-2</v>
      </c>
    </row>
    <row r="17119" spans="1:9" x14ac:dyDescent="0.25">
      <c r="A17119">
        <v>538</v>
      </c>
      <c r="B17119" t="s">
        <v>4309</v>
      </c>
      <c r="C17119" t="s">
        <v>138</v>
      </c>
      <c r="D17119" t="s">
        <v>1264</v>
      </c>
      <c r="E17119">
        <f t="shared" si="811"/>
        <v>9.2592592592592587E-3</v>
      </c>
      <c r="F17119">
        <v>5</v>
      </c>
      <c r="G17119">
        <f>LOG(382/(5+1))</f>
        <v>1.803912112528065</v>
      </c>
      <c r="H17119">
        <f>0.00925925925925925*4.15366113937852</f>
        <v>3.8459825364615889E-2</v>
      </c>
      <c r="I17119">
        <v>3.8459825364615917E-2</v>
      </c>
    </row>
    <row r="17120" spans="1:9" x14ac:dyDescent="0.25">
      <c r="A17120">
        <v>538</v>
      </c>
      <c r="B17120" t="s">
        <v>4309</v>
      </c>
      <c r="C17120" t="s">
        <v>138</v>
      </c>
      <c r="D17120" t="s">
        <v>2320</v>
      </c>
      <c r="E17120">
        <f t="shared" si="811"/>
        <v>9.2592592592592587E-3</v>
      </c>
      <c r="F17120">
        <v>2</v>
      </c>
      <c r="G17120">
        <f>LOG(382/(2+1))</f>
        <v>2.1049421081920463</v>
      </c>
      <c r="H17120">
        <f>0.00925925925925925*4.84680831993846</f>
        <v>4.4877854814244958E-2</v>
      </c>
      <c r="I17120">
        <v>4.4877854814245048E-2</v>
      </c>
    </row>
    <row r="17121" spans="1:9" x14ac:dyDescent="0.25">
      <c r="A17121">
        <v>538</v>
      </c>
      <c r="B17121" t="s">
        <v>4309</v>
      </c>
      <c r="C17121" t="s">
        <v>138</v>
      </c>
      <c r="D17121" t="s">
        <v>4314</v>
      </c>
      <c r="E17121">
        <f t="shared" si="811"/>
        <v>9.2592592592592587E-3</v>
      </c>
      <c r="F17121">
        <v>1</v>
      </c>
      <c r="G17121">
        <f>LOG(382/(1+1))</f>
        <v>2.2810333672477277</v>
      </c>
      <c r="H17121">
        <f>0.00925925925925925*5.25227342804663</f>
        <v>4.8632161370802084E-2</v>
      </c>
      <c r="I17121">
        <v>4.8632161370802132E-2</v>
      </c>
    </row>
    <row r="17122" spans="1:9" x14ac:dyDescent="0.25">
      <c r="A17122">
        <v>538</v>
      </c>
      <c r="B17122" t="s">
        <v>4309</v>
      </c>
      <c r="C17122" t="s">
        <v>138</v>
      </c>
      <c r="D17122" t="s">
        <v>931</v>
      </c>
      <c r="E17122">
        <f t="shared" si="811"/>
        <v>9.2592592592592587E-3</v>
      </c>
      <c r="F17122">
        <v>22</v>
      </c>
      <c r="G17122">
        <f>LOG(382/(22+1))</f>
        <v>1.2203355268941158</v>
      </c>
      <c r="H17122">
        <f>0.00925925925925925*2.80992639267742</f>
        <v>2.6017836969235344E-2</v>
      </c>
      <c r="I17122">
        <v>2.601783696923542E-2</v>
      </c>
    </row>
    <row r="17123" spans="1:9" x14ac:dyDescent="0.25">
      <c r="A17123">
        <v>538</v>
      </c>
      <c r="B17123" t="s">
        <v>4309</v>
      </c>
      <c r="C17123" t="s">
        <v>138</v>
      </c>
      <c r="D17123" t="s">
        <v>4315</v>
      </c>
      <c r="E17123">
        <f t="shared" si="811"/>
        <v>9.2592592592592587E-3</v>
      </c>
      <c r="F17123">
        <v>1</v>
      </c>
      <c r="G17123">
        <f>LOG(382/(1+1))</f>
        <v>2.2810333672477277</v>
      </c>
      <c r="H17123">
        <f>0.00925925925925925*5.25227342804663</f>
        <v>4.8632161370802084E-2</v>
      </c>
      <c r="I17123">
        <v>4.8632161370802132E-2</v>
      </c>
    </row>
    <row r="17124" spans="1:9" x14ac:dyDescent="0.25">
      <c r="A17124">
        <v>538</v>
      </c>
      <c r="B17124" t="s">
        <v>4309</v>
      </c>
      <c r="C17124" t="s">
        <v>138</v>
      </c>
      <c r="D17124" t="s">
        <v>4218</v>
      </c>
      <c r="E17124">
        <f t="shared" si="811"/>
        <v>9.2592592592592587E-3</v>
      </c>
      <c r="F17124">
        <v>4</v>
      </c>
      <c r="G17124">
        <f>LOG(382/(4+1))</f>
        <v>1.8830933585756899</v>
      </c>
      <c r="H17124">
        <f>0.00925925925925925*4.33598269617247</f>
        <v>4.0147987927522832E-2</v>
      </c>
      <c r="I17124">
        <v>4.0147987927522923E-2</v>
      </c>
    </row>
    <row r="17125" spans="1:9" x14ac:dyDescent="0.25">
      <c r="A17125">
        <v>538</v>
      </c>
      <c r="B17125" t="s">
        <v>4309</v>
      </c>
      <c r="C17125" t="s">
        <v>138</v>
      </c>
      <c r="D17125" t="s">
        <v>338</v>
      </c>
      <c r="E17125">
        <f t="shared" si="811"/>
        <v>9.2592592592592587E-3</v>
      </c>
      <c r="F17125">
        <v>54</v>
      </c>
      <c r="G17125">
        <f>LOG(382/(54+1))</f>
        <v>0.84170067341746491</v>
      </c>
      <c r="H17125">
        <f>0.00925925925925925*1.9380874233741</f>
        <v>1.7945253920130536E-2</v>
      </c>
      <c r="I17125">
        <v>1.7945253920130591E-2</v>
      </c>
    </row>
    <row r="17126" spans="1:9" x14ac:dyDescent="0.25">
      <c r="A17126">
        <v>538</v>
      </c>
      <c r="B17126" t="s">
        <v>4309</v>
      </c>
      <c r="C17126" t="s">
        <v>138</v>
      </c>
      <c r="D17126" t="s">
        <v>1259</v>
      </c>
      <c r="E17126">
        <f t="shared" si="811"/>
        <v>9.2592592592592587E-3</v>
      </c>
      <c r="F17126">
        <v>3</v>
      </c>
      <c r="G17126">
        <f>LOG(382/(3+1))</f>
        <v>1.9800033715837464</v>
      </c>
      <c r="H17126">
        <f>0.00925925925925925*4.55912624748668</f>
        <v>4.2214131921172925E-2</v>
      </c>
      <c r="I17126">
        <v>4.2214131921173001E-2</v>
      </c>
    </row>
    <row r="17127" spans="1:9" x14ac:dyDescent="0.25">
      <c r="A17127">
        <v>538</v>
      </c>
      <c r="B17127" t="s">
        <v>4309</v>
      </c>
      <c r="C17127" t="s">
        <v>138</v>
      </c>
      <c r="D17127" t="s">
        <v>3258</v>
      </c>
      <c r="E17127">
        <f t="shared" si="811"/>
        <v>9.2592592592592587E-3</v>
      </c>
      <c r="F17127">
        <v>3</v>
      </c>
      <c r="G17127">
        <f>LOG(382/(3+1))</f>
        <v>1.9800033715837464</v>
      </c>
      <c r="H17127">
        <f>0.00925925925925925*4.55912624748668</f>
        <v>4.2214131921172925E-2</v>
      </c>
      <c r="I17127">
        <v>4.2214131921173001E-2</v>
      </c>
    </row>
    <row r="17128" spans="1:9" x14ac:dyDescent="0.25">
      <c r="A17128">
        <v>538</v>
      </c>
      <c r="B17128" t="s">
        <v>4309</v>
      </c>
      <c r="C17128" t="s">
        <v>138</v>
      </c>
      <c r="D17128" t="s">
        <v>4229</v>
      </c>
      <c r="E17128">
        <f t="shared" si="811"/>
        <v>9.2592592592592587E-3</v>
      </c>
      <c r="F17128">
        <v>3</v>
      </c>
      <c r="G17128">
        <f>LOG(382/(3+1))</f>
        <v>1.9800033715837464</v>
      </c>
      <c r="H17128">
        <f>0.00925925925925925*4.55912624748668</f>
        <v>4.2214131921172925E-2</v>
      </c>
      <c r="I17128">
        <v>4.2214131921173001E-2</v>
      </c>
    </row>
    <row r="17129" spans="1:9" x14ac:dyDescent="0.25">
      <c r="A17129">
        <v>538</v>
      </c>
      <c r="B17129" t="s">
        <v>4309</v>
      </c>
      <c r="C17129" t="s">
        <v>138</v>
      </c>
      <c r="D17129" t="s">
        <v>133</v>
      </c>
      <c r="E17129">
        <f>2/108</f>
        <v>1.8518518518518517E-2</v>
      </c>
      <c r="F17129">
        <v>142</v>
      </c>
      <c r="G17129">
        <f>LOG(382/(142+1))</f>
        <v>0.42672732544664693</v>
      </c>
      <c r="H17129">
        <f>0.0185185185185185*0.982575978346667</f>
        <v>1.8195851450864185E-2</v>
      </c>
      <c r="I17129">
        <v>1.819585145086422E-2</v>
      </c>
    </row>
    <row r="17130" spans="1:9" x14ac:dyDescent="0.25">
      <c r="A17130">
        <v>538</v>
      </c>
      <c r="B17130" t="s">
        <v>4309</v>
      </c>
      <c r="C17130" t="s">
        <v>138</v>
      </c>
      <c r="D17130" t="s">
        <v>76</v>
      </c>
      <c r="E17130">
        <f t="shared" ref="E17130:E17138" si="812">1/108</f>
        <v>9.2592592592592587E-3</v>
      </c>
      <c r="F17130">
        <v>140</v>
      </c>
      <c r="G17130">
        <f>LOG(382/(140+1))</f>
        <v>0.43284425025632883</v>
      </c>
      <c r="H17130">
        <f>0.00925925925925925*0.996660718228407</f>
        <v>9.2283399835963523E-3</v>
      </c>
      <c r="I17130">
        <v>9.2283399835963609E-3</v>
      </c>
    </row>
    <row r="17131" spans="1:9" x14ac:dyDescent="0.25">
      <c r="A17131">
        <v>538</v>
      </c>
      <c r="B17131" t="s">
        <v>4309</v>
      </c>
      <c r="C17131" t="s">
        <v>138</v>
      </c>
      <c r="D17131" t="s">
        <v>40</v>
      </c>
      <c r="E17131">
        <f t="shared" si="812"/>
        <v>9.2592592592592587E-3</v>
      </c>
      <c r="F17131">
        <v>159</v>
      </c>
      <c r="G17131">
        <f>LOG(382/(159+1))</f>
        <v>0.377943380255784</v>
      </c>
      <c r="H17131">
        <f>0.00925925925925925*0.870246793372748</f>
        <v>8.0578406793772889E-3</v>
      </c>
      <c r="I17131">
        <v>8.0578406793772994E-3</v>
      </c>
    </row>
    <row r="17132" spans="1:9" x14ac:dyDescent="0.25">
      <c r="A17132">
        <v>538</v>
      </c>
      <c r="B17132" t="s">
        <v>4309</v>
      </c>
      <c r="C17132" t="s">
        <v>138</v>
      </c>
      <c r="D17132" t="s">
        <v>4316</v>
      </c>
      <c r="E17132">
        <f t="shared" si="812"/>
        <v>9.2592592592592587E-3</v>
      </c>
      <c r="F17132">
        <v>1</v>
      </c>
      <c r="G17132">
        <f>LOG(382/(1+1))</f>
        <v>2.2810333672477277</v>
      </c>
      <c r="H17132">
        <f>0.00925925925925925*5.25227342804663</f>
        <v>4.8632161370802084E-2</v>
      </c>
      <c r="I17132">
        <v>4.8632161370802132E-2</v>
      </c>
    </row>
    <row r="17133" spans="1:9" x14ac:dyDescent="0.25">
      <c r="A17133">
        <v>538</v>
      </c>
      <c r="B17133" t="s">
        <v>4309</v>
      </c>
      <c r="C17133" t="s">
        <v>138</v>
      </c>
      <c r="D17133" t="s">
        <v>980</v>
      </c>
      <c r="E17133">
        <f t="shared" si="812"/>
        <v>9.2592592592592587E-3</v>
      </c>
      <c r="F17133">
        <v>2</v>
      </c>
      <c r="G17133">
        <f>LOG(382/(2+1))</f>
        <v>2.1049421081920463</v>
      </c>
      <c r="H17133">
        <f>0.00925925925925925*4.84680831993846</f>
        <v>4.4877854814244958E-2</v>
      </c>
      <c r="I17133">
        <v>4.4877854814245048E-2</v>
      </c>
    </row>
    <row r="17134" spans="1:9" x14ac:dyDescent="0.25">
      <c r="A17134">
        <v>538</v>
      </c>
      <c r="B17134" t="s">
        <v>4309</v>
      </c>
      <c r="C17134" t="s">
        <v>138</v>
      </c>
      <c r="D17134" t="s">
        <v>4317</v>
      </c>
      <c r="E17134">
        <f t="shared" si="812"/>
        <v>9.2592592592592587E-3</v>
      </c>
      <c r="F17134">
        <v>1</v>
      </c>
      <c r="G17134">
        <f>LOG(382/(1+1))</f>
        <v>2.2810333672477277</v>
      </c>
      <c r="H17134">
        <f>0.00925925925925925*5.25227342804663</f>
        <v>4.8632161370802084E-2</v>
      </c>
      <c r="I17134">
        <v>4.8632161370802132E-2</v>
      </c>
    </row>
    <row r="17135" spans="1:9" x14ac:dyDescent="0.25">
      <c r="A17135">
        <v>538</v>
      </c>
      <c r="B17135" t="s">
        <v>4309</v>
      </c>
      <c r="C17135" t="s">
        <v>138</v>
      </c>
      <c r="D17135" t="s">
        <v>4318</v>
      </c>
      <c r="E17135">
        <f t="shared" si="812"/>
        <v>9.2592592592592587E-3</v>
      </c>
      <c r="F17135">
        <v>1</v>
      </c>
      <c r="G17135">
        <f>LOG(382/(1+1))</f>
        <v>2.2810333672477277</v>
      </c>
      <c r="H17135">
        <f>0.00925925925925925*5.25227342804663</f>
        <v>4.8632161370802084E-2</v>
      </c>
      <c r="I17135">
        <v>4.8632161370802132E-2</v>
      </c>
    </row>
    <row r="17136" spans="1:9" x14ac:dyDescent="0.25">
      <c r="A17136">
        <v>538</v>
      </c>
      <c r="B17136" t="s">
        <v>4309</v>
      </c>
      <c r="C17136" t="s">
        <v>138</v>
      </c>
      <c r="D17136" t="s">
        <v>1627</v>
      </c>
      <c r="E17136">
        <f t="shared" si="812"/>
        <v>9.2592592592592587E-3</v>
      </c>
      <c r="F17136">
        <v>3</v>
      </c>
      <c r="G17136">
        <f>LOG(382/(3+1))</f>
        <v>1.9800033715837464</v>
      </c>
      <c r="H17136">
        <f>0.00925925925925925*4.55912624748668</f>
        <v>4.2214131921172925E-2</v>
      </c>
      <c r="I17136">
        <v>4.2214131921173001E-2</v>
      </c>
    </row>
    <row r="17137" spans="1:9" x14ac:dyDescent="0.25">
      <c r="A17137">
        <v>538</v>
      </c>
      <c r="B17137" t="s">
        <v>4309</v>
      </c>
      <c r="C17137" t="s">
        <v>138</v>
      </c>
      <c r="D17137" t="s">
        <v>4319</v>
      </c>
      <c r="E17137">
        <f t="shared" si="812"/>
        <v>9.2592592592592587E-3</v>
      </c>
      <c r="F17137">
        <v>1</v>
      </c>
      <c r="G17137">
        <f>LOG(382/(1+1))</f>
        <v>2.2810333672477277</v>
      </c>
      <c r="H17137">
        <f>0.00925925925925925*5.25227342804663</f>
        <v>4.8632161370802084E-2</v>
      </c>
      <c r="I17137">
        <v>4.8632161370802132E-2</v>
      </c>
    </row>
    <row r="17138" spans="1:9" x14ac:dyDescent="0.25">
      <c r="A17138">
        <v>538</v>
      </c>
      <c r="B17138" t="s">
        <v>4309</v>
      </c>
      <c r="C17138" t="s">
        <v>138</v>
      </c>
      <c r="D17138" t="s">
        <v>724</v>
      </c>
      <c r="E17138">
        <f t="shared" si="812"/>
        <v>9.2592592592592587E-3</v>
      </c>
      <c r="F17138">
        <v>9</v>
      </c>
      <c r="G17138">
        <f>LOG(382/(9+1))</f>
        <v>1.5820633629117087</v>
      </c>
      <c r="H17138">
        <f>0.00925925925925925*3.64283551561252</f>
        <v>3.3729958477893673E-2</v>
      </c>
      <c r="I17138">
        <v>3.3729958477893791E-2</v>
      </c>
    </row>
    <row r="17139" spans="1:9" x14ac:dyDescent="0.25">
      <c r="A17139">
        <v>538</v>
      </c>
      <c r="B17139" t="s">
        <v>4309</v>
      </c>
      <c r="C17139" t="s">
        <v>138</v>
      </c>
      <c r="D17139" t="s">
        <v>82</v>
      </c>
      <c r="E17139">
        <f>2/108</f>
        <v>1.8518518518518517E-2</v>
      </c>
      <c r="F17139">
        <v>92</v>
      </c>
      <c r="G17139">
        <f>LOG(382/(92+1))</f>
        <v>0.61358041435777355</v>
      </c>
      <c r="H17139">
        <f>0.0185185185185185*1.41282111545331</f>
        <v>2.6163353989876084E-2</v>
      </c>
      <c r="I17139">
        <v>2.6163353989876278E-2</v>
      </c>
    </row>
    <row r="17140" spans="1:9" x14ac:dyDescent="0.25">
      <c r="A17140">
        <v>538</v>
      </c>
      <c r="B17140" t="s">
        <v>4309</v>
      </c>
      <c r="C17140" t="s">
        <v>138</v>
      </c>
      <c r="D17140" t="s">
        <v>1921</v>
      </c>
      <c r="E17140">
        <f>1/108</f>
        <v>9.2592592592592587E-3</v>
      </c>
      <c r="F17140">
        <v>37</v>
      </c>
      <c r="G17140">
        <f>LOG(382/(37+1))</f>
        <v>1.0022797662948986</v>
      </c>
      <c r="H17140">
        <f>0.00925925925925925*2.30783444888018</f>
        <v>2.1368837489631275E-2</v>
      </c>
      <c r="I17140">
        <v>2.1368837489631379E-2</v>
      </c>
    </row>
    <row r="17141" spans="1:9" x14ac:dyDescent="0.25">
      <c r="A17141">
        <v>538</v>
      </c>
      <c r="B17141" t="s">
        <v>4309</v>
      </c>
      <c r="C17141" t="s">
        <v>138</v>
      </c>
      <c r="D17141" t="s">
        <v>3290</v>
      </c>
      <c r="E17141">
        <f>1/108</f>
        <v>9.2592592592592587E-3</v>
      </c>
      <c r="F17141">
        <v>12</v>
      </c>
      <c r="G17141">
        <f>LOG(382/(12+1))</f>
        <v>1.468120010604872</v>
      </c>
      <c r="H17141">
        <f>0.00925925925925925*3.38047125114503</f>
        <v>3.1300659732824324E-2</v>
      </c>
      <c r="I17141">
        <v>3.1300659732824428E-2</v>
      </c>
    </row>
    <row r="17142" spans="1:9" x14ac:dyDescent="0.25">
      <c r="A17142">
        <v>538</v>
      </c>
      <c r="B17142" t="s">
        <v>4309</v>
      </c>
      <c r="C17142" t="s">
        <v>138</v>
      </c>
      <c r="D17142" t="s">
        <v>1537</v>
      </c>
      <c r="E17142">
        <f>2/108</f>
        <v>1.8518518518518517E-2</v>
      </c>
      <c r="F17142">
        <v>80</v>
      </c>
      <c r="G17142">
        <f>LOG(382/(80+1))</f>
        <v>0.67357834403305894</v>
      </c>
      <c r="H17142">
        <f>0.0185185185185185*1.55097145393413</f>
        <v>2.8721693591372749E-2</v>
      </c>
      <c r="I17142">
        <v>2.8721693591372891E-2</v>
      </c>
    </row>
    <row r="17143" spans="1:9" x14ac:dyDescent="0.25">
      <c r="A17143">
        <v>538</v>
      </c>
      <c r="B17143" t="s">
        <v>4309</v>
      </c>
      <c r="C17143" t="s">
        <v>138</v>
      </c>
      <c r="D17143" t="s">
        <v>362</v>
      </c>
      <c r="E17143">
        <f>1/108</f>
        <v>9.2592592592592587E-3</v>
      </c>
      <c r="F17143">
        <v>81</v>
      </c>
      <c r="G17143">
        <f>LOG(382/(81+1))</f>
        <v>0.66824951052799197</v>
      </c>
      <c r="H17143">
        <f>0.00925925925925925*1.53870136134232</f>
        <v>1.4247234827243689E-2</v>
      </c>
      <c r="I17143">
        <v>1.4247234827243721E-2</v>
      </c>
    </row>
    <row r="17144" spans="1:9" x14ac:dyDescent="0.25">
      <c r="A17144">
        <v>538</v>
      </c>
      <c r="B17144" t="s">
        <v>4309</v>
      </c>
      <c r="C17144" t="s">
        <v>138</v>
      </c>
      <c r="D17144" t="s">
        <v>1762</v>
      </c>
      <c r="E17144">
        <f>1/108</f>
        <v>9.2592592592592587E-3</v>
      </c>
      <c r="F17144">
        <v>60</v>
      </c>
      <c r="G17144">
        <f>LOG(382/(60+1))</f>
        <v>0.79673352790094176</v>
      </c>
      <c r="H17144">
        <f>0.00925925925925925*1.83454674443326</f>
        <v>1.6986543929937575E-2</v>
      </c>
      <c r="I17144">
        <v>1.698654392993763E-2</v>
      </c>
    </row>
    <row r="17145" spans="1:9" x14ac:dyDescent="0.25">
      <c r="A17145">
        <v>538</v>
      </c>
      <c r="B17145" t="s">
        <v>4309</v>
      </c>
      <c r="C17145" t="s">
        <v>138</v>
      </c>
      <c r="D17145" t="s">
        <v>24</v>
      </c>
      <c r="E17145">
        <f>2/108</f>
        <v>1.8518518518518517E-2</v>
      </c>
      <c r="F17145">
        <v>59</v>
      </c>
      <c r="G17145">
        <f>LOG(382/(59+1))</f>
        <v>0.80391211252806505</v>
      </c>
      <c r="H17145">
        <f>0.0185185185185185*1.85107604638447</f>
        <v>3.427918604415682E-2</v>
      </c>
      <c r="I17145">
        <v>3.4279186044156931E-2</v>
      </c>
    </row>
    <row r="17146" spans="1:9" x14ac:dyDescent="0.25">
      <c r="A17146">
        <v>538</v>
      </c>
      <c r="B17146" t="s">
        <v>4309</v>
      </c>
      <c r="C17146" t="s">
        <v>138</v>
      </c>
      <c r="D17146" t="s">
        <v>818</v>
      </c>
      <c r="E17146">
        <f t="shared" ref="E17146:E17159" si="813">1/108</f>
        <v>9.2592592592592587E-3</v>
      </c>
      <c r="F17146">
        <v>7</v>
      </c>
      <c r="G17146">
        <f>LOG(382/(7+1))</f>
        <v>1.6789733759197651</v>
      </c>
      <c r="H17146">
        <f>0.00925925925925925*3.86597906692673</f>
        <v>3.5796102471543766E-2</v>
      </c>
      <c r="I17146">
        <v>3.5796102471543877E-2</v>
      </c>
    </row>
    <row r="17147" spans="1:9" x14ac:dyDescent="0.25">
      <c r="A17147">
        <v>538</v>
      </c>
      <c r="B17147" t="s">
        <v>4309</v>
      </c>
      <c r="C17147" t="s">
        <v>138</v>
      </c>
      <c r="D17147" t="s">
        <v>2067</v>
      </c>
      <c r="E17147">
        <f t="shared" si="813"/>
        <v>9.2592592592592587E-3</v>
      </c>
      <c r="F17147">
        <v>6</v>
      </c>
      <c r="G17147">
        <f>LOG(382/(6+1))</f>
        <v>1.736965322897452</v>
      </c>
      <c r="H17147">
        <f>0.00925925925925925*3.99951045955126</f>
        <v>3.7032504255104223E-2</v>
      </c>
      <c r="I17147">
        <v>3.7032504255104272E-2</v>
      </c>
    </row>
    <row r="17148" spans="1:9" x14ac:dyDescent="0.25">
      <c r="A17148">
        <v>538</v>
      </c>
      <c r="B17148" t="s">
        <v>4309</v>
      </c>
      <c r="C17148" t="s">
        <v>138</v>
      </c>
      <c r="D17148" t="s">
        <v>125</v>
      </c>
      <c r="E17148">
        <f t="shared" si="813"/>
        <v>9.2592592592592587E-3</v>
      </c>
      <c r="F17148">
        <v>9</v>
      </c>
      <c r="G17148">
        <f>LOG(382/(9+1))</f>
        <v>1.5820633629117087</v>
      </c>
      <c r="H17148">
        <f>0.00925925925925925*3.64283551561252</f>
        <v>3.3729958477893673E-2</v>
      </c>
      <c r="I17148">
        <v>3.3729958477893791E-2</v>
      </c>
    </row>
    <row r="17149" spans="1:9" x14ac:dyDescent="0.25">
      <c r="A17149">
        <v>538</v>
      </c>
      <c r="B17149" t="s">
        <v>4309</v>
      </c>
      <c r="C17149" t="s">
        <v>138</v>
      </c>
      <c r="D17149" t="s">
        <v>1827</v>
      </c>
      <c r="E17149">
        <f t="shared" si="813"/>
        <v>9.2592592592592587E-3</v>
      </c>
      <c r="F17149">
        <v>9</v>
      </c>
      <c r="G17149">
        <f>LOG(382/(9+1))</f>
        <v>1.5820633629117087</v>
      </c>
      <c r="H17149">
        <f>0.00925925925925925*3.64283551561252</f>
        <v>3.3729958477893673E-2</v>
      </c>
      <c r="I17149">
        <v>3.3729958477893791E-2</v>
      </c>
    </row>
    <row r="17150" spans="1:9" x14ac:dyDescent="0.25">
      <c r="A17150">
        <v>538</v>
      </c>
      <c r="B17150" t="s">
        <v>4309</v>
      </c>
      <c r="C17150" t="s">
        <v>138</v>
      </c>
      <c r="D17150" t="s">
        <v>754</v>
      </c>
      <c r="E17150">
        <f t="shared" si="813"/>
        <v>9.2592592592592587E-3</v>
      </c>
      <c r="F17150">
        <v>111</v>
      </c>
      <c r="G17150">
        <f>LOG(382/(111+1))</f>
        <v>0.53284534024152708</v>
      </c>
      <c r="H17150">
        <f>0.00925925925925925*1.22692173731148</f>
        <v>1.1360386456587766E-2</v>
      </c>
      <c r="I17150">
        <v>1.136038645658778E-2</v>
      </c>
    </row>
    <row r="17151" spans="1:9" x14ac:dyDescent="0.25">
      <c r="A17151">
        <v>538</v>
      </c>
      <c r="B17151" t="s">
        <v>4309</v>
      </c>
      <c r="C17151" t="s">
        <v>138</v>
      </c>
      <c r="D17151" t="s">
        <v>25</v>
      </c>
      <c r="E17151">
        <f t="shared" si="813"/>
        <v>9.2592592592592587E-3</v>
      </c>
      <c r="F17151">
        <v>106</v>
      </c>
      <c r="G17151">
        <f>LOG(382/(106+1))</f>
        <v>0.55267958522649907</v>
      </c>
      <c r="H17151">
        <f>0.00925925925925925*1.27259177414466</f>
        <v>1.1783257168006099E-2</v>
      </c>
      <c r="I17151">
        <v>1.1783257168006191E-2</v>
      </c>
    </row>
    <row r="17152" spans="1:9" x14ac:dyDescent="0.25">
      <c r="A17152">
        <v>538</v>
      </c>
      <c r="B17152" t="s">
        <v>4309</v>
      </c>
      <c r="C17152" t="s">
        <v>138</v>
      </c>
      <c r="D17152" t="s">
        <v>1532</v>
      </c>
      <c r="E17152">
        <f t="shared" si="813"/>
        <v>9.2592592592592587E-3</v>
      </c>
      <c r="F17152">
        <v>28</v>
      </c>
      <c r="G17152">
        <f>LOG(382/(28+1))</f>
        <v>1.1196653650127526</v>
      </c>
      <c r="H17152">
        <f>0.00925925925925925*2.5781247786201</f>
        <v>2.3871525727963864E-2</v>
      </c>
      <c r="I17152">
        <v>2.3871525727963899E-2</v>
      </c>
    </row>
    <row r="17153" spans="1:9" x14ac:dyDescent="0.25">
      <c r="A17153">
        <v>538</v>
      </c>
      <c r="B17153" t="s">
        <v>4309</v>
      </c>
      <c r="C17153" t="s">
        <v>138</v>
      </c>
      <c r="D17153" t="s">
        <v>1533</v>
      </c>
      <c r="E17153">
        <f t="shared" si="813"/>
        <v>9.2592592592592587E-3</v>
      </c>
      <c r="F17153">
        <v>33</v>
      </c>
      <c r="G17153">
        <f>LOG(382/(33+1))</f>
        <v>1.0505844458694535</v>
      </c>
      <c r="H17153">
        <f>0.00925925925925925*2.41906008399041</f>
        <v>2.2398704481392664E-2</v>
      </c>
      <c r="I17153">
        <v>2.2398704481392719E-2</v>
      </c>
    </row>
    <row r="17154" spans="1:9" x14ac:dyDescent="0.25">
      <c r="A17154">
        <v>538</v>
      </c>
      <c r="B17154" t="s">
        <v>4309</v>
      </c>
      <c r="C17154" t="s">
        <v>138</v>
      </c>
      <c r="D17154" t="s">
        <v>3330</v>
      </c>
      <c r="E17154">
        <f t="shared" si="813"/>
        <v>9.2592592592592587E-3</v>
      </c>
      <c r="F17154">
        <v>3</v>
      </c>
      <c r="G17154">
        <f>LOG(382/(3+1))</f>
        <v>1.9800033715837464</v>
      </c>
      <c r="H17154">
        <f>0.00925925925925925*4.55912624748668</f>
        <v>4.2214131921172925E-2</v>
      </c>
      <c r="I17154">
        <v>4.2214131921173001E-2</v>
      </c>
    </row>
    <row r="17155" spans="1:9" x14ac:dyDescent="0.25">
      <c r="A17155">
        <v>538</v>
      </c>
      <c r="B17155" t="s">
        <v>4309</v>
      </c>
      <c r="C17155" t="s">
        <v>138</v>
      </c>
      <c r="D17155" t="s">
        <v>4320</v>
      </c>
      <c r="E17155">
        <f t="shared" si="813"/>
        <v>9.2592592592592587E-3</v>
      </c>
      <c r="F17155">
        <v>1</v>
      </c>
      <c r="G17155">
        <f>LOG(382/(1+1))</f>
        <v>2.2810333672477277</v>
      </c>
      <c r="H17155">
        <f>0.00925925925925925*5.25227342804663</f>
        <v>4.8632161370802084E-2</v>
      </c>
      <c r="I17155">
        <v>4.8632161370802132E-2</v>
      </c>
    </row>
    <row r="17156" spans="1:9" x14ac:dyDescent="0.25">
      <c r="A17156">
        <v>538</v>
      </c>
      <c r="B17156" t="s">
        <v>4309</v>
      </c>
      <c r="C17156" t="s">
        <v>138</v>
      </c>
      <c r="D17156" t="s">
        <v>4321</v>
      </c>
      <c r="E17156">
        <f t="shared" si="813"/>
        <v>9.2592592592592587E-3</v>
      </c>
      <c r="F17156">
        <v>1</v>
      </c>
      <c r="G17156">
        <f>LOG(382/(1+1))</f>
        <v>2.2810333672477277</v>
      </c>
      <c r="H17156">
        <f>0.00925925925925925*5.25227342804663</f>
        <v>4.8632161370802084E-2</v>
      </c>
      <c r="I17156">
        <v>4.8632161370802132E-2</v>
      </c>
    </row>
    <row r="17157" spans="1:9" x14ac:dyDescent="0.25">
      <c r="A17157">
        <v>538</v>
      </c>
      <c r="B17157" t="s">
        <v>4309</v>
      </c>
      <c r="C17157" t="s">
        <v>138</v>
      </c>
      <c r="D17157" t="s">
        <v>4062</v>
      </c>
      <c r="E17157">
        <f t="shared" si="813"/>
        <v>9.2592592592592587E-3</v>
      </c>
      <c r="F17157">
        <v>3</v>
      </c>
      <c r="G17157">
        <f>LOG(382/(3+1))</f>
        <v>1.9800033715837464</v>
      </c>
      <c r="H17157">
        <f>0.00925925925925925*4.55912624748668</f>
        <v>4.2214131921172925E-2</v>
      </c>
      <c r="I17157">
        <v>4.2214131921173001E-2</v>
      </c>
    </row>
    <row r="17158" spans="1:9" x14ac:dyDescent="0.25">
      <c r="A17158">
        <v>538</v>
      </c>
      <c r="B17158" t="s">
        <v>4309</v>
      </c>
      <c r="C17158" t="s">
        <v>138</v>
      </c>
      <c r="D17158" t="s">
        <v>1222</v>
      </c>
      <c r="E17158">
        <f t="shared" si="813"/>
        <v>9.2592592592592587E-3</v>
      </c>
      <c r="F17158">
        <v>56</v>
      </c>
      <c r="G17158">
        <f>LOG(382/(56+1))</f>
        <v>0.82618850723921733</v>
      </c>
      <c r="H17158">
        <f>0.00925925925925925*1.90236934077202</f>
        <v>1.7614530933074243E-2</v>
      </c>
      <c r="I17158">
        <v>1.7614530933074309E-2</v>
      </c>
    </row>
    <row r="17159" spans="1:9" x14ac:dyDescent="0.25">
      <c r="A17159">
        <v>538</v>
      </c>
      <c r="B17159" t="s">
        <v>4309</v>
      </c>
      <c r="C17159" t="s">
        <v>138</v>
      </c>
      <c r="D17159" t="s">
        <v>597</v>
      </c>
      <c r="E17159">
        <f t="shared" si="813"/>
        <v>9.2592592592592587E-3</v>
      </c>
      <c r="F17159">
        <v>51</v>
      </c>
      <c r="G17159">
        <f>LOG(382/(51+1))</f>
        <v>0.86606001927690957</v>
      </c>
      <c r="H17159">
        <f>0.00925925925925925*1.99417689002514</f>
        <v>1.8464600833566092E-2</v>
      </c>
      <c r="I17159">
        <v>1.8464600833566179E-2</v>
      </c>
    </row>
    <row r="17160" spans="1:9" x14ac:dyDescent="0.25">
      <c r="A17160">
        <v>538</v>
      </c>
      <c r="B17160" t="s">
        <v>4309</v>
      </c>
      <c r="C17160" t="s">
        <v>138</v>
      </c>
      <c r="D17160" t="s">
        <v>447</v>
      </c>
      <c r="E17160">
        <f>2/108</f>
        <v>1.8518518518518517E-2</v>
      </c>
      <c r="F17160">
        <v>37</v>
      </c>
      <c r="G17160">
        <f>LOG(382/(37+1))</f>
        <v>1.0022797662948986</v>
      </c>
      <c r="H17160">
        <f>0.0185185185185185*2.30783444888018</f>
        <v>4.2737674979262549E-2</v>
      </c>
      <c r="I17160">
        <v>4.2737674979262757E-2</v>
      </c>
    </row>
    <row r="17161" spans="1:9" x14ac:dyDescent="0.25">
      <c r="A17161">
        <v>538</v>
      </c>
      <c r="B17161" t="s">
        <v>4309</v>
      </c>
      <c r="C17161" t="s">
        <v>138</v>
      </c>
      <c r="D17161" t="s">
        <v>3944</v>
      </c>
      <c r="E17161">
        <f t="shared" ref="E17161:E17166" si="814">1/108</f>
        <v>9.2592592592592587E-3</v>
      </c>
      <c r="F17161">
        <v>6</v>
      </c>
      <c r="G17161">
        <f>LOG(382/(6+1))</f>
        <v>1.736965322897452</v>
      </c>
      <c r="H17161">
        <f>0.00925925925925925*3.99951045955126</f>
        <v>3.7032504255104223E-2</v>
      </c>
      <c r="I17161">
        <v>3.7032504255104272E-2</v>
      </c>
    </row>
    <row r="17162" spans="1:9" x14ac:dyDescent="0.25">
      <c r="A17162">
        <v>538</v>
      </c>
      <c r="B17162" t="s">
        <v>4309</v>
      </c>
      <c r="C17162" t="s">
        <v>138</v>
      </c>
      <c r="D17162" t="s">
        <v>4322</v>
      </c>
      <c r="E17162">
        <f t="shared" si="814"/>
        <v>9.2592592592592587E-3</v>
      </c>
      <c r="F17162">
        <v>1</v>
      </c>
      <c r="G17162">
        <f>LOG(382/(1+1))</f>
        <v>2.2810333672477277</v>
      </c>
      <c r="H17162">
        <f>0.00925925925925925*5.25227342804663</f>
        <v>4.8632161370802084E-2</v>
      </c>
      <c r="I17162">
        <v>4.8632161370802132E-2</v>
      </c>
    </row>
    <row r="17163" spans="1:9" x14ac:dyDescent="0.25">
      <c r="A17163">
        <v>538</v>
      </c>
      <c r="B17163" t="s">
        <v>4309</v>
      </c>
      <c r="C17163" t="s">
        <v>138</v>
      </c>
      <c r="D17163" t="s">
        <v>81</v>
      </c>
      <c r="E17163">
        <f t="shared" si="814"/>
        <v>9.2592592592592587E-3</v>
      </c>
      <c r="F17163">
        <v>114</v>
      </c>
      <c r="G17163">
        <f>LOG(382/(114+1))</f>
        <v>0.52136552255809698</v>
      </c>
      <c r="H17163">
        <f>0.00925925925925925*1.20048848024332</f>
        <v>1.1115634076327026E-2</v>
      </c>
      <c r="I17163">
        <v>1.1115634076327079E-2</v>
      </c>
    </row>
    <row r="17164" spans="1:9" x14ac:dyDescent="0.25">
      <c r="A17164">
        <v>538</v>
      </c>
      <c r="B17164" t="s">
        <v>4309</v>
      </c>
      <c r="C17164" t="s">
        <v>138</v>
      </c>
      <c r="D17164" t="s">
        <v>398</v>
      </c>
      <c r="E17164">
        <f t="shared" si="814"/>
        <v>9.2592592592592587E-3</v>
      </c>
      <c r="F17164">
        <v>14</v>
      </c>
      <c r="G17164">
        <f>LOG(382/(14+1))</f>
        <v>1.4059721038560276</v>
      </c>
      <c r="H17164">
        <f>0.00925925925925925*3.23737040750436</f>
        <v>2.9975651921336634E-2</v>
      </c>
      <c r="I17164">
        <v>2.9975651921336711E-2</v>
      </c>
    </row>
    <row r="17165" spans="1:9" x14ac:dyDescent="0.25">
      <c r="A17165">
        <v>538</v>
      </c>
      <c r="B17165" t="s">
        <v>4309</v>
      </c>
      <c r="C17165" t="s">
        <v>138</v>
      </c>
      <c r="D17165" t="s">
        <v>836</v>
      </c>
      <c r="E17165">
        <f t="shared" si="814"/>
        <v>9.2592592592592587E-3</v>
      </c>
      <c r="F17165">
        <v>21</v>
      </c>
      <c r="G17165">
        <f>LOG(382/(21+1))</f>
        <v>1.2396406820895025</v>
      </c>
      <c r="H17165">
        <f>0.00925925925925925*2.85437815524825</f>
        <v>2.6429427363409697E-2</v>
      </c>
      <c r="I17165">
        <v>2.6429427363409811E-2</v>
      </c>
    </row>
    <row r="17166" spans="1:9" x14ac:dyDescent="0.25">
      <c r="A17166">
        <v>538</v>
      </c>
      <c r="B17166" t="s">
        <v>4309</v>
      </c>
      <c r="C17166" t="s">
        <v>138</v>
      </c>
      <c r="D17166" t="s">
        <v>4323</v>
      </c>
      <c r="E17166">
        <f t="shared" si="814"/>
        <v>9.2592592592592587E-3</v>
      </c>
      <c r="F17166">
        <v>1</v>
      </c>
      <c r="G17166">
        <f>LOG(382/(1+1))</f>
        <v>2.2810333672477277</v>
      </c>
      <c r="H17166">
        <f>0.00925925925925925*5.25227342804663</f>
        <v>4.8632161370802084E-2</v>
      </c>
      <c r="I17166">
        <v>4.8632161370802132E-2</v>
      </c>
    </row>
    <row r="17167" spans="1:9" x14ac:dyDescent="0.25">
      <c r="A17167">
        <v>539</v>
      </c>
      <c r="B17167" t="s">
        <v>4324</v>
      </c>
      <c r="C17167" t="s">
        <v>138</v>
      </c>
      <c r="D17167" t="s">
        <v>2173</v>
      </c>
      <c r="E17167">
        <f t="shared" ref="E17167:E17180" si="815">1/14</f>
        <v>7.1428571428571425E-2</v>
      </c>
      <c r="F17167">
        <v>5</v>
      </c>
      <c r="G17167">
        <f>LOG(382/(5+1))</f>
        <v>1.803912112528065</v>
      </c>
      <c r="H17167">
        <f>0.0714285714285714*4.15366113937852</f>
        <v>0.29669008138417985</v>
      </c>
      <c r="I17167">
        <v>0.29669008138418002</v>
      </c>
    </row>
    <row r="17168" spans="1:9" x14ac:dyDescent="0.25">
      <c r="A17168">
        <v>539</v>
      </c>
      <c r="B17168" t="s">
        <v>4324</v>
      </c>
      <c r="C17168" t="s">
        <v>138</v>
      </c>
      <c r="D17168" t="s">
        <v>4325</v>
      </c>
      <c r="E17168">
        <f t="shared" si="815"/>
        <v>7.1428571428571425E-2</v>
      </c>
      <c r="F17168">
        <v>2</v>
      </c>
      <c r="G17168">
        <f>LOG(382/(2+1))</f>
        <v>2.1049421081920463</v>
      </c>
      <c r="H17168">
        <f>0.0714285714285714*4.84680831993846</f>
        <v>0.34620059428131844</v>
      </c>
      <c r="I17168">
        <v>0.34620059428131889</v>
      </c>
    </row>
    <row r="17169" spans="1:9" x14ac:dyDescent="0.25">
      <c r="A17169">
        <v>539</v>
      </c>
      <c r="B17169" t="s">
        <v>4324</v>
      </c>
      <c r="C17169" t="s">
        <v>138</v>
      </c>
      <c r="D17169" t="s">
        <v>1208</v>
      </c>
      <c r="E17169">
        <f t="shared" si="815"/>
        <v>7.1428571428571425E-2</v>
      </c>
      <c r="F17169">
        <v>10</v>
      </c>
      <c r="G17169">
        <f>LOG(382/(10+1))</f>
        <v>1.5406706777534838</v>
      </c>
      <c r="H17169">
        <f>0.0714285714285714*3.5475253358082</f>
        <v>0.25339466684344275</v>
      </c>
      <c r="I17169">
        <v>0.25339466684344319</v>
      </c>
    </row>
    <row r="17170" spans="1:9" x14ac:dyDescent="0.25">
      <c r="A17170">
        <v>539</v>
      </c>
      <c r="B17170" t="s">
        <v>4324</v>
      </c>
      <c r="C17170" t="s">
        <v>138</v>
      </c>
      <c r="D17170" t="s">
        <v>42</v>
      </c>
      <c r="E17170">
        <f t="shared" si="815"/>
        <v>7.1428571428571425E-2</v>
      </c>
      <c r="F17170">
        <v>251</v>
      </c>
      <c r="G17170">
        <f>LOG(382/(251+1))</f>
        <v>0.18066282213016463</v>
      </c>
      <c r="H17170">
        <f>0.0714285714285714*0.415991521095151</f>
        <v>2.9713680078225058E-2</v>
      </c>
      <c r="I17170">
        <v>2.971368007822513E-2</v>
      </c>
    </row>
    <row r="17171" spans="1:9" x14ac:dyDescent="0.25">
      <c r="A17171">
        <v>539</v>
      </c>
      <c r="B17171" t="s">
        <v>4324</v>
      </c>
      <c r="C17171" t="s">
        <v>138</v>
      </c>
      <c r="D17171" t="s">
        <v>636</v>
      </c>
      <c r="E17171">
        <f t="shared" si="815"/>
        <v>7.1428571428571425E-2</v>
      </c>
      <c r="F17171">
        <v>31</v>
      </c>
      <c r="G17171">
        <f>LOG(382/(31+1))</f>
        <v>1.0769133845918029</v>
      </c>
      <c r="H17171">
        <f>0.0714285714285714*2.47968470580684</f>
        <v>0.17712033612905992</v>
      </c>
      <c r="I17171">
        <v>0.17712033612906061</v>
      </c>
    </row>
    <row r="17172" spans="1:9" x14ac:dyDescent="0.25">
      <c r="A17172">
        <v>539</v>
      </c>
      <c r="B17172" t="s">
        <v>4324</v>
      </c>
      <c r="C17172" t="s">
        <v>138</v>
      </c>
      <c r="D17172" t="s">
        <v>637</v>
      </c>
      <c r="E17172">
        <f t="shared" si="815"/>
        <v>7.1428571428571425E-2</v>
      </c>
      <c r="F17172">
        <v>29</v>
      </c>
      <c r="G17172">
        <f>LOG(382/(29+1))</f>
        <v>1.1049421081920463</v>
      </c>
      <c r="H17172">
        <f>0.0714285714285714*2.54422322694442</f>
        <v>0.1817302304960299</v>
      </c>
      <c r="I17172">
        <v>0.18173023049602999</v>
      </c>
    </row>
    <row r="17173" spans="1:9" x14ac:dyDescent="0.25">
      <c r="A17173">
        <v>539</v>
      </c>
      <c r="B17173" t="s">
        <v>4324</v>
      </c>
      <c r="C17173" t="s">
        <v>138</v>
      </c>
      <c r="D17173" t="s">
        <v>204</v>
      </c>
      <c r="E17173">
        <f t="shared" si="815"/>
        <v>7.1428571428571425E-2</v>
      </c>
      <c r="F17173">
        <v>166</v>
      </c>
      <c r="G17173">
        <f>LOG(382/(166+1))</f>
        <v>0.35934689176412549</v>
      </c>
      <c r="H17173">
        <f>0.0714285714285714*0.82742679618982</f>
        <v>5.9101914013558542E-2</v>
      </c>
      <c r="I17173">
        <v>5.9101914013558583E-2</v>
      </c>
    </row>
    <row r="17174" spans="1:9" x14ac:dyDescent="0.25">
      <c r="A17174">
        <v>539</v>
      </c>
      <c r="B17174" t="s">
        <v>4324</v>
      </c>
      <c r="C17174" t="s">
        <v>138</v>
      </c>
      <c r="D17174" t="s">
        <v>322</v>
      </c>
      <c r="E17174">
        <f t="shared" si="815"/>
        <v>7.1428571428571425E-2</v>
      </c>
      <c r="F17174">
        <v>128</v>
      </c>
      <c r="G17174">
        <f>LOG(382/(128+1))</f>
        <v>0.47147365261245977</v>
      </c>
      <c r="H17174">
        <f>0.0714285714285714*1.0856082042449</f>
        <v>7.7543443160349973E-2</v>
      </c>
      <c r="I17174">
        <v>7.7543443160350223E-2</v>
      </c>
    </row>
    <row r="17175" spans="1:9" x14ac:dyDescent="0.25">
      <c r="A17175">
        <v>539</v>
      </c>
      <c r="B17175" t="s">
        <v>4324</v>
      </c>
      <c r="C17175" t="s">
        <v>138</v>
      </c>
      <c r="D17175" t="s">
        <v>570</v>
      </c>
      <c r="E17175">
        <f t="shared" si="815"/>
        <v>7.1428571428571425E-2</v>
      </c>
      <c r="F17175">
        <v>27</v>
      </c>
      <c r="G17175">
        <f>LOG(382/(27+1))</f>
        <v>1.1349053315694895</v>
      </c>
      <c r="H17175">
        <f>0.0714285714285714*2.61321609843137</f>
        <v>0.18665829274509779</v>
      </c>
      <c r="I17175">
        <v>0.1866582927450979</v>
      </c>
    </row>
    <row r="17176" spans="1:9" x14ac:dyDescent="0.25">
      <c r="A17176">
        <v>539</v>
      </c>
      <c r="B17176" t="s">
        <v>4324</v>
      </c>
      <c r="C17176" t="s">
        <v>138</v>
      </c>
      <c r="D17176" t="s">
        <v>4173</v>
      </c>
      <c r="E17176">
        <f t="shared" si="815"/>
        <v>7.1428571428571425E-2</v>
      </c>
      <c r="F17176">
        <v>3</v>
      </c>
      <c r="G17176">
        <f>LOG(382/(3+1))</f>
        <v>1.9800033715837464</v>
      </c>
      <c r="H17176">
        <f>0.0714285714285714*4.55912624748668</f>
        <v>0.32565187482047703</v>
      </c>
      <c r="I17176">
        <v>0.32565187482047753</v>
      </c>
    </row>
    <row r="17177" spans="1:9" x14ac:dyDescent="0.25">
      <c r="A17177">
        <v>539</v>
      </c>
      <c r="B17177" t="s">
        <v>4324</v>
      </c>
      <c r="C17177" t="s">
        <v>138</v>
      </c>
      <c r="D17177" t="s">
        <v>1537</v>
      </c>
      <c r="E17177">
        <f t="shared" si="815"/>
        <v>7.1428571428571425E-2</v>
      </c>
      <c r="F17177">
        <v>80</v>
      </c>
      <c r="G17177">
        <f>LOG(382/(80+1))</f>
        <v>0.67357834403305894</v>
      </c>
      <c r="H17177">
        <f>0.0714285714285714*1.55097145393413</f>
        <v>0.11078367528100923</v>
      </c>
      <c r="I17177">
        <v>0.1107836752810097</v>
      </c>
    </row>
    <row r="17178" spans="1:9" x14ac:dyDescent="0.25">
      <c r="A17178">
        <v>539</v>
      </c>
      <c r="B17178" t="s">
        <v>4324</v>
      </c>
      <c r="C17178" t="s">
        <v>138</v>
      </c>
      <c r="D17178" t="s">
        <v>81</v>
      </c>
      <c r="E17178">
        <f t="shared" si="815"/>
        <v>7.1428571428571425E-2</v>
      </c>
      <c r="F17178">
        <v>114</v>
      </c>
      <c r="G17178">
        <f>LOG(382/(114+1))</f>
        <v>0.52136552255809698</v>
      </c>
      <c r="H17178">
        <f>0.0714285714285714*1.20048848024332</f>
        <v>8.5749177160237111E-2</v>
      </c>
      <c r="I17178">
        <v>8.57491771602375E-2</v>
      </c>
    </row>
    <row r="17179" spans="1:9" x14ac:dyDescent="0.25">
      <c r="A17179">
        <v>539</v>
      </c>
      <c r="B17179" t="s">
        <v>4324</v>
      </c>
      <c r="C17179" t="s">
        <v>138</v>
      </c>
      <c r="D17179" t="s">
        <v>4326</v>
      </c>
      <c r="E17179">
        <f t="shared" si="815"/>
        <v>7.1428571428571425E-2</v>
      </c>
      <c r="F17179">
        <v>3</v>
      </c>
      <c r="G17179">
        <f>LOG(382/(3+1))</f>
        <v>1.9800033715837464</v>
      </c>
      <c r="H17179">
        <f>0.0714285714285714*4.55912624748668</f>
        <v>0.32565187482047703</v>
      </c>
      <c r="I17179">
        <v>0.32565187482047753</v>
      </c>
    </row>
    <row r="17180" spans="1:9" x14ac:dyDescent="0.25">
      <c r="A17180">
        <v>539</v>
      </c>
      <c r="B17180" t="s">
        <v>4324</v>
      </c>
      <c r="C17180" t="s">
        <v>138</v>
      </c>
      <c r="D17180" t="s">
        <v>1083</v>
      </c>
      <c r="E17180">
        <f t="shared" si="815"/>
        <v>7.1428571428571425E-2</v>
      </c>
      <c r="F17180">
        <v>51</v>
      </c>
      <c r="G17180">
        <f>LOG(382/(51+1))</f>
        <v>0.86606001927690957</v>
      </c>
      <c r="H17180">
        <f>0.0714285714285714*1.99417689002514</f>
        <v>0.14244120643036709</v>
      </c>
      <c r="I17180">
        <v>0.1424412064303677</v>
      </c>
    </row>
    <row r="17181" spans="1:9" x14ac:dyDescent="0.25">
      <c r="A17181">
        <v>540</v>
      </c>
      <c r="B17181" t="s">
        <v>4327</v>
      </c>
      <c r="C17181" t="s">
        <v>75</v>
      </c>
      <c r="D17181" t="s">
        <v>4181</v>
      </c>
      <c r="E17181">
        <f>1/72</f>
        <v>1.3888888888888888E-2</v>
      </c>
      <c r="F17181">
        <v>2</v>
      </c>
      <c r="G17181">
        <f>LOG(382/(2+1))</f>
        <v>2.1049421081920463</v>
      </c>
      <c r="H17181">
        <f>0.0138888888888888*4.84680831993846</f>
        <v>6.7316782221367069E-2</v>
      </c>
      <c r="I17181">
        <v>6.7316782221367569E-2</v>
      </c>
    </row>
    <row r="17182" spans="1:9" x14ac:dyDescent="0.25">
      <c r="A17182">
        <v>540</v>
      </c>
      <c r="B17182" t="s">
        <v>4327</v>
      </c>
      <c r="C17182" t="s">
        <v>75</v>
      </c>
      <c r="D17182" t="s">
        <v>4328</v>
      </c>
      <c r="E17182">
        <f>1/72</f>
        <v>1.3888888888888888E-2</v>
      </c>
      <c r="F17182">
        <v>1</v>
      </c>
      <c r="G17182">
        <f>LOG(382/(1+1))</f>
        <v>2.2810333672477277</v>
      </c>
      <c r="H17182">
        <f>0.0138888888888888*5.25227342804663</f>
        <v>7.294824205620272E-2</v>
      </c>
      <c r="I17182">
        <v>7.2948242056203191E-2</v>
      </c>
    </row>
    <row r="17183" spans="1:9" x14ac:dyDescent="0.25">
      <c r="A17183">
        <v>540</v>
      </c>
      <c r="B17183" t="s">
        <v>4327</v>
      </c>
      <c r="C17183" t="s">
        <v>75</v>
      </c>
      <c r="D17183" t="s">
        <v>744</v>
      </c>
      <c r="E17183">
        <f>3/72</f>
        <v>4.1666666666666664E-2</v>
      </c>
      <c r="F17183">
        <v>28</v>
      </c>
      <c r="G17183">
        <f>LOG(382/(28+1))</f>
        <v>1.1196653650127526</v>
      </c>
      <c r="H17183">
        <f>0.0416666666666666*2.5781247786201</f>
        <v>0.10742186577583733</v>
      </c>
      <c r="I17183">
        <v>0.1074218657758375</v>
      </c>
    </row>
    <row r="17184" spans="1:9" x14ac:dyDescent="0.25">
      <c r="A17184">
        <v>540</v>
      </c>
      <c r="B17184" t="s">
        <v>4327</v>
      </c>
      <c r="C17184" t="s">
        <v>75</v>
      </c>
      <c r="D17184" t="s">
        <v>42</v>
      </c>
      <c r="E17184">
        <f t="shared" ref="E17184:E17193" si="816">1/72</f>
        <v>1.3888888888888888E-2</v>
      </c>
      <c r="F17184">
        <v>251</v>
      </c>
      <c r="G17184">
        <f>LOG(382/(251+1))</f>
        <v>0.18066282213016463</v>
      </c>
      <c r="H17184">
        <f>0.0138888888888888*0.415991521095151</f>
        <v>5.7776600152103933E-3</v>
      </c>
      <c r="I17184">
        <v>5.7776600152104418E-3</v>
      </c>
    </row>
    <row r="17185" spans="1:9" x14ac:dyDescent="0.25">
      <c r="A17185">
        <v>540</v>
      </c>
      <c r="B17185" t="s">
        <v>4327</v>
      </c>
      <c r="C17185" t="s">
        <v>75</v>
      </c>
      <c r="D17185" t="s">
        <v>1496</v>
      </c>
      <c r="E17185">
        <f t="shared" si="816"/>
        <v>1.3888888888888888E-2</v>
      </c>
      <c r="F17185">
        <v>39</v>
      </c>
      <c r="G17185">
        <f>LOG(382/(39+1))</f>
        <v>0.9800033715837464</v>
      </c>
      <c r="H17185">
        <f>0.0138888888888888*2.25654115449263</f>
        <v>3.1340849367952998E-2</v>
      </c>
      <c r="I17185">
        <v>3.1340849367953318E-2</v>
      </c>
    </row>
    <row r="17186" spans="1:9" x14ac:dyDescent="0.25">
      <c r="A17186">
        <v>540</v>
      </c>
      <c r="B17186" t="s">
        <v>4327</v>
      </c>
      <c r="C17186" t="s">
        <v>75</v>
      </c>
      <c r="D17186" t="s">
        <v>4105</v>
      </c>
      <c r="E17186">
        <f t="shared" si="816"/>
        <v>1.3888888888888888E-2</v>
      </c>
      <c r="F17186">
        <v>2</v>
      </c>
      <c r="G17186">
        <f>LOG(382/(2+1))</f>
        <v>2.1049421081920463</v>
      </c>
      <c r="H17186">
        <f>0.0138888888888888*4.84680831993846</f>
        <v>6.7316782221367069E-2</v>
      </c>
      <c r="I17186">
        <v>6.7316782221367569E-2</v>
      </c>
    </row>
    <row r="17187" spans="1:9" x14ac:dyDescent="0.25">
      <c r="A17187">
        <v>540</v>
      </c>
      <c r="B17187" t="s">
        <v>4327</v>
      </c>
      <c r="C17187" t="s">
        <v>75</v>
      </c>
      <c r="D17187" t="s">
        <v>4329</v>
      </c>
      <c r="E17187">
        <f t="shared" si="816"/>
        <v>1.3888888888888888E-2</v>
      </c>
      <c r="F17187">
        <v>1</v>
      </c>
      <c r="G17187">
        <f>LOG(382/(1+1))</f>
        <v>2.2810333672477277</v>
      </c>
      <c r="H17187">
        <f>0.0138888888888888*5.25227342804663</f>
        <v>7.294824205620272E-2</v>
      </c>
      <c r="I17187">
        <v>7.2948242056203191E-2</v>
      </c>
    </row>
    <row r="17188" spans="1:9" x14ac:dyDescent="0.25">
      <c r="A17188">
        <v>540</v>
      </c>
      <c r="B17188" t="s">
        <v>4327</v>
      </c>
      <c r="C17188" t="s">
        <v>75</v>
      </c>
      <c r="D17188" t="s">
        <v>1117</v>
      </c>
      <c r="E17188">
        <f t="shared" si="816"/>
        <v>1.3888888888888888E-2</v>
      </c>
      <c r="F17188">
        <v>4</v>
      </c>
      <c r="G17188">
        <f>LOG(382/(4+1))</f>
        <v>1.8830933585756899</v>
      </c>
      <c r="H17188">
        <f>0.0138888888888888*4.33598269617247</f>
        <v>6.0221981891283922E-2</v>
      </c>
      <c r="I17188">
        <v>6.0221981891284367E-2</v>
      </c>
    </row>
    <row r="17189" spans="1:9" x14ac:dyDescent="0.25">
      <c r="A17189">
        <v>540</v>
      </c>
      <c r="B17189" t="s">
        <v>4327</v>
      </c>
      <c r="C17189" t="s">
        <v>75</v>
      </c>
      <c r="D17189" t="s">
        <v>104</v>
      </c>
      <c r="E17189">
        <f t="shared" si="816"/>
        <v>1.3888888888888888E-2</v>
      </c>
      <c r="F17189">
        <v>49</v>
      </c>
      <c r="G17189">
        <f>LOG(382/(49+1))</f>
        <v>0.88309335857568994</v>
      </c>
      <c r="H17189">
        <f>0.0138888888888888*2.03339760317842</f>
        <v>2.8241633377477874E-2</v>
      </c>
      <c r="I17189">
        <v>2.8241633377478179E-2</v>
      </c>
    </row>
    <row r="17190" spans="1:9" x14ac:dyDescent="0.25">
      <c r="A17190">
        <v>540</v>
      </c>
      <c r="B17190" t="s">
        <v>4327</v>
      </c>
      <c r="C17190" t="s">
        <v>75</v>
      </c>
      <c r="D17190" t="s">
        <v>17</v>
      </c>
      <c r="E17190">
        <f t="shared" si="816"/>
        <v>1.3888888888888888E-2</v>
      </c>
      <c r="F17190">
        <v>169</v>
      </c>
      <c r="G17190">
        <f>LOG(382/(169+1))</f>
        <v>0.3516144415334348</v>
      </c>
      <c r="H17190">
        <f>0.0138888888888888*0.809622171556313</f>
        <v>1.1244752382726497E-2</v>
      </c>
      <c r="I17190">
        <v>1.1244752382726569E-2</v>
      </c>
    </row>
    <row r="17191" spans="1:9" x14ac:dyDescent="0.25">
      <c r="A17191">
        <v>540</v>
      </c>
      <c r="B17191" t="s">
        <v>4327</v>
      </c>
      <c r="C17191" t="s">
        <v>75</v>
      </c>
      <c r="D17191" t="s">
        <v>1907</v>
      </c>
      <c r="E17191">
        <f t="shared" si="816"/>
        <v>1.3888888888888888E-2</v>
      </c>
      <c r="F17191">
        <v>20</v>
      </c>
      <c r="G17191">
        <f>LOG(382/(20+1))</f>
        <v>1.2598440681777894</v>
      </c>
      <c r="H17191">
        <f>0.0138888888888888*2.90089817088315</f>
        <v>4.0290252373376828E-2</v>
      </c>
      <c r="I17191">
        <v>4.0290252373377113E-2</v>
      </c>
    </row>
    <row r="17192" spans="1:9" x14ac:dyDescent="0.25">
      <c r="A17192">
        <v>540</v>
      </c>
      <c r="B17192" t="s">
        <v>4327</v>
      </c>
      <c r="C17192" t="s">
        <v>75</v>
      </c>
      <c r="D17192" t="s">
        <v>1908</v>
      </c>
      <c r="E17192">
        <f t="shared" si="816"/>
        <v>1.3888888888888888E-2</v>
      </c>
      <c r="F17192">
        <v>20</v>
      </c>
      <c r="G17192">
        <f>LOG(382/(20+1))</f>
        <v>1.2598440681777894</v>
      </c>
      <c r="H17192">
        <f>0.0138888888888888*2.90089817088315</f>
        <v>4.0290252373376828E-2</v>
      </c>
      <c r="I17192">
        <v>4.0290252373377113E-2</v>
      </c>
    </row>
    <row r="17193" spans="1:9" x14ac:dyDescent="0.25">
      <c r="A17193">
        <v>540</v>
      </c>
      <c r="B17193" t="s">
        <v>4327</v>
      </c>
      <c r="C17193" t="s">
        <v>75</v>
      </c>
      <c r="D17193" t="s">
        <v>91</v>
      </c>
      <c r="E17193">
        <f t="shared" si="816"/>
        <v>1.3888888888888888E-2</v>
      </c>
      <c r="F17193">
        <v>33</v>
      </c>
      <c r="G17193">
        <f>LOG(382/(33+1))</f>
        <v>1.0505844458694535</v>
      </c>
      <c r="H17193">
        <f>0.0138888888888888*2.41906008399041</f>
        <v>3.3598056722088813E-2</v>
      </c>
      <c r="I17193">
        <v>3.3598056722089077E-2</v>
      </c>
    </row>
    <row r="17194" spans="1:9" x14ac:dyDescent="0.25">
      <c r="A17194">
        <v>540</v>
      </c>
      <c r="B17194" t="s">
        <v>4327</v>
      </c>
      <c r="C17194" t="s">
        <v>75</v>
      </c>
      <c r="D17194" t="s">
        <v>147</v>
      </c>
      <c r="E17194">
        <f>2/72</f>
        <v>2.7777777777777776E-2</v>
      </c>
      <c r="F17194">
        <v>48</v>
      </c>
      <c r="G17194">
        <f>LOG(382/(48+1))</f>
        <v>0.89186728288319506</v>
      </c>
      <c r="H17194">
        <f>0.0277777777777777*2.05360031049594</f>
        <v>5.7044453069331508E-2</v>
      </c>
      <c r="I17194">
        <v>5.704445306933191E-2</v>
      </c>
    </row>
    <row r="17195" spans="1:9" x14ac:dyDescent="0.25">
      <c r="A17195">
        <v>540</v>
      </c>
      <c r="B17195" t="s">
        <v>4327</v>
      </c>
      <c r="C17195" t="s">
        <v>75</v>
      </c>
      <c r="D17195" t="s">
        <v>22</v>
      </c>
      <c r="E17195">
        <f>1/72</f>
        <v>1.3888888888888888E-2</v>
      </c>
      <c r="F17195">
        <v>259</v>
      </c>
      <c r="G17195">
        <f>LOG(382/(259+1))</f>
        <v>0.16709001494089079</v>
      </c>
      <c r="H17195">
        <f>0.0138888888888888*0.384738977591047</f>
        <v>5.3435969109867296E-3</v>
      </c>
      <c r="I17195">
        <v>5.3435969109867712E-3</v>
      </c>
    </row>
    <row r="17196" spans="1:9" x14ac:dyDescent="0.25">
      <c r="A17196">
        <v>540</v>
      </c>
      <c r="B17196" t="s">
        <v>4327</v>
      </c>
      <c r="C17196" t="s">
        <v>75</v>
      </c>
      <c r="D17196" t="s">
        <v>23</v>
      </c>
      <c r="E17196">
        <f>1/72</f>
        <v>1.3888888888888888E-2</v>
      </c>
      <c r="F17196">
        <v>275</v>
      </c>
      <c r="G17196">
        <f>LOG(382/(275+1))</f>
        <v>0.14115428084649101</v>
      </c>
      <c r="H17196">
        <f>0.0138888888888888*0.325019742889425</f>
        <v>4.5141630956864291E-3</v>
      </c>
      <c r="I17196">
        <v>4.5141630956864603E-3</v>
      </c>
    </row>
    <row r="17197" spans="1:9" x14ac:dyDescent="0.25">
      <c r="A17197">
        <v>540</v>
      </c>
      <c r="B17197" t="s">
        <v>4327</v>
      </c>
      <c r="C17197" t="s">
        <v>75</v>
      </c>
      <c r="D17197" t="s">
        <v>2291</v>
      </c>
      <c r="E17197">
        <f>1/72</f>
        <v>1.3888888888888888E-2</v>
      </c>
      <c r="F17197">
        <v>17</v>
      </c>
      <c r="G17197">
        <f>LOG(382/(17+1))</f>
        <v>1.3267908578084027</v>
      </c>
      <c r="H17197">
        <f>0.0138888888888888*3.05504885071041</f>
        <v>4.243123403764431E-2</v>
      </c>
      <c r="I17197">
        <v>4.2431234037644587E-2</v>
      </c>
    </row>
    <row r="17198" spans="1:9" x14ac:dyDescent="0.25">
      <c r="A17198">
        <v>540</v>
      </c>
      <c r="B17198" t="s">
        <v>4327</v>
      </c>
      <c r="C17198" t="s">
        <v>75</v>
      </c>
      <c r="D17198" t="s">
        <v>204</v>
      </c>
      <c r="E17198">
        <f>1/72</f>
        <v>1.3888888888888888E-2</v>
      </c>
      <c r="F17198">
        <v>166</v>
      </c>
      <c r="G17198">
        <f>LOG(382/(166+1))</f>
        <v>0.35934689176412549</v>
      </c>
      <c r="H17198">
        <f>0.0138888888888888*0.82742679618982</f>
        <v>1.1492038835969647E-2</v>
      </c>
      <c r="I17198">
        <v>1.149203883596972E-2</v>
      </c>
    </row>
    <row r="17199" spans="1:9" x14ac:dyDescent="0.25">
      <c r="A17199">
        <v>540</v>
      </c>
      <c r="B17199" t="s">
        <v>4327</v>
      </c>
      <c r="C17199" t="s">
        <v>75</v>
      </c>
      <c r="D17199" t="s">
        <v>339</v>
      </c>
      <c r="E17199">
        <f>2/72</f>
        <v>2.7777777777777776E-2</v>
      </c>
      <c r="F17199">
        <v>66</v>
      </c>
      <c r="G17199">
        <f>LOG(382/(66+1))</f>
        <v>0.75598856021088234</v>
      </c>
      <c r="H17199">
        <f>0.0277777777777777*1.7407279892156</f>
        <v>4.835355525598875E-2</v>
      </c>
      <c r="I17199">
        <v>4.8353555255989139E-2</v>
      </c>
    </row>
    <row r="17200" spans="1:9" x14ac:dyDescent="0.25">
      <c r="A17200">
        <v>540</v>
      </c>
      <c r="B17200" t="s">
        <v>4327</v>
      </c>
      <c r="C17200" t="s">
        <v>75</v>
      </c>
      <c r="D17200" t="s">
        <v>218</v>
      </c>
      <c r="E17200">
        <f>2/72</f>
        <v>2.7777777777777776E-2</v>
      </c>
      <c r="F17200">
        <v>35</v>
      </c>
      <c r="G17200">
        <f>LOG(382/(35+1))</f>
        <v>1.0257608621444214</v>
      </c>
      <c r="H17200">
        <f>0.0277777777777777*2.36190167015046</f>
        <v>6.5608379726401489E-2</v>
      </c>
      <c r="I17200">
        <v>6.5608379726401794E-2</v>
      </c>
    </row>
    <row r="17201" spans="1:9" x14ac:dyDescent="0.25">
      <c r="A17201">
        <v>540</v>
      </c>
      <c r="B17201" t="s">
        <v>4327</v>
      </c>
      <c r="C17201" t="s">
        <v>75</v>
      </c>
      <c r="D17201" t="s">
        <v>315</v>
      </c>
      <c r="E17201">
        <f>3/72</f>
        <v>4.1666666666666664E-2</v>
      </c>
      <c r="F17201">
        <v>55</v>
      </c>
      <c r="G17201">
        <f>LOG(382/(55+1))</f>
        <v>0.83387533590550833</v>
      </c>
      <c r="H17201">
        <f>0.0416666666666666*1.92006891787142</f>
        <v>8.0002871577975712E-2</v>
      </c>
      <c r="I17201">
        <v>8.0002871577976073E-2</v>
      </c>
    </row>
    <row r="17202" spans="1:9" x14ac:dyDescent="0.25">
      <c r="A17202">
        <v>540</v>
      </c>
      <c r="B17202" t="s">
        <v>4327</v>
      </c>
      <c r="C17202" t="s">
        <v>75</v>
      </c>
      <c r="D17202" t="s">
        <v>40</v>
      </c>
      <c r="E17202">
        <f>5/72</f>
        <v>6.9444444444444448E-2</v>
      </c>
      <c r="F17202">
        <v>159</v>
      </c>
      <c r="G17202">
        <f>LOG(382/(159+1))</f>
        <v>0.377943380255784</v>
      </c>
      <c r="H17202">
        <f>0.0694444444444444*0.870246793372748</f>
        <v>6.0433805095329689E-2</v>
      </c>
      <c r="I17202">
        <v>6.0433805095329751E-2</v>
      </c>
    </row>
    <row r="17203" spans="1:9" x14ac:dyDescent="0.25">
      <c r="A17203">
        <v>540</v>
      </c>
      <c r="B17203" t="s">
        <v>4327</v>
      </c>
      <c r="C17203" t="s">
        <v>75</v>
      </c>
      <c r="D17203" t="s">
        <v>41</v>
      </c>
      <c r="E17203">
        <f>3/72</f>
        <v>4.1666666666666664E-2</v>
      </c>
      <c r="F17203">
        <v>195</v>
      </c>
      <c r="G17203">
        <f>LOG(382/(195+1))</f>
        <v>0.28980729155523272</v>
      </c>
      <c r="H17203">
        <f>0.0416666666666666*0.667305949376058</f>
        <v>2.7804414557335708E-2</v>
      </c>
      <c r="I17203">
        <v>2.780441455733575E-2</v>
      </c>
    </row>
    <row r="17204" spans="1:9" x14ac:dyDescent="0.25">
      <c r="A17204">
        <v>540</v>
      </c>
      <c r="B17204" t="s">
        <v>4327</v>
      </c>
      <c r="C17204" t="s">
        <v>75</v>
      </c>
      <c r="D17204" t="s">
        <v>649</v>
      </c>
      <c r="E17204">
        <f>2/72</f>
        <v>2.7777777777777776E-2</v>
      </c>
      <c r="F17204">
        <v>25</v>
      </c>
      <c r="G17204">
        <f>LOG(382/(25+1))</f>
        <v>1.1670900149408907</v>
      </c>
      <c r="H17204">
        <f>0.0277777777777777*2.68732407058509</f>
        <v>7.4647890849585619E-2</v>
      </c>
      <c r="I17204">
        <v>7.464789084958591E-2</v>
      </c>
    </row>
    <row r="17205" spans="1:9" x14ac:dyDescent="0.25">
      <c r="A17205">
        <v>540</v>
      </c>
      <c r="B17205" t="s">
        <v>4327</v>
      </c>
      <c r="C17205" t="s">
        <v>75</v>
      </c>
      <c r="D17205" t="s">
        <v>133</v>
      </c>
      <c r="E17205">
        <f>1/72</f>
        <v>1.3888888888888888E-2</v>
      </c>
      <c r="F17205">
        <v>142</v>
      </c>
      <c r="G17205">
        <f>LOG(382/(142+1))</f>
        <v>0.42672732544664693</v>
      </c>
      <c r="H17205">
        <f>0.0138888888888888*0.982575978346667</f>
        <v>1.3646888588148064E-2</v>
      </c>
      <c r="I17205">
        <v>1.364688858814816E-2</v>
      </c>
    </row>
    <row r="17206" spans="1:9" x14ac:dyDescent="0.25">
      <c r="A17206">
        <v>540</v>
      </c>
      <c r="B17206" t="s">
        <v>4327</v>
      </c>
      <c r="C17206" t="s">
        <v>75</v>
      </c>
      <c r="D17206" t="s">
        <v>76</v>
      </c>
      <c r="E17206">
        <f>2/72</f>
        <v>2.7777777777777776E-2</v>
      </c>
      <c r="F17206">
        <v>140</v>
      </c>
      <c r="G17206">
        <f>LOG(382/(140+1))</f>
        <v>0.43284425025632883</v>
      </c>
      <c r="H17206">
        <f>0.0277777777777777*0.996660718228407</f>
        <v>2.7685019950789005E-2</v>
      </c>
      <c r="I17206">
        <v>2.7685019950789081E-2</v>
      </c>
    </row>
    <row r="17207" spans="1:9" x14ac:dyDescent="0.25">
      <c r="A17207">
        <v>540</v>
      </c>
      <c r="B17207" t="s">
        <v>4327</v>
      </c>
      <c r="C17207" t="s">
        <v>75</v>
      </c>
      <c r="D17207" t="s">
        <v>77</v>
      </c>
      <c r="E17207">
        <f>1/72</f>
        <v>1.3888888888888888E-2</v>
      </c>
      <c r="F17207">
        <v>148</v>
      </c>
      <c r="G17207">
        <f>LOG(382/(148+1))</f>
        <v>0.40887709449943471</v>
      </c>
      <c r="H17207">
        <f>0.0138888888888888*0.941474302661116</f>
        <v>1.3076031981404305E-2</v>
      </c>
      <c r="I17207">
        <v>1.307603198140439E-2</v>
      </c>
    </row>
    <row r="17208" spans="1:9" x14ac:dyDescent="0.25">
      <c r="A17208">
        <v>540</v>
      </c>
      <c r="B17208" t="s">
        <v>4327</v>
      </c>
      <c r="C17208" t="s">
        <v>75</v>
      </c>
      <c r="D17208" t="s">
        <v>78</v>
      </c>
      <c r="E17208">
        <f>1/72</f>
        <v>1.3888888888888888E-2</v>
      </c>
      <c r="F17208">
        <v>122</v>
      </c>
      <c r="G17208">
        <f>LOG(382/(122+1))</f>
        <v>0.49215825147231079</v>
      </c>
      <c r="H17208">
        <f>0.0138888888888888*1.13323625323415</f>
        <v>1.573939240602976E-2</v>
      </c>
      <c r="I17208">
        <v>1.5739392406029961E-2</v>
      </c>
    </row>
    <row r="17209" spans="1:9" x14ac:dyDescent="0.25">
      <c r="A17209">
        <v>540</v>
      </c>
      <c r="B17209" t="s">
        <v>4327</v>
      </c>
      <c r="C17209" t="s">
        <v>75</v>
      </c>
      <c r="D17209" t="s">
        <v>483</v>
      </c>
      <c r="E17209">
        <f>1/72</f>
        <v>1.3888888888888888E-2</v>
      </c>
      <c r="F17209">
        <v>61</v>
      </c>
      <c r="G17209">
        <f>LOG(382/(61+1))</f>
        <v>0.7896716734134549</v>
      </c>
      <c r="H17209">
        <f>0.0138888888888888*1.81828622356148</f>
        <v>2.5253975327242616E-2</v>
      </c>
      <c r="I17209">
        <v>2.5253975327242831E-2</v>
      </c>
    </row>
    <row r="17210" spans="1:9" x14ac:dyDescent="0.25">
      <c r="A17210">
        <v>540</v>
      </c>
      <c r="B17210" t="s">
        <v>4327</v>
      </c>
      <c r="C17210" t="s">
        <v>75</v>
      </c>
      <c r="D17210" t="s">
        <v>322</v>
      </c>
      <c r="E17210">
        <f>2/72</f>
        <v>2.7777777777777776E-2</v>
      </c>
      <c r="F17210">
        <v>128</v>
      </c>
      <c r="G17210">
        <f>LOG(382/(128+1))</f>
        <v>0.47147365261245977</v>
      </c>
      <c r="H17210">
        <f>0.0277777777777777*1.0856082042449</f>
        <v>3.0155783451247139E-2</v>
      </c>
      <c r="I17210">
        <v>3.0155783451247309E-2</v>
      </c>
    </row>
    <row r="17211" spans="1:9" x14ac:dyDescent="0.25">
      <c r="A17211">
        <v>540</v>
      </c>
      <c r="B17211" t="s">
        <v>4327</v>
      </c>
      <c r="C17211" t="s">
        <v>75</v>
      </c>
      <c r="D17211" t="s">
        <v>823</v>
      </c>
      <c r="E17211">
        <f>1/72</f>
        <v>1.3888888888888888E-2</v>
      </c>
      <c r="F17211">
        <v>45</v>
      </c>
      <c r="G17211">
        <f>LOG(382/(45+1))</f>
        <v>0.9193055312301347</v>
      </c>
      <c r="H17211">
        <f>0.0138888888888888*2.11677921211748</f>
        <v>2.9399711279409258E-2</v>
      </c>
      <c r="I17211">
        <v>2.9399711279409449E-2</v>
      </c>
    </row>
    <row r="17212" spans="1:9" x14ac:dyDescent="0.25">
      <c r="A17212">
        <v>540</v>
      </c>
      <c r="B17212" t="s">
        <v>4327</v>
      </c>
      <c r="C17212" t="s">
        <v>75</v>
      </c>
      <c r="D17212" t="s">
        <v>762</v>
      </c>
      <c r="E17212">
        <f>3/72</f>
        <v>4.1666666666666664E-2</v>
      </c>
      <c r="F17212">
        <v>29</v>
      </c>
      <c r="G17212">
        <f>LOG(382/(29+1))</f>
        <v>1.1049421081920463</v>
      </c>
      <c r="H17212">
        <f>0.0416666666666666*2.54422322694442</f>
        <v>0.10600930112268399</v>
      </c>
      <c r="I17212">
        <v>0.1060093011226842</v>
      </c>
    </row>
    <row r="17213" spans="1:9" x14ac:dyDescent="0.25">
      <c r="A17213">
        <v>540</v>
      </c>
      <c r="B17213" t="s">
        <v>4327</v>
      </c>
      <c r="C17213" t="s">
        <v>75</v>
      </c>
      <c r="D17213" t="s">
        <v>81</v>
      </c>
      <c r="E17213">
        <f t="shared" ref="E17213:E17229" si="817">1/72</f>
        <v>1.3888888888888888E-2</v>
      </c>
      <c r="F17213">
        <v>114</v>
      </c>
      <c r="G17213">
        <f>LOG(382/(114+1))</f>
        <v>0.52136552255809698</v>
      </c>
      <c r="H17213">
        <f>0.0138888888888888*1.20048848024332</f>
        <v>1.6673451114490447E-2</v>
      </c>
      <c r="I17213">
        <v>1.6673451114490621E-2</v>
      </c>
    </row>
    <row r="17214" spans="1:9" x14ac:dyDescent="0.25">
      <c r="A17214">
        <v>540</v>
      </c>
      <c r="B17214" t="s">
        <v>4327</v>
      </c>
      <c r="C17214" t="s">
        <v>75</v>
      </c>
      <c r="D17214" t="s">
        <v>4005</v>
      </c>
      <c r="E17214">
        <f t="shared" si="817"/>
        <v>1.3888888888888888E-2</v>
      </c>
      <c r="F17214">
        <v>5</v>
      </c>
      <c r="G17214">
        <f>LOG(382/(5+1))</f>
        <v>1.803912112528065</v>
      </c>
      <c r="H17214">
        <f>0.0138888888888888*4.15366113937852</f>
        <v>5.7689738046923518E-2</v>
      </c>
      <c r="I17214">
        <v>5.7689738046923893E-2</v>
      </c>
    </row>
    <row r="17215" spans="1:9" x14ac:dyDescent="0.25">
      <c r="A17215">
        <v>540</v>
      </c>
      <c r="B17215" t="s">
        <v>4327</v>
      </c>
      <c r="C17215" t="s">
        <v>75</v>
      </c>
      <c r="D17215" t="s">
        <v>1094</v>
      </c>
      <c r="E17215">
        <f t="shared" si="817"/>
        <v>1.3888888888888888E-2</v>
      </c>
      <c r="F17215">
        <v>7</v>
      </c>
      <c r="G17215">
        <f>LOG(382/(7+1))</f>
        <v>1.6789733759197651</v>
      </c>
      <c r="H17215">
        <f>0.0138888888888888*3.86597906692673</f>
        <v>5.3694153707315354E-2</v>
      </c>
      <c r="I17215">
        <v>5.3694153707315818E-2</v>
      </c>
    </row>
    <row r="17216" spans="1:9" x14ac:dyDescent="0.25">
      <c r="A17216">
        <v>540</v>
      </c>
      <c r="B17216" t="s">
        <v>4327</v>
      </c>
      <c r="C17216" t="s">
        <v>75</v>
      </c>
      <c r="D17216" t="s">
        <v>754</v>
      </c>
      <c r="E17216">
        <f t="shared" si="817"/>
        <v>1.3888888888888888E-2</v>
      </c>
      <c r="F17216">
        <v>111</v>
      </c>
      <c r="G17216">
        <f>LOG(382/(111+1))</f>
        <v>0.53284534024152708</v>
      </c>
      <c r="H17216">
        <f>0.0138888888888888*1.22692173731148</f>
        <v>1.7040579684881558E-2</v>
      </c>
      <c r="I17216">
        <v>1.7040579684881679E-2</v>
      </c>
    </row>
    <row r="17217" spans="1:9" x14ac:dyDescent="0.25">
      <c r="A17217">
        <v>540</v>
      </c>
      <c r="B17217" t="s">
        <v>4327</v>
      </c>
      <c r="C17217" t="s">
        <v>75</v>
      </c>
      <c r="D17217" t="s">
        <v>597</v>
      </c>
      <c r="E17217">
        <f t="shared" si="817"/>
        <v>1.3888888888888888E-2</v>
      </c>
      <c r="F17217">
        <v>51</v>
      </c>
      <c r="G17217">
        <f>LOG(382/(51+1))</f>
        <v>0.86606001927690957</v>
      </c>
      <c r="H17217">
        <f>0.0138888888888888*1.99417689002514</f>
        <v>2.7696901250348988E-2</v>
      </c>
      <c r="I17217">
        <v>2.7696901250349269E-2</v>
      </c>
    </row>
    <row r="17218" spans="1:9" x14ac:dyDescent="0.25">
      <c r="A17218">
        <v>540</v>
      </c>
      <c r="B17218" t="s">
        <v>4327</v>
      </c>
      <c r="C17218" t="s">
        <v>75</v>
      </c>
      <c r="D17218" t="s">
        <v>1085</v>
      </c>
      <c r="E17218">
        <f t="shared" si="817"/>
        <v>1.3888888888888888E-2</v>
      </c>
      <c r="F17218">
        <v>16</v>
      </c>
      <c r="G17218">
        <f>LOG(382/(16+1))</f>
        <v>1.3516144415334348</v>
      </c>
      <c r="H17218">
        <f>0.0138888888888888*3.11220726455035</f>
        <v>4.3225100896532358E-2</v>
      </c>
      <c r="I17218">
        <v>4.322510089653276E-2</v>
      </c>
    </row>
    <row r="17219" spans="1:9" x14ac:dyDescent="0.25">
      <c r="A17219">
        <v>540</v>
      </c>
      <c r="B17219" t="s">
        <v>4327</v>
      </c>
      <c r="C17219" t="s">
        <v>75</v>
      </c>
      <c r="D17219" t="s">
        <v>123</v>
      </c>
      <c r="E17219">
        <f t="shared" si="817"/>
        <v>1.3888888888888888E-2</v>
      </c>
      <c r="F17219">
        <v>74</v>
      </c>
      <c r="G17219">
        <f>LOG(382/(74+1))</f>
        <v>0.7070020995200087</v>
      </c>
      <c r="H17219">
        <f>0.0138888888888888*1.62793249507026</f>
        <v>2.2610173542642355E-2</v>
      </c>
      <c r="I17219">
        <v>2.261017354264256E-2</v>
      </c>
    </row>
    <row r="17220" spans="1:9" x14ac:dyDescent="0.25">
      <c r="A17220">
        <v>540</v>
      </c>
      <c r="B17220" t="s">
        <v>4327</v>
      </c>
      <c r="C17220" t="s">
        <v>75</v>
      </c>
      <c r="D17220" t="s">
        <v>11</v>
      </c>
      <c r="E17220">
        <f t="shared" si="817"/>
        <v>1.3888888888888888E-2</v>
      </c>
      <c r="F17220">
        <v>83</v>
      </c>
      <c r="G17220">
        <f>LOG(382/(83+1))</f>
        <v>0.65778407684982709</v>
      </c>
      <c r="H17220">
        <f>0.0138888888888888*1.51460380976326</f>
        <v>2.1036164024489587E-2</v>
      </c>
      <c r="I17220">
        <v>2.103616402448974E-2</v>
      </c>
    </row>
    <row r="17221" spans="1:9" x14ac:dyDescent="0.25">
      <c r="A17221">
        <v>540</v>
      </c>
      <c r="B17221" t="s">
        <v>4327</v>
      </c>
      <c r="C17221" t="s">
        <v>75</v>
      </c>
      <c r="D17221" t="s">
        <v>1537</v>
      </c>
      <c r="E17221">
        <f t="shared" si="817"/>
        <v>1.3888888888888888E-2</v>
      </c>
      <c r="F17221">
        <v>80</v>
      </c>
      <c r="G17221">
        <f>LOG(382/(80+1))</f>
        <v>0.67357834403305894</v>
      </c>
      <c r="H17221">
        <f>0.0138888888888888*1.55097145393413</f>
        <v>2.1541270193529444E-2</v>
      </c>
      <c r="I17221">
        <v>2.1541270193529669E-2</v>
      </c>
    </row>
    <row r="17222" spans="1:9" x14ac:dyDescent="0.25">
      <c r="A17222">
        <v>540</v>
      </c>
      <c r="B17222" t="s">
        <v>4327</v>
      </c>
      <c r="C17222" t="s">
        <v>75</v>
      </c>
      <c r="D17222" t="s">
        <v>362</v>
      </c>
      <c r="E17222">
        <f t="shared" si="817"/>
        <v>1.3888888888888888E-2</v>
      </c>
      <c r="F17222">
        <v>81</v>
      </c>
      <c r="G17222">
        <f>LOG(382/(81+1))</f>
        <v>0.66824951052799197</v>
      </c>
      <c r="H17222">
        <f>0.0138888888888888*1.53870136134232</f>
        <v>2.1370852240865417E-2</v>
      </c>
      <c r="I17222">
        <v>2.137085224086558E-2</v>
      </c>
    </row>
    <row r="17223" spans="1:9" x14ac:dyDescent="0.25">
      <c r="A17223">
        <v>540</v>
      </c>
      <c r="B17223" t="s">
        <v>4327</v>
      </c>
      <c r="C17223" t="s">
        <v>75</v>
      </c>
      <c r="D17223" t="s">
        <v>1762</v>
      </c>
      <c r="E17223">
        <f t="shared" si="817"/>
        <v>1.3888888888888888E-2</v>
      </c>
      <c r="F17223">
        <v>60</v>
      </c>
      <c r="G17223">
        <f>LOG(382/(60+1))</f>
        <v>0.79673352790094176</v>
      </c>
      <c r="H17223">
        <f>0.0138888888888888*1.83454674443326</f>
        <v>2.5479815894906225E-2</v>
      </c>
      <c r="I17223">
        <v>2.547981589490644E-2</v>
      </c>
    </row>
    <row r="17224" spans="1:9" x14ac:dyDescent="0.25">
      <c r="A17224">
        <v>540</v>
      </c>
      <c r="B17224" t="s">
        <v>4327</v>
      </c>
      <c r="C17224" t="s">
        <v>75</v>
      </c>
      <c r="D17224" t="s">
        <v>201</v>
      </c>
      <c r="E17224">
        <f t="shared" si="817"/>
        <v>1.3888888888888888E-2</v>
      </c>
      <c r="F17224">
        <v>72</v>
      </c>
      <c r="G17224">
        <f>LOG(382/(72+1))</f>
        <v>0.71874050279125279</v>
      </c>
      <c r="H17224">
        <f>0.0138888888888888*1.65496116745818</f>
        <v>2.2985571770252351E-2</v>
      </c>
      <c r="I17224">
        <v>2.2985571770252549E-2</v>
      </c>
    </row>
    <row r="17225" spans="1:9" x14ac:dyDescent="0.25">
      <c r="A17225">
        <v>540</v>
      </c>
      <c r="B17225" t="s">
        <v>4327</v>
      </c>
      <c r="C17225" t="s">
        <v>75</v>
      </c>
      <c r="D17225" t="s">
        <v>225</v>
      </c>
      <c r="E17225">
        <f t="shared" si="817"/>
        <v>1.3888888888888888E-2</v>
      </c>
      <c r="F17225">
        <v>30</v>
      </c>
      <c r="G17225">
        <f>LOG(382/(30+1))</f>
        <v>1.090701669077436</v>
      </c>
      <c r="H17225">
        <f>0.0138888888888888*2.51143340412142</f>
        <v>3.4881019501686164E-2</v>
      </c>
      <c r="I17225">
        <v>3.4881019501686511E-2</v>
      </c>
    </row>
    <row r="17226" spans="1:9" x14ac:dyDescent="0.25">
      <c r="A17226">
        <v>540</v>
      </c>
      <c r="B17226" t="s">
        <v>4327</v>
      </c>
      <c r="C17226" t="s">
        <v>75</v>
      </c>
      <c r="D17226" t="s">
        <v>324</v>
      </c>
      <c r="E17226">
        <f t="shared" si="817"/>
        <v>1.3888888888888888E-2</v>
      </c>
      <c r="F17226">
        <v>82</v>
      </c>
      <c r="G17226">
        <f>LOG(382/(82+1))</f>
        <v>0.66298527053563483</v>
      </c>
      <c r="H17226">
        <f>0.0138888888888888*1.52658000080997</f>
        <v>2.1202500011249445E-2</v>
      </c>
      <c r="I17226">
        <v>2.1202500011249681E-2</v>
      </c>
    </row>
    <row r="17227" spans="1:9" x14ac:dyDescent="0.25">
      <c r="A17227">
        <v>540</v>
      </c>
      <c r="B17227" t="s">
        <v>4327</v>
      </c>
      <c r="C17227" t="s">
        <v>75</v>
      </c>
      <c r="D17227" t="s">
        <v>1222</v>
      </c>
      <c r="E17227">
        <f t="shared" si="817"/>
        <v>1.3888888888888888E-2</v>
      </c>
      <c r="F17227">
        <v>56</v>
      </c>
      <c r="G17227">
        <f>LOG(382/(56+1))</f>
        <v>0.82618850723921733</v>
      </c>
      <c r="H17227">
        <f>0.0138888888888888*1.90236934077202</f>
        <v>2.6421796399611217E-2</v>
      </c>
      <c r="I17227">
        <v>2.6421796399611459E-2</v>
      </c>
    </row>
    <row r="17228" spans="1:9" x14ac:dyDescent="0.25">
      <c r="A17228">
        <v>540</v>
      </c>
      <c r="B17228" t="s">
        <v>4327</v>
      </c>
      <c r="C17228" t="s">
        <v>75</v>
      </c>
      <c r="D17228" t="s">
        <v>485</v>
      </c>
      <c r="E17228">
        <f t="shared" si="817"/>
        <v>1.3888888888888888E-2</v>
      </c>
      <c r="F17228">
        <v>74</v>
      </c>
      <c r="G17228">
        <f>LOG(382/(74+1))</f>
        <v>0.7070020995200087</v>
      </c>
      <c r="H17228">
        <f>0.0138888888888888*1.62793249507026</f>
        <v>2.2610173542642355E-2</v>
      </c>
      <c r="I17228">
        <v>2.261017354264256E-2</v>
      </c>
    </row>
    <row r="17229" spans="1:9" x14ac:dyDescent="0.25">
      <c r="A17229">
        <v>540</v>
      </c>
      <c r="B17229" t="s">
        <v>4327</v>
      </c>
      <c r="C17229" t="s">
        <v>75</v>
      </c>
      <c r="D17229" t="s">
        <v>767</v>
      </c>
      <c r="E17229">
        <f t="shared" si="817"/>
        <v>1.3888888888888888E-2</v>
      </c>
      <c r="F17229">
        <v>47</v>
      </c>
      <c r="G17229">
        <f>LOG(382/(47+1))</f>
        <v>0.90082212553612151</v>
      </c>
      <c r="H17229">
        <f>0.0138888888888888*2.07421959769868</f>
        <v>2.8808605523592594E-2</v>
      </c>
      <c r="I17229">
        <v>2.880860552359283E-2</v>
      </c>
    </row>
    <row r="17230" spans="1:9" x14ac:dyDescent="0.25">
      <c r="A17230">
        <v>540</v>
      </c>
      <c r="B17230" t="s">
        <v>4327</v>
      </c>
      <c r="C17230" t="s">
        <v>75</v>
      </c>
      <c r="D17230" t="s">
        <v>144</v>
      </c>
      <c r="E17230">
        <f>2/72</f>
        <v>2.7777777777777776E-2</v>
      </c>
      <c r="F17230">
        <v>105</v>
      </c>
      <c r="G17230">
        <f>LOG(382/(105+1))</f>
        <v>0.55675749764693849</v>
      </c>
      <c r="H17230">
        <f>0.0277777777777777*1.2819815144945</f>
        <v>3.5610597624847119E-2</v>
      </c>
      <c r="I17230">
        <v>3.5610597624847438E-2</v>
      </c>
    </row>
    <row r="17231" spans="1:9" x14ac:dyDescent="0.25">
      <c r="A17231">
        <v>540</v>
      </c>
      <c r="B17231" t="s">
        <v>4327</v>
      </c>
      <c r="C17231" t="s">
        <v>75</v>
      </c>
      <c r="D17231" t="s">
        <v>758</v>
      </c>
      <c r="E17231">
        <f>1/72</f>
        <v>1.3888888888888888E-2</v>
      </c>
      <c r="F17231">
        <v>26</v>
      </c>
      <c r="G17231">
        <f>LOG(382/(26+1))</f>
        <v>1.1506995987527215</v>
      </c>
      <c r="H17231">
        <f>0.0138888888888888*2.64958374260224</f>
        <v>3.6799774202808652E-2</v>
      </c>
      <c r="I17231">
        <v>3.6799774202808971E-2</v>
      </c>
    </row>
    <row r="17232" spans="1:9" x14ac:dyDescent="0.25">
      <c r="A17232">
        <v>540</v>
      </c>
      <c r="B17232" t="s">
        <v>4327</v>
      </c>
      <c r="C17232" t="s">
        <v>75</v>
      </c>
      <c r="D17232" t="s">
        <v>247</v>
      </c>
      <c r="E17232">
        <f>1/72</f>
        <v>1.3888888888888888E-2</v>
      </c>
      <c r="F17232">
        <v>121</v>
      </c>
      <c r="G17232">
        <f>LOG(382/(121+1))</f>
        <v>0.49570353223696051</v>
      </c>
      <c r="H17232">
        <f>0.0138888888888888*1.14139956387331</f>
        <v>1.5852771720462538E-2</v>
      </c>
      <c r="I17232">
        <v>1.5852771720462761E-2</v>
      </c>
    </row>
    <row r="17233" spans="1:9" x14ac:dyDescent="0.25">
      <c r="A17233">
        <v>540</v>
      </c>
      <c r="B17233" t="s">
        <v>4327</v>
      </c>
      <c r="C17233" t="s">
        <v>75</v>
      </c>
      <c r="D17233" t="s">
        <v>39</v>
      </c>
      <c r="E17233">
        <f>1/72</f>
        <v>1.3888888888888888E-2</v>
      </c>
      <c r="F17233">
        <v>145</v>
      </c>
      <c r="G17233">
        <f>LOG(382/(145+1))</f>
        <v>0.41771050712727159</v>
      </c>
      <c r="H17233">
        <f>0.0138888888888888*0.961813986898238</f>
        <v>1.3358527595808776E-2</v>
      </c>
      <c r="I17233">
        <v>1.335852759580887E-2</v>
      </c>
    </row>
    <row r="17234" spans="1:9" x14ac:dyDescent="0.25">
      <c r="A17234">
        <v>542</v>
      </c>
      <c r="B17234" t="s">
        <v>4330</v>
      </c>
      <c r="C17234" t="s">
        <v>75</v>
      </c>
      <c r="D17234" t="s">
        <v>1654</v>
      </c>
      <c r="E17234">
        <f>1/46</f>
        <v>2.1739130434782608E-2</v>
      </c>
      <c r="F17234">
        <v>4</v>
      </c>
      <c r="G17234">
        <f>LOG(382/(4+1))</f>
        <v>1.8830933585756899</v>
      </c>
      <c r="H17234">
        <f>0.0217391304347826*4.33598269617247</f>
        <v>9.4260493395053671E-2</v>
      </c>
      <c r="I17234">
        <v>9.4260493395053796E-2</v>
      </c>
    </row>
    <row r="17235" spans="1:9" x14ac:dyDescent="0.25">
      <c r="A17235">
        <v>542</v>
      </c>
      <c r="B17235" t="s">
        <v>4330</v>
      </c>
      <c r="C17235" t="s">
        <v>75</v>
      </c>
      <c r="D17235" t="s">
        <v>1765</v>
      </c>
      <c r="E17235">
        <f>1/46</f>
        <v>2.1739130434782608E-2</v>
      </c>
      <c r="F17235">
        <v>14</v>
      </c>
      <c r="G17235">
        <f>LOG(382/(14+1))</f>
        <v>1.4059721038560276</v>
      </c>
      <c r="H17235">
        <f>0.0217391304347826*3.23737040750436</f>
        <v>7.0377617554442579E-2</v>
      </c>
      <c r="I17235">
        <v>7.0377617554442717E-2</v>
      </c>
    </row>
    <row r="17236" spans="1:9" x14ac:dyDescent="0.25">
      <c r="A17236">
        <v>542</v>
      </c>
      <c r="B17236" t="s">
        <v>4330</v>
      </c>
      <c r="C17236" t="s">
        <v>75</v>
      </c>
      <c r="D17236" t="s">
        <v>4133</v>
      </c>
      <c r="E17236">
        <f>1/46</f>
        <v>2.1739130434782608E-2</v>
      </c>
      <c r="F17236">
        <v>2</v>
      </c>
      <c r="G17236">
        <f>LOG(382/(2+1))</f>
        <v>2.1049421081920463</v>
      </c>
      <c r="H17236">
        <f>0.0217391304347826*4.84680831993846</f>
        <v>0.1053653982595317</v>
      </c>
      <c r="I17236">
        <v>0.10536539825953189</v>
      </c>
    </row>
    <row r="17237" spans="1:9" x14ac:dyDescent="0.25">
      <c r="A17237">
        <v>542</v>
      </c>
      <c r="B17237" t="s">
        <v>4330</v>
      </c>
      <c r="C17237" t="s">
        <v>75</v>
      </c>
      <c r="D17237" t="s">
        <v>64</v>
      </c>
      <c r="E17237">
        <f>2/46</f>
        <v>4.3478260869565216E-2</v>
      </c>
      <c r="F17237">
        <v>16</v>
      </c>
      <c r="G17237">
        <f>LOG(382/(16+1))</f>
        <v>1.3516144415334348</v>
      </c>
      <c r="H17237">
        <f>0.0434782608695652*3.11220726455035</f>
        <v>0.13531335932827604</v>
      </c>
      <c r="I17237">
        <v>0.13531335932827651</v>
      </c>
    </row>
    <row r="17238" spans="1:9" x14ac:dyDescent="0.25">
      <c r="A17238">
        <v>542</v>
      </c>
      <c r="B17238" t="s">
        <v>4330</v>
      </c>
      <c r="C17238" t="s">
        <v>75</v>
      </c>
      <c r="D17238" t="s">
        <v>2554</v>
      </c>
      <c r="E17238">
        <f>4/46</f>
        <v>8.6956521739130432E-2</v>
      </c>
      <c r="F17238">
        <v>22</v>
      </c>
      <c r="G17238">
        <f>LOG(382/(22+1))</f>
        <v>1.2203355268941158</v>
      </c>
      <c r="H17238">
        <f>0.0869565217391304*2.80992639267742</f>
        <v>0.24434142545021034</v>
      </c>
      <c r="I17238">
        <v>0.2443414254502109</v>
      </c>
    </row>
    <row r="17239" spans="1:9" x14ac:dyDescent="0.25">
      <c r="A17239">
        <v>542</v>
      </c>
      <c r="B17239" t="s">
        <v>4330</v>
      </c>
      <c r="C17239" t="s">
        <v>75</v>
      </c>
      <c r="D17239" t="s">
        <v>42</v>
      </c>
      <c r="E17239">
        <f>1/46</f>
        <v>2.1739130434782608E-2</v>
      </c>
      <c r="F17239">
        <v>251</v>
      </c>
      <c r="G17239">
        <f>LOG(382/(251+1))</f>
        <v>0.18066282213016463</v>
      </c>
      <c r="H17239">
        <f>0.0217391304347826*0.415991521095151</f>
        <v>9.0432939368511045E-3</v>
      </c>
      <c r="I17239">
        <v>9.043293936851127E-3</v>
      </c>
    </row>
    <row r="17240" spans="1:9" x14ac:dyDescent="0.25">
      <c r="A17240">
        <v>542</v>
      </c>
      <c r="B17240" t="s">
        <v>4330</v>
      </c>
      <c r="C17240" t="s">
        <v>75</v>
      </c>
      <c r="D17240" t="s">
        <v>44</v>
      </c>
      <c r="E17240">
        <f>1/46</f>
        <v>2.1739130434782608E-2</v>
      </c>
      <c r="F17240">
        <v>151</v>
      </c>
      <c r="G17240">
        <f>LOG(382/(151+1))</f>
        <v>0.40021977496693617</v>
      </c>
      <c r="H17240">
        <f>0.0217391304347826*0.921540087760298</f>
        <v>2.0033480168702125E-2</v>
      </c>
      <c r="I17240">
        <v>2.0033480168702149E-2</v>
      </c>
    </row>
    <row r="17241" spans="1:9" x14ac:dyDescent="0.25">
      <c r="A17241">
        <v>542</v>
      </c>
      <c r="B17241" t="s">
        <v>4330</v>
      </c>
      <c r="C17241" t="s">
        <v>75</v>
      </c>
      <c r="D17241" t="s">
        <v>22</v>
      </c>
      <c r="E17241">
        <f>1/46</f>
        <v>2.1739130434782608E-2</v>
      </c>
      <c r="F17241">
        <v>259</v>
      </c>
      <c r="G17241">
        <f>LOG(382/(259+1))</f>
        <v>0.16709001494089079</v>
      </c>
      <c r="H17241">
        <f>0.0217391304347826*0.384738977591047</f>
        <v>8.363890817196672E-3</v>
      </c>
      <c r="I17241">
        <v>8.3638908171966859E-3</v>
      </c>
    </row>
    <row r="17242" spans="1:9" x14ac:dyDescent="0.25">
      <c r="A17242">
        <v>542</v>
      </c>
      <c r="B17242" t="s">
        <v>4330</v>
      </c>
      <c r="C17242" t="s">
        <v>75</v>
      </c>
      <c r="D17242" t="s">
        <v>23</v>
      </c>
      <c r="E17242">
        <f>1/46</f>
        <v>2.1739130434782608E-2</v>
      </c>
      <c r="F17242">
        <v>275</v>
      </c>
      <c r="G17242">
        <f>LOG(382/(275+1))</f>
        <v>0.14115428084649101</v>
      </c>
      <c r="H17242">
        <f>0.0217391304347826*0.325019742889425</f>
        <v>7.0656465845527145E-3</v>
      </c>
      <c r="I17242">
        <v>7.0656465845527214E-3</v>
      </c>
    </row>
    <row r="17243" spans="1:9" x14ac:dyDescent="0.25">
      <c r="A17243">
        <v>542</v>
      </c>
      <c r="B17243" t="s">
        <v>4330</v>
      </c>
      <c r="C17243" t="s">
        <v>75</v>
      </c>
      <c r="D17243" t="s">
        <v>204</v>
      </c>
      <c r="E17243">
        <f>1/46</f>
        <v>2.1739130434782608E-2</v>
      </c>
      <c r="F17243">
        <v>166</v>
      </c>
      <c r="G17243">
        <f>LOG(382/(166+1))</f>
        <v>0.35934689176412549</v>
      </c>
      <c r="H17243">
        <f>0.0217391304347826*0.82742679618982</f>
        <v>1.7987539047604775E-2</v>
      </c>
      <c r="I17243">
        <v>1.7987539047604788E-2</v>
      </c>
    </row>
    <row r="17244" spans="1:9" x14ac:dyDescent="0.25">
      <c r="A17244">
        <v>542</v>
      </c>
      <c r="B17244" t="s">
        <v>4330</v>
      </c>
      <c r="C17244" t="s">
        <v>75</v>
      </c>
      <c r="D17244" t="s">
        <v>2238</v>
      </c>
      <c r="E17244">
        <f>2/46</f>
        <v>4.3478260869565216E-2</v>
      </c>
      <c r="F17244">
        <v>68</v>
      </c>
      <c r="G17244">
        <f>LOG(382/(68+1))</f>
        <v>0.74321427217445335</v>
      </c>
      <c r="H17244">
        <f>0.0434782608695652*1.71131410400931</f>
        <v>7.4404961043883014E-2</v>
      </c>
      <c r="I17244">
        <v>7.4404961043883291E-2</v>
      </c>
    </row>
    <row r="17245" spans="1:9" x14ac:dyDescent="0.25">
      <c r="A17245">
        <v>542</v>
      </c>
      <c r="B17245" t="s">
        <v>4330</v>
      </c>
      <c r="C17245" t="s">
        <v>75</v>
      </c>
      <c r="D17245" t="s">
        <v>1762</v>
      </c>
      <c r="E17245">
        <f>1/46</f>
        <v>2.1739130434782608E-2</v>
      </c>
      <c r="F17245">
        <v>60</v>
      </c>
      <c r="G17245">
        <f>LOG(382/(60+1))</f>
        <v>0.79673352790094176</v>
      </c>
      <c r="H17245">
        <f>0.0217391304347826*1.83454674443326</f>
        <v>3.9881450965940417E-2</v>
      </c>
      <c r="I17245">
        <v>3.9881450965940521E-2</v>
      </c>
    </row>
    <row r="17246" spans="1:9" x14ac:dyDescent="0.25">
      <c r="A17246">
        <v>542</v>
      </c>
      <c r="B17246" t="s">
        <v>4330</v>
      </c>
      <c r="C17246" t="s">
        <v>75</v>
      </c>
      <c r="D17246" t="s">
        <v>201</v>
      </c>
      <c r="E17246">
        <f>2/46</f>
        <v>4.3478260869565216E-2</v>
      </c>
      <c r="F17246">
        <v>72</v>
      </c>
      <c r="G17246">
        <f>LOG(382/(72+1))</f>
        <v>0.71874050279125279</v>
      </c>
      <c r="H17246">
        <f>0.0434782608695652*1.65496116745818</f>
        <v>7.1954833367746926E-2</v>
      </c>
      <c r="I17246">
        <v>7.195483336774712E-2</v>
      </c>
    </row>
    <row r="17247" spans="1:9" x14ac:dyDescent="0.25">
      <c r="A17247">
        <v>542</v>
      </c>
      <c r="B17247" t="s">
        <v>4330</v>
      </c>
      <c r="C17247" t="s">
        <v>75</v>
      </c>
      <c r="D17247" t="s">
        <v>225</v>
      </c>
      <c r="E17247">
        <f>1/46</f>
        <v>2.1739130434782608E-2</v>
      </c>
      <c r="F17247">
        <v>30</v>
      </c>
      <c r="G17247">
        <f>LOG(382/(30+1))</f>
        <v>1.090701669077436</v>
      </c>
      <c r="H17247">
        <f>0.0217391304347826*2.51143340412142</f>
        <v>5.4596378350465637E-2</v>
      </c>
      <c r="I17247">
        <v>5.4596378350465838E-2</v>
      </c>
    </row>
    <row r="17248" spans="1:9" x14ac:dyDescent="0.25">
      <c r="A17248">
        <v>542</v>
      </c>
      <c r="B17248" t="s">
        <v>4330</v>
      </c>
      <c r="C17248" t="s">
        <v>75</v>
      </c>
      <c r="D17248" t="s">
        <v>1769</v>
      </c>
      <c r="E17248">
        <f>1/46</f>
        <v>2.1739130434782608E-2</v>
      </c>
      <c r="F17248">
        <v>84</v>
      </c>
      <c r="G17248">
        <f>LOG(382/(84+1))</f>
        <v>0.65264443719741605</v>
      </c>
      <c r="H17248">
        <f>0.0217391304347826*1.50276935211625</f>
        <v>3.2668898959048898E-2</v>
      </c>
      <c r="I17248">
        <v>3.2668898959049113E-2</v>
      </c>
    </row>
    <row r="17249" spans="1:9" x14ac:dyDescent="0.25">
      <c r="A17249">
        <v>542</v>
      </c>
      <c r="B17249" t="s">
        <v>4330</v>
      </c>
      <c r="C17249" t="s">
        <v>75</v>
      </c>
      <c r="D17249" t="s">
        <v>126</v>
      </c>
      <c r="E17249">
        <f>1/46</f>
        <v>2.1739130434782608E-2</v>
      </c>
      <c r="F17249">
        <v>79</v>
      </c>
      <c r="G17249">
        <f>LOG(382/(79+1))</f>
        <v>0.67897337591976514</v>
      </c>
      <c r="H17249">
        <f>0.0217391304347826*1.56339397393269</f>
        <v>3.3986825520275862E-2</v>
      </c>
      <c r="I17249">
        <v>3.3986825520275953E-2</v>
      </c>
    </row>
    <row r="17250" spans="1:9" x14ac:dyDescent="0.25">
      <c r="A17250">
        <v>542</v>
      </c>
      <c r="B17250" t="s">
        <v>4330</v>
      </c>
      <c r="C17250" t="s">
        <v>75</v>
      </c>
      <c r="D17250" t="s">
        <v>50</v>
      </c>
      <c r="E17250">
        <f>1/46</f>
        <v>2.1739130434782608E-2</v>
      </c>
      <c r="F17250">
        <v>109</v>
      </c>
      <c r="G17250">
        <f>LOG(382/(109+1))</f>
        <v>0.54067067775348365</v>
      </c>
      <c r="H17250">
        <f>0.0217391304347826*1.24494024281415</f>
        <v>2.7063918322046732E-2</v>
      </c>
      <c r="I17250">
        <v>2.706391832204693E-2</v>
      </c>
    </row>
    <row r="17251" spans="1:9" x14ac:dyDescent="0.25">
      <c r="A17251">
        <v>542</v>
      </c>
      <c r="B17251" t="s">
        <v>4330</v>
      </c>
      <c r="C17251" t="s">
        <v>75</v>
      </c>
      <c r="D17251" t="s">
        <v>1080</v>
      </c>
      <c r="E17251">
        <f>1/46</f>
        <v>2.1739130434782608E-2</v>
      </c>
      <c r="F17251">
        <v>26</v>
      </c>
      <c r="G17251">
        <f>LOG(382/(26+1))</f>
        <v>1.1506995987527215</v>
      </c>
      <c r="H17251">
        <f>0.0217391304347826*2.64958374260224</f>
        <v>5.7599646578309543E-2</v>
      </c>
      <c r="I17251">
        <v>5.7599646578309703E-2</v>
      </c>
    </row>
    <row r="17252" spans="1:9" x14ac:dyDescent="0.25">
      <c r="A17252">
        <v>542</v>
      </c>
      <c r="B17252" t="s">
        <v>4330</v>
      </c>
      <c r="C17252" t="s">
        <v>75</v>
      </c>
      <c r="D17252" t="s">
        <v>133</v>
      </c>
      <c r="E17252">
        <f>2/46</f>
        <v>4.3478260869565216E-2</v>
      </c>
      <c r="F17252">
        <v>142</v>
      </c>
      <c r="G17252">
        <f>LOG(382/(142+1))</f>
        <v>0.42672732544664693</v>
      </c>
      <c r="H17252">
        <f>0.0434782608695652*0.982575978346667</f>
        <v>4.2720694710724635E-2</v>
      </c>
      <c r="I17252">
        <v>4.2720694710724691E-2</v>
      </c>
    </row>
    <row r="17253" spans="1:9" x14ac:dyDescent="0.25">
      <c r="A17253">
        <v>542</v>
      </c>
      <c r="B17253" t="s">
        <v>4330</v>
      </c>
      <c r="C17253" t="s">
        <v>75</v>
      </c>
      <c r="D17253" t="s">
        <v>78</v>
      </c>
      <c r="E17253">
        <f t="shared" ref="E17253:E17267" si="818">1/46</f>
        <v>2.1739130434782608E-2</v>
      </c>
      <c r="F17253">
        <v>122</v>
      </c>
      <c r="G17253">
        <f>LOG(382/(122+1))</f>
        <v>0.49215825147231079</v>
      </c>
      <c r="H17253">
        <f>0.0217391304347826*1.13323625323415</f>
        <v>2.4635570722481515E-2</v>
      </c>
      <c r="I17253">
        <v>2.4635570722481681E-2</v>
      </c>
    </row>
    <row r="17254" spans="1:9" x14ac:dyDescent="0.25">
      <c r="A17254">
        <v>542</v>
      </c>
      <c r="B17254" t="s">
        <v>4330</v>
      </c>
      <c r="C17254" t="s">
        <v>75</v>
      </c>
      <c r="D17254" t="s">
        <v>754</v>
      </c>
      <c r="E17254">
        <f t="shared" si="818"/>
        <v>2.1739130434782608E-2</v>
      </c>
      <c r="F17254">
        <v>111</v>
      </c>
      <c r="G17254">
        <f>LOG(382/(111+1))</f>
        <v>0.53284534024152708</v>
      </c>
      <c r="H17254">
        <f>0.0217391304347826*1.22692173731148</f>
        <v>2.667221168068434E-2</v>
      </c>
      <c r="I17254">
        <v>2.6672211680684361E-2</v>
      </c>
    </row>
    <row r="17255" spans="1:9" x14ac:dyDescent="0.25">
      <c r="A17255">
        <v>542</v>
      </c>
      <c r="B17255" t="s">
        <v>4330</v>
      </c>
      <c r="C17255" t="s">
        <v>75</v>
      </c>
      <c r="D17255" t="s">
        <v>256</v>
      </c>
      <c r="E17255">
        <f t="shared" si="818"/>
        <v>2.1739130434782608E-2</v>
      </c>
      <c r="F17255">
        <v>28</v>
      </c>
      <c r="G17255">
        <f>LOG(382/(28+1))</f>
        <v>1.1196653650127526</v>
      </c>
      <c r="H17255">
        <f>0.0217391304347826*2.5781247786201</f>
        <v>5.604619083956737E-2</v>
      </c>
      <c r="I17255">
        <v>5.6046190839567411E-2</v>
      </c>
    </row>
    <row r="17256" spans="1:9" x14ac:dyDescent="0.25">
      <c r="A17256">
        <v>542</v>
      </c>
      <c r="B17256" t="s">
        <v>4330</v>
      </c>
      <c r="C17256" t="s">
        <v>75</v>
      </c>
      <c r="D17256" t="s">
        <v>811</v>
      </c>
      <c r="E17256">
        <f t="shared" si="818"/>
        <v>2.1739130434782608E-2</v>
      </c>
      <c r="F17256">
        <v>27</v>
      </c>
      <c r="G17256">
        <f>LOG(382/(27+1))</f>
        <v>1.1349053315694895</v>
      </c>
      <c r="H17256">
        <f>0.0217391304347826*2.61321609843137</f>
        <v>5.6809045618073248E-2</v>
      </c>
      <c r="I17256">
        <v>5.6809045618073283E-2</v>
      </c>
    </row>
    <row r="17257" spans="1:9" x14ac:dyDescent="0.25">
      <c r="A17257">
        <v>542</v>
      </c>
      <c r="B17257" t="s">
        <v>4330</v>
      </c>
      <c r="C17257" t="s">
        <v>75</v>
      </c>
      <c r="D17257" t="s">
        <v>327</v>
      </c>
      <c r="E17257">
        <f t="shared" si="818"/>
        <v>2.1739130434782608E-2</v>
      </c>
      <c r="F17257">
        <v>46</v>
      </c>
      <c r="G17257">
        <f>LOG(382/(46+1))</f>
        <v>0.90996550497599127</v>
      </c>
      <c r="H17257">
        <f>0.0217391304347826*2.09527300689651</f>
        <v>4.5549413193402381E-2</v>
      </c>
      <c r="I17257">
        <v>4.5549413193402527E-2</v>
      </c>
    </row>
    <row r="17258" spans="1:9" x14ac:dyDescent="0.25">
      <c r="A17258">
        <v>542</v>
      </c>
      <c r="B17258" t="s">
        <v>4330</v>
      </c>
      <c r="C17258" t="s">
        <v>75</v>
      </c>
      <c r="D17258" t="s">
        <v>1083</v>
      </c>
      <c r="E17258">
        <f t="shared" si="818"/>
        <v>2.1739130434782608E-2</v>
      </c>
      <c r="F17258">
        <v>51</v>
      </c>
      <c r="G17258">
        <f>LOG(382/(51+1))</f>
        <v>0.86606001927690957</v>
      </c>
      <c r="H17258">
        <f>0.0217391304347826*1.99417689002514</f>
        <v>4.335167152228564E-2</v>
      </c>
      <c r="I17258">
        <v>4.335167152228582E-2</v>
      </c>
    </row>
    <row r="17259" spans="1:9" x14ac:dyDescent="0.25">
      <c r="A17259">
        <v>542</v>
      </c>
      <c r="B17259" t="s">
        <v>4330</v>
      </c>
      <c r="C17259" t="s">
        <v>75</v>
      </c>
      <c r="D17259" t="s">
        <v>76</v>
      </c>
      <c r="E17259">
        <f t="shared" si="818"/>
        <v>2.1739130434782608E-2</v>
      </c>
      <c r="F17259">
        <v>140</v>
      </c>
      <c r="G17259">
        <f>LOG(382/(140+1))</f>
        <v>0.43284425025632883</v>
      </c>
      <c r="H17259">
        <f>0.0217391304347826*0.996660718228407</f>
        <v>2.1666537352791448E-2</v>
      </c>
      <c r="I17259">
        <v>2.1666537352791459E-2</v>
      </c>
    </row>
    <row r="17260" spans="1:9" x14ac:dyDescent="0.25">
      <c r="A17260">
        <v>542</v>
      </c>
      <c r="B17260" t="s">
        <v>4330</v>
      </c>
      <c r="C17260" t="s">
        <v>75</v>
      </c>
      <c r="D17260" t="s">
        <v>243</v>
      </c>
      <c r="E17260">
        <f t="shared" si="818"/>
        <v>2.1739130434782608E-2</v>
      </c>
      <c r="F17260">
        <v>131</v>
      </c>
      <c r="G17260">
        <f>LOG(382/(131+1))</f>
        <v>0.46148943170585888</v>
      </c>
      <c r="H17260">
        <f>0.0217391304347826*1.0626186860202</f>
        <v>2.3100406217830428E-2</v>
      </c>
      <c r="I17260">
        <v>2.3100406217830528E-2</v>
      </c>
    </row>
    <row r="17261" spans="1:9" x14ac:dyDescent="0.25">
      <c r="A17261">
        <v>542</v>
      </c>
      <c r="B17261" t="s">
        <v>4330</v>
      </c>
      <c r="C17261" t="s">
        <v>75</v>
      </c>
      <c r="D17261" t="s">
        <v>361</v>
      </c>
      <c r="E17261">
        <f t="shared" si="818"/>
        <v>2.1739130434782608E-2</v>
      </c>
      <c r="F17261">
        <v>118</v>
      </c>
      <c r="G17261">
        <f>LOG(382/(118+1))</f>
        <v>0.50651640151917798</v>
      </c>
      <c r="H17261">
        <f>0.0217391304347826*1.16629711549504</f>
        <v>2.5354285119457379E-2</v>
      </c>
      <c r="I17261">
        <v>2.5354285119457521E-2</v>
      </c>
    </row>
    <row r="17262" spans="1:9" x14ac:dyDescent="0.25">
      <c r="A17262">
        <v>542</v>
      </c>
      <c r="B17262" t="s">
        <v>4330</v>
      </c>
      <c r="C17262" t="s">
        <v>75</v>
      </c>
      <c r="D17262" t="s">
        <v>434</v>
      </c>
      <c r="E17262">
        <f t="shared" si="818"/>
        <v>2.1739130434782608E-2</v>
      </c>
      <c r="F17262">
        <v>97</v>
      </c>
      <c r="G17262">
        <f>LOG(382/(97+1))</f>
        <v>0.59083728721921391</v>
      </c>
      <c r="H17262">
        <f>0.0217391304347826*1.360453129936</f>
        <v>2.9575068042086948E-2</v>
      </c>
      <c r="I17262">
        <v>2.9575068042087021E-2</v>
      </c>
    </row>
    <row r="17263" spans="1:9" x14ac:dyDescent="0.25">
      <c r="A17263">
        <v>542</v>
      </c>
      <c r="B17263" t="s">
        <v>4330</v>
      </c>
      <c r="C17263" t="s">
        <v>75</v>
      </c>
      <c r="D17263" t="s">
        <v>770</v>
      </c>
      <c r="E17263">
        <f t="shared" si="818"/>
        <v>2.1739130434782608E-2</v>
      </c>
      <c r="F17263">
        <v>47</v>
      </c>
      <c r="G17263">
        <f>LOG(382/(47+1))</f>
        <v>0.90082212553612151</v>
      </c>
      <c r="H17263">
        <f>0.0217391304347826*2.07421959769868</f>
        <v>4.5091730384753899E-2</v>
      </c>
      <c r="I17263">
        <v>4.5091730384754003E-2</v>
      </c>
    </row>
    <row r="17264" spans="1:9" x14ac:dyDescent="0.25">
      <c r="A17264">
        <v>542</v>
      </c>
      <c r="B17264" t="s">
        <v>4330</v>
      </c>
      <c r="C17264" t="s">
        <v>75</v>
      </c>
      <c r="D17264" t="s">
        <v>438</v>
      </c>
      <c r="E17264">
        <f t="shared" si="818"/>
        <v>2.1739130434782608E-2</v>
      </c>
      <c r="F17264">
        <v>37</v>
      </c>
      <c r="G17264">
        <f>LOG(382/(37+1))</f>
        <v>1.0022797662948986</v>
      </c>
      <c r="H17264">
        <f>0.0217391304347826*2.30783444888018</f>
        <v>5.0170314106090852E-2</v>
      </c>
      <c r="I17264">
        <v>5.0170314106091067E-2</v>
      </c>
    </row>
    <row r="17265" spans="1:9" x14ac:dyDescent="0.25">
      <c r="A17265">
        <v>542</v>
      </c>
      <c r="B17265" t="s">
        <v>4330</v>
      </c>
      <c r="C17265" t="s">
        <v>75</v>
      </c>
      <c r="D17265" t="s">
        <v>307</v>
      </c>
      <c r="E17265">
        <f t="shared" si="818"/>
        <v>2.1739130434782608E-2</v>
      </c>
      <c r="F17265">
        <v>67</v>
      </c>
      <c r="G17265">
        <f>LOG(382/(67+1))</f>
        <v>0.7495544502054724</v>
      </c>
      <c r="H17265">
        <f>0.0217391304347826*1.72591290343046</f>
        <v>3.7519845726749122E-2</v>
      </c>
      <c r="I17265">
        <v>3.751984572674931E-2</v>
      </c>
    </row>
    <row r="17266" spans="1:9" x14ac:dyDescent="0.25">
      <c r="A17266">
        <v>542</v>
      </c>
      <c r="B17266" t="s">
        <v>4330</v>
      </c>
      <c r="C17266" t="s">
        <v>75</v>
      </c>
      <c r="D17266" t="s">
        <v>218</v>
      </c>
      <c r="E17266">
        <f t="shared" si="818"/>
        <v>2.1739130434782608E-2</v>
      </c>
      <c r="F17266">
        <v>35</v>
      </c>
      <c r="G17266">
        <f>LOG(382/(35+1))</f>
        <v>1.0257608621444214</v>
      </c>
      <c r="H17266">
        <f>0.0217391304347826*2.36190167015046</f>
        <v>5.1345688481531725E-2</v>
      </c>
      <c r="I17266">
        <v>5.1345688481531843E-2</v>
      </c>
    </row>
    <row r="17267" spans="1:9" x14ac:dyDescent="0.25">
      <c r="A17267">
        <v>542</v>
      </c>
      <c r="B17267" t="s">
        <v>4330</v>
      </c>
      <c r="C17267" t="s">
        <v>75</v>
      </c>
      <c r="D17267" t="s">
        <v>520</v>
      </c>
      <c r="E17267">
        <f t="shared" si="818"/>
        <v>2.1739130434782608E-2</v>
      </c>
      <c r="F17267">
        <v>25</v>
      </c>
      <c r="G17267">
        <f>LOG(382/(25+1))</f>
        <v>1.1670900149408907</v>
      </c>
      <c r="H17267">
        <f>0.0217391304347826*2.68732407058509</f>
        <v>5.8420088490980196E-2</v>
      </c>
      <c r="I17267">
        <v>5.8420088490980293E-2</v>
      </c>
    </row>
    <row r="17268" spans="1:9" x14ac:dyDescent="0.25">
      <c r="A17268">
        <v>542</v>
      </c>
      <c r="B17268" t="s">
        <v>4330</v>
      </c>
      <c r="C17268" t="s">
        <v>75</v>
      </c>
      <c r="D17268" t="s">
        <v>772</v>
      </c>
      <c r="E17268">
        <f>2/46</f>
        <v>4.3478260869565216E-2</v>
      </c>
      <c r="F17268">
        <v>31</v>
      </c>
      <c r="G17268">
        <f>LOG(382/(31+1))</f>
        <v>1.0769133845918029</v>
      </c>
      <c r="H17268">
        <f>0.0434782608695652*2.47968470580684</f>
        <v>0.10781237851334083</v>
      </c>
      <c r="I17268">
        <v>0.1078123785133412</v>
      </c>
    </row>
    <row r="17269" spans="1:9" x14ac:dyDescent="0.25">
      <c r="A17269">
        <v>542</v>
      </c>
      <c r="B17269" t="s">
        <v>4330</v>
      </c>
      <c r="C17269" t="s">
        <v>75</v>
      </c>
      <c r="D17269" t="s">
        <v>237</v>
      </c>
      <c r="E17269">
        <f>1/46</f>
        <v>2.1739130434782608E-2</v>
      </c>
      <c r="F17269">
        <v>138</v>
      </c>
      <c r="G17269">
        <f>LOG(382/(138+1))</f>
        <v>0.43904856265761361</v>
      </c>
      <c r="H17269">
        <f>0.0217391304347826*1.01094667547588</f>
        <v>2.1977101640779994E-2</v>
      </c>
      <c r="I17269">
        <v>2.197710164078007E-2</v>
      </c>
    </row>
    <row r="17270" spans="1:9" x14ac:dyDescent="0.25">
      <c r="A17270">
        <v>542</v>
      </c>
      <c r="B17270" t="s">
        <v>4330</v>
      </c>
      <c r="C17270" t="s">
        <v>75</v>
      </c>
      <c r="D17270" t="s">
        <v>773</v>
      </c>
      <c r="E17270">
        <f>1/46</f>
        <v>2.1739130434782608E-2</v>
      </c>
      <c r="F17270">
        <v>10</v>
      </c>
      <c r="G17270">
        <f>LOG(382/(10+1))</f>
        <v>1.5406706777534838</v>
      </c>
      <c r="H17270">
        <f>0.0217391304347826*3.5475253358082</f>
        <v>7.7120115995830407E-2</v>
      </c>
      <c r="I17270">
        <v>7.7120115995830532E-2</v>
      </c>
    </row>
    <row r="17271" spans="1:9" x14ac:dyDescent="0.25">
      <c r="A17271">
        <v>542</v>
      </c>
      <c r="B17271" t="s">
        <v>4330</v>
      </c>
      <c r="C17271" t="s">
        <v>75</v>
      </c>
      <c r="D17271" t="s">
        <v>1814</v>
      </c>
      <c r="E17271">
        <f>1/46</f>
        <v>2.1739130434782608E-2</v>
      </c>
      <c r="F17271">
        <v>3</v>
      </c>
      <c r="G17271">
        <f>LOG(382/(3+1))</f>
        <v>1.9800033715837464</v>
      </c>
      <c r="H17271">
        <f>0.0217391304347826*4.55912624748668</f>
        <v>9.9111440162753875E-2</v>
      </c>
      <c r="I17271">
        <v>9.9111440162754014E-2</v>
      </c>
    </row>
    <row r="17272" spans="1:9" x14ac:dyDescent="0.25">
      <c r="A17272">
        <v>543</v>
      </c>
      <c r="B17272" t="s">
        <v>4331</v>
      </c>
      <c r="C17272" t="s">
        <v>75</v>
      </c>
      <c r="D17272" t="s">
        <v>3488</v>
      </c>
      <c r="E17272">
        <f>2/124</f>
        <v>1.6129032258064516E-2</v>
      </c>
      <c r="F17272">
        <v>6</v>
      </c>
      <c r="G17272">
        <f>LOG(382/(6+1))</f>
        <v>1.736965322897452</v>
      </c>
      <c r="H17272">
        <f>0.0161290322580645*3.99951045955126</f>
        <v>6.4508233218568634E-2</v>
      </c>
      <c r="I17272">
        <v>6.4508233218568731E-2</v>
      </c>
    </row>
    <row r="17273" spans="1:9" x14ac:dyDescent="0.25">
      <c r="A17273">
        <v>543</v>
      </c>
      <c r="B17273" t="s">
        <v>4331</v>
      </c>
      <c r="C17273" t="s">
        <v>75</v>
      </c>
      <c r="D17273" t="s">
        <v>3057</v>
      </c>
      <c r="E17273">
        <f>1/124</f>
        <v>8.0645161290322578E-3</v>
      </c>
      <c r="F17273">
        <v>7</v>
      </c>
      <c r="G17273">
        <f>LOG(382/(7+1))</f>
        <v>1.6789733759197651</v>
      </c>
      <c r="H17273">
        <f>0.00806451612903225*3.86597906692673</f>
        <v>3.1177250539731662E-2</v>
      </c>
      <c r="I17273">
        <v>3.117725053973177E-2</v>
      </c>
    </row>
    <row r="17274" spans="1:9" x14ac:dyDescent="0.25">
      <c r="A17274">
        <v>543</v>
      </c>
      <c r="B17274" t="s">
        <v>4331</v>
      </c>
      <c r="C17274" t="s">
        <v>75</v>
      </c>
      <c r="D17274" t="s">
        <v>1783</v>
      </c>
      <c r="E17274">
        <f>1/124</f>
        <v>8.0645161290322578E-3</v>
      </c>
      <c r="F17274">
        <v>3</v>
      </c>
      <c r="G17274">
        <f>LOG(382/(3+1))</f>
        <v>1.9800033715837464</v>
      </c>
      <c r="H17274">
        <f>0.00806451612903225*4.55912624748668</f>
        <v>3.6767147157150605E-2</v>
      </c>
      <c r="I17274">
        <v>3.6767147157150681E-2</v>
      </c>
    </row>
    <row r="17275" spans="1:9" x14ac:dyDescent="0.25">
      <c r="A17275">
        <v>543</v>
      </c>
      <c r="B17275" t="s">
        <v>4331</v>
      </c>
      <c r="C17275" t="s">
        <v>75</v>
      </c>
      <c r="D17275" t="s">
        <v>42</v>
      </c>
      <c r="E17275">
        <f>3/124</f>
        <v>2.4193548387096774E-2</v>
      </c>
      <c r="F17275">
        <v>251</v>
      </c>
      <c r="G17275">
        <f>LOG(382/(251+1))</f>
        <v>0.18066282213016463</v>
      </c>
      <c r="H17275">
        <f>0.0241935483870967*0.415991521095151</f>
        <v>1.0064310994237493E-2</v>
      </c>
      <c r="I17275">
        <v>1.0064310994237539E-2</v>
      </c>
    </row>
    <row r="17276" spans="1:9" x14ac:dyDescent="0.25">
      <c r="A17276">
        <v>543</v>
      </c>
      <c r="B17276" t="s">
        <v>4331</v>
      </c>
      <c r="C17276" t="s">
        <v>75</v>
      </c>
      <c r="D17276" t="s">
        <v>1511</v>
      </c>
      <c r="E17276">
        <f>1/124</f>
        <v>8.0645161290322578E-3</v>
      </c>
      <c r="F17276">
        <v>3</v>
      </c>
      <c r="G17276">
        <f>LOG(382/(3+1))</f>
        <v>1.9800033715837464</v>
      </c>
      <c r="H17276">
        <f>0.00806451612903225*4.55912624748668</f>
        <v>3.6767147157150605E-2</v>
      </c>
      <c r="I17276">
        <v>3.6767147157150681E-2</v>
      </c>
    </row>
    <row r="17277" spans="1:9" x14ac:dyDescent="0.25">
      <c r="A17277">
        <v>543</v>
      </c>
      <c r="B17277" t="s">
        <v>4331</v>
      </c>
      <c r="C17277" t="s">
        <v>75</v>
      </c>
      <c r="D17277" t="s">
        <v>1512</v>
      </c>
      <c r="E17277">
        <f>1/124</f>
        <v>8.0645161290322578E-3</v>
      </c>
      <c r="F17277">
        <v>3</v>
      </c>
      <c r="G17277">
        <f>LOG(382/(3+1))</f>
        <v>1.9800033715837464</v>
      </c>
      <c r="H17277">
        <f>0.00806451612903225*4.55912624748668</f>
        <v>3.6767147157150605E-2</v>
      </c>
      <c r="I17277">
        <v>3.6767147157150681E-2</v>
      </c>
    </row>
    <row r="17278" spans="1:9" x14ac:dyDescent="0.25">
      <c r="A17278">
        <v>543</v>
      </c>
      <c r="B17278" t="s">
        <v>4331</v>
      </c>
      <c r="C17278" t="s">
        <v>75</v>
      </c>
      <c r="D17278" t="s">
        <v>64</v>
      </c>
      <c r="E17278">
        <f>9/124</f>
        <v>7.2580645161290328E-2</v>
      </c>
      <c r="F17278">
        <v>16</v>
      </c>
      <c r="G17278">
        <f>LOG(382/(16+1))</f>
        <v>1.3516144415334348</v>
      </c>
      <c r="H17278">
        <f>0.0725806451612903*3.11220726455035</f>
        <v>0.22588601113671886</v>
      </c>
      <c r="I17278">
        <v>0.22588601113671961</v>
      </c>
    </row>
    <row r="17279" spans="1:9" x14ac:dyDescent="0.25">
      <c r="A17279">
        <v>543</v>
      </c>
      <c r="B17279" t="s">
        <v>4331</v>
      </c>
      <c r="C17279" t="s">
        <v>75</v>
      </c>
      <c r="D17279" t="s">
        <v>70</v>
      </c>
      <c r="E17279">
        <f>1/124</f>
        <v>8.0645161290322578E-3</v>
      </c>
      <c r="F17279">
        <v>44</v>
      </c>
      <c r="G17279">
        <f>LOG(382/(44+1))</f>
        <v>0.92885084913636506</v>
      </c>
      <c r="H17279">
        <f>0.00806451612903225*2.13875811883625</f>
        <v>1.7248049345453608E-2</v>
      </c>
      <c r="I17279">
        <v>1.7248049345453671E-2</v>
      </c>
    </row>
    <row r="17280" spans="1:9" x14ac:dyDescent="0.25">
      <c r="A17280">
        <v>543</v>
      </c>
      <c r="B17280" t="s">
        <v>4331</v>
      </c>
      <c r="C17280" t="s">
        <v>75</v>
      </c>
      <c r="D17280" t="s">
        <v>19</v>
      </c>
      <c r="E17280">
        <f>1/124</f>
        <v>8.0645161290322578E-3</v>
      </c>
      <c r="F17280">
        <v>220</v>
      </c>
      <c r="G17280">
        <f>LOG(382/(220+1))</f>
        <v>0.23767108922659805</v>
      </c>
      <c r="H17280">
        <f>0.00806451612903225*0.547257907088822</f>
        <v>4.4133702184582374E-3</v>
      </c>
      <c r="I17280">
        <v>4.4133702184582452E-3</v>
      </c>
    </row>
    <row r="17281" spans="1:9" x14ac:dyDescent="0.25">
      <c r="A17281">
        <v>543</v>
      </c>
      <c r="B17281" t="s">
        <v>4331</v>
      </c>
      <c r="C17281" t="s">
        <v>75</v>
      </c>
      <c r="D17281" t="s">
        <v>44</v>
      </c>
      <c r="E17281">
        <f>7/124</f>
        <v>5.6451612903225805E-2</v>
      </c>
      <c r="F17281">
        <v>151</v>
      </c>
      <c r="G17281">
        <f>LOG(382/(151+1))</f>
        <v>0.40021977496693617</v>
      </c>
      <c r="H17281">
        <f>0.0564516129032258*0.921540087760298</f>
        <v>5.2022424309049076E-2</v>
      </c>
      <c r="I17281">
        <v>5.2022424309049117E-2</v>
      </c>
    </row>
    <row r="17282" spans="1:9" x14ac:dyDescent="0.25">
      <c r="A17282">
        <v>543</v>
      </c>
      <c r="B17282" t="s">
        <v>4331</v>
      </c>
      <c r="C17282" t="s">
        <v>75</v>
      </c>
      <c r="D17282" t="s">
        <v>22</v>
      </c>
      <c r="E17282">
        <f>1/124</f>
        <v>8.0645161290322578E-3</v>
      </c>
      <c r="F17282">
        <v>259</v>
      </c>
      <c r="G17282">
        <f>LOG(382/(259+1))</f>
        <v>0.16709001494089079</v>
      </c>
      <c r="H17282">
        <f>0.00806451612903225*0.384738977591047</f>
        <v>3.1027336902503758E-3</v>
      </c>
      <c r="I17282">
        <v>3.1027336902503832E-3</v>
      </c>
    </row>
    <row r="17283" spans="1:9" x14ac:dyDescent="0.25">
      <c r="A17283">
        <v>543</v>
      </c>
      <c r="B17283" t="s">
        <v>4331</v>
      </c>
      <c r="C17283" t="s">
        <v>75</v>
      </c>
      <c r="D17283" t="s">
        <v>23</v>
      </c>
      <c r="E17283">
        <f>1/124</f>
        <v>8.0645161290322578E-3</v>
      </c>
      <c r="F17283">
        <v>275</v>
      </c>
      <c r="G17283">
        <f>LOG(382/(275+1))</f>
        <v>0.14115428084649101</v>
      </c>
      <c r="H17283">
        <f>0.00806451612903225*0.325019742889425</f>
        <v>2.6211269587856825E-3</v>
      </c>
      <c r="I17283">
        <v>2.6211269587856868E-3</v>
      </c>
    </row>
    <row r="17284" spans="1:9" x14ac:dyDescent="0.25">
      <c r="A17284">
        <v>543</v>
      </c>
      <c r="B17284" t="s">
        <v>4331</v>
      </c>
      <c r="C17284" t="s">
        <v>75</v>
      </c>
      <c r="D17284" t="s">
        <v>1785</v>
      </c>
      <c r="E17284">
        <f>1/124</f>
        <v>8.0645161290322578E-3</v>
      </c>
      <c r="F17284">
        <v>21</v>
      </c>
      <c r="G17284">
        <f>LOG(382/(21+1))</f>
        <v>1.2396406820895025</v>
      </c>
      <c r="H17284">
        <f>0.00806451612903225*2.85437815524825</f>
        <v>2.3019178671356829E-2</v>
      </c>
      <c r="I17284">
        <v>2.301917867135693E-2</v>
      </c>
    </row>
    <row r="17285" spans="1:9" x14ac:dyDescent="0.25">
      <c r="A17285">
        <v>543</v>
      </c>
      <c r="B17285" t="s">
        <v>4331</v>
      </c>
      <c r="C17285" t="s">
        <v>75</v>
      </c>
      <c r="D17285" t="s">
        <v>275</v>
      </c>
      <c r="E17285">
        <f>1/124</f>
        <v>8.0645161290322578E-3</v>
      </c>
      <c r="F17285">
        <v>6</v>
      </c>
      <c r="G17285">
        <f>LOG(382/(6+1))</f>
        <v>1.736965322897452</v>
      </c>
      <c r="H17285">
        <f>0.00806451612903225*3.99951045955126</f>
        <v>3.2254116609284317E-2</v>
      </c>
      <c r="I17285">
        <v>3.2254116609284372E-2</v>
      </c>
    </row>
    <row r="17286" spans="1:9" x14ac:dyDescent="0.25">
      <c r="A17286">
        <v>543</v>
      </c>
      <c r="B17286" t="s">
        <v>4331</v>
      </c>
      <c r="C17286" t="s">
        <v>75</v>
      </c>
      <c r="D17286" t="s">
        <v>2554</v>
      </c>
      <c r="E17286">
        <f>7/124</f>
        <v>5.6451612903225805E-2</v>
      </c>
      <c r="F17286">
        <v>22</v>
      </c>
      <c r="G17286">
        <f>LOG(382/(22+1))</f>
        <v>1.2203355268941158</v>
      </c>
      <c r="H17286">
        <f>0.0564516129032258*2.80992639267742</f>
        <v>0.15862487700598335</v>
      </c>
      <c r="I17286">
        <v>0.15862487700598371</v>
      </c>
    </row>
    <row r="17287" spans="1:9" x14ac:dyDescent="0.25">
      <c r="A17287">
        <v>543</v>
      </c>
      <c r="B17287" t="s">
        <v>4331</v>
      </c>
      <c r="C17287" t="s">
        <v>75</v>
      </c>
      <c r="D17287" t="s">
        <v>1079</v>
      </c>
      <c r="E17287">
        <f>1/124</f>
        <v>8.0645161290322578E-3</v>
      </c>
      <c r="F17287">
        <v>34</v>
      </c>
      <c r="G17287">
        <f>LOG(382/(34+1))</f>
        <v>1.037995318561433</v>
      </c>
      <c r="H17287">
        <f>0.00806451612903225*2.39007254711716</f>
        <v>1.9274778605783527E-2</v>
      </c>
      <c r="I17287">
        <v>1.9274778605783562E-2</v>
      </c>
    </row>
    <row r="17288" spans="1:9" x14ac:dyDescent="0.25">
      <c r="A17288">
        <v>543</v>
      </c>
      <c r="B17288" t="s">
        <v>4331</v>
      </c>
      <c r="C17288" t="s">
        <v>75</v>
      </c>
      <c r="D17288" t="s">
        <v>260</v>
      </c>
      <c r="E17288">
        <f>1/124</f>
        <v>8.0645161290322578E-3</v>
      </c>
      <c r="F17288">
        <v>31</v>
      </c>
      <c r="G17288">
        <f>LOG(382/(31+1))</f>
        <v>1.0769133845918029</v>
      </c>
      <c r="H17288">
        <f>0.00806451612903225*2.47968470580684</f>
        <v>1.9997457304893849E-2</v>
      </c>
      <c r="I17288">
        <v>1.999745730489394E-2</v>
      </c>
    </row>
    <row r="17289" spans="1:9" x14ac:dyDescent="0.25">
      <c r="A17289">
        <v>543</v>
      </c>
      <c r="B17289" t="s">
        <v>4331</v>
      </c>
      <c r="C17289" t="s">
        <v>75</v>
      </c>
      <c r="D17289" t="s">
        <v>1448</v>
      </c>
      <c r="E17289">
        <f>2/124</f>
        <v>1.6129032258064516E-2</v>
      </c>
      <c r="F17289">
        <v>11</v>
      </c>
      <c r="G17289">
        <f>LOG(382/(11+1))</f>
        <v>1.5028821168640838</v>
      </c>
      <c r="H17289">
        <f>0.0161290322580645*3.46051395881857</f>
        <v>5.5814741271267197E-2</v>
      </c>
      <c r="I17289">
        <v>5.5814741271267343E-2</v>
      </c>
    </row>
    <row r="17290" spans="1:9" x14ac:dyDescent="0.25">
      <c r="A17290">
        <v>543</v>
      </c>
      <c r="B17290" t="s">
        <v>4331</v>
      </c>
      <c r="C17290" t="s">
        <v>75</v>
      </c>
      <c r="D17290" t="s">
        <v>236</v>
      </c>
      <c r="E17290">
        <f>1/124</f>
        <v>8.0645161290322578E-3</v>
      </c>
      <c r="F17290">
        <v>87</v>
      </c>
      <c r="G17290">
        <f>LOG(382/(87+1))</f>
        <v>0.63758069076154011</v>
      </c>
      <c r="H17290">
        <f>0.00806451612903225*1.46808379412836</f>
        <v>1.183938543651902E-2</v>
      </c>
      <c r="I17290">
        <v>1.18393854365191E-2</v>
      </c>
    </row>
    <row r="17291" spans="1:9" x14ac:dyDescent="0.25">
      <c r="A17291">
        <v>543</v>
      </c>
      <c r="B17291" t="s">
        <v>4331</v>
      </c>
      <c r="C17291" t="s">
        <v>75</v>
      </c>
      <c r="D17291" t="s">
        <v>24</v>
      </c>
      <c r="E17291">
        <f>4/124</f>
        <v>3.2258064516129031E-2</v>
      </c>
      <c r="F17291">
        <v>59</v>
      </c>
      <c r="G17291">
        <f>LOG(382/(59+1))</f>
        <v>0.80391211252806505</v>
      </c>
      <c r="H17291">
        <f>0.032258064516129*1.85107604638447</f>
        <v>5.9712130528531221E-2</v>
      </c>
      <c r="I17291">
        <v>5.9712130528531429E-2</v>
      </c>
    </row>
    <row r="17292" spans="1:9" x14ac:dyDescent="0.25">
      <c r="A17292">
        <v>543</v>
      </c>
      <c r="B17292" t="s">
        <v>4331</v>
      </c>
      <c r="C17292" t="s">
        <v>75</v>
      </c>
      <c r="D17292" t="s">
        <v>915</v>
      </c>
      <c r="E17292">
        <f>1/124</f>
        <v>8.0645161290322578E-3</v>
      </c>
      <c r="F17292">
        <v>8</v>
      </c>
      <c r="G17292">
        <f>LOG(382/(8+1))</f>
        <v>1.6278208534723839</v>
      </c>
      <c r="H17292">
        <f>0.00806451612903225*3.74819603127035</f>
        <v>3.0227387348954401E-2</v>
      </c>
      <c r="I17292">
        <v>3.0227387348954481E-2</v>
      </c>
    </row>
    <row r="17293" spans="1:9" x14ac:dyDescent="0.25">
      <c r="A17293">
        <v>543</v>
      </c>
      <c r="B17293" t="s">
        <v>4331</v>
      </c>
      <c r="C17293" t="s">
        <v>75</v>
      </c>
      <c r="D17293" t="s">
        <v>67</v>
      </c>
      <c r="E17293">
        <f>1/124</f>
        <v>8.0645161290322578E-3</v>
      </c>
      <c r="F17293">
        <v>7</v>
      </c>
      <c r="G17293">
        <f>LOG(382/(7+1))</f>
        <v>1.6789733759197651</v>
      </c>
      <c r="H17293">
        <f>0.00806451612903225*3.86597906692673</f>
        <v>3.1177250539731662E-2</v>
      </c>
      <c r="I17293">
        <v>3.117725053973177E-2</v>
      </c>
    </row>
    <row r="17294" spans="1:9" x14ac:dyDescent="0.25">
      <c r="A17294">
        <v>543</v>
      </c>
      <c r="B17294" t="s">
        <v>4331</v>
      </c>
      <c r="C17294" t="s">
        <v>75</v>
      </c>
      <c r="D17294" t="s">
        <v>68</v>
      </c>
      <c r="E17294">
        <f>1/124</f>
        <v>8.0645161290322578E-3</v>
      </c>
      <c r="F17294">
        <v>43</v>
      </c>
      <c r="G17294">
        <f>LOG(382/(43+1))</f>
        <v>0.93861068642552126</v>
      </c>
      <c r="H17294">
        <f>0.00806451612903225*2.16123097468831</f>
        <v>1.7429282053937963E-2</v>
      </c>
      <c r="I17294">
        <v>1.7429282053938011E-2</v>
      </c>
    </row>
    <row r="17295" spans="1:9" x14ac:dyDescent="0.25">
      <c r="A17295">
        <v>543</v>
      </c>
      <c r="B17295" t="s">
        <v>4331</v>
      </c>
      <c r="C17295" t="s">
        <v>75</v>
      </c>
      <c r="D17295" t="s">
        <v>204</v>
      </c>
      <c r="E17295">
        <f>2/124</f>
        <v>1.6129032258064516E-2</v>
      </c>
      <c r="F17295">
        <v>166</v>
      </c>
      <c r="G17295">
        <f>LOG(382/(166+1))</f>
        <v>0.35934689176412549</v>
      </c>
      <c r="H17295">
        <f>0.0161290322580645*0.82742679618982</f>
        <v>1.3345593486932565E-2</v>
      </c>
      <c r="I17295">
        <v>1.334559348693258E-2</v>
      </c>
    </row>
    <row r="17296" spans="1:9" x14ac:dyDescent="0.25">
      <c r="A17296">
        <v>543</v>
      </c>
      <c r="B17296" t="s">
        <v>4331</v>
      </c>
      <c r="C17296" t="s">
        <v>75</v>
      </c>
      <c r="D17296" t="s">
        <v>76</v>
      </c>
      <c r="E17296">
        <f>1/124</f>
        <v>8.0645161290322578E-3</v>
      </c>
      <c r="F17296">
        <v>140</v>
      </c>
      <c r="G17296">
        <f>LOG(382/(140+1))</f>
        <v>0.43284425025632883</v>
      </c>
      <c r="H17296">
        <f>0.00806451612903225*0.996660718228407</f>
        <v>8.0375864373258537E-3</v>
      </c>
      <c r="I17296">
        <v>8.0375864373258624E-3</v>
      </c>
    </row>
    <row r="17297" spans="1:9" x14ac:dyDescent="0.25">
      <c r="A17297">
        <v>543</v>
      </c>
      <c r="B17297" t="s">
        <v>4331</v>
      </c>
      <c r="C17297" t="s">
        <v>75</v>
      </c>
      <c r="D17297" t="s">
        <v>40</v>
      </c>
      <c r="E17297">
        <f>2/124</f>
        <v>1.6129032258064516E-2</v>
      </c>
      <c r="F17297">
        <v>159</v>
      </c>
      <c r="G17297">
        <f>LOG(382/(159+1))</f>
        <v>0.377943380255784</v>
      </c>
      <c r="H17297">
        <f>0.0161290322580645*0.870246793372748</f>
        <v>1.4036238602786242E-2</v>
      </c>
      <c r="I17297">
        <v>1.403623860278626E-2</v>
      </c>
    </row>
    <row r="17298" spans="1:9" x14ac:dyDescent="0.25">
      <c r="A17298">
        <v>543</v>
      </c>
      <c r="B17298" t="s">
        <v>4331</v>
      </c>
      <c r="C17298" t="s">
        <v>75</v>
      </c>
      <c r="D17298" t="s">
        <v>41</v>
      </c>
      <c r="E17298">
        <f>1/124</f>
        <v>8.0645161290322578E-3</v>
      </c>
      <c r="F17298">
        <v>195</v>
      </c>
      <c r="G17298">
        <f>LOG(382/(195+1))</f>
        <v>0.28980729155523272</v>
      </c>
      <c r="H17298">
        <f>0.00806451612903225*0.667305949376058</f>
        <v>5.3814995917423978E-3</v>
      </c>
      <c r="I17298">
        <v>5.381499591742403E-3</v>
      </c>
    </row>
    <row r="17299" spans="1:9" x14ac:dyDescent="0.25">
      <c r="A17299">
        <v>543</v>
      </c>
      <c r="B17299" t="s">
        <v>4331</v>
      </c>
      <c r="C17299" t="s">
        <v>75</v>
      </c>
      <c r="D17299" t="s">
        <v>77</v>
      </c>
      <c r="E17299">
        <f>1/124</f>
        <v>8.0645161290322578E-3</v>
      </c>
      <c r="F17299">
        <v>148</v>
      </c>
      <c r="G17299">
        <f>LOG(382/(148+1))</f>
        <v>0.40887709449943471</v>
      </c>
      <c r="H17299">
        <f>0.00806451612903225*0.941474302661116</f>
        <v>7.5925346988799589E-3</v>
      </c>
      <c r="I17299">
        <v>7.5925346988799684E-3</v>
      </c>
    </row>
    <row r="17300" spans="1:9" x14ac:dyDescent="0.25">
      <c r="A17300">
        <v>543</v>
      </c>
      <c r="B17300" t="s">
        <v>4331</v>
      </c>
      <c r="C17300" t="s">
        <v>75</v>
      </c>
      <c r="D17300" t="s">
        <v>2009</v>
      </c>
      <c r="E17300">
        <f>1/124</f>
        <v>8.0645161290322578E-3</v>
      </c>
      <c r="F17300">
        <v>4</v>
      </c>
      <c r="G17300">
        <f>LOG(382/(4+1))</f>
        <v>1.8830933585756899</v>
      </c>
      <c r="H17300">
        <f>0.00806451612903225*4.33598269617247</f>
        <v>3.4967602388487624E-2</v>
      </c>
      <c r="I17300">
        <v>3.4967602388487701E-2</v>
      </c>
    </row>
    <row r="17301" spans="1:9" x14ac:dyDescent="0.25">
      <c r="A17301">
        <v>543</v>
      </c>
      <c r="B17301" t="s">
        <v>4331</v>
      </c>
      <c r="C17301" t="s">
        <v>75</v>
      </c>
      <c r="D17301" t="s">
        <v>36</v>
      </c>
      <c r="E17301">
        <f>1/124</f>
        <v>8.0645161290322578E-3</v>
      </c>
      <c r="F17301">
        <v>58</v>
      </c>
      <c r="G17301">
        <f>LOG(382/(58+1))</f>
        <v>0.81121135126956456</v>
      </c>
      <c r="H17301">
        <f>0.00806451612903225*1.86788316470085</f>
        <v>1.5063573908877807E-2</v>
      </c>
      <c r="I17301">
        <v>1.5063573908877871E-2</v>
      </c>
    </row>
    <row r="17302" spans="1:9" x14ac:dyDescent="0.25">
      <c r="A17302">
        <v>543</v>
      </c>
      <c r="B17302" t="s">
        <v>4331</v>
      </c>
      <c r="C17302" t="s">
        <v>75</v>
      </c>
      <c r="D17302" t="s">
        <v>34</v>
      </c>
      <c r="E17302">
        <f>1/124</f>
        <v>8.0645161290322578E-3</v>
      </c>
      <c r="F17302">
        <v>11</v>
      </c>
      <c r="G17302">
        <f>LOG(382/(11+1))</f>
        <v>1.5028821168640838</v>
      </c>
      <c r="H17302">
        <f>0.00806451612903225*3.46051395881857</f>
        <v>2.7907370635633599E-2</v>
      </c>
      <c r="I17302">
        <v>2.7907370635633671E-2</v>
      </c>
    </row>
    <row r="17303" spans="1:9" x14ac:dyDescent="0.25">
      <c r="A17303">
        <v>543</v>
      </c>
      <c r="B17303" t="s">
        <v>4331</v>
      </c>
      <c r="C17303" t="s">
        <v>75</v>
      </c>
      <c r="D17303" t="s">
        <v>133</v>
      </c>
      <c r="E17303">
        <f>4/124</f>
        <v>3.2258064516129031E-2</v>
      </c>
      <c r="F17303">
        <v>142</v>
      </c>
      <c r="G17303">
        <f>LOG(382/(142+1))</f>
        <v>0.42672732544664693</v>
      </c>
      <c r="H17303">
        <f>0.032258064516129*0.982575978346667</f>
        <v>3.1695999301505351E-2</v>
      </c>
      <c r="I17303">
        <v>3.1695999301505413E-2</v>
      </c>
    </row>
    <row r="17304" spans="1:9" x14ac:dyDescent="0.25">
      <c r="A17304">
        <v>543</v>
      </c>
      <c r="B17304" t="s">
        <v>4331</v>
      </c>
      <c r="C17304" t="s">
        <v>75</v>
      </c>
      <c r="D17304" t="s">
        <v>1080</v>
      </c>
      <c r="E17304">
        <f>6/124</f>
        <v>4.8387096774193547E-2</v>
      </c>
      <c r="F17304">
        <v>26</v>
      </c>
      <c r="G17304">
        <f>LOG(382/(26+1))</f>
        <v>1.1506995987527215</v>
      </c>
      <c r="H17304">
        <f>0.0483870967741935*2.64958374260224</f>
        <v>0.12820566496462438</v>
      </c>
      <c r="I17304">
        <v>0.12820566496462479</v>
      </c>
    </row>
    <row r="17305" spans="1:9" x14ac:dyDescent="0.25">
      <c r="A17305">
        <v>543</v>
      </c>
      <c r="B17305" t="s">
        <v>4331</v>
      </c>
      <c r="C17305" t="s">
        <v>75</v>
      </c>
      <c r="D17305" t="s">
        <v>487</v>
      </c>
      <c r="E17305">
        <f>1/124</f>
        <v>8.0645161290322578E-3</v>
      </c>
      <c r="F17305">
        <v>32</v>
      </c>
      <c r="G17305">
        <f>LOG(382/(32+1))</f>
        <v>1.0635494230338212</v>
      </c>
      <c r="H17305">
        <f>0.00806451612903225*2.44891304714009</f>
        <v>1.9749298767258769E-2</v>
      </c>
      <c r="I17305">
        <v>1.9749298767258831E-2</v>
      </c>
    </row>
    <row r="17306" spans="1:9" x14ac:dyDescent="0.25">
      <c r="A17306">
        <v>543</v>
      </c>
      <c r="B17306" t="s">
        <v>4331</v>
      </c>
      <c r="C17306" t="s">
        <v>75</v>
      </c>
      <c r="D17306" t="s">
        <v>183</v>
      </c>
      <c r="E17306">
        <f>7/124</f>
        <v>5.6451612903225805E-2</v>
      </c>
      <c r="F17306">
        <v>46</v>
      </c>
      <c r="G17306">
        <f>LOG(382/(46+1))</f>
        <v>0.90996550497599127</v>
      </c>
      <c r="H17306">
        <f>0.0564516129032258*2.09527300689651</f>
        <v>0.11828154071189975</v>
      </c>
      <c r="I17306">
        <v>0.1182815407119001</v>
      </c>
    </row>
    <row r="17307" spans="1:9" x14ac:dyDescent="0.25">
      <c r="A17307">
        <v>543</v>
      </c>
      <c r="B17307" t="s">
        <v>4331</v>
      </c>
      <c r="C17307" t="s">
        <v>75</v>
      </c>
      <c r="D17307" t="s">
        <v>4332</v>
      </c>
      <c r="E17307">
        <f t="shared" ref="E17307:E17313" si="819">1/124</f>
        <v>8.0645161290322578E-3</v>
      </c>
      <c r="F17307">
        <v>1</v>
      </c>
      <c r="G17307">
        <f>LOG(382/(1+1))</f>
        <v>2.2810333672477277</v>
      </c>
      <c r="H17307">
        <f>0.00806451612903225*5.25227342804663</f>
        <v>4.2357043774569551E-2</v>
      </c>
      <c r="I17307">
        <v>4.2357043774569593E-2</v>
      </c>
    </row>
    <row r="17308" spans="1:9" x14ac:dyDescent="0.25">
      <c r="A17308">
        <v>543</v>
      </c>
      <c r="B17308" t="s">
        <v>4331</v>
      </c>
      <c r="C17308" t="s">
        <v>75</v>
      </c>
      <c r="D17308" t="s">
        <v>4333</v>
      </c>
      <c r="E17308">
        <f t="shared" si="819"/>
        <v>8.0645161290322578E-3</v>
      </c>
      <c r="F17308">
        <v>1</v>
      </c>
      <c r="G17308">
        <f>LOG(382/(1+1))</f>
        <v>2.2810333672477277</v>
      </c>
      <c r="H17308">
        <f>0.00806451612903225*5.25227342804663</f>
        <v>4.2357043774569551E-2</v>
      </c>
      <c r="I17308">
        <v>4.2357043774569593E-2</v>
      </c>
    </row>
    <row r="17309" spans="1:9" x14ac:dyDescent="0.25">
      <c r="A17309">
        <v>543</v>
      </c>
      <c r="B17309" t="s">
        <v>4331</v>
      </c>
      <c r="C17309" t="s">
        <v>75</v>
      </c>
      <c r="D17309" t="s">
        <v>4334</v>
      </c>
      <c r="E17309">
        <f t="shared" si="819"/>
        <v>8.0645161290322578E-3</v>
      </c>
      <c r="F17309">
        <v>1</v>
      </c>
      <c r="G17309">
        <f>LOG(382/(1+1))</f>
        <v>2.2810333672477277</v>
      </c>
      <c r="H17309">
        <f>0.00806451612903225*5.25227342804663</f>
        <v>4.2357043774569551E-2</v>
      </c>
      <c r="I17309">
        <v>4.2357043774569593E-2</v>
      </c>
    </row>
    <row r="17310" spans="1:9" x14ac:dyDescent="0.25">
      <c r="A17310">
        <v>543</v>
      </c>
      <c r="B17310" t="s">
        <v>4331</v>
      </c>
      <c r="C17310" t="s">
        <v>75</v>
      </c>
      <c r="D17310" t="s">
        <v>1496</v>
      </c>
      <c r="E17310">
        <f t="shared" si="819"/>
        <v>8.0645161290322578E-3</v>
      </c>
      <c r="F17310">
        <v>39</v>
      </c>
      <c r="G17310">
        <f>LOG(382/(39+1))</f>
        <v>0.9800033715837464</v>
      </c>
      <c r="H17310">
        <f>0.00806451612903225*2.25654115449263</f>
        <v>1.8197912536230869E-2</v>
      </c>
      <c r="I17310">
        <v>1.8197912536230959E-2</v>
      </c>
    </row>
    <row r="17311" spans="1:9" x14ac:dyDescent="0.25">
      <c r="A17311">
        <v>543</v>
      </c>
      <c r="B17311" t="s">
        <v>4331</v>
      </c>
      <c r="C17311" t="s">
        <v>75</v>
      </c>
      <c r="D17311" t="s">
        <v>1654</v>
      </c>
      <c r="E17311">
        <f t="shared" si="819"/>
        <v>8.0645161290322578E-3</v>
      </c>
      <c r="F17311">
        <v>4</v>
      </c>
      <c r="G17311">
        <f>LOG(382/(4+1))</f>
        <v>1.8830933585756899</v>
      </c>
      <c r="H17311">
        <f>0.00806451612903225*4.33598269617247</f>
        <v>3.4967602388487624E-2</v>
      </c>
      <c r="I17311">
        <v>3.4967602388487701E-2</v>
      </c>
    </row>
    <row r="17312" spans="1:9" x14ac:dyDescent="0.25">
      <c r="A17312">
        <v>543</v>
      </c>
      <c r="B17312" t="s">
        <v>4331</v>
      </c>
      <c r="C17312" t="s">
        <v>75</v>
      </c>
      <c r="D17312" t="s">
        <v>3241</v>
      </c>
      <c r="E17312">
        <f t="shared" si="819"/>
        <v>8.0645161290322578E-3</v>
      </c>
      <c r="F17312">
        <v>9</v>
      </c>
      <c r="G17312">
        <f>LOG(382/(9+1))</f>
        <v>1.5820633629117087</v>
      </c>
      <c r="H17312">
        <f>0.00806451612903225*3.64283551561252</f>
        <v>2.9377705771068678E-2</v>
      </c>
      <c r="I17312">
        <v>2.9377705771068789E-2</v>
      </c>
    </row>
    <row r="17313" spans="1:9" x14ac:dyDescent="0.25">
      <c r="A17313">
        <v>543</v>
      </c>
      <c r="B17313" t="s">
        <v>4331</v>
      </c>
      <c r="C17313" t="s">
        <v>75</v>
      </c>
      <c r="D17313" t="s">
        <v>4335</v>
      </c>
      <c r="E17313">
        <f t="shared" si="819"/>
        <v>8.0645161290322578E-3</v>
      </c>
      <c r="F17313">
        <v>1</v>
      </c>
      <c r="G17313">
        <f>LOG(382/(1+1))</f>
        <v>2.2810333672477277</v>
      </c>
      <c r="H17313">
        <f>0.00806451612903225*5.25227342804663</f>
        <v>4.2357043774569551E-2</v>
      </c>
      <c r="I17313">
        <v>4.2357043774569593E-2</v>
      </c>
    </row>
    <row r="17314" spans="1:9" x14ac:dyDescent="0.25">
      <c r="A17314">
        <v>543</v>
      </c>
      <c r="B17314" t="s">
        <v>4331</v>
      </c>
      <c r="C17314" t="s">
        <v>75</v>
      </c>
      <c r="D17314" t="s">
        <v>310</v>
      </c>
      <c r="E17314">
        <f>2/124</f>
        <v>1.6129032258064516E-2</v>
      </c>
      <c r="F17314">
        <v>50</v>
      </c>
      <c r="G17314">
        <f>LOG(382/(50+1))</f>
        <v>0.87449318681377242</v>
      </c>
      <c r="H17314">
        <f>0.0161290322580645*2.01359497588224</f>
        <v>3.2477338320681254E-2</v>
      </c>
      <c r="I17314">
        <v>3.2477338320681441E-2</v>
      </c>
    </row>
    <row r="17315" spans="1:9" x14ac:dyDescent="0.25">
      <c r="A17315">
        <v>543</v>
      </c>
      <c r="B17315" t="s">
        <v>4331</v>
      </c>
      <c r="C17315" t="s">
        <v>75</v>
      </c>
      <c r="D17315" t="s">
        <v>850</v>
      </c>
      <c r="E17315">
        <f>1/124</f>
        <v>8.0645161290322578E-3</v>
      </c>
      <c r="F17315">
        <v>14</v>
      </c>
      <c r="G17315">
        <f>LOG(382/(14+1))</f>
        <v>1.4059721038560276</v>
      </c>
      <c r="H17315">
        <f>0.00806451612903225*3.23737040750436</f>
        <v>2.6107825866970615E-2</v>
      </c>
      <c r="I17315">
        <v>2.6107825866970691E-2</v>
      </c>
    </row>
    <row r="17316" spans="1:9" x14ac:dyDescent="0.25">
      <c r="A17316">
        <v>543</v>
      </c>
      <c r="B17316" t="s">
        <v>4331</v>
      </c>
      <c r="C17316" t="s">
        <v>75</v>
      </c>
      <c r="D17316" t="s">
        <v>2242</v>
      </c>
      <c r="E17316">
        <f>1/124</f>
        <v>8.0645161290322578E-3</v>
      </c>
      <c r="F17316">
        <v>18</v>
      </c>
      <c r="G17316">
        <f>LOG(382/(18+1))</f>
        <v>1.3033097619588798</v>
      </c>
      <c r="H17316">
        <f>0.00806451612903225*3.00098162944013</f>
        <v>2.4201464753549409E-2</v>
      </c>
      <c r="I17316">
        <v>2.4201464753549468E-2</v>
      </c>
    </row>
    <row r="17317" spans="1:9" x14ac:dyDescent="0.25">
      <c r="A17317">
        <v>543</v>
      </c>
      <c r="B17317" t="s">
        <v>4331</v>
      </c>
      <c r="C17317" t="s">
        <v>75</v>
      </c>
      <c r="D17317" t="s">
        <v>362</v>
      </c>
      <c r="E17317">
        <f>2/124</f>
        <v>1.6129032258064516E-2</v>
      </c>
      <c r="F17317">
        <v>81</v>
      </c>
      <c r="G17317">
        <f>LOG(382/(81+1))</f>
        <v>0.66824951052799197</v>
      </c>
      <c r="H17317">
        <f>0.0161290322580645*1.53870136134232</f>
        <v>2.4817763892618035E-2</v>
      </c>
      <c r="I17317">
        <v>2.481776389261809E-2</v>
      </c>
    </row>
    <row r="17318" spans="1:9" x14ac:dyDescent="0.25">
      <c r="A17318">
        <v>543</v>
      </c>
      <c r="B17318" t="s">
        <v>4331</v>
      </c>
      <c r="C17318" t="s">
        <v>75</v>
      </c>
      <c r="D17318" t="s">
        <v>1921</v>
      </c>
      <c r="E17318">
        <f>2/124</f>
        <v>1.6129032258064516E-2</v>
      </c>
      <c r="F17318">
        <v>37</v>
      </c>
      <c r="G17318">
        <f>LOG(382/(37+1))</f>
        <v>1.0022797662948986</v>
      </c>
      <c r="H17318">
        <f>0.0161290322580645*2.30783444888018</f>
        <v>3.7223136272260926E-2</v>
      </c>
      <c r="I17318">
        <v>3.7223136272261113E-2</v>
      </c>
    </row>
    <row r="17319" spans="1:9" x14ac:dyDescent="0.25">
      <c r="A17319">
        <v>543</v>
      </c>
      <c r="B17319" t="s">
        <v>4331</v>
      </c>
      <c r="C17319" t="s">
        <v>75</v>
      </c>
      <c r="D17319" t="s">
        <v>82</v>
      </c>
      <c r="E17319">
        <f>3/124</f>
        <v>2.4193548387096774E-2</v>
      </c>
      <c r="F17319">
        <v>92</v>
      </c>
      <c r="G17319">
        <f>LOG(382/(92+1))</f>
        <v>0.61358041435777355</v>
      </c>
      <c r="H17319">
        <f>0.0241935483870967*1.41282111545331</f>
        <v>3.4181156019031586E-2</v>
      </c>
      <c r="I17319">
        <v>3.4181156019031919E-2</v>
      </c>
    </row>
    <row r="17320" spans="1:9" x14ac:dyDescent="0.25">
      <c r="A17320">
        <v>543</v>
      </c>
      <c r="B17320" t="s">
        <v>4331</v>
      </c>
      <c r="C17320" t="s">
        <v>75</v>
      </c>
      <c r="D17320" t="s">
        <v>1922</v>
      </c>
      <c r="E17320">
        <f>3/124</f>
        <v>2.4193548387096774E-2</v>
      </c>
      <c r="F17320">
        <v>15</v>
      </c>
      <c r="G17320">
        <f>LOG(382/(15+1))</f>
        <v>1.3779433802557839</v>
      </c>
      <c r="H17320">
        <f>0.0241935483870967*3.17283188636679</f>
        <v>7.6762061766938242E-2</v>
      </c>
      <c r="I17320">
        <v>7.6762061766938561E-2</v>
      </c>
    </row>
    <row r="17321" spans="1:9" x14ac:dyDescent="0.25">
      <c r="A17321">
        <v>543</v>
      </c>
      <c r="B17321" t="s">
        <v>4331</v>
      </c>
      <c r="C17321" t="s">
        <v>75</v>
      </c>
      <c r="D17321" t="s">
        <v>764</v>
      </c>
      <c r="E17321">
        <f>1/124</f>
        <v>8.0645161290322578E-3</v>
      </c>
      <c r="F17321">
        <v>57</v>
      </c>
      <c r="G17321">
        <f>LOG(382/(57+1))</f>
        <v>0.81863536934877146</v>
      </c>
      <c r="H17321">
        <f>0.00806451612903225*1.88497759806015</f>
        <v>1.5201432242420548E-2</v>
      </c>
      <c r="I17321">
        <v>1.520143224242061E-2</v>
      </c>
    </row>
    <row r="17322" spans="1:9" x14ac:dyDescent="0.25">
      <c r="A17322">
        <v>543</v>
      </c>
      <c r="B17322" t="s">
        <v>4331</v>
      </c>
      <c r="C17322" t="s">
        <v>75</v>
      </c>
      <c r="D17322" t="s">
        <v>1083</v>
      </c>
      <c r="E17322">
        <f>2/124</f>
        <v>1.6129032258064516E-2</v>
      </c>
      <c r="F17322">
        <v>51</v>
      </c>
      <c r="G17322">
        <f>LOG(382/(51+1))</f>
        <v>0.86606001927690957</v>
      </c>
      <c r="H17322">
        <f>0.0161290322580645*1.99417689002514</f>
        <v>3.2164143387502224E-2</v>
      </c>
      <c r="I17322">
        <v>3.2164143387502377E-2</v>
      </c>
    </row>
    <row r="17323" spans="1:9" x14ac:dyDescent="0.25">
      <c r="A17323">
        <v>543</v>
      </c>
      <c r="B17323" t="s">
        <v>4331</v>
      </c>
      <c r="C17323" t="s">
        <v>75</v>
      </c>
      <c r="D17323" t="s">
        <v>932</v>
      </c>
      <c r="E17323">
        <f>1/124</f>
        <v>8.0645161290322578E-3</v>
      </c>
      <c r="F17323">
        <v>35</v>
      </c>
      <c r="G17323">
        <f>LOG(382/(35+1))</f>
        <v>1.0257608621444214</v>
      </c>
      <c r="H17323">
        <f>0.00806451612903225*2.36190167015046</f>
        <v>1.9047594114116592E-2</v>
      </c>
      <c r="I17323">
        <v>1.9047594114116651E-2</v>
      </c>
    </row>
    <row r="17324" spans="1:9" x14ac:dyDescent="0.25">
      <c r="A17324">
        <v>543</v>
      </c>
      <c r="B17324" t="s">
        <v>4331</v>
      </c>
      <c r="C17324" t="s">
        <v>75</v>
      </c>
      <c r="D17324" t="s">
        <v>676</v>
      </c>
      <c r="E17324">
        <f>1/124</f>
        <v>8.0645161290322578E-3</v>
      </c>
      <c r="F17324">
        <v>20</v>
      </c>
      <c r="G17324">
        <f>LOG(382/(20+1))</f>
        <v>1.2598440681777894</v>
      </c>
      <c r="H17324">
        <f>0.00806451612903225*2.90089817088315</f>
        <v>2.3394340087767314E-2</v>
      </c>
      <c r="I17324">
        <v>2.3394340087767359E-2</v>
      </c>
    </row>
    <row r="17325" spans="1:9" x14ac:dyDescent="0.25">
      <c r="A17325">
        <v>543</v>
      </c>
      <c r="B17325" t="s">
        <v>4331</v>
      </c>
      <c r="C17325" t="s">
        <v>75</v>
      </c>
      <c r="D17325" t="s">
        <v>4336</v>
      </c>
      <c r="E17325">
        <f>1/124</f>
        <v>8.0645161290322578E-3</v>
      </c>
      <c r="F17325">
        <v>1</v>
      </c>
      <c r="G17325">
        <f>LOG(382/(1+1))</f>
        <v>2.2810333672477277</v>
      </c>
      <c r="H17325">
        <f>0.00806451612903225*5.25227342804663</f>
        <v>4.2357043774569551E-2</v>
      </c>
      <c r="I17325">
        <v>4.2357043774569593E-2</v>
      </c>
    </row>
    <row r="17326" spans="1:9" x14ac:dyDescent="0.25">
      <c r="A17326">
        <v>543</v>
      </c>
      <c r="B17326" t="s">
        <v>4331</v>
      </c>
      <c r="C17326" t="s">
        <v>75</v>
      </c>
      <c r="D17326" t="s">
        <v>4337</v>
      </c>
      <c r="E17326">
        <f>2/124</f>
        <v>1.6129032258064516E-2</v>
      </c>
      <c r="F17326">
        <v>1</v>
      </c>
      <c r="G17326">
        <f>LOG(382/(1+1))</f>
        <v>2.2810333672477277</v>
      </c>
      <c r="H17326">
        <f>0.0161290322580645*5.25227342804663</f>
        <v>8.4714087549139103E-2</v>
      </c>
      <c r="I17326">
        <v>8.4714087549139186E-2</v>
      </c>
    </row>
    <row r="17327" spans="1:9" x14ac:dyDescent="0.25">
      <c r="A17327">
        <v>543</v>
      </c>
      <c r="B17327" t="s">
        <v>4331</v>
      </c>
      <c r="C17327" t="s">
        <v>75</v>
      </c>
      <c r="D17327" t="s">
        <v>4338</v>
      </c>
      <c r="E17327">
        <f>1/124</f>
        <v>8.0645161290322578E-3</v>
      </c>
      <c r="F17327">
        <v>1</v>
      </c>
      <c r="G17327">
        <f>LOG(382/(1+1))</f>
        <v>2.2810333672477277</v>
      </c>
      <c r="H17327">
        <f>0.00806451612903225*5.25227342804663</f>
        <v>4.2357043774569551E-2</v>
      </c>
      <c r="I17327">
        <v>4.2357043774569593E-2</v>
      </c>
    </row>
    <row r="17328" spans="1:9" x14ac:dyDescent="0.25">
      <c r="A17328">
        <v>543</v>
      </c>
      <c r="B17328" t="s">
        <v>4331</v>
      </c>
      <c r="C17328" t="s">
        <v>75</v>
      </c>
      <c r="D17328" t="s">
        <v>2713</v>
      </c>
      <c r="E17328">
        <f>1/124</f>
        <v>8.0645161290322578E-3</v>
      </c>
      <c r="F17328">
        <v>4</v>
      </c>
      <c r="G17328">
        <f>LOG(382/(4+1))</f>
        <v>1.8830933585756899</v>
      </c>
      <c r="H17328">
        <f>0.00806451612903225*4.33598269617247</f>
        <v>3.4967602388487624E-2</v>
      </c>
      <c r="I17328">
        <v>3.4967602388487701E-2</v>
      </c>
    </row>
    <row r="17329" spans="1:9" x14ac:dyDescent="0.25">
      <c r="A17329">
        <v>543</v>
      </c>
      <c r="B17329" t="s">
        <v>4331</v>
      </c>
      <c r="C17329" t="s">
        <v>75</v>
      </c>
      <c r="D17329" t="s">
        <v>4339</v>
      </c>
      <c r="E17329">
        <f>1/124</f>
        <v>8.0645161290322578E-3</v>
      </c>
      <c r="F17329">
        <v>1</v>
      </c>
      <c r="G17329">
        <f>LOG(382/(1+1))</f>
        <v>2.2810333672477277</v>
      </c>
      <c r="H17329">
        <f>0.00806451612903225*5.25227342804663</f>
        <v>4.2357043774569551E-2</v>
      </c>
      <c r="I17329">
        <v>4.2357043774569593E-2</v>
      </c>
    </row>
    <row r="17330" spans="1:9" x14ac:dyDescent="0.25">
      <c r="A17330">
        <v>543</v>
      </c>
      <c r="B17330" t="s">
        <v>4331</v>
      </c>
      <c r="C17330" t="s">
        <v>75</v>
      </c>
      <c r="D17330" t="s">
        <v>1748</v>
      </c>
      <c r="E17330">
        <f>1/124</f>
        <v>8.0645161290322578E-3</v>
      </c>
      <c r="F17330">
        <v>12</v>
      </c>
      <c r="G17330">
        <f>LOG(382/(12+1))</f>
        <v>1.468120010604872</v>
      </c>
      <c r="H17330">
        <f>0.00806451612903225*3.38047125114503</f>
        <v>2.7261864928588921E-2</v>
      </c>
      <c r="I17330">
        <v>2.7261864928589018E-2</v>
      </c>
    </row>
    <row r="17331" spans="1:9" x14ac:dyDescent="0.25">
      <c r="A17331">
        <v>543</v>
      </c>
      <c r="B17331" t="s">
        <v>4331</v>
      </c>
      <c r="C17331" t="s">
        <v>75</v>
      </c>
      <c r="D17331" t="s">
        <v>78</v>
      </c>
      <c r="E17331">
        <f>2/124</f>
        <v>1.6129032258064516E-2</v>
      </c>
      <c r="F17331">
        <v>122</v>
      </c>
      <c r="G17331">
        <f>LOG(382/(122+1))</f>
        <v>0.49215825147231079</v>
      </c>
      <c r="H17331">
        <f>0.0161290322580645*1.13323625323415</f>
        <v>1.8278004084421755E-2</v>
      </c>
      <c r="I17331">
        <v>1.82780040844219E-2</v>
      </c>
    </row>
    <row r="17332" spans="1:9" x14ac:dyDescent="0.25">
      <c r="A17332">
        <v>543</v>
      </c>
      <c r="B17332" t="s">
        <v>4331</v>
      </c>
      <c r="C17332" t="s">
        <v>75</v>
      </c>
      <c r="D17332" t="s">
        <v>754</v>
      </c>
      <c r="E17332">
        <f>2/124</f>
        <v>1.6129032258064516E-2</v>
      </c>
      <c r="F17332">
        <v>111</v>
      </c>
      <c r="G17332">
        <f>LOG(382/(111+1))</f>
        <v>0.53284534024152708</v>
      </c>
      <c r="H17332">
        <f>0.0161290322580645*1.22692173731148</f>
        <v>1.9789060279217396E-2</v>
      </c>
      <c r="I17332">
        <v>1.9789060279217431E-2</v>
      </c>
    </row>
    <row r="17333" spans="1:9" x14ac:dyDescent="0.25">
      <c r="A17333">
        <v>543</v>
      </c>
      <c r="B17333" t="s">
        <v>4331</v>
      </c>
      <c r="C17333" t="s">
        <v>75</v>
      </c>
      <c r="D17333" t="s">
        <v>105</v>
      </c>
      <c r="E17333">
        <f t="shared" ref="E17333:E17341" si="820">1/124</f>
        <v>8.0645161290322578E-3</v>
      </c>
      <c r="F17333">
        <v>122</v>
      </c>
      <c r="G17333">
        <f>LOG(382/(122+1))</f>
        <v>0.49215825147231079</v>
      </c>
      <c r="H17333">
        <f>0.00806451612903225*1.13323625323415</f>
        <v>9.1390020422108774E-3</v>
      </c>
      <c r="I17333">
        <v>9.1390020422109485E-3</v>
      </c>
    </row>
    <row r="17334" spans="1:9" x14ac:dyDescent="0.25">
      <c r="A17334">
        <v>543</v>
      </c>
      <c r="B17334" t="s">
        <v>4331</v>
      </c>
      <c r="C17334" t="s">
        <v>75</v>
      </c>
      <c r="D17334" t="s">
        <v>746</v>
      </c>
      <c r="E17334">
        <f t="shared" si="820"/>
        <v>8.0645161290322578E-3</v>
      </c>
      <c r="F17334">
        <v>58</v>
      </c>
      <c r="G17334">
        <f>LOG(382/(58+1))</f>
        <v>0.81121135126956456</v>
      </c>
      <c r="H17334">
        <f>0.00806451612903225*1.86788316470085</f>
        <v>1.5063573908877807E-2</v>
      </c>
      <c r="I17334">
        <v>1.5063573908877871E-2</v>
      </c>
    </row>
    <row r="17335" spans="1:9" x14ac:dyDescent="0.25">
      <c r="A17335">
        <v>543</v>
      </c>
      <c r="B17335" t="s">
        <v>4331</v>
      </c>
      <c r="C17335" t="s">
        <v>75</v>
      </c>
      <c r="D17335" t="s">
        <v>327</v>
      </c>
      <c r="E17335">
        <f t="shared" si="820"/>
        <v>8.0645161290322578E-3</v>
      </c>
      <c r="F17335">
        <v>46</v>
      </c>
      <c r="G17335">
        <f>LOG(382/(46+1))</f>
        <v>0.90996550497599127</v>
      </c>
      <c r="H17335">
        <f>0.00806451612903225*2.09527300689651</f>
        <v>1.6897362958842806E-2</v>
      </c>
      <c r="I17335">
        <v>1.6897362958842869E-2</v>
      </c>
    </row>
    <row r="17336" spans="1:9" x14ac:dyDescent="0.25">
      <c r="A17336">
        <v>543</v>
      </c>
      <c r="B17336" t="s">
        <v>4331</v>
      </c>
      <c r="C17336" t="s">
        <v>75</v>
      </c>
      <c r="D17336" t="s">
        <v>243</v>
      </c>
      <c r="E17336">
        <f t="shared" si="820"/>
        <v>8.0645161290322578E-3</v>
      </c>
      <c r="F17336">
        <v>131</v>
      </c>
      <c r="G17336">
        <f>LOG(382/(131+1))</f>
        <v>0.46148943170585888</v>
      </c>
      <c r="H17336">
        <f>0.00806451612903225*1.0626186860202</f>
        <v>8.5695055324209578E-3</v>
      </c>
      <c r="I17336">
        <v>8.5695055324210012E-3</v>
      </c>
    </row>
    <row r="17337" spans="1:9" x14ac:dyDescent="0.25">
      <c r="A17337">
        <v>543</v>
      </c>
      <c r="B17337" t="s">
        <v>4331</v>
      </c>
      <c r="C17337" t="s">
        <v>75</v>
      </c>
      <c r="D17337" t="s">
        <v>237</v>
      </c>
      <c r="E17337">
        <f t="shared" si="820"/>
        <v>8.0645161290322578E-3</v>
      </c>
      <c r="F17337">
        <v>138</v>
      </c>
      <c r="G17337">
        <f>LOG(382/(138+1))</f>
        <v>0.43904856265761361</v>
      </c>
      <c r="H17337">
        <f>0.00806451612903225*1.01094667547588</f>
        <v>8.1527957699667648E-3</v>
      </c>
      <c r="I17337">
        <v>8.1527957699668013E-3</v>
      </c>
    </row>
    <row r="17338" spans="1:9" x14ac:dyDescent="0.25">
      <c r="A17338">
        <v>543</v>
      </c>
      <c r="B17338" t="s">
        <v>4331</v>
      </c>
      <c r="C17338" t="s">
        <v>75</v>
      </c>
      <c r="D17338" t="s">
        <v>881</v>
      </c>
      <c r="E17338">
        <f t="shared" si="820"/>
        <v>8.0645161290322578E-3</v>
      </c>
      <c r="F17338">
        <v>15</v>
      </c>
      <c r="G17338">
        <f>LOG(382/(15+1))</f>
        <v>1.3779433802557839</v>
      </c>
      <c r="H17338">
        <f>0.00806451612903225*3.17283188636679</f>
        <v>2.5587353922312796E-2</v>
      </c>
      <c r="I17338">
        <v>2.5587353922312851E-2</v>
      </c>
    </row>
    <row r="17339" spans="1:9" x14ac:dyDescent="0.25">
      <c r="A17339">
        <v>543</v>
      </c>
      <c r="B17339" t="s">
        <v>4331</v>
      </c>
      <c r="C17339" t="s">
        <v>75</v>
      </c>
      <c r="D17339" t="s">
        <v>4340</v>
      </c>
      <c r="E17339">
        <f t="shared" si="820"/>
        <v>8.0645161290322578E-3</v>
      </c>
      <c r="F17339">
        <v>2</v>
      </c>
      <c r="G17339">
        <f>LOG(382/(2+1))</f>
        <v>2.1049421081920463</v>
      </c>
      <c r="H17339">
        <f>0.00806451612903225*4.84680831993846</f>
        <v>3.9087163870471411E-2</v>
      </c>
      <c r="I17339">
        <v>3.9087163870471488E-2</v>
      </c>
    </row>
    <row r="17340" spans="1:9" x14ac:dyDescent="0.25">
      <c r="A17340">
        <v>543</v>
      </c>
      <c r="B17340" t="s">
        <v>4331</v>
      </c>
      <c r="C17340" t="s">
        <v>75</v>
      </c>
      <c r="D17340" t="s">
        <v>140</v>
      </c>
      <c r="E17340">
        <f t="shared" si="820"/>
        <v>8.0645161290322578E-3</v>
      </c>
      <c r="F17340">
        <v>7</v>
      </c>
      <c r="G17340">
        <f>LOG(382/(7+1))</f>
        <v>1.6789733759197651</v>
      </c>
      <c r="H17340">
        <f>0.00806451612903225*3.86597906692673</f>
        <v>3.1177250539731662E-2</v>
      </c>
      <c r="I17340">
        <v>3.117725053973177E-2</v>
      </c>
    </row>
    <row r="17341" spans="1:9" x14ac:dyDescent="0.25">
      <c r="A17341">
        <v>543</v>
      </c>
      <c r="B17341" t="s">
        <v>4331</v>
      </c>
      <c r="C17341" t="s">
        <v>75</v>
      </c>
      <c r="D17341" t="s">
        <v>739</v>
      </c>
      <c r="E17341">
        <f t="shared" si="820"/>
        <v>8.0645161290322578E-3</v>
      </c>
      <c r="F17341">
        <v>24</v>
      </c>
      <c r="G17341">
        <f>LOG(382/(24+1))</f>
        <v>1.1841233542396712</v>
      </c>
      <c r="H17341">
        <f>0.00806451612903225*2.72654478373837</f>
        <v>2.1988264384986828E-2</v>
      </c>
      <c r="I17341">
        <v>2.198826438498689E-2</v>
      </c>
    </row>
    <row r="17342" spans="1:9" x14ac:dyDescent="0.25">
      <c r="A17342">
        <v>544</v>
      </c>
      <c r="B17342" t="s">
        <v>4341</v>
      </c>
      <c r="C17342" t="s">
        <v>48</v>
      </c>
      <c r="D17342" t="s">
        <v>4342</v>
      </c>
      <c r="E17342">
        <f>1/16</f>
        <v>6.25E-2</v>
      </c>
      <c r="F17342">
        <v>1</v>
      </c>
      <c r="G17342">
        <f>LOG(382/(1+1))</f>
        <v>2.2810333672477277</v>
      </c>
      <c r="H17342">
        <f>0.0625*5.25227342804663</f>
        <v>0.32826708925291437</v>
      </c>
      <c r="I17342">
        <v>0.32826708925291442</v>
      </c>
    </row>
    <row r="17343" spans="1:9" x14ac:dyDescent="0.25">
      <c r="A17343">
        <v>544</v>
      </c>
      <c r="B17343" t="s">
        <v>4341</v>
      </c>
      <c r="C17343" t="s">
        <v>48</v>
      </c>
      <c r="D17343" t="s">
        <v>103</v>
      </c>
      <c r="E17343">
        <f>2/16</f>
        <v>0.125</v>
      </c>
      <c r="F17343">
        <v>38</v>
      </c>
      <c r="G17343">
        <f>LOG(382/(38+1))</f>
        <v>0.99099875588520958</v>
      </c>
      <c r="H17343">
        <f>0.125*2.28185896247692</f>
        <v>0.28523237030961501</v>
      </c>
      <c r="I17343">
        <v>0.28523237030961612</v>
      </c>
    </row>
    <row r="17344" spans="1:9" x14ac:dyDescent="0.25">
      <c r="A17344">
        <v>544</v>
      </c>
      <c r="B17344" t="s">
        <v>4341</v>
      </c>
      <c r="C17344" t="s">
        <v>48</v>
      </c>
      <c r="D17344" t="s">
        <v>1198</v>
      </c>
      <c r="E17344">
        <f>1/16</f>
        <v>6.25E-2</v>
      </c>
      <c r="F17344">
        <v>2</v>
      </c>
      <c r="G17344">
        <f>LOG(382/(2+1))</f>
        <v>2.1049421081920463</v>
      </c>
      <c r="H17344">
        <f>0.0625*4.84680831993846</f>
        <v>0.30292551999615375</v>
      </c>
      <c r="I17344">
        <v>0.30292551999615408</v>
      </c>
    </row>
    <row r="17345" spans="1:9" x14ac:dyDescent="0.25">
      <c r="A17345">
        <v>544</v>
      </c>
      <c r="B17345" t="s">
        <v>4341</v>
      </c>
      <c r="C17345" t="s">
        <v>48</v>
      </c>
      <c r="D17345" t="s">
        <v>183</v>
      </c>
      <c r="E17345">
        <f>1/16</f>
        <v>6.25E-2</v>
      </c>
      <c r="F17345">
        <v>46</v>
      </c>
      <c r="G17345">
        <f>LOG(382/(46+1))</f>
        <v>0.90996550497599127</v>
      </c>
      <c r="H17345">
        <f>0.0625*2.09527300689651</f>
        <v>0.13095456293103189</v>
      </c>
      <c r="I17345">
        <v>0.1309545629310323</v>
      </c>
    </row>
    <row r="17346" spans="1:9" x14ac:dyDescent="0.25">
      <c r="A17346">
        <v>544</v>
      </c>
      <c r="B17346" t="s">
        <v>4341</v>
      </c>
      <c r="C17346" t="s">
        <v>48</v>
      </c>
      <c r="D17346" t="s">
        <v>458</v>
      </c>
      <c r="E17346">
        <f>1/16</f>
        <v>6.25E-2</v>
      </c>
      <c r="F17346">
        <v>34</v>
      </c>
      <c r="G17346">
        <f>LOG(382/(34+1))</f>
        <v>1.037995318561433</v>
      </c>
      <c r="H17346">
        <f>0.0625*2.39007254711716</f>
        <v>0.1493795341948225</v>
      </c>
      <c r="I17346">
        <v>0.14937953419482261</v>
      </c>
    </row>
    <row r="17347" spans="1:9" x14ac:dyDescent="0.25">
      <c r="A17347">
        <v>544</v>
      </c>
      <c r="B17347" t="s">
        <v>4341</v>
      </c>
      <c r="C17347" t="s">
        <v>48</v>
      </c>
      <c r="D17347" t="s">
        <v>93</v>
      </c>
      <c r="E17347">
        <f>1/16</f>
        <v>6.25E-2</v>
      </c>
      <c r="F17347">
        <v>11</v>
      </c>
      <c r="G17347">
        <f>LOG(382/(11+1))</f>
        <v>1.5028821168640838</v>
      </c>
      <c r="H17347">
        <f>0.0625*3.46051395881857</f>
        <v>0.21628212242616063</v>
      </c>
      <c r="I17347">
        <v>0.21628212242616091</v>
      </c>
    </row>
    <row r="17348" spans="1:9" x14ac:dyDescent="0.25">
      <c r="A17348">
        <v>544</v>
      </c>
      <c r="B17348" t="s">
        <v>4341</v>
      </c>
      <c r="C17348" t="s">
        <v>48</v>
      </c>
      <c r="D17348" t="s">
        <v>104</v>
      </c>
      <c r="E17348">
        <f>2/16</f>
        <v>0.125</v>
      </c>
      <c r="F17348">
        <v>49</v>
      </c>
      <c r="G17348">
        <f>LOG(382/(49+1))</f>
        <v>0.88309335857568994</v>
      </c>
      <c r="H17348">
        <f>0.125*2.03339760317842</f>
        <v>0.2541747003973025</v>
      </c>
      <c r="I17348">
        <v>0.25417470039730361</v>
      </c>
    </row>
    <row r="17349" spans="1:9" x14ac:dyDescent="0.25">
      <c r="A17349">
        <v>544</v>
      </c>
      <c r="B17349" t="s">
        <v>4341</v>
      </c>
      <c r="C17349" t="s">
        <v>48</v>
      </c>
      <c r="D17349" t="s">
        <v>1059</v>
      </c>
      <c r="E17349">
        <f>2/16</f>
        <v>0.125</v>
      </c>
      <c r="F17349">
        <v>16</v>
      </c>
      <c r="G17349">
        <f>LOG(382/(16+1))</f>
        <v>1.3516144415334348</v>
      </c>
      <c r="H17349">
        <f>0.125*3.11220726455035</f>
        <v>0.38902590806879372</v>
      </c>
      <c r="I17349">
        <v>0.38902590806879489</v>
      </c>
    </row>
    <row r="17350" spans="1:9" x14ac:dyDescent="0.25">
      <c r="A17350">
        <v>544</v>
      </c>
      <c r="B17350" t="s">
        <v>4341</v>
      </c>
      <c r="C17350" t="s">
        <v>48</v>
      </c>
      <c r="D17350" t="s">
        <v>1199</v>
      </c>
      <c r="E17350">
        <f>1/16</f>
        <v>6.25E-2</v>
      </c>
      <c r="F17350">
        <v>8</v>
      </c>
      <c r="G17350">
        <f>LOG(382/(8+1))</f>
        <v>1.6278208534723839</v>
      </c>
      <c r="H17350">
        <f>0.0625*3.74819603127035</f>
        <v>0.23426225195439687</v>
      </c>
      <c r="I17350">
        <v>0.2342622519543972</v>
      </c>
    </row>
    <row r="17351" spans="1:9" x14ac:dyDescent="0.25">
      <c r="A17351">
        <v>544</v>
      </c>
      <c r="B17351" t="s">
        <v>4341</v>
      </c>
      <c r="C17351" t="s">
        <v>48</v>
      </c>
      <c r="D17351" t="s">
        <v>1200</v>
      </c>
      <c r="E17351">
        <f>1/16</f>
        <v>6.25E-2</v>
      </c>
      <c r="F17351">
        <v>3</v>
      </c>
      <c r="G17351">
        <f>LOG(382/(3+1))</f>
        <v>1.9800033715837464</v>
      </c>
      <c r="H17351">
        <f>0.0625*4.55912624748668</f>
        <v>0.2849453904679175</v>
      </c>
      <c r="I17351">
        <v>0.28494539046791778</v>
      </c>
    </row>
    <row r="17352" spans="1:9" x14ac:dyDescent="0.25">
      <c r="A17352">
        <v>544</v>
      </c>
      <c r="B17352" t="s">
        <v>4341</v>
      </c>
      <c r="C17352" t="s">
        <v>48</v>
      </c>
      <c r="D17352" t="s">
        <v>1201</v>
      </c>
      <c r="E17352">
        <f>1/16</f>
        <v>6.25E-2</v>
      </c>
      <c r="F17352">
        <v>2</v>
      </c>
      <c r="G17352">
        <f>LOG(382/(2+1))</f>
        <v>2.1049421081920463</v>
      </c>
      <c r="H17352">
        <f>0.0625*4.84680831993846</f>
        <v>0.30292551999615375</v>
      </c>
      <c r="I17352">
        <v>0.30292551999615408</v>
      </c>
    </row>
    <row r="17353" spans="1:9" x14ac:dyDescent="0.25">
      <c r="A17353">
        <v>544</v>
      </c>
      <c r="B17353" t="s">
        <v>4341</v>
      </c>
      <c r="C17353" t="s">
        <v>48</v>
      </c>
      <c r="D17353" t="s">
        <v>1202</v>
      </c>
      <c r="E17353">
        <f>1/16</f>
        <v>6.25E-2</v>
      </c>
      <c r="F17353">
        <v>2</v>
      </c>
      <c r="G17353">
        <f>LOG(382/(2+1))</f>
        <v>2.1049421081920463</v>
      </c>
      <c r="H17353">
        <f>0.0625*4.84680831993846</f>
        <v>0.30292551999615375</v>
      </c>
      <c r="I17353">
        <v>0.30292551999615408</v>
      </c>
    </row>
    <row r="17354" spans="1:9" x14ac:dyDescent="0.25">
      <c r="A17354">
        <v>544</v>
      </c>
      <c r="B17354" t="s">
        <v>4341</v>
      </c>
      <c r="C17354" t="s">
        <v>48</v>
      </c>
      <c r="D17354" t="s">
        <v>144</v>
      </c>
      <c r="E17354">
        <f>1/16</f>
        <v>6.25E-2</v>
      </c>
      <c r="F17354">
        <v>105</v>
      </c>
      <c r="G17354">
        <f>LOG(382/(105+1))</f>
        <v>0.55675749764693849</v>
      </c>
      <c r="H17354">
        <f>0.0625*1.2819815144945</f>
        <v>8.0123844655906246E-2</v>
      </c>
      <c r="I17354">
        <v>8.0123844655906745E-2</v>
      </c>
    </row>
    <row r="17355" spans="1:9" x14ac:dyDescent="0.25">
      <c r="A17355">
        <v>545</v>
      </c>
      <c r="B17355" t="s">
        <v>4343</v>
      </c>
      <c r="C17355" t="s">
        <v>75</v>
      </c>
      <c r="D17355" t="s">
        <v>3376</v>
      </c>
      <c r="E17355">
        <f>2/38</f>
        <v>5.2631578947368418E-2</v>
      </c>
      <c r="F17355">
        <v>21</v>
      </c>
      <c r="G17355">
        <f>LOG(382/(21+1))</f>
        <v>1.2396406820895025</v>
      </c>
      <c r="H17355">
        <f>0.0526315789473684*2.85437815524825</f>
        <v>0.15023042922359203</v>
      </c>
      <c r="I17355">
        <v>0.15023042922359259</v>
      </c>
    </row>
    <row r="17356" spans="1:9" x14ac:dyDescent="0.25">
      <c r="A17356">
        <v>545</v>
      </c>
      <c r="B17356" t="s">
        <v>4343</v>
      </c>
      <c r="C17356" t="s">
        <v>75</v>
      </c>
      <c r="D17356" t="s">
        <v>3451</v>
      </c>
      <c r="E17356">
        <f>2/38</f>
        <v>5.2631578947368418E-2</v>
      </c>
      <c r="F17356">
        <v>5</v>
      </c>
      <c r="G17356">
        <f>LOG(382/(5+1))</f>
        <v>1.803912112528065</v>
      </c>
      <c r="H17356">
        <f>0.0526315789473684*4.15366113937852</f>
        <v>0.21861374417781673</v>
      </c>
      <c r="I17356">
        <v>0.21861374417781679</v>
      </c>
    </row>
    <row r="17357" spans="1:9" x14ac:dyDescent="0.25">
      <c r="A17357">
        <v>545</v>
      </c>
      <c r="B17357" t="s">
        <v>4343</v>
      </c>
      <c r="C17357" t="s">
        <v>75</v>
      </c>
      <c r="D17357" t="s">
        <v>4344</v>
      </c>
      <c r="E17357">
        <f>2/38</f>
        <v>5.2631578947368418E-2</v>
      </c>
      <c r="F17357">
        <v>1</v>
      </c>
      <c r="G17357">
        <f>LOG(382/(1+1))</f>
        <v>2.2810333672477277</v>
      </c>
      <c r="H17357">
        <f>0.0526315789473684*5.25227342804663</f>
        <v>0.27643544358140143</v>
      </c>
      <c r="I17357">
        <v>0.27643544358140149</v>
      </c>
    </row>
    <row r="17358" spans="1:9" x14ac:dyDescent="0.25">
      <c r="A17358">
        <v>545</v>
      </c>
      <c r="B17358" t="s">
        <v>4343</v>
      </c>
      <c r="C17358" t="s">
        <v>75</v>
      </c>
      <c r="D17358" t="s">
        <v>4345</v>
      </c>
      <c r="E17358">
        <f t="shared" ref="E17358:E17366" si="821">1/38</f>
        <v>2.6315789473684209E-2</v>
      </c>
      <c r="F17358">
        <v>2</v>
      </c>
      <c r="G17358">
        <f>LOG(382/(2+1))</f>
        <v>2.1049421081920463</v>
      </c>
      <c r="H17358">
        <f>0.0263157894736842*4.84680831993846</f>
        <v>0.12754758736680152</v>
      </c>
      <c r="I17358">
        <v>0.12754758736680169</v>
      </c>
    </row>
    <row r="17359" spans="1:9" x14ac:dyDescent="0.25">
      <c r="A17359">
        <v>545</v>
      </c>
      <c r="B17359" t="s">
        <v>4343</v>
      </c>
      <c r="C17359" t="s">
        <v>75</v>
      </c>
      <c r="D17359" t="s">
        <v>4346</v>
      </c>
      <c r="E17359">
        <f t="shared" si="821"/>
        <v>2.6315789473684209E-2</v>
      </c>
      <c r="F17359">
        <v>1</v>
      </c>
      <c r="G17359">
        <f>LOG(382/(1+1))</f>
        <v>2.2810333672477277</v>
      </c>
      <c r="H17359">
        <f>0.0263157894736842*5.25227342804663</f>
        <v>0.13821772179070071</v>
      </c>
      <c r="I17359">
        <v>0.1382177217907008</v>
      </c>
    </row>
    <row r="17360" spans="1:9" x14ac:dyDescent="0.25">
      <c r="A17360">
        <v>545</v>
      </c>
      <c r="B17360" t="s">
        <v>4343</v>
      </c>
      <c r="C17360" t="s">
        <v>75</v>
      </c>
      <c r="D17360" t="s">
        <v>42</v>
      </c>
      <c r="E17360">
        <f t="shared" si="821"/>
        <v>2.6315789473684209E-2</v>
      </c>
      <c r="F17360">
        <v>251</v>
      </c>
      <c r="G17360">
        <f>LOG(382/(251+1))</f>
        <v>0.18066282213016463</v>
      </c>
      <c r="H17360">
        <f>0.0263157894736842*0.415991521095151</f>
        <v>1.0947145291977652E-2</v>
      </c>
      <c r="I17360">
        <v>1.094714529197768E-2</v>
      </c>
    </row>
    <row r="17361" spans="1:9" x14ac:dyDescent="0.25">
      <c r="A17361">
        <v>545</v>
      </c>
      <c r="B17361" t="s">
        <v>4343</v>
      </c>
      <c r="C17361" t="s">
        <v>75</v>
      </c>
      <c r="D17361" t="s">
        <v>670</v>
      </c>
      <c r="E17361">
        <f t="shared" si="821"/>
        <v>2.6315789473684209E-2</v>
      </c>
      <c r="F17361">
        <v>6</v>
      </c>
      <c r="G17361">
        <f>LOG(382/(6+1))</f>
        <v>1.736965322897452</v>
      </c>
      <c r="H17361">
        <f>0.0263157894736842*3.99951045955126</f>
        <v>0.1052502752513489</v>
      </c>
      <c r="I17361">
        <v>0.105250275251349</v>
      </c>
    </row>
    <row r="17362" spans="1:9" x14ac:dyDescent="0.25">
      <c r="A17362">
        <v>545</v>
      </c>
      <c r="B17362" t="s">
        <v>4343</v>
      </c>
      <c r="C17362" t="s">
        <v>75</v>
      </c>
      <c r="D17362" t="s">
        <v>4347</v>
      </c>
      <c r="E17362">
        <f t="shared" si="821"/>
        <v>2.6315789473684209E-2</v>
      </c>
      <c r="F17362">
        <v>2</v>
      </c>
      <c r="G17362">
        <f>LOG(382/(2+1))</f>
        <v>2.1049421081920463</v>
      </c>
      <c r="H17362">
        <f>0.0263157894736842*4.84680831993846</f>
        <v>0.12754758736680152</v>
      </c>
      <c r="I17362">
        <v>0.12754758736680169</v>
      </c>
    </row>
    <row r="17363" spans="1:9" x14ac:dyDescent="0.25">
      <c r="A17363">
        <v>545</v>
      </c>
      <c r="B17363" t="s">
        <v>4343</v>
      </c>
      <c r="C17363" t="s">
        <v>75</v>
      </c>
      <c r="D17363" t="s">
        <v>600</v>
      </c>
      <c r="E17363">
        <f t="shared" si="821"/>
        <v>2.6315789473684209E-2</v>
      </c>
      <c r="F17363">
        <v>102</v>
      </c>
      <c r="G17363">
        <f>LOG(382/(102+1))</f>
        <v>0.56922613820653656</v>
      </c>
      <c r="H17363">
        <f>0.0263157894736842*1.31069162037693</f>
        <v>3.4491884746761306E-2</v>
      </c>
      <c r="I17363">
        <v>3.4491884746761563E-2</v>
      </c>
    </row>
    <row r="17364" spans="1:9" x14ac:dyDescent="0.25">
      <c r="A17364">
        <v>545</v>
      </c>
      <c r="B17364" t="s">
        <v>4343</v>
      </c>
      <c r="C17364" t="s">
        <v>75</v>
      </c>
      <c r="D17364" t="s">
        <v>636</v>
      </c>
      <c r="E17364">
        <f t="shared" si="821"/>
        <v>2.6315789473684209E-2</v>
      </c>
      <c r="F17364">
        <v>31</v>
      </c>
      <c r="G17364">
        <f>LOG(382/(31+1))</f>
        <v>1.0769133845918029</v>
      </c>
      <c r="H17364">
        <f>0.0263157894736842*2.47968470580684</f>
        <v>6.5254860679127336E-2</v>
      </c>
      <c r="I17364">
        <v>6.5254860679127599E-2</v>
      </c>
    </row>
    <row r="17365" spans="1:9" x14ac:dyDescent="0.25">
      <c r="A17365">
        <v>545</v>
      </c>
      <c r="B17365" t="s">
        <v>4343</v>
      </c>
      <c r="C17365" t="s">
        <v>75</v>
      </c>
      <c r="D17365" t="s">
        <v>637</v>
      </c>
      <c r="E17365">
        <f t="shared" si="821"/>
        <v>2.6315789473684209E-2</v>
      </c>
      <c r="F17365">
        <v>29</v>
      </c>
      <c r="G17365">
        <f>LOG(382/(29+1))</f>
        <v>1.1049421081920463</v>
      </c>
      <c r="H17365">
        <f>0.0263157894736842*2.54422322694442</f>
        <v>6.695324281432681E-2</v>
      </c>
      <c r="I17365">
        <v>6.6953242814326838E-2</v>
      </c>
    </row>
    <row r="17366" spans="1:9" x14ac:dyDescent="0.25">
      <c r="A17366">
        <v>545</v>
      </c>
      <c r="B17366" t="s">
        <v>4343</v>
      </c>
      <c r="C17366" t="s">
        <v>75</v>
      </c>
      <c r="D17366" t="s">
        <v>204</v>
      </c>
      <c r="E17366">
        <f t="shared" si="821"/>
        <v>2.6315789473684209E-2</v>
      </c>
      <c r="F17366">
        <v>166</v>
      </c>
      <c r="G17366">
        <f>LOG(382/(166+1))</f>
        <v>0.35934689176412549</v>
      </c>
      <c r="H17366">
        <f>0.0263157894736842*0.82742679618982</f>
        <v>2.1774389373416306E-2</v>
      </c>
      <c r="I17366">
        <v>2.177438937341632E-2</v>
      </c>
    </row>
    <row r="17367" spans="1:9" x14ac:dyDescent="0.25">
      <c r="A17367">
        <v>545</v>
      </c>
      <c r="B17367" t="s">
        <v>4343</v>
      </c>
      <c r="C17367" t="s">
        <v>75</v>
      </c>
      <c r="D17367" t="s">
        <v>1769</v>
      </c>
      <c r="E17367">
        <f>2/38</f>
        <v>5.2631578947368418E-2</v>
      </c>
      <c r="F17367">
        <v>84</v>
      </c>
      <c r="G17367">
        <f>LOG(382/(84+1))</f>
        <v>0.65264443719741605</v>
      </c>
      <c r="H17367">
        <f>0.0526315789473684*1.50276935211625</f>
        <v>7.9093123795592066E-2</v>
      </c>
      <c r="I17367">
        <v>7.9093123795592565E-2</v>
      </c>
    </row>
    <row r="17368" spans="1:9" x14ac:dyDescent="0.25">
      <c r="A17368">
        <v>545</v>
      </c>
      <c r="B17368" t="s">
        <v>4343</v>
      </c>
      <c r="C17368" t="s">
        <v>75</v>
      </c>
      <c r="D17368" t="s">
        <v>126</v>
      </c>
      <c r="E17368">
        <f t="shared" ref="E17368:E17388" si="822">1/38</f>
        <v>2.6315789473684209E-2</v>
      </c>
      <c r="F17368">
        <v>79</v>
      </c>
      <c r="G17368">
        <f>LOG(382/(79+1))</f>
        <v>0.67897337591976514</v>
      </c>
      <c r="H17368">
        <f>0.0263157894736842*1.56339397393269</f>
        <v>4.1141946682439194E-2</v>
      </c>
      <c r="I17368">
        <v>4.1141946682439312E-2</v>
      </c>
    </row>
    <row r="17369" spans="1:9" x14ac:dyDescent="0.25">
      <c r="A17369">
        <v>545</v>
      </c>
      <c r="B17369" t="s">
        <v>4343</v>
      </c>
      <c r="C17369" t="s">
        <v>75</v>
      </c>
      <c r="D17369" t="s">
        <v>1546</v>
      </c>
      <c r="E17369">
        <f t="shared" si="822"/>
        <v>2.6315789473684209E-2</v>
      </c>
      <c r="F17369">
        <v>44</v>
      </c>
      <c r="G17369">
        <f>LOG(382/(44+1))</f>
        <v>0.92885084913636506</v>
      </c>
      <c r="H17369">
        <f>0.0263157894736842*2.13875811883625</f>
        <v>5.6283108390427605E-2</v>
      </c>
      <c r="I17369">
        <v>5.6283108390427758E-2</v>
      </c>
    </row>
    <row r="17370" spans="1:9" x14ac:dyDescent="0.25">
      <c r="A17370">
        <v>545</v>
      </c>
      <c r="B17370" t="s">
        <v>4343</v>
      </c>
      <c r="C17370" t="s">
        <v>75</v>
      </c>
      <c r="D17370" t="s">
        <v>4348</v>
      </c>
      <c r="E17370">
        <f t="shared" si="822"/>
        <v>2.6315789473684209E-2</v>
      </c>
      <c r="F17370">
        <v>1</v>
      </c>
      <c r="G17370">
        <f>LOG(382/(1+1))</f>
        <v>2.2810333672477277</v>
      </c>
      <c r="H17370">
        <f>0.0263157894736842*5.25227342804663</f>
        <v>0.13821772179070071</v>
      </c>
      <c r="I17370">
        <v>0.1382177217907008</v>
      </c>
    </row>
    <row r="17371" spans="1:9" x14ac:dyDescent="0.25">
      <c r="A17371">
        <v>545</v>
      </c>
      <c r="B17371" t="s">
        <v>4343</v>
      </c>
      <c r="C17371" t="s">
        <v>75</v>
      </c>
      <c r="D17371" t="s">
        <v>746</v>
      </c>
      <c r="E17371">
        <f t="shared" si="822"/>
        <v>2.6315789473684209E-2</v>
      </c>
      <c r="F17371">
        <v>58</v>
      </c>
      <c r="G17371">
        <f>LOG(382/(58+1))</f>
        <v>0.81121135126956456</v>
      </c>
      <c r="H17371">
        <f>0.0263157894736842*1.86788316470085</f>
        <v>4.9154820123706561E-2</v>
      </c>
      <c r="I17371">
        <v>4.915482012370672E-2</v>
      </c>
    </row>
    <row r="17372" spans="1:9" x14ac:dyDescent="0.25">
      <c r="A17372">
        <v>545</v>
      </c>
      <c r="B17372" t="s">
        <v>4343</v>
      </c>
      <c r="C17372" t="s">
        <v>75</v>
      </c>
      <c r="D17372" t="s">
        <v>474</v>
      </c>
      <c r="E17372">
        <f t="shared" si="822"/>
        <v>2.6315789473684209E-2</v>
      </c>
      <c r="F17372">
        <v>25</v>
      </c>
      <c r="G17372">
        <f>LOG(382/(25+1))</f>
        <v>1.1670900149408907</v>
      </c>
      <c r="H17372">
        <f>0.0263157894736842*2.68732407058509</f>
        <v>7.0719054489081279E-2</v>
      </c>
      <c r="I17372">
        <v>7.071905448908139E-2</v>
      </c>
    </row>
    <row r="17373" spans="1:9" x14ac:dyDescent="0.25">
      <c r="A17373">
        <v>545</v>
      </c>
      <c r="B17373" t="s">
        <v>4343</v>
      </c>
      <c r="C17373" t="s">
        <v>75</v>
      </c>
      <c r="D17373" t="s">
        <v>1866</v>
      </c>
      <c r="E17373">
        <f t="shared" si="822"/>
        <v>2.6315789473684209E-2</v>
      </c>
      <c r="F17373">
        <v>18</v>
      </c>
      <c r="G17373">
        <f>LOG(382/(18+1))</f>
        <v>1.3033097619588798</v>
      </c>
      <c r="H17373">
        <f>0.0263157894736842*3.00098162944013</f>
        <v>7.8973200774740238E-2</v>
      </c>
      <c r="I17373">
        <v>7.8973200774740376E-2</v>
      </c>
    </row>
    <row r="17374" spans="1:9" x14ac:dyDescent="0.25">
      <c r="A17374">
        <v>545</v>
      </c>
      <c r="B17374" t="s">
        <v>4343</v>
      </c>
      <c r="C17374" t="s">
        <v>75</v>
      </c>
      <c r="D17374" t="s">
        <v>89</v>
      </c>
      <c r="E17374">
        <f t="shared" si="822"/>
        <v>2.6315789473684209E-2</v>
      </c>
      <c r="F17374">
        <v>40</v>
      </c>
      <c r="G17374">
        <f>LOG(382/(40+1))</f>
        <v>0.96927950619197323</v>
      </c>
      <c r="H17374">
        <f>0.0263157894736842*2.23184854190226</f>
        <v>5.8732856365848914E-2</v>
      </c>
      <c r="I17374">
        <v>5.8732856365849143E-2</v>
      </c>
    </row>
    <row r="17375" spans="1:9" x14ac:dyDescent="0.25">
      <c r="A17375">
        <v>545</v>
      </c>
      <c r="B17375" t="s">
        <v>4343</v>
      </c>
      <c r="C17375" t="s">
        <v>75</v>
      </c>
      <c r="D17375" t="s">
        <v>133</v>
      </c>
      <c r="E17375">
        <f t="shared" si="822"/>
        <v>2.6315789473684209E-2</v>
      </c>
      <c r="F17375">
        <v>142</v>
      </c>
      <c r="G17375">
        <f>LOG(382/(142+1))</f>
        <v>0.42672732544664693</v>
      </c>
      <c r="H17375">
        <f>0.0263157894736842*0.982575978346667</f>
        <v>2.5857262588070171E-2</v>
      </c>
      <c r="I17375">
        <v>2.5857262588070209E-2</v>
      </c>
    </row>
    <row r="17376" spans="1:9" x14ac:dyDescent="0.25">
      <c r="A17376">
        <v>545</v>
      </c>
      <c r="B17376" t="s">
        <v>4343</v>
      </c>
      <c r="C17376" t="s">
        <v>75</v>
      </c>
      <c r="D17376" t="s">
        <v>3492</v>
      </c>
      <c r="E17376">
        <f t="shared" si="822"/>
        <v>2.6315789473684209E-2</v>
      </c>
      <c r="F17376">
        <v>12</v>
      </c>
      <c r="G17376">
        <f>LOG(382/(12+1))</f>
        <v>1.468120010604872</v>
      </c>
      <c r="H17376">
        <f>0.0263157894736842*3.38047125114503</f>
        <v>8.8959769766974436E-2</v>
      </c>
      <c r="I17376">
        <v>8.89597697669747E-2</v>
      </c>
    </row>
    <row r="17377" spans="1:9" x14ac:dyDescent="0.25">
      <c r="A17377">
        <v>545</v>
      </c>
      <c r="B17377" t="s">
        <v>4343</v>
      </c>
      <c r="C17377" t="s">
        <v>75</v>
      </c>
      <c r="D17377" t="s">
        <v>240</v>
      </c>
      <c r="E17377">
        <f t="shared" si="822"/>
        <v>2.6315789473684209E-2</v>
      </c>
      <c r="F17377">
        <v>15</v>
      </c>
      <c r="G17377">
        <f>LOG(382/(15+1))</f>
        <v>1.3779433802557839</v>
      </c>
      <c r="H17377">
        <f>0.0263157894736842*3.17283188636679</f>
        <v>8.3495575957020757E-2</v>
      </c>
      <c r="I17377">
        <v>8.3495575957020896E-2</v>
      </c>
    </row>
    <row r="17378" spans="1:9" x14ac:dyDescent="0.25">
      <c r="A17378">
        <v>545</v>
      </c>
      <c r="B17378" t="s">
        <v>4343</v>
      </c>
      <c r="C17378" t="s">
        <v>75</v>
      </c>
      <c r="D17378" t="s">
        <v>3452</v>
      </c>
      <c r="E17378">
        <f t="shared" si="822"/>
        <v>2.6315789473684209E-2</v>
      </c>
      <c r="F17378">
        <v>8</v>
      </c>
      <c r="G17378">
        <f>LOG(382/(8+1))</f>
        <v>1.6278208534723839</v>
      </c>
      <c r="H17378">
        <f>0.0263157894736842*3.74819603127035</f>
        <v>9.8636737665009161E-2</v>
      </c>
      <c r="I17378">
        <v>9.8636737665009355E-2</v>
      </c>
    </row>
    <row r="17379" spans="1:9" x14ac:dyDescent="0.25">
      <c r="A17379">
        <v>545</v>
      </c>
      <c r="B17379" t="s">
        <v>4343</v>
      </c>
      <c r="C17379" t="s">
        <v>75</v>
      </c>
      <c r="D17379" t="s">
        <v>3630</v>
      </c>
      <c r="E17379">
        <f t="shared" si="822"/>
        <v>2.6315789473684209E-2</v>
      </c>
      <c r="F17379">
        <v>6</v>
      </c>
      <c r="G17379">
        <f>LOG(382/(6+1))</f>
        <v>1.736965322897452</v>
      </c>
      <c r="H17379">
        <f>0.0263157894736842*3.99951045955126</f>
        <v>0.1052502752513489</v>
      </c>
      <c r="I17379">
        <v>0.105250275251349</v>
      </c>
    </row>
    <row r="17380" spans="1:9" x14ac:dyDescent="0.25">
      <c r="A17380">
        <v>545</v>
      </c>
      <c r="B17380" t="s">
        <v>4343</v>
      </c>
      <c r="C17380" t="s">
        <v>75</v>
      </c>
      <c r="D17380" t="s">
        <v>78</v>
      </c>
      <c r="E17380">
        <f t="shared" si="822"/>
        <v>2.6315789473684209E-2</v>
      </c>
      <c r="F17380">
        <v>122</v>
      </c>
      <c r="G17380">
        <f>LOG(382/(122+1))</f>
        <v>0.49215825147231079</v>
      </c>
      <c r="H17380">
        <f>0.0263157894736842*1.13323625323415</f>
        <v>2.9822006664056565E-2</v>
      </c>
      <c r="I17380">
        <v>2.982200666405678E-2</v>
      </c>
    </row>
    <row r="17381" spans="1:9" x14ac:dyDescent="0.25">
      <c r="A17381">
        <v>545</v>
      </c>
      <c r="B17381" t="s">
        <v>4343</v>
      </c>
      <c r="C17381" t="s">
        <v>75</v>
      </c>
      <c r="D17381" t="s">
        <v>754</v>
      </c>
      <c r="E17381">
        <f t="shared" si="822"/>
        <v>2.6315789473684209E-2</v>
      </c>
      <c r="F17381">
        <v>111</v>
      </c>
      <c r="G17381">
        <f>LOG(382/(111+1))</f>
        <v>0.53284534024152708</v>
      </c>
      <c r="H17381">
        <f>0.0263157894736842*1.22692173731148</f>
        <v>3.2287414139775775E-2</v>
      </c>
      <c r="I17381">
        <v>3.2287414139775802E-2</v>
      </c>
    </row>
    <row r="17382" spans="1:9" x14ac:dyDescent="0.25">
      <c r="A17382">
        <v>545</v>
      </c>
      <c r="B17382" t="s">
        <v>4343</v>
      </c>
      <c r="C17382" t="s">
        <v>75</v>
      </c>
      <c r="D17382" t="s">
        <v>144</v>
      </c>
      <c r="E17382">
        <f t="shared" si="822"/>
        <v>2.6315789473684209E-2</v>
      </c>
      <c r="F17382">
        <v>105</v>
      </c>
      <c r="G17382">
        <f>LOG(382/(105+1))</f>
        <v>0.55675749764693849</v>
      </c>
      <c r="H17382">
        <f>0.0263157894736842*1.2819815144945</f>
        <v>3.3736355644592091E-2</v>
      </c>
      <c r="I17382">
        <v>3.3736355644592313E-2</v>
      </c>
    </row>
    <row r="17383" spans="1:9" x14ac:dyDescent="0.25">
      <c r="A17383">
        <v>545</v>
      </c>
      <c r="B17383" t="s">
        <v>4343</v>
      </c>
      <c r="C17383" t="s">
        <v>75</v>
      </c>
      <c r="D17383" t="s">
        <v>758</v>
      </c>
      <c r="E17383">
        <f t="shared" si="822"/>
        <v>2.6315789473684209E-2</v>
      </c>
      <c r="F17383">
        <v>26</v>
      </c>
      <c r="G17383">
        <f>LOG(382/(26+1))</f>
        <v>1.1506995987527215</v>
      </c>
      <c r="H17383">
        <f>0.0263157894736842*2.64958374260224</f>
        <v>6.9725887963216812E-2</v>
      </c>
      <c r="I17383">
        <v>6.9725887963217006E-2</v>
      </c>
    </row>
    <row r="17384" spans="1:9" x14ac:dyDescent="0.25">
      <c r="A17384">
        <v>545</v>
      </c>
      <c r="B17384" t="s">
        <v>4343</v>
      </c>
      <c r="C17384" t="s">
        <v>75</v>
      </c>
      <c r="D17384" t="s">
        <v>811</v>
      </c>
      <c r="E17384">
        <f t="shared" si="822"/>
        <v>2.6315789473684209E-2</v>
      </c>
      <c r="F17384">
        <v>27</v>
      </c>
      <c r="G17384">
        <f>LOG(382/(27+1))</f>
        <v>1.1349053315694895</v>
      </c>
      <c r="H17384">
        <f>0.0263157894736842*2.61321609843137</f>
        <v>6.8768844695562339E-2</v>
      </c>
      <c r="I17384">
        <v>6.8768844695562395E-2</v>
      </c>
    </row>
    <row r="17385" spans="1:9" x14ac:dyDescent="0.25">
      <c r="A17385">
        <v>545</v>
      </c>
      <c r="B17385" t="s">
        <v>4343</v>
      </c>
      <c r="C17385" t="s">
        <v>75</v>
      </c>
      <c r="D17385" t="s">
        <v>34</v>
      </c>
      <c r="E17385">
        <f t="shared" si="822"/>
        <v>2.6315789473684209E-2</v>
      </c>
      <c r="F17385">
        <v>11</v>
      </c>
      <c r="G17385">
        <f>LOG(382/(11+1))</f>
        <v>1.5028821168640838</v>
      </c>
      <c r="H17385">
        <f>0.0263157894736842*3.46051395881857</f>
        <v>9.1066156811014959E-2</v>
      </c>
      <c r="I17385">
        <v>9.1066156811015125E-2</v>
      </c>
    </row>
    <row r="17386" spans="1:9" x14ac:dyDescent="0.25">
      <c r="A17386">
        <v>545</v>
      </c>
      <c r="B17386" t="s">
        <v>4343</v>
      </c>
      <c r="C17386" t="s">
        <v>75</v>
      </c>
      <c r="D17386" t="s">
        <v>3633</v>
      </c>
      <c r="E17386">
        <f t="shared" si="822"/>
        <v>2.6315789473684209E-2</v>
      </c>
      <c r="F17386">
        <v>6</v>
      </c>
      <c r="G17386">
        <f>LOG(382/(6+1))</f>
        <v>1.736965322897452</v>
      </c>
      <c r="H17386">
        <f>0.0263157894736842*3.99951045955126</f>
        <v>0.1052502752513489</v>
      </c>
      <c r="I17386">
        <v>0.105250275251349</v>
      </c>
    </row>
    <row r="17387" spans="1:9" x14ac:dyDescent="0.25">
      <c r="A17387">
        <v>545</v>
      </c>
      <c r="B17387" t="s">
        <v>4343</v>
      </c>
      <c r="C17387" t="s">
        <v>75</v>
      </c>
      <c r="D17387" t="s">
        <v>765</v>
      </c>
      <c r="E17387">
        <f t="shared" si="822"/>
        <v>2.6315789473684209E-2</v>
      </c>
      <c r="F17387">
        <v>44</v>
      </c>
      <c r="G17387">
        <f>LOG(382/(44+1))</f>
        <v>0.92885084913636506</v>
      </c>
      <c r="H17387">
        <f>0.0263157894736842*2.13875811883625</f>
        <v>5.6283108390427605E-2</v>
      </c>
      <c r="I17387">
        <v>5.6283108390427758E-2</v>
      </c>
    </row>
    <row r="17388" spans="1:9" x14ac:dyDescent="0.25">
      <c r="A17388">
        <v>545</v>
      </c>
      <c r="B17388" t="s">
        <v>4343</v>
      </c>
      <c r="C17388" t="s">
        <v>75</v>
      </c>
      <c r="D17388" t="s">
        <v>2220</v>
      </c>
      <c r="E17388">
        <f t="shared" si="822"/>
        <v>2.6315789473684209E-2</v>
      </c>
      <c r="F17388">
        <v>21</v>
      </c>
      <c r="G17388">
        <f>LOG(382/(21+1))</f>
        <v>1.2396406820895025</v>
      </c>
      <c r="H17388">
        <f>0.0263157894736842*2.85437815524825</f>
        <v>7.5115214611796016E-2</v>
      </c>
      <c r="I17388">
        <v>7.5115214611796294E-2</v>
      </c>
    </row>
    <row r="17389" spans="1:9" x14ac:dyDescent="0.25">
      <c r="A17389">
        <v>546</v>
      </c>
      <c r="B17389" t="s">
        <v>4349</v>
      </c>
      <c r="C17389" t="s">
        <v>48</v>
      </c>
      <c r="D17389" t="s">
        <v>179</v>
      </c>
      <c r="E17389">
        <f t="shared" ref="E17389:E17398" si="823">1/5</f>
        <v>0.2</v>
      </c>
      <c r="F17389">
        <v>15</v>
      </c>
      <c r="G17389">
        <f>LOG(382/(15+1))</f>
        <v>1.3779433802557839</v>
      </c>
      <c r="H17389">
        <f>0.2*3.17283188636679</f>
        <v>0.63456637727335807</v>
      </c>
      <c r="I17389">
        <v>0.63456637727335885</v>
      </c>
    </row>
    <row r="17390" spans="1:9" x14ac:dyDescent="0.25">
      <c r="A17390">
        <v>546</v>
      </c>
      <c r="B17390" t="s">
        <v>4349</v>
      </c>
      <c r="C17390" t="s">
        <v>48</v>
      </c>
      <c r="D17390" t="s">
        <v>171</v>
      </c>
      <c r="E17390">
        <f t="shared" si="823"/>
        <v>0.2</v>
      </c>
      <c r="F17390">
        <v>6</v>
      </c>
      <c r="G17390">
        <f>LOG(382/(6+1))</f>
        <v>1.736965322897452</v>
      </c>
      <c r="H17390">
        <f>0.2*3.99951045955126</f>
        <v>0.79990209191025208</v>
      </c>
      <c r="I17390">
        <v>0.79990209191025241</v>
      </c>
    </row>
    <row r="17391" spans="1:9" x14ac:dyDescent="0.25">
      <c r="A17391">
        <v>546</v>
      </c>
      <c r="B17391" t="s">
        <v>4349</v>
      </c>
      <c r="C17391" t="s">
        <v>48</v>
      </c>
      <c r="D17391" t="s">
        <v>333</v>
      </c>
      <c r="E17391">
        <f t="shared" si="823"/>
        <v>0.2</v>
      </c>
      <c r="F17391">
        <v>9</v>
      </c>
      <c r="G17391">
        <f>LOG(382/(9+1))</f>
        <v>1.5820633629117087</v>
      </c>
      <c r="H17391">
        <f>0.2*3.64283551561252</f>
        <v>0.72856710312250406</v>
      </c>
      <c r="I17391">
        <v>0.72856710312250594</v>
      </c>
    </row>
    <row r="17392" spans="1:9" x14ac:dyDescent="0.25">
      <c r="A17392">
        <v>546</v>
      </c>
      <c r="B17392" t="s">
        <v>4349</v>
      </c>
      <c r="C17392" t="s">
        <v>48</v>
      </c>
      <c r="D17392" t="s">
        <v>189</v>
      </c>
      <c r="E17392">
        <f t="shared" si="823"/>
        <v>0.2</v>
      </c>
      <c r="F17392">
        <v>27</v>
      </c>
      <c r="G17392">
        <f>LOG(382/(27+1))</f>
        <v>1.1349053315694895</v>
      </c>
      <c r="H17392">
        <f>0.2*2.61321609843137</f>
        <v>0.52264321968627403</v>
      </c>
      <c r="I17392">
        <v>0.52264321968627425</v>
      </c>
    </row>
    <row r="17393" spans="1:9" x14ac:dyDescent="0.25">
      <c r="A17393">
        <v>546</v>
      </c>
      <c r="B17393" t="s">
        <v>4349</v>
      </c>
      <c r="C17393" t="s">
        <v>48</v>
      </c>
      <c r="D17393" t="s">
        <v>1117</v>
      </c>
      <c r="E17393">
        <f t="shared" si="823"/>
        <v>0.2</v>
      </c>
      <c r="F17393">
        <v>4</v>
      </c>
      <c r="G17393">
        <f>LOG(382/(4+1))</f>
        <v>1.8830933585756899</v>
      </c>
      <c r="H17393">
        <f>0.2*4.33598269617247</f>
        <v>0.86719653923449413</v>
      </c>
      <c r="I17393">
        <v>0.86719653923449502</v>
      </c>
    </row>
    <row r="17394" spans="1:9" x14ac:dyDescent="0.25">
      <c r="A17394">
        <v>547</v>
      </c>
      <c r="B17394" t="s">
        <v>4350</v>
      </c>
      <c r="C17394" t="s">
        <v>75</v>
      </c>
      <c r="D17394" t="s">
        <v>89</v>
      </c>
      <c r="E17394">
        <f t="shared" si="823"/>
        <v>0.2</v>
      </c>
      <c r="F17394">
        <v>40</v>
      </c>
      <c r="G17394">
        <f>LOG(382/(40+1))</f>
        <v>0.96927950619197323</v>
      </c>
      <c r="H17394">
        <f>0.2*2.23184854190226</f>
        <v>0.44636970838045198</v>
      </c>
      <c r="I17394">
        <v>0.44636970838045348</v>
      </c>
    </row>
    <row r="17395" spans="1:9" x14ac:dyDescent="0.25">
      <c r="A17395">
        <v>547</v>
      </c>
      <c r="B17395" t="s">
        <v>4350</v>
      </c>
      <c r="C17395" t="s">
        <v>75</v>
      </c>
      <c r="D17395" t="s">
        <v>363</v>
      </c>
      <c r="E17395">
        <f t="shared" si="823"/>
        <v>0.2</v>
      </c>
      <c r="F17395">
        <v>36</v>
      </c>
      <c r="G17395">
        <f>LOG(382/(36+1))</f>
        <v>1.0138616388447137</v>
      </c>
      <c r="H17395">
        <f>0.2*2.33450269596235</f>
        <v>0.46690053919247004</v>
      </c>
      <c r="I17395">
        <v>0.46690053919247021</v>
      </c>
    </row>
    <row r="17396" spans="1:9" x14ac:dyDescent="0.25">
      <c r="A17396">
        <v>547</v>
      </c>
      <c r="B17396" t="s">
        <v>4350</v>
      </c>
      <c r="C17396" t="s">
        <v>75</v>
      </c>
      <c r="D17396" t="s">
        <v>4351</v>
      </c>
      <c r="E17396">
        <f t="shared" si="823"/>
        <v>0.2</v>
      </c>
      <c r="F17396">
        <v>1</v>
      </c>
      <c r="G17396">
        <f>LOG(382/(1+1))</f>
        <v>2.2810333672477277</v>
      </c>
      <c r="H17396">
        <f>0.2*5.25227342804663</f>
        <v>1.050454685609326</v>
      </c>
      <c r="I17396">
        <v>1.050454685609326</v>
      </c>
    </row>
    <row r="17397" spans="1:9" x14ac:dyDescent="0.25">
      <c r="A17397">
        <v>547</v>
      </c>
      <c r="B17397" t="s">
        <v>4350</v>
      </c>
      <c r="C17397" t="s">
        <v>75</v>
      </c>
      <c r="D17397" t="s">
        <v>1374</v>
      </c>
      <c r="E17397">
        <f t="shared" si="823"/>
        <v>0.2</v>
      </c>
      <c r="F17397">
        <v>9</v>
      </c>
      <c r="G17397">
        <f>LOG(382/(9+1))</f>
        <v>1.5820633629117087</v>
      </c>
      <c r="H17397">
        <f>0.2*3.64283551561252</f>
        <v>0.72856710312250406</v>
      </c>
      <c r="I17397">
        <v>0.72856710312250594</v>
      </c>
    </row>
    <row r="17398" spans="1:9" x14ac:dyDescent="0.25">
      <c r="A17398">
        <v>547</v>
      </c>
      <c r="B17398" t="s">
        <v>4350</v>
      </c>
      <c r="C17398" t="s">
        <v>75</v>
      </c>
      <c r="D17398" t="s">
        <v>730</v>
      </c>
      <c r="E17398">
        <f t="shared" si="823"/>
        <v>0.2</v>
      </c>
      <c r="F17398">
        <v>11</v>
      </c>
      <c r="G17398">
        <f>LOG(382/(11+1))</f>
        <v>1.5028821168640838</v>
      </c>
      <c r="H17398">
        <f>0.2*3.46051395881857</f>
        <v>0.69210279176371403</v>
      </c>
      <c r="I17398">
        <v>0.69210279176371503</v>
      </c>
    </row>
    <row r="17399" spans="1:9" x14ac:dyDescent="0.25">
      <c r="A17399">
        <v>548</v>
      </c>
      <c r="B17399" t="s">
        <v>4352</v>
      </c>
      <c r="C17399" t="s">
        <v>10</v>
      </c>
      <c r="D17399" t="s">
        <v>11</v>
      </c>
      <c r="E17399">
        <f>9/99</f>
        <v>9.0909090909090912E-2</v>
      </c>
      <c r="F17399">
        <v>83</v>
      </c>
      <c r="G17399">
        <f>LOG(382/(83+1))</f>
        <v>0.65778407684982709</v>
      </c>
      <c r="H17399">
        <f>0.0909090909090909*1.51460380976326</f>
        <v>0.1376912554330236</v>
      </c>
      <c r="I17399">
        <v>0.1376912554330238</v>
      </c>
    </row>
    <row r="17400" spans="1:9" x14ac:dyDescent="0.25">
      <c r="A17400">
        <v>548</v>
      </c>
      <c r="B17400" t="s">
        <v>4352</v>
      </c>
      <c r="C17400" t="s">
        <v>10</v>
      </c>
      <c r="D17400" t="s">
        <v>12</v>
      </c>
      <c r="E17400">
        <f>9/99</f>
        <v>9.0909090909090912E-2</v>
      </c>
      <c r="F17400">
        <v>28</v>
      </c>
      <c r="G17400">
        <f>LOG(382/(28+1))</f>
        <v>1.1196653650127526</v>
      </c>
      <c r="H17400">
        <f>0.0909090909090909*2.5781247786201</f>
        <v>0.2343749798745545</v>
      </c>
      <c r="I17400">
        <v>0.23437497987455469</v>
      </c>
    </row>
    <row r="17401" spans="1:9" x14ac:dyDescent="0.25">
      <c r="A17401">
        <v>548</v>
      </c>
      <c r="B17401" t="s">
        <v>4352</v>
      </c>
      <c r="C17401" t="s">
        <v>10</v>
      </c>
      <c r="D17401" t="s">
        <v>4353</v>
      </c>
      <c r="E17401">
        <f>3/99</f>
        <v>3.0303030303030304E-2</v>
      </c>
      <c r="F17401">
        <v>1</v>
      </c>
      <c r="G17401">
        <f>LOG(382/(1+1))</f>
        <v>2.2810333672477277</v>
      </c>
      <c r="H17401">
        <f>0.0303030303030303*5.25227342804663</f>
        <v>0.15915980084989786</v>
      </c>
      <c r="I17401">
        <v>0.15915980084989789</v>
      </c>
    </row>
    <row r="17402" spans="1:9" x14ac:dyDescent="0.25">
      <c r="A17402">
        <v>548</v>
      </c>
      <c r="B17402" t="s">
        <v>4352</v>
      </c>
      <c r="C17402" t="s">
        <v>10</v>
      </c>
      <c r="D17402" t="s">
        <v>42</v>
      </c>
      <c r="E17402">
        <f>2/99</f>
        <v>2.0202020202020204E-2</v>
      </c>
      <c r="F17402">
        <v>251</v>
      </c>
      <c r="G17402">
        <f>LOG(382/(251+1))</f>
        <v>0.18066282213016463</v>
      </c>
      <c r="H17402">
        <f>0.0202020202020202*0.415991521095151</f>
        <v>8.4038691130333531E-3</v>
      </c>
      <c r="I17402">
        <v>8.4038691130333722E-3</v>
      </c>
    </row>
    <row r="17403" spans="1:9" x14ac:dyDescent="0.25">
      <c r="A17403">
        <v>548</v>
      </c>
      <c r="B17403" t="s">
        <v>4352</v>
      </c>
      <c r="C17403" t="s">
        <v>10</v>
      </c>
      <c r="D17403" t="s">
        <v>68</v>
      </c>
      <c r="E17403">
        <f>2/99</f>
        <v>2.0202020202020204E-2</v>
      </c>
      <c r="F17403">
        <v>43</v>
      </c>
      <c r="G17403">
        <f>LOG(382/(43+1))</f>
        <v>0.93861068642552126</v>
      </c>
      <c r="H17403">
        <f>0.0202020202020202*2.16123097468831</f>
        <v>4.366123181188504E-2</v>
      </c>
      <c r="I17403">
        <v>4.366123181188513E-2</v>
      </c>
    </row>
    <row r="17404" spans="1:9" x14ac:dyDescent="0.25">
      <c r="A17404">
        <v>548</v>
      </c>
      <c r="B17404" t="s">
        <v>4352</v>
      </c>
      <c r="C17404" t="s">
        <v>10</v>
      </c>
      <c r="D17404" t="s">
        <v>44</v>
      </c>
      <c r="E17404">
        <f>3/99</f>
        <v>3.0303030303030304E-2</v>
      </c>
      <c r="F17404">
        <v>151</v>
      </c>
      <c r="G17404">
        <f>LOG(382/(151+1))</f>
        <v>0.40021977496693617</v>
      </c>
      <c r="H17404">
        <f>0.0303030303030303*0.921540087760298</f>
        <v>2.7925457204857514E-2</v>
      </c>
      <c r="I17404">
        <v>2.7925457204857541E-2</v>
      </c>
    </row>
    <row r="17405" spans="1:9" x14ac:dyDescent="0.25">
      <c r="A17405">
        <v>548</v>
      </c>
      <c r="B17405" t="s">
        <v>4352</v>
      </c>
      <c r="C17405" t="s">
        <v>10</v>
      </c>
      <c r="D17405" t="s">
        <v>69</v>
      </c>
      <c r="E17405">
        <f>2/99</f>
        <v>2.0202020202020204E-2</v>
      </c>
      <c r="F17405">
        <v>13</v>
      </c>
      <c r="G17405">
        <f>LOG(382/(13+1))</f>
        <v>1.4359353272334707</v>
      </c>
      <c r="H17405">
        <f>0.0202020202020202*3.30636327899131</f>
        <v>6.6795217757400202E-2</v>
      </c>
      <c r="I17405">
        <v>6.6795217757400341E-2</v>
      </c>
    </row>
    <row r="17406" spans="1:9" x14ac:dyDescent="0.25">
      <c r="A17406">
        <v>548</v>
      </c>
      <c r="B17406" t="s">
        <v>4352</v>
      </c>
      <c r="C17406" t="s">
        <v>10</v>
      </c>
      <c r="D17406" t="s">
        <v>726</v>
      </c>
      <c r="E17406">
        <f t="shared" ref="E17406:E17413" si="824">1/99</f>
        <v>1.0101010101010102E-2</v>
      </c>
      <c r="F17406">
        <v>37</v>
      </c>
      <c r="G17406">
        <f>LOG(382/(37+1))</f>
        <v>1.0022797662948986</v>
      </c>
      <c r="H17406">
        <f>0.0101010101010101*2.30783444888018</f>
        <v>2.3311459079597776E-2</v>
      </c>
      <c r="I17406">
        <v>2.331145907959787E-2</v>
      </c>
    </row>
    <row r="17407" spans="1:9" x14ac:dyDescent="0.25">
      <c r="A17407">
        <v>548</v>
      </c>
      <c r="B17407" t="s">
        <v>4352</v>
      </c>
      <c r="C17407" t="s">
        <v>10</v>
      </c>
      <c r="D17407" t="s">
        <v>111</v>
      </c>
      <c r="E17407">
        <f t="shared" si="824"/>
        <v>1.0101010101010102E-2</v>
      </c>
      <c r="F17407">
        <v>33</v>
      </c>
      <c r="G17407">
        <f>LOG(382/(33+1))</f>
        <v>1.0505844458694535</v>
      </c>
      <c r="H17407">
        <f>0.0101010101010101*2.41906008399041</f>
        <v>2.4434950343337473E-2</v>
      </c>
      <c r="I17407">
        <v>2.4434950343337519E-2</v>
      </c>
    </row>
    <row r="17408" spans="1:9" x14ac:dyDescent="0.25">
      <c r="A17408">
        <v>548</v>
      </c>
      <c r="B17408" t="s">
        <v>4352</v>
      </c>
      <c r="C17408" t="s">
        <v>10</v>
      </c>
      <c r="D17408" t="s">
        <v>1866</v>
      </c>
      <c r="E17408">
        <f t="shared" si="824"/>
        <v>1.0101010101010102E-2</v>
      </c>
      <c r="F17408">
        <v>18</v>
      </c>
      <c r="G17408">
        <f>LOG(382/(18+1))</f>
        <v>1.3033097619588798</v>
      </c>
      <c r="H17408">
        <f>0.0101010101010101*3.00098162944013</f>
        <v>3.0312945751920502E-2</v>
      </c>
      <c r="I17408">
        <v>3.0312945751920551E-2</v>
      </c>
    </row>
    <row r="17409" spans="1:9" x14ac:dyDescent="0.25">
      <c r="A17409">
        <v>548</v>
      </c>
      <c r="B17409" t="s">
        <v>4352</v>
      </c>
      <c r="C17409" t="s">
        <v>10</v>
      </c>
      <c r="D17409" t="s">
        <v>490</v>
      </c>
      <c r="E17409">
        <f t="shared" si="824"/>
        <v>1.0101010101010102E-2</v>
      </c>
      <c r="F17409">
        <v>31</v>
      </c>
      <c r="G17409">
        <f>LOG(382/(31+1))</f>
        <v>1.0769133845918029</v>
      </c>
      <c r="H17409">
        <f>0.0101010101010101*2.47968470580684</f>
        <v>2.504732026067515E-2</v>
      </c>
      <c r="I17409">
        <v>2.504732026067524E-2</v>
      </c>
    </row>
    <row r="17410" spans="1:9" x14ac:dyDescent="0.25">
      <c r="A17410">
        <v>548</v>
      </c>
      <c r="B17410" t="s">
        <v>4352</v>
      </c>
      <c r="C17410" t="s">
        <v>10</v>
      </c>
      <c r="D17410" t="s">
        <v>25</v>
      </c>
      <c r="E17410">
        <f t="shared" si="824"/>
        <v>1.0101010101010102E-2</v>
      </c>
      <c r="F17410">
        <v>106</v>
      </c>
      <c r="G17410">
        <f>LOG(382/(106+1))</f>
        <v>0.55267958522649907</v>
      </c>
      <c r="H17410">
        <f>0.0101010101010101*1.27259177414466</f>
        <v>1.2854462365097574E-2</v>
      </c>
      <c r="I17410">
        <v>1.285446236509767E-2</v>
      </c>
    </row>
    <row r="17411" spans="1:9" x14ac:dyDescent="0.25">
      <c r="A17411">
        <v>548</v>
      </c>
      <c r="B17411" t="s">
        <v>4352</v>
      </c>
      <c r="C17411" t="s">
        <v>10</v>
      </c>
      <c r="D17411" t="s">
        <v>26</v>
      </c>
      <c r="E17411">
        <f t="shared" si="824"/>
        <v>1.0101010101010102E-2</v>
      </c>
      <c r="F17411">
        <v>40</v>
      </c>
      <c r="G17411">
        <f>LOG(382/(40+1))</f>
        <v>0.96927950619197323</v>
      </c>
      <c r="H17411">
        <f>0.0101010101010101*2.23184854190226</f>
        <v>2.254392466567939E-2</v>
      </c>
      <c r="I17411">
        <v>2.254392466567947E-2</v>
      </c>
    </row>
    <row r="17412" spans="1:9" x14ac:dyDescent="0.25">
      <c r="A17412">
        <v>548</v>
      </c>
      <c r="B17412" t="s">
        <v>4352</v>
      </c>
      <c r="C17412" t="s">
        <v>10</v>
      </c>
      <c r="D17412" t="s">
        <v>1329</v>
      </c>
      <c r="E17412">
        <f t="shared" si="824"/>
        <v>1.0101010101010102E-2</v>
      </c>
      <c r="F17412">
        <v>4</v>
      </c>
      <c r="G17412">
        <f>LOG(382/(4+1))</f>
        <v>1.8830933585756899</v>
      </c>
      <c r="H17412">
        <f>0.0101010101010101*4.33598269617247</f>
        <v>4.3797805011843133E-2</v>
      </c>
      <c r="I17412">
        <v>4.3797805011843181E-2</v>
      </c>
    </row>
    <row r="17413" spans="1:9" x14ac:dyDescent="0.25">
      <c r="A17413">
        <v>548</v>
      </c>
      <c r="B17413" t="s">
        <v>4352</v>
      </c>
      <c r="C17413" t="s">
        <v>10</v>
      </c>
      <c r="D17413" t="s">
        <v>28</v>
      </c>
      <c r="E17413">
        <f t="shared" si="824"/>
        <v>1.0101010101010102E-2</v>
      </c>
      <c r="F17413">
        <v>35</v>
      </c>
      <c r="G17413">
        <f>LOG(382/(35+1))</f>
        <v>1.0257608621444214</v>
      </c>
      <c r="H17413">
        <f>0.0101010101010101*2.36190167015046</f>
        <v>2.3857592627782424E-2</v>
      </c>
      <c r="I17413">
        <v>2.3857592627782479E-2</v>
      </c>
    </row>
    <row r="17414" spans="1:9" x14ac:dyDescent="0.25">
      <c r="A17414">
        <v>548</v>
      </c>
      <c r="B17414" t="s">
        <v>4352</v>
      </c>
      <c r="C17414" t="s">
        <v>10</v>
      </c>
      <c r="D17414" t="s">
        <v>487</v>
      </c>
      <c r="E17414">
        <f>2/99</f>
        <v>2.0202020202020204E-2</v>
      </c>
      <c r="F17414">
        <v>32</v>
      </c>
      <c r="G17414">
        <f>LOG(382/(32+1))</f>
        <v>1.0635494230338212</v>
      </c>
      <c r="H17414">
        <f>0.0202020202020202*2.44891304714009</f>
        <v>4.9472990851314951E-2</v>
      </c>
      <c r="I17414">
        <v>4.9472990851315048E-2</v>
      </c>
    </row>
    <row r="17415" spans="1:9" x14ac:dyDescent="0.25">
      <c r="A17415">
        <v>548</v>
      </c>
      <c r="B17415" t="s">
        <v>4352</v>
      </c>
      <c r="C17415" t="s">
        <v>10</v>
      </c>
      <c r="D17415" t="s">
        <v>77</v>
      </c>
      <c r="E17415">
        <f>2/99</f>
        <v>2.0202020202020204E-2</v>
      </c>
      <c r="F17415">
        <v>148</v>
      </c>
      <c r="G17415">
        <f>LOG(382/(148+1))</f>
        <v>0.40887709449943471</v>
      </c>
      <c r="H17415">
        <f>0.0202020202020202*0.941474302661116</f>
        <v>1.9019682882042744E-2</v>
      </c>
      <c r="I17415">
        <v>1.9019682882042751E-2</v>
      </c>
    </row>
    <row r="17416" spans="1:9" x14ac:dyDescent="0.25">
      <c r="A17416">
        <v>548</v>
      </c>
      <c r="B17416" t="s">
        <v>4352</v>
      </c>
      <c r="C17416" t="s">
        <v>10</v>
      </c>
      <c r="D17416" t="s">
        <v>2055</v>
      </c>
      <c r="E17416">
        <f>3/99</f>
        <v>3.0303030303030304E-2</v>
      </c>
      <c r="F17416">
        <v>4</v>
      </c>
      <c r="G17416">
        <f>LOG(382/(4+1))</f>
        <v>1.8830933585756899</v>
      </c>
      <c r="H17416">
        <f>0.0303030303030303*4.33598269617247</f>
        <v>0.1313934150355294</v>
      </c>
      <c r="I17416">
        <v>0.13139341503552951</v>
      </c>
    </row>
    <row r="17417" spans="1:9" x14ac:dyDescent="0.25">
      <c r="A17417">
        <v>548</v>
      </c>
      <c r="B17417" t="s">
        <v>4352</v>
      </c>
      <c r="C17417" t="s">
        <v>10</v>
      </c>
      <c r="D17417" t="s">
        <v>36</v>
      </c>
      <c r="E17417">
        <f>1/99</f>
        <v>1.0101010101010102E-2</v>
      </c>
      <c r="F17417">
        <v>58</v>
      </c>
      <c r="G17417">
        <f>LOG(382/(58+1))</f>
        <v>0.81121135126956456</v>
      </c>
      <c r="H17417">
        <f>0.0101010101010101*1.86788316470085</f>
        <v>1.8867506714149999E-2</v>
      </c>
      <c r="I17417">
        <v>1.8867506714150061E-2</v>
      </c>
    </row>
    <row r="17418" spans="1:9" x14ac:dyDescent="0.25">
      <c r="A17418">
        <v>548</v>
      </c>
      <c r="B17418" t="s">
        <v>4352</v>
      </c>
      <c r="C17418" t="s">
        <v>10</v>
      </c>
      <c r="D17418" t="s">
        <v>161</v>
      </c>
      <c r="E17418">
        <f>1/99</f>
        <v>1.0101010101010102E-2</v>
      </c>
      <c r="F17418">
        <v>33</v>
      </c>
      <c r="G17418">
        <f>LOG(382/(33+1))</f>
        <v>1.0505844458694535</v>
      </c>
      <c r="H17418">
        <f>0.0101010101010101*2.41906008399041</f>
        <v>2.4434950343337473E-2</v>
      </c>
      <c r="I17418">
        <v>2.4434950343337519E-2</v>
      </c>
    </row>
    <row r="17419" spans="1:9" x14ac:dyDescent="0.25">
      <c r="A17419">
        <v>548</v>
      </c>
      <c r="B17419" t="s">
        <v>4352</v>
      </c>
      <c r="C17419" t="s">
        <v>10</v>
      </c>
      <c r="D17419" t="s">
        <v>237</v>
      </c>
      <c r="E17419">
        <f>1/99</f>
        <v>1.0101010101010102E-2</v>
      </c>
      <c r="F17419">
        <v>138</v>
      </c>
      <c r="G17419">
        <f>LOG(382/(138+1))</f>
        <v>0.43904856265761361</v>
      </c>
      <c r="H17419">
        <f>0.0101010101010101*1.01094667547588</f>
        <v>1.0211582580564444E-2</v>
      </c>
      <c r="I17419">
        <v>1.021158258056448E-2</v>
      </c>
    </row>
    <row r="17420" spans="1:9" x14ac:dyDescent="0.25">
      <c r="A17420">
        <v>548</v>
      </c>
      <c r="B17420" t="s">
        <v>4352</v>
      </c>
      <c r="C17420" t="s">
        <v>10</v>
      </c>
      <c r="D17420" t="s">
        <v>477</v>
      </c>
      <c r="E17420">
        <f>1/99</f>
        <v>1.0101010101010102E-2</v>
      </c>
      <c r="F17420">
        <v>17</v>
      </c>
      <c r="G17420">
        <f>LOG(382/(17+1))</f>
        <v>1.3267908578084027</v>
      </c>
      <c r="H17420">
        <f>0.0101010101010101*3.05504885071041</f>
        <v>3.0859079300105147E-2</v>
      </c>
      <c r="I17420">
        <v>3.0859079300105161E-2</v>
      </c>
    </row>
    <row r="17421" spans="1:9" x14ac:dyDescent="0.25">
      <c r="A17421">
        <v>548</v>
      </c>
      <c r="B17421" t="s">
        <v>4352</v>
      </c>
      <c r="C17421" t="s">
        <v>10</v>
      </c>
      <c r="D17421" t="s">
        <v>40</v>
      </c>
      <c r="E17421">
        <f>5/99</f>
        <v>5.0505050505050504E-2</v>
      </c>
      <c r="F17421">
        <v>159</v>
      </c>
      <c r="G17421">
        <f>LOG(382/(159+1))</f>
        <v>0.377943380255784</v>
      </c>
      <c r="H17421">
        <f>0.0505050505050505*0.870246793372748</f>
        <v>4.3951858251148883E-2</v>
      </c>
      <c r="I17421">
        <v>4.3951858251148897E-2</v>
      </c>
    </row>
    <row r="17422" spans="1:9" x14ac:dyDescent="0.25">
      <c r="A17422">
        <v>548</v>
      </c>
      <c r="B17422" t="s">
        <v>4352</v>
      </c>
      <c r="C17422" t="s">
        <v>10</v>
      </c>
      <c r="D17422" t="s">
        <v>41</v>
      </c>
      <c r="E17422">
        <f>5/99</f>
        <v>5.0505050505050504E-2</v>
      </c>
      <c r="F17422">
        <v>195</v>
      </c>
      <c r="G17422">
        <f>LOG(382/(195+1))</f>
        <v>0.28980729155523272</v>
      </c>
      <c r="H17422">
        <f>0.0505050505050505*0.667305949376058</f>
        <v>3.3702320675558478E-2</v>
      </c>
      <c r="I17422">
        <v>3.3702320675558492E-2</v>
      </c>
    </row>
    <row r="17423" spans="1:9" x14ac:dyDescent="0.25">
      <c r="A17423">
        <v>548</v>
      </c>
      <c r="B17423" t="s">
        <v>4352</v>
      </c>
      <c r="C17423" t="s">
        <v>10</v>
      </c>
      <c r="D17423" t="s">
        <v>485</v>
      </c>
      <c r="E17423">
        <f>1/99</f>
        <v>1.0101010101010102E-2</v>
      </c>
      <c r="F17423">
        <v>74</v>
      </c>
      <c r="G17423">
        <f>LOG(382/(74+1))</f>
        <v>0.7070020995200087</v>
      </c>
      <c r="H17423">
        <f>0.0101010101010101*1.62793249507026</f>
        <v>1.644376257646727E-2</v>
      </c>
      <c r="I17423">
        <v>1.6443762576467319E-2</v>
      </c>
    </row>
    <row r="17424" spans="1:9" x14ac:dyDescent="0.25">
      <c r="A17424">
        <v>548</v>
      </c>
      <c r="B17424" t="s">
        <v>4352</v>
      </c>
      <c r="C17424" t="s">
        <v>10</v>
      </c>
      <c r="D17424" t="s">
        <v>76</v>
      </c>
      <c r="E17424">
        <f>1/99</f>
        <v>1.0101010101010102E-2</v>
      </c>
      <c r="F17424">
        <v>140</v>
      </c>
      <c r="G17424">
        <f>LOG(382/(140+1))</f>
        <v>0.43284425025632883</v>
      </c>
      <c r="H17424">
        <f>0.0101010101010101*0.996660718228407</f>
        <v>1.006727998210512E-2</v>
      </c>
      <c r="I17424">
        <v>1.006727998210512E-2</v>
      </c>
    </row>
    <row r="17425" spans="1:9" x14ac:dyDescent="0.25">
      <c r="A17425">
        <v>548</v>
      </c>
      <c r="B17425" t="s">
        <v>4352</v>
      </c>
      <c r="C17425" t="s">
        <v>10</v>
      </c>
      <c r="D17425" t="s">
        <v>1608</v>
      </c>
      <c r="E17425">
        <f>1/99</f>
        <v>1.0101010101010102E-2</v>
      </c>
      <c r="F17425">
        <v>13</v>
      </c>
      <c r="G17425">
        <f>LOG(382/(13+1))</f>
        <v>1.4359353272334707</v>
      </c>
      <c r="H17425">
        <f>0.0101010101010101*3.30636327899131</f>
        <v>3.3397608878700101E-2</v>
      </c>
      <c r="I17425">
        <v>3.339760887870017E-2</v>
      </c>
    </row>
    <row r="17426" spans="1:9" x14ac:dyDescent="0.25">
      <c r="A17426">
        <v>548</v>
      </c>
      <c r="B17426" t="s">
        <v>4352</v>
      </c>
      <c r="C17426" t="s">
        <v>10</v>
      </c>
      <c r="D17426" t="s">
        <v>1230</v>
      </c>
      <c r="E17426">
        <f>1/99</f>
        <v>1.0101010101010102E-2</v>
      </c>
      <c r="F17426">
        <v>10</v>
      </c>
      <c r="G17426">
        <f>LOG(382/(10+1))</f>
        <v>1.5406706777534838</v>
      </c>
      <c r="H17426">
        <f>0.0101010101010101*3.5475253358082</f>
        <v>3.5833589250587876E-2</v>
      </c>
      <c r="I17426">
        <v>3.5833589250587931E-2</v>
      </c>
    </row>
    <row r="17427" spans="1:9" x14ac:dyDescent="0.25">
      <c r="A17427">
        <v>548</v>
      </c>
      <c r="B17427" t="s">
        <v>4352</v>
      </c>
      <c r="C17427" t="s">
        <v>10</v>
      </c>
      <c r="D17427" t="s">
        <v>15</v>
      </c>
      <c r="E17427">
        <f>2/99</f>
        <v>2.0202020202020204E-2</v>
      </c>
      <c r="F17427">
        <v>112</v>
      </c>
      <c r="G17427">
        <f>LOG(382/(112+1))</f>
        <v>0.52898491942828896</v>
      </c>
      <c r="H17427">
        <f>0.0202020202020202*1.21803278989423</f>
        <v>2.4606723028166261E-2</v>
      </c>
      <c r="I17427">
        <v>2.4606723028166359E-2</v>
      </c>
    </row>
    <row r="17428" spans="1:9" x14ac:dyDescent="0.25">
      <c r="A17428">
        <v>548</v>
      </c>
      <c r="B17428" t="s">
        <v>4352</v>
      </c>
      <c r="C17428" t="s">
        <v>10</v>
      </c>
      <c r="D17428" t="s">
        <v>3013</v>
      </c>
      <c r="E17428">
        <f>2/99</f>
        <v>2.0202020202020204E-2</v>
      </c>
      <c r="F17428">
        <v>2</v>
      </c>
      <c r="G17428">
        <f>LOG(382/(2+1))</f>
        <v>2.1049421081920463</v>
      </c>
      <c r="H17428">
        <f>0.0202020202020202*4.84680831993846</f>
        <v>9.791531959471636E-2</v>
      </c>
      <c r="I17428">
        <v>9.7915319594716485E-2</v>
      </c>
    </row>
    <row r="17429" spans="1:9" x14ac:dyDescent="0.25">
      <c r="A17429">
        <v>548</v>
      </c>
      <c r="B17429" t="s">
        <v>4352</v>
      </c>
      <c r="C17429" t="s">
        <v>10</v>
      </c>
      <c r="D17429" t="s">
        <v>70</v>
      </c>
      <c r="E17429">
        <f t="shared" ref="E17429:E17437" si="825">1/99</f>
        <v>1.0101010101010102E-2</v>
      </c>
      <c r="F17429">
        <v>44</v>
      </c>
      <c r="G17429">
        <f>LOG(382/(44+1))</f>
        <v>0.92885084913636506</v>
      </c>
      <c r="H17429">
        <f>0.0101010101010101*2.13875811883625</f>
        <v>2.1603617361982321E-2</v>
      </c>
      <c r="I17429">
        <v>2.160361736198238E-2</v>
      </c>
    </row>
    <row r="17430" spans="1:9" x14ac:dyDescent="0.25">
      <c r="A17430">
        <v>548</v>
      </c>
      <c r="B17430" t="s">
        <v>4352</v>
      </c>
      <c r="C17430" t="s">
        <v>10</v>
      </c>
      <c r="D17430" t="s">
        <v>38</v>
      </c>
      <c r="E17430">
        <f t="shared" si="825"/>
        <v>1.0101010101010102E-2</v>
      </c>
      <c r="F17430">
        <v>86</v>
      </c>
      <c r="G17430">
        <f>LOG(382/(86+1))</f>
        <v>0.64254411029309022</v>
      </c>
      <c r="H17430">
        <f>0.0101010101010101*1.47951248995199</f>
        <v>1.4944570605575656E-2</v>
      </c>
      <c r="I17430">
        <v>1.494457060557567E-2</v>
      </c>
    </row>
    <row r="17431" spans="1:9" x14ac:dyDescent="0.25">
      <c r="A17431">
        <v>548</v>
      </c>
      <c r="B17431" t="s">
        <v>4352</v>
      </c>
      <c r="C17431" t="s">
        <v>10</v>
      </c>
      <c r="D17431" t="s">
        <v>593</v>
      </c>
      <c r="E17431">
        <f t="shared" si="825"/>
        <v>1.0101010101010102E-2</v>
      </c>
      <c r="F17431">
        <v>30</v>
      </c>
      <c r="G17431">
        <f>LOG(382/(30+1))</f>
        <v>1.090701669077436</v>
      </c>
      <c r="H17431">
        <f>0.0101010101010101*2.51143340412142</f>
        <v>2.5368014183044647E-2</v>
      </c>
      <c r="I17431">
        <v>2.536801418304474E-2</v>
      </c>
    </row>
    <row r="17432" spans="1:9" x14ac:dyDescent="0.25">
      <c r="A17432">
        <v>548</v>
      </c>
      <c r="B17432" t="s">
        <v>4352</v>
      </c>
      <c r="C17432" t="s">
        <v>10</v>
      </c>
      <c r="D17432" t="s">
        <v>938</v>
      </c>
      <c r="E17432">
        <f t="shared" si="825"/>
        <v>1.0101010101010102E-2</v>
      </c>
      <c r="F17432">
        <v>6</v>
      </c>
      <c r="G17432">
        <f>LOG(382/(6+1))</f>
        <v>1.736965322897452</v>
      </c>
      <c r="H17432">
        <f>0.0101010101010101*3.99951045955126</f>
        <v>4.0399095551022828E-2</v>
      </c>
      <c r="I17432">
        <v>4.0399095551022848E-2</v>
      </c>
    </row>
    <row r="17433" spans="1:9" x14ac:dyDescent="0.25">
      <c r="A17433">
        <v>548</v>
      </c>
      <c r="B17433" t="s">
        <v>4352</v>
      </c>
      <c r="C17433" t="s">
        <v>10</v>
      </c>
      <c r="D17433" t="s">
        <v>120</v>
      </c>
      <c r="E17433">
        <f t="shared" si="825"/>
        <v>1.0101010101010102E-2</v>
      </c>
      <c r="F17433">
        <v>8</v>
      </c>
      <c r="G17433">
        <f>LOG(382/(8+1))</f>
        <v>1.6278208534723839</v>
      </c>
      <c r="H17433">
        <f>0.0101010101010101*3.74819603127035</f>
        <v>3.7860565972427776E-2</v>
      </c>
      <c r="I17433">
        <v>3.7860565972427838E-2</v>
      </c>
    </row>
    <row r="17434" spans="1:9" x14ac:dyDescent="0.25">
      <c r="A17434">
        <v>548</v>
      </c>
      <c r="B17434" t="s">
        <v>4352</v>
      </c>
      <c r="C17434" t="s">
        <v>10</v>
      </c>
      <c r="D17434" t="s">
        <v>134</v>
      </c>
      <c r="E17434">
        <f t="shared" si="825"/>
        <v>1.0101010101010102E-2</v>
      </c>
      <c r="F17434">
        <v>21</v>
      </c>
      <c r="G17434">
        <f>LOG(382/(21+1))</f>
        <v>1.2396406820895025</v>
      </c>
      <c r="H17434">
        <f>0.0101010101010101*2.85437815524825</f>
        <v>2.8832102578265149E-2</v>
      </c>
      <c r="I17434">
        <v>2.883210257826525E-2</v>
      </c>
    </row>
    <row r="17435" spans="1:9" x14ac:dyDescent="0.25">
      <c r="A17435">
        <v>548</v>
      </c>
      <c r="B17435" t="s">
        <v>4352</v>
      </c>
      <c r="C17435" t="s">
        <v>10</v>
      </c>
      <c r="D17435" t="s">
        <v>136</v>
      </c>
      <c r="E17435">
        <f t="shared" si="825"/>
        <v>1.0101010101010102E-2</v>
      </c>
      <c r="F17435">
        <v>17</v>
      </c>
      <c r="G17435">
        <f>LOG(382/(17+1))</f>
        <v>1.3267908578084027</v>
      </c>
      <c r="H17435">
        <f>0.0101010101010101*3.05504885071041</f>
        <v>3.0859079300105147E-2</v>
      </c>
      <c r="I17435">
        <v>3.0859079300105161E-2</v>
      </c>
    </row>
    <row r="17436" spans="1:9" x14ac:dyDescent="0.25">
      <c r="A17436">
        <v>548</v>
      </c>
      <c r="B17436" t="s">
        <v>4352</v>
      </c>
      <c r="C17436" t="s">
        <v>10</v>
      </c>
      <c r="D17436" t="s">
        <v>939</v>
      </c>
      <c r="E17436">
        <f t="shared" si="825"/>
        <v>1.0101010101010102E-2</v>
      </c>
      <c r="F17436">
        <v>35</v>
      </c>
      <c r="G17436">
        <f>LOG(382/(35+1))</f>
        <v>1.0257608621444214</v>
      </c>
      <c r="H17436">
        <f>0.0101010101010101*2.36190167015046</f>
        <v>2.3857592627782424E-2</v>
      </c>
      <c r="I17436">
        <v>2.3857592627782479E-2</v>
      </c>
    </row>
    <row r="17437" spans="1:9" x14ac:dyDescent="0.25">
      <c r="A17437">
        <v>548</v>
      </c>
      <c r="B17437" t="s">
        <v>4352</v>
      </c>
      <c r="C17437" t="s">
        <v>10</v>
      </c>
      <c r="D17437" t="s">
        <v>1977</v>
      </c>
      <c r="E17437">
        <f t="shared" si="825"/>
        <v>1.0101010101010102E-2</v>
      </c>
      <c r="F17437">
        <v>2</v>
      </c>
      <c r="G17437">
        <f>LOG(382/(2+1))</f>
        <v>2.1049421081920463</v>
      </c>
      <c r="H17437">
        <f>0.0101010101010101*4.84680831993846</f>
        <v>4.895765979735818E-2</v>
      </c>
      <c r="I17437">
        <v>4.8957659797358243E-2</v>
      </c>
    </row>
    <row r="17438" spans="1:9" x14ac:dyDescent="0.25">
      <c r="A17438">
        <v>548</v>
      </c>
      <c r="B17438" t="s">
        <v>4352</v>
      </c>
      <c r="C17438" t="s">
        <v>10</v>
      </c>
      <c r="D17438" t="s">
        <v>147</v>
      </c>
      <c r="E17438">
        <f>3/99</f>
        <v>3.0303030303030304E-2</v>
      </c>
      <c r="F17438">
        <v>48</v>
      </c>
      <c r="G17438">
        <f>LOG(382/(48+1))</f>
        <v>0.89186728288319506</v>
      </c>
      <c r="H17438">
        <f>0.0303030303030303*2.05360031049594</f>
        <v>6.22303124392709E-2</v>
      </c>
      <c r="I17438">
        <v>6.2230312439271178E-2</v>
      </c>
    </row>
    <row r="17439" spans="1:9" x14ac:dyDescent="0.25">
      <c r="A17439">
        <v>548</v>
      </c>
      <c r="B17439" t="s">
        <v>4352</v>
      </c>
      <c r="C17439" t="s">
        <v>10</v>
      </c>
      <c r="D17439" t="s">
        <v>218</v>
      </c>
      <c r="E17439">
        <f>1/99</f>
        <v>1.0101010101010102E-2</v>
      </c>
      <c r="F17439">
        <v>35</v>
      </c>
      <c r="G17439">
        <f>LOG(382/(35+1))</f>
        <v>1.0257608621444214</v>
      </c>
      <c r="H17439">
        <f>0.0101010101010101*2.36190167015046</f>
        <v>2.3857592627782424E-2</v>
      </c>
      <c r="I17439">
        <v>2.3857592627782479E-2</v>
      </c>
    </row>
    <row r="17440" spans="1:9" x14ac:dyDescent="0.25">
      <c r="A17440">
        <v>548</v>
      </c>
      <c r="B17440" t="s">
        <v>4352</v>
      </c>
      <c r="C17440" t="s">
        <v>10</v>
      </c>
      <c r="D17440" t="s">
        <v>432</v>
      </c>
      <c r="E17440">
        <f>1/99</f>
        <v>1.0101010101010102E-2</v>
      </c>
      <c r="F17440">
        <v>67</v>
      </c>
      <c r="G17440">
        <f>LOG(382/(67+1))</f>
        <v>0.7495544502054724</v>
      </c>
      <c r="H17440">
        <f>0.0101010101010101*1.72591290343046</f>
        <v>1.7433463671014747E-2</v>
      </c>
      <c r="I17440">
        <v>1.743346367101483E-2</v>
      </c>
    </row>
    <row r="17441" spans="1:9" x14ac:dyDescent="0.25">
      <c r="A17441">
        <v>548</v>
      </c>
      <c r="B17441" t="s">
        <v>4352</v>
      </c>
      <c r="C17441" t="s">
        <v>10</v>
      </c>
      <c r="D17441" t="s">
        <v>1473</v>
      </c>
      <c r="E17441">
        <f>2/99</f>
        <v>2.0202020202020204E-2</v>
      </c>
      <c r="F17441">
        <v>39</v>
      </c>
      <c r="G17441">
        <f>LOG(382/(39+1))</f>
        <v>0.9800033715837464</v>
      </c>
      <c r="H17441">
        <f>0.0202020202020202*2.25654115449263</f>
        <v>4.5586689989750101E-2</v>
      </c>
      <c r="I17441">
        <v>4.5586689989750288E-2</v>
      </c>
    </row>
    <row r="17442" spans="1:9" x14ac:dyDescent="0.25">
      <c r="A17442">
        <v>548</v>
      </c>
      <c r="B17442" t="s">
        <v>4352</v>
      </c>
      <c r="C17442" t="s">
        <v>10</v>
      </c>
      <c r="D17442" t="s">
        <v>56</v>
      </c>
      <c r="E17442">
        <f>1/99</f>
        <v>1.0101010101010102E-2</v>
      </c>
      <c r="F17442">
        <v>4</v>
      </c>
      <c r="G17442">
        <f>LOG(382/(4+1))</f>
        <v>1.8830933585756899</v>
      </c>
      <c r="H17442">
        <f>0.0101010101010101*4.33598269617247</f>
        <v>4.3797805011843133E-2</v>
      </c>
      <c r="I17442">
        <v>4.3797805011843181E-2</v>
      </c>
    </row>
    <row r="17443" spans="1:9" x14ac:dyDescent="0.25">
      <c r="A17443">
        <v>548</v>
      </c>
      <c r="B17443" t="s">
        <v>4352</v>
      </c>
      <c r="C17443" t="s">
        <v>10</v>
      </c>
      <c r="D17443" t="s">
        <v>361</v>
      </c>
      <c r="E17443">
        <f>2/99</f>
        <v>2.0202020202020204E-2</v>
      </c>
      <c r="F17443">
        <v>118</v>
      </c>
      <c r="G17443">
        <f>LOG(382/(118+1))</f>
        <v>0.50651640151917798</v>
      </c>
      <c r="H17443">
        <f>0.0202020202020202*1.16629711549504</f>
        <v>2.3561557888788682E-2</v>
      </c>
      <c r="I17443">
        <v>2.356155788878881E-2</v>
      </c>
    </row>
    <row r="17444" spans="1:9" x14ac:dyDescent="0.25">
      <c r="A17444">
        <v>548</v>
      </c>
      <c r="B17444" t="s">
        <v>4352</v>
      </c>
      <c r="C17444" t="s">
        <v>10</v>
      </c>
      <c r="D17444" t="s">
        <v>1475</v>
      </c>
      <c r="E17444">
        <f>1/99</f>
        <v>1.0101010101010102E-2</v>
      </c>
      <c r="F17444">
        <v>2</v>
      </c>
      <c r="G17444">
        <f>LOG(382/(2+1))</f>
        <v>2.1049421081920463</v>
      </c>
      <c r="H17444">
        <f>0.0101010101010101*4.84680831993846</f>
        <v>4.895765979735818E-2</v>
      </c>
      <c r="I17444">
        <v>4.8957659797358243E-2</v>
      </c>
    </row>
    <row r="17445" spans="1:9" x14ac:dyDescent="0.25">
      <c r="A17445">
        <v>548</v>
      </c>
      <c r="B17445" t="s">
        <v>4352</v>
      </c>
      <c r="C17445" t="s">
        <v>10</v>
      </c>
      <c r="D17445" t="s">
        <v>1465</v>
      </c>
      <c r="E17445">
        <f>2/99</f>
        <v>2.0202020202020204E-2</v>
      </c>
      <c r="F17445">
        <v>5</v>
      </c>
      <c r="G17445">
        <f>LOG(382/(5+1))</f>
        <v>1.803912112528065</v>
      </c>
      <c r="H17445">
        <f>0.0202020202020202*4.15366113937852</f>
        <v>8.3912346250071101E-2</v>
      </c>
      <c r="I17445">
        <v>8.3912346250071115E-2</v>
      </c>
    </row>
    <row r="17446" spans="1:9" x14ac:dyDescent="0.25">
      <c r="A17446">
        <v>548</v>
      </c>
      <c r="B17446" t="s">
        <v>4352</v>
      </c>
      <c r="C17446" t="s">
        <v>10</v>
      </c>
      <c r="D17446" t="s">
        <v>119</v>
      </c>
      <c r="E17446">
        <f>1/99</f>
        <v>1.0101010101010102E-2</v>
      </c>
      <c r="F17446">
        <v>79</v>
      </c>
      <c r="G17446">
        <f>LOG(382/(79+1))</f>
        <v>0.67897337591976514</v>
      </c>
      <c r="H17446">
        <f>0.0101010101010101*1.56339397393269</f>
        <v>1.5791858322552425E-2</v>
      </c>
      <c r="I17446">
        <v>1.5791858322552459E-2</v>
      </c>
    </row>
    <row r="17447" spans="1:9" x14ac:dyDescent="0.25">
      <c r="A17447">
        <v>548</v>
      </c>
      <c r="B17447" t="s">
        <v>4352</v>
      </c>
      <c r="C17447" t="s">
        <v>10</v>
      </c>
      <c r="D17447" t="s">
        <v>4306</v>
      </c>
      <c r="E17447">
        <f>1/99</f>
        <v>1.0101010101010102E-2</v>
      </c>
      <c r="F17447">
        <v>4</v>
      </c>
      <c r="G17447">
        <f>LOG(382/(4+1))</f>
        <v>1.8830933585756899</v>
      </c>
      <c r="H17447">
        <f>0.0101010101010101*4.33598269617247</f>
        <v>4.3797805011843133E-2</v>
      </c>
      <c r="I17447">
        <v>4.3797805011843181E-2</v>
      </c>
    </row>
    <row r="17448" spans="1:9" x14ac:dyDescent="0.25">
      <c r="A17448">
        <v>548</v>
      </c>
      <c r="B17448" t="s">
        <v>4352</v>
      </c>
      <c r="C17448" t="s">
        <v>10</v>
      </c>
      <c r="D17448" t="s">
        <v>869</v>
      </c>
      <c r="E17448">
        <f>2/99</f>
        <v>2.0202020202020204E-2</v>
      </c>
      <c r="F17448">
        <v>3</v>
      </c>
      <c r="G17448">
        <f>LOG(382/(3+1))</f>
        <v>1.9800033715837464</v>
      </c>
      <c r="H17448">
        <f>0.0202020202020202*4.55912624748668</f>
        <v>9.2103560555286457E-2</v>
      </c>
      <c r="I17448">
        <v>9.2103560555286568E-2</v>
      </c>
    </row>
    <row r="17449" spans="1:9" x14ac:dyDescent="0.25">
      <c r="A17449">
        <v>548</v>
      </c>
      <c r="B17449" t="s">
        <v>4352</v>
      </c>
      <c r="C17449" t="s">
        <v>10</v>
      </c>
      <c r="D17449" t="s">
        <v>1953</v>
      </c>
      <c r="E17449">
        <f t="shared" ref="E17449:E17454" si="826">1/99</f>
        <v>1.0101010101010102E-2</v>
      </c>
      <c r="F17449">
        <v>11</v>
      </c>
      <c r="G17449">
        <f>LOG(382/(11+1))</f>
        <v>1.5028821168640838</v>
      </c>
      <c r="H17449">
        <f>0.0101010101010101*3.46051395881857</f>
        <v>3.4954686452712824E-2</v>
      </c>
      <c r="I17449">
        <v>3.495468645271288E-2</v>
      </c>
    </row>
    <row r="17450" spans="1:9" x14ac:dyDescent="0.25">
      <c r="A17450">
        <v>548</v>
      </c>
      <c r="B17450" t="s">
        <v>4352</v>
      </c>
      <c r="C17450" t="s">
        <v>10</v>
      </c>
      <c r="D17450" t="s">
        <v>340</v>
      </c>
      <c r="E17450">
        <f t="shared" si="826"/>
        <v>1.0101010101010102E-2</v>
      </c>
      <c r="F17450">
        <v>28</v>
      </c>
      <c r="G17450">
        <f>LOG(382/(28+1))</f>
        <v>1.1196653650127526</v>
      </c>
      <c r="H17450">
        <f>0.0101010101010101*2.5781247786201</f>
        <v>2.6041664430506057E-2</v>
      </c>
      <c r="I17450">
        <v>2.6041664430506071E-2</v>
      </c>
    </row>
    <row r="17451" spans="1:9" x14ac:dyDescent="0.25">
      <c r="A17451">
        <v>548</v>
      </c>
      <c r="B17451" t="s">
        <v>4352</v>
      </c>
      <c r="C17451" t="s">
        <v>10</v>
      </c>
      <c r="D17451" t="s">
        <v>600</v>
      </c>
      <c r="E17451">
        <f t="shared" si="826"/>
        <v>1.0101010101010102E-2</v>
      </c>
      <c r="F17451">
        <v>102</v>
      </c>
      <c r="G17451">
        <f>LOG(382/(102+1))</f>
        <v>0.56922613820653656</v>
      </c>
      <c r="H17451">
        <f>0.0101010101010101*1.31069162037693</f>
        <v>1.3239309296736666E-2</v>
      </c>
      <c r="I17451">
        <v>1.323930929673676E-2</v>
      </c>
    </row>
    <row r="17452" spans="1:9" x14ac:dyDescent="0.25">
      <c r="A17452">
        <v>548</v>
      </c>
      <c r="B17452" t="s">
        <v>4352</v>
      </c>
      <c r="C17452" t="s">
        <v>10</v>
      </c>
      <c r="D17452" t="s">
        <v>2431</v>
      </c>
      <c r="E17452">
        <f t="shared" si="826"/>
        <v>1.0101010101010102E-2</v>
      </c>
      <c r="F17452">
        <v>12</v>
      </c>
      <c r="G17452">
        <f>LOG(382/(12+1))</f>
        <v>1.468120010604872</v>
      </c>
      <c r="H17452">
        <f>0.0101010101010101*3.38047125114503</f>
        <v>3.4146174253990198E-2</v>
      </c>
      <c r="I17452">
        <v>3.4146174253990288E-2</v>
      </c>
    </row>
    <row r="17453" spans="1:9" x14ac:dyDescent="0.25">
      <c r="A17453">
        <v>548</v>
      </c>
      <c r="B17453" t="s">
        <v>4352</v>
      </c>
      <c r="C17453" t="s">
        <v>10</v>
      </c>
      <c r="D17453" t="s">
        <v>542</v>
      </c>
      <c r="E17453">
        <f t="shared" si="826"/>
        <v>1.0101010101010102E-2</v>
      </c>
      <c r="F17453">
        <v>42</v>
      </c>
      <c r="G17453">
        <f>LOG(382/(42+1))</f>
        <v>0.94859490733212215</v>
      </c>
      <c r="H17453">
        <f>0.0101010101010101*2.18422049291301</f>
        <v>2.2062833261747572E-2</v>
      </c>
      <c r="I17453">
        <v>2.206283326174761E-2</v>
      </c>
    </row>
    <row r="17454" spans="1:9" x14ac:dyDescent="0.25">
      <c r="A17454">
        <v>548</v>
      </c>
      <c r="B17454" t="s">
        <v>4352</v>
      </c>
      <c r="C17454" t="s">
        <v>10</v>
      </c>
      <c r="D17454" t="s">
        <v>144</v>
      </c>
      <c r="E17454">
        <f t="shared" si="826"/>
        <v>1.0101010101010102E-2</v>
      </c>
      <c r="F17454">
        <v>105</v>
      </c>
      <c r="G17454">
        <f>LOG(382/(105+1))</f>
        <v>0.55675749764693849</v>
      </c>
      <c r="H17454">
        <f>0.0101010101010101*1.2819815144945</f>
        <v>1.294930822721717E-2</v>
      </c>
      <c r="I17454">
        <v>1.294930822721725E-2</v>
      </c>
    </row>
    <row r="17455" spans="1:9" x14ac:dyDescent="0.25">
      <c r="A17455">
        <v>549</v>
      </c>
      <c r="B17455" t="s">
        <v>4354</v>
      </c>
      <c r="C17455" t="s">
        <v>48</v>
      </c>
      <c r="D17455" t="s">
        <v>4355</v>
      </c>
      <c r="E17455">
        <f>2/52</f>
        <v>3.8461538461538464E-2</v>
      </c>
      <c r="F17455">
        <v>1</v>
      </c>
      <c r="G17455">
        <f>LOG(382/(1+1))</f>
        <v>2.2810333672477277</v>
      </c>
      <c r="H17455">
        <f>0.0384615384615384*5.25227342804663</f>
        <v>0.2020105164633316</v>
      </c>
      <c r="I17455">
        <v>0.2020105164633319</v>
      </c>
    </row>
    <row r="17456" spans="1:9" x14ac:dyDescent="0.25">
      <c r="A17456">
        <v>549</v>
      </c>
      <c r="B17456" t="s">
        <v>4354</v>
      </c>
      <c r="C17456" t="s">
        <v>48</v>
      </c>
      <c r="D17456" t="s">
        <v>38</v>
      </c>
      <c r="E17456">
        <f>1/52</f>
        <v>1.9230769230769232E-2</v>
      </c>
      <c r="F17456">
        <v>86</v>
      </c>
      <c r="G17456">
        <f>LOG(382/(86+1))</f>
        <v>0.64254411029309022</v>
      </c>
      <c r="H17456">
        <f>0.0192307692307692*1.47951248995199</f>
        <v>2.8452163268307455E-2</v>
      </c>
      <c r="I17456">
        <v>2.8452163268307532E-2</v>
      </c>
    </row>
    <row r="17457" spans="1:9" x14ac:dyDescent="0.25">
      <c r="A17457">
        <v>549</v>
      </c>
      <c r="B17457" t="s">
        <v>4354</v>
      </c>
      <c r="C17457" t="s">
        <v>48</v>
      </c>
      <c r="D17457" t="s">
        <v>247</v>
      </c>
      <c r="E17457">
        <f>1/52</f>
        <v>1.9230769230769232E-2</v>
      </c>
      <c r="F17457">
        <v>121</v>
      </c>
      <c r="G17457">
        <f>LOG(382/(121+1))</f>
        <v>0.49570353223696051</v>
      </c>
      <c r="H17457">
        <f>0.0192307692307692*1.14139956387331</f>
        <v>2.1949991612948236E-2</v>
      </c>
      <c r="I17457">
        <v>2.1949991612948441E-2</v>
      </c>
    </row>
    <row r="17458" spans="1:9" x14ac:dyDescent="0.25">
      <c r="A17458">
        <v>549</v>
      </c>
      <c r="B17458" t="s">
        <v>4354</v>
      </c>
      <c r="C17458" t="s">
        <v>48</v>
      </c>
      <c r="D17458" t="s">
        <v>313</v>
      </c>
      <c r="E17458">
        <f>1/52</f>
        <v>1.9230769230769232E-2</v>
      </c>
      <c r="F17458">
        <v>13</v>
      </c>
      <c r="G17458">
        <f>LOG(382/(13+1))</f>
        <v>1.4359353272334707</v>
      </c>
      <c r="H17458">
        <f>0.0192307692307692*3.30636327899131</f>
        <v>6.3583909211371248E-2</v>
      </c>
      <c r="I17458">
        <v>6.358390921137147E-2</v>
      </c>
    </row>
    <row r="17459" spans="1:9" x14ac:dyDescent="0.25">
      <c r="A17459">
        <v>549</v>
      </c>
      <c r="B17459" t="s">
        <v>4354</v>
      </c>
      <c r="C17459" t="s">
        <v>48</v>
      </c>
      <c r="D17459" t="s">
        <v>19</v>
      </c>
      <c r="E17459">
        <f>2/52</f>
        <v>3.8461538461538464E-2</v>
      </c>
      <c r="F17459">
        <v>220</v>
      </c>
      <c r="G17459">
        <f>LOG(382/(220+1))</f>
        <v>0.23767108922659805</v>
      </c>
      <c r="H17459">
        <f>0.0384615384615384*0.547257907088822</f>
        <v>2.1048381041877739E-2</v>
      </c>
      <c r="I17459">
        <v>2.104838104187778E-2</v>
      </c>
    </row>
    <row r="17460" spans="1:9" x14ac:dyDescent="0.25">
      <c r="A17460">
        <v>549</v>
      </c>
      <c r="B17460" t="s">
        <v>4354</v>
      </c>
      <c r="C17460" t="s">
        <v>48</v>
      </c>
      <c r="D17460" t="s">
        <v>41</v>
      </c>
      <c r="E17460">
        <f>2/52</f>
        <v>3.8461538461538464E-2</v>
      </c>
      <c r="F17460">
        <v>195</v>
      </c>
      <c r="G17460">
        <f>LOG(382/(195+1))</f>
        <v>0.28980729155523272</v>
      </c>
      <c r="H17460">
        <f>0.0384615384615384*0.667305949376058</f>
        <v>2.5665613437540653E-2</v>
      </c>
      <c r="I17460">
        <v>2.5665613437540691E-2</v>
      </c>
    </row>
    <row r="17461" spans="1:9" x14ac:dyDescent="0.25">
      <c r="A17461">
        <v>549</v>
      </c>
      <c r="B17461" t="s">
        <v>4354</v>
      </c>
      <c r="C17461" t="s">
        <v>48</v>
      </c>
      <c r="D17461" t="s">
        <v>44</v>
      </c>
      <c r="E17461">
        <f>1/52</f>
        <v>1.9230769230769232E-2</v>
      </c>
      <c r="F17461">
        <v>151</v>
      </c>
      <c r="G17461">
        <f>LOG(382/(151+1))</f>
        <v>0.40021977496693617</v>
      </c>
      <c r="H17461">
        <f>0.0192307692307692*0.921540087760298</f>
        <v>1.7721924764621089E-2</v>
      </c>
      <c r="I17461">
        <v>1.772192476462113E-2</v>
      </c>
    </row>
    <row r="17462" spans="1:9" x14ac:dyDescent="0.25">
      <c r="A17462">
        <v>549</v>
      </c>
      <c r="B17462" t="s">
        <v>4354</v>
      </c>
      <c r="C17462" t="s">
        <v>48</v>
      </c>
      <c r="D17462" t="s">
        <v>17</v>
      </c>
      <c r="E17462">
        <f>1/52</f>
        <v>1.9230769230769232E-2</v>
      </c>
      <c r="F17462">
        <v>169</v>
      </c>
      <c r="G17462">
        <f>LOG(382/(169+1))</f>
        <v>0.3516144415334348</v>
      </c>
      <c r="H17462">
        <f>0.0192307692307692*0.809622171556313</f>
        <v>1.5569657145313687E-2</v>
      </c>
      <c r="I17462">
        <v>1.556965714531372E-2</v>
      </c>
    </row>
    <row r="17463" spans="1:9" x14ac:dyDescent="0.25">
      <c r="A17463">
        <v>549</v>
      </c>
      <c r="B17463" t="s">
        <v>4354</v>
      </c>
      <c r="C17463" t="s">
        <v>48</v>
      </c>
      <c r="D17463" t="s">
        <v>1838</v>
      </c>
      <c r="E17463">
        <f>1/52</f>
        <v>1.9230769230769232E-2</v>
      </c>
      <c r="F17463">
        <v>5</v>
      </c>
      <c r="G17463">
        <f>LOG(382/(5+1))</f>
        <v>1.803912112528065</v>
      </c>
      <c r="H17463">
        <f>0.0192307692307692*4.15366113937852</f>
        <v>7.9878098834202174E-2</v>
      </c>
      <c r="I17463">
        <v>7.9878098834202313E-2</v>
      </c>
    </row>
    <row r="17464" spans="1:9" x14ac:dyDescent="0.25">
      <c r="A17464">
        <v>549</v>
      </c>
      <c r="B17464" t="s">
        <v>4354</v>
      </c>
      <c r="C17464" t="s">
        <v>48</v>
      </c>
      <c r="D17464" t="s">
        <v>144</v>
      </c>
      <c r="E17464">
        <f>2/52</f>
        <v>3.8461538461538464E-2</v>
      </c>
      <c r="F17464">
        <v>105</v>
      </c>
      <c r="G17464">
        <f>LOG(382/(105+1))</f>
        <v>0.55675749764693849</v>
      </c>
      <c r="H17464">
        <f>0.0384615384615384*1.2819815144945</f>
        <v>4.9306981326711456E-2</v>
      </c>
      <c r="I17464">
        <v>4.9306981326711838E-2</v>
      </c>
    </row>
    <row r="17465" spans="1:9" x14ac:dyDescent="0.25">
      <c r="A17465">
        <v>549</v>
      </c>
      <c r="B17465" t="s">
        <v>4354</v>
      </c>
      <c r="C17465" t="s">
        <v>48</v>
      </c>
      <c r="D17465" t="s">
        <v>4356</v>
      </c>
      <c r="E17465">
        <f>1/52</f>
        <v>1.9230769230769232E-2</v>
      </c>
      <c r="F17465">
        <v>1</v>
      </c>
      <c r="G17465">
        <f>LOG(382/(1+1))</f>
        <v>2.2810333672477277</v>
      </c>
      <c r="H17465">
        <f>0.0192307692307692*5.25227342804663</f>
        <v>0.1010052582316658</v>
      </c>
      <c r="I17465">
        <v>0.10100525823166601</v>
      </c>
    </row>
    <row r="17466" spans="1:9" x14ac:dyDescent="0.25">
      <c r="A17466">
        <v>549</v>
      </c>
      <c r="B17466" t="s">
        <v>4354</v>
      </c>
      <c r="C17466" t="s">
        <v>48</v>
      </c>
      <c r="D17466" t="s">
        <v>1984</v>
      </c>
      <c r="E17466">
        <f>2/52</f>
        <v>3.8461538461538464E-2</v>
      </c>
      <c r="F17466">
        <v>7</v>
      </c>
      <c r="G17466">
        <f>LOG(382/(7+1))</f>
        <v>1.6789733759197651</v>
      </c>
      <c r="H17466">
        <f>0.0384615384615384*3.86597906692673</f>
        <v>0.14869150257410477</v>
      </c>
      <c r="I17466">
        <v>0.14869150257410529</v>
      </c>
    </row>
    <row r="17467" spans="1:9" x14ac:dyDescent="0.25">
      <c r="A17467">
        <v>549</v>
      </c>
      <c r="B17467" t="s">
        <v>4354</v>
      </c>
      <c r="C17467" t="s">
        <v>48</v>
      </c>
      <c r="D17467" t="s">
        <v>779</v>
      </c>
      <c r="E17467">
        <f>2/52</f>
        <v>3.8461538461538464E-2</v>
      </c>
      <c r="F17467">
        <v>25</v>
      </c>
      <c r="G17467">
        <f>LOG(382/(25+1))</f>
        <v>1.1670900149408907</v>
      </c>
      <c r="H17467">
        <f>0.0384615384615384*2.68732407058509</f>
        <v>0.10335861809942638</v>
      </c>
      <c r="I17467">
        <v>0.1033586180994267</v>
      </c>
    </row>
    <row r="17468" spans="1:9" x14ac:dyDescent="0.25">
      <c r="A17468">
        <v>549</v>
      </c>
      <c r="B17468" t="s">
        <v>4354</v>
      </c>
      <c r="C17468" t="s">
        <v>48</v>
      </c>
      <c r="D17468" t="s">
        <v>432</v>
      </c>
      <c r="E17468">
        <f t="shared" ref="E17468:E17473" si="827">1/52</f>
        <v>1.9230769230769232E-2</v>
      </c>
      <c r="F17468">
        <v>67</v>
      </c>
      <c r="G17468">
        <f>LOG(382/(67+1))</f>
        <v>0.7495544502054724</v>
      </c>
      <c r="H17468">
        <f>0.0192307692307692*1.72591290343046</f>
        <v>3.3190632758278028E-2</v>
      </c>
      <c r="I17468">
        <v>3.3190632758278243E-2</v>
      </c>
    </row>
    <row r="17469" spans="1:9" x14ac:dyDescent="0.25">
      <c r="A17469">
        <v>549</v>
      </c>
      <c r="B17469" t="s">
        <v>4354</v>
      </c>
      <c r="C17469" t="s">
        <v>48</v>
      </c>
      <c r="D17469" t="s">
        <v>168</v>
      </c>
      <c r="E17469">
        <f t="shared" si="827"/>
        <v>1.9230769230769232E-2</v>
      </c>
      <c r="F17469">
        <v>34</v>
      </c>
      <c r="G17469">
        <f>LOG(382/(34+1))</f>
        <v>1.037995318561433</v>
      </c>
      <c r="H17469">
        <f>0.0192307692307692*2.39007254711716</f>
        <v>4.5962933598406849E-2</v>
      </c>
      <c r="I17469">
        <v>4.5962933598406953E-2</v>
      </c>
    </row>
    <row r="17470" spans="1:9" x14ac:dyDescent="0.25">
      <c r="A17470">
        <v>549</v>
      </c>
      <c r="B17470" t="s">
        <v>4354</v>
      </c>
      <c r="C17470" t="s">
        <v>48</v>
      </c>
      <c r="D17470" t="s">
        <v>4306</v>
      </c>
      <c r="E17470">
        <f t="shared" si="827"/>
        <v>1.9230769230769232E-2</v>
      </c>
      <c r="F17470">
        <v>4</v>
      </c>
      <c r="G17470">
        <f>LOG(382/(4+1))</f>
        <v>1.8830933585756899</v>
      </c>
      <c r="H17470">
        <f>0.0192307692307692*4.33598269617247</f>
        <v>8.3384282618701219E-2</v>
      </c>
      <c r="I17470">
        <v>8.3384282618701441E-2</v>
      </c>
    </row>
    <row r="17471" spans="1:9" x14ac:dyDescent="0.25">
      <c r="A17471">
        <v>549</v>
      </c>
      <c r="B17471" t="s">
        <v>4354</v>
      </c>
      <c r="C17471" t="s">
        <v>48</v>
      </c>
      <c r="D17471" t="s">
        <v>869</v>
      </c>
      <c r="E17471">
        <f t="shared" si="827"/>
        <v>1.9230769230769232E-2</v>
      </c>
      <c r="F17471">
        <v>3</v>
      </c>
      <c r="G17471">
        <f>LOG(382/(3+1))</f>
        <v>1.9800033715837464</v>
      </c>
      <c r="H17471">
        <f>0.0192307692307692*4.55912624748668</f>
        <v>8.7675504759359091E-2</v>
      </c>
      <c r="I17471">
        <v>8.7675504759359327E-2</v>
      </c>
    </row>
    <row r="17472" spans="1:9" x14ac:dyDescent="0.25">
      <c r="A17472">
        <v>549</v>
      </c>
      <c r="B17472" t="s">
        <v>4354</v>
      </c>
      <c r="C17472" t="s">
        <v>48</v>
      </c>
      <c r="D17472" t="s">
        <v>1238</v>
      </c>
      <c r="E17472">
        <f t="shared" si="827"/>
        <v>1.9230769230769232E-2</v>
      </c>
      <c r="F17472">
        <v>10</v>
      </c>
      <c r="G17472">
        <f>LOG(382/(10+1))</f>
        <v>1.5406706777534838</v>
      </c>
      <c r="H17472">
        <f>0.0192307692307692*3.5475253358082</f>
        <v>6.8221641073234515E-2</v>
      </c>
      <c r="I17472">
        <v>6.8221641073234709E-2</v>
      </c>
    </row>
    <row r="17473" spans="1:9" x14ac:dyDescent="0.25">
      <c r="A17473">
        <v>549</v>
      </c>
      <c r="B17473" t="s">
        <v>4354</v>
      </c>
      <c r="C17473" t="s">
        <v>48</v>
      </c>
      <c r="D17473" t="s">
        <v>23</v>
      </c>
      <c r="E17473">
        <f t="shared" si="827"/>
        <v>1.9230769230769232E-2</v>
      </c>
      <c r="F17473">
        <v>275</v>
      </c>
      <c r="G17473">
        <f>LOG(382/(275+1))</f>
        <v>0.14115428084649101</v>
      </c>
      <c r="H17473">
        <f>0.0192307692307692*0.325019742889425</f>
        <v>6.2503796709504709E-3</v>
      </c>
      <c r="I17473">
        <v>6.2503796709504839E-3</v>
      </c>
    </row>
    <row r="17474" spans="1:9" x14ac:dyDescent="0.25">
      <c r="A17474">
        <v>549</v>
      </c>
      <c r="B17474" t="s">
        <v>4354</v>
      </c>
      <c r="C17474" t="s">
        <v>48</v>
      </c>
      <c r="D17474" t="s">
        <v>4357</v>
      </c>
      <c r="E17474">
        <f>2/52</f>
        <v>3.8461538461538464E-2</v>
      </c>
      <c r="F17474">
        <v>1</v>
      </c>
      <c r="G17474">
        <f>LOG(382/(1+1))</f>
        <v>2.2810333672477277</v>
      </c>
      <c r="H17474">
        <f>0.0384615384615384*5.25227342804663</f>
        <v>0.2020105164633316</v>
      </c>
      <c r="I17474">
        <v>0.2020105164633319</v>
      </c>
    </row>
    <row r="17475" spans="1:9" x14ac:dyDescent="0.25">
      <c r="A17475">
        <v>549</v>
      </c>
      <c r="B17475" t="s">
        <v>4354</v>
      </c>
      <c r="C17475" t="s">
        <v>48</v>
      </c>
      <c r="D17475" t="s">
        <v>3180</v>
      </c>
      <c r="E17475">
        <f>2/52</f>
        <v>3.8461538461538464E-2</v>
      </c>
      <c r="F17475">
        <v>2</v>
      </c>
      <c r="G17475">
        <f>LOG(382/(2+1))</f>
        <v>2.1049421081920463</v>
      </c>
      <c r="H17475">
        <f>0.0384615384615384*4.84680831993846</f>
        <v>0.1864157046130174</v>
      </c>
      <c r="I17475">
        <v>0.1864157046130179</v>
      </c>
    </row>
    <row r="17476" spans="1:9" x14ac:dyDescent="0.25">
      <c r="A17476">
        <v>549</v>
      </c>
      <c r="B17476" t="s">
        <v>4354</v>
      </c>
      <c r="C17476" t="s">
        <v>48</v>
      </c>
      <c r="D17476" t="s">
        <v>56</v>
      </c>
      <c r="E17476">
        <f>1/52</f>
        <v>1.9230769230769232E-2</v>
      </c>
      <c r="F17476">
        <v>4</v>
      </c>
      <c r="G17476">
        <f>LOG(382/(4+1))</f>
        <v>1.8830933585756899</v>
      </c>
      <c r="H17476">
        <f>0.0192307692307692*4.33598269617247</f>
        <v>8.3384282618701219E-2</v>
      </c>
      <c r="I17476">
        <v>8.3384282618701441E-2</v>
      </c>
    </row>
    <row r="17477" spans="1:9" x14ac:dyDescent="0.25">
      <c r="A17477">
        <v>549</v>
      </c>
      <c r="B17477" t="s">
        <v>4354</v>
      </c>
      <c r="C17477" t="s">
        <v>48</v>
      </c>
      <c r="D17477" t="s">
        <v>1966</v>
      </c>
      <c r="E17477">
        <f>2/52</f>
        <v>3.8461538461538464E-2</v>
      </c>
      <c r="F17477">
        <v>2</v>
      </c>
      <c r="G17477">
        <f>LOG(382/(2+1))</f>
        <v>2.1049421081920463</v>
      </c>
      <c r="H17477">
        <f>0.0384615384615384*4.84680831993846</f>
        <v>0.1864157046130174</v>
      </c>
      <c r="I17477">
        <v>0.1864157046130179</v>
      </c>
    </row>
    <row r="17478" spans="1:9" x14ac:dyDescent="0.25">
      <c r="A17478">
        <v>549</v>
      </c>
      <c r="B17478" t="s">
        <v>4354</v>
      </c>
      <c r="C17478" t="s">
        <v>48</v>
      </c>
      <c r="D17478" t="s">
        <v>360</v>
      </c>
      <c r="E17478">
        <f t="shared" ref="E17478:E17485" si="828">1/52</f>
        <v>1.9230769230769232E-2</v>
      </c>
      <c r="F17478">
        <v>15</v>
      </c>
      <c r="G17478">
        <f>LOG(382/(15+1))</f>
        <v>1.3779433802557839</v>
      </c>
      <c r="H17478">
        <f>0.0192307692307692*3.17283188636679</f>
        <v>6.101599781474587E-2</v>
      </c>
      <c r="I17478">
        <v>6.1015997814746037E-2</v>
      </c>
    </row>
    <row r="17479" spans="1:9" x14ac:dyDescent="0.25">
      <c r="A17479">
        <v>549</v>
      </c>
      <c r="B17479" t="s">
        <v>4354</v>
      </c>
      <c r="C17479" t="s">
        <v>48</v>
      </c>
      <c r="D17479" t="s">
        <v>547</v>
      </c>
      <c r="E17479">
        <f t="shared" si="828"/>
        <v>1.9230769230769232E-2</v>
      </c>
      <c r="F17479">
        <v>2</v>
      </c>
      <c r="G17479">
        <f>LOG(382/(2+1))</f>
        <v>2.1049421081920463</v>
      </c>
      <c r="H17479">
        <f>0.0192307692307692*4.84680831993846</f>
        <v>9.3207852306508701E-2</v>
      </c>
      <c r="I17479">
        <v>9.3207852306508951E-2</v>
      </c>
    </row>
    <row r="17480" spans="1:9" x14ac:dyDescent="0.25">
      <c r="A17480">
        <v>549</v>
      </c>
      <c r="B17480" t="s">
        <v>4354</v>
      </c>
      <c r="C17480" t="s">
        <v>48</v>
      </c>
      <c r="D17480" t="s">
        <v>4326</v>
      </c>
      <c r="E17480">
        <f t="shared" si="828"/>
        <v>1.9230769230769232E-2</v>
      </c>
      <c r="F17480">
        <v>3</v>
      </c>
      <c r="G17480">
        <f>LOG(382/(3+1))</f>
        <v>1.9800033715837464</v>
      </c>
      <c r="H17480">
        <f>0.0192307692307692*4.55912624748668</f>
        <v>8.7675504759359091E-2</v>
      </c>
      <c r="I17480">
        <v>8.7675504759359327E-2</v>
      </c>
    </row>
    <row r="17481" spans="1:9" x14ac:dyDescent="0.25">
      <c r="A17481">
        <v>549</v>
      </c>
      <c r="B17481" t="s">
        <v>4354</v>
      </c>
      <c r="C17481" t="s">
        <v>48</v>
      </c>
      <c r="D17481" t="s">
        <v>2431</v>
      </c>
      <c r="E17481">
        <f t="shared" si="828"/>
        <v>1.9230769230769232E-2</v>
      </c>
      <c r="F17481">
        <v>12</v>
      </c>
      <c r="G17481">
        <f>LOG(382/(12+1))</f>
        <v>1.468120010604872</v>
      </c>
      <c r="H17481">
        <f>0.0192307692307692*3.38047125114503</f>
        <v>6.5009062522019712E-2</v>
      </c>
      <c r="I17481">
        <v>6.5009062522019975E-2</v>
      </c>
    </row>
    <row r="17482" spans="1:9" x14ac:dyDescent="0.25">
      <c r="A17482">
        <v>549</v>
      </c>
      <c r="B17482" t="s">
        <v>4354</v>
      </c>
      <c r="C17482" t="s">
        <v>48</v>
      </c>
      <c r="D17482" t="s">
        <v>111</v>
      </c>
      <c r="E17482">
        <f t="shared" si="828"/>
        <v>1.9230769230769232E-2</v>
      </c>
      <c r="F17482">
        <v>33</v>
      </c>
      <c r="G17482">
        <f>LOG(382/(33+1))</f>
        <v>1.0505844458694535</v>
      </c>
      <c r="H17482">
        <f>0.0192307692307692*2.41906008399041</f>
        <v>4.6520386230584736E-2</v>
      </c>
      <c r="I17482">
        <v>4.6520386230584881E-2</v>
      </c>
    </row>
    <row r="17483" spans="1:9" x14ac:dyDescent="0.25">
      <c r="A17483">
        <v>549</v>
      </c>
      <c r="B17483" t="s">
        <v>4354</v>
      </c>
      <c r="C17483" t="s">
        <v>48</v>
      </c>
      <c r="D17483" t="s">
        <v>609</v>
      </c>
      <c r="E17483">
        <f t="shared" si="828"/>
        <v>1.9230769230769232E-2</v>
      </c>
      <c r="F17483">
        <v>3</v>
      </c>
      <c r="G17483">
        <f>LOG(382/(3+1))</f>
        <v>1.9800033715837464</v>
      </c>
      <c r="H17483">
        <f>0.0192307692307692*4.55912624748668</f>
        <v>8.7675504759359091E-2</v>
      </c>
      <c r="I17483">
        <v>8.7675504759359327E-2</v>
      </c>
    </row>
    <row r="17484" spans="1:9" x14ac:dyDescent="0.25">
      <c r="A17484">
        <v>549</v>
      </c>
      <c r="B17484" t="s">
        <v>4354</v>
      </c>
      <c r="C17484" t="s">
        <v>48</v>
      </c>
      <c r="D17484" t="s">
        <v>2055</v>
      </c>
      <c r="E17484">
        <f t="shared" si="828"/>
        <v>1.9230769230769232E-2</v>
      </c>
      <c r="F17484">
        <v>4</v>
      </c>
      <c r="G17484">
        <f>LOG(382/(4+1))</f>
        <v>1.8830933585756899</v>
      </c>
      <c r="H17484">
        <f>0.0192307692307692*4.33598269617247</f>
        <v>8.3384282618701219E-2</v>
      </c>
      <c r="I17484">
        <v>8.3384282618701441E-2</v>
      </c>
    </row>
    <row r="17485" spans="1:9" x14ac:dyDescent="0.25">
      <c r="A17485">
        <v>549</v>
      </c>
      <c r="B17485" t="s">
        <v>4354</v>
      </c>
      <c r="C17485" t="s">
        <v>48</v>
      </c>
      <c r="D17485" t="s">
        <v>911</v>
      </c>
      <c r="E17485">
        <f t="shared" si="828"/>
        <v>1.9230769230769232E-2</v>
      </c>
      <c r="F17485">
        <v>22</v>
      </c>
      <c r="G17485">
        <f>LOG(382/(22+1))</f>
        <v>1.2203355268941158</v>
      </c>
      <c r="H17485">
        <f>0.0192307692307692*2.80992639267742</f>
        <v>5.4037046013027216E-2</v>
      </c>
      <c r="I17485">
        <v>5.4037046013027418E-2</v>
      </c>
    </row>
    <row r="17486" spans="1:9" x14ac:dyDescent="0.25">
      <c r="A17486">
        <v>549</v>
      </c>
      <c r="B17486" t="s">
        <v>4354</v>
      </c>
      <c r="C17486" t="s">
        <v>48</v>
      </c>
      <c r="D17486" t="s">
        <v>76</v>
      </c>
      <c r="E17486">
        <f>2/52</f>
        <v>3.8461538461538464E-2</v>
      </c>
      <c r="F17486">
        <v>140</v>
      </c>
      <c r="G17486">
        <f>LOG(382/(140+1))</f>
        <v>0.43284425025632883</v>
      </c>
      <c r="H17486">
        <f>0.0384615384615384*0.996660718228407</f>
        <v>3.8333104547246359E-2</v>
      </c>
      <c r="I17486">
        <v>3.8333104547246422E-2</v>
      </c>
    </row>
    <row r="17487" spans="1:9" x14ac:dyDescent="0.25">
      <c r="A17487">
        <v>549</v>
      </c>
      <c r="B17487" t="s">
        <v>4354</v>
      </c>
      <c r="C17487" t="s">
        <v>48</v>
      </c>
      <c r="D17487" t="s">
        <v>39</v>
      </c>
      <c r="E17487">
        <f t="shared" ref="E17487:E17496" si="829">1/52</f>
        <v>1.9230769230769232E-2</v>
      </c>
      <c r="F17487">
        <v>145</v>
      </c>
      <c r="G17487">
        <f>LOG(382/(145+1))</f>
        <v>0.41771050712727159</v>
      </c>
      <c r="H17487">
        <f>0.0192307692307692*0.961813986898238</f>
        <v>1.8496422824966087E-2</v>
      </c>
      <c r="I17487">
        <v>1.8496422824966129E-2</v>
      </c>
    </row>
    <row r="17488" spans="1:9" x14ac:dyDescent="0.25">
      <c r="A17488">
        <v>549</v>
      </c>
      <c r="B17488" t="s">
        <v>4354</v>
      </c>
      <c r="C17488" t="s">
        <v>48</v>
      </c>
      <c r="D17488" t="s">
        <v>1122</v>
      </c>
      <c r="E17488">
        <f t="shared" si="829"/>
        <v>1.9230769230769232E-2</v>
      </c>
      <c r="F17488">
        <v>4</v>
      </c>
      <c r="G17488">
        <f>LOG(382/(4+1))</f>
        <v>1.8830933585756899</v>
      </c>
      <c r="H17488">
        <f>0.0192307692307692*4.33598269617247</f>
        <v>8.3384282618701219E-2</v>
      </c>
      <c r="I17488">
        <v>8.3384282618701441E-2</v>
      </c>
    </row>
    <row r="17489" spans="1:9" x14ac:dyDescent="0.25">
      <c r="A17489">
        <v>549</v>
      </c>
      <c r="B17489" t="s">
        <v>4354</v>
      </c>
      <c r="C17489" t="s">
        <v>48</v>
      </c>
      <c r="D17489" t="s">
        <v>40</v>
      </c>
      <c r="E17489">
        <f t="shared" si="829"/>
        <v>1.9230769230769232E-2</v>
      </c>
      <c r="F17489">
        <v>159</v>
      </c>
      <c r="G17489">
        <f>LOG(382/(159+1))</f>
        <v>0.377943380255784</v>
      </c>
      <c r="H17489">
        <f>0.0192307692307692*0.870246793372748</f>
        <v>1.6735515257168206E-2</v>
      </c>
      <c r="I17489">
        <v>1.6735515257168241E-2</v>
      </c>
    </row>
    <row r="17490" spans="1:9" x14ac:dyDescent="0.25">
      <c r="A17490">
        <v>549</v>
      </c>
      <c r="B17490" t="s">
        <v>4354</v>
      </c>
      <c r="C17490" t="s">
        <v>48</v>
      </c>
      <c r="D17490" t="s">
        <v>77</v>
      </c>
      <c r="E17490">
        <f t="shared" si="829"/>
        <v>1.9230769230769232E-2</v>
      </c>
      <c r="F17490">
        <v>148</v>
      </c>
      <c r="G17490">
        <f>LOG(382/(148+1))</f>
        <v>0.40887709449943471</v>
      </c>
      <c r="H17490">
        <f>0.0192307692307692*0.941474302661116</f>
        <v>1.810527505117528E-2</v>
      </c>
      <c r="I17490">
        <v>1.8105275051175311E-2</v>
      </c>
    </row>
    <row r="17491" spans="1:9" x14ac:dyDescent="0.25">
      <c r="A17491">
        <v>549</v>
      </c>
      <c r="B17491" t="s">
        <v>4354</v>
      </c>
      <c r="C17491" t="s">
        <v>48</v>
      </c>
      <c r="D17491" t="s">
        <v>936</v>
      </c>
      <c r="E17491">
        <f t="shared" si="829"/>
        <v>1.9230769230769232E-2</v>
      </c>
      <c r="F17491">
        <v>21</v>
      </c>
      <c r="G17491">
        <f>LOG(382/(21+1))</f>
        <v>1.2396406820895025</v>
      </c>
      <c r="H17491">
        <f>0.0192307692307692*2.85437815524825</f>
        <v>5.4891887600927794E-2</v>
      </c>
      <c r="I17491">
        <v>5.4891887600928058E-2</v>
      </c>
    </row>
    <row r="17492" spans="1:9" x14ac:dyDescent="0.25">
      <c r="A17492">
        <v>549</v>
      </c>
      <c r="B17492" t="s">
        <v>4354</v>
      </c>
      <c r="C17492" t="s">
        <v>48</v>
      </c>
      <c r="D17492" t="s">
        <v>331</v>
      </c>
      <c r="E17492">
        <f t="shared" si="829"/>
        <v>1.9230769230769232E-2</v>
      </c>
      <c r="F17492">
        <v>130</v>
      </c>
      <c r="G17492">
        <f>LOG(382/(130+1))</f>
        <v>0.46479206725594452</v>
      </c>
      <c r="H17492">
        <f>0.0192307692307692*1.07022328540542</f>
        <v>2.0581217027027279E-2</v>
      </c>
      <c r="I17492">
        <v>2.0581217027027379E-2</v>
      </c>
    </row>
    <row r="17493" spans="1:9" x14ac:dyDescent="0.25">
      <c r="A17493">
        <v>549</v>
      </c>
      <c r="B17493" t="s">
        <v>4354</v>
      </c>
      <c r="C17493" t="s">
        <v>48</v>
      </c>
      <c r="D17493" t="s">
        <v>937</v>
      </c>
      <c r="E17493">
        <f t="shared" si="829"/>
        <v>1.9230769230769232E-2</v>
      </c>
      <c r="F17493">
        <v>41</v>
      </c>
      <c r="G17493">
        <f>LOG(382/(41+1))</f>
        <v>0.95881407251380824</v>
      </c>
      <c r="H17493">
        <f>0.0192307692307692*2.2077509903232</f>
        <v>4.2456749813907631E-2</v>
      </c>
      <c r="I17493">
        <v>4.2456749813907832E-2</v>
      </c>
    </row>
    <row r="17494" spans="1:9" x14ac:dyDescent="0.25">
      <c r="A17494">
        <v>549</v>
      </c>
      <c r="B17494" t="s">
        <v>4354</v>
      </c>
      <c r="C17494" t="s">
        <v>48</v>
      </c>
      <c r="D17494" t="s">
        <v>477</v>
      </c>
      <c r="E17494">
        <f t="shared" si="829"/>
        <v>1.9230769230769232E-2</v>
      </c>
      <c r="F17494">
        <v>17</v>
      </c>
      <c r="G17494">
        <f>LOG(382/(17+1))</f>
        <v>1.3267908578084027</v>
      </c>
      <c r="H17494">
        <f>0.0192307692307692*3.05504885071041</f>
        <v>5.8750939436738557E-2</v>
      </c>
      <c r="I17494">
        <v>5.8750939436738661E-2</v>
      </c>
    </row>
    <row r="17495" spans="1:9" x14ac:dyDescent="0.25">
      <c r="A17495">
        <v>549</v>
      </c>
      <c r="B17495" t="s">
        <v>4354</v>
      </c>
      <c r="C17495" t="s">
        <v>48</v>
      </c>
      <c r="D17495" t="s">
        <v>1608</v>
      </c>
      <c r="E17495">
        <f t="shared" si="829"/>
        <v>1.9230769230769232E-2</v>
      </c>
      <c r="F17495">
        <v>13</v>
      </c>
      <c r="G17495">
        <f>LOG(382/(13+1))</f>
        <v>1.4359353272334707</v>
      </c>
      <c r="H17495">
        <f>0.0192307692307692*3.30636327899131</f>
        <v>6.3583909211371248E-2</v>
      </c>
      <c r="I17495">
        <v>6.358390921137147E-2</v>
      </c>
    </row>
    <row r="17496" spans="1:9" x14ac:dyDescent="0.25">
      <c r="A17496">
        <v>549</v>
      </c>
      <c r="B17496" t="s">
        <v>4354</v>
      </c>
      <c r="C17496" t="s">
        <v>48</v>
      </c>
      <c r="D17496" t="s">
        <v>161</v>
      </c>
      <c r="E17496">
        <f t="shared" si="829"/>
        <v>1.9230769230769232E-2</v>
      </c>
      <c r="F17496">
        <v>33</v>
      </c>
      <c r="G17496">
        <f>LOG(382/(33+1))</f>
        <v>1.0505844458694535</v>
      </c>
      <c r="H17496">
        <f>0.0192307692307692*2.41906008399041</f>
        <v>4.6520386230584736E-2</v>
      </c>
      <c r="I17496">
        <v>4.6520386230584881E-2</v>
      </c>
    </row>
    <row r="17497" spans="1:9" x14ac:dyDescent="0.25">
      <c r="A17497">
        <v>550</v>
      </c>
      <c r="B17497" t="s">
        <v>4358</v>
      </c>
      <c r="C17497" t="s">
        <v>10</v>
      </c>
      <c r="D17497" t="s">
        <v>1122</v>
      </c>
      <c r="E17497">
        <f>5/57</f>
        <v>8.771929824561403E-2</v>
      </c>
      <c r="F17497">
        <v>4</v>
      </c>
      <c r="G17497">
        <f>LOG(382/(4+1))</f>
        <v>1.8830933585756899</v>
      </c>
      <c r="H17497">
        <f>0.087719298245614*4.33598269617247</f>
        <v>0.38034935931337444</v>
      </c>
      <c r="I17497">
        <v>0.38034935931337488</v>
      </c>
    </row>
    <row r="17498" spans="1:9" x14ac:dyDescent="0.25">
      <c r="A17498">
        <v>550</v>
      </c>
      <c r="B17498" t="s">
        <v>4358</v>
      </c>
      <c r="C17498" t="s">
        <v>10</v>
      </c>
      <c r="D17498" t="s">
        <v>15</v>
      </c>
      <c r="E17498">
        <f>1/57</f>
        <v>1.7543859649122806E-2</v>
      </c>
      <c r="F17498">
        <v>112</v>
      </c>
      <c r="G17498">
        <f>LOG(382/(112+1))</f>
        <v>0.52898491942828896</v>
      </c>
      <c r="H17498">
        <f>0.0175438596491228*1.21803278989423</f>
        <v>2.1368996313933849E-2</v>
      </c>
      <c r="I17498">
        <v>2.1368996313933939E-2</v>
      </c>
    </row>
    <row r="17499" spans="1:9" x14ac:dyDescent="0.25">
      <c r="A17499">
        <v>550</v>
      </c>
      <c r="B17499" t="s">
        <v>4358</v>
      </c>
      <c r="C17499" t="s">
        <v>10</v>
      </c>
      <c r="D17499" t="s">
        <v>77</v>
      </c>
      <c r="E17499">
        <f>2/57</f>
        <v>3.5087719298245612E-2</v>
      </c>
      <c r="F17499">
        <v>148</v>
      </c>
      <c r="G17499">
        <f>LOG(382/(148+1))</f>
        <v>0.40887709449943471</v>
      </c>
      <c r="H17499">
        <f>0.0350877192982456*0.941474302661116</f>
        <v>3.3034186058284759E-2</v>
      </c>
      <c r="I17499">
        <v>3.3034186058284773E-2</v>
      </c>
    </row>
    <row r="17500" spans="1:9" x14ac:dyDescent="0.25">
      <c r="A17500">
        <v>550</v>
      </c>
      <c r="B17500" t="s">
        <v>4358</v>
      </c>
      <c r="C17500" t="s">
        <v>10</v>
      </c>
      <c r="D17500" t="s">
        <v>1230</v>
      </c>
      <c r="E17500">
        <f t="shared" ref="E17500:E17510" si="830">1/57</f>
        <v>1.7543859649122806E-2</v>
      </c>
      <c r="F17500">
        <v>10</v>
      </c>
      <c r="G17500">
        <f>LOG(382/(10+1))</f>
        <v>1.5406706777534838</v>
      </c>
      <c r="H17500">
        <f>0.0175438596491228*3.5475253358082</f>
        <v>6.2237286593126294E-2</v>
      </c>
      <c r="I17500">
        <v>6.2237286593126391E-2</v>
      </c>
    </row>
    <row r="17501" spans="1:9" x14ac:dyDescent="0.25">
      <c r="A17501">
        <v>550</v>
      </c>
      <c r="B17501" t="s">
        <v>4358</v>
      </c>
      <c r="C17501" t="s">
        <v>10</v>
      </c>
      <c r="D17501" t="s">
        <v>4359</v>
      </c>
      <c r="E17501">
        <f t="shared" si="830"/>
        <v>1.7543859649122806E-2</v>
      </c>
      <c r="F17501">
        <v>1</v>
      </c>
      <c r="G17501">
        <f>LOG(382/(1+1))</f>
        <v>2.2810333672477277</v>
      </c>
      <c r="H17501">
        <f>0.0175438596491228*5.25227342804663</f>
        <v>9.2145147860467153E-2</v>
      </c>
      <c r="I17501">
        <v>9.214514786046718E-2</v>
      </c>
    </row>
    <row r="17502" spans="1:9" x14ac:dyDescent="0.25">
      <c r="A17502">
        <v>550</v>
      </c>
      <c r="B17502" t="s">
        <v>4358</v>
      </c>
      <c r="C17502" t="s">
        <v>10</v>
      </c>
      <c r="D17502" t="s">
        <v>41</v>
      </c>
      <c r="E17502">
        <f t="shared" si="830"/>
        <v>1.7543859649122806E-2</v>
      </c>
      <c r="F17502">
        <v>195</v>
      </c>
      <c r="G17502">
        <f>LOG(382/(195+1))</f>
        <v>0.28980729155523272</v>
      </c>
      <c r="H17502">
        <f>0.0175438596491228*0.667305949376058</f>
        <v>1.1707121918878205E-2</v>
      </c>
      <c r="I17502">
        <v>1.1707121918878211E-2</v>
      </c>
    </row>
    <row r="17503" spans="1:9" x14ac:dyDescent="0.25">
      <c r="A17503">
        <v>550</v>
      </c>
      <c r="B17503" t="s">
        <v>4358</v>
      </c>
      <c r="C17503" t="s">
        <v>10</v>
      </c>
      <c r="D17503" t="s">
        <v>911</v>
      </c>
      <c r="E17503">
        <f t="shared" si="830"/>
        <v>1.7543859649122806E-2</v>
      </c>
      <c r="F17503">
        <v>22</v>
      </c>
      <c r="G17503">
        <f>LOG(382/(22+1))</f>
        <v>1.2203355268941158</v>
      </c>
      <c r="H17503">
        <f>0.0175438596491228*2.80992639267742</f>
        <v>4.9296954257498568E-2</v>
      </c>
      <c r="I17503">
        <v>4.9296954257498693E-2</v>
      </c>
    </row>
    <row r="17504" spans="1:9" x14ac:dyDescent="0.25">
      <c r="A17504">
        <v>550</v>
      </c>
      <c r="B17504" t="s">
        <v>4358</v>
      </c>
      <c r="C17504" t="s">
        <v>10</v>
      </c>
      <c r="D17504" t="s">
        <v>2137</v>
      </c>
      <c r="E17504">
        <f t="shared" si="830"/>
        <v>1.7543859649122806E-2</v>
      </c>
      <c r="F17504">
        <v>2</v>
      </c>
      <c r="G17504">
        <f>LOG(382/(2+1))</f>
        <v>2.1049421081920463</v>
      </c>
      <c r="H17504">
        <f>0.0175438596491228*4.84680831993846</f>
        <v>8.5031724911201007E-2</v>
      </c>
      <c r="I17504">
        <v>8.5031724911201145E-2</v>
      </c>
    </row>
    <row r="17505" spans="1:9" x14ac:dyDescent="0.25">
      <c r="A17505">
        <v>550</v>
      </c>
      <c r="B17505" t="s">
        <v>4358</v>
      </c>
      <c r="C17505" t="s">
        <v>10</v>
      </c>
      <c r="D17505" t="s">
        <v>1453</v>
      </c>
      <c r="E17505">
        <f t="shared" si="830"/>
        <v>1.7543859649122806E-2</v>
      </c>
      <c r="F17505">
        <v>23</v>
      </c>
      <c r="G17505">
        <f>LOG(382/(23+1))</f>
        <v>1.2018521212001028</v>
      </c>
      <c r="H17505">
        <f>0.0175438596491228*2.76736677825862</f>
        <v>4.8550294355414365E-2</v>
      </c>
      <c r="I17505">
        <v>4.8550294355414553E-2</v>
      </c>
    </row>
    <row r="17506" spans="1:9" x14ac:dyDescent="0.25">
      <c r="A17506">
        <v>550</v>
      </c>
      <c r="B17506" t="s">
        <v>4358</v>
      </c>
      <c r="C17506" t="s">
        <v>10</v>
      </c>
      <c r="D17506" t="s">
        <v>2138</v>
      </c>
      <c r="E17506">
        <f t="shared" si="830"/>
        <v>1.7543859649122806E-2</v>
      </c>
      <c r="F17506">
        <v>3</v>
      </c>
      <c r="G17506">
        <f>LOG(382/(3+1))</f>
        <v>1.9800033715837464</v>
      </c>
      <c r="H17506">
        <f>0.0175438596491228*4.55912624748668</f>
        <v>7.9984671008538205E-2</v>
      </c>
      <c r="I17506">
        <v>7.9984671008538316E-2</v>
      </c>
    </row>
    <row r="17507" spans="1:9" x14ac:dyDescent="0.25">
      <c r="A17507">
        <v>550</v>
      </c>
      <c r="B17507" t="s">
        <v>4358</v>
      </c>
      <c r="C17507" t="s">
        <v>10</v>
      </c>
      <c r="D17507" t="s">
        <v>4163</v>
      </c>
      <c r="E17507">
        <f t="shared" si="830"/>
        <v>1.7543859649122806E-2</v>
      </c>
      <c r="F17507">
        <v>2</v>
      </c>
      <c r="G17507">
        <f>LOG(382/(2+1))</f>
        <v>2.1049421081920463</v>
      </c>
      <c r="H17507">
        <f>0.0175438596491228*4.84680831993846</f>
        <v>8.5031724911201007E-2</v>
      </c>
      <c r="I17507">
        <v>8.5031724911201145E-2</v>
      </c>
    </row>
    <row r="17508" spans="1:9" x14ac:dyDescent="0.25">
      <c r="A17508">
        <v>550</v>
      </c>
      <c r="B17508" t="s">
        <v>4358</v>
      </c>
      <c r="C17508" t="s">
        <v>10</v>
      </c>
      <c r="D17508" t="s">
        <v>118</v>
      </c>
      <c r="E17508">
        <f t="shared" si="830"/>
        <v>1.7543859649122806E-2</v>
      </c>
      <c r="F17508">
        <v>8</v>
      </c>
      <c r="G17508">
        <f>LOG(382/(8+1))</f>
        <v>1.6278208534723839</v>
      </c>
      <c r="H17508">
        <f>0.0175438596491228*3.74819603127035</f>
        <v>6.5757825110006107E-2</v>
      </c>
      <c r="I17508">
        <v>6.5757825110006232E-2</v>
      </c>
    </row>
    <row r="17509" spans="1:9" x14ac:dyDescent="0.25">
      <c r="A17509">
        <v>550</v>
      </c>
      <c r="B17509" t="s">
        <v>4358</v>
      </c>
      <c r="C17509" t="s">
        <v>10</v>
      </c>
      <c r="D17509" t="s">
        <v>100</v>
      </c>
      <c r="E17509">
        <f t="shared" si="830"/>
        <v>1.7543859649122806E-2</v>
      </c>
      <c r="F17509">
        <v>9</v>
      </c>
      <c r="G17509">
        <f>LOG(382/(9+1))</f>
        <v>1.5820633629117087</v>
      </c>
      <c r="H17509">
        <f>0.0175438596491228*3.64283551561252</f>
        <v>6.390939501074594E-2</v>
      </c>
      <c r="I17509">
        <v>6.390939501074612E-2</v>
      </c>
    </row>
    <row r="17510" spans="1:9" x14ac:dyDescent="0.25">
      <c r="A17510">
        <v>550</v>
      </c>
      <c r="B17510" t="s">
        <v>4358</v>
      </c>
      <c r="C17510" t="s">
        <v>10</v>
      </c>
      <c r="D17510" t="s">
        <v>4360</v>
      </c>
      <c r="E17510">
        <f t="shared" si="830"/>
        <v>1.7543859649122806E-2</v>
      </c>
      <c r="F17510">
        <v>1</v>
      </c>
      <c r="G17510">
        <f>LOG(382/(1+1))</f>
        <v>2.2810333672477277</v>
      </c>
      <c r="H17510">
        <f>0.0175438596491228*5.25227342804663</f>
        <v>9.2145147860467153E-2</v>
      </c>
      <c r="I17510">
        <v>9.214514786046718E-2</v>
      </c>
    </row>
    <row r="17511" spans="1:9" x14ac:dyDescent="0.25">
      <c r="A17511">
        <v>550</v>
      </c>
      <c r="B17511" t="s">
        <v>4358</v>
      </c>
      <c r="C17511" t="s">
        <v>10</v>
      </c>
      <c r="D17511" t="s">
        <v>315</v>
      </c>
      <c r="E17511">
        <f>3/57</f>
        <v>5.2631578947368418E-2</v>
      </c>
      <c r="F17511">
        <v>55</v>
      </c>
      <c r="G17511">
        <f>LOG(382/(55+1))</f>
        <v>0.83387533590550833</v>
      </c>
      <c r="H17511">
        <f>0.0526315789473684*1.92006891787142</f>
        <v>0.10105625883533785</v>
      </c>
      <c r="I17511">
        <v>0.1010562588353382</v>
      </c>
    </row>
    <row r="17512" spans="1:9" x14ac:dyDescent="0.25">
      <c r="A17512">
        <v>550</v>
      </c>
      <c r="B17512" t="s">
        <v>4358</v>
      </c>
      <c r="C17512" t="s">
        <v>10</v>
      </c>
      <c r="D17512" t="s">
        <v>4361</v>
      </c>
      <c r="E17512">
        <f t="shared" ref="E17512:E17535" si="831">1/57</f>
        <v>1.7543859649122806E-2</v>
      </c>
      <c r="F17512">
        <v>1</v>
      </c>
      <c r="G17512">
        <f>LOG(382/(1+1))</f>
        <v>2.2810333672477277</v>
      </c>
      <c r="H17512">
        <f>0.0175438596491228*5.25227342804663</f>
        <v>9.2145147860467153E-2</v>
      </c>
      <c r="I17512">
        <v>9.214514786046718E-2</v>
      </c>
    </row>
    <row r="17513" spans="1:9" x14ac:dyDescent="0.25">
      <c r="A17513">
        <v>550</v>
      </c>
      <c r="B17513" t="s">
        <v>4358</v>
      </c>
      <c r="C17513" t="s">
        <v>10</v>
      </c>
      <c r="D17513" t="s">
        <v>932</v>
      </c>
      <c r="E17513">
        <f t="shared" si="831"/>
        <v>1.7543859649122806E-2</v>
      </c>
      <c r="F17513">
        <v>35</v>
      </c>
      <c r="G17513">
        <f>LOG(382/(35+1))</f>
        <v>1.0257608621444214</v>
      </c>
      <c r="H17513">
        <f>0.0175438596491228*2.36190167015046</f>
        <v>4.14368714061484E-2</v>
      </c>
      <c r="I17513">
        <v>4.1436871406148497E-2</v>
      </c>
    </row>
    <row r="17514" spans="1:9" x14ac:dyDescent="0.25">
      <c r="A17514">
        <v>550</v>
      </c>
      <c r="B17514" t="s">
        <v>4358</v>
      </c>
      <c r="C17514" t="s">
        <v>10</v>
      </c>
      <c r="D17514" t="s">
        <v>477</v>
      </c>
      <c r="E17514">
        <f t="shared" si="831"/>
        <v>1.7543859649122806E-2</v>
      </c>
      <c r="F17514">
        <v>17</v>
      </c>
      <c r="G17514">
        <f>LOG(382/(17+1))</f>
        <v>1.3267908578084027</v>
      </c>
      <c r="H17514">
        <f>0.0175438596491228*3.05504885071041</f>
        <v>5.359734825807734E-2</v>
      </c>
      <c r="I17514">
        <v>5.3597348258077368E-2</v>
      </c>
    </row>
    <row r="17515" spans="1:9" x14ac:dyDescent="0.25">
      <c r="A17515">
        <v>550</v>
      </c>
      <c r="B17515" t="s">
        <v>4358</v>
      </c>
      <c r="C17515" t="s">
        <v>10</v>
      </c>
      <c r="D17515" t="s">
        <v>1608</v>
      </c>
      <c r="E17515">
        <f t="shared" si="831"/>
        <v>1.7543859649122806E-2</v>
      </c>
      <c r="F17515">
        <v>13</v>
      </c>
      <c r="G17515">
        <f>LOG(382/(13+1))</f>
        <v>1.4359353272334707</v>
      </c>
      <c r="H17515">
        <f>0.0175438596491228*3.30636327899131</f>
        <v>5.8006373315636996E-2</v>
      </c>
      <c r="I17515">
        <v>5.8006373315637128E-2</v>
      </c>
    </row>
    <row r="17516" spans="1:9" x14ac:dyDescent="0.25">
      <c r="A17516">
        <v>550</v>
      </c>
      <c r="B17516" t="s">
        <v>4358</v>
      </c>
      <c r="C17516" t="s">
        <v>10</v>
      </c>
      <c r="D17516" t="s">
        <v>485</v>
      </c>
      <c r="E17516">
        <f t="shared" si="831"/>
        <v>1.7543859649122806E-2</v>
      </c>
      <c r="F17516">
        <v>74</v>
      </c>
      <c r="G17516">
        <f>LOG(382/(74+1))</f>
        <v>0.7070020995200087</v>
      </c>
      <c r="H17516">
        <f>0.0175438596491228*1.62793249507026</f>
        <v>2.8560219211758935E-2</v>
      </c>
      <c r="I17516">
        <v>2.8560219211759032E-2</v>
      </c>
    </row>
    <row r="17517" spans="1:9" x14ac:dyDescent="0.25">
      <c r="A17517">
        <v>550</v>
      </c>
      <c r="B17517" t="s">
        <v>4358</v>
      </c>
      <c r="C17517" t="s">
        <v>10</v>
      </c>
      <c r="D17517" t="s">
        <v>38</v>
      </c>
      <c r="E17517">
        <f t="shared" si="831"/>
        <v>1.7543859649122806E-2</v>
      </c>
      <c r="F17517">
        <v>86</v>
      </c>
      <c r="G17517">
        <f>LOG(382/(86+1))</f>
        <v>0.64254411029309022</v>
      </c>
      <c r="H17517">
        <f>0.0175438596491228*1.47951248995199</f>
        <v>2.595635947284192E-2</v>
      </c>
      <c r="I17517">
        <v>2.5956359472841951E-2</v>
      </c>
    </row>
    <row r="17518" spans="1:9" x14ac:dyDescent="0.25">
      <c r="A17518">
        <v>550</v>
      </c>
      <c r="B17518" t="s">
        <v>4358</v>
      </c>
      <c r="C17518" t="s">
        <v>10</v>
      </c>
      <c r="D17518" t="s">
        <v>4362</v>
      </c>
      <c r="E17518">
        <f t="shared" si="831"/>
        <v>1.7543859649122806E-2</v>
      </c>
      <c r="F17518">
        <v>1</v>
      </c>
      <c r="G17518">
        <f>LOG(382/(1+1))</f>
        <v>2.2810333672477277</v>
      </c>
      <c r="H17518">
        <f>0.0175438596491228*5.25227342804663</f>
        <v>9.2145147860467153E-2</v>
      </c>
      <c r="I17518">
        <v>9.214514786046718E-2</v>
      </c>
    </row>
    <row r="17519" spans="1:9" x14ac:dyDescent="0.25">
      <c r="A17519">
        <v>550</v>
      </c>
      <c r="B17519" t="s">
        <v>4358</v>
      </c>
      <c r="C17519" t="s">
        <v>10</v>
      </c>
      <c r="D17519" t="s">
        <v>40</v>
      </c>
      <c r="E17519">
        <f t="shared" si="831"/>
        <v>1.7543859649122806E-2</v>
      </c>
      <c r="F17519">
        <v>159</v>
      </c>
      <c r="G17519">
        <f>LOG(382/(159+1))</f>
        <v>0.377943380255784</v>
      </c>
      <c r="H17519">
        <f>0.0175438596491228*0.870246793372748</f>
        <v>1.526748760303066E-2</v>
      </c>
      <c r="I17519">
        <v>1.526748760303067E-2</v>
      </c>
    </row>
    <row r="17520" spans="1:9" x14ac:dyDescent="0.25">
      <c r="A17520">
        <v>550</v>
      </c>
      <c r="B17520" t="s">
        <v>4358</v>
      </c>
      <c r="C17520" t="s">
        <v>10</v>
      </c>
      <c r="D17520" t="s">
        <v>25</v>
      </c>
      <c r="E17520">
        <f t="shared" si="831"/>
        <v>1.7543859649122806E-2</v>
      </c>
      <c r="F17520">
        <v>106</v>
      </c>
      <c r="G17520">
        <f>LOG(382/(106+1))</f>
        <v>0.55267958522649907</v>
      </c>
      <c r="H17520">
        <f>0.0175438596491228*1.27259177414466</f>
        <v>2.2326171476222095E-2</v>
      </c>
      <c r="I17520">
        <v>2.2326171476222258E-2</v>
      </c>
    </row>
    <row r="17521" spans="1:9" x14ac:dyDescent="0.25">
      <c r="A17521">
        <v>550</v>
      </c>
      <c r="B17521" t="s">
        <v>4358</v>
      </c>
      <c r="C17521" t="s">
        <v>10</v>
      </c>
      <c r="D17521" t="s">
        <v>11</v>
      </c>
      <c r="E17521">
        <f t="shared" si="831"/>
        <v>1.7543859649122806E-2</v>
      </c>
      <c r="F17521">
        <v>83</v>
      </c>
      <c r="G17521">
        <f>LOG(382/(83+1))</f>
        <v>0.65778407684982709</v>
      </c>
      <c r="H17521">
        <f>0.0175438596491228*1.51460380976326</f>
        <v>2.6571996662513319E-2</v>
      </c>
      <c r="I17521">
        <v>2.6571996662513361E-2</v>
      </c>
    </row>
    <row r="17522" spans="1:9" x14ac:dyDescent="0.25">
      <c r="A17522">
        <v>550</v>
      </c>
      <c r="B17522" t="s">
        <v>4358</v>
      </c>
      <c r="C17522" t="s">
        <v>10</v>
      </c>
      <c r="D17522" t="s">
        <v>1534</v>
      </c>
      <c r="E17522">
        <f t="shared" si="831"/>
        <v>1.7543859649122806E-2</v>
      </c>
      <c r="F17522">
        <v>25</v>
      </c>
      <c r="G17522">
        <f>LOG(382/(25+1))</f>
        <v>1.1670900149408907</v>
      </c>
      <c r="H17522">
        <f>0.0175438596491228*2.68732407058509</f>
        <v>4.7146036326054193E-2</v>
      </c>
      <c r="I17522">
        <v>4.7146036326054262E-2</v>
      </c>
    </row>
    <row r="17523" spans="1:9" x14ac:dyDescent="0.25">
      <c r="A17523">
        <v>550</v>
      </c>
      <c r="B17523" t="s">
        <v>4358</v>
      </c>
      <c r="C17523" t="s">
        <v>10</v>
      </c>
      <c r="D17523" t="s">
        <v>764</v>
      </c>
      <c r="E17523">
        <f t="shared" si="831"/>
        <v>1.7543859649122806E-2</v>
      </c>
      <c r="F17523">
        <v>57</v>
      </c>
      <c r="G17523">
        <f>LOG(382/(57+1))</f>
        <v>0.81863536934877146</v>
      </c>
      <c r="H17523">
        <f>0.0175438596491228*1.88497759806015</f>
        <v>3.3069782422107882E-2</v>
      </c>
      <c r="I17523">
        <v>3.3069782422107993E-2</v>
      </c>
    </row>
    <row r="17524" spans="1:9" x14ac:dyDescent="0.25">
      <c r="A17524">
        <v>550</v>
      </c>
      <c r="B17524" t="s">
        <v>4358</v>
      </c>
      <c r="C17524" t="s">
        <v>10</v>
      </c>
      <c r="D17524" t="s">
        <v>237</v>
      </c>
      <c r="E17524">
        <f t="shared" si="831"/>
        <v>1.7543859649122806E-2</v>
      </c>
      <c r="F17524">
        <v>138</v>
      </c>
      <c r="G17524">
        <f>LOG(382/(138+1))</f>
        <v>0.43904856265761361</v>
      </c>
      <c r="H17524">
        <f>0.0175438596491228*1.01094667547588</f>
        <v>1.7735906587296131E-2</v>
      </c>
      <c r="I17524">
        <v>1.77359065872962E-2</v>
      </c>
    </row>
    <row r="17525" spans="1:9" x14ac:dyDescent="0.25">
      <c r="A17525">
        <v>550</v>
      </c>
      <c r="B17525" t="s">
        <v>4358</v>
      </c>
      <c r="C17525" t="s">
        <v>10</v>
      </c>
      <c r="D17525" t="s">
        <v>119</v>
      </c>
      <c r="E17525">
        <f t="shared" si="831"/>
        <v>1.7543859649122806E-2</v>
      </c>
      <c r="F17525">
        <v>79</v>
      </c>
      <c r="G17525">
        <f>LOG(382/(79+1))</f>
        <v>0.67897337591976514</v>
      </c>
      <c r="H17525">
        <f>0.0175438596491228*1.56339397393269</f>
        <v>2.7427964454959462E-2</v>
      </c>
      <c r="I17525">
        <v>2.7427964454959531E-2</v>
      </c>
    </row>
    <row r="17526" spans="1:9" x14ac:dyDescent="0.25">
      <c r="A17526">
        <v>550</v>
      </c>
      <c r="B17526" t="s">
        <v>4358</v>
      </c>
      <c r="C17526" t="s">
        <v>10</v>
      </c>
      <c r="D17526" t="s">
        <v>3131</v>
      </c>
      <c r="E17526">
        <f t="shared" si="831"/>
        <v>1.7543859649122806E-2</v>
      </c>
      <c r="F17526">
        <v>3</v>
      </c>
      <c r="G17526">
        <f>LOG(382/(3+1))</f>
        <v>1.9800033715837464</v>
      </c>
      <c r="H17526">
        <f>0.0175438596491228*4.55912624748668</f>
        <v>7.9984671008538205E-2</v>
      </c>
      <c r="I17526">
        <v>7.9984671008538316E-2</v>
      </c>
    </row>
    <row r="17527" spans="1:9" x14ac:dyDescent="0.25">
      <c r="A17527">
        <v>550</v>
      </c>
      <c r="B17527" t="s">
        <v>4358</v>
      </c>
      <c r="C17527" t="s">
        <v>10</v>
      </c>
      <c r="D17527" t="s">
        <v>1533</v>
      </c>
      <c r="E17527">
        <f t="shared" si="831"/>
        <v>1.7543859649122806E-2</v>
      </c>
      <c r="F17527">
        <v>33</v>
      </c>
      <c r="G17527">
        <f>LOG(382/(33+1))</f>
        <v>1.0505844458694535</v>
      </c>
      <c r="H17527">
        <f>0.0175438596491228*2.41906008399041</f>
        <v>4.2439650596322966E-2</v>
      </c>
      <c r="I17527">
        <v>4.2439650596323049E-2</v>
      </c>
    </row>
    <row r="17528" spans="1:9" x14ac:dyDescent="0.25">
      <c r="A17528">
        <v>550</v>
      </c>
      <c r="B17528" t="s">
        <v>4358</v>
      </c>
      <c r="C17528" t="s">
        <v>10</v>
      </c>
      <c r="D17528" t="s">
        <v>4363</v>
      </c>
      <c r="E17528">
        <f t="shared" si="831"/>
        <v>1.7543859649122806E-2</v>
      </c>
      <c r="F17528">
        <v>1</v>
      </c>
      <c r="G17528">
        <f>LOG(382/(1+1))</f>
        <v>2.2810333672477277</v>
      </c>
      <c r="H17528">
        <f>0.0175438596491228*5.25227342804663</f>
        <v>9.2145147860467153E-2</v>
      </c>
      <c r="I17528">
        <v>9.214514786046718E-2</v>
      </c>
    </row>
    <row r="17529" spans="1:9" x14ac:dyDescent="0.25">
      <c r="A17529">
        <v>550</v>
      </c>
      <c r="B17529" t="s">
        <v>4358</v>
      </c>
      <c r="C17529" t="s">
        <v>10</v>
      </c>
      <c r="D17529" t="s">
        <v>144</v>
      </c>
      <c r="E17529">
        <f t="shared" si="831"/>
        <v>1.7543859649122806E-2</v>
      </c>
      <c r="F17529">
        <v>105</v>
      </c>
      <c r="G17529">
        <f>LOG(382/(105+1))</f>
        <v>0.55675749764693849</v>
      </c>
      <c r="H17529">
        <f>0.0175438596491228*1.2819815144945</f>
        <v>2.2490903763061391E-2</v>
      </c>
      <c r="I17529">
        <v>2.2490903763061541E-2</v>
      </c>
    </row>
    <row r="17530" spans="1:9" x14ac:dyDescent="0.25">
      <c r="A17530">
        <v>550</v>
      </c>
      <c r="B17530" t="s">
        <v>4358</v>
      </c>
      <c r="C17530" t="s">
        <v>10</v>
      </c>
      <c r="D17530" t="s">
        <v>1855</v>
      </c>
      <c r="E17530">
        <f t="shared" si="831"/>
        <v>1.7543859649122806E-2</v>
      </c>
      <c r="F17530">
        <v>17</v>
      </c>
      <c r="G17530">
        <f>LOG(382/(17+1))</f>
        <v>1.3267908578084027</v>
      </c>
      <c r="H17530">
        <f>0.0175438596491228*3.05504885071041</f>
        <v>5.359734825807734E-2</v>
      </c>
      <c r="I17530">
        <v>5.3597348258077368E-2</v>
      </c>
    </row>
    <row r="17531" spans="1:9" x14ac:dyDescent="0.25">
      <c r="A17531">
        <v>550</v>
      </c>
      <c r="B17531" t="s">
        <v>4358</v>
      </c>
      <c r="C17531" t="s">
        <v>10</v>
      </c>
      <c r="D17531" t="s">
        <v>2863</v>
      </c>
      <c r="E17531">
        <f t="shared" si="831"/>
        <v>1.7543859649122806E-2</v>
      </c>
      <c r="F17531">
        <v>6</v>
      </c>
      <c r="G17531">
        <f>LOG(382/(6+1))</f>
        <v>1.736965322897452</v>
      </c>
      <c r="H17531">
        <f>0.0175438596491228*3.99951045955126</f>
        <v>7.0166850167565936E-2</v>
      </c>
      <c r="I17531">
        <v>7.0166850167565992E-2</v>
      </c>
    </row>
    <row r="17532" spans="1:9" x14ac:dyDescent="0.25">
      <c r="A17532">
        <v>550</v>
      </c>
      <c r="B17532" t="s">
        <v>4358</v>
      </c>
      <c r="C17532" t="s">
        <v>10</v>
      </c>
      <c r="D17532" t="s">
        <v>81</v>
      </c>
      <c r="E17532">
        <f t="shared" si="831"/>
        <v>1.7543859649122806E-2</v>
      </c>
      <c r="F17532">
        <v>114</v>
      </c>
      <c r="G17532">
        <f>LOG(382/(114+1))</f>
        <v>0.52136552255809698</v>
      </c>
      <c r="H17532">
        <f>0.0175438596491228*1.20048848024332</f>
        <v>2.1061201407777536E-2</v>
      </c>
      <c r="I17532">
        <v>2.1061201407777629E-2</v>
      </c>
    </row>
    <row r="17533" spans="1:9" x14ac:dyDescent="0.25">
      <c r="A17533">
        <v>550</v>
      </c>
      <c r="B17533" t="s">
        <v>4358</v>
      </c>
      <c r="C17533" t="s">
        <v>10</v>
      </c>
      <c r="D17533" t="s">
        <v>1544</v>
      </c>
      <c r="E17533">
        <f t="shared" si="831"/>
        <v>1.7543859649122806E-2</v>
      </c>
      <c r="F17533">
        <v>19</v>
      </c>
      <c r="G17533">
        <f>LOG(382/(19+1))</f>
        <v>1.2810333672477277</v>
      </c>
      <c r="H17533">
        <f>0.0175438596491228*2.94968833505258</f>
        <v>5.1748918158817173E-2</v>
      </c>
      <c r="I17533">
        <v>5.174891815881727E-2</v>
      </c>
    </row>
    <row r="17534" spans="1:9" x14ac:dyDescent="0.25">
      <c r="A17534">
        <v>550</v>
      </c>
      <c r="B17534" t="s">
        <v>4358</v>
      </c>
      <c r="C17534" t="s">
        <v>10</v>
      </c>
      <c r="D17534" t="s">
        <v>82</v>
      </c>
      <c r="E17534">
        <f t="shared" si="831"/>
        <v>1.7543859649122806E-2</v>
      </c>
      <c r="F17534">
        <v>92</v>
      </c>
      <c r="G17534">
        <f>LOG(382/(92+1))</f>
        <v>0.61358041435777355</v>
      </c>
      <c r="H17534">
        <f>0.0175438596491228*1.41282111545331</f>
        <v>2.4786335358829986E-2</v>
      </c>
      <c r="I17534">
        <v>2.478633535883016E-2</v>
      </c>
    </row>
    <row r="17535" spans="1:9" x14ac:dyDescent="0.25">
      <c r="A17535">
        <v>550</v>
      </c>
      <c r="B17535" t="s">
        <v>4358</v>
      </c>
      <c r="C17535" t="s">
        <v>10</v>
      </c>
      <c r="D17535" t="s">
        <v>204</v>
      </c>
      <c r="E17535">
        <f t="shared" si="831"/>
        <v>1.7543859649122806E-2</v>
      </c>
      <c r="F17535">
        <v>166</v>
      </c>
      <c r="G17535">
        <f>LOG(382/(166+1))</f>
        <v>0.35934689176412549</v>
      </c>
      <c r="H17535">
        <f>0.0175438596491228*0.82742679618982</f>
        <v>1.4516259582277537E-2</v>
      </c>
      <c r="I17535">
        <v>1.4516259582277541E-2</v>
      </c>
    </row>
    <row r="17536" spans="1:9" x14ac:dyDescent="0.25">
      <c r="A17536">
        <v>550</v>
      </c>
      <c r="B17536" t="s">
        <v>4358</v>
      </c>
      <c r="C17536" t="s">
        <v>10</v>
      </c>
      <c r="D17536" t="s">
        <v>1730</v>
      </c>
      <c r="E17536">
        <f>2/57</f>
        <v>3.5087719298245612E-2</v>
      </c>
      <c r="F17536">
        <v>35</v>
      </c>
      <c r="G17536">
        <f>LOG(382/(35+1))</f>
        <v>1.0257608621444214</v>
      </c>
      <c r="H17536">
        <f>0.0350877192982456*2.36190167015046</f>
        <v>8.28737428122968E-2</v>
      </c>
      <c r="I17536">
        <v>8.2873742812297008E-2</v>
      </c>
    </row>
    <row r="17537" spans="1:9" x14ac:dyDescent="0.25">
      <c r="A17537">
        <v>550</v>
      </c>
      <c r="B17537" t="s">
        <v>4358</v>
      </c>
      <c r="C17537" t="s">
        <v>10</v>
      </c>
      <c r="D17537" t="s">
        <v>1665</v>
      </c>
      <c r="E17537">
        <f t="shared" ref="E17537:E17545" si="832">1/57</f>
        <v>1.7543859649122806E-2</v>
      </c>
      <c r="F17537">
        <v>17</v>
      </c>
      <c r="G17537">
        <f>LOG(382/(17+1))</f>
        <v>1.3267908578084027</v>
      </c>
      <c r="H17537">
        <f>0.0175438596491228*3.05504885071041</f>
        <v>5.359734825807734E-2</v>
      </c>
      <c r="I17537">
        <v>5.3597348258077368E-2</v>
      </c>
    </row>
    <row r="17538" spans="1:9" x14ac:dyDescent="0.25">
      <c r="A17538">
        <v>550</v>
      </c>
      <c r="B17538" t="s">
        <v>4358</v>
      </c>
      <c r="C17538" t="s">
        <v>10</v>
      </c>
      <c r="D17538" t="s">
        <v>4364</v>
      </c>
      <c r="E17538">
        <f t="shared" si="832"/>
        <v>1.7543859649122806E-2</v>
      </c>
      <c r="F17538">
        <v>1</v>
      </c>
      <c r="G17538">
        <f>LOG(382/(1+1))</f>
        <v>2.2810333672477277</v>
      </c>
      <c r="H17538">
        <f>0.0175438596491228*5.25227342804663</f>
        <v>9.2145147860467153E-2</v>
      </c>
      <c r="I17538">
        <v>9.214514786046718E-2</v>
      </c>
    </row>
    <row r="17539" spans="1:9" x14ac:dyDescent="0.25">
      <c r="A17539">
        <v>550</v>
      </c>
      <c r="B17539" t="s">
        <v>4358</v>
      </c>
      <c r="C17539" t="s">
        <v>10</v>
      </c>
      <c r="D17539" t="s">
        <v>937</v>
      </c>
      <c r="E17539">
        <f t="shared" si="832"/>
        <v>1.7543859649122806E-2</v>
      </c>
      <c r="F17539">
        <v>41</v>
      </c>
      <c r="G17539">
        <f>LOG(382/(41+1))</f>
        <v>0.95881407251380824</v>
      </c>
      <c r="H17539">
        <f>0.0175438596491228*2.2077509903232</f>
        <v>3.873247351444209E-2</v>
      </c>
      <c r="I17539">
        <v>3.8732473514442221E-2</v>
      </c>
    </row>
    <row r="17540" spans="1:9" x14ac:dyDescent="0.25">
      <c r="A17540">
        <v>550</v>
      </c>
      <c r="B17540" t="s">
        <v>4358</v>
      </c>
      <c r="C17540" t="s">
        <v>10</v>
      </c>
      <c r="D17540" t="s">
        <v>1731</v>
      </c>
      <c r="E17540">
        <f t="shared" si="832"/>
        <v>1.7543859649122806E-2</v>
      </c>
      <c r="F17540">
        <v>15</v>
      </c>
      <c r="G17540">
        <f>LOG(382/(15+1))</f>
        <v>1.3779433802557839</v>
      </c>
      <c r="H17540">
        <f>0.0175438596491228*3.17283188636679</f>
        <v>5.5663717304680504E-2</v>
      </c>
      <c r="I17540">
        <v>5.5663717304680588E-2</v>
      </c>
    </row>
    <row r="17541" spans="1:9" x14ac:dyDescent="0.25">
      <c r="A17541">
        <v>550</v>
      </c>
      <c r="B17541" t="s">
        <v>4358</v>
      </c>
      <c r="C17541" t="s">
        <v>10</v>
      </c>
      <c r="D17541" t="s">
        <v>451</v>
      </c>
      <c r="E17541">
        <f t="shared" si="832"/>
        <v>1.7543859649122806E-2</v>
      </c>
      <c r="F17541">
        <v>15</v>
      </c>
      <c r="G17541">
        <f>LOG(382/(15+1))</f>
        <v>1.3779433802557839</v>
      </c>
      <c r="H17541">
        <f>0.0175438596491228*3.17283188636679</f>
        <v>5.5663717304680504E-2</v>
      </c>
      <c r="I17541">
        <v>5.5663717304680588E-2</v>
      </c>
    </row>
    <row r="17542" spans="1:9" x14ac:dyDescent="0.25">
      <c r="A17542">
        <v>550</v>
      </c>
      <c r="B17542" t="s">
        <v>4358</v>
      </c>
      <c r="C17542" t="s">
        <v>10</v>
      </c>
      <c r="D17542" t="s">
        <v>2238</v>
      </c>
      <c r="E17542">
        <f t="shared" si="832"/>
        <v>1.7543859649122806E-2</v>
      </c>
      <c r="F17542">
        <v>68</v>
      </c>
      <c r="G17542">
        <f>LOG(382/(68+1))</f>
        <v>0.74321427217445335</v>
      </c>
      <c r="H17542">
        <f>0.0175438596491228*1.71131410400931</f>
        <v>3.0023054456303672E-2</v>
      </c>
      <c r="I17542">
        <v>3.002305445630378E-2</v>
      </c>
    </row>
    <row r="17543" spans="1:9" x14ac:dyDescent="0.25">
      <c r="A17543">
        <v>550</v>
      </c>
      <c r="B17543" t="s">
        <v>4358</v>
      </c>
      <c r="C17543" t="s">
        <v>10</v>
      </c>
      <c r="D17543" t="s">
        <v>1762</v>
      </c>
      <c r="E17543">
        <f t="shared" si="832"/>
        <v>1.7543859649122806E-2</v>
      </c>
      <c r="F17543">
        <v>60</v>
      </c>
      <c r="G17543">
        <f>LOG(382/(60+1))</f>
        <v>0.79673352790094176</v>
      </c>
      <c r="H17543">
        <f>0.0175438596491228*1.83454674443326</f>
        <v>3.2185030604092266E-2</v>
      </c>
      <c r="I17543">
        <v>3.2185030604092349E-2</v>
      </c>
    </row>
    <row r="17544" spans="1:9" x14ac:dyDescent="0.25">
      <c r="A17544">
        <v>550</v>
      </c>
      <c r="B17544" t="s">
        <v>4358</v>
      </c>
      <c r="C17544" t="s">
        <v>10</v>
      </c>
      <c r="D17544" t="s">
        <v>1550</v>
      </c>
      <c r="E17544">
        <f t="shared" si="832"/>
        <v>1.7543859649122806E-2</v>
      </c>
      <c r="F17544">
        <v>16</v>
      </c>
      <c r="G17544">
        <f>LOG(382/(16+1))</f>
        <v>1.3516144415334348</v>
      </c>
      <c r="H17544">
        <f>0.0175438596491228*3.11220726455035</f>
        <v>5.4600127448251726E-2</v>
      </c>
      <c r="I17544">
        <v>5.4600127448251913E-2</v>
      </c>
    </row>
    <row r="17545" spans="1:9" x14ac:dyDescent="0.25">
      <c r="A17545">
        <v>550</v>
      </c>
      <c r="B17545" t="s">
        <v>4358</v>
      </c>
      <c r="C17545" t="s">
        <v>10</v>
      </c>
      <c r="D17545" t="s">
        <v>3628</v>
      </c>
      <c r="E17545">
        <f t="shared" si="832"/>
        <v>1.7543859649122806E-2</v>
      </c>
      <c r="F17545">
        <v>2</v>
      </c>
      <c r="G17545">
        <f>LOG(382/(2+1))</f>
        <v>2.1049421081920463</v>
      </c>
      <c r="H17545">
        <f>0.0175438596491228*4.84680831993846</f>
        <v>8.5031724911201007E-2</v>
      </c>
      <c r="I17545">
        <v>8.5031724911201145E-2</v>
      </c>
    </row>
    <row r="17546" spans="1:9" x14ac:dyDescent="0.25">
      <c r="A17546">
        <v>551</v>
      </c>
      <c r="B17546" t="s">
        <v>4365</v>
      </c>
      <c r="C17546" t="s">
        <v>10</v>
      </c>
      <c r="D17546" t="s">
        <v>77</v>
      </c>
      <c r="E17546">
        <f>1/69</f>
        <v>1.4492753623188406E-2</v>
      </c>
      <c r="F17546">
        <v>148</v>
      </c>
      <c r="G17546">
        <f>LOG(382/(148+1))</f>
        <v>0.40887709449943471</v>
      </c>
      <c r="H17546">
        <f>0.0144927536231884*0.941474302661116</f>
        <v>1.3644555111030661E-2</v>
      </c>
      <c r="I17546">
        <v>1.364455511103067E-2</v>
      </c>
    </row>
    <row r="17547" spans="1:9" x14ac:dyDescent="0.25">
      <c r="A17547">
        <v>551</v>
      </c>
      <c r="B17547" t="s">
        <v>4365</v>
      </c>
      <c r="C17547" t="s">
        <v>10</v>
      </c>
      <c r="D17547" t="s">
        <v>331</v>
      </c>
      <c r="E17547">
        <f>1/69</f>
        <v>1.4492753623188406E-2</v>
      </c>
      <c r="F17547">
        <v>130</v>
      </c>
      <c r="G17547">
        <f>LOG(382/(130+1))</f>
        <v>0.46479206725594452</v>
      </c>
      <c r="H17547">
        <f>0.0144927536231884*1.07022328540542</f>
        <v>1.5510482397179996E-2</v>
      </c>
      <c r="I17547">
        <v>1.551048239718005E-2</v>
      </c>
    </row>
    <row r="17548" spans="1:9" x14ac:dyDescent="0.25">
      <c r="A17548">
        <v>551</v>
      </c>
      <c r="B17548" t="s">
        <v>4365</v>
      </c>
      <c r="C17548" t="s">
        <v>10</v>
      </c>
      <c r="D17548" t="s">
        <v>41</v>
      </c>
      <c r="E17548">
        <f>4/69</f>
        <v>5.7971014492753624E-2</v>
      </c>
      <c r="F17548">
        <v>195</v>
      </c>
      <c r="G17548">
        <f>LOG(382/(195+1))</f>
        <v>0.28980729155523272</v>
      </c>
      <c r="H17548">
        <f>0.0579710144927536*0.667305949376058</f>
        <v>3.868440286238016E-2</v>
      </c>
      <c r="I17548">
        <v>3.8684402862380167E-2</v>
      </c>
    </row>
    <row r="17549" spans="1:9" x14ac:dyDescent="0.25">
      <c r="A17549">
        <v>551</v>
      </c>
      <c r="B17549" t="s">
        <v>4365</v>
      </c>
      <c r="C17549" t="s">
        <v>10</v>
      </c>
      <c r="D17549" t="s">
        <v>44</v>
      </c>
      <c r="E17549">
        <f>3/69</f>
        <v>4.3478260869565216E-2</v>
      </c>
      <c r="F17549">
        <v>151</v>
      </c>
      <c r="G17549">
        <f>LOG(382/(151+1))</f>
        <v>0.40021977496693617</v>
      </c>
      <c r="H17549">
        <f>0.0434782608695652*0.921540087760298</f>
        <v>4.0066960337404249E-2</v>
      </c>
      <c r="I17549">
        <v>4.0066960337404291E-2</v>
      </c>
    </row>
    <row r="17550" spans="1:9" x14ac:dyDescent="0.25">
      <c r="A17550">
        <v>551</v>
      </c>
      <c r="B17550" t="s">
        <v>4365</v>
      </c>
      <c r="C17550" t="s">
        <v>10</v>
      </c>
      <c r="D17550" t="s">
        <v>4366</v>
      </c>
      <c r="E17550">
        <f>1/69</f>
        <v>1.4492753623188406E-2</v>
      </c>
      <c r="F17550">
        <v>1</v>
      </c>
      <c r="G17550">
        <f>LOG(382/(1+1))</f>
        <v>2.2810333672477277</v>
      </c>
      <c r="H17550">
        <f>0.0144927536231884*5.25227342804663</f>
        <v>7.6119904754298959E-2</v>
      </c>
      <c r="I17550">
        <v>7.6119904754298987E-2</v>
      </c>
    </row>
    <row r="17551" spans="1:9" x14ac:dyDescent="0.25">
      <c r="A17551">
        <v>551</v>
      </c>
      <c r="B17551" t="s">
        <v>4365</v>
      </c>
      <c r="C17551" t="s">
        <v>10</v>
      </c>
      <c r="D17551" t="s">
        <v>40</v>
      </c>
      <c r="E17551">
        <f>4/69</f>
        <v>5.7971014492753624E-2</v>
      </c>
      <c r="F17551">
        <v>159</v>
      </c>
      <c r="G17551">
        <f>LOG(382/(159+1))</f>
        <v>0.377943380255784</v>
      </c>
      <c r="H17551">
        <f>0.0579710144927536*0.870246793372748</f>
        <v>5.0449089470883925E-2</v>
      </c>
      <c r="I17551">
        <v>5.0449089470883973E-2</v>
      </c>
    </row>
    <row r="17552" spans="1:9" x14ac:dyDescent="0.25">
      <c r="A17552">
        <v>551</v>
      </c>
      <c r="B17552" t="s">
        <v>4365</v>
      </c>
      <c r="C17552" t="s">
        <v>10</v>
      </c>
      <c r="D17552" t="s">
        <v>4367</v>
      </c>
      <c r="E17552">
        <f>1/69</f>
        <v>1.4492753623188406E-2</v>
      </c>
      <c r="F17552">
        <v>1</v>
      </c>
      <c r="G17552">
        <f>LOG(382/(1+1))</f>
        <v>2.2810333672477277</v>
      </c>
      <c r="H17552">
        <f>0.0144927536231884*5.25227342804663</f>
        <v>7.6119904754298959E-2</v>
      </c>
      <c r="I17552">
        <v>7.6119904754298987E-2</v>
      </c>
    </row>
    <row r="17553" spans="1:9" x14ac:dyDescent="0.25">
      <c r="A17553">
        <v>551</v>
      </c>
      <c r="B17553" t="s">
        <v>4365</v>
      </c>
      <c r="C17553" t="s">
        <v>10</v>
      </c>
      <c r="D17553" t="s">
        <v>4368</v>
      </c>
      <c r="E17553">
        <f>1/69</f>
        <v>1.4492753623188406E-2</v>
      </c>
      <c r="F17553">
        <v>1</v>
      </c>
      <c r="G17553">
        <f>LOG(382/(1+1))</f>
        <v>2.2810333672477277</v>
      </c>
      <c r="H17553">
        <f>0.0144927536231884*5.25227342804663</f>
        <v>7.6119904754298959E-2</v>
      </c>
      <c r="I17553">
        <v>7.6119904754298987E-2</v>
      </c>
    </row>
    <row r="17554" spans="1:9" x14ac:dyDescent="0.25">
      <c r="A17554">
        <v>551</v>
      </c>
      <c r="B17554" t="s">
        <v>4365</v>
      </c>
      <c r="C17554" t="s">
        <v>10</v>
      </c>
      <c r="D17554" t="s">
        <v>36</v>
      </c>
      <c r="E17554">
        <f>11/69</f>
        <v>0.15942028985507245</v>
      </c>
      <c r="F17554">
        <v>58</v>
      </c>
      <c r="G17554">
        <f>LOG(382/(58+1))</f>
        <v>0.81121135126956456</v>
      </c>
      <c r="H17554">
        <f>0.159420289855072*1.86788316470085</f>
        <v>0.29777847553201869</v>
      </c>
      <c r="I17554">
        <v>0.29777847553202041</v>
      </c>
    </row>
    <row r="17555" spans="1:9" x14ac:dyDescent="0.25">
      <c r="A17555">
        <v>551</v>
      </c>
      <c r="B17555" t="s">
        <v>4365</v>
      </c>
      <c r="C17555" t="s">
        <v>10</v>
      </c>
      <c r="D17555" t="s">
        <v>4326</v>
      </c>
      <c r="E17555">
        <f>1/69</f>
        <v>1.4492753623188406E-2</v>
      </c>
      <c r="F17555">
        <v>3</v>
      </c>
      <c r="G17555">
        <f>LOG(382/(3+1))</f>
        <v>1.9800033715837464</v>
      </c>
      <c r="H17555">
        <f>0.0144927536231884*4.55912624748668</f>
        <v>6.6074293441835921E-2</v>
      </c>
      <c r="I17555">
        <v>6.6074293441836005E-2</v>
      </c>
    </row>
    <row r="17556" spans="1:9" x14ac:dyDescent="0.25">
      <c r="A17556">
        <v>551</v>
      </c>
      <c r="B17556" t="s">
        <v>4365</v>
      </c>
      <c r="C17556" t="s">
        <v>10</v>
      </c>
      <c r="D17556" t="s">
        <v>26</v>
      </c>
      <c r="E17556">
        <f>3/69</f>
        <v>4.3478260869565216E-2</v>
      </c>
      <c r="F17556">
        <v>40</v>
      </c>
      <c r="G17556">
        <f>LOG(382/(40+1))</f>
        <v>0.96927950619197323</v>
      </c>
      <c r="H17556">
        <f>0.0434782608695652*2.23184854190226</f>
        <v>9.7036893126185172E-2</v>
      </c>
      <c r="I17556">
        <v>9.7036893126185533E-2</v>
      </c>
    </row>
    <row r="17557" spans="1:9" x14ac:dyDescent="0.25">
      <c r="A17557">
        <v>551</v>
      </c>
      <c r="B17557" t="s">
        <v>4365</v>
      </c>
      <c r="C17557" t="s">
        <v>10</v>
      </c>
      <c r="D17557" t="s">
        <v>4369</v>
      </c>
      <c r="E17557">
        <f t="shared" ref="E17557:E17565" si="833">1/69</f>
        <v>1.4492753623188406E-2</v>
      </c>
      <c r="F17557">
        <v>1</v>
      </c>
      <c r="G17557">
        <f>LOG(382/(1+1))</f>
        <v>2.2810333672477277</v>
      </c>
      <c r="H17557">
        <f>0.0144927536231884*5.25227342804663</f>
        <v>7.6119904754298959E-2</v>
      </c>
      <c r="I17557">
        <v>7.6119904754298987E-2</v>
      </c>
    </row>
    <row r="17558" spans="1:9" x14ac:dyDescent="0.25">
      <c r="A17558">
        <v>551</v>
      </c>
      <c r="B17558" t="s">
        <v>4365</v>
      </c>
      <c r="C17558" t="s">
        <v>10</v>
      </c>
      <c r="D17558" t="s">
        <v>306</v>
      </c>
      <c r="E17558">
        <f t="shared" si="833"/>
        <v>1.4492753623188406E-2</v>
      </c>
      <c r="F17558">
        <v>5</v>
      </c>
      <c r="G17558">
        <f>LOG(382/(5+1))</f>
        <v>1.803912112528065</v>
      </c>
      <c r="H17558">
        <f>0.0144927536231884*4.15366113937852</f>
        <v>6.0197987527224904E-2</v>
      </c>
      <c r="I17558">
        <v>6.0197987527224918E-2</v>
      </c>
    </row>
    <row r="17559" spans="1:9" x14ac:dyDescent="0.25">
      <c r="A17559">
        <v>551</v>
      </c>
      <c r="B17559" t="s">
        <v>4365</v>
      </c>
      <c r="C17559" t="s">
        <v>10</v>
      </c>
      <c r="D17559" t="s">
        <v>4370</v>
      </c>
      <c r="E17559">
        <f t="shared" si="833"/>
        <v>1.4492753623188406E-2</v>
      </c>
      <c r="F17559">
        <v>1</v>
      </c>
      <c r="G17559">
        <f>LOG(382/(1+1))</f>
        <v>2.2810333672477277</v>
      </c>
      <c r="H17559">
        <f>0.0144927536231884*5.25227342804663</f>
        <v>7.6119904754298959E-2</v>
      </c>
      <c r="I17559">
        <v>7.6119904754298987E-2</v>
      </c>
    </row>
    <row r="17560" spans="1:9" x14ac:dyDescent="0.25">
      <c r="A17560">
        <v>551</v>
      </c>
      <c r="B17560" t="s">
        <v>4365</v>
      </c>
      <c r="C17560" t="s">
        <v>10</v>
      </c>
      <c r="D17560" t="s">
        <v>994</v>
      </c>
      <c r="E17560">
        <f t="shared" si="833"/>
        <v>1.4492753623188406E-2</v>
      </c>
      <c r="F17560">
        <v>37</v>
      </c>
      <c r="G17560">
        <f>LOG(382/(37+1))</f>
        <v>1.0022797662948986</v>
      </c>
      <c r="H17560">
        <f>0.0144927536231884*2.30783444888018</f>
        <v>3.344687607072723E-2</v>
      </c>
      <c r="I17560">
        <v>3.3446876070727383E-2</v>
      </c>
    </row>
    <row r="17561" spans="1:9" x14ac:dyDescent="0.25">
      <c r="A17561">
        <v>551</v>
      </c>
      <c r="B17561" t="s">
        <v>4365</v>
      </c>
      <c r="C17561" t="s">
        <v>10</v>
      </c>
      <c r="D17561" t="s">
        <v>119</v>
      </c>
      <c r="E17561">
        <f t="shared" si="833"/>
        <v>1.4492753623188406E-2</v>
      </c>
      <c r="F17561">
        <v>79</v>
      </c>
      <c r="G17561">
        <f>LOG(382/(79+1))</f>
        <v>0.67897337591976514</v>
      </c>
      <c r="H17561">
        <f>0.0144927536231884*1.56339397393269</f>
        <v>2.2657883680183906E-2</v>
      </c>
      <c r="I17561">
        <v>2.2657883680183961E-2</v>
      </c>
    </row>
    <row r="17562" spans="1:9" x14ac:dyDescent="0.25">
      <c r="A17562">
        <v>551</v>
      </c>
      <c r="B17562" t="s">
        <v>4365</v>
      </c>
      <c r="C17562" t="s">
        <v>10</v>
      </c>
      <c r="D17562" t="s">
        <v>38</v>
      </c>
      <c r="E17562">
        <f t="shared" si="833"/>
        <v>1.4492753623188406E-2</v>
      </c>
      <c r="F17562">
        <v>86</v>
      </c>
      <c r="G17562">
        <f>LOG(382/(86+1))</f>
        <v>0.64254411029309022</v>
      </c>
      <c r="H17562">
        <f>0.0144927536231884*1.47951248995199</f>
        <v>2.1442209999304195E-2</v>
      </c>
      <c r="I17562">
        <v>2.144220999930422E-2</v>
      </c>
    </row>
    <row r="17563" spans="1:9" x14ac:dyDescent="0.25">
      <c r="A17563">
        <v>551</v>
      </c>
      <c r="B17563" t="s">
        <v>4365</v>
      </c>
      <c r="C17563" t="s">
        <v>10</v>
      </c>
      <c r="D17563" t="s">
        <v>404</v>
      </c>
      <c r="E17563">
        <f t="shared" si="833"/>
        <v>1.4492753623188406E-2</v>
      </c>
      <c r="F17563">
        <v>22</v>
      </c>
      <c r="G17563">
        <f>LOG(382/(22+1))</f>
        <v>1.2203355268941158</v>
      </c>
      <c r="H17563">
        <f>0.0144927536231884*2.80992639267742</f>
        <v>4.0723570908368388E-2</v>
      </c>
      <c r="I17563">
        <v>4.0723570908368492E-2</v>
      </c>
    </row>
    <row r="17564" spans="1:9" x14ac:dyDescent="0.25">
      <c r="A17564">
        <v>551</v>
      </c>
      <c r="B17564" t="s">
        <v>4365</v>
      </c>
      <c r="C17564" t="s">
        <v>10</v>
      </c>
      <c r="D17564" t="s">
        <v>39</v>
      </c>
      <c r="E17564">
        <f t="shared" si="833"/>
        <v>1.4492753623188406E-2</v>
      </c>
      <c r="F17564">
        <v>145</v>
      </c>
      <c r="G17564">
        <f>LOG(382/(145+1))</f>
        <v>0.41771050712727159</v>
      </c>
      <c r="H17564">
        <f>0.0144927536231884*0.961813986898238</f>
        <v>1.393933314345272E-2</v>
      </c>
      <c r="I17564">
        <v>1.3939333143452739E-2</v>
      </c>
    </row>
    <row r="17565" spans="1:9" x14ac:dyDescent="0.25">
      <c r="A17565">
        <v>551</v>
      </c>
      <c r="B17565" t="s">
        <v>4365</v>
      </c>
      <c r="C17565" t="s">
        <v>10</v>
      </c>
      <c r="D17565" t="s">
        <v>823</v>
      </c>
      <c r="E17565">
        <f t="shared" si="833"/>
        <v>1.4492753623188406E-2</v>
      </c>
      <c r="F17565">
        <v>45</v>
      </c>
      <c r="G17565">
        <f>LOG(382/(45+1))</f>
        <v>0.9193055312301347</v>
      </c>
      <c r="H17565">
        <f>0.0144927536231884*2.11677921211748</f>
        <v>3.06779595959055E-2</v>
      </c>
      <c r="I17565">
        <v>3.067795959590551E-2</v>
      </c>
    </row>
    <row r="17566" spans="1:9" x14ac:dyDescent="0.25">
      <c r="A17566">
        <v>551</v>
      </c>
      <c r="B17566" t="s">
        <v>4365</v>
      </c>
      <c r="C17566" t="s">
        <v>10</v>
      </c>
      <c r="D17566" t="s">
        <v>111</v>
      </c>
      <c r="E17566">
        <f>4/69</f>
        <v>5.7971014492753624E-2</v>
      </c>
      <c r="F17566">
        <v>33</v>
      </c>
      <c r="G17566">
        <f>LOG(382/(33+1))</f>
        <v>1.0505844458694535</v>
      </c>
      <c r="H17566">
        <f>0.0579710144927536*2.41906008399041</f>
        <v>0.14023536718784982</v>
      </c>
      <c r="I17566">
        <v>0.1402353671878501</v>
      </c>
    </row>
    <row r="17567" spans="1:9" x14ac:dyDescent="0.25">
      <c r="A17567">
        <v>551</v>
      </c>
      <c r="B17567" t="s">
        <v>4365</v>
      </c>
      <c r="C17567" t="s">
        <v>10</v>
      </c>
      <c r="D17567" t="s">
        <v>609</v>
      </c>
      <c r="E17567">
        <f>4/69</f>
        <v>5.7971014492753624E-2</v>
      </c>
      <c r="F17567">
        <v>3</v>
      </c>
      <c r="G17567">
        <f>LOG(382/(3+1))</f>
        <v>1.9800033715837464</v>
      </c>
      <c r="H17567">
        <f>0.0579710144927536*4.55912624748668</f>
        <v>0.26429717376734368</v>
      </c>
      <c r="I17567">
        <v>0.26429717376734402</v>
      </c>
    </row>
    <row r="17568" spans="1:9" x14ac:dyDescent="0.25">
      <c r="A17568">
        <v>551</v>
      </c>
      <c r="B17568" t="s">
        <v>4365</v>
      </c>
      <c r="C17568" t="s">
        <v>10</v>
      </c>
      <c r="D17568" t="s">
        <v>432</v>
      </c>
      <c r="E17568">
        <f>2/69</f>
        <v>2.8985507246376812E-2</v>
      </c>
      <c r="F17568">
        <v>67</v>
      </c>
      <c r="G17568">
        <f>LOG(382/(67+1))</f>
        <v>0.7495544502054724</v>
      </c>
      <c r="H17568">
        <f>0.0289855072463768*1.72591290343046</f>
        <v>5.0026460968998827E-2</v>
      </c>
      <c r="I17568">
        <v>5.0026460968999077E-2</v>
      </c>
    </row>
    <row r="17569" spans="1:9" x14ac:dyDescent="0.25">
      <c r="A17569">
        <v>551</v>
      </c>
      <c r="B17569" t="s">
        <v>4365</v>
      </c>
      <c r="C17569" t="s">
        <v>10</v>
      </c>
      <c r="D17569" t="s">
        <v>168</v>
      </c>
      <c r="E17569">
        <f>3/69</f>
        <v>4.3478260869565216E-2</v>
      </c>
      <c r="F17569">
        <v>34</v>
      </c>
      <c r="G17569">
        <f>LOG(382/(34+1))</f>
        <v>1.037995318561433</v>
      </c>
      <c r="H17569">
        <f>0.0434782608695652*2.39007254711716</f>
        <v>0.10391619770074605</v>
      </c>
      <c r="I17569">
        <v>0.1039161977007461</v>
      </c>
    </row>
    <row r="17570" spans="1:9" x14ac:dyDescent="0.25">
      <c r="A17570">
        <v>551</v>
      </c>
      <c r="B17570" t="s">
        <v>4365</v>
      </c>
      <c r="C17570" t="s">
        <v>10</v>
      </c>
      <c r="D17570" t="s">
        <v>2431</v>
      </c>
      <c r="E17570">
        <f>2/69</f>
        <v>2.8985507246376812E-2</v>
      </c>
      <c r="F17570">
        <v>12</v>
      </c>
      <c r="G17570">
        <f>LOG(382/(12+1))</f>
        <v>1.468120010604872</v>
      </c>
      <c r="H17570">
        <f>0.0289855072463768*3.38047125114503</f>
        <v>9.7984673946232725E-2</v>
      </c>
      <c r="I17570">
        <v>9.7984673946233003E-2</v>
      </c>
    </row>
    <row r="17571" spans="1:9" x14ac:dyDescent="0.25">
      <c r="A17571">
        <v>551</v>
      </c>
      <c r="B17571" t="s">
        <v>4365</v>
      </c>
      <c r="C17571" t="s">
        <v>10</v>
      </c>
      <c r="D17571" t="s">
        <v>133</v>
      </c>
      <c r="E17571">
        <f>1/69</f>
        <v>1.4492753623188406E-2</v>
      </c>
      <c r="F17571">
        <v>142</v>
      </c>
      <c r="G17571">
        <f>LOG(382/(142+1))</f>
        <v>0.42672732544664693</v>
      </c>
      <c r="H17571">
        <f>0.0144927536231884*0.982575978346667</f>
        <v>1.4240231570241546E-2</v>
      </c>
      <c r="I17571">
        <v>1.424023157024156E-2</v>
      </c>
    </row>
    <row r="17572" spans="1:9" x14ac:dyDescent="0.25">
      <c r="A17572">
        <v>551</v>
      </c>
      <c r="B17572" t="s">
        <v>4365</v>
      </c>
      <c r="C17572" t="s">
        <v>10</v>
      </c>
      <c r="D17572" t="s">
        <v>76</v>
      </c>
      <c r="E17572">
        <f>2/69</f>
        <v>2.8985507246376812E-2</v>
      </c>
      <c r="F17572">
        <v>140</v>
      </c>
      <c r="G17572">
        <f>LOG(382/(140+1))</f>
        <v>0.43284425025632883</v>
      </c>
      <c r="H17572">
        <f>0.0289855072463768*0.996660718228407</f>
        <v>2.8888716470388598E-2</v>
      </c>
      <c r="I17572">
        <v>2.8888716470388608E-2</v>
      </c>
    </row>
    <row r="17573" spans="1:9" x14ac:dyDescent="0.25">
      <c r="A17573">
        <v>551</v>
      </c>
      <c r="B17573" t="s">
        <v>4365</v>
      </c>
      <c r="C17573" t="s">
        <v>10</v>
      </c>
      <c r="D17573" t="s">
        <v>1291</v>
      </c>
      <c r="E17573">
        <f t="shared" ref="E17573:E17578" si="834">1/69</f>
        <v>1.4492753623188406E-2</v>
      </c>
      <c r="F17573">
        <v>2</v>
      </c>
      <c r="G17573">
        <f>LOG(382/(2+1))</f>
        <v>2.1049421081920463</v>
      </c>
      <c r="H17573">
        <f>0.0144927536231884*4.84680831993846</f>
        <v>7.0243598839687796E-2</v>
      </c>
      <c r="I17573">
        <v>7.0243598839687907E-2</v>
      </c>
    </row>
    <row r="17574" spans="1:9" x14ac:dyDescent="0.25">
      <c r="A17574">
        <v>551</v>
      </c>
      <c r="B17574" t="s">
        <v>4365</v>
      </c>
      <c r="C17574" t="s">
        <v>10</v>
      </c>
      <c r="D17574" t="s">
        <v>911</v>
      </c>
      <c r="E17574">
        <f t="shared" si="834"/>
        <v>1.4492753623188406E-2</v>
      </c>
      <c r="F17574">
        <v>22</v>
      </c>
      <c r="G17574">
        <f>LOG(382/(22+1))</f>
        <v>1.2203355268941158</v>
      </c>
      <c r="H17574">
        <f>0.0144927536231884*2.80992639267742</f>
        <v>4.0723570908368388E-2</v>
      </c>
      <c r="I17574">
        <v>4.0723570908368492E-2</v>
      </c>
    </row>
    <row r="17575" spans="1:9" x14ac:dyDescent="0.25">
      <c r="A17575">
        <v>551</v>
      </c>
      <c r="B17575" t="s">
        <v>4365</v>
      </c>
      <c r="C17575" t="s">
        <v>10</v>
      </c>
      <c r="D17575" t="s">
        <v>625</v>
      </c>
      <c r="E17575">
        <f t="shared" si="834"/>
        <v>1.4492753623188406E-2</v>
      </c>
      <c r="F17575">
        <v>5</v>
      </c>
      <c r="G17575">
        <f>LOG(382/(5+1))</f>
        <v>1.803912112528065</v>
      </c>
      <c r="H17575">
        <f>0.0144927536231884*4.15366113937852</f>
        <v>6.0197987527224904E-2</v>
      </c>
      <c r="I17575">
        <v>6.0197987527224918E-2</v>
      </c>
    </row>
    <row r="17576" spans="1:9" x14ac:dyDescent="0.25">
      <c r="A17576">
        <v>551</v>
      </c>
      <c r="B17576" t="s">
        <v>4365</v>
      </c>
      <c r="C17576" t="s">
        <v>10</v>
      </c>
      <c r="D17576" t="s">
        <v>448</v>
      </c>
      <c r="E17576">
        <f t="shared" si="834"/>
        <v>1.4492753623188406E-2</v>
      </c>
      <c r="F17576">
        <v>19</v>
      </c>
      <c r="G17576">
        <f>LOG(382/(19+1))</f>
        <v>1.2810333672477277</v>
      </c>
      <c r="H17576">
        <f>0.0144927536231884*2.94968833505258</f>
        <v>4.2749106305109842E-2</v>
      </c>
      <c r="I17576">
        <v>4.2749106305109918E-2</v>
      </c>
    </row>
    <row r="17577" spans="1:9" x14ac:dyDescent="0.25">
      <c r="A17577">
        <v>551</v>
      </c>
      <c r="B17577" t="s">
        <v>4365</v>
      </c>
      <c r="C17577" t="s">
        <v>10</v>
      </c>
      <c r="D17577" t="s">
        <v>596</v>
      </c>
      <c r="E17577">
        <f t="shared" si="834"/>
        <v>1.4492753623188406E-2</v>
      </c>
      <c r="F17577">
        <v>60</v>
      </c>
      <c r="G17577">
        <f>LOG(382/(60+1))</f>
        <v>0.79673352790094176</v>
      </c>
      <c r="H17577">
        <f>0.0144927536231884*1.83454674443326</f>
        <v>2.6587633977293613E-2</v>
      </c>
      <c r="I17577">
        <v>2.6587633977293679E-2</v>
      </c>
    </row>
    <row r="17578" spans="1:9" x14ac:dyDescent="0.25">
      <c r="A17578">
        <v>551</v>
      </c>
      <c r="B17578" t="s">
        <v>4365</v>
      </c>
      <c r="C17578" t="s">
        <v>10</v>
      </c>
      <c r="D17578" t="s">
        <v>580</v>
      </c>
      <c r="E17578">
        <f t="shared" si="834"/>
        <v>1.4492753623188406E-2</v>
      </c>
      <c r="F17578">
        <v>17</v>
      </c>
      <c r="G17578">
        <f>LOG(382/(17+1))</f>
        <v>1.3267908578084027</v>
      </c>
      <c r="H17578">
        <f>0.0144927536231884*3.05504885071041</f>
        <v>4.4276070300150849E-2</v>
      </c>
      <c r="I17578">
        <v>4.4276070300150877E-2</v>
      </c>
    </row>
    <row r="17579" spans="1:9" x14ac:dyDescent="0.25">
      <c r="A17579">
        <v>551</v>
      </c>
      <c r="B17579" t="s">
        <v>4365</v>
      </c>
      <c r="C17579" t="s">
        <v>10</v>
      </c>
      <c r="D17579" t="s">
        <v>600</v>
      </c>
      <c r="E17579">
        <f>2/69</f>
        <v>2.8985507246376812E-2</v>
      </c>
      <c r="F17579">
        <v>102</v>
      </c>
      <c r="G17579">
        <f>LOG(382/(102+1))</f>
        <v>0.56922613820653656</v>
      </c>
      <c r="H17579">
        <f>0.0289855072463768*1.31069162037693</f>
        <v>3.7991061460200856E-2</v>
      </c>
      <c r="I17579">
        <v>3.7991061460201141E-2</v>
      </c>
    </row>
    <row r="17580" spans="1:9" x14ac:dyDescent="0.25">
      <c r="A17580">
        <v>551</v>
      </c>
      <c r="B17580" t="s">
        <v>4365</v>
      </c>
      <c r="C17580" t="s">
        <v>10</v>
      </c>
      <c r="D17580" t="s">
        <v>1539</v>
      </c>
      <c r="E17580">
        <f>1/69</f>
        <v>1.4492753623188406E-2</v>
      </c>
      <c r="F17580">
        <v>6</v>
      </c>
      <c r="G17580">
        <f>LOG(382/(6+1))</f>
        <v>1.736965322897452</v>
      </c>
      <c r="H17580">
        <f>0.0144927536231884*3.99951045955126</f>
        <v>5.7963919703641432E-2</v>
      </c>
      <c r="I17580">
        <v>5.7963919703641467E-2</v>
      </c>
    </row>
    <row r="17581" spans="1:9" x14ac:dyDescent="0.25">
      <c r="A17581">
        <v>551</v>
      </c>
      <c r="B17581" t="s">
        <v>4365</v>
      </c>
      <c r="C17581" t="s">
        <v>10</v>
      </c>
      <c r="D17581" t="s">
        <v>4371</v>
      </c>
      <c r="E17581">
        <f>1/69</f>
        <v>1.4492753623188406E-2</v>
      </c>
      <c r="F17581">
        <v>1</v>
      </c>
      <c r="G17581">
        <f>LOG(382/(1+1))</f>
        <v>2.2810333672477277</v>
      </c>
      <c r="H17581">
        <f>0.0144927536231884*5.25227342804663</f>
        <v>7.6119904754298959E-2</v>
      </c>
      <c r="I17581">
        <v>7.6119904754298987E-2</v>
      </c>
    </row>
    <row r="17582" spans="1:9" x14ac:dyDescent="0.25">
      <c r="A17582">
        <v>551</v>
      </c>
      <c r="B17582" t="s">
        <v>4365</v>
      </c>
      <c r="C17582" t="s">
        <v>10</v>
      </c>
      <c r="D17582" t="s">
        <v>4372</v>
      </c>
      <c r="E17582">
        <f>1/69</f>
        <v>1.4492753623188406E-2</v>
      </c>
      <c r="F17582">
        <v>1</v>
      </c>
      <c r="G17582">
        <f>LOG(382/(1+1))</f>
        <v>2.2810333672477277</v>
      </c>
      <c r="H17582">
        <f>0.0144927536231884*5.25227342804663</f>
        <v>7.6119904754298959E-2</v>
      </c>
      <c r="I17582">
        <v>7.6119904754298987E-2</v>
      </c>
    </row>
    <row r="17583" spans="1:9" x14ac:dyDescent="0.25">
      <c r="A17583">
        <v>552</v>
      </c>
      <c r="B17583" t="s">
        <v>4373</v>
      </c>
      <c r="C17583" t="s">
        <v>10</v>
      </c>
      <c r="D17583" t="s">
        <v>1984</v>
      </c>
      <c r="E17583">
        <f t="shared" ref="E17583:E17591" si="835">1/41</f>
        <v>2.4390243902439025E-2</v>
      </c>
      <c r="F17583">
        <v>7</v>
      </c>
      <c r="G17583">
        <f>LOG(382/(7+1))</f>
        <v>1.6789733759197651</v>
      </c>
      <c r="H17583">
        <f>0.024390243902439*3.86597906692673</f>
        <v>9.4292172364066507E-2</v>
      </c>
      <c r="I17583">
        <v>9.4292172364066812E-2</v>
      </c>
    </row>
    <row r="17584" spans="1:9" x14ac:dyDescent="0.25">
      <c r="A17584">
        <v>552</v>
      </c>
      <c r="B17584" t="s">
        <v>4373</v>
      </c>
      <c r="C17584" t="s">
        <v>10</v>
      </c>
      <c r="D17584" t="s">
        <v>1407</v>
      </c>
      <c r="E17584">
        <f t="shared" si="835"/>
        <v>2.4390243902439025E-2</v>
      </c>
      <c r="F17584">
        <v>16</v>
      </c>
      <c r="G17584">
        <f>LOG(382/(16+1))</f>
        <v>1.3516144415334348</v>
      </c>
      <c r="H17584">
        <f>0.024390243902439*3.11220726455035</f>
        <v>7.5907494257325528E-2</v>
      </c>
      <c r="I17584">
        <v>7.5907494257325833E-2</v>
      </c>
    </row>
    <row r="17585" spans="1:9" x14ac:dyDescent="0.25">
      <c r="A17585">
        <v>552</v>
      </c>
      <c r="B17585" t="s">
        <v>4373</v>
      </c>
      <c r="C17585" t="s">
        <v>10</v>
      </c>
      <c r="D17585" t="s">
        <v>196</v>
      </c>
      <c r="E17585">
        <f t="shared" si="835"/>
        <v>2.4390243902439025E-2</v>
      </c>
      <c r="F17585">
        <v>33</v>
      </c>
      <c r="G17585">
        <f>LOG(382/(33+1))</f>
        <v>1.0505844458694535</v>
      </c>
      <c r="H17585">
        <f>0.024390243902439*2.41906008399041</f>
        <v>5.9001465463180677E-2</v>
      </c>
      <c r="I17585">
        <v>5.9001465463180823E-2</v>
      </c>
    </row>
    <row r="17586" spans="1:9" x14ac:dyDescent="0.25">
      <c r="A17586">
        <v>552</v>
      </c>
      <c r="B17586" t="s">
        <v>4373</v>
      </c>
      <c r="C17586" t="s">
        <v>10</v>
      </c>
      <c r="D17586" t="s">
        <v>432</v>
      </c>
      <c r="E17586">
        <f t="shared" si="835"/>
        <v>2.4390243902439025E-2</v>
      </c>
      <c r="F17586">
        <v>67</v>
      </c>
      <c r="G17586">
        <f>LOG(382/(67+1))</f>
        <v>0.7495544502054724</v>
      </c>
      <c r="H17586">
        <f>0.024390243902439*1.72591290343046</f>
        <v>4.209543666903557E-2</v>
      </c>
      <c r="I17586">
        <v>4.2095436669035813E-2</v>
      </c>
    </row>
    <row r="17587" spans="1:9" x14ac:dyDescent="0.25">
      <c r="A17587">
        <v>552</v>
      </c>
      <c r="B17587" t="s">
        <v>4373</v>
      </c>
      <c r="C17587" t="s">
        <v>10</v>
      </c>
      <c r="D17587" t="s">
        <v>168</v>
      </c>
      <c r="E17587">
        <f t="shared" si="835"/>
        <v>2.4390243902439025E-2</v>
      </c>
      <c r="F17587">
        <v>34</v>
      </c>
      <c r="G17587">
        <f>LOG(382/(34+1))</f>
        <v>1.037995318561433</v>
      </c>
      <c r="H17587">
        <f>0.024390243902439*2.39007254711716</f>
        <v>5.8294452368711162E-2</v>
      </c>
      <c r="I17587">
        <v>5.8294452368711253E-2</v>
      </c>
    </row>
    <row r="17588" spans="1:9" x14ac:dyDescent="0.25">
      <c r="A17588">
        <v>552</v>
      </c>
      <c r="B17588" t="s">
        <v>4373</v>
      </c>
      <c r="C17588" t="s">
        <v>10</v>
      </c>
      <c r="D17588" t="s">
        <v>600</v>
      </c>
      <c r="E17588">
        <f t="shared" si="835"/>
        <v>2.4390243902439025E-2</v>
      </c>
      <c r="F17588">
        <v>102</v>
      </c>
      <c r="G17588">
        <f>LOG(382/(102+1))</f>
        <v>0.56922613820653656</v>
      </c>
      <c r="H17588">
        <f>0.024390243902439*1.31069162037693</f>
        <v>3.1968088301876314E-2</v>
      </c>
      <c r="I17588">
        <v>3.1968088301876571E-2</v>
      </c>
    </row>
    <row r="17589" spans="1:9" x14ac:dyDescent="0.25">
      <c r="A17589">
        <v>552</v>
      </c>
      <c r="B17589" t="s">
        <v>4373</v>
      </c>
      <c r="C17589" t="s">
        <v>10</v>
      </c>
      <c r="D17589" t="s">
        <v>2431</v>
      </c>
      <c r="E17589">
        <f t="shared" si="835"/>
        <v>2.4390243902439025E-2</v>
      </c>
      <c r="F17589">
        <v>12</v>
      </c>
      <c r="G17589">
        <f>LOG(382/(12+1))</f>
        <v>1.468120010604872</v>
      </c>
      <c r="H17589">
        <f>0.024390243902439*3.38047125114503</f>
        <v>8.2450518320610414E-2</v>
      </c>
      <c r="I17589">
        <v>8.2450518320610705E-2</v>
      </c>
    </row>
    <row r="17590" spans="1:9" x14ac:dyDescent="0.25">
      <c r="A17590">
        <v>552</v>
      </c>
      <c r="B17590" t="s">
        <v>4373</v>
      </c>
      <c r="C17590" t="s">
        <v>10</v>
      </c>
      <c r="D17590" t="s">
        <v>2711</v>
      </c>
      <c r="E17590">
        <f t="shared" si="835"/>
        <v>2.4390243902439025E-2</v>
      </c>
      <c r="F17590">
        <v>3</v>
      </c>
      <c r="G17590">
        <f>LOG(382/(3+1))</f>
        <v>1.9800033715837464</v>
      </c>
      <c r="H17590">
        <f>0.024390243902439*4.55912624748668</f>
        <v>0.11119820115821161</v>
      </c>
      <c r="I17590">
        <v>0.1111982011582118</v>
      </c>
    </row>
    <row r="17591" spans="1:9" x14ac:dyDescent="0.25">
      <c r="A17591">
        <v>552</v>
      </c>
      <c r="B17591" t="s">
        <v>4373</v>
      </c>
      <c r="C17591" t="s">
        <v>10</v>
      </c>
      <c r="D17591" t="s">
        <v>786</v>
      </c>
      <c r="E17591">
        <f t="shared" si="835"/>
        <v>2.4390243902439025E-2</v>
      </c>
      <c r="F17591">
        <v>11</v>
      </c>
      <c r="G17591">
        <f>LOG(382/(11+1))</f>
        <v>1.5028821168640838</v>
      </c>
      <c r="H17591">
        <f>0.024390243902439*3.46051395881857</f>
        <v>8.4402779483379681E-2</v>
      </c>
      <c r="I17591">
        <v>8.4402779483379875E-2</v>
      </c>
    </row>
    <row r="17592" spans="1:9" x14ac:dyDescent="0.25">
      <c r="A17592">
        <v>552</v>
      </c>
      <c r="B17592" t="s">
        <v>4373</v>
      </c>
      <c r="C17592" t="s">
        <v>10</v>
      </c>
      <c r="D17592" t="s">
        <v>315</v>
      </c>
      <c r="E17592">
        <f>4/41</f>
        <v>9.7560975609756101E-2</v>
      </c>
      <c r="F17592">
        <v>55</v>
      </c>
      <c r="G17592">
        <f>LOG(382/(55+1))</f>
        <v>0.83387533590550833</v>
      </c>
      <c r="H17592">
        <f>0.0975609756097561*1.92006891787142</f>
        <v>0.18732379686550441</v>
      </c>
      <c r="I17592">
        <v>0.18732379686550499</v>
      </c>
    </row>
    <row r="17593" spans="1:9" x14ac:dyDescent="0.25">
      <c r="A17593">
        <v>552</v>
      </c>
      <c r="B17593" t="s">
        <v>4373</v>
      </c>
      <c r="C17593" t="s">
        <v>10</v>
      </c>
      <c r="D17593" t="s">
        <v>115</v>
      </c>
      <c r="E17593">
        <f>3/41</f>
        <v>7.3170731707317069E-2</v>
      </c>
      <c r="F17593">
        <v>17</v>
      </c>
      <c r="G17593">
        <f>LOG(382/(17+1))</f>
        <v>1.3267908578084027</v>
      </c>
      <c r="H17593">
        <f>0.073170731707317*3.05504885071041</f>
        <v>0.22354015980807854</v>
      </c>
      <c r="I17593">
        <v>0.22354015980807879</v>
      </c>
    </row>
    <row r="17594" spans="1:9" x14ac:dyDescent="0.25">
      <c r="A17594">
        <v>552</v>
      </c>
      <c r="B17594" t="s">
        <v>4373</v>
      </c>
      <c r="C17594" t="s">
        <v>10</v>
      </c>
      <c r="D17594" t="s">
        <v>2399</v>
      </c>
      <c r="E17594">
        <f>3/41</f>
        <v>7.3170731707317069E-2</v>
      </c>
      <c r="F17594">
        <v>2</v>
      </c>
      <c r="G17594">
        <f>LOG(382/(2+1))</f>
        <v>2.1049421081920463</v>
      </c>
      <c r="H17594">
        <f>0.073170731707317*4.84680831993846</f>
        <v>0.3546445112150089</v>
      </c>
      <c r="I17594">
        <v>0.35464451121500962</v>
      </c>
    </row>
    <row r="17595" spans="1:9" x14ac:dyDescent="0.25">
      <c r="A17595">
        <v>552</v>
      </c>
      <c r="B17595" t="s">
        <v>4373</v>
      </c>
      <c r="C17595" t="s">
        <v>10</v>
      </c>
      <c r="D17595" t="s">
        <v>133</v>
      </c>
      <c r="E17595">
        <f>3/41</f>
        <v>7.3170731707317069E-2</v>
      </c>
      <c r="F17595">
        <v>142</v>
      </c>
      <c r="G17595">
        <f>LOG(382/(142+1))</f>
        <v>0.42672732544664693</v>
      </c>
      <c r="H17595">
        <f>0.073170731707317*0.982575978346667</f>
        <v>7.1895803293658495E-2</v>
      </c>
      <c r="I17595">
        <v>7.1895803293658619E-2</v>
      </c>
    </row>
    <row r="17596" spans="1:9" x14ac:dyDescent="0.25">
      <c r="A17596">
        <v>552</v>
      </c>
      <c r="B17596" t="s">
        <v>4373</v>
      </c>
      <c r="C17596" t="s">
        <v>10</v>
      </c>
      <c r="D17596" t="s">
        <v>1730</v>
      </c>
      <c r="E17596">
        <f>1/41</f>
        <v>2.4390243902439025E-2</v>
      </c>
      <c r="F17596">
        <v>35</v>
      </c>
      <c r="G17596">
        <f>LOG(382/(35+1))</f>
        <v>1.0257608621444214</v>
      </c>
      <c r="H17596">
        <f>0.024390243902439*2.36190167015046</f>
        <v>5.7607357808547748E-2</v>
      </c>
      <c r="I17596">
        <v>5.7607357808547928E-2</v>
      </c>
    </row>
    <row r="17597" spans="1:9" x14ac:dyDescent="0.25">
      <c r="A17597">
        <v>552</v>
      </c>
      <c r="B17597" t="s">
        <v>4373</v>
      </c>
      <c r="C17597" t="s">
        <v>10</v>
      </c>
      <c r="D17597" t="s">
        <v>1733</v>
      </c>
      <c r="E17597">
        <f>1/41</f>
        <v>2.4390243902439025E-2</v>
      </c>
      <c r="F17597">
        <v>19</v>
      </c>
      <c r="G17597">
        <f>LOG(382/(19+1))</f>
        <v>1.2810333672477277</v>
      </c>
      <c r="H17597">
        <f>0.024390243902439*2.94968833505258</f>
        <v>7.1943617928111644E-2</v>
      </c>
      <c r="I17597">
        <v>7.1943617928111811E-2</v>
      </c>
    </row>
    <row r="17598" spans="1:9" x14ac:dyDescent="0.25">
      <c r="A17598">
        <v>552</v>
      </c>
      <c r="B17598" t="s">
        <v>4373</v>
      </c>
      <c r="C17598" t="s">
        <v>10</v>
      </c>
      <c r="D17598" t="s">
        <v>1921</v>
      </c>
      <c r="E17598">
        <f>1/41</f>
        <v>2.4390243902439025E-2</v>
      </c>
      <c r="F17598">
        <v>37</v>
      </c>
      <c r="G17598">
        <f>LOG(382/(37+1))</f>
        <v>1.0022797662948986</v>
      </c>
      <c r="H17598">
        <f>0.024390243902439*2.30783444888018</f>
        <v>5.6288645094638476E-2</v>
      </c>
      <c r="I17598">
        <v>5.628864509463876E-2</v>
      </c>
    </row>
    <row r="17599" spans="1:9" x14ac:dyDescent="0.25">
      <c r="A17599">
        <v>552</v>
      </c>
      <c r="B17599" t="s">
        <v>4373</v>
      </c>
      <c r="C17599" t="s">
        <v>10</v>
      </c>
      <c r="D17599" t="s">
        <v>11</v>
      </c>
      <c r="E17599">
        <f>2/41</f>
        <v>4.878048780487805E-2</v>
      </c>
      <c r="F17599">
        <v>83</v>
      </c>
      <c r="G17599">
        <f>LOG(382/(83+1))</f>
        <v>0.65778407684982709</v>
      </c>
      <c r="H17599">
        <f>0.048780487804878*1.51460380976326</f>
        <v>7.3883112671378467E-2</v>
      </c>
      <c r="I17599">
        <v>7.3883112671378606E-2</v>
      </c>
    </row>
    <row r="17600" spans="1:9" x14ac:dyDescent="0.25">
      <c r="A17600">
        <v>552</v>
      </c>
      <c r="B17600" t="s">
        <v>4373</v>
      </c>
      <c r="C17600" t="s">
        <v>10</v>
      </c>
      <c r="D17600" t="s">
        <v>3337</v>
      </c>
      <c r="E17600">
        <f>1/41</f>
        <v>2.4390243902439025E-2</v>
      </c>
      <c r="F17600">
        <v>3</v>
      </c>
      <c r="G17600">
        <f>LOG(382/(3+1))</f>
        <v>1.9800033715837464</v>
      </c>
      <c r="H17600">
        <f>0.024390243902439*4.55912624748668</f>
        <v>0.11119820115821161</v>
      </c>
      <c r="I17600">
        <v>0.1111982011582118</v>
      </c>
    </row>
    <row r="17601" spans="1:9" x14ac:dyDescent="0.25">
      <c r="A17601">
        <v>552</v>
      </c>
      <c r="B17601" t="s">
        <v>4373</v>
      </c>
      <c r="C17601" t="s">
        <v>10</v>
      </c>
      <c r="D17601" t="s">
        <v>937</v>
      </c>
      <c r="E17601">
        <f>2/41</f>
        <v>4.878048780487805E-2</v>
      </c>
      <c r="F17601">
        <v>41</v>
      </c>
      <c r="G17601">
        <f>LOG(382/(41+1))</f>
        <v>0.95881407251380824</v>
      </c>
      <c r="H17601">
        <f>0.048780487804878*2.2077509903232</f>
        <v>0.1076951702596682</v>
      </c>
      <c r="I17601">
        <v>0.1076951702596686</v>
      </c>
    </row>
    <row r="17602" spans="1:9" x14ac:dyDescent="0.25">
      <c r="A17602">
        <v>552</v>
      </c>
      <c r="B17602" t="s">
        <v>4373</v>
      </c>
      <c r="C17602" t="s">
        <v>10</v>
      </c>
      <c r="D17602" t="s">
        <v>316</v>
      </c>
      <c r="E17602">
        <f t="shared" ref="E17602:E17612" si="836">1/41</f>
        <v>2.4390243902439025E-2</v>
      </c>
      <c r="F17602">
        <v>6</v>
      </c>
      <c r="G17602">
        <f>LOG(382/(6+1))</f>
        <v>1.736965322897452</v>
      </c>
      <c r="H17602">
        <f>0.024390243902439*3.99951045955126</f>
        <v>9.7549035598811132E-2</v>
      </c>
      <c r="I17602">
        <v>9.7549035598811271E-2</v>
      </c>
    </row>
    <row r="17603" spans="1:9" x14ac:dyDescent="0.25">
      <c r="A17603">
        <v>552</v>
      </c>
      <c r="B17603" t="s">
        <v>4373</v>
      </c>
      <c r="C17603" t="s">
        <v>10</v>
      </c>
      <c r="D17603" t="s">
        <v>931</v>
      </c>
      <c r="E17603">
        <f t="shared" si="836"/>
        <v>2.4390243902439025E-2</v>
      </c>
      <c r="F17603">
        <v>22</v>
      </c>
      <c r="G17603">
        <f>LOG(382/(22+1))</f>
        <v>1.2203355268941158</v>
      </c>
      <c r="H17603">
        <f>0.024390243902439*2.80992639267742</f>
        <v>6.8534790065302859E-2</v>
      </c>
      <c r="I17603">
        <v>6.8534790065303067E-2</v>
      </c>
    </row>
    <row r="17604" spans="1:9" x14ac:dyDescent="0.25">
      <c r="A17604">
        <v>552</v>
      </c>
      <c r="B17604" t="s">
        <v>4373</v>
      </c>
      <c r="C17604" t="s">
        <v>10</v>
      </c>
      <c r="D17604" t="s">
        <v>79</v>
      </c>
      <c r="E17604">
        <f t="shared" si="836"/>
        <v>2.4390243902439025E-2</v>
      </c>
      <c r="F17604">
        <v>26</v>
      </c>
      <c r="G17604">
        <f>LOG(382/(26+1))</f>
        <v>1.1506995987527215</v>
      </c>
      <c r="H17604">
        <f>0.024390243902439*2.64958374260224</f>
        <v>6.4623993722005793E-2</v>
      </c>
      <c r="I17604">
        <v>6.4623993722006001E-2</v>
      </c>
    </row>
    <row r="17605" spans="1:9" x14ac:dyDescent="0.25">
      <c r="A17605">
        <v>552</v>
      </c>
      <c r="B17605" t="s">
        <v>4373</v>
      </c>
      <c r="C17605" t="s">
        <v>10</v>
      </c>
      <c r="D17605" t="s">
        <v>40</v>
      </c>
      <c r="E17605">
        <f t="shared" si="836"/>
        <v>2.4390243902439025E-2</v>
      </c>
      <c r="F17605">
        <v>159</v>
      </c>
      <c r="G17605">
        <f>LOG(382/(159+1))</f>
        <v>0.377943380255784</v>
      </c>
      <c r="H17605">
        <f>0.024390243902439*0.870246793372748</f>
        <v>2.122553154567676E-2</v>
      </c>
      <c r="I17605">
        <v>2.1225531545676791E-2</v>
      </c>
    </row>
    <row r="17606" spans="1:9" x14ac:dyDescent="0.25">
      <c r="A17606">
        <v>552</v>
      </c>
      <c r="B17606" t="s">
        <v>4373</v>
      </c>
      <c r="C17606" t="s">
        <v>10</v>
      </c>
      <c r="D17606" t="s">
        <v>41</v>
      </c>
      <c r="E17606">
        <f t="shared" si="836"/>
        <v>2.4390243902439025E-2</v>
      </c>
      <c r="F17606">
        <v>195</v>
      </c>
      <c r="G17606">
        <f>LOG(382/(195+1))</f>
        <v>0.28980729155523272</v>
      </c>
      <c r="H17606">
        <f>0.024390243902439*0.667305949376058</f>
        <v>1.6275754862830668E-2</v>
      </c>
      <c r="I17606">
        <v>1.6275754862830689E-2</v>
      </c>
    </row>
    <row r="17607" spans="1:9" x14ac:dyDescent="0.25">
      <c r="A17607">
        <v>552</v>
      </c>
      <c r="B17607" t="s">
        <v>4373</v>
      </c>
      <c r="C17607" t="s">
        <v>10</v>
      </c>
      <c r="D17607" t="s">
        <v>1727</v>
      </c>
      <c r="E17607">
        <f t="shared" si="836"/>
        <v>2.4390243902439025E-2</v>
      </c>
      <c r="F17607">
        <v>27</v>
      </c>
      <c r="G17607">
        <f>LOG(382/(27+1))</f>
        <v>1.1349053315694895</v>
      </c>
      <c r="H17607">
        <f>0.024390243902439*2.61321609843137</f>
        <v>6.3736978010521167E-2</v>
      </c>
      <c r="I17607">
        <v>6.373697801052125E-2</v>
      </c>
    </row>
    <row r="17608" spans="1:9" x14ac:dyDescent="0.25">
      <c r="A17608">
        <v>552</v>
      </c>
      <c r="B17608" t="s">
        <v>4373</v>
      </c>
      <c r="C17608" t="s">
        <v>10</v>
      </c>
      <c r="D17608" t="s">
        <v>2370</v>
      </c>
      <c r="E17608">
        <f t="shared" si="836"/>
        <v>2.4390243902439025E-2</v>
      </c>
      <c r="F17608">
        <v>3</v>
      </c>
      <c r="G17608">
        <f>LOG(382/(3+1))</f>
        <v>1.9800033715837464</v>
      </c>
      <c r="H17608">
        <f>0.024390243902439*4.55912624748668</f>
        <v>0.11119820115821161</v>
      </c>
      <c r="I17608">
        <v>0.1111982011582118</v>
      </c>
    </row>
    <row r="17609" spans="1:9" x14ac:dyDescent="0.25">
      <c r="A17609">
        <v>552</v>
      </c>
      <c r="B17609" t="s">
        <v>4373</v>
      </c>
      <c r="C17609" t="s">
        <v>10</v>
      </c>
      <c r="D17609" t="s">
        <v>4374</v>
      </c>
      <c r="E17609">
        <f t="shared" si="836"/>
        <v>2.4390243902439025E-2</v>
      </c>
      <c r="F17609">
        <v>1</v>
      </c>
      <c r="G17609">
        <f>LOG(382/(1+1))</f>
        <v>2.2810333672477277</v>
      </c>
      <c r="H17609">
        <f>0.024390243902439*5.25227342804663</f>
        <v>0.12810422995235671</v>
      </c>
      <c r="I17609">
        <v>0.12810422995235679</v>
      </c>
    </row>
    <row r="17610" spans="1:9" x14ac:dyDescent="0.25">
      <c r="A17610">
        <v>552</v>
      </c>
      <c r="B17610" t="s">
        <v>4373</v>
      </c>
      <c r="C17610" t="s">
        <v>10</v>
      </c>
      <c r="D17610" t="s">
        <v>4375</v>
      </c>
      <c r="E17610">
        <f t="shared" si="836"/>
        <v>2.4390243902439025E-2</v>
      </c>
      <c r="F17610">
        <v>1</v>
      </c>
      <c r="G17610">
        <f>LOG(382/(1+1))</f>
        <v>2.2810333672477277</v>
      </c>
      <c r="H17610">
        <f>0.024390243902439*5.25227342804663</f>
        <v>0.12810422995235671</v>
      </c>
      <c r="I17610">
        <v>0.12810422995235679</v>
      </c>
    </row>
    <row r="17611" spans="1:9" x14ac:dyDescent="0.25">
      <c r="A17611">
        <v>552</v>
      </c>
      <c r="B17611" t="s">
        <v>4373</v>
      </c>
      <c r="C17611" t="s">
        <v>10</v>
      </c>
      <c r="D17611" t="s">
        <v>50</v>
      </c>
      <c r="E17611">
        <f t="shared" si="836"/>
        <v>2.4390243902439025E-2</v>
      </c>
      <c r="F17611">
        <v>109</v>
      </c>
      <c r="G17611">
        <f>LOG(382/(109+1))</f>
        <v>0.54067067775348365</v>
      </c>
      <c r="H17611">
        <f>0.024390243902439*1.24494024281415</f>
        <v>3.0364396166198751E-2</v>
      </c>
      <c r="I17611">
        <v>3.0364396166199001E-2</v>
      </c>
    </row>
    <row r="17612" spans="1:9" x14ac:dyDescent="0.25">
      <c r="A17612">
        <v>552</v>
      </c>
      <c r="B17612" t="s">
        <v>4373</v>
      </c>
      <c r="C17612" t="s">
        <v>10</v>
      </c>
      <c r="D17612" t="s">
        <v>4376</v>
      </c>
      <c r="E17612">
        <f t="shared" si="836"/>
        <v>2.4390243902439025E-2</v>
      </c>
      <c r="F17612">
        <v>1</v>
      </c>
      <c r="G17612">
        <f>LOG(382/(1+1))</f>
        <v>2.2810333672477277</v>
      </c>
      <c r="H17612">
        <f>0.024390243902439*5.25227342804663</f>
        <v>0.12810422995235671</v>
      </c>
      <c r="I17612">
        <v>0.12810422995235679</v>
      </c>
    </row>
    <row r="17613" spans="1:9" x14ac:dyDescent="0.25">
      <c r="A17613">
        <v>553</v>
      </c>
      <c r="B17613" t="s">
        <v>4377</v>
      </c>
      <c r="C17613" t="s">
        <v>10</v>
      </c>
      <c r="D17613" t="s">
        <v>315</v>
      </c>
      <c r="E17613">
        <f>8/89</f>
        <v>8.98876404494382E-2</v>
      </c>
      <c r="F17613">
        <v>55</v>
      </c>
      <c r="G17613">
        <f>LOG(382/(55+1))</f>
        <v>0.83387533590550833</v>
      </c>
      <c r="H17613">
        <f>0.0898876404494382*1.92006891787142</f>
        <v>0.17259046452776811</v>
      </c>
      <c r="I17613">
        <v>0.17259046452776861</v>
      </c>
    </row>
    <row r="17614" spans="1:9" x14ac:dyDescent="0.25">
      <c r="A17614">
        <v>553</v>
      </c>
      <c r="B17614" t="s">
        <v>4377</v>
      </c>
      <c r="C17614" t="s">
        <v>10</v>
      </c>
      <c r="D17614" t="s">
        <v>4378</v>
      </c>
      <c r="E17614">
        <f>4/89</f>
        <v>4.49438202247191E-2</v>
      </c>
      <c r="F17614">
        <v>1</v>
      </c>
      <c r="G17614">
        <f>LOG(382/(1+1))</f>
        <v>2.2810333672477277</v>
      </c>
      <c r="H17614">
        <f>0.0449438202247191*5.25227342804663</f>
        <v>0.23605723272119683</v>
      </c>
      <c r="I17614">
        <v>0.2360572327211968</v>
      </c>
    </row>
    <row r="17615" spans="1:9" x14ac:dyDescent="0.25">
      <c r="A17615">
        <v>553</v>
      </c>
      <c r="B17615" t="s">
        <v>4377</v>
      </c>
      <c r="C17615" t="s">
        <v>10</v>
      </c>
      <c r="D17615" t="s">
        <v>19</v>
      </c>
      <c r="E17615">
        <f>1/89</f>
        <v>1.1235955056179775E-2</v>
      </c>
      <c r="F17615">
        <v>220</v>
      </c>
      <c r="G17615">
        <f>LOG(382/(220+1))</f>
        <v>0.23767108922659805</v>
      </c>
      <c r="H17615">
        <f>0.0112359550561797*0.547257907088822</f>
        <v>6.1489652481889704E-3</v>
      </c>
      <c r="I17615">
        <v>6.1489652481890164E-3</v>
      </c>
    </row>
    <row r="17616" spans="1:9" x14ac:dyDescent="0.25">
      <c r="A17616">
        <v>553</v>
      </c>
      <c r="B17616" t="s">
        <v>4377</v>
      </c>
      <c r="C17616" t="s">
        <v>10</v>
      </c>
      <c r="D17616" t="s">
        <v>41</v>
      </c>
      <c r="E17616">
        <f>3/89</f>
        <v>3.3707865168539325E-2</v>
      </c>
      <c r="F17616">
        <v>195</v>
      </c>
      <c r="G17616">
        <f>LOG(382/(195+1))</f>
        <v>0.28980729155523272</v>
      </c>
      <c r="H17616">
        <f>0.0337078651685393*0.667305949376058</f>
        <v>2.2493458967732274E-2</v>
      </c>
      <c r="I17616">
        <v>2.2493458967732291E-2</v>
      </c>
    </row>
    <row r="17617" spans="1:9" x14ac:dyDescent="0.25">
      <c r="A17617">
        <v>553</v>
      </c>
      <c r="B17617" t="s">
        <v>4377</v>
      </c>
      <c r="C17617" t="s">
        <v>10</v>
      </c>
      <c r="D17617" t="s">
        <v>22</v>
      </c>
      <c r="E17617">
        <f t="shared" ref="E17617:E17622" si="837">1/89</f>
        <v>1.1235955056179775E-2</v>
      </c>
      <c r="F17617">
        <v>259</v>
      </c>
      <c r="G17617">
        <f>LOG(382/(259+1))</f>
        <v>0.16709001494089079</v>
      </c>
      <c r="H17617">
        <f>0.0112359550561797*0.384738977591047</f>
        <v>4.3229098605735332E-3</v>
      </c>
      <c r="I17617">
        <v>4.3229098605735679E-3</v>
      </c>
    </row>
    <row r="17618" spans="1:9" x14ac:dyDescent="0.25">
      <c r="A17618">
        <v>553</v>
      </c>
      <c r="B17618" t="s">
        <v>4377</v>
      </c>
      <c r="C17618" t="s">
        <v>10</v>
      </c>
      <c r="D17618" t="s">
        <v>23</v>
      </c>
      <c r="E17618">
        <f t="shared" si="837"/>
        <v>1.1235955056179775E-2</v>
      </c>
      <c r="F17618">
        <v>275</v>
      </c>
      <c r="G17618">
        <f>LOG(382/(275+1))</f>
        <v>0.14115428084649101</v>
      </c>
      <c r="H17618">
        <f>0.0112359550561797*0.325019742889425</f>
        <v>3.6519072234766606E-3</v>
      </c>
      <c r="I17618">
        <v>3.6519072234766871E-3</v>
      </c>
    </row>
    <row r="17619" spans="1:9" x14ac:dyDescent="0.25">
      <c r="A17619">
        <v>553</v>
      </c>
      <c r="B17619" t="s">
        <v>4377</v>
      </c>
      <c r="C17619" t="s">
        <v>10</v>
      </c>
      <c r="D17619" t="s">
        <v>247</v>
      </c>
      <c r="E17619">
        <f t="shared" si="837"/>
        <v>1.1235955056179775E-2</v>
      </c>
      <c r="F17619">
        <v>121</v>
      </c>
      <c r="G17619">
        <f>LOG(382/(121+1))</f>
        <v>0.49570353223696051</v>
      </c>
      <c r="H17619">
        <f>0.0112359550561797*1.14139956387331</f>
        <v>1.2824714200823624E-2</v>
      </c>
      <c r="I17619">
        <v>1.282471420082381E-2</v>
      </c>
    </row>
    <row r="17620" spans="1:9" x14ac:dyDescent="0.25">
      <c r="A17620">
        <v>553</v>
      </c>
      <c r="B17620" t="s">
        <v>4377</v>
      </c>
      <c r="C17620" t="s">
        <v>10</v>
      </c>
      <c r="D17620" t="s">
        <v>39</v>
      </c>
      <c r="E17620">
        <f t="shared" si="837"/>
        <v>1.1235955056179775E-2</v>
      </c>
      <c r="F17620">
        <v>145</v>
      </c>
      <c r="G17620">
        <f>LOG(382/(145+1))</f>
        <v>0.41771050712727159</v>
      </c>
      <c r="H17620">
        <f>0.0112359550561797*0.961813986898238</f>
        <v>1.0806898729193614E-2</v>
      </c>
      <c r="I17620">
        <v>1.080689872919369E-2</v>
      </c>
    </row>
    <row r="17621" spans="1:9" x14ac:dyDescent="0.25">
      <c r="A17621">
        <v>553</v>
      </c>
      <c r="B17621" t="s">
        <v>4377</v>
      </c>
      <c r="C17621" t="s">
        <v>10</v>
      </c>
      <c r="D17621" t="s">
        <v>4379</v>
      </c>
      <c r="E17621">
        <f t="shared" si="837"/>
        <v>1.1235955056179775E-2</v>
      </c>
      <c r="F17621">
        <v>3</v>
      </c>
      <c r="G17621">
        <f>LOG(382/(3+1))</f>
        <v>1.9800033715837464</v>
      </c>
      <c r="H17621">
        <f>0.0112359550561797*4.55912624748668</f>
        <v>5.1226137612209545E-2</v>
      </c>
      <c r="I17621">
        <v>5.1226137612209927E-2</v>
      </c>
    </row>
    <row r="17622" spans="1:9" x14ac:dyDescent="0.25">
      <c r="A17622">
        <v>553</v>
      </c>
      <c r="B17622" t="s">
        <v>4377</v>
      </c>
      <c r="C17622" t="s">
        <v>10</v>
      </c>
      <c r="D17622" t="s">
        <v>1652</v>
      </c>
      <c r="E17622">
        <f t="shared" si="837"/>
        <v>1.1235955056179775E-2</v>
      </c>
      <c r="F17622">
        <v>7</v>
      </c>
      <c r="G17622">
        <f>LOG(382/(7+1))</f>
        <v>1.6789733759197651</v>
      </c>
      <c r="H17622">
        <f>0.0112359550561797*3.86597906692673</f>
        <v>4.3437967044120278E-2</v>
      </c>
      <c r="I17622">
        <v>4.3437967044120659E-2</v>
      </c>
    </row>
    <row r="17623" spans="1:9" x14ac:dyDescent="0.25">
      <c r="A17623">
        <v>553</v>
      </c>
      <c r="B17623" t="s">
        <v>4377</v>
      </c>
      <c r="C17623" t="s">
        <v>10</v>
      </c>
      <c r="D17623" t="s">
        <v>4380</v>
      </c>
      <c r="E17623">
        <f>2/89</f>
        <v>2.247191011235955E-2</v>
      </c>
      <c r="F17623">
        <v>3</v>
      </c>
      <c r="G17623">
        <f>LOG(382/(3+1))</f>
        <v>1.9800033715837464</v>
      </c>
      <c r="H17623">
        <f>0.0224719101123595*4.55912624748668</f>
        <v>0.10245227522441955</v>
      </c>
      <c r="I17623">
        <v>0.10245227522441989</v>
      </c>
    </row>
    <row r="17624" spans="1:9" x14ac:dyDescent="0.25">
      <c r="A17624">
        <v>553</v>
      </c>
      <c r="B17624" t="s">
        <v>4377</v>
      </c>
      <c r="C17624" t="s">
        <v>10</v>
      </c>
      <c r="D17624" t="s">
        <v>236</v>
      </c>
      <c r="E17624">
        <f t="shared" ref="E17624:E17629" si="838">1/89</f>
        <v>1.1235955056179775E-2</v>
      </c>
      <c r="F17624">
        <v>87</v>
      </c>
      <c r="G17624">
        <f>LOG(382/(87+1))</f>
        <v>0.63758069076154011</v>
      </c>
      <c r="H17624">
        <f>0.0112359550561797*1.46808379412836</f>
        <v>1.6495323529532025E-2</v>
      </c>
      <c r="I17624">
        <v>1.649532352953223E-2</v>
      </c>
    </row>
    <row r="17625" spans="1:9" x14ac:dyDescent="0.25">
      <c r="A17625">
        <v>553</v>
      </c>
      <c r="B17625" t="s">
        <v>4377</v>
      </c>
      <c r="C17625" t="s">
        <v>10</v>
      </c>
      <c r="D17625" t="s">
        <v>42</v>
      </c>
      <c r="E17625">
        <f t="shared" si="838"/>
        <v>1.1235955056179775E-2</v>
      </c>
      <c r="F17625">
        <v>251</v>
      </c>
      <c r="G17625">
        <f>LOG(382/(251+1))</f>
        <v>0.18066282213016463</v>
      </c>
      <c r="H17625">
        <f>0.0112359550561797*0.415991521095151</f>
        <v>4.6740620347769457E-3</v>
      </c>
      <c r="I17625">
        <v>4.6740620347769874E-3</v>
      </c>
    </row>
    <row r="17626" spans="1:9" x14ac:dyDescent="0.25">
      <c r="A17626">
        <v>553</v>
      </c>
      <c r="B17626" t="s">
        <v>4377</v>
      </c>
      <c r="C17626" t="s">
        <v>10</v>
      </c>
      <c r="D17626" t="s">
        <v>15</v>
      </c>
      <c r="E17626">
        <f t="shared" si="838"/>
        <v>1.1235955056179775E-2</v>
      </c>
      <c r="F17626">
        <v>112</v>
      </c>
      <c r="G17626">
        <f>LOG(382/(112+1))</f>
        <v>0.52898491942828896</v>
      </c>
      <c r="H17626">
        <f>0.0112359550561797*1.21803278989423</f>
        <v>1.3685761684204741E-2</v>
      </c>
      <c r="I17626">
        <v>1.368576168420488E-2</v>
      </c>
    </row>
    <row r="17627" spans="1:9" x14ac:dyDescent="0.25">
      <c r="A17627">
        <v>553</v>
      </c>
      <c r="B17627" t="s">
        <v>4377</v>
      </c>
      <c r="C17627" t="s">
        <v>10</v>
      </c>
      <c r="D17627" t="s">
        <v>184</v>
      </c>
      <c r="E17627">
        <f t="shared" si="838"/>
        <v>1.1235955056179775E-2</v>
      </c>
      <c r="F17627">
        <v>7</v>
      </c>
      <c r="G17627">
        <f>LOG(382/(7+1))</f>
        <v>1.6789733759197651</v>
      </c>
      <c r="H17627">
        <f>0.0112359550561797*3.86597906692673</f>
        <v>4.3437967044120278E-2</v>
      </c>
      <c r="I17627">
        <v>4.3437967044120659E-2</v>
      </c>
    </row>
    <row r="17628" spans="1:9" x14ac:dyDescent="0.25">
      <c r="A17628">
        <v>553</v>
      </c>
      <c r="B17628" t="s">
        <v>4377</v>
      </c>
      <c r="C17628" t="s">
        <v>10</v>
      </c>
      <c r="D17628" t="s">
        <v>104</v>
      </c>
      <c r="E17628">
        <f t="shared" si="838"/>
        <v>1.1235955056179775E-2</v>
      </c>
      <c r="F17628">
        <v>49</v>
      </c>
      <c r="G17628">
        <f>LOG(382/(49+1))</f>
        <v>0.88309335857568994</v>
      </c>
      <c r="H17628">
        <f>0.0112359550561797*2.03339760317842</f>
        <v>2.2847164080656252E-2</v>
      </c>
      <c r="I17628">
        <v>2.2847164080656499E-2</v>
      </c>
    </row>
    <row r="17629" spans="1:9" x14ac:dyDescent="0.25">
      <c r="A17629">
        <v>553</v>
      </c>
      <c r="B17629" t="s">
        <v>4377</v>
      </c>
      <c r="C17629" t="s">
        <v>10</v>
      </c>
      <c r="D17629" t="s">
        <v>17</v>
      </c>
      <c r="E17629">
        <f t="shared" si="838"/>
        <v>1.1235955056179775E-2</v>
      </c>
      <c r="F17629">
        <v>169</v>
      </c>
      <c r="G17629">
        <f>LOG(382/(169+1))</f>
        <v>0.3516144415334348</v>
      </c>
      <c r="H17629">
        <f>0.0112359550561797*0.809622171556313</f>
        <v>9.0968783320933434E-3</v>
      </c>
      <c r="I17629">
        <v>9.0968783320934093E-3</v>
      </c>
    </row>
    <row r="17630" spans="1:9" x14ac:dyDescent="0.25">
      <c r="A17630">
        <v>553</v>
      </c>
      <c r="B17630" t="s">
        <v>4377</v>
      </c>
      <c r="C17630" t="s">
        <v>10</v>
      </c>
      <c r="D17630" t="s">
        <v>1287</v>
      </c>
      <c r="E17630">
        <f>2/89</f>
        <v>2.247191011235955E-2</v>
      </c>
      <c r="F17630">
        <v>4</v>
      </c>
      <c r="G17630">
        <f>LOG(382/(4+1))</f>
        <v>1.8830933585756899</v>
      </c>
      <c r="H17630">
        <f>0.0224719101123595*4.33598269617247</f>
        <v>9.7437813397133949E-2</v>
      </c>
      <c r="I17630">
        <v>9.7437813397134268E-2</v>
      </c>
    </row>
    <row r="17631" spans="1:9" x14ac:dyDescent="0.25">
      <c r="A17631">
        <v>553</v>
      </c>
      <c r="B17631" t="s">
        <v>4377</v>
      </c>
      <c r="C17631" t="s">
        <v>10</v>
      </c>
      <c r="D17631" t="s">
        <v>204</v>
      </c>
      <c r="E17631">
        <f>1/89</f>
        <v>1.1235955056179775E-2</v>
      </c>
      <c r="F17631">
        <v>166</v>
      </c>
      <c r="G17631">
        <f>LOG(382/(166+1))</f>
        <v>0.35934689176412549</v>
      </c>
      <c r="H17631">
        <f>0.0112359550561797*0.82742679618982</f>
        <v>9.2969302942675774E-3</v>
      </c>
      <c r="I17631">
        <v>9.2969302942676416E-3</v>
      </c>
    </row>
    <row r="17632" spans="1:9" x14ac:dyDescent="0.25">
      <c r="A17632">
        <v>553</v>
      </c>
      <c r="B17632" t="s">
        <v>4377</v>
      </c>
      <c r="C17632" t="s">
        <v>10</v>
      </c>
      <c r="D17632" t="s">
        <v>76</v>
      </c>
      <c r="E17632">
        <f>1/89</f>
        <v>1.1235955056179775E-2</v>
      </c>
      <c r="F17632">
        <v>140</v>
      </c>
      <c r="G17632">
        <f>LOG(382/(140+1))</f>
        <v>0.43284425025632883</v>
      </c>
      <c r="H17632">
        <f>0.0112359550561797*0.996660718228407</f>
        <v>1.119843503627416E-2</v>
      </c>
      <c r="I17632">
        <v>1.119843503627423E-2</v>
      </c>
    </row>
    <row r="17633" spans="1:9" x14ac:dyDescent="0.25">
      <c r="A17633">
        <v>553</v>
      </c>
      <c r="B17633" t="s">
        <v>4377</v>
      </c>
      <c r="C17633" t="s">
        <v>10</v>
      </c>
      <c r="D17633" t="s">
        <v>40</v>
      </c>
      <c r="E17633">
        <f>3/89</f>
        <v>3.3707865168539325E-2</v>
      </c>
      <c r="F17633">
        <v>159</v>
      </c>
      <c r="G17633">
        <f>LOG(382/(159+1))</f>
        <v>0.377943380255784</v>
      </c>
      <c r="H17633">
        <f>0.0337078651685393*0.870246793372748</f>
        <v>2.9334161574362267E-2</v>
      </c>
      <c r="I17633">
        <v>2.9334161574362302E-2</v>
      </c>
    </row>
    <row r="17634" spans="1:9" x14ac:dyDescent="0.25">
      <c r="A17634">
        <v>553</v>
      </c>
      <c r="B17634" t="s">
        <v>4377</v>
      </c>
      <c r="C17634" t="s">
        <v>10</v>
      </c>
      <c r="D17634" t="s">
        <v>1577</v>
      </c>
      <c r="E17634">
        <f>1/89</f>
        <v>1.1235955056179775E-2</v>
      </c>
      <c r="F17634">
        <v>3</v>
      </c>
      <c r="G17634">
        <f>LOG(382/(3+1))</f>
        <v>1.9800033715837464</v>
      </c>
      <c r="H17634">
        <f>0.0112359550561797*4.55912624748668</f>
        <v>5.1226137612209545E-2</v>
      </c>
      <c r="I17634">
        <v>5.1226137612209927E-2</v>
      </c>
    </row>
    <row r="17635" spans="1:9" x14ac:dyDescent="0.25">
      <c r="A17635">
        <v>553</v>
      </c>
      <c r="B17635" t="s">
        <v>4377</v>
      </c>
      <c r="C17635" t="s">
        <v>10</v>
      </c>
      <c r="D17635" t="s">
        <v>77</v>
      </c>
      <c r="E17635">
        <f>3/89</f>
        <v>3.3707865168539325E-2</v>
      </c>
      <c r="F17635">
        <v>148</v>
      </c>
      <c r="G17635">
        <f>LOG(382/(148+1))</f>
        <v>0.40887709449943471</v>
      </c>
      <c r="H17635">
        <f>0.0337078651685393*0.941474302661116</f>
        <v>3.1735088853745458E-2</v>
      </c>
      <c r="I17635">
        <v>3.1735088853745493E-2</v>
      </c>
    </row>
    <row r="17636" spans="1:9" x14ac:dyDescent="0.25">
      <c r="A17636">
        <v>553</v>
      </c>
      <c r="B17636" t="s">
        <v>4377</v>
      </c>
      <c r="C17636" t="s">
        <v>10</v>
      </c>
      <c r="D17636" t="s">
        <v>1081</v>
      </c>
      <c r="E17636">
        <f>1/89</f>
        <v>1.1235955056179775E-2</v>
      </c>
      <c r="F17636">
        <v>27</v>
      </c>
      <c r="G17636">
        <f>LOG(382/(27+1))</f>
        <v>1.1349053315694895</v>
      </c>
      <c r="H17636">
        <f>0.0112359550561797*2.61321609843137</f>
        <v>2.9361978634060142E-2</v>
      </c>
      <c r="I17636">
        <v>2.936197863406035E-2</v>
      </c>
    </row>
    <row r="17637" spans="1:9" x14ac:dyDescent="0.25">
      <c r="A17637">
        <v>553</v>
      </c>
      <c r="B17637" t="s">
        <v>4377</v>
      </c>
      <c r="C17637" t="s">
        <v>10</v>
      </c>
      <c r="D17637" t="s">
        <v>152</v>
      </c>
      <c r="E17637">
        <f>1/89</f>
        <v>1.1235955056179775E-2</v>
      </c>
      <c r="F17637">
        <v>31</v>
      </c>
      <c r="G17637">
        <f>LOG(382/(31+1))</f>
        <v>1.0769133845918029</v>
      </c>
      <c r="H17637">
        <f>0.0112359550561797*2.47968470580684</f>
        <v>2.7861625907941834E-2</v>
      </c>
      <c r="I17637">
        <v>2.7861625907942118E-2</v>
      </c>
    </row>
    <row r="17638" spans="1:9" x14ac:dyDescent="0.25">
      <c r="A17638">
        <v>553</v>
      </c>
      <c r="B17638" t="s">
        <v>4377</v>
      </c>
      <c r="C17638" t="s">
        <v>10</v>
      </c>
      <c r="D17638" t="s">
        <v>1868</v>
      </c>
      <c r="E17638">
        <f>1/89</f>
        <v>1.1235955056179775E-2</v>
      </c>
      <c r="F17638">
        <v>8</v>
      </c>
      <c r="G17638">
        <f>LOG(382/(8+1))</f>
        <v>1.6278208534723839</v>
      </c>
      <c r="H17638">
        <f>0.0112359550561797*3.74819603127035</f>
        <v>4.2114562149104771E-2</v>
      </c>
      <c r="I17638">
        <v>4.2114562149105118E-2</v>
      </c>
    </row>
    <row r="17639" spans="1:9" x14ac:dyDescent="0.25">
      <c r="A17639">
        <v>553</v>
      </c>
      <c r="B17639" t="s">
        <v>4377</v>
      </c>
      <c r="C17639" t="s">
        <v>10</v>
      </c>
      <c r="D17639" t="s">
        <v>11</v>
      </c>
      <c r="E17639">
        <f>2/89</f>
        <v>2.247191011235955E-2</v>
      </c>
      <c r="F17639">
        <v>83</v>
      </c>
      <c r="G17639">
        <f>LOG(382/(83+1))</f>
        <v>0.65778407684982709</v>
      </c>
      <c r="H17639">
        <f>0.0224719101123595*1.51460380976326</f>
        <v>3.4036040668837225E-2</v>
      </c>
      <c r="I17639">
        <v>3.4036040668837343E-2</v>
      </c>
    </row>
    <row r="17640" spans="1:9" x14ac:dyDescent="0.25">
      <c r="A17640">
        <v>553</v>
      </c>
      <c r="B17640" t="s">
        <v>4377</v>
      </c>
      <c r="C17640" t="s">
        <v>10</v>
      </c>
      <c r="D17640" t="s">
        <v>483</v>
      </c>
      <c r="E17640">
        <f>1/89</f>
        <v>1.1235955056179775E-2</v>
      </c>
      <c r="F17640">
        <v>61</v>
      </c>
      <c r="G17640">
        <f>LOG(382/(61+1))</f>
        <v>0.7896716734134549</v>
      </c>
      <c r="H17640">
        <f>0.0112359550561797*1.81828622356148</f>
        <v>2.0430182287207506E-2</v>
      </c>
      <c r="I17640">
        <v>2.0430182287207679E-2</v>
      </c>
    </row>
    <row r="17641" spans="1:9" x14ac:dyDescent="0.25">
      <c r="A17641">
        <v>553</v>
      </c>
      <c r="B17641" t="s">
        <v>4377</v>
      </c>
      <c r="C17641" t="s">
        <v>10</v>
      </c>
      <c r="D17641" t="s">
        <v>764</v>
      </c>
      <c r="E17641">
        <f>1/89</f>
        <v>1.1235955056179775E-2</v>
      </c>
      <c r="F17641">
        <v>57</v>
      </c>
      <c r="G17641">
        <f>LOG(382/(57+1))</f>
        <v>0.81863536934877146</v>
      </c>
      <c r="H17641">
        <f>0.0112359550561797*1.88497759806015</f>
        <v>2.1179523573709409E-2</v>
      </c>
      <c r="I17641">
        <v>2.117952357370961E-2</v>
      </c>
    </row>
    <row r="17642" spans="1:9" x14ac:dyDescent="0.25">
      <c r="A17642">
        <v>553</v>
      </c>
      <c r="B17642" t="s">
        <v>4377</v>
      </c>
      <c r="C17642" t="s">
        <v>10</v>
      </c>
      <c r="D17642" t="s">
        <v>97</v>
      </c>
      <c r="E17642">
        <f>1/89</f>
        <v>1.1235955056179775E-2</v>
      </c>
      <c r="F17642">
        <v>19</v>
      </c>
      <c r="G17642">
        <f>LOG(382/(19+1))</f>
        <v>1.2810333672477277</v>
      </c>
      <c r="H17642">
        <f>0.0112359550561797*2.94968833505258</f>
        <v>3.3142565562388315E-2</v>
      </c>
      <c r="I17642">
        <v>3.3142565562388593E-2</v>
      </c>
    </row>
    <row r="17643" spans="1:9" x14ac:dyDescent="0.25">
      <c r="A17643">
        <v>553</v>
      </c>
      <c r="B17643" t="s">
        <v>4377</v>
      </c>
      <c r="C17643" t="s">
        <v>10</v>
      </c>
      <c r="D17643" t="s">
        <v>1083</v>
      </c>
      <c r="E17643">
        <f>1/89</f>
        <v>1.1235955056179775E-2</v>
      </c>
      <c r="F17643">
        <v>51</v>
      </c>
      <c r="G17643">
        <f>LOG(382/(51+1))</f>
        <v>0.86606001927690957</v>
      </c>
      <c r="H17643">
        <f>0.0112359550561797*1.99417689002514</f>
        <v>2.2406481910394682E-2</v>
      </c>
      <c r="I17643">
        <v>2.2406481910394922E-2</v>
      </c>
    </row>
    <row r="17644" spans="1:9" x14ac:dyDescent="0.25">
      <c r="A17644">
        <v>553</v>
      </c>
      <c r="B17644" t="s">
        <v>4377</v>
      </c>
      <c r="C17644" t="s">
        <v>10</v>
      </c>
      <c r="D17644" t="s">
        <v>133</v>
      </c>
      <c r="E17644">
        <f>3/89</f>
        <v>3.3707865168539325E-2</v>
      </c>
      <c r="F17644">
        <v>142</v>
      </c>
      <c r="G17644">
        <f>LOG(382/(142+1))</f>
        <v>0.42672732544664693</v>
      </c>
      <c r="H17644">
        <f>0.0337078651685393*0.982575978346667</f>
        <v>3.312053859595504E-2</v>
      </c>
      <c r="I17644">
        <v>3.3120538595955103E-2</v>
      </c>
    </row>
    <row r="17645" spans="1:9" x14ac:dyDescent="0.25">
      <c r="A17645">
        <v>553</v>
      </c>
      <c r="B17645" t="s">
        <v>4377</v>
      </c>
      <c r="C17645" t="s">
        <v>10</v>
      </c>
      <c r="D17645" t="s">
        <v>331</v>
      </c>
      <c r="E17645">
        <f t="shared" ref="E17645:E17680" si="839">1/89</f>
        <v>1.1235955056179775E-2</v>
      </c>
      <c r="F17645">
        <v>130</v>
      </c>
      <c r="G17645">
        <f>LOG(382/(130+1))</f>
        <v>0.46479206725594452</v>
      </c>
      <c r="H17645">
        <f>0.0112359550561797*1.07022328540542</f>
        <v>1.202498073489228E-2</v>
      </c>
      <c r="I17645">
        <v>1.20249807348924E-2</v>
      </c>
    </row>
    <row r="17646" spans="1:9" x14ac:dyDescent="0.25">
      <c r="A17646">
        <v>553</v>
      </c>
      <c r="B17646" t="s">
        <v>4377</v>
      </c>
      <c r="C17646" t="s">
        <v>10</v>
      </c>
      <c r="D17646" t="s">
        <v>322</v>
      </c>
      <c r="E17646">
        <f t="shared" si="839"/>
        <v>1.1235955056179775E-2</v>
      </c>
      <c r="F17646">
        <v>128</v>
      </c>
      <c r="G17646">
        <f>LOG(382/(128+1))</f>
        <v>0.47147365261245977</v>
      </c>
      <c r="H17646">
        <f>0.0112359550561797*1.0856082042449</f>
        <v>1.2197844991515648E-2</v>
      </c>
      <c r="I17646">
        <v>1.2197844991515759E-2</v>
      </c>
    </row>
    <row r="17647" spans="1:9" x14ac:dyDescent="0.25">
      <c r="A17647">
        <v>553</v>
      </c>
      <c r="B17647" t="s">
        <v>4377</v>
      </c>
      <c r="C17647" t="s">
        <v>10</v>
      </c>
      <c r="D17647" t="s">
        <v>4381</v>
      </c>
      <c r="E17647">
        <f t="shared" si="839"/>
        <v>1.1235955056179775E-2</v>
      </c>
      <c r="F17647">
        <v>2</v>
      </c>
      <c r="G17647">
        <f>LOG(382/(2+1))</f>
        <v>2.1049421081920463</v>
      </c>
      <c r="H17647">
        <f>0.0112359550561797*4.84680831993846</f>
        <v>5.4458520448746377E-2</v>
      </c>
      <c r="I17647">
        <v>5.44585204487468E-2</v>
      </c>
    </row>
    <row r="17648" spans="1:9" x14ac:dyDescent="0.25">
      <c r="A17648">
        <v>553</v>
      </c>
      <c r="B17648" t="s">
        <v>4377</v>
      </c>
      <c r="C17648" t="s">
        <v>10</v>
      </c>
      <c r="D17648" t="s">
        <v>4382</v>
      </c>
      <c r="E17648">
        <f t="shared" si="839"/>
        <v>1.1235955056179775E-2</v>
      </c>
      <c r="F17648">
        <v>1</v>
      </c>
      <c r="G17648">
        <f>LOG(382/(1+1))</f>
        <v>2.2810333672477277</v>
      </c>
      <c r="H17648">
        <f>0.0112359550561797*5.25227342804663</f>
        <v>5.9014308180298819E-2</v>
      </c>
      <c r="I17648">
        <v>5.9014308180299208E-2</v>
      </c>
    </row>
    <row r="17649" spans="1:9" x14ac:dyDescent="0.25">
      <c r="A17649">
        <v>553</v>
      </c>
      <c r="B17649" t="s">
        <v>4377</v>
      </c>
      <c r="C17649" t="s">
        <v>10</v>
      </c>
      <c r="D17649" t="s">
        <v>4383</v>
      </c>
      <c r="E17649">
        <f t="shared" si="839"/>
        <v>1.1235955056179775E-2</v>
      </c>
      <c r="F17649">
        <v>2</v>
      </c>
      <c r="G17649">
        <f>LOG(382/(2+1))</f>
        <v>2.1049421081920463</v>
      </c>
      <c r="H17649">
        <f>0.0112359550561797*4.84680831993846</f>
        <v>5.4458520448746377E-2</v>
      </c>
      <c r="I17649">
        <v>5.44585204487468E-2</v>
      </c>
    </row>
    <row r="17650" spans="1:9" x14ac:dyDescent="0.25">
      <c r="A17650">
        <v>553</v>
      </c>
      <c r="B17650" t="s">
        <v>4377</v>
      </c>
      <c r="C17650" t="s">
        <v>10</v>
      </c>
      <c r="D17650" t="s">
        <v>799</v>
      </c>
      <c r="E17650">
        <f t="shared" si="839"/>
        <v>1.1235955056179775E-2</v>
      </c>
      <c r="F17650">
        <v>8</v>
      </c>
      <c r="G17650">
        <f>LOG(382/(8+1))</f>
        <v>1.6278208534723839</v>
      </c>
      <c r="H17650">
        <f>0.0112359550561797*3.74819603127035</f>
        <v>4.2114562149104771E-2</v>
      </c>
      <c r="I17650">
        <v>4.2114562149105118E-2</v>
      </c>
    </row>
    <row r="17651" spans="1:9" x14ac:dyDescent="0.25">
      <c r="A17651">
        <v>553</v>
      </c>
      <c r="B17651" t="s">
        <v>4377</v>
      </c>
      <c r="C17651" t="s">
        <v>10</v>
      </c>
      <c r="D17651" t="s">
        <v>754</v>
      </c>
      <c r="E17651">
        <f t="shared" si="839"/>
        <v>1.1235955056179775E-2</v>
      </c>
      <c r="F17651">
        <v>111</v>
      </c>
      <c r="G17651">
        <f>LOG(382/(111+1))</f>
        <v>0.53284534024152708</v>
      </c>
      <c r="H17651">
        <f>0.0112359550561797*1.22692173731148</f>
        <v>1.3785637497881706E-2</v>
      </c>
      <c r="I17651">
        <v>1.378563749788181E-2</v>
      </c>
    </row>
    <row r="17652" spans="1:9" x14ac:dyDescent="0.25">
      <c r="A17652">
        <v>553</v>
      </c>
      <c r="B17652" t="s">
        <v>4377</v>
      </c>
      <c r="C17652" t="s">
        <v>10</v>
      </c>
      <c r="D17652" t="s">
        <v>2442</v>
      </c>
      <c r="E17652">
        <f t="shared" si="839"/>
        <v>1.1235955056179775E-2</v>
      </c>
      <c r="F17652">
        <v>2</v>
      </c>
      <c r="G17652">
        <f>LOG(382/(2+1))</f>
        <v>2.1049421081920463</v>
      </c>
      <c r="H17652">
        <f>0.0112359550561797*4.84680831993846</f>
        <v>5.4458520448746377E-2</v>
      </c>
      <c r="I17652">
        <v>5.44585204487468E-2</v>
      </c>
    </row>
    <row r="17653" spans="1:9" x14ac:dyDescent="0.25">
      <c r="A17653">
        <v>553</v>
      </c>
      <c r="B17653" t="s">
        <v>4377</v>
      </c>
      <c r="C17653" t="s">
        <v>10</v>
      </c>
      <c r="D17653" t="s">
        <v>1616</v>
      </c>
      <c r="E17653">
        <f t="shared" si="839"/>
        <v>1.1235955056179775E-2</v>
      </c>
      <c r="F17653">
        <v>4</v>
      </c>
      <c r="G17653">
        <f>LOG(382/(4+1))</f>
        <v>1.8830933585756899</v>
      </c>
      <c r="H17653">
        <f>0.0112359550561797*4.33598269617247</f>
        <v>4.8718906698566759E-2</v>
      </c>
      <c r="I17653">
        <v>4.8718906698567127E-2</v>
      </c>
    </row>
    <row r="17654" spans="1:9" x14ac:dyDescent="0.25">
      <c r="A17654">
        <v>553</v>
      </c>
      <c r="B17654" t="s">
        <v>4377</v>
      </c>
      <c r="C17654" t="s">
        <v>10</v>
      </c>
      <c r="D17654" t="s">
        <v>1618</v>
      </c>
      <c r="E17654">
        <f t="shared" si="839"/>
        <v>1.1235955056179775E-2</v>
      </c>
      <c r="F17654">
        <v>6</v>
      </c>
      <c r="G17654">
        <f>LOG(382/(6+1))</f>
        <v>1.736965322897452</v>
      </c>
      <c r="H17654">
        <f>0.0112359550561797*3.99951045955126</f>
        <v>4.4938319770238579E-2</v>
      </c>
      <c r="I17654">
        <v>4.4938319770238898E-2</v>
      </c>
    </row>
    <row r="17655" spans="1:9" x14ac:dyDescent="0.25">
      <c r="A17655">
        <v>553</v>
      </c>
      <c r="B17655" t="s">
        <v>4377</v>
      </c>
      <c r="C17655" t="s">
        <v>10</v>
      </c>
      <c r="D17655" t="s">
        <v>89</v>
      </c>
      <c r="E17655">
        <f t="shared" si="839"/>
        <v>1.1235955056179775E-2</v>
      </c>
      <c r="F17655">
        <v>40</v>
      </c>
      <c r="G17655">
        <f>LOG(382/(40+1))</f>
        <v>0.96927950619197323</v>
      </c>
      <c r="H17655">
        <f>0.0112359550561797*2.23184854190226</f>
        <v>2.5076949909013987E-2</v>
      </c>
      <c r="I17655">
        <v>2.507694990901424E-2</v>
      </c>
    </row>
    <row r="17656" spans="1:9" x14ac:dyDescent="0.25">
      <c r="A17656">
        <v>553</v>
      </c>
      <c r="B17656" t="s">
        <v>4377</v>
      </c>
      <c r="C17656" t="s">
        <v>10</v>
      </c>
      <c r="D17656" t="s">
        <v>4384</v>
      </c>
      <c r="E17656">
        <f t="shared" si="839"/>
        <v>1.1235955056179775E-2</v>
      </c>
      <c r="F17656">
        <v>1</v>
      </c>
      <c r="G17656">
        <f>LOG(382/(1+1))</f>
        <v>2.2810333672477277</v>
      </c>
      <c r="H17656">
        <f>0.0112359550561797*5.25227342804663</f>
        <v>5.9014308180298819E-2</v>
      </c>
      <c r="I17656">
        <v>5.9014308180299208E-2</v>
      </c>
    </row>
    <row r="17657" spans="1:9" x14ac:dyDescent="0.25">
      <c r="A17657">
        <v>553</v>
      </c>
      <c r="B17657" t="s">
        <v>4377</v>
      </c>
      <c r="C17657" t="s">
        <v>10</v>
      </c>
      <c r="D17657" t="s">
        <v>4385</v>
      </c>
      <c r="E17657">
        <f t="shared" si="839"/>
        <v>1.1235955056179775E-2</v>
      </c>
      <c r="F17657">
        <v>1</v>
      </c>
      <c r="G17657">
        <f>LOG(382/(1+1))</f>
        <v>2.2810333672477277</v>
      </c>
      <c r="H17657">
        <f>0.0112359550561797*5.25227342804663</f>
        <v>5.9014308180298819E-2</v>
      </c>
      <c r="I17657">
        <v>5.9014308180299208E-2</v>
      </c>
    </row>
    <row r="17658" spans="1:9" x14ac:dyDescent="0.25">
      <c r="A17658">
        <v>553</v>
      </c>
      <c r="B17658" t="s">
        <v>4377</v>
      </c>
      <c r="C17658" t="s">
        <v>10</v>
      </c>
      <c r="D17658" t="s">
        <v>78</v>
      </c>
      <c r="E17658">
        <f t="shared" si="839"/>
        <v>1.1235955056179775E-2</v>
      </c>
      <c r="F17658">
        <v>122</v>
      </c>
      <c r="G17658">
        <f>LOG(382/(122+1))</f>
        <v>0.49215825147231079</v>
      </c>
      <c r="H17658">
        <f>0.0112359550561797*1.13323625323415</f>
        <v>1.2732991609372387E-2</v>
      </c>
      <c r="I17658">
        <v>1.273299160937256E-2</v>
      </c>
    </row>
    <row r="17659" spans="1:9" x14ac:dyDescent="0.25">
      <c r="A17659">
        <v>553</v>
      </c>
      <c r="B17659" t="s">
        <v>4377</v>
      </c>
      <c r="C17659" t="s">
        <v>10</v>
      </c>
      <c r="D17659" t="s">
        <v>1366</v>
      </c>
      <c r="E17659">
        <f t="shared" si="839"/>
        <v>1.1235955056179775E-2</v>
      </c>
      <c r="F17659">
        <v>4</v>
      </c>
      <c r="G17659">
        <f>LOG(382/(4+1))</f>
        <v>1.8830933585756899</v>
      </c>
      <c r="H17659">
        <f>0.0112359550561797*4.33598269617247</f>
        <v>4.8718906698566759E-2</v>
      </c>
      <c r="I17659">
        <v>4.8718906698567127E-2</v>
      </c>
    </row>
    <row r="17660" spans="1:9" x14ac:dyDescent="0.25">
      <c r="A17660">
        <v>553</v>
      </c>
      <c r="B17660" t="s">
        <v>4377</v>
      </c>
      <c r="C17660" t="s">
        <v>10</v>
      </c>
      <c r="D17660" t="s">
        <v>1919</v>
      </c>
      <c r="E17660">
        <f t="shared" si="839"/>
        <v>1.1235955056179775E-2</v>
      </c>
      <c r="F17660">
        <v>18</v>
      </c>
      <c r="G17660">
        <f>LOG(382/(18+1))</f>
        <v>1.3033097619588798</v>
      </c>
      <c r="H17660">
        <f>0.0112359550561797*3.00098162944013</f>
        <v>3.3718894712810227E-2</v>
      </c>
      <c r="I17660">
        <v>3.3718894712810497E-2</v>
      </c>
    </row>
    <row r="17661" spans="1:9" x14ac:dyDescent="0.25">
      <c r="A17661">
        <v>553</v>
      </c>
      <c r="B17661" t="s">
        <v>4377</v>
      </c>
      <c r="C17661" t="s">
        <v>10</v>
      </c>
      <c r="D17661" t="s">
        <v>1918</v>
      </c>
      <c r="E17661">
        <f t="shared" si="839"/>
        <v>1.1235955056179775E-2</v>
      </c>
      <c r="F17661">
        <v>25</v>
      </c>
      <c r="G17661">
        <f>LOG(382/(25+1))</f>
        <v>1.1670900149408907</v>
      </c>
      <c r="H17661">
        <f>0.0112359550561797*2.68732407058509</f>
        <v>3.0194652478483956E-2</v>
      </c>
      <c r="I17661">
        <v>3.0194652478484189E-2</v>
      </c>
    </row>
    <row r="17662" spans="1:9" x14ac:dyDescent="0.25">
      <c r="A17662">
        <v>553</v>
      </c>
      <c r="B17662" t="s">
        <v>4377</v>
      </c>
      <c r="C17662" t="s">
        <v>10</v>
      </c>
      <c r="D17662" t="s">
        <v>1920</v>
      </c>
      <c r="E17662">
        <f t="shared" si="839"/>
        <v>1.1235955056179775E-2</v>
      </c>
      <c r="F17662">
        <v>18</v>
      </c>
      <c r="G17662">
        <f>LOG(382/(18+1))</f>
        <v>1.3033097619588798</v>
      </c>
      <c r="H17662">
        <f>0.0112359550561797*3.00098162944013</f>
        <v>3.3718894712810227E-2</v>
      </c>
      <c r="I17662">
        <v>3.3718894712810497E-2</v>
      </c>
    </row>
    <row r="17663" spans="1:9" x14ac:dyDescent="0.25">
      <c r="A17663">
        <v>553</v>
      </c>
      <c r="B17663" t="s">
        <v>4377</v>
      </c>
      <c r="C17663" t="s">
        <v>10</v>
      </c>
      <c r="D17663" t="s">
        <v>4197</v>
      </c>
      <c r="E17663">
        <f t="shared" si="839"/>
        <v>1.1235955056179775E-2</v>
      </c>
      <c r="F17663">
        <v>2</v>
      </c>
      <c r="G17663">
        <f>LOG(382/(2+1))</f>
        <v>2.1049421081920463</v>
      </c>
      <c r="H17663">
        <f>0.0112359550561797*4.84680831993846</f>
        <v>5.4458520448746377E-2</v>
      </c>
      <c r="I17663">
        <v>5.44585204487468E-2</v>
      </c>
    </row>
    <row r="17664" spans="1:9" x14ac:dyDescent="0.25">
      <c r="A17664">
        <v>553</v>
      </c>
      <c r="B17664" t="s">
        <v>4377</v>
      </c>
      <c r="C17664" t="s">
        <v>10</v>
      </c>
      <c r="D17664" t="s">
        <v>763</v>
      </c>
      <c r="E17664">
        <f t="shared" si="839"/>
        <v>1.1235955056179775E-2</v>
      </c>
      <c r="F17664">
        <v>47</v>
      </c>
      <c r="G17664">
        <f>LOG(382/(47+1))</f>
        <v>0.90082212553612151</v>
      </c>
      <c r="H17664">
        <f>0.0112359550561797*2.07421959769868</f>
        <v>2.3305838176389509E-2</v>
      </c>
      <c r="I17664">
        <v>2.3305838176389711E-2</v>
      </c>
    </row>
    <row r="17665" spans="1:9" x14ac:dyDescent="0.25">
      <c r="A17665">
        <v>553</v>
      </c>
      <c r="B17665" t="s">
        <v>4377</v>
      </c>
      <c r="C17665" t="s">
        <v>10</v>
      </c>
      <c r="D17665" t="s">
        <v>1709</v>
      </c>
      <c r="E17665">
        <f t="shared" si="839"/>
        <v>1.1235955056179775E-2</v>
      </c>
      <c r="F17665">
        <v>21</v>
      </c>
      <c r="G17665">
        <f>LOG(382/(21+1))</f>
        <v>1.2396406820895025</v>
      </c>
      <c r="H17665">
        <f>0.0112359550561797*2.85437815524825</f>
        <v>3.2071664665710459E-2</v>
      </c>
      <c r="I17665">
        <v>3.2071664665710778E-2</v>
      </c>
    </row>
    <row r="17666" spans="1:9" x14ac:dyDescent="0.25">
      <c r="A17666">
        <v>553</v>
      </c>
      <c r="B17666" t="s">
        <v>4377</v>
      </c>
      <c r="C17666" t="s">
        <v>10</v>
      </c>
      <c r="D17666" t="s">
        <v>105</v>
      </c>
      <c r="E17666">
        <f t="shared" si="839"/>
        <v>1.1235955056179775E-2</v>
      </c>
      <c r="F17666">
        <v>122</v>
      </c>
      <c r="G17666">
        <f>LOG(382/(122+1))</f>
        <v>0.49215825147231079</v>
      </c>
      <c r="H17666">
        <f>0.0112359550561797*1.13323625323415</f>
        <v>1.2732991609372387E-2</v>
      </c>
      <c r="I17666">
        <v>1.273299160937256E-2</v>
      </c>
    </row>
    <row r="17667" spans="1:9" x14ac:dyDescent="0.25">
      <c r="A17667">
        <v>553</v>
      </c>
      <c r="B17667" t="s">
        <v>4377</v>
      </c>
      <c r="C17667" t="s">
        <v>10</v>
      </c>
      <c r="D17667" t="s">
        <v>272</v>
      </c>
      <c r="E17667">
        <f t="shared" si="839"/>
        <v>1.1235955056179775E-2</v>
      </c>
      <c r="F17667">
        <v>17</v>
      </c>
      <c r="G17667">
        <f>LOG(382/(17+1))</f>
        <v>1.3267908578084027</v>
      </c>
      <c r="H17667">
        <f>0.0112359550561797*3.05504885071041</f>
        <v>3.4326391581015615E-2</v>
      </c>
      <c r="I17667">
        <v>3.4326391581015837E-2</v>
      </c>
    </row>
    <row r="17668" spans="1:9" x14ac:dyDescent="0.25">
      <c r="A17668">
        <v>553</v>
      </c>
      <c r="B17668" t="s">
        <v>4377</v>
      </c>
      <c r="C17668" t="s">
        <v>10</v>
      </c>
      <c r="D17668" t="s">
        <v>115</v>
      </c>
      <c r="E17668">
        <f t="shared" si="839"/>
        <v>1.1235955056179775E-2</v>
      </c>
      <c r="F17668">
        <v>17</v>
      </c>
      <c r="G17668">
        <f>LOG(382/(17+1))</f>
        <v>1.3267908578084027</v>
      </c>
      <c r="H17668">
        <f>0.0112359550561797*3.05504885071041</f>
        <v>3.4326391581015615E-2</v>
      </c>
      <c r="I17668">
        <v>3.4326391581015837E-2</v>
      </c>
    </row>
    <row r="17669" spans="1:9" x14ac:dyDescent="0.25">
      <c r="A17669">
        <v>553</v>
      </c>
      <c r="B17669" t="s">
        <v>4377</v>
      </c>
      <c r="C17669" t="s">
        <v>10</v>
      </c>
      <c r="D17669" t="s">
        <v>2259</v>
      </c>
      <c r="E17669">
        <f t="shared" si="839"/>
        <v>1.1235955056179775E-2</v>
      </c>
      <c r="F17669">
        <v>3</v>
      </c>
      <c r="G17669">
        <f>LOG(382/(3+1))</f>
        <v>1.9800033715837464</v>
      </c>
      <c r="H17669">
        <f>0.0112359550561797*4.55912624748668</f>
        <v>5.1226137612209545E-2</v>
      </c>
      <c r="I17669">
        <v>5.1226137612209927E-2</v>
      </c>
    </row>
    <row r="17670" spans="1:9" x14ac:dyDescent="0.25">
      <c r="A17670">
        <v>553</v>
      </c>
      <c r="B17670" t="s">
        <v>4377</v>
      </c>
      <c r="C17670" t="s">
        <v>10</v>
      </c>
      <c r="D17670" t="s">
        <v>144</v>
      </c>
      <c r="E17670">
        <f t="shared" si="839"/>
        <v>1.1235955056179775E-2</v>
      </c>
      <c r="F17670">
        <v>105</v>
      </c>
      <c r="G17670">
        <f>LOG(382/(105+1))</f>
        <v>0.55675749764693849</v>
      </c>
      <c r="H17670">
        <f>0.0112359550561797*1.2819815144945</f>
        <v>1.4404286679713387E-2</v>
      </c>
      <c r="I17670">
        <v>1.4404286679713571E-2</v>
      </c>
    </row>
    <row r="17671" spans="1:9" x14ac:dyDescent="0.25">
      <c r="A17671">
        <v>553</v>
      </c>
      <c r="B17671" t="s">
        <v>4377</v>
      </c>
      <c r="C17671" t="s">
        <v>10</v>
      </c>
      <c r="D17671" t="s">
        <v>758</v>
      </c>
      <c r="E17671">
        <f t="shared" si="839"/>
        <v>1.1235955056179775E-2</v>
      </c>
      <c r="F17671">
        <v>26</v>
      </c>
      <c r="G17671">
        <f>LOG(382/(26+1))</f>
        <v>1.1506995987527215</v>
      </c>
      <c r="H17671">
        <f>0.0112359550561797*2.64958374260224</f>
        <v>2.9770603849463173E-2</v>
      </c>
      <c r="I17671">
        <v>2.977060384946344E-2</v>
      </c>
    </row>
    <row r="17672" spans="1:9" x14ac:dyDescent="0.25">
      <c r="A17672">
        <v>553</v>
      </c>
      <c r="B17672" t="s">
        <v>4377</v>
      </c>
      <c r="C17672" t="s">
        <v>10</v>
      </c>
      <c r="D17672" t="s">
        <v>340</v>
      </c>
      <c r="E17672">
        <f t="shared" si="839"/>
        <v>1.1235955056179775E-2</v>
      </c>
      <c r="F17672">
        <v>28</v>
      </c>
      <c r="G17672">
        <f>LOG(382/(28+1))</f>
        <v>1.1196653650127526</v>
      </c>
      <c r="H17672">
        <f>0.0112359550561797*2.5781247786201</f>
        <v>2.8967694141798683E-2</v>
      </c>
      <c r="I17672">
        <v>2.8967694141798891E-2</v>
      </c>
    </row>
    <row r="17673" spans="1:9" x14ac:dyDescent="0.25">
      <c r="A17673">
        <v>553</v>
      </c>
      <c r="B17673" t="s">
        <v>4377</v>
      </c>
      <c r="C17673" t="s">
        <v>10</v>
      </c>
      <c r="D17673" t="s">
        <v>448</v>
      </c>
      <c r="E17673">
        <f t="shared" si="839"/>
        <v>1.1235955056179775E-2</v>
      </c>
      <c r="F17673">
        <v>19</v>
      </c>
      <c r="G17673">
        <f>LOG(382/(19+1))</f>
        <v>1.2810333672477277</v>
      </c>
      <c r="H17673">
        <f>0.0112359550561797*2.94968833505258</f>
        <v>3.3142565562388315E-2</v>
      </c>
      <c r="I17673">
        <v>3.3142565562388593E-2</v>
      </c>
    </row>
    <row r="17674" spans="1:9" x14ac:dyDescent="0.25">
      <c r="A17674">
        <v>553</v>
      </c>
      <c r="B17674" t="s">
        <v>4377</v>
      </c>
      <c r="C17674" t="s">
        <v>10</v>
      </c>
      <c r="D17674" t="s">
        <v>2226</v>
      </c>
      <c r="E17674">
        <f t="shared" si="839"/>
        <v>1.1235955056179775E-2</v>
      </c>
      <c r="F17674">
        <v>4</v>
      </c>
      <c r="G17674">
        <f>LOG(382/(4+1))</f>
        <v>1.8830933585756899</v>
      </c>
      <c r="H17674">
        <f>0.0112359550561797*4.33598269617247</f>
        <v>4.8718906698566759E-2</v>
      </c>
      <c r="I17674">
        <v>4.8718906698567127E-2</v>
      </c>
    </row>
    <row r="17675" spans="1:9" x14ac:dyDescent="0.25">
      <c r="A17675">
        <v>553</v>
      </c>
      <c r="B17675" t="s">
        <v>4377</v>
      </c>
      <c r="C17675" t="s">
        <v>10</v>
      </c>
      <c r="D17675" t="s">
        <v>731</v>
      </c>
      <c r="E17675">
        <f t="shared" si="839"/>
        <v>1.1235955056179775E-2</v>
      </c>
      <c r="F17675">
        <v>7</v>
      </c>
      <c r="G17675">
        <f>LOG(382/(7+1))</f>
        <v>1.6789733759197651</v>
      </c>
      <c r="H17675">
        <f>0.0112359550561797*3.86597906692673</f>
        <v>4.3437967044120278E-2</v>
      </c>
      <c r="I17675">
        <v>4.3437967044120659E-2</v>
      </c>
    </row>
    <row r="17676" spans="1:9" x14ac:dyDescent="0.25">
      <c r="A17676">
        <v>553</v>
      </c>
      <c r="B17676" t="s">
        <v>4377</v>
      </c>
      <c r="C17676" t="s">
        <v>10</v>
      </c>
      <c r="D17676" t="s">
        <v>1547</v>
      </c>
      <c r="E17676">
        <f t="shared" si="839"/>
        <v>1.1235955056179775E-2</v>
      </c>
      <c r="F17676">
        <v>3</v>
      </c>
      <c r="G17676">
        <f>LOG(382/(3+1))</f>
        <v>1.9800033715837464</v>
      </c>
      <c r="H17676">
        <f>0.0112359550561797*4.55912624748668</f>
        <v>5.1226137612209545E-2</v>
      </c>
      <c r="I17676">
        <v>5.1226137612209927E-2</v>
      </c>
    </row>
    <row r="17677" spans="1:9" x14ac:dyDescent="0.25">
      <c r="A17677">
        <v>553</v>
      </c>
      <c r="B17677" t="s">
        <v>4377</v>
      </c>
      <c r="C17677" t="s">
        <v>10</v>
      </c>
      <c r="D17677" t="s">
        <v>4340</v>
      </c>
      <c r="E17677">
        <f t="shared" si="839"/>
        <v>1.1235955056179775E-2</v>
      </c>
      <c r="F17677">
        <v>2</v>
      </c>
      <c r="G17677">
        <f>LOG(382/(2+1))</f>
        <v>2.1049421081920463</v>
      </c>
      <c r="H17677">
        <f>0.0112359550561797*4.84680831993846</f>
        <v>5.4458520448746377E-2</v>
      </c>
      <c r="I17677">
        <v>5.44585204487468E-2</v>
      </c>
    </row>
    <row r="17678" spans="1:9" x14ac:dyDescent="0.25">
      <c r="A17678">
        <v>553</v>
      </c>
      <c r="B17678" t="s">
        <v>4377</v>
      </c>
      <c r="C17678" t="s">
        <v>10</v>
      </c>
      <c r="D17678" t="s">
        <v>3770</v>
      </c>
      <c r="E17678">
        <f t="shared" si="839"/>
        <v>1.1235955056179775E-2</v>
      </c>
      <c r="F17678">
        <v>3</v>
      </c>
      <c r="G17678">
        <f>LOG(382/(3+1))</f>
        <v>1.9800033715837464</v>
      </c>
      <c r="H17678">
        <f>0.0112359550561797*4.55912624748668</f>
        <v>5.1226137612209545E-2</v>
      </c>
      <c r="I17678">
        <v>5.1226137612209927E-2</v>
      </c>
    </row>
    <row r="17679" spans="1:9" x14ac:dyDescent="0.25">
      <c r="A17679">
        <v>553</v>
      </c>
      <c r="B17679" t="s">
        <v>4377</v>
      </c>
      <c r="C17679" t="s">
        <v>10</v>
      </c>
      <c r="D17679" t="s">
        <v>140</v>
      </c>
      <c r="E17679">
        <f t="shared" si="839"/>
        <v>1.1235955056179775E-2</v>
      </c>
      <c r="F17679">
        <v>7</v>
      </c>
      <c r="G17679">
        <f>LOG(382/(7+1))</f>
        <v>1.6789733759197651</v>
      </c>
      <c r="H17679">
        <f>0.0112359550561797*3.86597906692673</f>
        <v>4.3437967044120278E-2</v>
      </c>
      <c r="I17679">
        <v>4.3437967044120659E-2</v>
      </c>
    </row>
    <row r="17680" spans="1:9" x14ac:dyDescent="0.25">
      <c r="A17680">
        <v>553</v>
      </c>
      <c r="B17680" t="s">
        <v>4377</v>
      </c>
      <c r="C17680" t="s">
        <v>10</v>
      </c>
      <c r="D17680" t="s">
        <v>804</v>
      </c>
      <c r="E17680">
        <f t="shared" si="839"/>
        <v>1.1235955056179775E-2</v>
      </c>
      <c r="F17680">
        <v>4</v>
      </c>
      <c r="G17680">
        <f>LOG(382/(4+1))</f>
        <v>1.8830933585756899</v>
      </c>
      <c r="H17680">
        <f>0.0112359550561797*4.33598269617247</f>
        <v>4.8718906698566759E-2</v>
      </c>
      <c r="I17680">
        <v>4.8718906698567127E-2</v>
      </c>
    </row>
    <row r="17681" spans="1:9" x14ac:dyDescent="0.25">
      <c r="A17681">
        <v>554</v>
      </c>
      <c r="B17681" t="s">
        <v>4386</v>
      </c>
      <c r="C17681" t="s">
        <v>10</v>
      </c>
      <c r="D17681" t="s">
        <v>741</v>
      </c>
      <c r="E17681">
        <f t="shared" ref="E17681:E17693" si="840">1/27</f>
        <v>3.7037037037037035E-2</v>
      </c>
      <c r="F17681">
        <v>7</v>
      </c>
      <c r="G17681">
        <f>LOG(382/(7+1))</f>
        <v>1.6789733759197651</v>
      </c>
      <c r="H17681">
        <f>0.037037037037037*3.86597906692673</f>
        <v>0.14318440988617506</v>
      </c>
      <c r="I17681">
        <v>0.14318440988617551</v>
      </c>
    </row>
    <row r="17682" spans="1:9" x14ac:dyDescent="0.25">
      <c r="A17682">
        <v>554</v>
      </c>
      <c r="B17682" t="s">
        <v>4386</v>
      </c>
      <c r="C17682" t="s">
        <v>10</v>
      </c>
      <c r="D17682" t="s">
        <v>4387</v>
      </c>
      <c r="E17682">
        <f t="shared" si="840"/>
        <v>3.7037037037037035E-2</v>
      </c>
      <c r="F17682">
        <v>1</v>
      </c>
      <c r="G17682">
        <f>LOG(382/(1+1))</f>
        <v>2.2810333672477277</v>
      </c>
      <c r="H17682">
        <f>0.037037037037037*5.25227342804663</f>
        <v>0.19452864548320833</v>
      </c>
      <c r="I17682">
        <v>0.1945286454832085</v>
      </c>
    </row>
    <row r="17683" spans="1:9" x14ac:dyDescent="0.25">
      <c r="A17683">
        <v>554</v>
      </c>
      <c r="B17683" t="s">
        <v>4386</v>
      </c>
      <c r="C17683" t="s">
        <v>10</v>
      </c>
      <c r="D17683" t="s">
        <v>15</v>
      </c>
      <c r="E17683">
        <f t="shared" si="840"/>
        <v>3.7037037037037035E-2</v>
      </c>
      <c r="F17683">
        <v>112</v>
      </c>
      <c r="G17683">
        <f>LOG(382/(112+1))</f>
        <v>0.52898491942828896</v>
      </c>
      <c r="H17683">
        <f>0.037037037037037*1.21803278989423</f>
        <v>4.5112325551638105E-2</v>
      </c>
      <c r="I17683">
        <v>4.511232555163832E-2</v>
      </c>
    </row>
    <row r="17684" spans="1:9" x14ac:dyDescent="0.25">
      <c r="A17684">
        <v>554</v>
      </c>
      <c r="B17684" t="s">
        <v>4386</v>
      </c>
      <c r="C17684" t="s">
        <v>10</v>
      </c>
      <c r="D17684" t="s">
        <v>900</v>
      </c>
      <c r="E17684">
        <f t="shared" si="840"/>
        <v>3.7037037037037035E-2</v>
      </c>
      <c r="F17684">
        <v>5</v>
      </c>
      <c r="G17684">
        <f>LOG(382/(5+1))</f>
        <v>1.803912112528065</v>
      </c>
      <c r="H17684">
        <f>0.037037037037037*4.15366113937852</f>
        <v>0.15383930145846356</v>
      </c>
      <c r="I17684">
        <v>0.1538393014584637</v>
      </c>
    </row>
    <row r="17685" spans="1:9" x14ac:dyDescent="0.25">
      <c r="A17685">
        <v>554</v>
      </c>
      <c r="B17685" t="s">
        <v>4386</v>
      </c>
      <c r="C17685" t="s">
        <v>10</v>
      </c>
      <c r="D17685" t="s">
        <v>4388</v>
      </c>
      <c r="E17685">
        <f t="shared" si="840"/>
        <v>3.7037037037037035E-2</v>
      </c>
      <c r="F17685">
        <v>1</v>
      </c>
      <c r="G17685">
        <f>LOG(382/(1+1))</f>
        <v>2.2810333672477277</v>
      </c>
      <c r="H17685">
        <f>0.037037037037037*5.25227342804663</f>
        <v>0.19452864548320833</v>
      </c>
      <c r="I17685">
        <v>0.1945286454832085</v>
      </c>
    </row>
    <row r="17686" spans="1:9" x14ac:dyDescent="0.25">
      <c r="A17686">
        <v>554</v>
      </c>
      <c r="B17686" t="s">
        <v>4386</v>
      </c>
      <c r="C17686" t="s">
        <v>10</v>
      </c>
      <c r="D17686" t="s">
        <v>17</v>
      </c>
      <c r="E17686">
        <f t="shared" si="840"/>
        <v>3.7037037037037035E-2</v>
      </c>
      <c r="F17686">
        <v>169</v>
      </c>
      <c r="G17686">
        <f>LOG(382/(169+1))</f>
        <v>0.3516144415334348</v>
      </c>
      <c r="H17686">
        <f>0.037037037037037*0.809622171556313</f>
        <v>2.998600635393749E-2</v>
      </c>
      <c r="I17686">
        <v>2.9986006353937531E-2</v>
      </c>
    </row>
    <row r="17687" spans="1:9" x14ac:dyDescent="0.25">
      <c r="A17687">
        <v>554</v>
      </c>
      <c r="B17687" t="s">
        <v>4386</v>
      </c>
      <c r="C17687" t="s">
        <v>10</v>
      </c>
      <c r="D17687" t="s">
        <v>2530</v>
      </c>
      <c r="E17687">
        <f t="shared" si="840"/>
        <v>3.7037037037037035E-2</v>
      </c>
      <c r="F17687">
        <v>5</v>
      </c>
      <c r="G17687">
        <f>LOG(382/(5+1))</f>
        <v>1.803912112528065</v>
      </c>
      <c r="H17687">
        <f>0.037037037037037*4.15366113937852</f>
        <v>0.15383930145846356</v>
      </c>
      <c r="I17687">
        <v>0.1538393014584637</v>
      </c>
    </row>
    <row r="17688" spans="1:9" x14ac:dyDescent="0.25">
      <c r="A17688">
        <v>554</v>
      </c>
      <c r="B17688" t="s">
        <v>4386</v>
      </c>
      <c r="C17688" t="s">
        <v>10</v>
      </c>
      <c r="D17688" t="s">
        <v>19</v>
      </c>
      <c r="E17688">
        <f t="shared" si="840"/>
        <v>3.7037037037037035E-2</v>
      </c>
      <c r="F17688">
        <v>220</v>
      </c>
      <c r="G17688">
        <f>LOG(382/(220+1))</f>
        <v>0.23767108922659805</v>
      </c>
      <c r="H17688">
        <f>0.037037037037037*0.547257907088822</f>
        <v>2.0268811373660055E-2</v>
      </c>
      <c r="I17688">
        <v>2.026881137366009E-2</v>
      </c>
    </row>
    <row r="17689" spans="1:9" x14ac:dyDescent="0.25">
      <c r="A17689">
        <v>554</v>
      </c>
      <c r="B17689" t="s">
        <v>4386</v>
      </c>
      <c r="C17689" t="s">
        <v>10</v>
      </c>
      <c r="D17689" t="s">
        <v>41</v>
      </c>
      <c r="E17689">
        <f t="shared" si="840"/>
        <v>3.7037037037037035E-2</v>
      </c>
      <c r="F17689">
        <v>195</v>
      </c>
      <c r="G17689">
        <f>LOG(382/(195+1))</f>
        <v>0.28980729155523272</v>
      </c>
      <c r="H17689">
        <f>0.037037037037037*0.667305949376058</f>
        <v>2.4715035162076199E-2</v>
      </c>
      <c r="I17689">
        <v>2.471503516207622E-2</v>
      </c>
    </row>
    <row r="17690" spans="1:9" x14ac:dyDescent="0.25">
      <c r="A17690">
        <v>554</v>
      </c>
      <c r="B17690" t="s">
        <v>4386</v>
      </c>
      <c r="C17690" t="s">
        <v>10</v>
      </c>
      <c r="D17690" t="s">
        <v>22</v>
      </c>
      <c r="E17690">
        <f t="shared" si="840"/>
        <v>3.7037037037037035E-2</v>
      </c>
      <c r="F17690">
        <v>259</v>
      </c>
      <c r="G17690">
        <f>LOG(382/(259+1))</f>
        <v>0.16709001494089079</v>
      </c>
      <c r="H17690">
        <f>0.037037037037037*0.384738977591047</f>
        <v>1.4249591762631358E-2</v>
      </c>
      <c r="I17690">
        <v>1.4249591762631389E-2</v>
      </c>
    </row>
    <row r="17691" spans="1:9" x14ac:dyDescent="0.25">
      <c r="A17691">
        <v>554</v>
      </c>
      <c r="B17691" t="s">
        <v>4386</v>
      </c>
      <c r="C17691" t="s">
        <v>10</v>
      </c>
      <c r="D17691" t="s">
        <v>23</v>
      </c>
      <c r="E17691">
        <f t="shared" si="840"/>
        <v>3.7037037037037035E-2</v>
      </c>
      <c r="F17691">
        <v>275</v>
      </c>
      <c r="G17691">
        <f>LOG(382/(275+1))</f>
        <v>0.14115428084649101</v>
      </c>
      <c r="H17691">
        <f>0.037037037037037*0.325019742889425</f>
        <v>1.2037768255163877E-2</v>
      </c>
      <c r="I17691">
        <v>1.2037768255163891E-2</v>
      </c>
    </row>
    <row r="17692" spans="1:9" x14ac:dyDescent="0.25">
      <c r="A17692">
        <v>554</v>
      </c>
      <c r="B17692" t="s">
        <v>4386</v>
      </c>
      <c r="C17692" t="s">
        <v>10</v>
      </c>
      <c r="D17692" t="s">
        <v>247</v>
      </c>
      <c r="E17692">
        <f t="shared" si="840"/>
        <v>3.7037037037037035E-2</v>
      </c>
      <c r="F17692">
        <v>121</v>
      </c>
      <c r="G17692">
        <f>LOG(382/(121+1))</f>
        <v>0.49570353223696051</v>
      </c>
      <c r="H17692">
        <f>0.037037037037037*1.14139956387331</f>
        <v>4.2274057921233663E-2</v>
      </c>
      <c r="I17692">
        <v>4.2274057921234023E-2</v>
      </c>
    </row>
    <row r="17693" spans="1:9" x14ac:dyDescent="0.25">
      <c r="A17693">
        <v>554</v>
      </c>
      <c r="B17693" t="s">
        <v>4386</v>
      </c>
      <c r="C17693" t="s">
        <v>10</v>
      </c>
      <c r="D17693" t="s">
        <v>39</v>
      </c>
      <c r="E17693">
        <f t="shared" si="840"/>
        <v>3.7037037037037035E-2</v>
      </c>
      <c r="F17693">
        <v>145</v>
      </c>
      <c r="G17693">
        <f>LOG(382/(145+1))</f>
        <v>0.41771050712727159</v>
      </c>
      <c r="H17693">
        <f>0.037037037037037*0.961813986898238</f>
        <v>3.5622740255490261E-2</v>
      </c>
      <c r="I17693">
        <v>3.5622740255490323E-2</v>
      </c>
    </row>
    <row r="17694" spans="1:9" x14ac:dyDescent="0.25">
      <c r="A17694">
        <v>554</v>
      </c>
      <c r="B17694" t="s">
        <v>4386</v>
      </c>
      <c r="C17694" t="s">
        <v>10</v>
      </c>
      <c r="D17694" t="s">
        <v>331</v>
      </c>
      <c r="E17694">
        <f>2/27</f>
        <v>7.407407407407407E-2</v>
      </c>
      <c r="F17694">
        <v>130</v>
      </c>
      <c r="G17694">
        <f>LOG(382/(130+1))</f>
        <v>0.46479206725594452</v>
      </c>
      <c r="H17694">
        <f>0.074074074074074*1.07022328540542</f>
        <v>7.9275798918919935E-2</v>
      </c>
      <c r="I17694">
        <v>7.9275798918920268E-2</v>
      </c>
    </row>
    <row r="17695" spans="1:9" x14ac:dyDescent="0.25">
      <c r="A17695">
        <v>554</v>
      </c>
      <c r="B17695" t="s">
        <v>4386</v>
      </c>
      <c r="C17695" t="s">
        <v>10</v>
      </c>
      <c r="D17695" t="s">
        <v>25</v>
      </c>
      <c r="E17695">
        <f t="shared" ref="E17695:E17706" si="841">1/27</f>
        <v>3.7037037037037035E-2</v>
      </c>
      <c r="F17695">
        <v>106</v>
      </c>
      <c r="G17695">
        <f>LOG(382/(106+1))</f>
        <v>0.55267958522649907</v>
      </c>
      <c r="H17695">
        <f>0.037037037037037*1.27259177414466</f>
        <v>4.7133028672024395E-2</v>
      </c>
      <c r="I17695">
        <v>4.7133028672024783E-2</v>
      </c>
    </row>
    <row r="17696" spans="1:9" x14ac:dyDescent="0.25">
      <c r="A17696">
        <v>554</v>
      </c>
      <c r="B17696" t="s">
        <v>4386</v>
      </c>
      <c r="C17696" t="s">
        <v>10</v>
      </c>
      <c r="D17696" t="s">
        <v>1421</v>
      </c>
      <c r="E17696">
        <f t="shared" si="841"/>
        <v>3.7037037037037035E-2</v>
      </c>
      <c r="F17696">
        <v>4</v>
      </c>
      <c r="G17696">
        <f>LOG(382/(4+1))</f>
        <v>1.8830933585756899</v>
      </c>
      <c r="H17696">
        <f>0.037037037037037*4.33598269617247</f>
        <v>0.16059195171009133</v>
      </c>
      <c r="I17696">
        <v>0.16059195171009169</v>
      </c>
    </row>
    <row r="17697" spans="1:9" x14ac:dyDescent="0.25">
      <c r="A17697">
        <v>554</v>
      </c>
      <c r="B17697" t="s">
        <v>4386</v>
      </c>
      <c r="C17697" t="s">
        <v>10</v>
      </c>
      <c r="D17697" t="s">
        <v>198</v>
      </c>
      <c r="E17697">
        <f t="shared" si="841"/>
        <v>3.7037037037037035E-2</v>
      </c>
      <c r="F17697">
        <v>11</v>
      </c>
      <c r="G17697">
        <f>LOG(382/(11+1))</f>
        <v>1.5028821168640838</v>
      </c>
      <c r="H17697">
        <f>0.037037037037037*3.46051395881857</f>
        <v>0.12816718365994692</v>
      </c>
      <c r="I17697">
        <v>0.1281671836599472</v>
      </c>
    </row>
    <row r="17698" spans="1:9" x14ac:dyDescent="0.25">
      <c r="A17698">
        <v>554</v>
      </c>
      <c r="B17698" t="s">
        <v>4386</v>
      </c>
      <c r="C17698" t="s">
        <v>10</v>
      </c>
      <c r="D17698" t="s">
        <v>465</v>
      </c>
      <c r="E17698">
        <f t="shared" si="841"/>
        <v>3.7037037037037035E-2</v>
      </c>
      <c r="F17698">
        <v>36</v>
      </c>
      <c r="G17698">
        <f>LOG(382/(36+1))</f>
        <v>1.0138616388447137</v>
      </c>
      <c r="H17698">
        <f>0.037037037037037*2.33450269596235</f>
        <v>8.6463062813420283E-2</v>
      </c>
      <c r="I17698">
        <v>8.6463062813420394E-2</v>
      </c>
    </row>
    <row r="17699" spans="1:9" x14ac:dyDescent="0.25">
      <c r="A17699">
        <v>554</v>
      </c>
      <c r="B17699" t="s">
        <v>4386</v>
      </c>
      <c r="C17699" t="s">
        <v>10</v>
      </c>
      <c r="D17699" t="s">
        <v>204</v>
      </c>
      <c r="E17699">
        <f t="shared" si="841"/>
        <v>3.7037037037037035E-2</v>
      </c>
      <c r="F17699">
        <v>166</v>
      </c>
      <c r="G17699">
        <f>LOG(382/(166+1))</f>
        <v>0.35934689176412549</v>
      </c>
      <c r="H17699">
        <f>0.037037037037037*0.82742679618982</f>
        <v>3.0645436895919226E-2</v>
      </c>
      <c r="I17699">
        <v>3.0645436895919261E-2</v>
      </c>
    </row>
    <row r="17700" spans="1:9" x14ac:dyDescent="0.25">
      <c r="A17700">
        <v>554</v>
      </c>
      <c r="B17700" t="s">
        <v>4386</v>
      </c>
      <c r="C17700" t="s">
        <v>10</v>
      </c>
      <c r="D17700" t="s">
        <v>77</v>
      </c>
      <c r="E17700">
        <f t="shared" si="841"/>
        <v>3.7037037037037035E-2</v>
      </c>
      <c r="F17700">
        <v>148</v>
      </c>
      <c r="G17700">
        <f>LOG(382/(148+1))</f>
        <v>0.40887709449943471</v>
      </c>
      <c r="H17700">
        <f>0.037037037037037*0.941474302661116</f>
        <v>3.4869418617078332E-2</v>
      </c>
      <c r="I17700">
        <v>3.4869418617078367E-2</v>
      </c>
    </row>
    <row r="17701" spans="1:9" x14ac:dyDescent="0.25">
      <c r="A17701">
        <v>554</v>
      </c>
      <c r="B17701" t="s">
        <v>4386</v>
      </c>
      <c r="C17701" t="s">
        <v>10</v>
      </c>
      <c r="D17701" t="s">
        <v>939</v>
      </c>
      <c r="E17701">
        <f t="shared" si="841"/>
        <v>3.7037037037037035E-2</v>
      </c>
      <c r="F17701">
        <v>35</v>
      </c>
      <c r="G17701">
        <f>LOG(382/(35+1))</f>
        <v>1.0257608621444214</v>
      </c>
      <c r="H17701">
        <f>0.037037037037037*2.36190167015046</f>
        <v>8.7477839635202143E-2</v>
      </c>
      <c r="I17701">
        <v>8.7477839635202406E-2</v>
      </c>
    </row>
    <row r="17702" spans="1:9" x14ac:dyDescent="0.25">
      <c r="A17702">
        <v>554</v>
      </c>
      <c r="B17702" t="s">
        <v>4386</v>
      </c>
      <c r="C17702" t="s">
        <v>10</v>
      </c>
      <c r="D17702" t="s">
        <v>315</v>
      </c>
      <c r="E17702">
        <f t="shared" si="841"/>
        <v>3.7037037037037035E-2</v>
      </c>
      <c r="F17702">
        <v>55</v>
      </c>
      <c r="G17702">
        <f>LOG(382/(55+1))</f>
        <v>0.83387533590550833</v>
      </c>
      <c r="H17702">
        <f>0.037037037037037*1.92006891787142</f>
        <v>7.1113663624867346E-2</v>
      </c>
      <c r="I17702">
        <v>7.1113663624867623E-2</v>
      </c>
    </row>
    <row r="17703" spans="1:9" x14ac:dyDescent="0.25">
      <c r="A17703">
        <v>554</v>
      </c>
      <c r="B17703" t="s">
        <v>4386</v>
      </c>
      <c r="C17703" t="s">
        <v>10</v>
      </c>
      <c r="D17703" t="s">
        <v>680</v>
      </c>
      <c r="E17703">
        <f t="shared" si="841"/>
        <v>3.7037037037037035E-2</v>
      </c>
      <c r="F17703">
        <v>25</v>
      </c>
      <c r="G17703">
        <f>LOG(382/(25+1))</f>
        <v>1.1670900149408907</v>
      </c>
      <c r="H17703">
        <f>0.037037037037037*2.68732407058509</f>
        <v>9.9530521132781019E-2</v>
      </c>
      <c r="I17703">
        <v>9.9530521132781227E-2</v>
      </c>
    </row>
    <row r="17704" spans="1:9" x14ac:dyDescent="0.25">
      <c r="A17704">
        <v>554</v>
      </c>
      <c r="B17704" t="s">
        <v>4386</v>
      </c>
      <c r="C17704" t="s">
        <v>10</v>
      </c>
      <c r="D17704" t="s">
        <v>1081</v>
      </c>
      <c r="E17704">
        <f t="shared" si="841"/>
        <v>3.7037037037037035E-2</v>
      </c>
      <c r="F17704">
        <v>27</v>
      </c>
      <c r="G17704">
        <f>LOG(382/(27+1))</f>
        <v>1.1349053315694895</v>
      </c>
      <c r="H17704">
        <f>0.037037037037037*2.61321609843137</f>
        <v>9.6785781423383982E-2</v>
      </c>
      <c r="I17704">
        <v>9.6785781423384107E-2</v>
      </c>
    </row>
    <row r="17705" spans="1:9" x14ac:dyDescent="0.25">
      <c r="A17705">
        <v>554</v>
      </c>
      <c r="B17705" t="s">
        <v>4386</v>
      </c>
      <c r="C17705" t="s">
        <v>10</v>
      </c>
      <c r="D17705" t="s">
        <v>152</v>
      </c>
      <c r="E17705">
        <f t="shared" si="841"/>
        <v>3.7037037037037035E-2</v>
      </c>
      <c r="F17705">
        <v>31</v>
      </c>
      <c r="G17705">
        <f>LOG(382/(31+1))</f>
        <v>1.0769133845918029</v>
      </c>
      <c r="H17705">
        <f>0.037037037037037*2.47968470580684</f>
        <v>9.1840174289142124E-2</v>
      </c>
      <c r="I17705">
        <v>9.184017428914254E-2</v>
      </c>
    </row>
    <row r="17706" spans="1:9" x14ac:dyDescent="0.25">
      <c r="A17706">
        <v>554</v>
      </c>
      <c r="B17706" t="s">
        <v>4386</v>
      </c>
      <c r="C17706" t="s">
        <v>10</v>
      </c>
      <c r="D17706" t="s">
        <v>1078</v>
      </c>
      <c r="E17706">
        <f t="shared" si="841"/>
        <v>3.7037037037037035E-2</v>
      </c>
      <c r="F17706">
        <v>5</v>
      </c>
      <c r="G17706">
        <f>LOG(382/(5+1))</f>
        <v>1.803912112528065</v>
      </c>
      <c r="H17706">
        <f>0.037037037037037*4.15366113937852</f>
        <v>0.15383930145846356</v>
      </c>
      <c r="I17706">
        <v>0.1538393014584637</v>
      </c>
    </row>
    <row r="17707" spans="1:9" x14ac:dyDescent="0.25">
      <c r="A17707">
        <v>555</v>
      </c>
      <c r="B17707" t="s">
        <v>4389</v>
      </c>
      <c r="C17707" t="s">
        <v>10</v>
      </c>
      <c r="D17707" t="s">
        <v>315</v>
      </c>
      <c r="E17707">
        <f>2/31</f>
        <v>6.4516129032258063E-2</v>
      </c>
      <c r="F17707">
        <v>55</v>
      </c>
      <c r="G17707">
        <f>LOG(382/(55+1))</f>
        <v>0.83387533590550833</v>
      </c>
      <c r="H17707">
        <f>0.064516129032258*1.92006891787142</f>
        <v>0.12387541405622052</v>
      </c>
      <c r="I17707">
        <v>0.123875414056221</v>
      </c>
    </row>
    <row r="17708" spans="1:9" x14ac:dyDescent="0.25">
      <c r="A17708">
        <v>555</v>
      </c>
      <c r="B17708" t="s">
        <v>4389</v>
      </c>
      <c r="C17708" t="s">
        <v>10</v>
      </c>
      <c r="D17708" t="s">
        <v>115</v>
      </c>
      <c r="E17708">
        <f>1/31</f>
        <v>3.2258064516129031E-2</v>
      </c>
      <c r="F17708">
        <v>17</v>
      </c>
      <c r="G17708">
        <f>LOG(382/(17+1))</f>
        <v>1.3267908578084027</v>
      </c>
      <c r="H17708">
        <f>0.032258064516129*3.05504885071041</f>
        <v>9.854996292614214E-2</v>
      </c>
      <c r="I17708">
        <v>9.8549962926142265E-2</v>
      </c>
    </row>
    <row r="17709" spans="1:9" x14ac:dyDescent="0.25">
      <c r="A17709">
        <v>555</v>
      </c>
      <c r="B17709" t="s">
        <v>4389</v>
      </c>
      <c r="C17709" t="s">
        <v>10</v>
      </c>
      <c r="D17709" t="s">
        <v>2259</v>
      </c>
      <c r="E17709">
        <f>1/31</f>
        <v>3.2258064516129031E-2</v>
      </c>
      <c r="F17709">
        <v>3</v>
      </c>
      <c r="G17709">
        <f>LOG(382/(3+1))</f>
        <v>1.9800033715837464</v>
      </c>
      <c r="H17709">
        <f>0.032258064516129*4.55912624748668</f>
        <v>0.14706858862860242</v>
      </c>
      <c r="I17709">
        <v>0.1470685886286027</v>
      </c>
    </row>
    <row r="17710" spans="1:9" x14ac:dyDescent="0.25">
      <c r="A17710">
        <v>555</v>
      </c>
      <c r="B17710" t="s">
        <v>4389</v>
      </c>
      <c r="C17710" t="s">
        <v>10</v>
      </c>
      <c r="D17710" t="s">
        <v>1287</v>
      </c>
      <c r="E17710">
        <f>1/31</f>
        <v>3.2258064516129031E-2</v>
      </c>
      <c r="F17710">
        <v>4</v>
      </c>
      <c r="G17710">
        <f>LOG(382/(4+1))</f>
        <v>1.8830933585756899</v>
      </c>
      <c r="H17710">
        <f>0.032258064516129*4.33598269617247</f>
        <v>0.1398704095539505</v>
      </c>
      <c r="I17710">
        <v>0.1398704095539508</v>
      </c>
    </row>
    <row r="17711" spans="1:9" x14ac:dyDescent="0.25">
      <c r="A17711">
        <v>555</v>
      </c>
      <c r="B17711" t="s">
        <v>4389</v>
      </c>
      <c r="C17711" t="s">
        <v>10</v>
      </c>
      <c r="D17711" t="s">
        <v>19</v>
      </c>
      <c r="E17711">
        <f>1/31</f>
        <v>3.2258064516129031E-2</v>
      </c>
      <c r="F17711">
        <v>220</v>
      </c>
      <c r="G17711">
        <f>LOG(382/(220+1))</f>
        <v>0.23767108922659805</v>
      </c>
      <c r="H17711">
        <f>0.032258064516129*0.547257907088822</f>
        <v>1.765348087383295E-2</v>
      </c>
      <c r="I17711">
        <v>1.7653480873832981E-2</v>
      </c>
    </row>
    <row r="17712" spans="1:9" x14ac:dyDescent="0.25">
      <c r="A17712">
        <v>555</v>
      </c>
      <c r="B17712" t="s">
        <v>4389</v>
      </c>
      <c r="C17712" t="s">
        <v>10</v>
      </c>
      <c r="D17712" t="s">
        <v>41</v>
      </c>
      <c r="E17712">
        <f>2/31</f>
        <v>6.4516129032258063E-2</v>
      </c>
      <c r="F17712">
        <v>195</v>
      </c>
      <c r="G17712">
        <f>LOG(382/(195+1))</f>
        <v>0.28980729155523272</v>
      </c>
      <c r="H17712">
        <f>0.064516129032258*0.667305949376058</f>
        <v>4.3051996733939182E-2</v>
      </c>
      <c r="I17712">
        <v>4.3051996733939217E-2</v>
      </c>
    </row>
    <row r="17713" spans="1:9" x14ac:dyDescent="0.25">
      <c r="A17713">
        <v>555</v>
      </c>
      <c r="B17713" t="s">
        <v>4389</v>
      </c>
      <c r="C17713" t="s">
        <v>10</v>
      </c>
      <c r="D17713" t="s">
        <v>22</v>
      </c>
      <c r="E17713">
        <f t="shared" ref="E17713:E17735" si="842">1/31</f>
        <v>3.2258064516129031E-2</v>
      </c>
      <c r="F17713">
        <v>259</v>
      </c>
      <c r="G17713">
        <f>LOG(382/(259+1))</f>
        <v>0.16709001494089079</v>
      </c>
      <c r="H17713">
        <f>0.032258064516129*0.384738977591047</f>
        <v>1.2410934761001503E-2</v>
      </c>
      <c r="I17713">
        <v>1.2410934761001529E-2</v>
      </c>
    </row>
    <row r="17714" spans="1:9" x14ac:dyDescent="0.25">
      <c r="A17714">
        <v>555</v>
      </c>
      <c r="B17714" t="s">
        <v>4389</v>
      </c>
      <c r="C17714" t="s">
        <v>10</v>
      </c>
      <c r="D17714" t="s">
        <v>23</v>
      </c>
      <c r="E17714">
        <f t="shared" si="842"/>
        <v>3.2258064516129031E-2</v>
      </c>
      <c r="F17714">
        <v>275</v>
      </c>
      <c r="G17714">
        <f>LOG(382/(275+1))</f>
        <v>0.14115428084649101</v>
      </c>
      <c r="H17714">
        <f>0.032258064516129*0.325019742889425</f>
        <v>1.048450783514273E-2</v>
      </c>
      <c r="I17714">
        <v>1.0484507835142751E-2</v>
      </c>
    </row>
    <row r="17715" spans="1:9" x14ac:dyDescent="0.25">
      <c r="A17715">
        <v>555</v>
      </c>
      <c r="B17715" t="s">
        <v>4389</v>
      </c>
      <c r="C17715" t="s">
        <v>10</v>
      </c>
      <c r="D17715" t="s">
        <v>247</v>
      </c>
      <c r="E17715">
        <f t="shared" si="842"/>
        <v>3.2258064516129031E-2</v>
      </c>
      <c r="F17715">
        <v>121</v>
      </c>
      <c r="G17715">
        <f>LOG(382/(121+1))</f>
        <v>0.49570353223696051</v>
      </c>
      <c r="H17715">
        <f>0.032258064516129*1.14139956387331</f>
        <v>3.6819340770106734E-2</v>
      </c>
      <c r="I17715">
        <v>3.6819340770107047E-2</v>
      </c>
    </row>
    <row r="17716" spans="1:9" x14ac:dyDescent="0.25">
      <c r="A17716">
        <v>555</v>
      </c>
      <c r="B17716" t="s">
        <v>4389</v>
      </c>
      <c r="C17716" t="s">
        <v>10</v>
      </c>
      <c r="D17716" t="s">
        <v>39</v>
      </c>
      <c r="E17716">
        <f t="shared" si="842"/>
        <v>3.2258064516129031E-2</v>
      </c>
      <c r="F17716">
        <v>145</v>
      </c>
      <c r="G17716">
        <f>LOG(382/(145+1))</f>
        <v>0.41771050712727159</v>
      </c>
      <c r="H17716">
        <f>0.032258064516129*0.961813986898238</f>
        <v>3.1026257641878611E-2</v>
      </c>
      <c r="I17716">
        <v>3.102625764187867E-2</v>
      </c>
    </row>
    <row r="17717" spans="1:9" x14ac:dyDescent="0.25">
      <c r="A17717">
        <v>555</v>
      </c>
      <c r="B17717" t="s">
        <v>4389</v>
      </c>
      <c r="C17717" t="s">
        <v>10</v>
      </c>
      <c r="D17717" t="s">
        <v>204</v>
      </c>
      <c r="E17717">
        <f t="shared" si="842"/>
        <v>3.2258064516129031E-2</v>
      </c>
      <c r="F17717">
        <v>166</v>
      </c>
      <c r="G17717">
        <f>LOG(382/(166+1))</f>
        <v>0.35934689176412549</v>
      </c>
      <c r="H17717">
        <f>0.032258064516129*0.82742679618982</f>
        <v>2.669118697386513E-2</v>
      </c>
      <c r="I17717">
        <v>2.6691186973865161E-2</v>
      </c>
    </row>
    <row r="17718" spans="1:9" x14ac:dyDescent="0.25">
      <c r="A17718">
        <v>555</v>
      </c>
      <c r="B17718" t="s">
        <v>4389</v>
      </c>
      <c r="C17718" t="s">
        <v>10</v>
      </c>
      <c r="D17718" t="s">
        <v>77</v>
      </c>
      <c r="E17718">
        <f t="shared" si="842"/>
        <v>3.2258064516129031E-2</v>
      </c>
      <c r="F17718">
        <v>148</v>
      </c>
      <c r="G17718">
        <f>LOG(382/(148+1))</f>
        <v>0.40887709449943471</v>
      </c>
      <c r="H17718">
        <f>0.032258064516129*0.941474302661116</f>
        <v>3.0370138795519835E-2</v>
      </c>
      <c r="I17718">
        <v>3.037013879551987E-2</v>
      </c>
    </row>
    <row r="17719" spans="1:9" x14ac:dyDescent="0.25">
      <c r="A17719">
        <v>555</v>
      </c>
      <c r="B17719" t="s">
        <v>4389</v>
      </c>
      <c r="C17719" t="s">
        <v>10</v>
      </c>
      <c r="D17719" t="s">
        <v>331</v>
      </c>
      <c r="E17719">
        <f t="shared" si="842"/>
        <v>3.2258064516129031E-2</v>
      </c>
      <c r="F17719">
        <v>130</v>
      </c>
      <c r="G17719">
        <f>LOG(382/(130+1))</f>
        <v>0.46479206725594452</v>
      </c>
      <c r="H17719">
        <f>0.032258064516129*1.07022328540542</f>
        <v>3.4523331787271579E-2</v>
      </c>
      <c r="I17719">
        <v>3.4523331787271731E-2</v>
      </c>
    </row>
    <row r="17720" spans="1:9" x14ac:dyDescent="0.25">
      <c r="A17720">
        <v>555</v>
      </c>
      <c r="B17720" t="s">
        <v>4389</v>
      </c>
      <c r="C17720" t="s">
        <v>10</v>
      </c>
      <c r="D17720" t="s">
        <v>939</v>
      </c>
      <c r="E17720">
        <f t="shared" si="842"/>
        <v>3.2258064516129031E-2</v>
      </c>
      <c r="F17720">
        <v>35</v>
      </c>
      <c r="G17720">
        <f>LOG(382/(35+1))</f>
        <v>1.0257608621444214</v>
      </c>
      <c r="H17720">
        <f>0.032258064516129*2.36190167015046</f>
        <v>7.6190376456466369E-2</v>
      </c>
      <c r="I17720">
        <v>7.6190376456466605E-2</v>
      </c>
    </row>
    <row r="17721" spans="1:9" x14ac:dyDescent="0.25">
      <c r="A17721">
        <v>555</v>
      </c>
      <c r="B17721" t="s">
        <v>4389</v>
      </c>
      <c r="C17721" t="s">
        <v>10</v>
      </c>
      <c r="D17721" t="s">
        <v>25</v>
      </c>
      <c r="E17721">
        <f t="shared" si="842"/>
        <v>3.2258064516129031E-2</v>
      </c>
      <c r="F17721">
        <v>106</v>
      </c>
      <c r="G17721">
        <f>LOG(382/(106+1))</f>
        <v>0.55267958522649907</v>
      </c>
      <c r="H17721">
        <f>0.032258064516129*1.27259177414466</f>
        <v>4.1051347553053501E-2</v>
      </c>
      <c r="I17721">
        <v>4.1051347553053841E-2</v>
      </c>
    </row>
    <row r="17722" spans="1:9" x14ac:dyDescent="0.25">
      <c r="A17722">
        <v>555</v>
      </c>
      <c r="B17722" t="s">
        <v>4389</v>
      </c>
      <c r="C17722" t="s">
        <v>10</v>
      </c>
      <c r="D17722" t="s">
        <v>1081</v>
      </c>
      <c r="E17722">
        <f t="shared" si="842"/>
        <v>3.2258064516129031E-2</v>
      </c>
      <c r="F17722">
        <v>27</v>
      </c>
      <c r="G17722">
        <f>LOG(382/(27+1))</f>
        <v>1.1349053315694895</v>
      </c>
      <c r="H17722">
        <f>0.032258064516129*2.61321609843137</f>
        <v>8.4297293497786044E-2</v>
      </c>
      <c r="I17722">
        <v>8.4297293497786155E-2</v>
      </c>
    </row>
    <row r="17723" spans="1:9" x14ac:dyDescent="0.25">
      <c r="A17723">
        <v>555</v>
      </c>
      <c r="B17723" t="s">
        <v>4389</v>
      </c>
      <c r="C17723" t="s">
        <v>10</v>
      </c>
      <c r="D17723" t="s">
        <v>152</v>
      </c>
      <c r="E17723">
        <f t="shared" si="842"/>
        <v>3.2258064516129031E-2</v>
      </c>
      <c r="F17723">
        <v>31</v>
      </c>
      <c r="G17723">
        <f>LOG(382/(31+1))</f>
        <v>1.0769133845918029</v>
      </c>
      <c r="H17723">
        <f>0.032258064516129*2.47968470580684</f>
        <v>7.9989829219575398E-2</v>
      </c>
      <c r="I17723">
        <v>7.9989829219575759E-2</v>
      </c>
    </row>
    <row r="17724" spans="1:9" x14ac:dyDescent="0.25">
      <c r="A17724">
        <v>555</v>
      </c>
      <c r="B17724" t="s">
        <v>4389</v>
      </c>
      <c r="C17724" t="s">
        <v>10</v>
      </c>
      <c r="D17724" t="s">
        <v>4390</v>
      </c>
      <c r="E17724">
        <f t="shared" si="842"/>
        <v>3.2258064516129031E-2</v>
      </c>
      <c r="F17724">
        <v>1</v>
      </c>
      <c r="G17724">
        <f>LOG(382/(1+1))</f>
        <v>2.2810333672477277</v>
      </c>
      <c r="H17724">
        <f>0.032258064516129*5.25227342804663</f>
        <v>0.16942817509827821</v>
      </c>
      <c r="I17724">
        <v>0.1694281750982784</v>
      </c>
    </row>
    <row r="17725" spans="1:9" x14ac:dyDescent="0.25">
      <c r="A17725">
        <v>555</v>
      </c>
      <c r="B17725" t="s">
        <v>4389</v>
      </c>
      <c r="C17725" t="s">
        <v>10</v>
      </c>
      <c r="D17725" t="s">
        <v>2223</v>
      </c>
      <c r="E17725">
        <f t="shared" si="842"/>
        <v>3.2258064516129031E-2</v>
      </c>
      <c r="F17725">
        <v>2</v>
      </c>
      <c r="G17725">
        <f>LOG(382/(2+1))</f>
        <v>2.1049421081920463</v>
      </c>
      <c r="H17725">
        <f>0.032258064516129*4.84680831993846</f>
        <v>0.15634865548188565</v>
      </c>
      <c r="I17725">
        <v>0.15634865548188601</v>
      </c>
    </row>
    <row r="17726" spans="1:9" x14ac:dyDescent="0.25">
      <c r="A17726">
        <v>555</v>
      </c>
      <c r="B17726" t="s">
        <v>4389</v>
      </c>
      <c r="C17726" t="s">
        <v>10</v>
      </c>
      <c r="D17726" t="s">
        <v>780</v>
      </c>
      <c r="E17726">
        <f t="shared" si="842"/>
        <v>3.2258064516129031E-2</v>
      </c>
      <c r="F17726">
        <v>3</v>
      </c>
      <c r="G17726">
        <f>LOG(382/(3+1))</f>
        <v>1.9800033715837464</v>
      </c>
      <c r="H17726">
        <f>0.032258064516129*4.55912624748668</f>
        <v>0.14706858862860242</v>
      </c>
      <c r="I17726">
        <v>0.1470685886286027</v>
      </c>
    </row>
    <row r="17727" spans="1:9" x14ac:dyDescent="0.25">
      <c r="A17727">
        <v>555</v>
      </c>
      <c r="B17727" t="s">
        <v>4389</v>
      </c>
      <c r="C17727" t="s">
        <v>10</v>
      </c>
      <c r="D17727" t="s">
        <v>134</v>
      </c>
      <c r="E17727">
        <f t="shared" si="842"/>
        <v>3.2258064516129031E-2</v>
      </c>
      <c r="F17727">
        <v>21</v>
      </c>
      <c r="G17727">
        <f>LOG(382/(21+1))</f>
        <v>1.2396406820895025</v>
      </c>
      <c r="H17727">
        <f>0.032258064516129*2.85437815524825</f>
        <v>9.2076714685427316E-2</v>
      </c>
      <c r="I17727">
        <v>9.2076714685427719E-2</v>
      </c>
    </row>
    <row r="17728" spans="1:9" x14ac:dyDescent="0.25">
      <c r="A17728">
        <v>555</v>
      </c>
      <c r="B17728" t="s">
        <v>4389</v>
      </c>
      <c r="C17728" t="s">
        <v>10</v>
      </c>
      <c r="D17728" t="s">
        <v>487</v>
      </c>
      <c r="E17728">
        <f t="shared" si="842"/>
        <v>3.2258064516129031E-2</v>
      </c>
      <c r="F17728">
        <v>32</v>
      </c>
      <c r="G17728">
        <f>LOG(382/(32+1))</f>
        <v>1.0635494230338212</v>
      </c>
      <c r="H17728">
        <f>0.032258064516129*2.44891304714009</f>
        <v>7.8997195069035075E-2</v>
      </c>
      <c r="I17728">
        <v>7.8997195069035325E-2</v>
      </c>
    </row>
    <row r="17729" spans="1:9" x14ac:dyDescent="0.25">
      <c r="A17729">
        <v>555</v>
      </c>
      <c r="B17729" t="s">
        <v>4389</v>
      </c>
      <c r="C17729" t="s">
        <v>10</v>
      </c>
      <c r="D17729" t="s">
        <v>40</v>
      </c>
      <c r="E17729">
        <f t="shared" si="842"/>
        <v>3.2258064516129031E-2</v>
      </c>
      <c r="F17729">
        <v>159</v>
      </c>
      <c r="G17729">
        <f>LOG(382/(159+1))</f>
        <v>0.377943380255784</v>
      </c>
      <c r="H17729">
        <f>0.032258064516129*0.870246793372748</f>
        <v>2.8072477205572485E-2</v>
      </c>
      <c r="I17729">
        <v>2.807247720557253E-2</v>
      </c>
    </row>
    <row r="17730" spans="1:9" x14ac:dyDescent="0.25">
      <c r="A17730">
        <v>555</v>
      </c>
      <c r="B17730" t="s">
        <v>4389</v>
      </c>
      <c r="C17730" t="s">
        <v>10</v>
      </c>
      <c r="D17730" t="s">
        <v>752</v>
      </c>
      <c r="E17730">
        <f t="shared" si="842"/>
        <v>3.2258064516129031E-2</v>
      </c>
      <c r="F17730">
        <v>34</v>
      </c>
      <c r="G17730">
        <f>LOG(382/(34+1))</f>
        <v>1.037995318561433</v>
      </c>
      <c r="H17730">
        <f>0.032258064516129*2.39007254711716</f>
        <v>7.7099114423134107E-2</v>
      </c>
      <c r="I17730">
        <v>7.7099114423134232E-2</v>
      </c>
    </row>
    <row r="17731" spans="1:9" x14ac:dyDescent="0.25">
      <c r="A17731">
        <v>555</v>
      </c>
      <c r="B17731" t="s">
        <v>4389</v>
      </c>
      <c r="C17731" t="s">
        <v>10</v>
      </c>
      <c r="D17731" t="s">
        <v>477</v>
      </c>
      <c r="E17731">
        <f t="shared" si="842"/>
        <v>3.2258064516129031E-2</v>
      </c>
      <c r="F17731">
        <v>17</v>
      </c>
      <c r="G17731">
        <f>LOG(382/(17+1))</f>
        <v>1.3267908578084027</v>
      </c>
      <c r="H17731">
        <f>0.032258064516129*3.05504885071041</f>
        <v>9.854996292614214E-2</v>
      </c>
      <c r="I17731">
        <v>9.8549962926142265E-2</v>
      </c>
    </row>
    <row r="17732" spans="1:9" x14ac:dyDescent="0.25">
      <c r="A17732">
        <v>555</v>
      </c>
      <c r="B17732" t="s">
        <v>4389</v>
      </c>
      <c r="C17732" t="s">
        <v>10</v>
      </c>
      <c r="D17732" t="s">
        <v>1608</v>
      </c>
      <c r="E17732">
        <f t="shared" si="842"/>
        <v>3.2258064516129031E-2</v>
      </c>
      <c r="F17732">
        <v>13</v>
      </c>
      <c r="G17732">
        <f>LOG(382/(13+1))</f>
        <v>1.4359353272334707</v>
      </c>
      <c r="H17732">
        <f>0.032258064516129*3.30636327899131</f>
        <v>0.1066568799674615</v>
      </c>
      <c r="I17732">
        <v>0.1066568799674618</v>
      </c>
    </row>
    <row r="17733" spans="1:9" x14ac:dyDescent="0.25">
      <c r="A17733">
        <v>555</v>
      </c>
      <c r="B17733" t="s">
        <v>4389</v>
      </c>
      <c r="C17733" t="s">
        <v>10</v>
      </c>
      <c r="D17733" t="s">
        <v>1433</v>
      </c>
      <c r="E17733">
        <f t="shared" si="842"/>
        <v>3.2258064516129031E-2</v>
      </c>
      <c r="F17733">
        <v>21</v>
      </c>
      <c r="G17733">
        <f>LOG(382/(21+1))</f>
        <v>1.2396406820895025</v>
      </c>
      <c r="H17733">
        <f>0.032258064516129*2.85437815524825</f>
        <v>9.2076714685427316E-2</v>
      </c>
      <c r="I17733">
        <v>9.2076714685427719E-2</v>
      </c>
    </row>
    <row r="17734" spans="1:9" x14ac:dyDescent="0.25">
      <c r="A17734">
        <v>555</v>
      </c>
      <c r="B17734" t="s">
        <v>4389</v>
      </c>
      <c r="C17734" t="s">
        <v>10</v>
      </c>
      <c r="D17734" t="s">
        <v>1397</v>
      </c>
      <c r="E17734">
        <f t="shared" si="842"/>
        <v>3.2258064516129031E-2</v>
      </c>
      <c r="F17734">
        <v>29</v>
      </c>
      <c r="G17734">
        <f>LOG(382/(29+1))</f>
        <v>1.1049421081920463</v>
      </c>
      <c r="H17734">
        <f>0.032258064516129*2.54422322694442</f>
        <v>8.2071716998207006E-2</v>
      </c>
      <c r="I17734">
        <v>8.2071716998207089E-2</v>
      </c>
    </row>
    <row r="17735" spans="1:9" x14ac:dyDescent="0.25">
      <c r="A17735">
        <v>555</v>
      </c>
      <c r="B17735" t="s">
        <v>4389</v>
      </c>
      <c r="C17735" t="s">
        <v>10</v>
      </c>
      <c r="D17735" t="s">
        <v>602</v>
      </c>
      <c r="E17735">
        <f t="shared" si="842"/>
        <v>3.2258064516129031E-2</v>
      </c>
      <c r="F17735">
        <v>13</v>
      </c>
      <c r="G17735">
        <f>LOG(382/(13+1))</f>
        <v>1.4359353272334707</v>
      </c>
      <c r="H17735">
        <f>0.032258064516129*3.30636327899131</f>
        <v>0.1066568799674615</v>
      </c>
      <c r="I17735">
        <v>0.1066568799674618</v>
      </c>
    </row>
    <row r="17736" spans="1:9" x14ac:dyDescent="0.25">
      <c r="A17736">
        <v>556</v>
      </c>
      <c r="B17736" t="s">
        <v>4391</v>
      </c>
      <c r="C17736" t="s">
        <v>48</v>
      </c>
      <c r="D17736" t="s">
        <v>4392</v>
      </c>
      <c r="E17736">
        <f>8/184</f>
        <v>4.3478260869565216E-2</v>
      </c>
      <c r="F17736">
        <v>2</v>
      </c>
      <c r="G17736">
        <f>LOG(382/(2+1))</f>
        <v>2.1049421081920463</v>
      </c>
      <c r="H17736">
        <f>0.0434782608695652*4.84680831993846</f>
        <v>0.2107307965190634</v>
      </c>
      <c r="I17736">
        <v>0.21073079651906371</v>
      </c>
    </row>
    <row r="17737" spans="1:9" x14ac:dyDescent="0.25">
      <c r="A17737">
        <v>556</v>
      </c>
      <c r="B17737" t="s">
        <v>4391</v>
      </c>
      <c r="C17737" t="s">
        <v>48</v>
      </c>
      <c r="D17737" t="s">
        <v>4199</v>
      </c>
      <c r="E17737">
        <f>7/184</f>
        <v>3.8043478260869568E-2</v>
      </c>
      <c r="F17737">
        <v>2</v>
      </c>
      <c r="G17737">
        <f>LOG(382/(2+1))</f>
        <v>2.1049421081920463</v>
      </c>
      <c r="H17737">
        <f>0.0380434782608695*4.84680831993846</f>
        <v>0.18438944695418022</v>
      </c>
      <c r="I17737">
        <v>0.18438944695418069</v>
      </c>
    </row>
    <row r="17738" spans="1:9" x14ac:dyDescent="0.25">
      <c r="A17738">
        <v>556</v>
      </c>
      <c r="B17738" t="s">
        <v>4391</v>
      </c>
      <c r="C17738" t="s">
        <v>48</v>
      </c>
      <c r="D17738" t="s">
        <v>247</v>
      </c>
      <c r="E17738">
        <f>1/184</f>
        <v>5.434782608695652E-3</v>
      </c>
      <c r="F17738">
        <v>121</v>
      </c>
      <c r="G17738">
        <f>LOG(382/(121+1))</f>
        <v>0.49570353223696051</v>
      </c>
      <c r="H17738">
        <f>0.00543478260869565*1.14139956387331</f>
        <v>6.203258499311466E-3</v>
      </c>
      <c r="I17738">
        <v>6.2032584993115146E-3</v>
      </c>
    </row>
    <row r="17739" spans="1:9" x14ac:dyDescent="0.25">
      <c r="A17739">
        <v>556</v>
      </c>
      <c r="B17739" t="s">
        <v>4391</v>
      </c>
      <c r="C17739" t="s">
        <v>48</v>
      </c>
      <c r="D17739" t="s">
        <v>39</v>
      </c>
      <c r="E17739">
        <f>1/184</f>
        <v>5.434782608695652E-3</v>
      </c>
      <c r="F17739">
        <v>145</v>
      </c>
      <c r="G17739">
        <f>LOG(382/(145+1))</f>
        <v>0.41771050712727159</v>
      </c>
      <c r="H17739">
        <f>0.00543478260869565*0.961813986898238</f>
        <v>5.22724992879477E-3</v>
      </c>
      <c r="I17739">
        <v>5.2272499287947752E-3</v>
      </c>
    </row>
    <row r="17740" spans="1:9" x14ac:dyDescent="0.25">
      <c r="A17740">
        <v>556</v>
      </c>
      <c r="B17740" t="s">
        <v>4391</v>
      </c>
      <c r="C17740" t="s">
        <v>48</v>
      </c>
      <c r="D17740" t="s">
        <v>1520</v>
      </c>
      <c r="E17740">
        <f>1/184</f>
        <v>5.434782608695652E-3</v>
      </c>
      <c r="F17740">
        <v>2</v>
      </c>
      <c r="G17740">
        <f>LOG(382/(2+1))</f>
        <v>2.1049421081920463</v>
      </c>
      <c r="H17740">
        <f>0.00543478260869565*4.84680831993846</f>
        <v>2.6341349564882925E-2</v>
      </c>
      <c r="I17740">
        <v>2.634134956488296E-2</v>
      </c>
    </row>
    <row r="17741" spans="1:9" x14ac:dyDescent="0.25">
      <c r="A17741">
        <v>556</v>
      </c>
      <c r="B17741" t="s">
        <v>4391</v>
      </c>
      <c r="C17741" t="s">
        <v>48</v>
      </c>
      <c r="D17741" t="s">
        <v>42</v>
      </c>
      <c r="E17741">
        <f>2/184</f>
        <v>1.0869565217391304E-2</v>
      </c>
      <c r="F17741">
        <v>251</v>
      </c>
      <c r="G17741">
        <f>LOG(382/(251+1))</f>
        <v>0.18066282213016463</v>
      </c>
      <c r="H17741">
        <f>0.0108695652173913*0.415991521095151</f>
        <v>4.5216469684255522E-3</v>
      </c>
      <c r="I17741">
        <v>4.5216469684255644E-3</v>
      </c>
    </row>
    <row r="17742" spans="1:9" x14ac:dyDescent="0.25">
      <c r="A17742">
        <v>556</v>
      </c>
      <c r="B17742" t="s">
        <v>4391</v>
      </c>
      <c r="C17742" t="s">
        <v>48</v>
      </c>
      <c r="D17742" t="s">
        <v>111</v>
      </c>
      <c r="E17742">
        <f>1/184</f>
        <v>5.434782608695652E-3</v>
      </c>
      <c r="F17742">
        <v>33</v>
      </c>
      <c r="G17742">
        <f>LOG(382/(33+1))</f>
        <v>1.0505844458694535</v>
      </c>
      <c r="H17742">
        <f>0.00543478260869565*2.41906008399041</f>
        <v>1.314706567386092E-2</v>
      </c>
      <c r="I17742">
        <v>1.314706567386094E-2</v>
      </c>
    </row>
    <row r="17743" spans="1:9" x14ac:dyDescent="0.25">
      <c r="A17743">
        <v>556</v>
      </c>
      <c r="B17743" t="s">
        <v>4391</v>
      </c>
      <c r="C17743" t="s">
        <v>48</v>
      </c>
      <c r="D17743" t="s">
        <v>4393</v>
      </c>
      <c r="E17743">
        <f>4/184</f>
        <v>2.1739130434782608E-2</v>
      </c>
      <c r="F17743">
        <v>1</v>
      </c>
      <c r="G17743">
        <f>LOG(382/(1+1))</f>
        <v>2.2810333672477277</v>
      </c>
      <c r="H17743">
        <f>0.0217391304347826*5.25227342804663</f>
        <v>0.11417985713144843</v>
      </c>
      <c r="I17743">
        <v>0.1141798571314485</v>
      </c>
    </row>
    <row r="17744" spans="1:9" x14ac:dyDescent="0.25">
      <c r="A17744">
        <v>556</v>
      </c>
      <c r="B17744" t="s">
        <v>4391</v>
      </c>
      <c r="C17744" t="s">
        <v>48</v>
      </c>
      <c r="D17744" t="s">
        <v>4394</v>
      </c>
      <c r="E17744">
        <f>4/184</f>
        <v>2.1739130434782608E-2</v>
      </c>
      <c r="F17744">
        <v>1</v>
      </c>
      <c r="G17744">
        <f>LOG(382/(1+1))</f>
        <v>2.2810333672477277</v>
      </c>
      <c r="H17744">
        <f>0.0217391304347826*5.25227342804663</f>
        <v>0.11417985713144843</v>
      </c>
      <c r="I17744">
        <v>0.1141798571314485</v>
      </c>
    </row>
    <row r="17745" spans="1:9" x14ac:dyDescent="0.25">
      <c r="A17745">
        <v>556</v>
      </c>
      <c r="B17745" t="s">
        <v>4391</v>
      </c>
      <c r="C17745" t="s">
        <v>48</v>
      </c>
      <c r="D17745" t="s">
        <v>17</v>
      </c>
      <c r="E17745">
        <f>1/184</f>
        <v>5.434782608695652E-3</v>
      </c>
      <c r="F17745">
        <v>169</v>
      </c>
      <c r="G17745">
        <f>LOG(382/(169+1))</f>
        <v>0.3516144415334348</v>
      </c>
      <c r="H17745">
        <f>0.00543478260869565*0.809622171556313</f>
        <v>4.4001204975886565E-3</v>
      </c>
      <c r="I17745">
        <v>4.4001204975886599E-3</v>
      </c>
    </row>
    <row r="17746" spans="1:9" x14ac:dyDescent="0.25">
      <c r="A17746">
        <v>556</v>
      </c>
      <c r="B17746" t="s">
        <v>4391</v>
      </c>
      <c r="C17746" t="s">
        <v>48</v>
      </c>
      <c r="D17746" t="s">
        <v>19</v>
      </c>
      <c r="E17746">
        <f>1/184</f>
        <v>5.434782608695652E-3</v>
      </c>
      <c r="F17746">
        <v>220</v>
      </c>
      <c r="G17746">
        <f>LOG(382/(220+1))</f>
        <v>0.23767108922659805</v>
      </c>
      <c r="H17746">
        <f>0.00543478260869565*0.547257907088822</f>
        <v>2.9742277559175103E-3</v>
      </c>
      <c r="I17746">
        <v>2.9742277559175129E-3</v>
      </c>
    </row>
    <row r="17747" spans="1:9" x14ac:dyDescent="0.25">
      <c r="A17747">
        <v>556</v>
      </c>
      <c r="B17747" t="s">
        <v>4391</v>
      </c>
      <c r="C17747" t="s">
        <v>48</v>
      </c>
      <c r="D17747" t="s">
        <v>1238</v>
      </c>
      <c r="E17747">
        <f>1/184</f>
        <v>5.434782608695652E-3</v>
      </c>
      <c r="F17747">
        <v>10</v>
      </c>
      <c r="G17747">
        <f>LOG(382/(10+1))</f>
        <v>1.5406706777534838</v>
      </c>
      <c r="H17747">
        <f>0.00543478260869565*3.5475253358082</f>
        <v>1.9280028998957602E-2</v>
      </c>
      <c r="I17747">
        <v>1.928002899895763E-2</v>
      </c>
    </row>
    <row r="17748" spans="1:9" x14ac:dyDescent="0.25">
      <c r="A17748">
        <v>556</v>
      </c>
      <c r="B17748" t="s">
        <v>4391</v>
      </c>
      <c r="C17748" t="s">
        <v>48</v>
      </c>
      <c r="D17748" t="s">
        <v>23</v>
      </c>
      <c r="E17748">
        <f>2/184</f>
        <v>1.0869565217391304E-2</v>
      </c>
      <c r="F17748">
        <v>275</v>
      </c>
      <c r="G17748">
        <f>LOG(382/(275+1))</f>
        <v>0.14115428084649101</v>
      </c>
      <c r="H17748">
        <f>0.0108695652173913*0.325019742889425</f>
        <v>3.5328232922763572E-3</v>
      </c>
      <c r="I17748">
        <v>3.5328232922763598E-3</v>
      </c>
    </row>
    <row r="17749" spans="1:9" x14ac:dyDescent="0.25">
      <c r="A17749">
        <v>556</v>
      </c>
      <c r="B17749" t="s">
        <v>4391</v>
      </c>
      <c r="C17749" t="s">
        <v>48</v>
      </c>
      <c r="D17749" t="s">
        <v>22</v>
      </c>
      <c r="E17749">
        <f>1/184</f>
        <v>5.434782608695652E-3</v>
      </c>
      <c r="F17749">
        <v>259</v>
      </c>
      <c r="G17749">
        <f>LOG(382/(259+1))</f>
        <v>0.16709001494089079</v>
      </c>
      <c r="H17749">
        <f>0.00543478260869565*0.384738977591047</f>
        <v>2.090972704299168E-3</v>
      </c>
      <c r="I17749">
        <v>2.090972704299171E-3</v>
      </c>
    </row>
    <row r="17750" spans="1:9" x14ac:dyDescent="0.25">
      <c r="A17750">
        <v>556</v>
      </c>
      <c r="B17750" t="s">
        <v>4391</v>
      </c>
      <c r="C17750" t="s">
        <v>48</v>
      </c>
      <c r="D17750" t="s">
        <v>781</v>
      </c>
      <c r="E17750">
        <f>2/184</f>
        <v>1.0869565217391304E-2</v>
      </c>
      <c r="F17750">
        <v>8</v>
      </c>
      <c r="G17750">
        <f>LOG(382/(8+1))</f>
        <v>1.6278208534723839</v>
      </c>
      <c r="H17750">
        <f>0.0108695652173913*3.74819603127035</f>
        <v>4.0741261209460311E-2</v>
      </c>
      <c r="I17750">
        <v>4.0741261209460387E-2</v>
      </c>
    </row>
    <row r="17751" spans="1:9" x14ac:dyDescent="0.25">
      <c r="A17751">
        <v>556</v>
      </c>
      <c r="B17751" t="s">
        <v>4391</v>
      </c>
      <c r="C17751" t="s">
        <v>48</v>
      </c>
      <c r="D17751" t="s">
        <v>4395</v>
      </c>
      <c r="E17751">
        <f>1/184</f>
        <v>5.434782608695652E-3</v>
      </c>
      <c r="F17751">
        <v>1</v>
      </c>
      <c r="G17751">
        <f>LOG(382/(1+1))</f>
        <v>2.2810333672477277</v>
      </c>
      <c r="H17751">
        <f>0.00543478260869565*5.25227342804663</f>
        <v>2.8544964282862108E-2</v>
      </c>
      <c r="I17751">
        <v>2.8544964282862122E-2</v>
      </c>
    </row>
    <row r="17752" spans="1:9" x14ac:dyDescent="0.25">
      <c r="A17752">
        <v>556</v>
      </c>
      <c r="B17752" t="s">
        <v>4391</v>
      </c>
      <c r="C17752" t="s">
        <v>48</v>
      </c>
      <c r="D17752" t="s">
        <v>28</v>
      </c>
      <c r="E17752">
        <f>1/184</f>
        <v>5.434782608695652E-3</v>
      </c>
      <c r="F17752">
        <v>35</v>
      </c>
      <c r="G17752">
        <f>LOG(382/(35+1))</f>
        <v>1.0257608621444214</v>
      </c>
      <c r="H17752">
        <f>0.00543478260869565*2.36190167015046</f>
        <v>1.2836422120382931E-2</v>
      </c>
      <c r="I17752">
        <v>1.2836422120382961E-2</v>
      </c>
    </row>
    <row r="17753" spans="1:9" x14ac:dyDescent="0.25">
      <c r="A17753">
        <v>556</v>
      </c>
      <c r="B17753" t="s">
        <v>4391</v>
      </c>
      <c r="C17753" t="s">
        <v>48</v>
      </c>
      <c r="D17753" t="s">
        <v>60</v>
      </c>
      <c r="E17753">
        <f>3/184</f>
        <v>1.6304347826086956E-2</v>
      </c>
      <c r="F17753">
        <v>24</v>
      </c>
      <c r="G17753">
        <f>LOG(382/(24+1))</f>
        <v>1.1841233542396712</v>
      </c>
      <c r="H17753">
        <f>0.0163043478260869*2.72654478373837</f>
        <v>4.445453451747327E-2</v>
      </c>
      <c r="I17753">
        <v>4.4454534517473492E-2</v>
      </c>
    </row>
    <row r="17754" spans="1:9" x14ac:dyDescent="0.25">
      <c r="A17754">
        <v>556</v>
      </c>
      <c r="B17754" t="s">
        <v>4391</v>
      </c>
      <c r="C17754" t="s">
        <v>48</v>
      </c>
      <c r="D17754" t="s">
        <v>784</v>
      </c>
      <c r="E17754">
        <f>1/184</f>
        <v>5.434782608695652E-3</v>
      </c>
      <c r="F17754">
        <v>6</v>
      </c>
      <c r="G17754">
        <f>LOG(382/(6+1))</f>
        <v>1.736965322897452</v>
      </c>
      <c r="H17754">
        <f>0.00543478260869565*3.99951045955126</f>
        <v>2.1736469888865535E-2</v>
      </c>
      <c r="I17754">
        <v>2.1736469888865548E-2</v>
      </c>
    </row>
    <row r="17755" spans="1:9" x14ac:dyDescent="0.25">
      <c r="A17755">
        <v>556</v>
      </c>
      <c r="B17755" t="s">
        <v>4391</v>
      </c>
      <c r="C17755" t="s">
        <v>48</v>
      </c>
      <c r="D17755" t="s">
        <v>2499</v>
      </c>
      <c r="E17755">
        <f>1/184</f>
        <v>5.434782608695652E-3</v>
      </c>
      <c r="F17755">
        <v>2</v>
      </c>
      <c r="G17755">
        <f>LOG(382/(2+1))</f>
        <v>2.1049421081920463</v>
      </c>
      <c r="H17755">
        <f>0.00543478260869565*4.84680831993846</f>
        <v>2.6341349564882925E-2</v>
      </c>
      <c r="I17755">
        <v>2.634134956488296E-2</v>
      </c>
    </row>
    <row r="17756" spans="1:9" x14ac:dyDescent="0.25">
      <c r="A17756">
        <v>556</v>
      </c>
      <c r="B17756" t="s">
        <v>4391</v>
      </c>
      <c r="C17756" t="s">
        <v>48</v>
      </c>
      <c r="D17756" t="s">
        <v>1518</v>
      </c>
      <c r="E17756">
        <f>4/184</f>
        <v>2.1739130434782608E-2</v>
      </c>
      <c r="F17756">
        <v>3</v>
      </c>
      <c r="G17756">
        <f>LOG(382/(3+1))</f>
        <v>1.9800033715837464</v>
      </c>
      <c r="H17756">
        <f>0.0217391304347826*4.55912624748668</f>
        <v>9.9111440162753875E-2</v>
      </c>
      <c r="I17756">
        <v>9.9111440162754014E-2</v>
      </c>
    </row>
    <row r="17757" spans="1:9" x14ac:dyDescent="0.25">
      <c r="A17757">
        <v>556</v>
      </c>
      <c r="B17757" t="s">
        <v>4391</v>
      </c>
      <c r="C17757" t="s">
        <v>48</v>
      </c>
      <c r="D17757" t="s">
        <v>653</v>
      </c>
      <c r="E17757">
        <f>4/184</f>
        <v>2.1739130434782608E-2</v>
      </c>
      <c r="F17757">
        <v>3</v>
      </c>
      <c r="G17757">
        <f>LOG(382/(3+1))</f>
        <v>1.9800033715837464</v>
      </c>
      <c r="H17757">
        <f>0.0217391304347826*4.55912624748668</f>
        <v>9.9111440162753875E-2</v>
      </c>
      <c r="I17757">
        <v>9.9111440162754014E-2</v>
      </c>
    </row>
    <row r="17758" spans="1:9" x14ac:dyDescent="0.25">
      <c r="A17758">
        <v>556</v>
      </c>
      <c r="B17758" t="s">
        <v>4391</v>
      </c>
      <c r="C17758" t="s">
        <v>48</v>
      </c>
      <c r="D17758" t="s">
        <v>4396</v>
      </c>
      <c r="E17758">
        <f>1/184</f>
        <v>5.434782608695652E-3</v>
      </c>
      <c r="F17758">
        <v>1</v>
      </c>
      <c r="G17758">
        <f>LOG(382/(1+1))</f>
        <v>2.2810333672477277</v>
      </c>
      <c r="H17758">
        <f>0.00543478260869565*5.25227342804663</f>
        <v>2.8544964282862108E-2</v>
      </c>
      <c r="I17758">
        <v>2.8544964282862122E-2</v>
      </c>
    </row>
    <row r="17759" spans="1:9" x14ac:dyDescent="0.25">
      <c r="A17759">
        <v>556</v>
      </c>
      <c r="B17759" t="s">
        <v>4391</v>
      </c>
      <c r="C17759" t="s">
        <v>48</v>
      </c>
      <c r="D17759" t="s">
        <v>4397</v>
      </c>
      <c r="E17759">
        <f>3/184</f>
        <v>1.6304347826086956E-2</v>
      </c>
      <c r="F17759">
        <v>1</v>
      </c>
      <c r="G17759">
        <f>LOG(382/(1+1))</f>
        <v>2.2810333672477277</v>
      </c>
      <c r="H17759">
        <f>0.0163043478260869*5.25227342804663</f>
        <v>8.5634892848586067E-2</v>
      </c>
      <c r="I17759">
        <v>8.5634892848586358E-2</v>
      </c>
    </row>
    <row r="17760" spans="1:9" x14ac:dyDescent="0.25">
      <c r="A17760">
        <v>556</v>
      </c>
      <c r="B17760" t="s">
        <v>4391</v>
      </c>
      <c r="C17760" t="s">
        <v>48</v>
      </c>
      <c r="D17760" t="s">
        <v>4398</v>
      </c>
      <c r="E17760">
        <f>3/184</f>
        <v>1.6304347826086956E-2</v>
      </c>
      <c r="F17760">
        <v>1</v>
      </c>
      <c r="G17760">
        <f>LOG(382/(1+1))</f>
        <v>2.2810333672477277</v>
      </c>
      <c r="H17760">
        <f>0.0163043478260869*5.25227342804663</f>
        <v>8.5634892848586067E-2</v>
      </c>
      <c r="I17760">
        <v>8.5634892848586358E-2</v>
      </c>
    </row>
    <row r="17761" spans="1:9" x14ac:dyDescent="0.25">
      <c r="A17761">
        <v>556</v>
      </c>
      <c r="B17761" t="s">
        <v>4391</v>
      </c>
      <c r="C17761" t="s">
        <v>48</v>
      </c>
      <c r="D17761" t="s">
        <v>4399</v>
      </c>
      <c r="E17761">
        <f>5/184</f>
        <v>2.717391304347826E-2</v>
      </c>
      <c r="F17761">
        <v>1</v>
      </c>
      <c r="G17761">
        <f>LOG(382/(1+1))</f>
        <v>2.2810333672477277</v>
      </c>
      <c r="H17761">
        <f>0.0271739130434782*5.25227342804663</f>
        <v>0.14272482141431028</v>
      </c>
      <c r="I17761">
        <v>0.14272482141431059</v>
      </c>
    </row>
    <row r="17762" spans="1:9" x14ac:dyDescent="0.25">
      <c r="A17762">
        <v>556</v>
      </c>
      <c r="B17762" t="s">
        <v>4391</v>
      </c>
      <c r="C17762" t="s">
        <v>48</v>
      </c>
      <c r="D17762" t="s">
        <v>105</v>
      </c>
      <c r="E17762">
        <f>3/184</f>
        <v>1.6304347826086956E-2</v>
      </c>
      <c r="F17762">
        <v>122</v>
      </c>
      <c r="G17762">
        <f>LOG(382/(122+1))</f>
        <v>0.49215825147231079</v>
      </c>
      <c r="H17762">
        <f>0.0163043478260869*1.13323625323415</f>
        <v>1.8476678041861077E-2</v>
      </c>
      <c r="I17762">
        <v>1.8476678041861261E-2</v>
      </c>
    </row>
    <row r="17763" spans="1:9" x14ac:dyDescent="0.25">
      <c r="A17763">
        <v>556</v>
      </c>
      <c r="B17763" t="s">
        <v>4391</v>
      </c>
      <c r="C17763" t="s">
        <v>48</v>
      </c>
      <c r="E17763">
        <f>2/184</f>
        <v>1.0869565217391304E-2</v>
      </c>
      <c r="F17763">
        <v>20</v>
      </c>
      <c r="G17763">
        <f>LOG(382/(20+1))</f>
        <v>1.2598440681777894</v>
      </c>
      <c r="H17763">
        <f>0.0108695652173913*2.90089817088315</f>
        <v>3.153150185742553E-2</v>
      </c>
      <c r="I17763">
        <v>3.1531501857425558E-2</v>
      </c>
    </row>
    <row r="17764" spans="1:9" x14ac:dyDescent="0.25">
      <c r="A17764">
        <v>556</v>
      </c>
      <c r="B17764" t="s">
        <v>4391</v>
      </c>
      <c r="C17764" t="s">
        <v>48</v>
      </c>
      <c r="D17764" t="s">
        <v>50</v>
      </c>
      <c r="E17764">
        <f>6/184</f>
        <v>3.2608695652173912E-2</v>
      </c>
      <c r="F17764">
        <v>109</v>
      </c>
      <c r="G17764">
        <f>LOG(382/(109+1))</f>
        <v>0.54067067775348365</v>
      </c>
      <c r="H17764">
        <f>0.0326086956521739*1.24494024281415</f>
        <v>4.0595877483070093E-2</v>
      </c>
      <c r="I17764">
        <v>4.0595877483070399E-2</v>
      </c>
    </row>
    <row r="17765" spans="1:9" x14ac:dyDescent="0.25">
      <c r="A17765">
        <v>556</v>
      </c>
      <c r="B17765" t="s">
        <v>4391</v>
      </c>
      <c r="C17765" t="s">
        <v>48</v>
      </c>
      <c r="D17765" t="s">
        <v>1018</v>
      </c>
      <c r="E17765">
        <f>1/184</f>
        <v>5.434782608695652E-3</v>
      </c>
      <c r="F17765">
        <v>6</v>
      </c>
      <c r="G17765">
        <f>LOG(382/(6+1))</f>
        <v>1.736965322897452</v>
      </c>
      <c r="H17765">
        <f>0.00543478260869565*3.99951045955126</f>
        <v>2.1736469888865535E-2</v>
      </c>
      <c r="I17765">
        <v>2.1736469888865548E-2</v>
      </c>
    </row>
    <row r="17766" spans="1:9" x14ac:dyDescent="0.25">
      <c r="A17766">
        <v>556</v>
      </c>
      <c r="B17766" t="s">
        <v>4391</v>
      </c>
      <c r="C17766" t="s">
        <v>48</v>
      </c>
      <c r="D17766" t="s">
        <v>2264</v>
      </c>
      <c r="E17766">
        <f>3/184</f>
        <v>1.6304347826086956E-2</v>
      </c>
      <c r="F17766">
        <v>2</v>
      </c>
      <c r="G17766">
        <f>LOG(382/(2+1))</f>
        <v>2.1049421081920463</v>
      </c>
      <c r="H17766">
        <f>0.0163043478260869*4.84680831993846</f>
        <v>7.9024048694648533E-2</v>
      </c>
      <c r="I17766">
        <v>7.9024048694648893E-2</v>
      </c>
    </row>
    <row r="17767" spans="1:9" x14ac:dyDescent="0.25">
      <c r="A17767">
        <v>556</v>
      </c>
      <c r="B17767" t="s">
        <v>4391</v>
      </c>
      <c r="C17767" t="s">
        <v>48</v>
      </c>
      <c r="D17767" t="s">
        <v>655</v>
      </c>
      <c r="E17767">
        <f>3/184</f>
        <v>1.6304347826086956E-2</v>
      </c>
      <c r="F17767">
        <v>3</v>
      </c>
      <c r="G17767">
        <f>LOG(382/(3+1))</f>
        <v>1.9800033715837464</v>
      </c>
      <c r="H17767">
        <f>0.0163043478260869*4.55912624748668</f>
        <v>7.4333580122065174E-2</v>
      </c>
      <c r="I17767">
        <v>7.4333580122065507E-2</v>
      </c>
    </row>
    <row r="17768" spans="1:9" x14ac:dyDescent="0.25">
      <c r="A17768">
        <v>556</v>
      </c>
      <c r="B17768" t="s">
        <v>4391</v>
      </c>
      <c r="C17768" t="s">
        <v>48</v>
      </c>
      <c r="D17768" t="s">
        <v>953</v>
      </c>
      <c r="E17768">
        <f>3/184</f>
        <v>1.6304347826086956E-2</v>
      </c>
      <c r="F17768">
        <v>16</v>
      </c>
      <c r="G17768">
        <f>LOG(382/(16+1))</f>
        <v>1.3516144415334348</v>
      </c>
      <c r="H17768">
        <f>0.0163043478260869*3.11220726455035</f>
        <v>5.0742509748103355E-2</v>
      </c>
      <c r="I17768">
        <v>5.0742509748103681E-2</v>
      </c>
    </row>
    <row r="17769" spans="1:9" x14ac:dyDescent="0.25">
      <c r="A17769">
        <v>556</v>
      </c>
      <c r="B17769" t="s">
        <v>4391</v>
      </c>
      <c r="C17769" t="s">
        <v>48</v>
      </c>
      <c r="D17769" t="s">
        <v>4400</v>
      </c>
      <c r="E17769">
        <f>1/184</f>
        <v>5.434782608695652E-3</v>
      </c>
      <c r="F17769">
        <v>1</v>
      </c>
      <c r="G17769">
        <f>LOG(382/(1+1))</f>
        <v>2.2810333672477277</v>
      </c>
      <c r="H17769">
        <f>0.00543478260869565*5.25227342804663</f>
        <v>2.8544964282862108E-2</v>
      </c>
      <c r="I17769">
        <v>2.8544964282862122E-2</v>
      </c>
    </row>
    <row r="17770" spans="1:9" x14ac:dyDescent="0.25">
      <c r="A17770">
        <v>556</v>
      </c>
      <c r="B17770" t="s">
        <v>4391</v>
      </c>
      <c r="C17770" t="s">
        <v>48</v>
      </c>
      <c r="D17770" t="s">
        <v>4401</v>
      </c>
      <c r="E17770">
        <f>1/184</f>
        <v>5.434782608695652E-3</v>
      </c>
      <c r="F17770">
        <v>1</v>
      </c>
      <c r="G17770">
        <f>LOG(382/(1+1))</f>
        <v>2.2810333672477277</v>
      </c>
      <c r="H17770">
        <f>0.00543478260869565*5.25227342804663</f>
        <v>2.8544964282862108E-2</v>
      </c>
      <c r="I17770">
        <v>2.8544964282862122E-2</v>
      </c>
    </row>
    <row r="17771" spans="1:9" x14ac:dyDescent="0.25">
      <c r="A17771">
        <v>556</v>
      </c>
      <c r="B17771" t="s">
        <v>4391</v>
      </c>
      <c r="C17771" t="s">
        <v>48</v>
      </c>
      <c r="D17771" t="s">
        <v>52</v>
      </c>
      <c r="E17771">
        <f>3/184</f>
        <v>1.6304347826086956E-2</v>
      </c>
      <c r="F17771">
        <v>35</v>
      </c>
      <c r="G17771">
        <f>LOG(382/(35+1))</f>
        <v>1.0257608621444214</v>
      </c>
      <c r="H17771">
        <f>0.0163043478260869*2.36190167015046</f>
        <v>3.8509266361148674E-2</v>
      </c>
      <c r="I17771">
        <v>3.8509266361148882E-2</v>
      </c>
    </row>
    <row r="17772" spans="1:9" x14ac:dyDescent="0.25">
      <c r="A17772">
        <v>556</v>
      </c>
      <c r="B17772" t="s">
        <v>4391</v>
      </c>
      <c r="C17772" t="s">
        <v>48</v>
      </c>
      <c r="D17772" t="s">
        <v>1131</v>
      </c>
      <c r="E17772">
        <f t="shared" ref="E17772:E17790" si="843">2/184</f>
        <v>1.0869565217391304E-2</v>
      </c>
      <c r="F17772">
        <v>6</v>
      </c>
      <c r="G17772">
        <f>LOG(382/(6+1))</f>
        <v>1.736965322897452</v>
      </c>
      <c r="H17772">
        <f>0.0108695652173913*3.99951045955126</f>
        <v>4.3472939777731069E-2</v>
      </c>
      <c r="I17772">
        <v>4.3472939777731097E-2</v>
      </c>
    </row>
    <row r="17773" spans="1:9" x14ac:dyDescent="0.25">
      <c r="A17773">
        <v>556</v>
      </c>
      <c r="B17773" t="s">
        <v>4391</v>
      </c>
      <c r="C17773" t="s">
        <v>48</v>
      </c>
      <c r="D17773" t="s">
        <v>4402</v>
      </c>
      <c r="E17773">
        <f t="shared" si="843"/>
        <v>1.0869565217391304E-2</v>
      </c>
      <c r="F17773">
        <v>1</v>
      </c>
      <c r="G17773">
        <f>LOG(382/(1+1))</f>
        <v>2.2810333672477277</v>
      </c>
      <c r="H17773">
        <f>0.0108695652173913*5.25227342804663</f>
        <v>5.7089928565724216E-2</v>
      </c>
      <c r="I17773">
        <v>5.7089928565724243E-2</v>
      </c>
    </row>
    <row r="17774" spans="1:9" x14ac:dyDescent="0.25">
      <c r="A17774">
        <v>556</v>
      </c>
      <c r="B17774" t="s">
        <v>4391</v>
      </c>
      <c r="C17774" t="s">
        <v>48</v>
      </c>
      <c r="D17774" t="s">
        <v>1403</v>
      </c>
      <c r="E17774">
        <f t="shared" si="843"/>
        <v>1.0869565217391304E-2</v>
      </c>
      <c r="F17774">
        <v>10</v>
      </c>
      <c r="G17774">
        <f>LOG(382/(10+1))</f>
        <v>1.5406706777534838</v>
      </c>
      <c r="H17774">
        <f>0.0108695652173913*3.5475253358082</f>
        <v>3.8560057997915204E-2</v>
      </c>
      <c r="I17774">
        <v>3.8560057997915273E-2</v>
      </c>
    </row>
    <row r="17775" spans="1:9" x14ac:dyDescent="0.25">
      <c r="A17775">
        <v>556</v>
      </c>
      <c r="B17775" t="s">
        <v>4391</v>
      </c>
      <c r="C17775" t="s">
        <v>48</v>
      </c>
      <c r="D17775" t="s">
        <v>788</v>
      </c>
      <c r="E17775">
        <f t="shared" si="843"/>
        <v>1.0869565217391304E-2</v>
      </c>
      <c r="F17775">
        <v>3</v>
      </c>
      <c r="G17775">
        <f>LOG(382/(3+1))</f>
        <v>1.9800033715837464</v>
      </c>
      <c r="H17775">
        <f>0.0108695652173913*4.55912624748668</f>
        <v>4.9555720081376937E-2</v>
      </c>
      <c r="I17775">
        <v>4.9555720081377007E-2</v>
      </c>
    </row>
    <row r="17776" spans="1:9" x14ac:dyDescent="0.25">
      <c r="A17776">
        <v>556</v>
      </c>
      <c r="B17776" t="s">
        <v>4391</v>
      </c>
      <c r="C17776" t="s">
        <v>48</v>
      </c>
      <c r="D17776" t="s">
        <v>4403</v>
      </c>
      <c r="E17776">
        <f t="shared" si="843"/>
        <v>1.0869565217391304E-2</v>
      </c>
      <c r="F17776">
        <v>1</v>
      </c>
      <c r="G17776">
        <f>LOG(382/(1+1))</f>
        <v>2.2810333672477277</v>
      </c>
      <c r="H17776">
        <f>0.0108695652173913*5.25227342804663</f>
        <v>5.7089928565724216E-2</v>
      </c>
      <c r="I17776">
        <v>5.7089928565724243E-2</v>
      </c>
    </row>
    <row r="17777" spans="1:9" x14ac:dyDescent="0.25">
      <c r="A17777">
        <v>556</v>
      </c>
      <c r="B17777" t="s">
        <v>4391</v>
      </c>
      <c r="C17777" t="s">
        <v>48</v>
      </c>
      <c r="D17777" t="s">
        <v>4404</v>
      </c>
      <c r="E17777">
        <f t="shared" si="843"/>
        <v>1.0869565217391304E-2</v>
      </c>
      <c r="F17777">
        <v>1</v>
      </c>
      <c r="G17777">
        <f>LOG(382/(1+1))</f>
        <v>2.2810333672477277</v>
      </c>
      <c r="H17777">
        <f>0.0108695652173913*5.25227342804663</f>
        <v>5.7089928565724216E-2</v>
      </c>
      <c r="I17777">
        <v>5.7089928565724243E-2</v>
      </c>
    </row>
    <row r="17778" spans="1:9" x14ac:dyDescent="0.25">
      <c r="A17778">
        <v>556</v>
      </c>
      <c r="B17778" t="s">
        <v>4391</v>
      </c>
      <c r="C17778" t="s">
        <v>48</v>
      </c>
      <c r="D17778" t="s">
        <v>2714</v>
      </c>
      <c r="E17778">
        <f t="shared" si="843"/>
        <v>1.0869565217391304E-2</v>
      </c>
      <c r="F17778">
        <v>3</v>
      </c>
      <c r="G17778">
        <f>LOG(382/(3+1))</f>
        <v>1.9800033715837464</v>
      </c>
      <c r="H17778">
        <f>0.0108695652173913*4.55912624748668</f>
        <v>4.9555720081376937E-2</v>
      </c>
      <c r="I17778">
        <v>4.9555720081377007E-2</v>
      </c>
    </row>
    <row r="17779" spans="1:9" x14ac:dyDescent="0.25">
      <c r="A17779">
        <v>556</v>
      </c>
      <c r="B17779" t="s">
        <v>4391</v>
      </c>
      <c r="C17779" t="s">
        <v>48</v>
      </c>
      <c r="D17779" t="s">
        <v>4405</v>
      </c>
      <c r="E17779">
        <f t="shared" si="843"/>
        <v>1.0869565217391304E-2</v>
      </c>
      <c r="F17779">
        <v>1</v>
      </c>
      <c r="G17779">
        <f>LOG(382/(1+1))</f>
        <v>2.2810333672477277</v>
      </c>
      <c r="H17779">
        <f>0.0108695652173913*5.25227342804663</f>
        <v>5.7089928565724216E-2</v>
      </c>
      <c r="I17779">
        <v>5.7089928565724243E-2</v>
      </c>
    </row>
    <row r="17780" spans="1:9" x14ac:dyDescent="0.25">
      <c r="A17780">
        <v>556</v>
      </c>
      <c r="B17780" t="s">
        <v>4391</v>
      </c>
      <c r="C17780" t="s">
        <v>48</v>
      </c>
      <c r="D17780" t="s">
        <v>117</v>
      </c>
      <c r="E17780">
        <f t="shared" si="843"/>
        <v>1.0869565217391304E-2</v>
      </c>
      <c r="F17780">
        <v>8</v>
      </c>
      <c r="G17780">
        <f>LOG(382/(8+1))</f>
        <v>1.6278208534723839</v>
      </c>
      <c r="H17780">
        <f>0.0108695652173913*3.74819603127035</f>
        <v>4.0741261209460311E-2</v>
      </c>
      <c r="I17780">
        <v>4.0741261209460387E-2</v>
      </c>
    </row>
    <row r="17781" spans="1:9" x14ac:dyDescent="0.25">
      <c r="A17781">
        <v>556</v>
      </c>
      <c r="B17781" t="s">
        <v>4391</v>
      </c>
      <c r="C17781" t="s">
        <v>48</v>
      </c>
      <c r="D17781" t="s">
        <v>3025</v>
      </c>
      <c r="E17781">
        <f t="shared" si="843"/>
        <v>1.0869565217391304E-2</v>
      </c>
      <c r="F17781">
        <v>2</v>
      </c>
      <c r="G17781">
        <f>LOG(382/(2+1))</f>
        <v>2.1049421081920463</v>
      </c>
      <c r="H17781">
        <f>0.0108695652173913*4.84680831993846</f>
        <v>5.268269912976585E-2</v>
      </c>
      <c r="I17781">
        <v>5.2682699129765927E-2</v>
      </c>
    </row>
    <row r="17782" spans="1:9" x14ac:dyDescent="0.25">
      <c r="A17782">
        <v>556</v>
      </c>
      <c r="B17782" t="s">
        <v>4391</v>
      </c>
      <c r="C17782" t="s">
        <v>48</v>
      </c>
      <c r="D17782" t="s">
        <v>900</v>
      </c>
      <c r="E17782">
        <f t="shared" si="843"/>
        <v>1.0869565217391304E-2</v>
      </c>
      <c r="F17782">
        <v>5</v>
      </c>
      <c r="G17782">
        <f>LOG(382/(5+1))</f>
        <v>1.803912112528065</v>
      </c>
      <c r="H17782">
        <f>0.0108695652173913*4.15366113937852</f>
        <v>4.5148490645418676E-2</v>
      </c>
      <c r="I17782">
        <v>4.514849064541869E-2</v>
      </c>
    </row>
    <row r="17783" spans="1:9" x14ac:dyDescent="0.25">
      <c r="A17783">
        <v>556</v>
      </c>
      <c r="B17783" t="s">
        <v>4391</v>
      </c>
      <c r="C17783" t="s">
        <v>48</v>
      </c>
      <c r="D17783" t="s">
        <v>273</v>
      </c>
      <c r="E17783">
        <f t="shared" si="843"/>
        <v>1.0869565217391304E-2</v>
      </c>
      <c r="F17783">
        <v>6</v>
      </c>
      <c r="G17783">
        <f>LOG(382/(6+1))</f>
        <v>1.736965322897452</v>
      </c>
      <c r="H17783">
        <f>0.0108695652173913*3.99951045955126</f>
        <v>4.3472939777731069E-2</v>
      </c>
      <c r="I17783">
        <v>4.3472939777731097E-2</v>
      </c>
    </row>
    <row r="17784" spans="1:9" x14ac:dyDescent="0.25">
      <c r="A17784">
        <v>556</v>
      </c>
      <c r="B17784" t="s">
        <v>4391</v>
      </c>
      <c r="C17784" t="s">
        <v>48</v>
      </c>
      <c r="D17784" t="s">
        <v>4406</v>
      </c>
      <c r="E17784">
        <f t="shared" si="843"/>
        <v>1.0869565217391304E-2</v>
      </c>
      <c r="F17784">
        <v>1</v>
      </c>
      <c r="G17784">
        <f>LOG(382/(1+1))</f>
        <v>2.2810333672477277</v>
      </c>
      <c r="H17784">
        <f>0.0108695652173913*5.25227342804663</f>
        <v>5.7089928565724216E-2</v>
      </c>
      <c r="I17784">
        <v>5.7089928565724243E-2</v>
      </c>
    </row>
    <row r="17785" spans="1:9" x14ac:dyDescent="0.25">
      <c r="A17785">
        <v>556</v>
      </c>
      <c r="B17785" t="s">
        <v>4391</v>
      </c>
      <c r="C17785" t="s">
        <v>48</v>
      </c>
      <c r="D17785" t="s">
        <v>36</v>
      </c>
      <c r="E17785">
        <f t="shared" si="843"/>
        <v>1.0869565217391304E-2</v>
      </c>
      <c r="F17785">
        <v>58</v>
      </c>
      <c r="G17785">
        <f>LOG(382/(58+1))</f>
        <v>0.81121135126956456</v>
      </c>
      <c r="H17785">
        <f>0.0108695652173913*1.86788316470085</f>
        <v>2.0303077877183145E-2</v>
      </c>
      <c r="I17785">
        <v>2.0303077877183211E-2</v>
      </c>
    </row>
    <row r="17786" spans="1:9" x14ac:dyDescent="0.25">
      <c r="A17786">
        <v>556</v>
      </c>
      <c r="B17786" t="s">
        <v>4391</v>
      </c>
      <c r="C17786" t="s">
        <v>48</v>
      </c>
      <c r="D17786" t="s">
        <v>962</v>
      </c>
      <c r="E17786">
        <f t="shared" si="843"/>
        <v>1.0869565217391304E-2</v>
      </c>
      <c r="F17786">
        <v>8</v>
      </c>
      <c r="G17786">
        <f>LOG(382/(8+1))</f>
        <v>1.6278208534723839</v>
      </c>
      <c r="H17786">
        <f>0.0108695652173913*3.74819603127035</f>
        <v>4.0741261209460311E-2</v>
      </c>
      <c r="I17786">
        <v>4.0741261209460387E-2</v>
      </c>
    </row>
    <row r="17787" spans="1:9" x14ac:dyDescent="0.25">
      <c r="A17787">
        <v>556</v>
      </c>
      <c r="B17787" t="s">
        <v>4391</v>
      </c>
      <c r="C17787" t="s">
        <v>48</v>
      </c>
      <c r="D17787" t="s">
        <v>4407</v>
      </c>
      <c r="E17787">
        <f t="shared" si="843"/>
        <v>1.0869565217391304E-2</v>
      </c>
      <c r="F17787">
        <v>1</v>
      </c>
      <c r="G17787">
        <f>LOG(382/(1+1))</f>
        <v>2.2810333672477277</v>
      </c>
      <c r="H17787">
        <f>0.0108695652173913*5.25227342804663</f>
        <v>5.7089928565724216E-2</v>
      </c>
      <c r="I17787">
        <v>5.7089928565724243E-2</v>
      </c>
    </row>
    <row r="17788" spans="1:9" x14ac:dyDescent="0.25">
      <c r="A17788">
        <v>556</v>
      </c>
      <c r="B17788" t="s">
        <v>4391</v>
      </c>
      <c r="C17788" t="s">
        <v>48</v>
      </c>
      <c r="D17788" t="s">
        <v>4408</v>
      </c>
      <c r="E17788">
        <f t="shared" si="843"/>
        <v>1.0869565217391304E-2</v>
      </c>
      <c r="F17788">
        <v>1</v>
      </c>
      <c r="G17788">
        <f>LOG(382/(1+1))</f>
        <v>2.2810333672477277</v>
      </c>
      <c r="H17788">
        <f>0.0108695652173913*5.25227342804663</f>
        <v>5.7089928565724216E-2</v>
      </c>
      <c r="I17788">
        <v>5.7089928565724243E-2</v>
      </c>
    </row>
    <row r="17789" spans="1:9" x14ac:dyDescent="0.25">
      <c r="A17789">
        <v>556</v>
      </c>
      <c r="B17789" t="s">
        <v>4391</v>
      </c>
      <c r="C17789" t="s">
        <v>48</v>
      </c>
      <c r="D17789" t="s">
        <v>1127</v>
      </c>
      <c r="E17789">
        <f t="shared" si="843"/>
        <v>1.0869565217391304E-2</v>
      </c>
      <c r="F17789">
        <v>18</v>
      </c>
      <c r="G17789">
        <f>LOG(382/(18+1))</f>
        <v>1.3033097619588798</v>
      </c>
      <c r="H17789">
        <f>0.0108695652173913*3.00098162944013</f>
        <v>3.2619365537392704E-2</v>
      </c>
      <c r="I17789">
        <v>3.2619365537392767E-2</v>
      </c>
    </row>
    <row r="17790" spans="1:9" x14ac:dyDescent="0.25">
      <c r="A17790">
        <v>556</v>
      </c>
      <c r="B17790" t="s">
        <v>4391</v>
      </c>
      <c r="C17790" t="s">
        <v>48</v>
      </c>
      <c r="D17790" t="s">
        <v>4409</v>
      </c>
      <c r="E17790">
        <f t="shared" si="843"/>
        <v>1.0869565217391304E-2</v>
      </c>
      <c r="F17790">
        <v>1</v>
      </c>
      <c r="G17790">
        <f>LOG(382/(1+1))</f>
        <v>2.2810333672477277</v>
      </c>
      <c r="H17790">
        <f>0.0108695652173913*5.25227342804663</f>
        <v>5.7089928565724216E-2</v>
      </c>
      <c r="I17790">
        <v>5.7089928565724243E-2</v>
      </c>
    </row>
    <row r="17791" spans="1:9" x14ac:dyDescent="0.25">
      <c r="A17791">
        <v>556</v>
      </c>
      <c r="B17791" t="s">
        <v>4391</v>
      </c>
      <c r="C17791" t="s">
        <v>48</v>
      </c>
      <c r="D17791" t="s">
        <v>1398</v>
      </c>
      <c r="E17791">
        <f>1/184</f>
        <v>5.434782608695652E-3</v>
      </c>
      <c r="F17791">
        <v>29</v>
      </c>
      <c r="G17791">
        <f>LOG(382/(29+1))</f>
        <v>1.1049421081920463</v>
      </c>
      <c r="H17791">
        <f>0.00543478260869565*2.54422322694442</f>
        <v>1.3827300146437059E-2</v>
      </c>
      <c r="I17791">
        <v>1.3827300146437059E-2</v>
      </c>
    </row>
    <row r="17792" spans="1:9" x14ac:dyDescent="0.25">
      <c r="A17792">
        <v>556</v>
      </c>
      <c r="B17792" t="s">
        <v>4391</v>
      </c>
      <c r="C17792" t="s">
        <v>48</v>
      </c>
      <c r="D17792" t="s">
        <v>542</v>
      </c>
      <c r="E17792">
        <f>1/184</f>
        <v>5.434782608695652E-3</v>
      </c>
      <c r="F17792">
        <v>42</v>
      </c>
      <c r="G17792">
        <f>LOG(382/(42+1))</f>
        <v>0.94859490733212215</v>
      </c>
      <c r="H17792">
        <f>0.00543478260869565*2.18422049291301</f>
        <v>1.1870763548440267E-2</v>
      </c>
      <c r="I17792">
        <v>1.1870763548440289E-2</v>
      </c>
    </row>
    <row r="17793" spans="1:9" x14ac:dyDescent="0.25">
      <c r="A17793">
        <v>556</v>
      </c>
      <c r="B17793" t="s">
        <v>4391</v>
      </c>
      <c r="C17793" t="s">
        <v>48</v>
      </c>
      <c r="D17793" t="s">
        <v>596</v>
      </c>
      <c r="E17793">
        <f>2/184</f>
        <v>1.0869565217391304E-2</v>
      </c>
      <c r="F17793">
        <v>60</v>
      </c>
      <c r="G17793">
        <f>LOG(382/(60+1))</f>
        <v>0.79673352790094176</v>
      </c>
      <c r="H17793">
        <f>0.0108695652173913*1.83454674443326</f>
        <v>1.9940725482970208E-2</v>
      </c>
      <c r="I17793">
        <v>1.994072548297026E-2</v>
      </c>
    </row>
    <row r="17794" spans="1:9" x14ac:dyDescent="0.25">
      <c r="A17794">
        <v>556</v>
      </c>
      <c r="B17794" t="s">
        <v>4391</v>
      </c>
      <c r="C17794" t="s">
        <v>48</v>
      </c>
      <c r="D17794" t="s">
        <v>597</v>
      </c>
      <c r="E17794">
        <f>1/184</f>
        <v>5.434782608695652E-3</v>
      </c>
      <c r="F17794">
        <v>51</v>
      </c>
      <c r="G17794">
        <f>LOG(382/(51+1))</f>
        <v>0.86606001927690957</v>
      </c>
      <c r="H17794">
        <f>0.00543478260869565*1.99417689002514</f>
        <v>1.083791788057141E-2</v>
      </c>
      <c r="I17794">
        <v>1.083791788057146E-2</v>
      </c>
    </row>
    <row r="17795" spans="1:9" x14ac:dyDescent="0.25">
      <c r="A17795">
        <v>556</v>
      </c>
      <c r="B17795" t="s">
        <v>4391</v>
      </c>
      <c r="C17795" t="s">
        <v>48</v>
      </c>
      <c r="D17795" t="s">
        <v>1482</v>
      </c>
      <c r="E17795">
        <f>1/184</f>
        <v>5.434782608695652E-3</v>
      </c>
      <c r="F17795">
        <v>7</v>
      </c>
      <c r="G17795">
        <f>LOG(382/(7+1))</f>
        <v>1.6789733759197651</v>
      </c>
      <c r="H17795">
        <f>0.00543478260869565*3.86597906692673</f>
        <v>2.101075579851483E-2</v>
      </c>
      <c r="I17795">
        <v>2.1010755798514889E-2</v>
      </c>
    </row>
    <row r="17796" spans="1:9" x14ac:dyDescent="0.25">
      <c r="A17796">
        <v>556</v>
      </c>
      <c r="B17796" t="s">
        <v>4391</v>
      </c>
      <c r="C17796" t="s">
        <v>48</v>
      </c>
      <c r="D17796" t="s">
        <v>432</v>
      </c>
      <c r="E17796">
        <f>2/184</f>
        <v>1.0869565217391304E-2</v>
      </c>
      <c r="F17796">
        <v>67</v>
      </c>
      <c r="G17796">
        <f>LOG(382/(67+1))</f>
        <v>0.7495544502054724</v>
      </c>
      <c r="H17796">
        <f>0.0108695652173913*1.72591290343046</f>
        <v>1.8759922863374561E-2</v>
      </c>
      <c r="I17796">
        <v>1.8759922863374651E-2</v>
      </c>
    </row>
    <row r="17797" spans="1:9" x14ac:dyDescent="0.25">
      <c r="A17797">
        <v>556</v>
      </c>
      <c r="B17797" t="s">
        <v>4391</v>
      </c>
      <c r="C17797" t="s">
        <v>48</v>
      </c>
      <c r="D17797" t="s">
        <v>1473</v>
      </c>
      <c r="E17797">
        <f>1/184</f>
        <v>5.434782608695652E-3</v>
      </c>
      <c r="F17797">
        <v>39</v>
      </c>
      <c r="G17797">
        <f>LOG(382/(39+1))</f>
        <v>0.9800033715837464</v>
      </c>
      <c r="H17797">
        <f>0.00543478260869565*2.25654115449263</f>
        <v>1.2263810622242551E-2</v>
      </c>
      <c r="I17797">
        <v>1.2263810622242599E-2</v>
      </c>
    </row>
    <row r="17798" spans="1:9" x14ac:dyDescent="0.25">
      <c r="A17798">
        <v>556</v>
      </c>
      <c r="B17798" t="s">
        <v>4391</v>
      </c>
      <c r="C17798" t="s">
        <v>48</v>
      </c>
      <c r="D17798" t="s">
        <v>1478</v>
      </c>
      <c r="E17798">
        <f>1/184</f>
        <v>5.434782608695652E-3</v>
      </c>
      <c r="F17798">
        <v>17</v>
      </c>
      <c r="G17798">
        <f>LOG(382/(17+1))</f>
        <v>1.3267908578084027</v>
      </c>
      <c r="H17798">
        <f>0.00543478260869565*3.05504885071041</f>
        <v>1.6603526362556568E-2</v>
      </c>
      <c r="I17798">
        <v>1.6603526362556579E-2</v>
      </c>
    </row>
    <row r="17799" spans="1:9" x14ac:dyDescent="0.25">
      <c r="A17799">
        <v>556</v>
      </c>
      <c r="B17799" t="s">
        <v>4391</v>
      </c>
      <c r="C17799" t="s">
        <v>48</v>
      </c>
      <c r="D17799" t="s">
        <v>4410</v>
      </c>
      <c r="E17799">
        <f>1/184</f>
        <v>5.434782608695652E-3</v>
      </c>
      <c r="F17799">
        <v>1</v>
      </c>
      <c r="G17799">
        <f>LOG(382/(1+1))</f>
        <v>2.2810333672477277</v>
      </c>
      <c r="H17799">
        <f>0.00543478260869565*5.25227342804663</f>
        <v>2.8544964282862108E-2</v>
      </c>
      <c r="I17799">
        <v>2.8544964282862122E-2</v>
      </c>
    </row>
    <row r="17800" spans="1:9" x14ac:dyDescent="0.25">
      <c r="A17800">
        <v>556</v>
      </c>
      <c r="B17800" t="s">
        <v>4391</v>
      </c>
      <c r="C17800" t="s">
        <v>48</v>
      </c>
      <c r="D17800" t="s">
        <v>361</v>
      </c>
      <c r="E17800">
        <f>1/184</f>
        <v>5.434782608695652E-3</v>
      </c>
      <c r="F17800">
        <v>118</v>
      </c>
      <c r="G17800">
        <f>LOG(382/(118+1))</f>
        <v>0.50651640151917798</v>
      </c>
      <c r="H17800">
        <f>0.00543478260869565*1.16629711549504</f>
        <v>6.3385712798643447E-3</v>
      </c>
      <c r="I17800">
        <v>6.3385712798643794E-3</v>
      </c>
    </row>
    <row r="17801" spans="1:9" x14ac:dyDescent="0.25">
      <c r="A17801">
        <v>556</v>
      </c>
      <c r="B17801" t="s">
        <v>4391</v>
      </c>
      <c r="C17801" t="s">
        <v>48</v>
      </c>
      <c r="D17801" t="s">
        <v>600</v>
      </c>
      <c r="E17801">
        <f>2/184</f>
        <v>1.0869565217391304E-2</v>
      </c>
      <c r="F17801">
        <v>102</v>
      </c>
      <c r="G17801">
        <f>LOG(382/(102+1))</f>
        <v>0.56922613820653656</v>
      </c>
      <c r="H17801">
        <f>0.0108695652173913*1.31069162037693</f>
        <v>1.4246648047575323E-2</v>
      </c>
      <c r="I17801">
        <v>1.424664804757543E-2</v>
      </c>
    </row>
    <row r="17802" spans="1:9" x14ac:dyDescent="0.25">
      <c r="A17802">
        <v>556</v>
      </c>
      <c r="B17802" t="s">
        <v>4391</v>
      </c>
      <c r="C17802" t="s">
        <v>48</v>
      </c>
      <c r="D17802" t="s">
        <v>4411</v>
      </c>
      <c r="E17802">
        <f t="shared" ref="E17802:E17807" si="844">1/184</f>
        <v>5.434782608695652E-3</v>
      </c>
      <c r="F17802">
        <v>6</v>
      </c>
      <c r="G17802">
        <f>LOG(382/(6+1))</f>
        <v>1.736965322897452</v>
      </c>
      <c r="H17802">
        <f>0.00543478260869565*3.99951045955126</f>
        <v>2.1736469888865535E-2</v>
      </c>
      <c r="I17802">
        <v>2.1736469888865548E-2</v>
      </c>
    </row>
    <row r="17803" spans="1:9" x14ac:dyDescent="0.25">
      <c r="A17803">
        <v>556</v>
      </c>
      <c r="B17803" t="s">
        <v>4391</v>
      </c>
      <c r="C17803" t="s">
        <v>48</v>
      </c>
      <c r="D17803" t="s">
        <v>72</v>
      </c>
      <c r="E17803">
        <f t="shared" si="844"/>
        <v>5.434782608695652E-3</v>
      </c>
      <c r="F17803">
        <v>13</v>
      </c>
      <c r="G17803">
        <f>LOG(382/(13+1))</f>
        <v>1.4359353272334707</v>
      </c>
      <c r="H17803">
        <f>0.00543478260869565*3.30636327899131</f>
        <v>1.7969365646691896E-2</v>
      </c>
      <c r="I17803">
        <v>1.7969365646691941E-2</v>
      </c>
    </row>
    <row r="17804" spans="1:9" x14ac:dyDescent="0.25">
      <c r="A17804">
        <v>556</v>
      </c>
      <c r="B17804" t="s">
        <v>4391</v>
      </c>
      <c r="C17804" t="s">
        <v>48</v>
      </c>
      <c r="D17804" t="s">
        <v>475</v>
      </c>
      <c r="E17804">
        <f t="shared" si="844"/>
        <v>5.434782608695652E-3</v>
      </c>
      <c r="F17804">
        <v>16</v>
      </c>
      <c r="G17804">
        <f>LOG(382/(16+1))</f>
        <v>1.3516144415334348</v>
      </c>
      <c r="H17804">
        <f>0.00543478260869565*3.11220726455035</f>
        <v>1.6914169916034505E-2</v>
      </c>
      <c r="I17804">
        <v>1.691416991603456E-2</v>
      </c>
    </row>
    <row r="17805" spans="1:9" x14ac:dyDescent="0.25">
      <c r="A17805">
        <v>556</v>
      </c>
      <c r="B17805" t="s">
        <v>4391</v>
      </c>
      <c r="C17805" t="s">
        <v>48</v>
      </c>
      <c r="D17805" t="s">
        <v>448</v>
      </c>
      <c r="E17805">
        <f t="shared" si="844"/>
        <v>5.434782608695652E-3</v>
      </c>
      <c r="F17805">
        <v>19</v>
      </c>
      <c r="G17805">
        <f>LOG(382/(19+1))</f>
        <v>1.2810333672477277</v>
      </c>
      <c r="H17805">
        <f>0.00543478260869565*2.94968833505258</f>
        <v>1.6030914864416192E-2</v>
      </c>
      <c r="I17805">
        <v>1.6030914864416219E-2</v>
      </c>
    </row>
    <row r="17806" spans="1:9" x14ac:dyDescent="0.25">
      <c r="A17806">
        <v>556</v>
      </c>
      <c r="B17806" t="s">
        <v>4391</v>
      </c>
      <c r="C17806" t="s">
        <v>48</v>
      </c>
      <c r="D17806" t="s">
        <v>201</v>
      </c>
      <c r="E17806">
        <f t="shared" si="844"/>
        <v>5.434782608695652E-3</v>
      </c>
      <c r="F17806">
        <v>72</v>
      </c>
      <c r="G17806">
        <f>LOG(382/(72+1))</f>
        <v>0.71874050279125279</v>
      </c>
      <c r="H17806">
        <f>0.00543478260869565*1.65496116745818</f>
        <v>8.9943541709683657E-3</v>
      </c>
      <c r="I17806">
        <v>8.99435417096839E-3</v>
      </c>
    </row>
    <row r="17807" spans="1:9" x14ac:dyDescent="0.25">
      <c r="A17807">
        <v>556</v>
      </c>
      <c r="B17807" t="s">
        <v>4391</v>
      </c>
      <c r="C17807" t="s">
        <v>48</v>
      </c>
      <c r="D17807" t="s">
        <v>1626</v>
      </c>
      <c r="E17807">
        <f t="shared" si="844"/>
        <v>5.434782608695652E-3</v>
      </c>
      <c r="F17807">
        <v>32</v>
      </c>
      <c r="G17807">
        <f>LOG(382/(32+1))</f>
        <v>1.0635494230338212</v>
      </c>
      <c r="H17807">
        <f>0.00543478260869565*2.44891304714009</f>
        <v>1.3309310038804834E-2</v>
      </c>
      <c r="I17807">
        <v>1.330931003880486E-2</v>
      </c>
    </row>
    <row r="17808" spans="1:9" x14ac:dyDescent="0.25">
      <c r="A17808">
        <v>556</v>
      </c>
      <c r="B17808" t="s">
        <v>4391</v>
      </c>
      <c r="C17808" t="s">
        <v>48</v>
      </c>
      <c r="D17808" t="s">
        <v>236</v>
      </c>
      <c r="E17808">
        <f>2/184</f>
        <v>1.0869565217391304E-2</v>
      </c>
      <c r="F17808">
        <v>87</v>
      </c>
      <c r="G17808">
        <f>LOG(382/(87+1))</f>
        <v>0.63758069076154011</v>
      </c>
      <c r="H17808">
        <f>0.0108695652173913*1.46808379412836</f>
        <v>1.5957432544873473E-2</v>
      </c>
      <c r="I17808">
        <v>1.595743254487357E-2</v>
      </c>
    </row>
    <row r="17809" spans="1:9" x14ac:dyDescent="0.25">
      <c r="A17809">
        <v>556</v>
      </c>
      <c r="B17809" t="s">
        <v>4391</v>
      </c>
      <c r="C17809" t="s">
        <v>48</v>
      </c>
      <c r="D17809" t="s">
        <v>693</v>
      </c>
      <c r="E17809">
        <f>1/184</f>
        <v>5.434782608695652E-3</v>
      </c>
      <c r="F17809">
        <v>25</v>
      </c>
      <c r="G17809">
        <f>LOG(382/(25+1))</f>
        <v>1.1670900149408907</v>
      </c>
      <c r="H17809">
        <f>0.00543478260869565*2.68732407058509</f>
        <v>1.4605022122745049E-2</v>
      </c>
      <c r="I17809">
        <v>1.460502212274507E-2</v>
      </c>
    </row>
    <row r="17810" spans="1:9" x14ac:dyDescent="0.25">
      <c r="A17810">
        <v>556</v>
      </c>
      <c r="B17810" t="s">
        <v>4391</v>
      </c>
      <c r="C17810" t="s">
        <v>48</v>
      </c>
      <c r="D17810" t="s">
        <v>436</v>
      </c>
      <c r="E17810">
        <f>1/184</f>
        <v>5.434782608695652E-3</v>
      </c>
      <c r="F17810">
        <v>20</v>
      </c>
      <c r="G17810">
        <f>LOG(382/(20+1))</f>
        <v>1.2598440681777894</v>
      </c>
      <c r="H17810">
        <f>0.00543478260869565*2.90089817088315</f>
        <v>1.5765750928712765E-2</v>
      </c>
      <c r="I17810">
        <v>1.5765750928712779E-2</v>
      </c>
    </row>
    <row r="17811" spans="1:9" x14ac:dyDescent="0.25">
      <c r="A17811">
        <v>556</v>
      </c>
      <c r="B17811" t="s">
        <v>4391</v>
      </c>
      <c r="C17811" t="s">
        <v>48</v>
      </c>
      <c r="D17811" t="s">
        <v>437</v>
      </c>
      <c r="E17811">
        <f>1/184</f>
        <v>5.434782608695652E-3</v>
      </c>
      <c r="F17811">
        <v>18</v>
      </c>
      <c r="G17811">
        <f>LOG(382/(18+1))</f>
        <v>1.3033097619588798</v>
      </c>
      <c r="H17811">
        <f>0.00543478260869565*3.00098162944013</f>
        <v>1.6309682768696352E-2</v>
      </c>
      <c r="I17811">
        <v>1.630968276869638E-2</v>
      </c>
    </row>
    <row r="17812" spans="1:9" x14ac:dyDescent="0.25">
      <c r="A17812">
        <v>556</v>
      </c>
      <c r="B17812" t="s">
        <v>4391</v>
      </c>
      <c r="C17812" t="s">
        <v>48</v>
      </c>
      <c r="D17812" t="s">
        <v>133</v>
      </c>
      <c r="E17812">
        <f>2/184</f>
        <v>1.0869565217391304E-2</v>
      </c>
      <c r="F17812">
        <v>142</v>
      </c>
      <c r="G17812">
        <f>LOG(382/(142+1))</f>
        <v>0.42672732544664693</v>
      </c>
      <c r="H17812">
        <f>0.0108695652173913*0.982575978346667</f>
        <v>1.0680173677681159E-2</v>
      </c>
      <c r="I17812">
        <v>1.0680173677681169E-2</v>
      </c>
    </row>
    <row r="17813" spans="1:9" x14ac:dyDescent="0.25">
      <c r="A17813">
        <v>556</v>
      </c>
      <c r="B17813" t="s">
        <v>4391</v>
      </c>
      <c r="C17813" t="s">
        <v>48</v>
      </c>
      <c r="D17813" t="s">
        <v>76</v>
      </c>
      <c r="E17813">
        <f>2/184</f>
        <v>1.0869565217391304E-2</v>
      </c>
      <c r="F17813">
        <v>140</v>
      </c>
      <c r="G17813">
        <f>LOG(382/(140+1))</f>
        <v>0.43284425025632883</v>
      </c>
      <c r="H17813">
        <f>0.0108695652173913*0.996660718228407</f>
        <v>1.0833268676395724E-2</v>
      </c>
      <c r="I17813">
        <v>1.0833268676395729E-2</v>
      </c>
    </row>
    <row r="17814" spans="1:9" x14ac:dyDescent="0.25">
      <c r="A17814">
        <v>556</v>
      </c>
      <c r="B17814" t="s">
        <v>4391</v>
      </c>
      <c r="C17814" t="s">
        <v>48</v>
      </c>
      <c r="D17814" t="s">
        <v>77</v>
      </c>
      <c r="E17814">
        <f>2/184</f>
        <v>1.0869565217391304E-2</v>
      </c>
      <c r="F17814">
        <v>148</v>
      </c>
      <c r="G17814">
        <f>LOG(382/(148+1))</f>
        <v>0.40887709449943471</v>
      </c>
      <c r="H17814">
        <f>0.0108695652173913*0.941474302661116</f>
        <v>1.0233416333272996E-2</v>
      </c>
      <c r="I17814">
        <v>1.0233416333273E-2</v>
      </c>
    </row>
    <row r="17815" spans="1:9" x14ac:dyDescent="0.25">
      <c r="A17815">
        <v>556</v>
      </c>
      <c r="B17815" t="s">
        <v>4391</v>
      </c>
      <c r="C17815" t="s">
        <v>48</v>
      </c>
      <c r="D17815" t="s">
        <v>78</v>
      </c>
      <c r="E17815">
        <f>1/184</f>
        <v>5.434782608695652E-3</v>
      </c>
      <c r="F17815">
        <v>122</v>
      </c>
      <c r="G17815">
        <f>LOG(382/(122+1))</f>
        <v>0.49215825147231079</v>
      </c>
      <c r="H17815">
        <f>0.00543478260869565*1.13323625323415</f>
        <v>6.1588926806203786E-3</v>
      </c>
      <c r="I17815">
        <v>6.1588926806204211E-3</v>
      </c>
    </row>
    <row r="17816" spans="1:9" x14ac:dyDescent="0.25">
      <c r="A17816">
        <v>556</v>
      </c>
      <c r="B17816" t="s">
        <v>4391</v>
      </c>
      <c r="C17816" t="s">
        <v>48</v>
      </c>
      <c r="D17816" t="s">
        <v>483</v>
      </c>
      <c r="E17816">
        <f>1/184</f>
        <v>5.434782608695652E-3</v>
      </c>
      <c r="F17816">
        <v>61</v>
      </c>
      <c r="G17816">
        <f>LOG(382/(61+1))</f>
        <v>0.7896716734134549</v>
      </c>
      <c r="H17816">
        <f>0.00543478260869565*1.81828622356148</f>
        <v>9.8819903454428239E-3</v>
      </c>
      <c r="I17816">
        <v>9.8819903454428447E-3</v>
      </c>
    </row>
    <row r="17817" spans="1:9" x14ac:dyDescent="0.25">
      <c r="A17817">
        <v>556</v>
      </c>
      <c r="B17817" t="s">
        <v>4391</v>
      </c>
      <c r="C17817" t="s">
        <v>48</v>
      </c>
      <c r="D17817" t="s">
        <v>283</v>
      </c>
      <c r="E17817">
        <f>2/184</f>
        <v>1.0869565217391304E-2</v>
      </c>
      <c r="F17817">
        <v>16</v>
      </c>
      <c r="G17817">
        <f>LOG(382/(16+1))</f>
        <v>1.3516144415334348</v>
      </c>
      <c r="H17817">
        <f>0.0108695652173913*3.11220726455035</f>
        <v>3.382833983206901E-2</v>
      </c>
      <c r="I17817">
        <v>3.3828339832069121E-2</v>
      </c>
    </row>
    <row r="17818" spans="1:9" x14ac:dyDescent="0.25">
      <c r="A17818">
        <v>556</v>
      </c>
      <c r="B17818" t="s">
        <v>4391</v>
      </c>
      <c r="C17818" t="s">
        <v>48</v>
      </c>
      <c r="D17818" t="s">
        <v>1176</v>
      </c>
      <c r="E17818">
        <f t="shared" ref="E17818:E17824" si="845">1/184</f>
        <v>5.434782608695652E-3</v>
      </c>
      <c r="F17818">
        <v>15</v>
      </c>
      <c r="G17818">
        <f>LOG(382/(15+1))</f>
        <v>1.3779433802557839</v>
      </c>
      <c r="H17818">
        <f>0.00543478260869565*3.17283188636679</f>
        <v>1.7243651556341246E-2</v>
      </c>
      <c r="I17818">
        <v>1.724365155634127E-2</v>
      </c>
    </row>
    <row r="17819" spans="1:9" x14ac:dyDescent="0.25">
      <c r="A17819">
        <v>556</v>
      </c>
      <c r="B17819" t="s">
        <v>4391</v>
      </c>
      <c r="C17819" t="s">
        <v>48</v>
      </c>
      <c r="D17819" t="s">
        <v>754</v>
      </c>
      <c r="E17819">
        <f t="shared" si="845"/>
        <v>5.434782608695652E-3</v>
      </c>
      <c r="F17819">
        <v>111</v>
      </c>
      <c r="G17819">
        <f>LOG(382/(111+1))</f>
        <v>0.53284534024152708</v>
      </c>
      <c r="H17819">
        <f>0.00543478260869565*1.22692173731148</f>
        <v>6.668052920171085E-3</v>
      </c>
      <c r="I17819">
        <v>6.6680529201710902E-3</v>
      </c>
    </row>
    <row r="17820" spans="1:9" x14ac:dyDescent="0.25">
      <c r="A17820">
        <v>556</v>
      </c>
      <c r="B17820" t="s">
        <v>4391</v>
      </c>
      <c r="C17820" t="s">
        <v>48</v>
      </c>
      <c r="D17820" t="s">
        <v>450</v>
      </c>
      <c r="E17820">
        <f t="shared" si="845"/>
        <v>5.434782608695652E-3</v>
      </c>
      <c r="F17820">
        <v>17</v>
      </c>
      <c r="G17820">
        <f>LOG(382/(17+1))</f>
        <v>1.3267908578084027</v>
      </c>
      <c r="H17820">
        <f>0.00543478260869565*3.05504885071041</f>
        <v>1.6603526362556568E-2</v>
      </c>
      <c r="I17820">
        <v>1.6603526362556579E-2</v>
      </c>
    </row>
    <row r="17821" spans="1:9" x14ac:dyDescent="0.25">
      <c r="A17821">
        <v>556</v>
      </c>
      <c r="B17821" t="s">
        <v>4391</v>
      </c>
      <c r="C17821" t="s">
        <v>48</v>
      </c>
      <c r="D17821" t="s">
        <v>2431</v>
      </c>
      <c r="E17821">
        <f t="shared" si="845"/>
        <v>5.434782608695652E-3</v>
      </c>
      <c r="F17821">
        <v>12</v>
      </c>
      <c r="G17821">
        <f>LOG(382/(12+1))</f>
        <v>1.468120010604872</v>
      </c>
      <c r="H17821">
        <f>0.00543478260869565*3.38047125114503</f>
        <v>1.8372126364918636E-2</v>
      </c>
      <c r="I17821">
        <v>1.8372126364918692E-2</v>
      </c>
    </row>
    <row r="17822" spans="1:9" x14ac:dyDescent="0.25">
      <c r="A17822">
        <v>556</v>
      </c>
      <c r="B17822" t="s">
        <v>4391</v>
      </c>
      <c r="C17822" t="s">
        <v>48</v>
      </c>
      <c r="D17822" t="s">
        <v>591</v>
      </c>
      <c r="E17822">
        <f t="shared" si="845"/>
        <v>5.434782608695652E-3</v>
      </c>
      <c r="F17822">
        <v>21</v>
      </c>
      <c r="G17822">
        <f>LOG(382/(21+1))</f>
        <v>1.2396406820895025</v>
      </c>
      <c r="H17822">
        <f>0.00543478260869565*2.85437815524825</f>
        <v>1.5512924756783961E-2</v>
      </c>
      <c r="I17822">
        <v>1.551292475678402E-2</v>
      </c>
    </row>
    <row r="17823" spans="1:9" x14ac:dyDescent="0.25">
      <c r="A17823">
        <v>556</v>
      </c>
      <c r="B17823" t="s">
        <v>4391</v>
      </c>
      <c r="C17823" t="s">
        <v>48</v>
      </c>
      <c r="D17823" t="s">
        <v>1985</v>
      </c>
      <c r="E17823">
        <f t="shared" si="845"/>
        <v>5.434782608695652E-3</v>
      </c>
      <c r="F17823">
        <v>8</v>
      </c>
      <c r="G17823">
        <f>LOG(382/(8+1))</f>
        <v>1.6278208534723839</v>
      </c>
      <c r="H17823">
        <f>0.00543478260869565*3.74819603127035</f>
        <v>2.0370630604730156E-2</v>
      </c>
      <c r="I17823">
        <v>2.037063060473019E-2</v>
      </c>
    </row>
    <row r="17824" spans="1:9" x14ac:dyDescent="0.25">
      <c r="A17824">
        <v>556</v>
      </c>
      <c r="B17824" t="s">
        <v>4391</v>
      </c>
      <c r="C17824" t="s">
        <v>48</v>
      </c>
      <c r="D17824" t="s">
        <v>580</v>
      </c>
      <c r="E17824">
        <f t="shared" si="845"/>
        <v>5.434782608695652E-3</v>
      </c>
      <c r="F17824">
        <v>17</v>
      </c>
      <c r="G17824">
        <f>LOG(382/(17+1))</f>
        <v>1.3267908578084027</v>
      </c>
      <c r="H17824">
        <f>0.00543478260869565*3.05504885071041</f>
        <v>1.6603526362556568E-2</v>
      </c>
      <c r="I17824">
        <v>1.6603526362556579E-2</v>
      </c>
    </row>
    <row r="17825" spans="1:9" x14ac:dyDescent="0.25">
      <c r="A17825">
        <v>556</v>
      </c>
      <c r="B17825" t="s">
        <v>4391</v>
      </c>
      <c r="C17825" t="s">
        <v>48</v>
      </c>
      <c r="D17825" t="s">
        <v>763</v>
      </c>
      <c r="E17825">
        <f>2/184</f>
        <v>1.0869565217391304E-2</v>
      </c>
      <c r="F17825">
        <v>47</v>
      </c>
      <c r="G17825">
        <f>LOG(382/(47+1))</f>
        <v>0.90082212553612151</v>
      </c>
      <c r="H17825">
        <f>0.0108695652173913*2.07421959769868</f>
        <v>2.2545865192376949E-2</v>
      </c>
      <c r="I17825">
        <v>2.2545865192377001E-2</v>
      </c>
    </row>
    <row r="17826" spans="1:9" x14ac:dyDescent="0.25">
      <c r="A17826">
        <v>556</v>
      </c>
      <c r="B17826" t="s">
        <v>4391</v>
      </c>
      <c r="C17826" t="s">
        <v>48</v>
      </c>
      <c r="D17826" t="s">
        <v>1831</v>
      </c>
      <c r="E17826">
        <f t="shared" ref="E17826:E17831" si="846">1/184</f>
        <v>5.434782608695652E-3</v>
      </c>
      <c r="F17826">
        <v>28</v>
      </c>
      <c r="G17826">
        <f>LOG(382/(28+1))</f>
        <v>1.1196653650127526</v>
      </c>
      <c r="H17826">
        <f>0.00543478260869565*2.5781247786201</f>
        <v>1.4011547709891842E-2</v>
      </c>
      <c r="I17826">
        <v>1.4011547709891849E-2</v>
      </c>
    </row>
    <row r="17827" spans="1:9" x14ac:dyDescent="0.25">
      <c r="A17827">
        <v>556</v>
      </c>
      <c r="B17827" t="s">
        <v>4391</v>
      </c>
      <c r="C17827" t="s">
        <v>48</v>
      </c>
      <c r="D17827" t="s">
        <v>324</v>
      </c>
      <c r="E17827">
        <f t="shared" si="846"/>
        <v>5.434782608695652E-3</v>
      </c>
      <c r="F17827">
        <v>82</v>
      </c>
      <c r="G17827">
        <f>LOG(382/(82+1))</f>
        <v>0.66298527053563483</v>
      </c>
      <c r="H17827">
        <f>0.00543478260869565*1.52658000080997</f>
        <v>8.2966304391846168E-3</v>
      </c>
      <c r="I17827">
        <v>8.2966304391846584E-3</v>
      </c>
    </row>
    <row r="17828" spans="1:9" x14ac:dyDescent="0.25">
      <c r="A17828">
        <v>556</v>
      </c>
      <c r="B17828" t="s">
        <v>4391</v>
      </c>
      <c r="C17828" t="s">
        <v>48</v>
      </c>
      <c r="D17828" t="s">
        <v>1919</v>
      </c>
      <c r="E17828">
        <f t="shared" si="846"/>
        <v>5.434782608695652E-3</v>
      </c>
      <c r="F17828">
        <v>18</v>
      </c>
      <c r="G17828">
        <f>LOG(382/(18+1))</f>
        <v>1.3033097619588798</v>
      </c>
      <c r="H17828">
        <f>0.00543478260869565*3.00098162944013</f>
        <v>1.6309682768696352E-2</v>
      </c>
      <c r="I17828">
        <v>1.630968276869638E-2</v>
      </c>
    </row>
    <row r="17829" spans="1:9" x14ac:dyDescent="0.25">
      <c r="A17829">
        <v>556</v>
      </c>
      <c r="B17829" t="s">
        <v>4391</v>
      </c>
      <c r="C17829" t="s">
        <v>48</v>
      </c>
      <c r="D17829" t="s">
        <v>1918</v>
      </c>
      <c r="E17829">
        <f t="shared" si="846"/>
        <v>5.434782608695652E-3</v>
      </c>
      <c r="F17829">
        <v>25</v>
      </c>
      <c r="G17829">
        <f>LOG(382/(25+1))</f>
        <v>1.1670900149408907</v>
      </c>
      <c r="H17829">
        <f>0.00543478260869565*2.68732407058509</f>
        <v>1.4605022122745049E-2</v>
      </c>
      <c r="I17829">
        <v>1.460502212274507E-2</v>
      </c>
    </row>
    <row r="17830" spans="1:9" x14ac:dyDescent="0.25">
      <c r="A17830">
        <v>556</v>
      </c>
      <c r="B17830" t="s">
        <v>4391</v>
      </c>
      <c r="C17830" t="s">
        <v>48</v>
      </c>
      <c r="D17830" t="s">
        <v>1920</v>
      </c>
      <c r="E17830">
        <f t="shared" si="846"/>
        <v>5.434782608695652E-3</v>
      </c>
      <c r="F17830">
        <v>18</v>
      </c>
      <c r="G17830">
        <f>LOG(382/(18+1))</f>
        <v>1.3033097619588798</v>
      </c>
      <c r="H17830">
        <f>0.00543478260869565*3.00098162944013</f>
        <v>1.6309682768696352E-2</v>
      </c>
      <c r="I17830">
        <v>1.630968276869638E-2</v>
      </c>
    </row>
    <row r="17831" spans="1:9" x14ac:dyDescent="0.25">
      <c r="A17831">
        <v>556</v>
      </c>
      <c r="B17831" t="s">
        <v>4391</v>
      </c>
      <c r="C17831" t="s">
        <v>48</v>
      </c>
      <c r="D17831" t="s">
        <v>1526</v>
      </c>
      <c r="E17831">
        <f t="shared" si="846"/>
        <v>5.434782608695652E-3</v>
      </c>
      <c r="F17831">
        <v>2</v>
      </c>
      <c r="G17831">
        <f>LOG(382/(2+1))</f>
        <v>2.1049421081920463</v>
      </c>
      <c r="H17831">
        <f>0.00543478260869565*4.84680831993846</f>
        <v>2.6341349564882925E-2</v>
      </c>
      <c r="I17831">
        <v>2.634134956488296E-2</v>
      </c>
    </row>
    <row r="17832" spans="1:9" x14ac:dyDescent="0.25">
      <c r="A17832">
        <v>556</v>
      </c>
      <c r="B17832" t="s">
        <v>4391</v>
      </c>
      <c r="C17832" t="s">
        <v>48</v>
      </c>
      <c r="D17832" t="s">
        <v>331</v>
      </c>
      <c r="E17832">
        <f>2/184</f>
        <v>1.0869565217391304E-2</v>
      </c>
      <c r="F17832">
        <v>130</v>
      </c>
      <c r="G17832">
        <f>LOG(382/(130+1))</f>
        <v>0.46479206725594452</v>
      </c>
      <c r="H17832">
        <f>0.0108695652173913*1.07022328540542</f>
        <v>1.1632861797884997E-2</v>
      </c>
      <c r="I17832">
        <v>1.1632861797885041E-2</v>
      </c>
    </row>
    <row r="17833" spans="1:9" x14ac:dyDescent="0.25">
      <c r="A17833">
        <v>556</v>
      </c>
      <c r="B17833" t="s">
        <v>4391</v>
      </c>
      <c r="C17833" t="s">
        <v>48</v>
      </c>
      <c r="D17833" t="s">
        <v>204</v>
      </c>
      <c r="E17833">
        <f>1/184</f>
        <v>5.434782608695652E-3</v>
      </c>
      <c r="F17833">
        <v>166</v>
      </c>
      <c r="G17833">
        <f>LOG(382/(166+1))</f>
        <v>0.35934689176412549</v>
      </c>
      <c r="H17833">
        <f>0.00543478260869565*0.82742679618982</f>
        <v>4.4968847619011936E-3</v>
      </c>
      <c r="I17833">
        <v>4.4968847619011963E-3</v>
      </c>
    </row>
    <row r="17834" spans="1:9" x14ac:dyDescent="0.25">
      <c r="A17834">
        <v>556</v>
      </c>
      <c r="B17834" t="s">
        <v>4391</v>
      </c>
      <c r="C17834" t="s">
        <v>48</v>
      </c>
      <c r="D17834" t="s">
        <v>1525</v>
      </c>
      <c r="E17834">
        <f>1/184</f>
        <v>5.434782608695652E-3</v>
      </c>
      <c r="F17834">
        <v>8</v>
      </c>
      <c r="G17834">
        <f>LOG(382/(8+1))</f>
        <v>1.6278208534723839</v>
      </c>
      <c r="H17834">
        <f>0.00543478260869565*3.74819603127035</f>
        <v>2.0370630604730156E-2</v>
      </c>
      <c r="I17834">
        <v>2.037063060473019E-2</v>
      </c>
    </row>
    <row r="17835" spans="1:9" x14ac:dyDescent="0.25">
      <c r="A17835">
        <v>556</v>
      </c>
      <c r="B17835" t="s">
        <v>4391</v>
      </c>
      <c r="C17835" t="s">
        <v>48</v>
      </c>
      <c r="D17835" t="s">
        <v>752</v>
      </c>
      <c r="E17835">
        <f>1/184</f>
        <v>5.434782608695652E-3</v>
      </c>
      <c r="F17835">
        <v>34</v>
      </c>
      <c r="G17835">
        <f>LOG(382/(34+1))</f>
        <v>1.037995318561433</v>
      </c>
      <c r="H17835">
        <f>0.00543478260869565*2.39007254711716</f>
        <v>1.2989524712593256E-2</v>
      </c>
      <c r="I17835">
        <v>1.298952471259327E-2</v>
      </c>
    </row>
    <row r="17836" spans="1:9" x14ac:dyDescent="0.25">
      <c r="A17836">
        <v>556</v>
      </c>
      <c r="B17836" t="s">
        <v>4391</v>
      </c>
      <c r="C17836" t="s">
        <v>48</v>
      </c>
      <c r="D17836" t="s">
        <v>26</v>
      </c>
      <c r="E17836">
        <f>1/184</f>
        <v>5.434782608695652E-3</v>
      </c>
      <c r="F17836">
        <v>40</v>
      </c>
      <c r="G17836">
        <f>LOG(382/(40+1))</f>
        <v>0.96927950619197323</v>
      </c>
      <c r="H17836">
        <f>0.00543478260869565*2.23184854190226</f>
        <v>1.2129611640773147E-2</v>
      </c>
      <c r="I17836">
        <v>1.212961164077319E-2</v>
      </c>
    </row>
    <row r="17837" spans="1:9" x14ac:dyDescent="0.25">
      <c r="A17837">
        <v>557</v>
      </c>
      <c r="B17837" t="s">
        <v>4412</v>
      </c>
      <c r="C17837" t="s">
        <v>10</v>
      </c>
      <c r="D17837" t="s">
        <v>11</v>
      </c>
      <c r="E17837">
        <f>5/116</f>
        <v>4.3103448275862072E-2</v>
      </c>
      <c r="F17837">
        <v>83</v>
      </c>
      <c r="G17837">
        <f>LOG(382/(83+1))</f>
        <v>0.65778407684982709</v>
      </c>
      <c r="H17837">
        <f>0.043103448275862*1.51460380976326</f>
        <v>6.5284646972554206E-2</v>
      </c>
      <c r="I17837">
        <v>6.5284646972554372E-2</v>
      </c>
    </row>
    <row r="17838" spans="1:9" x14ac:dyDescent="0.25">
      <c r="A17838">
        <v>557</v>
      </c>
      <c r="B17838" t="s">
        <v>4412</v>
      </c>
      <c r="C17838" t="s">
        <v>10</v>
      </c>
      <c r="D17838" t="s">
        <v>12</v>
      </c>
      <c r="E17838">
        <f>5/116</f>
        <v>4.3103448275862072E-2</v>
      </c>
      <c r="F17838">
        <v>28</v>
      </c>
      <c r="G17838">
        <f>LOG(382/(28+1))</f>
        <v>1.1196653650127526</v>
      </c>
      <c r="H17838">
        <f>0.043103448275862*2.5781247786201</f>
        <v>0.11112606804396964</v>
      </c>
      <c r="I17838">
        <v>0.11112606804396991</v>
      </c>
    </row>
    <row r="17839" spans="1:9" x14ac:dyDescent="0.25">
      <c r="A17839">
        <v>557</v>
      </c>
      <c r="B17839" t="s">
        <v>4412</v>
      </c>
      <c r="C17839" t="s">
        <v>10</v>
      </c>
      <c r="D17839" t="s">
        <v>115</v>
      </c>
      <c r="E17839">
        <f>5/116</f>
        <v>4.3103448275862072E-2</v>
      </c>
      <c r="F17839">
        <v>17</v>
      </c>
      <c r="G17839">
        <f>LOG(382/(17+1))</f>
        <v>1.3267908578084027</v>
      </c>
      <c r="H17839">
        <f>0.043103448275862*3.05504885071041</f>
        <v>0.1316831401168278</v>
      </c>
      <c r="I17839">
        <v>0.13168314011682811</v>
      </c>
    </row>
    <row r="17840" spans="1:9" x14ac:dyDescent="0.25">
      <c r="A17840">
        <v>557</v>
      </c>
      <c r="B17840" t="s">
        <v>4412</v>
      </c>
      <c r="C17840" t="s">
        <v>10</v>
      </c>
      <c r="D17840" t="s">
        <v>4413</v>
      </c>
      <c r="E17840">
        <f>4/116</f>
        <v>3.4482758620689655E-2</v>
      </c>
      <c r="F17840">
        <v>1</v>
      </c>
      <c r="G17840">
        <f>LOG(382/(1+1))</f>
        <v>2.2810333672477277</v>
      </c>
      <c r="H17840">
        <f>0.0344827586206896*5.25227342804663</f>
        <v>0.18111287682919383</v>
      </c>
      <c r="I17840">
        <v>0.18111287682919411</v>
      </c>
    </row>
    <row r="17841" spans="1:9" x14ac:dyDescent="0.25">
      <c r="A17841">
        <v>557</v>
      </c>
      <c r="B17841" t="s">
        <v>4412</v>
      </c>
      <c r="C17841" t="s">
        <v>10</v>
      </c>
      <c r="D17841" t="s">
        <v>42</v>
      </c>
      <c r="E17841">
        <f>1/116</f>
        <v>8.6206896551724137E-3</v>
      </c>
      <c r="F17841">
        <v>251</v>
      </c>
      <c r="G17841">
        <f>LOG(382/(251+1))</f>
        <v>0.18066282213016463</v>
      </c>
      <c r="H17841">
        <f>0.00862068965517241*0.415991521095151</f>
        <v>3.5861338025444034E-3</v>
      </c>
      <c r="I17841">
        <v>3.586133802544412E-3</v>
      </c>
    </row>
    <row r="17842" spans="1:9" x14ac:dyDescent="0.25">
      <c r="A17842">
        <v>557</v>
      </c>
      <c r="B17842" t="s">
        <v>4412</v>
      </c>
      <c r="C17842" t="s">
        <v>10</v>
      </c>
      <c r="D17842" t="s">
        <v>15</v>
      </c>
      <c r="E17842">
        <f>1/116</f>
        <v>8.6206896551724137E-3</v>
      </c>
      <c r="F17842">
        <v>112</v>
      </c>
      <c r="G17842">
        <f>LOG(382/(112+1))</f>
        <v>0.52898491942828896</v>
      </c>
      <c r="H17842">
        <f>0.00862068965517241*1.21803278989423</f>
        <v>1.0500282671501979E-2</v>
      </c>
      <c r="I17842">
        <v>1.050028267150202E-2</v>
      </c>
    </row>
    <row r="17843" spans="1:9" x14ac:dyDescent="0.25">
      <c r="A17843">
        <v>557</v>
      </c>
      <c r="B17843" t="s">
        <v>4412</v>
      </c>
      <c r="C17843" t="s">
        <v>10</v>
      </c>
      <c r="D17843" t="s">
        <v>1490</v>
      </c>
      <c r="E17843">
        <f>1/116</f>
        <v>8.6206896551724137E-3</v>
      </c>
      <c r="F17843">
        <v>2</v>
      </c>
      <c r="G17843">
        <f>LOG(382/(2+1))</f>
        <v>2.1049421081920463</v>
      </c>
      <c r="H17843">
        <f>0.00862068965517241*4.84680831993846</f>
        <v>4.1782830344297049E-2</v>
      </c>
      <c r="I17843">
        <v>4.1782830344297112E-2</v>
      </c>
    </row>
    <row r="17844" spans="1:9" x14ac:dyDescent="0.25">
      <c r="A17844">
        <v>557</v>
      </c>
      <c r="B17844" t="s">
        <v>4412</v>
      </c>
      <c r="C17844" t="s">
        <v>10</v>
      </c>
      <c r="D17844" t="s">
        <v>23</v>
      </c>
      <c r="E17844">
        <f>2/116</f>
        <v>1.7241379310344827E-2</v>
      </c>
      <c r="F17844">
        <v>275</v>
      </c>
      <c r="G17844">
        <f>LOG(382/(275+1))</f>
        <v>0.14115428084649101</v>
      </c>
      <c r="H17844">
        <f>0.0172413793103448*0.325019742889425</f>
        <v>5.6037886705073182E-3</v>
      </c>
      <c r="I17844">
        <v>5.6037886705073304E-3</v>
      </c>
    </row>
    <row r="17845" spans="1:9" x14ac:dyDescent="0.25">
      <c r="A17845">
        <v>557</v>
      </c>
      <c r="B17845" t="s">
        <v>4412</v>
      </c>
      <c r="C17845" t="s">
        <v>10</v>
      </c>
      <c r="D17845" t="s">
        <v>17</v>
      </c>
      <c r="E17845">
        <f>1/116</f>
        <v>8.6206896551724137E-3</v>
      </c>
      <c r="F17845">
        <v>169</v>
      </c>
      <c r="G17845">
        <f>LOG(382/(169+1))</f>
        <v>0.3516144415334348</v>
      </c>
      <c r="H17845">
        <f>0.00862068965517241*0.809622171556313</f>
        <v>6.9795014789337294E-3</v>
      </c>
      <c r="I17845">
        <v>6.9795014789337364E-3</v>
      </c>
    </row>
    <row r="17846" spans="1:9" x14ac:dyDescent="0.25">
      <c r="A17846">
        <v>557</v>
      </c>
      <c r="B17846" t="s">
        <v>4412</v>
      </c>
      <c r="C17846" t="s">
        <v>10</v>
      </c>
      <c r="D17846" t="s">
        <v>1491</v>
      </c>
      <c r="E17846">
        <f>1/116</f>
        <v>8.6206896551724137E-3</v>
      </c>
      <c r="F17846">
        <v>4</v>
      </c>
      <c r="G17846">
        <f>LOG(382/(4+1))</f>
        <v>1.8830933585756899</v>
      </c>
      <c r="H17846">
        <f>0.00862068965517241*4.33598269617247</f>
        <v>3.7379161173900589E-2</v>
      </c>
      <c r="I17846">
        <v>3.7379161173900638E-2</v>
      </c>
    </row>
    <row r="17847" spans="1:9" x14ac:dyDescent="0.25">
      <c r="A17847">
        <v>557</v>
      </c>
      <c r="B17847" t="s">
        <v>4412</v>
      </c>
      <c r="C17847" t="s">
        <v>10</v>
      </c>
      <c r="D17847" t="s">
        <v>19</v>
      </c>
      <c r="E17847">
        <f>1/116</f>
        <v>8.6206896551724137E-3</v>
      </c>
      <c r="F17847">
        <v>220</v>
      </c>
      <c r="G17847">
        <f>LOG(382/(220+1))</f>
        <v>0.23767108922659805</v>
      </c>
      <c r="H17847">
        <f>0.00862068965517241*0.547257907088822</f>
        <v>4.7177405783519121E-3</v>
      </c>
      <c r="I17847">
        <v>4.7177405783519174E-3</v>
      </c>
    </row>
    <row r="17848" spans="1:9" x14ac:dyDescent="0.25">
      <c r="A17848">
        <v>557</v>
      </c>
      <c r="B17848" t="s">
        <v>4412</v>
      </c>
      <c r="C17848" t="s">
        <v>10</v>
      </c>
      <c r="D17848" t="s">
        <v>41</v>
      </c>
      <c r="E17848">
        <f>3/116</f>
        <v>2.5862068965517241E-2</v>
      </c>
      <c r="F17848">
        <v>195</v>
      </c>
      <c r="G17848">
        <f>LOG(382/(195+1))</f>
        <v>0.28980729155523272</v>
      </c>
      <c r="H17848">
        <f>0.0258620689655172*0.667305949376058</f>
        <v>1.7257912483863543E-2</v>
      </c>
      <c r="I17848">
        <v>1.7257912483863571E-2</v>
      </c>
    </row>
    <row r="17849" spans="1:9" x14ac:dyDescent="0.25">
      <c r="A17849">
        <v>557</v>
      </c>
      <c r="B17849" t="s">
        <v>4412</v>
      </c>
      <c r="C17849" t="s">
        <v>10</v>
      </c>
      <c r="D17849" t="s">
        <v>22</v>
      </c>
      <c r="E17849">
        <f>1/116</f>
        <v>8.6206896551724137E-3</v>
      </c>
      <c r="F17849">
        <v>259</v>
      </c>
      <c r="G17849">
        <f>LOG(382/(259+1))</f>
        <v>0.16709001494089079</v>
      </c>
      <c r="H17849">
        <f>0.00862068965517241*0.384738977591047</f>
        <v>3.3167153240607487E-3</v>
      </c>
      <c r="I17849">
        <v>3.316715324060754E-3</v>
      </c>
    </row>
    <row r="17850" spans="1:9" x14ac:dyDescent="0.25">
      <c r="A17850">
        <v>557</v>
      </c>
      <c r="B17850" t="s">
        <v>4412</v>
      </c>
      <c r="C17850" t="s">
        <v>10</v>
      </c>
      <c r="D17850" t="s">
        <v>247</v>
      </c>
      <c r="E17850">
        <f>2/116</f>
        <v>1.7241379310344827E-2</v>
      </c>
      <c r="F17850">
        <v>121</v>
      </c>
      <c r="G17850">
        <f>LOG(382/(121+1))</f>
        <v>0.49570353223696051</v>
      </c>
      <c r="H17850">
        <f>0.0172413793103448*1.14139956387331</f>
        <v>1.9679302825401868E-2</v>
      </c>
      <c r="I17850">
        <v>1.9679302825402051E-2</v>
      </c>
    </row>
    <row r="17851" spans="1:9" x14ac:dyDescent="0.25">
      <c r="A17851">
        <v>557</v>
      </c>
      <c r="B17851" t="s">
        <v>4412</v>
      </c>
      <c r="C17851" t="s">
        <v>10</v>
      </c>
      <c r="D17851" t="s">
        <v>39</v>
      </c>
      <c r="E17851">
        <f>2/116</f>
        <v>1.7241379310344827E-2</v>
      </c>
      <c r="F17851">
        <v>145</v>
      </c>
      <c r="G17851">
        <f>LOG(382/(145+1))</f>
        <v>0.41771050712727159</v>
      </c>
      <c r="H17851">
        <f>0.0172413793103448*0.961813986898238</f>
        <v>1.6582999774107526E-2</v>
      </c>
      <c r="I17851">
        <v>1.658299977410756E-2</v>
      </c>
    </row>
    <row r="17852" spans="1:9" x14ac:dyDescent="0.25">
      <c r="A17852">
        <v>557</v>
      </c>
      <c r="B17852" t="s">
        <v>4412</v>
      </c>
      <c r="C17852" t="s">
        <v>10</v>
      </c>
      <c r="D17852" t="s">
        <v>204</v>
      </c>
      <c r="E17852">
        <f>3/116</f>
        <v>2.5862068965517241E-2</v>
      </c>
      <c r="F17852">
        <v>166</v>
      </c>
      <c r="G17852">
        <f>LOG(382/(166+1))</f>
        <v>0.35934689176412549</v>
      </c>
      <c r="H17852">
        <f>0.0258620689655172*0.82742679618982</f>
        <v>2.1398968866978067E-2</v>
      </c>
      <c r="I17852">
        <v>2.1398968866978101E-2</v>
      </c>
    </row>
    <row r="17853" spans="1:9" x14ac:dyDescent="0.25">
      <c r="A17853">
        <v>557</v>
      </c>
      <c r="B17853" t="s">
        <v>4412</v>
      </c>
      <c r="C17853" t="s">
        <v>10</v>
      </c>
      <c r="D17853" t="s">
        <v>77</v>
      </c>
      <c r="E17853">
        <f>3/116</f>
        <v>2.5862068965517241E-2</v>
      </c>
      <c r="F17853">
        <v>148</v>
      </c>
      <c r="G17853">
        <f>LOG(382/(148+1))</f>
        <v>0.40887709449943471</v>
      </c>
      <c r="H17853">
        <f>0.0258620689655172*0.941474302661116</f>
        <v>2.4348473344683996E-2</v>
      </c>
      <c r="I17853">
        <v>2.4348473344684041E-2</v>
      </c>
    </row>
    <row r="17854" spans="1:9" x14ac:dyDescent="0.25">
      <c r="A17854">
        <v>557</v>
      </c>
      <c r="B17854" t="s">
        <v>4412</v>
      </c>
      <c r="C17854" t="s">
        <v>10</v>
      </c>
      <c r="D17854" t="s">
        <v>331</v>
      </c>
      <c r="E17854">
        <f>5/116</f>
        <v>4.3103448275862072E-2</v>
      </c>
      <c r="F17854">
        <v>130</v>
      </c>
      <c r="G17854">
        <f>LOG(382/(130+1))</f>
        <v>0.46479206725594452</v>
      </c>
      <c r="H17854">
        <f>0.043103448275862*1.07022328540542</f>
        <v>4.6130314026095624E-2</v>
      </c>
      <c r="I17854">
        <v>4.6130314026095853E-2</v>
      </c>
    </row>
    <row r="17855" spans="1:9" x14ac:dyDescent="0.25">
      <c r="A17855">
        <v>557</v>
      </c>
      <c r="B17855" t="s">
        <v>4412</v>
      </c>
      <c r="C17855" t="s">
        <v>10</v>
      </c>
      <c r="D17855" t="s">
        <v>939</v>
      </c>
      <c r="E17855">
        <f>2/116</f>
        <v>1.7241379310344827E-2</v>
      </c>
      <c r="F17855">
        <v>35</v>
      </c>
      <c r="G17855">
        <f>LOG(382/(35+1))</f>
        <v>1.0257608621444214</v>
      </c>
      <c r="H17855">
        <f>0.0172413793103448*2.36190167015046</f>
        <v>4.0722442588800971E-2</v>
      </c>
      <c r="I17855">
        <v>4.0722442588801117E-2</v>
      </c>
    </row>
    <row r="17856" spans="1:9" x14ac:dyDescent="0.25">
      <c r="A17856">
        <v>557</v>
      </c>
      <c r="B17856" t="s">
        <v>4412</v>
      </c>
      <c r="C17856" t="s">
        <v>10</v>
      </c>
      <c r="D17856" t="s">
        <v>72</v>
      </c>
      <c r="E17856">
        <f t="shared" ref="E17856:E17862" si="847">1/116</f>
        <v>8.6206896551724137E-3</v>
      </c>
      <c r="F17856">
        <v>13</v>
      </c>
      <c r="G17856">
        <f>LOG(382/(13+1))</f>
        <v>1.4359353272334707</v>
      </c>
      <c r="H17856">
        <f>0.00862068965517241*3.30636327899131</f>
        <v>2.8503131715442317E-2</v>
      </c>
      <c r="I17856">
        <v>2.850313171544238E-2</v>
      </c>
    </row>
    <row r="17857" spans="1:9" x14ac:dyDescent="0.25">
      <c r="A17857">
        <v>557</v>
      </c>
      <c r="B17857" t="s">
        <v>4412</v>
      </c>
      <c r="C17857" t="s">
        <v>10</v>
      </c>
      <c r="D17857" t="s">
        <v>233</v>
      </c>
      <c r="E17857">
        <f t="shared" si="847"/>
        <v>8.6206896551724137E-3</v>
      </c>
      <c r="F17857">
        <v>14</v>
      </c>
      <c r="G17857">
        <f>LOG(382/(14+1))</f>
        <v>1.4059721038560276</v>
      </c>
      <c r="H17857">
        <f>0.00862068965517241*3.23737040750436</f>
        <v>2.7908365581934127E-2</v>
      </c>
      <c r="I17857">
        <v>2.7908365581934179E-2</v>
      </c>
    </row>
    <row r="17858" spans="1:9" x14ac:dyDescent="0.25">
      <c r="A17858">
        <v>557</v>
      </c>
      <c r="B17858" t="s">
        <v>4412</v>
      </c>
      <c r="C17858" t="s">
        <v>10</v>
      </c>
      <c r="D17858" t="s">
        <v>215</v>
      </c>
      <c r="E17858">
        <f t="shared" si="847"/>
        <v>8.6206896551724137E-3</v>
      </c>
      <c r="F17858">
        <v>25</v>
      </c>
      <c r="G17858">
        <f>LOG(382/(25+1))</f>
        <v>1.1670900149408907</v>
      </c>
      <c r="H17858">
        <f>0.00862068965517241*2.68732407058509</f>
        <v>2.3166586815388697E-2</v>
      </c>
      <c r="I17858">
        <v>2.3166586815388739E-2</v>
      </c>
    </row>
    <row r="17859" spans="1:9" x14ac:dyDescent="0.25">
      <c r="A17859">
        <v>557</v>
      </c>
      <c r="B17859" t="s">
        <v>4412</v>
      </c>
      <c r="C17859" t="s">
        <v>10</v>
      </c>
      <c r="D17859" t="s">
        <v>216</v>
      </c>
      <c r="E17859">
        <f t="shared" si="847"/>
        <v>8.6206896551724137E-3</v>
      </c>
      <c r="F17859">
        <v>63</v>
      </c>
      <c r="G17859">
        <f>LOG(382/(63+1))</f>
        <v>0.7758833889278216</v>
      </c>
      <c r="H17859">
        <f>0.00862068965517241*1.7865375252469</f>
        <v>1.5401185562473269E-2</v>
      </c>
      <c r="I17859">
        <v>1.5401185562473311E-2</v>
      </c>
    </row>
    <row r="17860" spans="1:9" x14ac:dyDescent="0.25">
      <c r="A17860">
        <v>557</v>
      </c>
      <c r="B17860" t="s">
        <v>4412</v>
      </c>
      <c r="C17860" t="s">
        <v>10</v>
      </c>
      <c r="D17860" t="s">
        <v>823</v>
      </c>
      <c r="E17860">
        <f t="shared" si="847"/>
        <v>8.6206896551724137E-3</v>
      </c>
      <c r="F17860">
        <v>45</v>
      </c>
      <c r="G17860">
        <f>LOG(382/(45+1))</f>
        <v>0.9193055312301347</v>
      </c>
      <c r="H17860">
        <f>0.00862068965517241*2.11677921211748</f>
        <v>1.8248096656185167E-2</v>
      </c>
      <c r="I17860">
        <v>1.8248096656185171E-2</v>
      </c>
    </row>
    <row r="17861" spans="1:9" x14ac:dyDescent="0.25">
      <c r="A17861">
        <v>557</v>
      </c>
      <c r="B17861" t="s">
        <v>4412</v>
      </c>
      <c r="C17861" t="s">
        <v>10</v>
      </c>
      <c r="D17861" t="s">
        <v>465</v>
      </c>
      <c r="E17861">
        <f t="shared" si="847"/>
        <v>8.6206896551724137E-3</v>
      </c>
      <c r="F17861">
        <v>36</v>
      </c>
      <c r="G17861">
        <f>LOG(382/(36+1))</f>
        <v>1.0138616388447137</v>
      </c>
      <c r="H17861">
        <f>0.00862068965517241*2.33450269596235</f>
        <v>2.0125023241054734E-2</v>
      </c>
      <c r="I17861">
        <v>2.0125023241054751E-2</v>
      </c>
    </row>
    <row r="17862" spans="1:9" x14ac:dyDescent="0.25">
      <c r="A17862">
        <v>557</v>
      </c>
      <c r="B17862" t="s">
        <v>4412</v>
      </c>
      <c r="C17862" t="s">
        <v>10</v>
      </c>
      <c r="D17862" t="s">
        <v>25</v>
      </c>
      <c r="E17862">
        <f t="shared" si="847"/>
        <v>8.6206896551724137E-3</v>
      </c>
      <c r="F17862">
        <v>106</v>
      </c>
      <c r="G17862">
        <f>LOG(382/(106+1))</f>
        <v>0.55267958522649907</v>
      </c>
      <c r="H17862">
        <f>0.00862068965517241*1.27259177414466</f>
        <v>1.0970618742626375E-2</v>
      </c>
      <c r="I17862">
        <v>1.097061874262646E-2</v>
      </c>
    </row>
    <row r="17863" spans="1:9" x14ac:dyDescent="0.25">
      <c r="A17863">
        <v>557</v>
      </c>
      <c r="B17863" t="s">
        <v>4412</v>
      </c>
      <c r="C17863" t="s">
        <v>10</v>
      </c>
      <c r="D17863" t="s">
        <v>570</v>
      </c>
      <c r="E17863">
        <f>3/116</f>
        <v>2.5862068965517241E-2</v>
      </c>
      <c r="F17863">
        <v>27</v>
      </c>
      <c r="G17863">
        <f>LOG(382/(27+1))</f>
        <v>1.1349053315694895</v>
      </c>
      <c r="H17863">
        <f>0.0258620689655172*2.61321609843137</f>
        <v>6.7583174959431877E-2</v>
      </c>
      <c r="I17863">
        <v>6.7583174959432002E-2</v>
      </c>
    </row>
    <row r="17864" spans="1:9" x14ac:dyDescent="0.25">
      <c r="A17864">
        <v>557</v>
      </c>
      <c r="B17864" t="s">
        <v>4412</v>
      </c>
      <c r="C17864" t="s">
        <v>10</v>
      </c>
      <c r="D17864" t="s">
        <v>1499</v>
      </c>
      <c r="E17864">
        <f t="shared" ref="E17864:E17885" si="848">1/116</f>
        <v>8.6206896551724137E-3</v>
      </c>
      <c r="F17864">
        <v>2</v>
      </c>
      <c r="G17864">
        <f>LOG(382/(2+1))</f>
        <v>2.1049421081920463</v>
      </c>
      <c r="H17864">
        <f>0.00862068965517241*4.84680831993846</f>
        <v>4.1782830344297049E-2</v>
      </c>
      <c r="I17864">
        <v>4.1782830344297112E-2</v>
      </c>
    </row>
    <row r="17865" spans="1:9" x14ac:dyDescent="0.25">
      <c r="A17865">
        <v>557</v>
      </c>
      <c r="B17865" t="s">
        <v>4412</v>
      </c>
      <c r="C17865" t="s">
        <v>10</v>
      </c>
      <c r="D17865" t="s">
        <v>1284</v>
      </c>
      <c r="E17865">
        <f t="shared" si="848"/>
        <v>8.6206896551724137E-3</v>
      </c>
      <c r="F17865">
        <v>5</v>
      </c>
      <c r="G17865">
        <f>LOG(382/(5+1))</f>
        <v>1.803912112528065</v>
      </c>
      <c r="H17865">
        <f>0.00862068965517241*4.15366113937852</f>
        <v>3.5807423615332054E-2</v>
      </c>
      <c r="I17865">
        <v>3.5807423615332068E-2</v>
      </c>
    </row>
    <row r="17866" spans="1:9" x14ac:dyDescent="0.25">
      <c r="A17866">
        <v>557</v>
      </c>
      <c r="B17866" t="s">
        <v>4412</v>
      </c>
      <c r="C17866" t="s">
        <v>10</v>
      </c>
      <c r="D17866" t="s">
        <v>485</v>
      </c>
      <c r="E17866">
        <f t="shared" si="848"/>
        <v>8.6206896551724137E-3</v>
      </c>
      <c r="F17866">
        <v>74</v>
      </c>
      <c r="G17866">
        <f>LOG(382/(74+1))</f>
        <v>0.7070020995200087</v>
      </c>
      <c r="H17866">
        <f>0.00862068965517241*1.62793249507026</f>
        <v>1.4033900819571201E-2</v>
      </c>
      <c r="I17866">
        <v>1.403390081957125E-2</v>
      </c>
    </row>
    <row r="17867" spans="1:9" x14ac:dyDescent="0.25">
      <c r="A17867">
        <v>557</v>
      </c>
      <c r="B17867" t="s">
        <v>4412</v>
      </c>
      <c r="C17867" t="s">
        <v>10</v>
      </c>
      <c r="D17867" t="s">
        <v>981</v>
      </c>
      <c r="E17867">
        <f t="shared" si="848"/>
        <v>8.6206896551724137E-3</v>
      </c>
      <c r="F17867">
        <v>4</v>
      </c>
      <c r="G17867">
        <f>LOG(382/(4+1))</f>
        <v>1.8830933585756899</v>
      </c>
      <c r="H17867">
        <f>0.00862068965517241*4.33598269617247</f>
        <v>3.7379161173900589E-2</v>
      </c>
      <c r="I17867">
        <v>3.7379161173900638E-2</v>
      </c>
    </row>
    <row r="17868" spans="1:9" x14ac:dyDescent="0.25">
      <c r="A17868">
        <v>557</v>
      </c>
      <c r="B17868" t="s">
        <v>4412</v>
      </c>
      <c r="C17868" t="s">
        <v>10</v>
      </c>
      <c r="D17868" t="s">
        <v>930</v>
      </c>
      <c r="E17868">
        <f t="shared" si="848"/>
        <v>8.6206896551724137E-3</v>
      </c>
      <c r="F17868">
        <v>6</v>
      </c>
      <c r="G17868">
        <f>LOG(382/(6+1))</f>
        <v>1.736965322897452</v>
      </c>
      <c r="H17868">
        <f>0.00862068965517241*3.99951045955126</f>
        <v>3.4478538444407403E-2</v>
      </c>
      <c r="I17868">
        <v>3.4478538444407431E-2</v>
      </c>
    </row>
    <row r="17869" spans="1:9" x14ac:dyDescent="0.25">
      <c r="A17869">
        <v>557</v>
      </c>
      <c r="B17869" t="s">
        <v>4412</v>
      </c>
      <c r="C17869" t="s">
        <v>10</v>
      </c>
      <c r="D17869" t="s">
        <v>1189</v>
      </c>
      <c r="E17869">
        <f t="shared" si="848"/>
        <v>8.6206896551724137E-3</v>
      </c>
      <c r="F17869">
        <v>3</v>
      </c>
      <c r="G17869">
        <f>LOG(382/(3+1))</f>
        <v>1.9800033715837464</v>
      </c>
      <c r="H17869">
        <f>0.00862068965517241*4.55912624748668</f>
        <v>3.9302812478333435E-2</v>
      </c>
      <c r="I17869">
        <v>3.9302812478333483E-2</v>
      </c>
    </row>
    <row r="17870" spans="1:9" x14ac:dyDescent="0.25">
      <c r="A17870">
        <v>557</v>
      </c>
      <c r="B17870" t="s">
        <v>4412</v>
      </c>
      <c r="C17870" t="s">
        <v>10</v>
      </c>
      <c r="D17870" t="s">
        <v>451</v>
      </c>
      <c r="E17870">
        <f t="shared" si="848"/>
        <v>8.6206896551724137E-3</v>
      </c>
      <c r="F17870">
        <v>15</v>
      </c>
      <c r="G17870">
        <f>LOG(382/(15+1))</f>
        <v>1.3779433802557839</v>
      </c>
      <c r="H17870">
        <f>0.00862068965517241*3.17283188636679</f>
        <v>2.7351999020403351E-2</v>
      </c>
      <c r="I17870">
        <v>2.73519990204034E-2</v>
      </c>
    </row>
    <row r="17871" spans="1:9" x14ac:dyDescent="0.25">
      <c r="A17871">
        <v>557</v>
      </c>
      <c r="B17871" t="s">
        <v>4412</v>
      </c>
      <c r="C17871" t="s">
        <v>10</v>
      </c>
      <c r="D17871" t="s">
        <v>1096</v>
      </c>
      <c r="E17871">
        <f t="shared" si="848"/>
        <v>8.6206896551724137E-3</v>
      </c>
      <c r="F17871">
        <v>5</v>
      </c>
      <c r="G17871">
        <f>LOG(382/(5+1))</f>
        <v>1.803912112528065</v>
      </c>
      <c r="H17871">
        <f>0.00862068965517241*4.15366113937852</f>
        <v>3.5807423615332054E-2</v>
      </c>
      <c r="I17871">
        <v>3.5807423615332068E-2</v>
      </c>
    </row>
    <row r="17872" spans="1:9" x14ac:dyDescent="0.25">
      <c r="A17872">
        <v>557</v>
      </c>
      <c r="B17872" t="s">
        <v>4412</v>
      </c>
      <c r="C17872" t="s">
        <v>10</v>
      </c>
      <c r="D17872" t="s">
        <v>4414</v>
      </c>
      <c r="E17872">
        <f t="shared" si="848"/>
        <v>8.6206896551724137E-3</v>
      </c>
      <c r="F17872">
        <v>2</v>
      </c>
      <c r="G17872">
        <f>LOG(382/(2+1))</f>
        <v>2.1049421081920463</v>
      </c>
      <c r="H17872">
        <f>0.00862068965517241*4.84680831993846</f>
        <v>4.1782830344297049E-2</v>
      </c>
      <c r="I17872">
        <v>4.1782830344297112E-2</v>
      </c>
    </row>
    <row r="17873" spans="1:9" x14ac:dyDescent="0.25">
      <c r="A17873">
        <v>557</v>
      </c>
      <c r="B17873" t="s">
        <v>4412</v>
      </c>
      <c r="C17873" t="s">
        <v>10</v>
      </c>
      <c r="D17873" t="s">
        <v>2508</v>
      </c>
      <c r="E17873">
        <f t="shared" si="848"/>
        <v>8.6206896551724137E-3</v>
      </c>
      <c r="F17873">
        <v>3</v>
      </c>
      <c r="G17873">
        <f>LOG(382/(3+1))</f>
        <v>1.9800033715837464</v>
      </c>
      <c r="H17873">
        <f>0.00862068965517241*4.55912624748668</f>
        <v>3.9302812478333435E-2</v>
      </c>
      <c r="I17873">
        <v>3.9302812478333483E-2</v>
      </c>
    </row>
    <row r="17874" spans="1:9" x14ac:dyDescent="0.25">
      <c r="A17874">
        <v>557</v>
      </c>
      <c r="B17874" t="s">
        <v>4412</v>
      </c>
      <c r="C17874" t="s">
        <v>10</v>
      </c>
      <c r="D17874" t="s">
        <v>487</v>
      </c>
      <c r="E17874">
        <f t="shared" si="848"/>
        <v>8.6206896551724137E-3</v>
      </c>
      <c r="F17874">
        <v>32</v>
      </c>
      <c r="G17874">
        <f>LOG(382/(32+1))</f>
        <v>1.0635494230338212</v>
      </c>
      <c r="H17874">
        <f>0.00862068965517241*2.44891304714009</f>
        <v>2.1111319371897322E-2</v>
      </c>
      <c r="I17874">
        <v>2.111131937189737E-2</v>
      </c>
    </row>
    <row r="17875" spans="1:9" x14ac:dyDescent="0.25">
      <c r="A17875">
        <v>557</v>
      </c>
      <c r="B17875" t="s">
        <v>4412</v>
      </c>
      <c r="C17875" t="s">
        <v>10</v>
      </c>
      <c r="D17875" t="s">
        <v>752</v>
      </c>
      <c r="E17875">
        <f t="shared" si="848"/>
        <v>8.6206896551724137E-3</v>
      </c>
      <c r="F17875">
        <v>34</v>
      </c>
      <c r="G17875">
        <f>LOG(382/(34+1))</f>
        <v>1.037995318561433</v>
      </c>
      <c r="H17875">
        <f>0.00862068965517241*2.39007254711716</f>
        <v>2.0604073682044474E-2</v>
      </c>
      <c r="I17875">
        <v>2.0604073682044491E-2</v>
      </c>
    </row>
    <row r="17876" spans="1:9" x14ac:dyDescent="0.25">
      <c r="A17876">
        <v>557</v>
      </c>
      <c r="B17876" t="s">
        <v>4412</v>
      </c>
      <c r="C17876" t="s">
        <v>10</v>
      </c>
      <c r="D17876" t="s">
        <v>591</v>
      </c>
      <c r="E17876">
        <f t="shared" si="848"/>
        <v>8.6206896551724137E-3</v>
      </c>
      <c r="F17876">
        <v>21</v>
      </c>
      <c r="G17876">
        <f>LOG(382/(21+1))</f>
        <v>1.2396406820895025</v>
      </c>
      <c r="H17876">
        <f>0.00862068965517241*2.85437815524825</f>
        <v>2.4606708234898696E-2</v>
      </c>
      <c r="I17876">
        <v>2.4606708234898789E-2</v>
      </c>
    </row>
    <row r="17877" spans="1:9" x14ac:dyDescent="0.25">
      <c r="A17877">
        <v>557</v>
      </c>
      <c r="B17877" t="s">
        <v>4412</v>
      </c>
      <c r="C17877" t="s">
        <v>10</v>
      </c>
      <c r="D17877" t="s">
        <v>1985</v>
      </c>
      <c r="E17877">
        <f t="shared" si="848"/>
        <v>8.6206896551724137E-3</v>
      </c>
      <c r="F17877">
        <v>8</v>
      </c>
      <c r="G17877">
        <f>LOG(382/(8+1))</f>
        <v>1.6278208534723839</v>
      </c>
      <c r="H17877">
        <f>0.00862068965517241*3.74819603127035</f>
        <v>3.231203475233059E-2</v>
      </c>
      <c r="I17877">
        <v>3.2312034752330653E-2</v>
      </c>
    </row>
    <row r="17878" spans="1:9" x14ac:dyDescent="0.25">
      <c r="A17878">
        <v>557</v>
      </c>
      <c r="B17878" t="s">
        <v>4412</v>
      </c>
      <c r="C17878" t="s">
        <v>10</v>
      </c>
      <c r="D17878" t="s">
        <v>36</v>
      </c>
      <c r="E17878">
        <f t="shared" si="848"/>
        <v>8.6206896551724137E-3</v>
      </c>
      <c r="F17878">
        <v>58</v>
      </c>
      <c r="G17878">
        <f>LOG(382/(58+1))</f>
        <v>0.81121135126956456</v>
      </c>
      <c r="H17878">
        <f>0.00862068965517241*1.86788316470085</f>
        <v>1.6102441075007322E-2</v>
      </c>
      <c r="I17878">
        <v>1.610244107500737E-2</v>
      </c>
    </row>
    <row r="17879" spans="1:9" x14ac:dyDescent="0.25">
      <c r="A17879">
        <v>557</v>
      </c>
      <c r="B17879" t="s">
        <v>4412</v>
      </c>
      <c r="C17879" t="s">
        <v>10</v>
      </c>
      <c r="D17879" t="s">
        <v>910</v>
      </c>
      <c r="E17879">
        <f t="shared" si="848"/>
        <v>8.6206896551724137E-3</v>
      </c>
      <c r="F17879">
        <v>6</v>
      </c>
      <c r="G17879">
        <f>LOG(382/(6+1))</f>
        <v>1.736965322897452</v>
      </c>
      <c r="H17879">
        <f>0.00862068965517241*3.99951045955126</f>
        <v>3.4478538444407403E-2</v>
      </c>
      <c r="I17879">
        <v>3.4478538444407431E-2</v>
      </c>
    </row>
    <row r="17880" spans="1:9" x14ac:dyDescent="0.25">
      <c r="A17880">
        <v>557</v>
      </c>
      <c r="B17880" t="s">
        <v>4412</v>
      </c>
      <c r="C17880" t="s">
        <v>10</v>
      </c>
      <c r="D17880" t="s">
        <v>580</v>
      </c>
      <c r="E17880">
        <f t="shared" si="848"/>
        <v>8.6206896551724137E-3</v>
      </c>
      <c r="F17880">
        <v>17</v>
      </c>
      <c r="G17880">
        <f>LOG(382/(17+1))</f>
        <v>1.3267908578084027</v>
      </c>
      <c r="H17880">
        <f>0.00862068965517241*3.05504885071041</f>
        <v>2.6336628023365592E-2</v>
      </c>
      <c r="I17880">
        <v>2.6336628023365609E-2</v>
      </c>
    </row>
    <row r="17881" spans="1:9" x14ac:dyDescent="0.25">
      <c r="A17881">
        <v>557</v>
      </c>
      <c r="B17881" t="s">
        <v>4412</v>
      </c>
      <c r="C17881" t="s">
        <v>10</v>
      </c>
      <c r="D17881" t="s">
        <v>4415</v>
      </c>
      <c r="E17881">
        <f t="shared" si="848"/>
        <v>8.6206896551724137E-3</v>
      </c>
      <c r="F17881">
        <v>1</v>
      </c>
      <c r="G17881">
        <f>LOG(382/(1+1))</f>
        <v>2.2810333672477277</v>
      </c>
      <c r="H17881">
        <f>0.00862068965517241*5.25227342804663</f>
        <v>4.5278219207298513E-2</v>
      </c>
      <c r="I17881">
        <v>4.5278219207298527E-2</v>
      </c>
    </row>
    <row r="17882" spans="1:9" x14ac:dyDescent="0.25">
      <c r="A17882">
        <v>557</v>
      </c>
      <c r="B17882" t="s">
        <v>4412</v>
      </c>
      <c r="C17882" t="s">
        <v>10</v>
      </c>
      <c r="D17882" t="s">
        <v>76</v>
      </c>
      <c r="E17882">
        <f t="shared" si="848"/>
        <v>8.6206896551724137E-3</v>
      </c>
      <c r="F17882">
        <v>140</v>
      </c>
      <c r="G17882">
        <f>LOG(382/(140+1))</f>
        <v>0.43284425025632883</v>
      </c>
      <c r="H17882">
        <f>0.00862068965517241*0.996660718228407</f>
        <v>8.5919027433483328E-3</v>
      </c>
      <c r="I17882">
        <v>8.5919027433483362E-3</v>
      </c>
    </row>
    <row r="17883" spans="1:9" x14ac:dyDescent="0.25">
      <c r="A17883">
        <v>557</v>
      </c>
      <c r="B17883" t="s">
        <v>4412</v>
      </c>
      <c r="C17883" t="s">
        <v>10</v>
      </c>
      <c r="D17883" t="s">
        <v>1067</v>
      </c>
      <c r="E17883">
        <f t="shared" si="848"/>
        <v>8.6206896551724137E-3</v>
      </c>
      <c r="F17883">
        <v>9</v>
      </c>
      <c r="G17883">
        <f>LOG(382/(9+1))</f>
        <v>1.5820633629117087</v>
      </c>
      <c r="H17883">
        <f>0.00862068965517241*3.64283551561252</f>
        <v>3.1403754444935504E-2</v>
      </c>
      <c r="I17883">
        <v>3.1403754444935587E-2</v>
      </c>
    </row>
    <row r="17884" spans="1:9" x14ac:dyDescent="0.25">
      <c r="A17884">
        <v>557</v>
      </c>
      <c r="B17884" t="s">
        <v>4412</v>
      </c>
      <c r="C17884" t="s">
        <v>10</v>
      </c>
      <c r="D17884" t="s">
        <v>1866</v>
      </c>
      <c r="E17884">
        <f t="shared" si="848"/>
        <v>8.6206896551724137E-3</v>
      </c>
      <c r="F17884">
        <v>18</v>
      </c>
      <c r="G17884">
        <f>LOG(382/(18+1))</f>
        <v>1.3033097619588798</v>
      </c>
      <c r="H17884">
        <f>0.00862068965517241*3.00098162944013</f>
        <v>2.5870531288276974E-2</v>
      </c>
      <c r="I17884">
        <v>2.5870531288277019E-2</v>
      </c>
    </row>
    <row r="17885" spans="1:9" x14ac:dyDescent="0.25">
      <c r="A17885">
        <v>557</v>
      </c>
      <c r="B17885" t="s">
        <v>4412</v>
      </c>
      <c r="C17885" t="s">
        <v>10</v>
      </c>
      <c r="D17885" t="s">
        <v>89</v>
      </c>
      <c r="E17885">
        <f t="shared" si="848"/>
        <v>8.6206896551724137E-3</v>
      </c>
      <c r="F17885">
        <v>40</v>
      </c>
      <c r="G17885">
        <f>LOG(382/(40+1))</f>
        <v>0.96927950619197323</v>
      </c>
      <c r="H17885">
        <f>0.00862068965517241*2.23184854190226</f>
        <v>1.9240073637088437E-2</v>
      </c>
      <c r="I17885">
        <v>1.924007363708851E-2</v>
      </c>
    </row>
    <row r="17886" spans="1:9" x14ac:dyDescent="0.25">
      <c r="A17886">
        <v>557</v>
      </c>
      <c r="B17886" t="s">
        <v>4412</v>
      </c>
      <c r="C17886" t="s">
        <v>10</v>
      </c>
      <c r="D17886" t="s">
        <v>730</v>
      </c>
      <c r="E17886">
        <f>2/116</f>
        <v>1.7241379310344827E-2</v>
      </c>
      <c r="F17886">
        <v>11</v>
      </c>
      <c r="G17886">
        <f>LOG(382/(11+1))</f>
        <v>1.5028821168640838</v>
      </c>
      <c r="H17886">
        <f>0.0172413793103448*3.46051395881857</f>
        <v>5.9664033772733868E-2</v>
      </c>
      <c r="I17886">
        <v>5.9664033772734049E-2</v>
      </c>
    </row>
    <row r="17887" spans="1:9" x14ac:dyDescent="0.25">
      <c r="A17887">
        <v>557</v>
      </c>
      <c r="B17887" t="s">
        <v>4412</v>
      </c>
      <c r="C17887" t="s">
        <v>10</v>
      </c>
      <c r="D17887" t="s">
        <v>1374</v>
      </c>
      <c r="E17887">
        <f>3/116</f>
        <v>2.5862068965517241E-2</v>
      </c>
      <c r="F17887">
        <v>9</v>
      </c>
      <c r="G17887">
        <f>LOG(382/(9+1))</f>
        <v>1.5820633629117087</v>
      </c>
      <c r="H17887">
        <f>0.0258620689655172*3.64283551561252</f>
        <v>9.4211263334806394E-2</v>
      </c>
      <c r="I17887">
        <v>9.4211263334806797E-2</v>
      </c>
    </row>
    <row r="17888" spans="1:9" x14ac:dyDescent="0.25">
      <c r="A17888">
        <v>557</v>
      </c>
      <c r="B17888" t="s">
        <v>4412</v>
      </c>
      <c r="C17888" t="s">
        <v>10</v>
      </c>
      <c r="D17888" t="s">
        <v>2554</v>
      </c>
      <c r="E17888">
        <f>1/116</f>
        <v>8.6206896551724137E-3</v>
      </c>
      <c r="F17888">
        <v>22</v>
      </c>
      <c r="G17888">
        <f>LOG(382/(22+1))</f>
        <v>1.2203355268941158</v>
      </c>
      <c r="H17888">
        <f>0.00862068965517241*2.80992639267742</f>
        <v>2.4223503385150162E-2</v>
      </c>
      <c r="I17888">
        <v>2.4223503385150221E-2</v>
      </c>
    </row>
    <row r="17889" spans="1:9" x14ac:dyDescent="0.25">
      <c r="A17889">
        <v>557</v>
      </c>
      <c r="B17889" t="s">
        <v>4412</v>
      </c>
      <c r="C17889" t="s">
        <v>10</v>
      </c>
      <c r="D17889" t="s">
        <v>3633</v>
      </c>
      <c r="E17889">
        <f>1/116</f>
        <v>8.6206896551724137E-3</v>
      </c>
      <c r="F17889">
        <v>6</v>
      </c>
      <c r="G17889">
        <f>LOG(382/(6+1))</f>
        <v>1.736965322897452</v>
      </c>
      <c r="H17889">
        <f>0.00862068965517241*3.99951045955126</f>
        <v>3.4478538444407403E-2</v>
      </c>
      <c r="I17889">
        <v>3.4478538444407431E-2</v>
      </c>
    </row>
    <row r="17890" spans="1:9" x14ac:dyDescent="0.25">
      <c r="A17890">
        <v>557</v>
      </c>
      <c r="B17890" t="s">
        <v>4412</v>
      </c>
      <c r="C17890" t="s">
        <v>10</v>
      </c>
      <c r="D17890" t="s">
        <v>363</v>
      </c>
      <c r="E17890">
        <f>1/116</f>
        <v>8.6206896551724137E-3</v>
      </c>
      <c r="F17890">
        <v>36</v>
      </c>
      <c r="G17890">
        <f>LOG(382/(36+1))</f>
        <v>1.0138616388447137</v>
      </c>
      <c r="H17890">
        <f>0.00862068965517241*2.33450269596235</f>
        <v>2.0125023241054734E-2</v>
      </c>
      <c r="I17890">
        <v>2.0125023241054751E-2</v>
      </c>
    </row>
    <row r="17891" spans="1:9" x14ac:dyDescent="0.25">
      <c r="A17891">
        <v>557</v>
      </c>
      <c r="B17891" t="s">
        <v>4412</v>
      </c>
      <c r="C17891" t="s">
        <v>10</v>
      </c>
      <c r="D17891" t="s">
        <v>237</v>
      </c>
      <c r="E17891">
        <f>2/116</f>
        <v>1.7241379310344827E-2</v>
      </c>
      <c r="F17891">
        <v>138</v>
      </c>
      <c r="G17891">
        <f>LOG(382/(138+1))</f>
        <v>0.43904856265761361</v>
      </c>
      <c r="H17891">
        <f>0.0172413793103448*1.01094667547588</f>
        <v>1.7430115094411697E-2</v>
      </c>
      <c r="I17891">
        <v>1.743011509441178E-2</v>
      </c>
    </row>
    <row r="17892" spans="1:9" x14ac:dyDescent="0.25">
      <c r="A17892">
        <v>557</v>
      </c>
      <c r="B17892" t="s">
        <v>4412</v>
      </c>
      <c r="C17892" t="s">
        <v>10</v>
      </c>
      <c r="D17892" t="s">
        <v>133</v>
      </c>
      <c r="E17892">
        <f>2/116</f>
        <v>1.7241379310344827E-2</v>
      </c>
      <c r="F17892">
        <v>142</v>
      </c>
      <c r="G17892">
        <f>LOG(382/(142+1))</f>
        <v>0.42672732544664693</v>
      </c>
      <c r="H17892">
        <f>0.0172413793103448*0.982575978346667</f>
        <v>1.6940965143908023E-2</v>
      </c>
      <c r="I17892">
        <v>1.6940965143908068E-2</v>
      </c>
    </row>
    <row r="17893" spans="1:9" x14ac:dyDescent="0.25">
      <c r="A17893">
        <v>557</v>
      </c>
      <c r="B17893" t="s">
        <v>4412</v>
      </c>
      <c r="C17893" t="s">
        <v>10</v>
      </c>
      <c r="D17893" t="s">
        <v>1769</v>
      </c>
      <c r="E17893">
        <f t="shared" ref="E17893:E17916" si="849">1/116</f>
        <v>8.6206896551724137E-3</v>
      </c>
      <c r="F17893">
        <v>84</v>
      </c>
      <c r="G17893">
        <f>LOG(382/(84+1))</f>
        <v>0.65264443719741605</v>
      </c>
      <c r="H17893">
        <f>0.00862068965517241*1.50276935211625</f>
        <v>1.2954908207898701E-2</v>
      </c>
      <c r="I17893">
        <v>1.2954908207898779E-2</v>
      </c>
    </row>
    <row r="17894" spans="1:9" x14ac:dyDescent="0.25">
      <c r="A17894">
        <v>557</v>
      </c>
      <c r="B17894" t="s">
        <v>4412</v>
      </c>
      <c r="C17894" t="s">
        <v>10</v>
      </c>
      <c r="D17894" t="s">
        <v>217</v>
      </c>
      <c r="E17894">
        <f t="shared" si="849"/>
        <v>8.6206896551724137E-3</v>
      </c>
      <c r="F17894">
        <v>12</v>
      </c>
      <c r="G17894">
        <f>LOG(382/(12+1))</f>
        <v>1.468120010604872</v>
      </c>
      <c r="H17894">
        <f>0.00862068965517241*3.38047125114503</f>
        <v>2.9141993544353696E-2</v>
      </c>
      <c r="I17894">
        <v>2.9141993544353779E-2</v>
      </c>
    </row>
    <row r="17895" spans="1:9" x14ac:dyDescent="0.25">
      <c r="A17895">
        <v>557</v>
      </c>
      <c r="B17895" t="s">
        <v>4412</v>
      </c>
      <c r="C17895" t="s">
        <v>10</v>
      </c>
      <c r="D17895" t="s">
        <v>737</v>
      </c>
      <c r="E17895">
        <f t="shared" si="849"/>
        <v>8.6206896551724137E-3</v>
      </c>
      <c r="F17895">
        <v>11</v>
      </c>
      <c r="G17895">
        <f>LOG(382/(11+1))</f>
        <v>1.5028821168640838</v>
      </c>
      <c r="H17895">
        <f>0.00862068965517241*3.46051395881857</f>
        <v>2.9832016886366972E-2</v>
      </c>
      <c r="I17895">
        <v>2.9832016886367021E-2</v>
      </c>
    </row>
    <row r="17896" spans="1:9" x14ac:dyDescent="0.25">
      <c r="A17896">
        <v>557</v>
      </c>
      <c r="B17896" t="s">
        <v>4412</v>
      </c>
      <c r="C17896" t="s">
        <v>10</v>
      </c>
      <c r="D17896" t="s">
        <v>2431</v>
      </c>
      <c r="E17896">
        <f t="shared" si="849"/>
        <v>8.6206896551724137E-3</v>
      </c>
      <c r="F17896">
        <v>12</v>
      </c>
      <c r="G17896">
        <f>LOG(382/(12+1))</f>
        <v>1.468120010604872</v>
      </c>
      <c r="H17896">
        <f>0.00862068965517241*3.38047125114503</f>
        <v>2.9141993544353696E-2</v>
      </c>
      <c r="I17896">
        <v>2.9141993544353779E-2</v>
      </c>
    </row>
    <row r="17897" spans="1:9" x14ac:dyDescent="0.25">
      <c r="A17897">
        <v>557</v>
      </c>
      <c r="B17897" t="s">
        <v>4412</v>
      </c>
      <c r="C17897" t="s">
        <v>10</v>
      </c>
      <c r="D17897" t="s">
        <v>4416</v>
      </c>
      <c r="E17897">
        <f t="shared" si="849"/>
        <v>8.6206896551724137E-3</v>
      </c>
      <c r="F17897">
        <v>1</v>
      </c>
      <c r="G17897">
        <f>LOG(382/(1+1))</f>
        <v>2.2810333672477277</v>
      </c>
      <c r="H17897">
        <f>0.00862068965517241*5.25227342804663</f>
        <v>4.5278219207298513E-2</v>
      </c>
      <c r="I17897">
        <v>4.5278219207298527E-2</v>
      </c>
    </row>
    <row r="17898" spans="1:9" x14ac:dyDescent="0.25">
      <c r="A17898">
        <v>557</v>
      </c>
      <c r="B17898" t="s">
        <v>4412</v>
      </c>
      <c r="C17898" t="s">
        <v>10</v>
      </c>
      <c r="D17898" t="s">
        <v>1534</v>
      </c>
      <c r="E17898">
        <f t="shared" si="849"/>
        <v>8.6206896551724137E-3</v>
      </c>
      <c r="F17898">
        <v>25</v>
      </c>
      <c r="G17898">
        <f>LOG(382/(25+1))</f>
        <v>1.1670900149408907</v>
      </c>
      <c r="H17898">
        <f>0.00862068965517241*2.68732407058509</f>
        <v>2.3166586815388697E-2</v>
      </c>
      <c r="I17898">
        <v>2.3166586815388739E-2</v>
      </c>
    </row>
    <row r="17899" spans="1:9" x14ac:dyDescent="0.25">
      <c r="A17899">
        <v>557</v>
      </c>
      <c r="B17899" t="s">
        <v>4412</v>
      </c>
      <c r="C17899" t="s">
        <v>10</v>
      </c>
      <c r="D17899" t="s">
        <v>542</v>
      </c>
      <c r="E17899">
        <f t="shared" si="849"/>
        <v>8.6206896551724137E-3</v>
      </c>
      <c r="F17899">
        <v>42</v>
      </c>
      <c r="G17899">
        <f>LOG(382/(42+1))</f>
        <v>0.94859490733212215</v>
      </c>
      <c r="H17899">
        <f>0.00862068965517241*2.18422049291301</f>
        <v>1.8829487007870765E-2</v>
      </c>
      <c r="I17899">
        <v>1.88294870078708E-2</v>
      </c>
    </row>
    <row r="17900" spans="1:9" x14ac:dyDescent="0.25">
      <c r="A17900">
        <v>557</v>
      </c>
      <c r="B17900" t="s">
        <v>4412</v>
      </c>
      <c r="C17900" t="s">
        <v>10</v>
      </c>
      <c r="D17900" t="s">
        <v>596</v>
      </c>
      <c r="E17900">
        <f t="shared" si="849"/>
        <v>8.6206896551724137E-3</v>
      </c>
      <c r="F17900">
        <v>60</v>
      </c>
      <c r="G17900">
        <f>LOG(382/(60+1))</f>
        <v>0.79673352790094176</v>
      </c>
      <c r="H17900">
        <f>0.00862068965517241*1.83454674443326</f>
        <v>1.5815058141666026E-2</v>
      </c>
      <c r="I17900">
        <v>1.5815058141666071E-2</v>
      </c>
    </row>
    <row r="17901" spans="1:9" x14ac:dyDescent="0.25">
      <c r="A17901">
        <v>557</v>
      </c>
      <c r="B17901" t="s">
        <v>4412</v>
      </c>
      <c r="C17901" t="s">
        <v>10</v>
      </c>
      <c r="D17901" t="s">
        <v>597</v>
      </c>
      <c r="E17901">
        <f t="shared" si="849"/>
        <v>8.6206896551724137E-3</v>
      </c>
      <c r="F17901">
        <v>51</v>
      </c>
      <c r="G17901">
        <f>LOG(382/(51+1))</f>
        <v>0.86606001927690957</v>
      </c>
      <c r="H17901">
        <f>0.00862068965517241*1.99417689002514</f>
        <v>1.7191180086423612E-2</v>
      </c>
      <c r="I17901">
        <v>1.7191180086423691E-2</v>
      </c>
    </row>
    <row r="17902" spans="1:9" x14ac:dyDescent="0.25">
      <c r="A17902">
        <v>557</v>
      </c>
      <c r="B17902" t="s">
        <v>4412</v>
      </c>
      <c r="C17902" t="s">
        <v>10</v>
      </c>
      <c r="D17902" t="s">
        <v>1482</v>
      </c>
      <c r="E17902">
        <f t="shared" si="849"/>
        <v>8.6206896551724137E-3</v>
      </c>
      <c r="F17902">
        <v>7</v>
      </c>
      <c r="G17902">
        <f>LOG(382/(7+1))</f>
        <v>1.6789733759197651</v>
      </c>
      <c r="H17902">
        <f>0.00862068965517241*3.86597906692673</f>
        <v>3.332740574936835E-2</v>
      </c>
      <c r="I17902">
        <v>3.332740574936844E-2</v>
      </c>
    </row>
    <row r="17903" spans="1:9" x14ac:dyDescent="0.25">
      <c r="A17903">
        <v>557</v>
      </c>
      <c r="B17903" t="s">
        <v>4412</v>
      </c>
      <c r="C17903" t="s">
        <v>10</v>
      </c>
      <c r="D17903" t="s">
        <v>432</v>
      </c>
      <c r="E17903">
        <f t="shared" si="849"/>
        <v>8.6206896551724137E-3</v>
      </c>
      <c r="F17903">
        <v>67</v>
      </c>
      <c r="G17903">
        <f>LOG(382/(67+1))</f>
        <v>0.7495544502054724</v>
      </c>
      <c r="H17903">
        <f>0.00862068965517241*1.72591290343046</f>
        <v>1.4878559512331547E-2</v>
      </c>
      <c r="I17903">
        <v>1.4878559512331619E-2</v>
      </c>
    </row>
    <row r="17904" spans="1:9" x14ac:dyDescent="0.25">
      <c r="A17904">
        <v>557</v>
      </c>
      <c r="B17904" t="s">
        <v>4412</v>
      </c>
      <c r="C17904" t="s">
        <v>10</v>
      </c>
      <c r="D17904" t="s">
        <v>168</v>
      </c>
      <c r="E17904">
        <f t="shared" si="849"/>
        <v>8.6206896551724137E-3</v>
      </c>
      <c r="F17904">
        <v>34</v>
      </c>
      <c r="G17904">
        <f>LOG(382/(34+1))</f>
        <v>1.037995318561433</v>
      </c>
      <c r="H17904">
        <f>0.00862068965517241*2.39007254711716</f>
        <v>2.0604073682044474E-2</v>
      </c>
      <c r="I17904">
        <v>2.0604073682044491E-2</v>
      </c>
    </row>
    <row r="17905" spans="1:9" x14ac:dyDescent="0.25">
      <c r="A17905">
        <v>557</v>
      </c>
      <c r="B17905" t="s">
        <v>4412</v>
      </c>
      <c r="C17905" t="s">
        <v>10</v>
      </c>
      <c r="D17905" t="s">
        <v>1478</v>
      </c>
      <c r="E17905">
        <f t="shared" si="849"/>
        <v>8.6206896551724137E-3</v>
      </c>
      <c r="F17905">
        <v>17</v>
      </c>
      <c r="G17905">
        <f>LOG(382/(17+1))</f>
        <v>1.3267908578084027</v>
      </c>
      <c r="H17905">
        <f>0.00862068965517241*3.05504885071041</f>
        <v>2.6336628023365592E-2</v>
      </c>
      <c r="I17905">
        <v>2.6336628023365609E-2</v>
      </c>
    </row>
    <row r="17906" spans="1:9" x14ac:dyDescent="0.25">
      <c r="A17906">
        <v>557</v>
      </c>
      <c r="B17906" t="s">
        <v>4412</v>
      </c>
      <c r="C17906" t="s">
        <v>10</v>
      </c>
      <c r="D17906" t="s">
        <v>4417</v>
      </c>
      <c r="E17906">
        <f t="shared" si="849"/>
        <v>8.6206896551724137E-3</v>
      </c>
      <c r="F17906">
        <v>3</v>
      </c>
      <c r="G17906">
        <f>LOG(382/(3+1))</f>
        <v>1.9800033715837464</v>
      </c>
      <c r="H17906">
        <f>0.00862068965517241*4.55912624748668</f>
        <v>3.9302812478333435E-2</v>
      </c>
      <c r="I17906">
        <v>3.9302812478333483E-2</v>
      </c>
    </row>
    <row r="17907" spans="1:9" x14ac:dyDescent="0.25">
      <c r="A17907">
        <v>557</v>
      </c>
      <c r="B17907" t="s">
        <v>4412</v>
      </c>
      <c r="C17907" t="s">
        <v>10</v>
      </c>
      <c r="D17907" t="s">
        <v>779</v>
      </c>
      <c r="E17907">
        <f t="shared" si="849"/>
        <v>8.6206896551724137E-3</v>
      </c>
      <c r="F17907">
        <v>25</v>
      </c>
      <c r="G17907">
        <f>LOG(382/(25+1))</f>
        <v>1.1670900149408907</v>
      </c>
      <c r="H17907">
        <f>0.00862068965517241*2.68732407058509</f>
        <v>2.3166586815388697E-2</v>
      </c>
      <c r="I17907">
        <v>2.3166586815388739E-2</v>
      </c>
    </row>
    <row r="17908" spans="1:9" x14ac:dyDescent="0.25">
      <c r="A17908">
        <v>557</v>
      </c>
      <c r="B17908" t="s">
        <v>4412</v>
      </c>
      <c r="C17908" t="s">
        <v>10</v>
      </c>
      <c r="D17908" t="s">
        <v>1405</v>
      </c>
      <c r="E17908">
        <f t="shared" si="849"/>
        <v>8.6206896551724137E-3</v>
      </c>
      <c r="F17908">
        <v>14</v>
      </c>
      <c r="G17908">
        <f>LOG(382/(14+1))</f>
        <v>1.4059721038560276</v>
      </c>
      <c r="H17908">
        <f>0.00862068965517241*3.23737040750436</f>
        <v>2.7908365581934127E-2</v>
      </c>
      <c r="I17908">
        <v>2.7908365581934179E-2</v>
      </c>
    </row>
    <row r="17909" spans="1:9" x14ac:dyDescent="0.25">
      <c r="A17909">
        <v>557</v>
      </c>
      <c r="B17909" t="s">
        <v>4412</v>
      </c>
      <c r="C17909" t="s">
        <v>10</v>
      </c>
      <c r="D17909" t="s">
        <v>600</v>
      </c>
      <c r="E17909">
        <f t="shared" si="849"/>
        <v>8.6206896551724137E-3</v>
      </c>
      <c r="F17909">
        <v>102</v>
      </c>
      <c r="G17909">
        <f>LOG(382/(102+1))</f>
        <v>0.56922613820653656</v>
      </c>
      <c r="H17909">
        <f>0.00862068965517241*1.31069162037693</f>
        <v>1.1299065692904566E-2</v>
      </c>
      <c r="I17909">
        <v>1.1299065692904651E-2</v>
      </c>
    </row>
    <row r="17910" spans="1:9" x14ac:dyDescent="0.25">
      <c r="A17910">
        <v>557</v>
      </c>
      <c r="B17910" t="s">
        <v>4412</v>
      </c>
      <c r="C17910" t="s">
        <v>10</v>
      </c>
      <c r="D17910" t="s">
        <v>2366</v>
      </c>
      <c r="E17910">
        <f t="shared" si="849"/>
        <v>8.6206896551724137E-3</v>
      </c>
      <c r="F17910">
        <v>2</v>
      </c>
      <c r="G17910">
        <f>LOG(382/(2+1))</f>
        <v>2.1049421081920463</v>
      </c>
      <c r="H17910">
        <f>0.00862068965517241*4.84680831993846</f>
        <v>4.1782830344297049E-2</v>
      </c>
      <c r="I17910">
        <v>4.1782830344297112E-2</v>
      </c>
    </row>
    <row r="17911" spans="1:9" x14ac:dyDescent="0.25">
      <c r="A17911">
        <v>557</v>
      </c>
      <c r="B17911" t="s">
        <v>4412</v>
      </c>
      <c r="C17911" t="s">
        <v>10</v>
      </c>
      <c r="D17911" t="s">
        <v>1407</v>
      </c>
      <c r="E17911">
        <f t="shared" si="849"/>
        <v>8.6206896551724137E-3</v>
      </c>
      <c r="F17911">
        <v>16</v>
      </c>
      <c r="G17911">
        <f>LOG(382/(16+1))</f>
        <v>1.3516144415334348</v>
      </c>
      <c r="H17911">
        <f>0.00862068965517241*3.11220726455035</f>
        <v>2.6829372970261625E-2</v>
      </c>
      <c r="I17911">
        <v>2.6829372970261719E-2</v>
      </c>
    </row>
    <row r="17912" spans="1:9" x14ac:dyDescent="0.25">
      <c r="A17912">
        <v>557</v>
      </c>
      <c r="B17912" t="s">
        <v>4412</v>
      </c>
      <c r="C17912" t="s">
        <v>10</v>
      </c>
      <c r="D17912" t="s">
        <v>322</v>
      </c>
      <c r="E17912">
        <f t="shared" si="849"/>
        <v>8.6206896551724137E-3</v>
      </c>
      <c r="F17912">
        <v>128</v>
      </c>
      <c r="G17912">
        <f>LOG(382/(128+1))</f>
        <v>0.47147365261245977</v>
      </c>
      <c r="H17912">
        <f>0.00862068965517241*1.0856082042449</f>
        <v>9.3586914159043064E-3</v>
      </c>
      <c r="I17912">
        <v>9.3586914159043376E-3</v>
      </c>
    </row>
    <row r="17913" spans="1:9" x14ac:dyDescent="0.25">
      <c r="A17913">
        <v>557</v>
      </c>
      <c r="B17913" t="s">
        <v>4412</v>
      </c>
      <c r="C17913" t="s">
        <v>10</v>
      </c>
      <c r="D17913" t="s">
        <v>81</v>
      </c>
      <c r="E17913">
        <f t="shared" si="849"/>
        <v>8.6206896551724137E-3</v>
      </c>
      <c r="F17913">
        <v>114</v>
      </c>
      <c r="G17913">
        <f>LOG(382/(114+1))</f>
        <v>0.52136552255809698</v>
      </c>
      <c r="H17913">
        <f>0.00862068965517241*1.20048848024332</f>
        <v>1.0349038622787236E-2</v>
      </c>
      <c r="I17913">
        <v>1.034903862278728E-2</v>
      </c>
    </row>
    <row r="17914" spans="1:9" x14ac:dyDescent="0.25">
      <c r="A17914">
        <v>557</v>
      </c>
      <c r="B17914" t="s">
        <v>4412</v>
      </c>
      <c r="C17914" t="s">
        <v>10</v>
      </c>
      <c r="D17914" t="s">
        <v>509</v>
      </c>
      <c r="E17914">
        <f t="shared" si="849"/>
        <v>8.6206896551724137E-3</v>
      </c>
      <c r="F17914">
        <v>5</v>
      </c>
      <c r="G17914">
        <f>LOG(382/(5+1))</f>
        <v>1.803912112528065</v>
      </c>
      <c r="H17914">
        <f>0.00862068965517241*4.15366113937852</f>
        <v>3.5807423615332054E-2</v>
      </c>
      <c r="I17914">
        <v>3.5807423615332068E-2</v>
      </c>
    </row>
    <row r="17915" spans="1:9" x14ac:dyDescent="0.25">
      <c r="A17915">
        <v>557</v>
      </c>
      <c r="B17915" t="s">
        <v>4412</v>
      </c>
      <c r="C17915" t="s">
        <v>10</v>
      </c>
      <c r="D17915" t="s">
        <v>236</v>
      </c>
      <c r="E17915">
        <f t="shared" si="849"/>
        <v>8.6206896551724137E-3</v>
      </c>
      <c r="F17915">
        <v>87</v>
      </c>
      <c r="G17915">
        <f>LOG(382/(87+1))</f>
        <v>0.63758069076154011</v>
      </c>
      <c r="H17915">
        <f>0.00862068965517241*1.46808379412836</f>
        <v>1.2655894776968615E-2</v>
      </c>
      <c r="I17915">
        <v>1.26558947769687E-2</v>
      </c>
    </row>
    <row r="17916" spans="1:9" x14ac:dyDescent="0.25">
      <c r="A17916">
        <v>557</v>
      </c>
      <c r="B17916" t="s">
        <v>4412</v>
      </c>
      <c r="C17916" t="s">
        <v>10</v>
      </c>
      <c r="D17916" t="s">
        <v>40</v>
      </c>
      <c r="E17916">
        <f t="shared" si="849"/>
        <v>8.6206896551724137E-3</v>
      </c>
      <c r="F17916">
        <v>159</v>
      </c>
      <c r="G17916">
        <f>LOG(382/(159+1))</f>
        <v>0.377943380255784</v>
      </c>
      <c r="H17916">
        <f>0.00862068965517241*0.870246793372748</f>
        <v>7.502127529075411E-3</v>
      </c>
      <c r="I17916">
        <v>7.5021275290754171E-3</v>
      </c>
    </row>
    <row r="17917" spans="1:9" x14ac:dyDescent="0.25">
      <c r="A17917">
        <v>558</v>
      </c>
      <c r="B17917" t="s">
        <v>4418</v>
      </c>
      <c r="C17917" t="s">
        <v>10</v>
      </c>
      <c r="D17917" t="s">
        <v>11</v>
      </c>
      <c r="E17917">
        <f>3/13</f>
        <v>0.23076923076923078</v>
      </c>
      <c r="F17917">
        <v>83</v>
      </c>
      <c r="G17917">
        <f>LOG(382/(83+1))</f>
        <v>0.65778407684982709</v>
      </c>
      <c r="H17917">
        <f>0.23076923076923*1.51460380976326</f>
        <v>0.34952395609921266</v>
      </c>
      <c r="I17917">
        <v>0.34952395609921422</v>
      </c>
    </row>
    <row r="17918" spans="1:9" x14ac:dyDescent="0.25">
      <c r="A17918">
        <v>558</v>
      </c>
      <c r="B17918" t="s">
        <v>4418</v>
      </c>
      <c r="C17918" t="s">
        <v>10</v>
      </c>
      <c r="D17918" t="s">
        <v>12</v>
      </c>
      <c r="E17918">
        <f>2/13</f>
        <v>0.15384615384615385</v>
      </c>
      <c r="F17918">
        <v>28</v>
      </c>
      <c r="G17918">
        <f>LOG(382/(28+1))</f>
        <v>1.1196653650127526</v>
      </c>
      <c r="H17918">
        <f>0.153846153846153*2.5781247786201</f>
        <v>0.39663458132616702</v>
      </c>
      <c r="I17918">
        <v>0.39663458132616941</v>
      </c>
    </row>
    <row r="17919" spans="1:9" x14ac:dyDescent="0.25">
      <c r="A17919">
        <v>558</v>
      </c>
      <c r="B17919" t="s">
        <v>4418</v>
      </c>
      <c r="C17919" t="s">
        <v>10</v>
      </c>
      <c r="D17919" t="s">
        <v>25</v>
      </c>
      <c r="E17919">
        <f t="shared" ref="E17919:E17926" si="850">1/13</f>
        <v>7.6923076923076927E-2</v>
      </c>
      <c r="F17919">
        <v>106</v>
      </c>
      <c r="G17919">
        <f>LOG(382/(106+1))</f>
        <v>0.55267958522649907</v>
      </c>
      <c r="H17919">
        <f>0.0769230769230769*1.27259177414466</f>
        <v>9.7891674934204587E-2</v>
      </c>
      <c r="I17919">
        <v>9.7891674934205322E-2</v>
      </c>
    </row>
    <row r="17920" spans="1:9" x14ac:dyDescent="0.25">
      <c r="A17920">
        <v>558</v>
      </c>
      <c r="B17920" t="s">
        <v>4418</v>
      </c>
      <c r="C17920" t="s">
        <v>10</v>
      </c>
      <c r="D17920" t="s">
        <v>233</v>
      </c>
      <c r="E17920">
        <f t="shared" si="850"/>
        <v>7.6923076923076927E-2</v>
      </c>
      <c r="F17920">
        <v>14</v>
      </c>
      <c r="G17920">
        <f>LOG(382/(14+1))</f>
        <v>1.4059721038560276</v>
      </c>
      <c r="H17920">
        <f>0.0769230769230769*3.23737040750436</f>
        <v>0.24902849288495069</v>
      </c>
      <c r="I17920">
        <v>0.24902849288495121</v>
      </c>
    </row>
    <row r="17921" spans="1:9" x14ac:dyDescent="0.25">
      <c r="A17921">
        <v>558</v>
      </c>
      <c r="B17921" t="s">
        <v>4418</v>
      </c>
      <c r="C17921" t="s">
        <v>10</v>
      </c>
      <c r="D17921" t="s">
        <v>4419</v>
      </c>
      <c r="E17921">
        <f t="shared" si="850"/>
        <v>7.6923076923076927E-2</v>
      </c>
      <c r="F17921">
        <v>2</v>
      </c>
      <c r="G17921">
        <f>LOG(382/(2+1))</f>
        <v>2.1049421081920463</v>
      </c>
      <c r="H17921">
        <f>0.0769230769230769*4.84680831993846</f>
        <v>0.37283140922603525</v>
      </c>
      <c r="I17921">
        <v>0.3728314092260358</v>
      </c>
    </row>
    <row r="17922" spans="1:9" x14ac:dyDescent="0.25">
      <c r="A17922">
        <v>558</v>
      </c>
      <c r="B17922" t="s">
        <v>4418</v>
      </c>
      <c r="C17922" t="s">
        <v>10</v>
      </c>
      <c r="D17922" t="s">
        <v>30</v>
      </c>
      <c r="E17922">
        <f t="shared" si="850"/>
        <v>7.6923076923076927E-2</v>
      </c>
      <c r="F17922">
        <v>7</v>
      </c>
      <c r="G17922">
        <f>LOG(382/(7+1))</f>
        <v>1.6789733759197651</v>
      </c>
      <c r="H17922">
        <f>0.0769230769230769*3.86597906692673</f>
        <v>0.29738300514820992</v>
      </c>
      <c r="I17922">
        <v>0.2973830051482107</v>
      </c>
    </row>
    <row r="17923" spans="1:9" x14ac:dyDescent="0.25">
      <c r="A17923">
        <v>558</v>
      </c>
      <c r="B17923" t="s">
        <v>4418</v>
      </c>
      <c r="C17923" t="s">
        <v>10</v>
      </c>
      <c r="D17923" t="s">
        <v>730</v>
      </c>
      <c r="E17923">
        <f t="shared" si="850"/>
        <v>7.6923076923076927E-2</v>
      </c>
      <c r="F17923">
        <v>11</v>
      </c>
      <c r="G17923">
        <f>LOG(382/(11+1))</f>
        <v>1.5028821168640838</v>
      </c>
      <c r="H17923">
        <f>0.0769230769230769*3.46051395881857</f>
        <v>0.26619338144758226</v>
      </c>
      <c r="I17923">
        <v>0.2661933814475827</v>
      </c>
    </row>
    <row r="17924" spans="1:9" x14ac:dyDescent="0.25">
      <c r="A17924">
        <v>558</v>
      </c>
      <c r="B17924" t="s">
        <v>4418</v>
      </c>
      <c r="C17924" t="s">
        <v>10</v>
      </c>
      <c r="D17924" t="s">
        <v>40</v>
      </c>
      <c r="E17924">
        <f t="shared" si="850"/>
        <v>7.6923076923076927E-2</v>
      </c>
      <c r="F17924">
        <v>159</v>
      </c>
      <c r="G17924">
        <f>LOG(382/(159+1))</f>
        <v>0.377943380255784</v>
      </c>
      <c r="H17924">
        <f>0.0769230769230769*0.870246793372748</f>
        <v>6.6942061028672908E-2</v>
      </c>
      <c r="I17924">
        <v>6.694206102867295E-2</v>
      </c>
    </row>
    <row r="17925" spans="1:9" x14ac:dyDescent="0.25">
      <c r="A17925">
        <v>558</v>
      </c>
      <c r="B17925" t="s">
        <v>4418</v>
      </c>
      <c r="C17925" t="s">
        <v>10</v>
      </c>
      <c r="D17925" t="s">
        <v>4420</v>
      </c>
      <c r="E17925">
        <f t="shared" si="850"/>
        <v>7.6923076923076927E-2</v>
      </c>
      <c r="F17925">
        <v>1</v>
      </c>
      <c r="G17925">
        <f>LOG(382/(1+1))</f>
        <v>2.2810333672477277</v>
      </c>
      <c r="H17925">
        <f>0.0769230769230769*5.25227342804663</f>
        <v>0.40402103292666369</v>
      </c>
      <c r="I17925">
        <v>0.40402103292666391</v>
      </c>
    </row>
    <row r="17926" spans="1:9" x14ac:dyDescent="0.25">
      <c r="A17926">
        <v>558</v>
      </c>
      <c r="B17926" t="s">
        <v>4418</v>
      </c>
      <c r="C17926" t="s">
        <v>10</v>
      </c>
      <c r="D17926" t="s">
        <v>4421</v>
      </c>
      <c r="E17926">
        <f t="shared" si="850"/>
        <v>7.6923076923076927E-2</v>
      </c>
      <c r="F17926">
        <v>2</v>
      </c>
      <c r="G17926">
        <f>LOG(382/(2+1))</f>
        <v>2.1049421081920463</v>
      </c>
      <c r="H17926">
        <f>0.0769230769230769*4.84680831993846</f>
        <v>0.37283140922603525</v>
      </c>
      <c r="I17926">
        <v>0.3728314092260358</v>
      </c>
    </row>
    <row r="17927" spans="1:9" x14ac:dyDescent="0.25">
      <c r="A17927">
        <v>559</v>
      </c>
      <c r="B17927" t="s">
        <v>4422</v>
      </c>
      <c r="C17927" t="s">
        <v>10</v>
      </c>
      <c r="D17927" t="s">
        <v>11</v>
      </c>
      <c r="E17927">
        <f t="shared" ref="E17927:E17933" si="851">1/7</f>
        <v>0.14285714285714285</v>
      </c>
      <c r="F17927">
        <v>83</v>
      </c>
      <c r="G17927">
        <f>LOG(382/(83+1))</f>
        <v>0.65778407684982709</v>
      </c>
      <c r="H17927">
        <f>0.142857142857142*1.51460380976326</f>
        <v>0.21637197282332152</v>
      </c>
      <c r="I17927">
        <v>0.21637197282332299</v>
      </c>
    </row>
    <row r="17928" spans="1:9" x14ac:dyDescent="0.25">
      <c r="A17928">
        <v>559</v>
      </c>
      <c r="B17928" t="s">
        <v>4422</v>
      </c>
      <c r="C17928" t="s">
        <v>10</v>
      </c>
      <c r="D17928" t="s">
        <v>12</v>
      </c>
      <c r="E17928">
        <f t="shared" si="851"/>
        <v>0.14285714285714285</v>
      </c>
      <c r="F17928">
        <v>28</v>
      </c>
      <c r="G17928">
        <f>LOG(382/(28+1))</f>
        <v>1.1196653650127526</v>
      </c>
      <c r="H17928">
        <f>0.142857142857142*2.5781247786201</f>
        <v>0.36830353980286917</v>
      </c>
      <c r="I17928">
        <v>0.36830353980287162</v>
      </c>
    </row>
    <row r="17929" spans="1:9" x14ac:dyDescent="0.25">
      <c r="A17929">
        <v>559</v>
      </c>
      <c r="B17929" t="s">
        <v>4422</v>
      </c>
      <c r="C17929" t="s">
        <v>10</v>
      </c>
      <c r="D17929" t="s">
        <v>4423</v>
      </c>
      <c r="E17929">
        <f t="shared" si="851"/>
        <v>0.14285714285714285</v>
      </c>
      <c r="F17929">
        <v>1</v>
      </c>
      <c r="G17929">
        <f>LOG(382/(1+1))</f>
        <v>2.2810333672477277</v>
      </c>
      <c r="H17929">
        <f>0.142857142857142*5.25227342804663</f>
        <v>0.75032477543522824</v>
      </c>
      <c r="I17929">
        <v>0.75032477543523279</v>
      </c>
    </row>
    <row r="17930" spans="1:9" x14ac:dyDescent="0.25">
      <c r="A17930">
        <v>559</v>
      </c>
      <c r="B17930" t="s">
        <v>4422</v>
      </c>
      <c r="C17930" t="s">
        <v>10</v>
      </c>
      <c r="D17930" t="s">
        <v>23</v>
      </c>
      <c r="E17930">
        <f t="shared" si="851"/>
        <v>0.14285714285714285</v>
      </c>
      <c r="F17930">
        <v>275</v>
      </c>
      <c r="G17930">
        <f>LOG(382/(275+1))</f>
        <v>0.14115428084649101</v>
      </c>
      <c r="H17930">
        <f>0.142857142857142*0.325019742889425</f>
        <v>4.6431391841346141E-2</v>
      </c>
      <c r="I17930">
        <v>4.6431391841346453E-2</v>
      </c>
    </row>
    <row r="17931" spans="1:9" x14ac:dyDescent="0.25">
      <c r="A17931">
        <v>559</v>
      </c>
      <c r="B17931" t="s">
        <v>4422</v>
      </c>
      <c r="C17931" t="s">
        <v>10</v>
      </c>
      <c r="D17931" t="s">
        <v>17</v>
      </c>
      <c r="E17931">
        <f t="shared" si="851"/>
        <v>0.14285714285714285</v>
      </c>
      <c r="F17931">
        <v>169</v>
      </c>
      <c r="G17931">
        <f>LOG(382/(169+1))</f>
        <v>0.3516144415334348</v>
      </c>
      <c r="H17931">
        <f>0.142857142857142*0.809622171556313</f>
        <v>0.11566031022232973</v>
      </c>
      <c r="I17931">
        <v>0.1156603102223305</v>
      </c>
    </row>
    <row r="17932" spans="1:9" x14ac:dyDescent="0.25">
      <c r="A17932">
        <v>559</v>
      </c>
      <c r="B17932" t="s">
        <v>4422</v>
      </c>
      <c r="C17932" t="s">
        <v>10</v>
      </c>
      <c r="D17932" t="s">
        <v>975</v>
      </c>
      <c r="E17932">
        <f t="shared" si="851"/>
        <v>0.14285714285714285</v>
      </c>
      <c r="F17932">
        <v>5</v>
      </c>
      <c r="G17932">
        <f>LOG(382/(5+1))</f>
        <v>1.803912112528065</v>
      </c>
      <c r="H17932">
        <f>0.142857142857142*4.15366113937852</f>
        <v>0.59338016276835637</v>
      </c>
      <c r="I17932">
        <v>0.59338016276835992</v>
      </c>
    </row>
    <row r="17933" spans="1:9" x14ac:dyDescent="0.25">
      <c r="A17933">
        <v>559</v>
      </c>
      <c r="B17933" t="s">
        <v>4422</v>
      </c>
      <c r="C17933" t="s">
        <v>10</v>
      </c>
      <c r="D17933" t="s">
        <v>4424</v>
      </c>
      <c r="E17933">
        <f t="shared" si="851"/>
        <v>0.14285714285714285</v>
      </c>
      <c r="F17933">
        <v>2</v>
      </c>
      <c r="G17933">
        <f>LOG(382/(2+1))</f>
        <v>2.1049421081920463</v>
      </c>
      <c r="H17933">
        <f>0.142857142857142*4.84680831993846</f>
        <v>0.69240118856263289</v>
      </c>
      <c r="I17933">
        <v>0.69240118856263788</v>
      </c>
    </row>
    <row r="17934" spans="1:9" x14ac:dyDescent="0.25">
      <c r="A17934">
        <v>560</v>
      </c>
      <c r="B17934" t="s">
        <v>4425</v>
      </c>
      <c r="C17934" t="s">
        <v>10</v>
      </c>
      <c r="D17934" t="s">
        <v>11</v>
      </c>
      <c r="E17934">
        <f>2/14</f>
        <v>0.14285714285714285</v>
      </c>
      <c r="F17934">
        <v>83</v>
      </c>
      <c r="G17934">
        <f>LOG(382/(83+1))</f>
        <v>0.65778407684982709</v>
      </c>
      <c r="H17934">
        <f>0.142857142857142*1.51460380976326</f>
        <v>0.21637197282332152</v>
      </c>
      <c r="I17934">
        <v>0.21637197282332299</v>
      </c>
    </row>
    <row r="17935" spans="1:9" x14ac:dyDescent="0.25">
      <c r="A17935">
        <v>560</v>
      </c>
      <c r="B17935" t="s">
        <v>4425</v>
      </c>
      <c r="C17935" t="s">
        <v>10</v>
      </c>
      <c r="D17935" t="s">
        <v>12</v>
      </c>
      <c r="E17935">
        <f>2/14</f>
        <v>0.14285714285714285</v>
      </c>
      <c r="F17935">
        <v>28</v>
      </c>
      <c r="G17935">
        <f>LOG(382/(28+1))</f>
        <v>1.1196653650127526</v>
      </c>
      <c r="H17935">
        <f>0.142857142857142*2.5781247786201</f>
        <v>0.36830353980286917</v>
      </c>
      <c r="I17935">
        <v>0.36830353980287162</v>
      </c>
    </row>
    <row r="17936" spans="1:9" x14ac:dyDescent="0.25">
      <c r="A17936">
        <v>560</v>
      </c>
      <c r="B17936" t="s">
        <v>4425</v>
      </c>
      <c r="C17936" t="s">
        <v>10</v>
      </c>
      <c r="D17936" t="s">
        <v>1062</v>
      </c>
      <c r="E17936">
        <f t="shared" ref="E17936:E17945" si="852">1/14</f>
        <v>7.1428571428571425E-2</v>
      </c>
      <c r="F17936">
        <v>5</v>
      </c>
      <c r="G17936">
        <f>LOG(382/(5+1))</f>
        <v>1.803912112528065</v>
      </c>
      <c r="H17936">
        <f>0.0714285714285714*4.15366113937852</f>
        <v>0.29669008138417985</v>
      </c>
      <c r="I17936">
        <v>0.29669008138418002</v>
      </c>
    </row>
    <row r="17937" spans="1:9" x14ac:dyDescent="0.25">
      <c r="A17937">
        <v>560</v>
      </c>
      <c r="B17937" t="s">
        <v>4425</v>
      </c>
      <c r="C17937" t="s">
        <v>10</v>
      </c>
      <c r="D17937" t="s">
        <v>4421</v>
      </c>
      <c r="E17937">
        <f t="shared" si="852"/>
        <v>7.1428571428571425E-2</v>
      </c>
      <c r="F17937">
        <v>2</v>
      </c>
      <c r="G17937">
        <f>LOG(382/(2+1))</f>
        <v>2.1049421081920463</v>
      </c>
      <c r="H17937">
        <f>0.0714285714285714*4.84680831993846</f>
        <v>0.34620059428131844</v>
      </c>
      <c r="I17937">
        <v>0.34620059428131889</v>
      </c>
    </row>
    <row r="17938" spans="1:9" x14ac:dyDescent="0.25">
      <c r="A17938">
        <v>560</v>
      </c>
      <c r="B17938" t="s">
        <v>4425</v>
      </c>
      <c r="C17938" t="s">
        <v>10</v>
      </c>
      <c r="D17938" t="s">
        <v>15</v>
      </c>
      <c r="E17938">
        <f t="shared" si="852"/>
        <v>7.1428571428571425E-2</v>
      </c>
      <c r="F17938">
        <v>112</v>
      </c>
      <c r="G17938">
        <f>LOG(382/(112+1))</f>
        <v>0.52898491942828896</v>
      </c>
      <c r="H17938">
        <f>0.0714285714285714*1.21803278989423</f>
        <v>8.7002342135302113E-2</v>
      </c>
      <c r="I17938">
        <v>8.7002342135302474E-2</v>
      </c>
    </row>
    <row r="17939" spans="1:9" x14ac:dyDescent="0.25">
      <c r="A17939">
        <v>560</v>
      </c>
      <c r="B17939" t="s">
        <v>4425</v>
      </c>
      <c r="C17939" t="s">
        <v>10</v>
      </c>
      <c r="D17939" t="s">
        <v>975</v>
      </c>
      <c r="E17939">
        <f t="shared" si="852"/>
        <v>7.1428571428571425E-2</v>
      </c>
      <c r="F17939">
        <v>5</v>
      </c>
      <c r="G17939">
        <f>LOG(382/(5+1))</f>
        <v>1.803912112528065</v>
      </c>
      <c r="H17939">
        <f>0.0714285714285714*4.15366113937852</f>
        <v>0.29669008138417985</v>
      </c>
      <c r="I17939">
        <v>0.29669008138418002</v>
      </c>
    </row>
    <row r="17940" spans="1:9" x14ac:dyDescent="0.25">
      <c r="A17940">
        <v>560</v>
      </c>
      <c r="B17940" t="s">
        <v>4425</v>
      </c>
      <c r="C17940" t="s">
        <v>10</v>
      </c>
      <c r="D17940" t="s">
        <v>4424</v>
      </c>
      <c r="E17940">
        <f t="shared" si="852"/>
        <v>7.1428571428571425E-2</v>
      </c>
      <c r="F17940">
        <v>2</v>
      </c>
      <c r="G17940">
        <f>LOG(382/(2+1))</f>
        <v>2.1049421081920463</v>
      </c>
      <c r="H17940">
        <f>0.0714285714285714*4.84680831993846</f>
        <v>0.34620059428131844</v>
      </c>
      <c r="I17940">
        <v>0.34620059428131889</v>
      </c>
    </row>
    <row r="17941" spans="1:9" x14ac:dyDescent="0.25">
      <c r="A17941">
        <v>560</v>
      </c>
      <c r="B17941" t="s">
        <v>4425</v>
      </c>
      <c r="C17941" t="s">
        <v>10</v>
      </c>
      <c r="D17941" t="s">
        <v>111</v>
      </c>
      <c r="E17941">
        <f t="shared" si="852"/>
        <v>7.1428571428571425E-2</v>
      </c>
      <c r="F17941">
        <v>33</v>
      </c>
      <c r="G17941">
        <f>LOG(382/(33+1))</f>
        <v>1.0505844458694535</v>
      </c>
      <c r="H17941">
        <f>0.0714285714285714*2.41906008399041</f>
        <v>0.17279000599931493</v>
      </c>
      <c r="I17941">
        <v>0.17279000599931529</v>
      </c>
    </row>
    <row r="17942" spans="1:9" x14ac:dyDescent="0.25">
      <c r="A17942">
        <v>560</v>
      </c>
      <c r="B17942" t="s">
        <v>4425</v>
      </c>
      <c r="C17942" t="s">
        <v>10</v>
      </c>
      <c r="D17942" t="s">
        <v>25</v>
      </c>
      <c r="E17942">
        <f t="shared" si="852"/>
        <v>7.1428571428571425E-2</v>
      </c>
      <c r="F17942">
        <v>106</v>
      </c>
      <c r="G17942">
        <f>LOG(382/(106+1))</f>
        <v>0.55267958522649907</v>
      </c>
      <c r="H17942">
        <f>0.0714285714285714*1.27259177414466</f>
        <v>9.0899412438904245E-2</v>
      </c>
      <c r="I17942">
        <v>9.0899412438904925E-2</v>
      </c>
    </row>
    <row r="17943" spans="1:9" x14ac:dyDescent="0.25">
      <c r="A17943">
        <v>560</v>
      </c>
      <c r="B17943" t="s">
        <v>4425</v>
      </c>
      <c r="C17943" t="s">
        <v>10</v>
      </c>
      <c r="D17943" t="s">
        <v>26</v>
      </c>
      <c r="E17943">
        <f t="shared" si="852"/>
        <v>7.1428571428571425E-2</v>
      </c>
      <c r="F17943">
        <v>40</v>
      </c>
      <c r="G17943">
        <f>LOG(382/(40+1))</f>
        <v>0.96927950619197323</v>
      </c>
      <c r="H17943">
        <f>0.0714285714285714*2.23184854190226</f>
        <v>0.1594177529930185</v>
      </c>
      <c r="I17943">
        <v>0.15941775299301911</v>
      </c>
    </row>
    <row r="17944" spans="1:9" x14ac:dyDescent="0.25">
      <c r="A17944">
        <v>560</v>
      </c>
      <c r="B17944" t="s">
        <v>4425</v>
      </c>
      <c r="C17944" t="s">
        <v>10</v>
      </c>
      <c r="D17944" t="s">
        <v>4426</v>
      </c>
      <c r="E17944">
        <f t="shared" si="852"/>
        <v>7.1428571428571425E-2</v>
      </c>
      <c r="F17944">
        <v>2</v>
      </c>
      <c r="G17944">
        <f>LOG(382/(2+1))</f>
        <v>2.1049421081920463</v>
      </c>
      <c r="H17944">
        <f>0.0714285714285714*4.84680831993846</f>
        <v>0.34620059428131844</v>
      </c>
      <c r="I17944">
        <v>0.34620059428131889</v>
      </c>
    </row>
    <row r="17945" spans="1:9" x14ac:dyDescent="0.25">
      <c r="A17945">
        <v>560</v>
      </c>
      <c r="B17945" t="s">
        <v>4425</v>
      </c>
      <c r="C17945" t="s">
        <v>10</v>
      </c>
      <c r="D17945" t="s">
        <v>28</v>
      </c>
      <c r="E17945">
        <f t="shared" si="852"/>
        <v>7.1428571428571425E-2</v>
      </c>
      <c r="F17945">
        <v>35</v>
      </c>
      <c r="G17945">
        <f>LOG(382/(35+1))</f>
        <v>1.0257608621444214</v>
      </c>
      <c r="H17945">
        <f>0.0714285714285714*2.36190167015046</f>
        <v>0.16870726215360421</v>
      </c>
      <c r="I17945">
        <v>0.1687072621536046</v>
      </c>
    </row>
    <row r="17946" spans="1:9" x14ac:dyDescent="0.25">
      <c r="A17946">
        <v>561</v>
      </c>
      <c r="B17946" t="s">
        <v>4427</v>
      </c>
      <c r="C17946" t="s">
        <v>10</v>
      </c>
      <c r="D17946" t="s">
        <v>315</v>
      </c>
      <c r="E17946">
        <f>6/68</f>
        <v>8.8235294117647065E-2</v>
      </c>
      <c r="F17946">
        <v>55</v>
      </c>
      <c r="G17946">
        <f>LOG(382/(55+1))</f>
        <v>0.83387533590550833</v>
      </c>
      <c r="H17946">
        <f>0.088235294117647*1.92006891787142</f>
        <v>0.16941784569453694</v>
      </c>
      <c r="I17946">
        <v>0.16941784569453761</v>
      </c>
    </row>
    <row r="17947" spans="1:9" x14ac:dyDescent="0.25">
      <c r="A17947">
        <v>561</v>
      </c>
      <c r="B17947" t="s">
        <v>4427</v>
      </c>
      <c r="C17947" t="s">
        <v>10</v>
      </c>
      <c r="D17947" t="s">
        <v>1081</v>
      </c>
      <c r="E17947">
        <f>4/68</f>
        <v>5.8823529411764705E-2</v>
      </c>
      <c r="F17947">
        <v>27</v>
      </c>
      <c r="G17947">
        <f>LOG(382/(27+1))</f>
        <v>1.1349053315694895</v>
      </c>
      <c r="H17947">
        <f>0.0588235294117647*2.61321609843137</f>
        <v>0.15371859402537469</v>
      </c>
      <c r="I17947">
        <v>0.1537185940253748</v>
      </c>
    </row>
    <row r="17948" spans="1:9" x14ac:dyDescent="0.25">
      <c r="A17948">
        <v>561</v>
      </c>
      <c r="B17948" t="s">
        <v>4427</v>
      </c>
      <c r="C17948" t="s">
        <v>10</v>
      </c>
      <c r="D17948" t="s">
        <v>152</v>
      </c>
      <c r="E17948">
        <f>4/68</f>
        <v>5.8823529411764705E-2</v>
      </c>
      <c r="F17948">
        <v>31</v>
      </c>
      <c r="G17948">
        <f>LOG(382/(31+1))</f>
        <v>1.0769133845918029</v>
      </c>
      <c r="H17948">
        <f>0.0588235294117647*2.47968470580684</f>
        <v>0.14586380622393175</v>
      </c>
      <c r="I17948">
        <v>0.1458638062239323</v>
      </c>
    </row>
    <row r="17949" spans="1:9" x14ac:dyDescent="0.25">
      <c r="A17949">
        <v>561</v>
      </c>
      <c r="B17949" t="s">
        <v>4427</v>
      </c>
      <c r="C17949" t="s">
        <v>10</v>
      </c>
      <c r="D17949" t="s">
        <v>4428</v>
      </c>
      <c r="E17949">
        <f>3/68</f>
        <v>4.4117647058823532E-2</v>
      </c>
      <c r="F17949">
        <v>1</v>
      </c>
      <c r="G17949">
        <f>LOG(382/(1+1))</f>
        <v>2.2810333672477277</v>
      </c>
      <c r="H17949">
        <f>0.0441176470588235*5.25227342804663</f>
        <v>0.23171794535499821</v>
      </c>
      <c r="I17949">
        <v>0.2317179453549984</v>
      </c>
    </row>
    <row r="17950" spans="1:9" x14ac:dyDescent="0.25">
      <c r="A17950">
        <v>561</v>
      </c>
      <c r="B17950" t="s">
        <v>4427</v>
      </c>
      <c r="C17950" t="s">
        <v>10</v>
      </c>
      <c r="D17950" t="s">
        <v>17</v>
      </c>
      <c r="E17950">
        <f>2/68</f>
        <v>2.9411764705882353E-2</v>
      </c>
      <c r="F17950">
        <v>169</v>
      </c>
      <c r="G17950">
        <f>LOG(382/(169+1))</f>
        <v>0.3516144415334348</v>
      </c>
      <c r="H17950">
        <f>0.0294117647058823*0.809622171556313</f>
        <v>2.3812416810479752E-2</v>
      </c>
      <c r="I17950">
        <v>2.3812416810479811E-2</v>
      </c>
    </row>
    <row r="17951" spans="1:9" x14ac:dyDescent="0.25">
      <c r="A17951">
        <v>561</v>
      </c>
      <c r="B17951" t="s">
        <v>4427</v>
      </c>
      <c r="C17951" t="s">
        <v>10</v>
      </c>
      <c r="D17951" t="s">
        <v>2530</v>
      </c>
      <c r="E17951">
        <f>2/68</f>
        <v>2.9411764705882353E-2</v>
      </c>
      <c r="F17951">
        <v>5</v>
      </c>
      <c r="G17951">
        <f>LOG(382/(5+1))</f>
        <v>1.803912112528065</v>
      </c>
      <c r="H17951">
        <f>0.0294117647058823*4.15366113937852</f>
        <v>0.12216650409936801</v>
      </c>
      <c r="I17951">
        <v>0.1221665040993682</v>
      </c>
    </row>
    <row r="17952" spans="1:9" x14ac:dyDescent="0.25">
      <c r="A17952">
        <v>561</v>
      </c>
      <c r="B17952" t="s">
        <v>4427</v>
      </c>
      <c r="C17952" t="s">
        <v>10</v>
      </c>
      <c r="D17952" t="s">
        <v>19</v>
      </c>
      <c r="E17952">
        <f>2/68</f>
        <v>2.9411764705882353E-2</v>
      </c>
      <c r="F17952">
        <v>220</v>
      </c>
      <c r="G17952">
        <f>LOG(382/(220+1))</f>
        <v>0.23767108922659805</v>
      </c>
      <c r="H17952">
        <f>0.0294117647058823*0.547257907088822</f>
        <v>1.6095820796730033E-2</v>
      </c>
      <c r="I17952">
        <v>1.6095820796730071E-2</v>
      </c>
    </row>
    <row r="17953" spans="1:9" x14ac:dyDescent="0.25">
      <c r="A17953">
        <v>561</v>
      </c>
      <c r="B17953" t="s">
        <v>4427</v>
      </c>
      <c r="C17953" t="s">
        <v>10</v>
      </c>
      <c r="D17953" t="s">
        <v>41</v>
      </c>
      <c r="E17953">
        <f>5/68</f>
        <v>7.3529411764705885E-2</v>
      </c>
      <c r="F17953">
        <v>195</v>
      </c>
      <c r="G17953">
        <f>LOG(382/(195+1))</f>
        <v>0.28980729155523272</v>
      </c>
      <c r="H17953">
        <f>0.0735294117647058*0.667305949376058</f>
        <v>4.9066613924710095E-2</v>
      </c>
      <c r="I17953">
        <v>4.9066613924710151E-2</v>
      </c>
    </row>
    <row r="17954" spans="1:9" x14ac:dyDescent="0.25">
      <c r="A17954">
        <v>561</v>
      </c>
      <c r="B17954" t="s">
        <v>4427</v>
      </c>
      <c r="C17954" t="s">
        <v>10</v>
      </c>
      <c r="D17954" t="s">
        <v>44</v>
      </c>
      <c r="E17954">
        <f>2/68</f>
        <v>2.9411764705882353E-2</v>
      </c>
      <c r="F17954">
        <v>151</v>
      </c>
      <c r="G17954">
        <f>LOG(382/(151+1))</f>
        <v>0.40021977496693617</v>
      </c>
      <c r="H17954">
        <f>0.0294117647058823*0.921540087760298</f>
        <v>2.7104120228244013E-2</v>
      </c>
      <c r="I17954">
        <v>2.7104120228244079E-2</v>
      </c>
    </row>
    <row r="17955" spans="1:9" x14ac:dyDescent="0.25">
      <c r="A17955">
        <v>561</v>
      </c>
      <c r="B17955" t="s">
        <v>4427</v>
      </c>
      <c r="C17955" t="s">
        <v>10</v>
      </c>
      <c r="D17955" t="s">
        <v>22</v>
      </c>
      <c r="E17955">
        <f>1/68</f>
        <v>1.4705882352941176E-2</v>
      </c>
      <c r="F17955">
        <v>259</v>
      </c>
      <c r="G17955">
        <f>LOG(382/(259+1))</f>
        <v>0.16709001494089079</v>
      </c>
      <c r="H17955">
        <f>0.0147058823529411*0.384738977591047</f>
        <v>5.6579261410447798E-3</v>
      </c>
      <c r="I17955">
        <v>5.6579261410448162E-3</v>
      </c>
    </row>
    <row r="17956" spans="1:9" x14ac:dyDescent="0.25">
      <c r="A17956">
        <v>561</v>
      </c>
      <c r="B17956" t="s">
        <v>4427</v>
      </c>
      <c r="C17956" t="s">
        <v>10</v>
      </c>
      <c r="D17956" t="s">
        <v>23</v>
      </c>
      <c r="E17956">
        <f>1/68</f>
        <v>1.4705882352941176E-2</v>
      </c>
      <c r="F17956">
        <v>275</v>
      </c>
      <c r="G17956">
        <f>LOG(382/(275+1))</f>
        <v>0.14115428084649101</v>
      </c>
      <c r="H17956">
        <f>0.0147058823529411*0.325019742889425</f>
        <v>4.7797021013150486E-3</v>
      </c>
      <c r="I17956">
        <v>4.7797021013150764E-3</v>
      </c>
    </row>
    <row r="17957" spans="1:9" x14ac:dyDescent="0.25">
      <c r="A17957">
        <v>561</v>
      </c>
      <c r="B17957" t="s">
        <v>4427</v>
      </c>
      <c r="C17957" t="s">
        <v>10</v>
      </c>
      <c r="D17957" t="s">
        <v>38</v>
      </c>
      <c r="E17957">
        <f>2/68</f>
        <v>2.9411764705882353E-2</v>
      </c>
      <c r="F17957">
        <v>86</v>
      </c>
      <c r="G17957">
        <f>LOG(382/(86+1))</f>
        <v>0.64254411029309022</v>
      </c>
      <c r="H17957">
        <f>0.0294117647058823*1.47951248995199</f>
        <v>4.3515073233881985E-2</v>
      </c>
      <c r="I17957">
        <v>4.3515073233882103E-2</v>
      </c>
    </row>
    <row r="17958" spans="1:9" x14ac:dyDescent="0.25">
      <c r="A17958">
        <v>561</v>
      </c>
      <c r="B17958" t="s">
        <v>4427</v>
      </c>
      <c r="C17958" t="s">
        <v>10</v>
      </c>
      <c r="D17958" t="s">
        <v>247</v>
      </c>
      <c r="E17958">
        <f>2/68</f>
        <v>2.9411764705882353E-2</v>
      </c>
      <c r="F17958">
        <v>121</v>
      </c>
      <c r="G17958">
        <f>LOG(382/(121+1))</f>
        <v>0.49570353223696051</v>
      </c>
      <c r="H17958">
        <f>0.0294117647058823*1.14139956387331</f>
        <v>3.3570575408038469E-2</v>
      </c>
      <c r="I17958">
        <v>3.3570575408038789E-2</v>
      </c>
    </row>
    <row r="17959" spans="1:9" x14ac:dyDescent="0.25">
      <c r="A17959">
        <v>561</v>
      </c>
      <c r="B17959" t="s">
        <v>4427</v>
      </c>
      <c r="C17959" t="s">
        <v>10</v>
      </c>
      <c r="D17959" t="s">
        <v>39</v>
      </c>
      <c r="E17959">
        <f>2/68</f>
        <v>2.9411764705882353E-2</v>
      </c>
      <c r="F17959">
        <v>145</v>
      </c>
      <c r="G17959">
        <f>LOG(382/(145+1))</f>
        <v>0.41771050712727159</v>
      </c>
      <c r="H17959">
        <f>0.0294117647058823*0.961813986898238</f>
        <v>2.8288646673477538E-2</v>
      </c>
      <c r="I17959">
        <v>2.8288646673477611E-2</v>
      </c>
    </row>
    <row r="17960" spans="1:9" x14ac:dyDescent="0.25">
      <c r="A17960">
        <v>561</v>
      </c>
      <c r="B17960" t="s">
        <v>4427</v>
      </c>
      <c r="C17960" t="s">
        <v>10</v>
      </c>
      <c r="D17960" t="s">
        <v>465</v>
      </c>
      <c r="E17960">
        <f>2/68</f>
        <v>2.9411764705882353E-2</v>
      </c>
      <c r="F17960">
        <v>36</v>
      </c>
      <c r="G17960">
        <f>LOG(382/(36+1))</f>
        <v>1.0138616388447137</v>
      </c>
      <c r="H17960">
        <f>0.0294117647058823*2.33450269596235</f>
        <v>6.8661843998892524E-2</v>
      </c>
      <c r="I17960">
        <v>6.8661843998892677E-2</v>
      </c>
    </row>
    <row r="17961" spans="1:9" x14ac:dyDescent="0.25">
      <c r="A17961">
        <v>561</v>
      </c>
      <c r="B17961" t="s">
        <v>4427</v>
      </c>
      <c r="C17961" t="s">
        <v>10</v>
      </c>
      <c r="D17961" t="s">
        <v>40</v>
      </c>
      <c r="E17961">
        <f>3/68</f>
        <v>4.4117647058823532E-2</v>
      </c>
      <c r="F17961">
        <v>159</v>
      </c>
      <c r="G17961">
        <f>LOG(382/(159+1))</f>
        <v>0.377943380255784</v>
      </c>
      <c r="H17961">
        <f>0.0441176470588235*0.870246793372748</f>
        <v>3.8393240884091795E-2</v>
      </c>
      <c r="I17961">
        <v>3.8393240884091837E-2</v>
      </c>
    </row>
    <row r="17962" spans="1:9" x14ac:dyDescent="0.25">
      <c r="A17962">
        <v>561</v>
      </c>
      <c r="B17962" t="s">
        <v>4427</v>
      </c>
      <c r="C17962" t="s">
        <v>10</v>
      </c>
      <c r="D17962" t="s">
        <v>204</v>
      </c>
      <c r="E17962">
        <f>1/68</f>
        <v>1.4705882352941176E-2</v>
      </c>
      <c r="F17962">
        <v>166</v>
      </c>
      <c r="G17962">
        <f>LOG(382/(166+1))</f>
        <v>0.35934689176412549</v>
      </c>
      <c r="H17962">
        <f>0.0147058823529411*0.82742679618982</f>
        <v>1.2168041120438466E-2</v>
      </c>
      <c r="I17962">
        <v>1.216804112043853E-2</v>
      </c>
    </row>
    <row r="17963" spans="1:9" x14ac:dyDescent="0.25">
      <c r="A17963">
        <v>561</v>
      </c>
      <c r="B17963" t="s">
        <v>4427</v>
      </c>
      <c r="C17963" t="s">
        <v>10</v>
      </c>
      <c r="D17963" t="s">
        <v>487</v>
      </c>
      <c r="E17963">
        <f>1/68</f>
        <v>1.4705882352941176E-2</v>
      </c>
      <c r="F17963">
        <v>32</v>
      </c>
      <c r="G17963">
        <f>LOG(382/(32+1))</f>
        <v>1.0635494230338212</v>
      </c>
      <c r="H17963">
        <f>0.0147058823529411*2.44891304714009</f>
        <v>3.601342716382467E-2</v>
      </c>
      <c r="I17963">
        <v>3.6013427163824933E-2</v>
      </c>
    </row>
    <row r="17964" spans="1:9" x14ac:dyDescent="0.25">
      <c r="A17964">
        <v>561</v>
      </c>
      <c r="B17964" t="s">
        <v>4427</v>
      </c>
      <c r="C17964" t="s">
        <v>10</v>
      </c>
      <c r="D17964" t="s">
        <v>331</v>
      </c>
      <c r="E17964">
        <f>2/68</f>
        <v>2.9411764705882353E-2</v>
      </c>
      <c r="F17964">
        <v>130</v>
      </c>
      <c r="G17964">
        <f>LOG(382/(130+1))</f>
        <v>0.46479206725594452</v>
      </c>
      <c r="H17964">
        <f>0.0294117647058823*1.07022328540542</f>
        <v>3.1477155453100536E-2</v>
      </c>
      <c r="I17964">
        <v>3.1477155453100703E-2</v>
      </c>
    </row>
    <row r="17965" spans="1:9" x14ac:dyDescent="0.25">
      <c r="A17965">
        <v>561</v>
      </c>
      <c r="B17965" t="s">
        <v>4427</v>
      </c>
      <c r="C17965" t="s">
        <v>10</v>
      </c>
      <c r="D17965" t="s">
        <v>77</v>
      </c>
      <c r="E17965">
        <f>3/68</f>
        <v>4.4117647058823532E-2</v>
      </c>
      <c r="F17965">
        <v>148</v>
      </c>
      <c r="G17965">
        <f>LOG(382/(148+1))</f>
        <v>0.40887709449943471</v>
      </c>
      <c r="H17965">
        <f>0.0441176470588235*0.941474302661116</f>
        <v>4.1535630999755088E-2</v>
      </c>
      <c r="I17965">
        <v>4.1535630999755123E-2</v>
      </c>
    </row>
    <row r="17966" spans="1:9" x14ac:dyDescent="0.25">
      <c r="A17966">
        <v>561</v>
      </c>
      <c r="B17966" t="s">
        <v>4427</v>
      </c>
      <c r="C17966" t="s">
        <v>10</v>
      </c>
      <c r="D17966" t="s">
        <v>1997</v>
      </c>
      <c r="E17966">
        <f>2/68</f>
        <v>2.9411764705882353E-2</v>
      </c>
      <c r="F17966">
        <v>4</v>
      </c>
      <c r="G17966">
        <f>LOG(382/(4+1))</f>
        <v>1.8830933585756899</v>
      </c>
      <c r="H17966">
        <f>0.0294117647058823*4.33598269617247</f>
        <v>0.12752890282860185</v>
      </c>
      <c r="I17966">
        <v>0.12752890282860219</v>
      </c>
    </row>
    <row r="17967" spans="1:9" x14ac:dyDescent="0.25">
      <c r="A17967">
        <v>561</v>
      </c>
      <c r="B17967" t="s">
        <v>4427</v>
      </c>
      <c r="C17967" t="s">
        <v>10</v>
      </c>
      <c r="D17967" t="s">
        <v>924</v>
      </c>
      <c r="E17967">
        <f t="shared" ref="E17967:E17978" si="853">1/68</f>
        <v>1.4705882352941176E-2</v>
      </c>
      <c r="F17967">
        <v>13</v>
      </c>
      <c r="G17967">
        <f>LOG(382/(13+1))</f>
        <v>1.4359353272334707</v>
      </c>
      <c r="H17967">
        <f>0.0147058823529411*3.30636327899131</f>
        <v>4.8622989396930778E-2</v>
      </c>
      <c r="I17967">
        <v>4.8622989396931132E-2</v>
      </c>
    </row>
    <row r="17968" spans="1:9" x14ac:dyDescent="0.25">
      <c r="A17968">
        <v>561</v>
      </c>
      <c r="B17968" t="s">
        <v>4427</v>
      </c>
      <c r="C17968" t="s">
        <v>10</v>
      </c>
      <c r="D17968" t="s">
        <v>42</v>
      </c>
      <c r="E17968">
        <f t="shared" si="853"/>
        <v>1.4705882352941176E-2</v>
      </c>
      <c r="F17968">
        <v>251</v>
      </c>
      <c r="G17968">
        <f>LOG(382/(251+1))</f>
        <v>0.18066282213016463</v>
      </c>
      <c r="H17968">
        <f>0.0147058823529411*0.415991521095151</f>
        <v>6.1175223690463059E-3</v>
      </c>
      <c r="I17968">
        <v>6.117522369046351E-3</v>
      </c>
    </row>
    <row r="17969" spans="1:9" x14ac:dyDescent="0.25">
      <c r="A17969">
        <v>561</v>
      </c>
      <c r="B17969" t="s">
        <v>4427</v>
      </c>
      <c r="C17969" t="s">
        <v>10</v>
      </c>
      <c r="D17969" t="s">
        <v>15</v>
      </c>
      <c r="E17969">
        <f t="shared" si="853"/>
        <v>1.4705882352941176E-2</v>
      </c>
      <c r="F17969">
        <v>112</v>
      </c>
      <c r="G17969">
        <f>LOG(382/(112+1))</f>
        <v>0.52898491942828896</v>
      </c>
      <c r="H17969">
        <f>0.0147058823529411*1.21803278989423</f>
        <v>1.7912246910209172E-2</v>
      </c>
      <c r="I17969">
        <v>1.7912246910209331E-2</v>
      </c>
    </row>
    <row r="17970" spans="1:9" x14ac:dyDescent="0.25">
      <c r="A17970">
        <v>561</v>
      </c>
      <c r="B17970" t="s">
        <v>4427</v>
      </c>
      <c r="C17970" t="s">
        <v>10</v>
      </c>
      <c r="D17970" t="s">
        <v>2996</v>
      </c>
      <c r="E17970">
        <f t="shared" si="853"/>
        <v>1.4705882352941176E-2</v>
      </c>
      <c r="F17970">
        <v>3</v>
      </c>
      <c r="G17970">
        <f>LOG(382/(3+1))</f>
        <v>1.9800033715837464</v>
      </c>
      <c r="H17970">
        <f>0.0147058823529411*4.55912624748668</f>
        <v>6.7045974227744942E-2</v>
      </c>
      <c r="I17970">
        <v>6.7045974227745359E-2</v>
      </c>
    </row>
    <row r="17971" spans="1:9" x14ac:dyDescent="0.25">
      <c r="A17971">
        <v>561</v>
      </c>
      <c r="B17971" t="s">
        <v>4427</v>
      </c>
      <c r="C17971" t="s">
        <v>10</v>
      </c>
      <c r="D17971" t="s">
        <v>144</v>
      </c>
      <c r="E17971">
        <f t="shared" si="853"/>
        <v>1.4705882352941176E-2</v>
      </c>
      <c r="F17971">
        <v>105</v>
      </c>
      <c r="G17971">
        <f>LOG(382/(105+1))</f>
        <v>0.55675749764693849</v>
      </c>
      <c r="H17971">
        <f>0.0147058823529411*1.2819815144945</f>
        <v>1.8852669330801371E-2</v>
      </c>
      <c r="I17971">
        <v>1.885266933080159E-2</v>
      </c>
    </row>
    <row r="17972" spans="1:9" x14ac:dyDescent="0.25">
      <c r="A17972">
        <v>561</v>
      </c>
      <c r="B17972" t="s">
        <v>4427</v>
      </c>
      <c r="C17972" t="s">
        <v>10</v>
      </c>
      <c r="D17972" t="s">
        <v>4429</v>
      </c>
      <c r="E17972">
        <f t="shared" si="853"/>
        <v>1.4705882352941176E-2</v>
      </c>
      <c r="F17972">
        <v>1</v>
      </c>
      <c r="G17972">
        <f>LOG(382/(1+1))</f>
        <v>2.2810333672477277</v>
      </c>
      <c r="H17972">
        <f>0.0147058823529411*5.25227342804663</f>
        <v>7.7239315118332388E-2</v>
      </c>
      <c r="I17972">
        <v>7.7239315118332791E-2</v>
      </c>
    </row>
    <row r="17973" spans="1:9" x14ac:dyDescent="0.25">
      <c r="A17973">
        <v>561</v>
      </c>
      <c r="B17973" t="s">
        <v>4427</v>
      </c>
      <c r="C17973" t="s">
        <v>10</v>
      </c>
      <c r="D17973" t="s">
        <v>4430</v>
      </c>
      <c r="E17973">
        <f t="shared" si="853"/>
        <v>1.4705882352941176E-2</v>
      </c>
      <c r="F17973">
        <v>1</v>
      </c>
      <c r="G17973">
        <f>LOG(382/(1+1))</f>
        <v>2.2810333672477277</v>
      </c>
      <c r="H17973">
        <f>0.0147058823529411*5.25227342804663</f>
        <v>7.7239315118332388E-2</v>
      </c>
      <c r="I17973">
        <v>7.7239315118332791E-2</v>
      </c>
    </row>
    <row r="17974" spans="1:9" x14ac:dyDescent="0.25">
      <c r="A17974">
        <v>561</v>
      </c>
      <c r="B17974" t="s">
        <v>4427</v>
      </c>
      <c r="C17974" t="s">
        <v>10</v>
      </c>
      <c r="D17974" t="s">
        <v>1294</v>
      </c>
      <c r="E17974">
        <f t="shared" si="853"/>
        <v>1.4705882352941176E-2</v>
      </c>
      <c r="F17974">
        <v>4</v>
      </c>
      <c r="G17974">
        <f>LOG(382/(4+1))</f>
        <v>1.8830933585756899</v>
      </c>
      <c r="H17974">
        <f>0.0147058823529411*4.33598269617247</f>
        <v>6.3764451414300705E-2</v>
      </c>
      <c r="I17974">
        <v>6.3764451414301093E-2</v>
      </c>
    </row>
    <row r="17975" spans="1:9" x14ac:dyDescent="0.25">
      <c r="A17975">
        <v>561</v>
      </c>
      <c r="B17975" t="s">
        <v>4427</v>
      </c>
      <c r="C17975" t="s">
        <v>10</v>
      </c>
      <c r="D17975" t="s">
        <v>4431</v>
      </c>
      <c r="E17975">
        <f t="shared" si="853"/>
        <v>1.4705882352941176E-2</v>
      </c>
      <c r="F17975">
        <v>1</v>
      </c>
      <c r="G17975">
        <f>LOG(382/(1+1))</f>
        <v>2.2810333672477277</v>
      </c>
      <c r="H17975">
        <f>0.0147058823529411*5.25227342804663</f>
        <v>7.7239315118332388E-2</v>
      </c>
      <c r="I17975">
        <v>7.7239315118332791E-2</v>
      </c>
    </row>
    <row r="17976" spans="1:9" x14ac:dyDescent="0.25">
      <c r="A17976">
        <v>561</v>
      </c>
      <c r="B17976" t="s">
        <v>4427</v>
      </c>
      <c r="C17976" t="s">
        <v>10</v>
      </c>
      <c r="D17976" t="s">
        <v>447</v>
      </c>
      <c r="E17976">
        <f t="shared" si="853"/>
        <v>1.4705882352941176E-2</v>
      </c>
      <c r="F17976">
        <v>37</v>
      </c>
      <c r="G17976">
        <f>LOG(382/(37+1))</f>
        <v>1.0022797662948986</v>
      </c>
      <c r="H17976">
        <f>0.0147058823529411*2.30783444888018</f>
        <v>3.3938741895296588E-2</v>
      </c>
      <c r="I17976">
        <v>3.3938741895296901E-2</v>
      </c>
    </row>
    <row r="17977" spans="1:9" x14ac:dyDescent="0.25">
      <c r="A17977">
        <v>561</v>
      </c>
      <c r="B17977" t="s">
        <v>4427</v>
      </c>
      <c r="C17977" t="s">
        <v>10</v>
      </c>
      <c r="D17977" t="s">
        <v>236</v>
      </c>
      <c r="E17977">
        <f t="shared" si="853"/>
        <v>1.4705882352941176E-2</v>
      </c>
      <c r="F17977">
        <v>87</v>
      </c>
      <c r="G17977">
        <f>LOG(382/(87+1))</f>
        <v>0.63758069076154011</v>
      </c>
      <c r="H17977">
        <f>0.0147058823529411*1.46808379412836</f>
        <v>2.1589467560711065E-2</v>
      </c>
      <c r="I17977">
        <v>2.1589467560711301E-2</v>
      </c>
    </row>
    <row r="17978" spans="1:9" x14ac:dyDescent="0.25">
      <c r="A17978">
        <v>561</v>
      </c>
      <c r="B17978" t="s">
        <v>4427</v>
      </c>
      <c r="C17978" t="s">
        <v>10</v>
      </c>
      <c r="D17978" t="s">
        <v>123</v>
      </c>
      <c r="E17978">
        <f t="shared" si="853"/>
        <v>1.4705882352941176E-2</v>
      </c>
      <c r="F17978">
        <v>74</v>
      </c>
      <c r="G17978">
        <f>LOG(382/(74+1))</f>
        <v>0.7070020995200087</v>
      </c>
      <c r="H17978">
        <f>0.0147058823529411*1.62793249507026</f>
        <v>2.3940183751033111E-2</v>
      </c>
      <c r="I17978">
        <v>2.3940183751033309E-2</v>
      </c>
    </row>
    <row r="17979" spans="1:9" x14ac:dyDescent="0.25">
      <c r="A17979">
        <v>561</v>
      </c>
      <c r="B17979" t="s">
        <v>4427</v>
      </c>
      <c r="C17979" t="s">
        <v>10</v>
      </c>
      <c r="D17979" t="s">
        <v>133</v>
      </c>
      <c r="E17979">
        <f>3/68</f>
        <v>4.4117647058823532E-2</v>
      </c>
      <c r="F17979">
        <v>142</v>
      </c>
      <c r="G17979">
        <f>LOG(382/(142+1))</f>
        <v>0.42672732544664693</v>
      </c>
      <c r="H17979">
        <f>0.0441176470588235*0.982575978346667</f>
        <v>4.3348940221176455E-2</v>
      </c>
      <c r="I17979">
        <v>4.3348940221176517E-2</v>
      </c>
    </row>
    <row r="17980" spans="1:9" x14ac:dyDescent="0.25">
      <c r="A17980">
        <v>561</v>
      </c>
      <c r="B17980" t="s">
        <v>4427</v>
      </c>
      <c r="C17980" t="s">
        <v>10</v>
      </c>
      <c r="D17980" t="s">
        <v>76</v>
      </c>
      <c r="E17980">
        <f>1/68</f>
        <v>1.4705882352941176E-2</v>
      </c>
      <c r="F17980">
        <v>140</v>
      </c>
      <c r="G17980">
        <f>LOG(382/(140+1))</f>
        <v>0.43284425025632883</v>
      </c>
      <c r="H17980">
        <f>0.0147058823529411*0.996660718228407</f>
        <v>1.4656775268064732E-2</v>
      </c>
      <c r="I17980">
        <v>1.465677526806481E-2</v>
      </c>
    </row>
    <row r="17981" spans="1:9" x14ac:dyDescent="0.25">
      <c r="A17981">
        <v>562</v>
      </c>
      <c r="B17981" t="s">
        <v>4432</v>
      </c>
      <c r="C17981" t="s">
        <v>10</v>
      </c>
      <c r="D17981" t="s">
        <v>3144</v>
      </c>
      <c r="E17981">
        <f t="shared" ref="E17981:E17995" si="854">1/15</f>
        <v>6.6666666666666666E-2</v>
      </c>
      <c r="F17981">
        <v>3</v>
      </c>
      <c r="G17981">
        <f>LOG(382/(3+1))</f>
        <v>1.9800033715837464</v>
      </c>
      <c r="H17981">
        <f>0.0666666666666666*4.55912624748668</f>
        <v>0.30394174983244504</v>
      </c>
      <c r="I17981">
        <v>0.30394174983244571</v>
      </c>
    </row>
    <row r="17982" spans="1:9" x14ac:dyDescent="0.25">
      <c r="A17982">
        <v>562</v>
      </c>
      <c r="B17982" t="s">
        <v>4432</v>
      </c>
      <c r="C17982" t="s">
        <v>10</v>
      </c>
      <c r="D17982" t="s">
        <v>4433</v>
      </c>
      <c r="E17982">
        <f t="shared" si="854"/>
        <v>6.6666666666666666E-2</v>
      </c>
      <c r="F17982">
        <v>2</v>
      </c>
      <c r="G17982">
        <f>LOG(382/(2+1))</f>
        <v>2.1049421081920463</v>
      </c>
      <c r="H17982">
        <f>0.0666666666666666*4.84680831993846</f>
        <v>0.32312055466256367</v>
      </c>
      <c r="I17982">
        <v>0.32312055466256429</v>
      </c>
    </row>
    <row r="17983" spans="1:9" x14ac:dyDescent="0.25">
      <c r="A17983">
        <v>562</v>
      </c>
      <c r="B17983" t="s">
        <v>4432</v>
      </c>
      <c r="C17983" t="s">
        <v>10</v>
      </c>
      <c r="D17983" t="s">
        <v>195</v>
      </c>
      <c r="E17983">
        <f t="shared" si="854"/>
        <v>6.6666666666666666E-2</v>
      </c>
      <c r="F17983">
        <v>55</v>
      </c>
      <c r="G17983">
        <f>LOG(382/(55+1))</f>
        <v>0.83387533590550833</v>
      </c>
      <c r="H17983">
        <f>0.0666666666666666*1.92006891787142</f>
        <v>0.12800459452476121</v>
      </c>
      <c r="I17983">
        <v>0.12800459452476171</v>
      </c>
    </row>
    <row r="17984" spans="1:9" x14ac:dyDescent="0.25">
      <c r="A17984">
        <v>562</v>
      </c>
      <c r="B17984" t="s">
        <v>4432</v>
      </c>
      <c r="C17984" t="s">
        <v>10</v>
      </c>
      <c r="D17984" t="s">
        <v>4434</v>
      </c>
      <c r="E17984">
        <f t="shared" si="854"/>
        <v>6.6666666666666666E-2</v>
      </c>
      <c r="F17984">
        <v>1</v>
      </c>
      <c r="G17984">
        <f>LOG(382/(1+1))</f>
        <v>2.2810333672477277</v>
      </c>
      <c r="H17984">
        <f>0.0666666666666666*5.25227342804663</f>
        <v>0.35015156186977497</v>
      </c>
      <c r="I17984">
        <v>0.35015156186977531</v>
      </c>
    </row>
    <row r="17985" spans="1:9" x14ac:dyDescent="0.25">
      <c r="A17985">
        <v>562</v>
      </c>
      <c r="B17985" t="s">
        <v>4432</v>
      </c>
      <c r="C17985" t="s">
        <v>10</v>
      </c>
      <c r="D17985" t="s">
        <v>570</v>
      </c>
      <c r="E17985">
        <f t="shared" si="854"/>
        <v>6.6666666666666666E-2</v>
      </c>
      <c r="F17985">
        <v>27</v>
      </c>
      <c r="G17985">
        <f>LOG(382/(27+1))</f>
        <v>1.1349053315694895</v>
      </c>
      <c r="H17985">
        <f>0.0666666666666666*2.61321609843137</f>
        <v>0.17421440656209117</v>
      </c>
      <c r="I17985">
        <v>0.17421440656209139</v>
      </c>
    </row>
    <row r="17986" spans="1:9" x14ac:dyDescent="0.25">
      <c r="A17986">
        <v>562</v>
      </c>
      <c r="B17986" t="s">
        <v>4432</v>
      </c>
      <c r="C17986" t="s">
        <v>10</v>
      </c>
      <c r="D17986" t="s">
        <v>11</v>
      </c>
      <c r="E17986">
        <f t="shared" si="854"/>
        <v>6.6666666666666666E-2</v>
      </c>
      <c r="F17986">
        <v>83</v>
      </c>
      <c r="G17986">
        <f>LOG(382/(83+1))</f>
        <v>0.65778407684982709</v>
      </c>
      <c r="H17986">
        <f>0.0666666666666666*1.51460380976326</f>
        <v>0.10097358731755056</v>
      </c>
      <c r="I17986">
        <v>0.10097358731755079</v>
      </c>
    </row>
    <row r="17987" spans="1:9" x14ac:dyDescent="0.25">
      <c r="A17987">
        <v>562</v>
      </c>
      <c r="B17987" t="s">
        <v>4432</v>
      </c>
      <c r="C17987" t="s">
        <v>10</v>
      </c>
      <c r="D17987" t="s">
        <v>60</v>
      </c>
      <c r="E17987">
        <f t="shared" si="854"/>
        <v>6.6666666666666666E-2</v>
      </c>
      <c r="F17987">
        <v>24</v>
      </c>
      <c r="G17987">
        <f>LOG(382/(24+1))</f>
        <v>1.1841233542396712</v>
      </c>
      <c r="H17987">
        <f>0.0666666666666666*2.72654478373837</f>
        <v>0.18176965224922445</v>
      </c>
      <c r="I17987">
        <v>0.18176965224922501</v>
      </c>
    </row>
    <row r="17988" spans="1:9" x14ac:dyDescent="0.25">
      <c r="A17988">
        <v>562</v>
      </c>
      <c r="B17988" t="s">
        <v>4432</v>
      </c>
      <c r="C17988" t="s">
        <v>10</v>
      </c>
      <c r="D17988" t="s">
        <v>3214</v>
      </c>
      <c r="E17988">
        <f t="shared" si="854"/>
        <v>6.6666666666666666E-2</v>
      </c>
      <c r="F17988">
        <v>3</v>
      </c>
      <c r="G17988">
        <f>LOG(382/(3+1))</f>
        <v>1.9800033715837464</v>
      </c>
      <c r="H17988">
        <f>0.0666666666666666*4.55912624748668</f>
        <v>0.30394174983244504</v>
      </c>
      <c r="I17988">
        <v>0.30394174983244571</v>
      </c>
    </row>
    <row r="17989" spans="1:9" x14ac:dyDescent="0.25">
      <c r="A17989">
        <v>562</v>
      </c>
      <c r="B17989" t="s">
        <v>4432</v>
      </c>
      <c r="C17989" t="s">
        <v>10</v>
      </c>
      <c r="D17989" t="s">
        <v>485</v>
      </c>
      <c r="E17989">
        <f t="shared" si="854"/>
        <v>6.6666666666666666E-2</v>
      </c>
      <c r="F17989">
        <v>74</v>
      </c>
      <c r="G17989">
        <f>LOG(382/(74+1))</f>
        <v>0.7070020995200087</v>
      </c>
      <c r="H17989">
        <f>0.0666666666666666*1.62793249507026</f>
        <v>0.10852883300468388</v>
      </c>
      <c r="I17989">
        <v>0.1085288330046843</v>
      </c>
    </row>
    <row r="17990" spans="1:9" x14ac:dyDescent="0.25">
      <c r="A17990">
        <v>562</v>
      </c>
      <c r="B17990" t="s">
        <v>4432</v>
      </c>
      <c r="C17990" t="s">
        <v>10</v>
      </c>
      <c r="D17990" t="s">
        <v>4435</v>
      </c>
      <c r="E17990">
        <f t="shared" si="854"/>
        <v>6.6666666666666666E-2</v>
      </c>
      <c r="F17990">
        <v>1</v>
      </c>
      <c r="G17990">
        <f>LOG(382/(1+1))</f>
        <v>2.2810333672477277</v>
      </c>
      <c r="H17990">
        <f>0.0666666666666666*5.25227342804663</f>
        <v>0.35015156186977497</v>
      </c>
      <c r="I17990">
        <v>0.35015156186977531</v>
      </c>
    </row>
    <row r="17991" spans="1:9" x14ac:dyDescent="0.25">
      <c r="A17991">
        <v>562</v>
      </c>
      <c r="B17991" t="s">
        <v>4432</v>
      </c>
      <c r="C17991" t="s">
        <v>10</v>
      </c>
      <c r="D17991" t="s">
        <v>2170</v>
      </c>
      <c r="E17991">
        <f t="shared" si="854"/>
        <v>6.6666666666666666E-2</v>
      </c>
      <c r="F17991">
        <v>5</v>
      </c>
      <c r="G17991">
        <f>LOG(382/(5+1))</f>
        <v>1.803912112528065</v>
      </c>
      <c r="H17991">
        <f>0.0666666666666666*4.15366113937852</f>
        <v>0.27691074262523435</v>
      </c>
      <c r="I17991">
        <v>0.27691074262523457</v>
      </c>
    </row>
    <row r="17992" spans="1:9" x14ac:dyDescent="0.25">
      <c r="A17992">
        <v>562</v>
      </c>
      <c r="B17992" t="s">
        <v>4432</v>
      </c>
      <c r="C17992" t="s">
        <v>10</v>
      </c>
      <c r="D17992" t="s">
        <v>764</v>
      </c>
      <c r="E17992">
        <f t="shared" si="854"/>
        <v>6.6666666666666666E-2</v>
      </c>
      <c r="F17992">
        <v>57</v>
      </c>
      <c r="G17992">
        <f>LOG(382/(57+1))</f>
        <v>0.81863536934877146</v>
      </c>
      <c r="H17992">
        <f>0.0666666666666666*1.88497759806015</f>
        <v>0.12566517320400986</v>
      </c>
      <c r="I17992">
        <v>0.12566517320401041</v>
      </c>
    </row>
    <row r="17993" spans="1:9" x14ac:dyDescent="0.25">
      <c r="A17993">
        <v>562</v>
      </c>
      <c r="B17993" t="s">
        <v>4432</v>
      </c>
      <c r="C17993" t="s">
        <v>10</v>
      </c>
      <c r="D17993" t="s">
        <v>2505</v>
      </c>
      <c r="E17993">
        <f t="shared" si="854"/>
        <v>6.6666666666666666E-2</v>
      </c>
      <c r="F17993">
        <v>9</v>
      </c>
      <c r="G17993">
        <f>LOG(382/(9+1))</f>
        <v>1.5820633629117087</v>
      </c>
      <c r="H17993">
        <f>0.0666666666666666*3.64283551561252</f>
        <v>0.24285570104083443</v>
      </c>
      <c r="I17993">
        <v>0.24285570104083529</v>
      </c>
    </row>
    <row r="17994" spans="1:9" x14ac:dyDescent="0.25">
      <c r="A17994">
        <v>562</v>
      </c>
      <c r="B17994" t="s">
        <v>4432</v>
      </c>
      <c r="C17994" t="s">
        <v>10</v>
      </c>
      <c r="D17994" t="s">
        <v>765</v>
      </c>
      <c r="E17994">
        <f t="shared" si="854"/>
        <v>6.6666666666666666E-2</v>
      </c>
      <c r="F17994">
        <v>44</v>
      </c>
      <c r="G17994">
        <f>LOG(382/(44+1))</f>
        <v>0.92885084913636506</v>
      </c>
      <c r="H17994">
        <f>0.0666666666666666*2.13875811883625</f>
        <v>0.14258387458908317</v>
      </c>
      <c r="I17994">
        <v>0.1425838745890837</v>
      </c>
    </row>
    <row r="17995" spans="1:9" x14ac:dyDescent="0.25">
      <c r="A17995">
        <v>562</v>
      </c>
      <c r="B17995" t="s">
        <v>4432</v>
      </c>
      <c r="C17995" t="s">
        <v>10</v>
      </c>
      <c r="D17995" t="s">
        <v>4436</v>
      </c>
      <c r="E17995">
        <f t="shared" si="854"/>
        <v>6.6666666666666666E-2</v>
      </c>
      <c r="F17995">
        <v>1</v>
      </c>
      <c r="G17995">
        <f>LOG(382/(1+1))</f>
        <v>2.2810333672477277</v>
      </c>
      <c r="H17995">
        <f>0.0666666666666666*5.25227342804663</f>
        <v>0.35015156186977497</v>
      </c>
      <c r="I17995">
        <v>0.35015156186977531</v>
      </c>
    </row>
    <row r="17996" spans="1:9" x14ac:dyDescent="0.25">
      <c r="A17996">
        <v>563</v>
      </c>
      <c r="B17996" t="s">
        <v>4437</v>
      </c>
      <c r="C17996" t="s">
        <v>10</v>
      </c>
      <c r="D17996" t="s">
        <v>315</v>
      </c>
      <c r="E17996">
        <f>4/82</f>
        <v>4.878048780487805E-2</v>
      </c>
      <c r="F17996">
        <v>55</v>
      </c>
      <c r="G17996">
        <f>LOG(382/(55+1))</f>
        <v>0.83387533590550833</v>
      </c>
      <c r="H17996">
        <f>0.048780487804878*1.92006891787142</f>
        <v>9.3661898432752105E-2</v>
      </c>
      <c r="I17996">
        <v>9.366189843275248E-2</v>
      </c>
    </row>
    <row r="17997" spans="1:9" x14ac:dyDescent="0.25">
      <c r="A17997">
        <v>563</v>
      </c>
      <c r="B17997" t="s">
        <v>4437</v>
      </c>
      <c r="C17997" t="s">
        <v>10</v>
      </c>
      <c r="D17997" t="s">
        <v>1283</v>
      </c>
      <c r="E17997">
        <f>2/82</f>
        <v>2.4390243902439025E-2</v>
      </c>
      <c r="F17997">
        <v>8</v>
      </c>
      <c r="G17997">
        <f>LOG(382/(8+1))</f>
        <v>1.6278208534723839</v>
      </c>
      <c r="H17997">
        <f>0.024390243902439*3.74819603127035</f>
        <v>9.1419415396837719E-2</v>
      </c>
      <c r="I17997">
        <v>9.1419415396837941E-2</v>
      </c>
    </row>
    <row r="17998" spans="1:9" x14ac:dyDescent="0.25">
      <c r="A17998">
        <v>563</v>
      </c>
      <c r="B17998" t="s">
        <v>4437</v>
      </c>
      <c r="C17998" t="s">
        <v>10</v>
      </c>
      <c r="D17998" t="s">
        <v>169</v>
      </c>
      <c r="E17998">
        <f>2/82</f>
        <v>2.4390243902439025E-2</v>
      </c>
      <c r="F17998">
        <v>8</v>
      </c>
      <c r="G17998">
        <f>LOG(382/(8+1))</f>
        <v>1.6278208534723839</v>
      </c>
      <c r="H17998">
        <f>0.024390243902439*3.74819603127035</f>
        <v>9.1419415396837719E-2</v>
      </c>
      <c r="I17998">
        <v>9.1419415396837941E-2</v>
      </c>
    </row>
    <row r="17999" spans="1:9" x14ac:dyDescent="0.25">
      <c r="A17999">
        <v>563</v>
      </c>
      <c r="B17999" t="s">
        <v>4437</v>
      </c>
      <c r="C17999" t="s">
        <v>10</v>
      </c>
      <c r="D17999" t="s">
        <v>42</v>
      </c>
      <c r="E17999">
        <f t="shared" ref="E17999:E18009" si="855">1/82</f>
        <v>1.2195121951219513E-2</v>
      </c>
      <c r="F17999">
        <v>251</v>
      </c>
      <c r="G17999">
        <f>LOG(382/(251+1))</f>
        <v>0.18066282213016463</v>
      </c>
      <c r="H17999">
        <f>0.0121951219512195*0.415991521095151</f>
        <v>5.0730673304286659E-3</v>
      </c>
      <c r="I17999">
        <v>5.0730673304286806E-3</v>
      </c>
    </row>
    <row r="18000" spans="1:9" x14ac:dyDescent="0.25">
      <c r="A18000">
        <v>563</v>
      </c>
      <c r="B18000" t="s">
        <v>4437</v>
      </c>
      <c r="C18000" t="s">
        <v>10</v>
      </c>
      <c r="D18000" t="s">
        <v>17</v>
      </c>
      <c r="E18000">
        <f t="shared" si="855"/>
        <v>1.2195121951219513E-2</v>
      </c>
      <c r="F18000">
        <v>169</v>
      </c>
      <c r="G18000">
        <f>LOG(382/(169+1))</f>
        <v>0.3516144415334348</v>
      </c>
      <c r="H18000">
        <f>0.0121951219512195*0.809622171556313</f>
        <v>9.8734411165403921E-3</v>
      </c>
      <c r="I18000">
        <v>9.8734411165404077E-3</v>
      </c>
    </row>
    <row r="18001" spans="1:9" x14ac:dyDescent="0.25">
      <c r="A18001">
        <v>563</v>
      </c>
      <c r="B18001" t="s">
        <v>4437</v>
      </c>
      <c r="C18001" t="s">
        <v>10</v>
      </c>
      <c r="D18001" t="s">
        <v>111</v>
      </c>
      <c r="E18001">
        <f t="shared" si="855"/>
        <v>1.2195121951219513E-2</v>
      </c>
      <c r="F18001">
        <v>33</v>
      </c>
      <c r="G18001">
        <f>LOG(382/(33+1))</f>
        <v>1.0505844458694535</v>
      </c>
      <c r="H18001">
        <f>0.0121951219512195*2.41906008399041</f>
        <v>2.9500732731590339E-2</v>
      </c>
      <c r="I18001">
        <v>2.9500732731590412E-2</v>
      </c>
    </row>
    <row r="18002" spans="1:9" x14ac:dyDescent="0.25">
      <c r="A18002">
        <v>563</v>
      </c>
      <c r="B18002" t="s">
        <v>4437</v>
      </c>
      <c r="C18002" t="s">
        <v>10</v>
      </c>
      <c r="D18002" t="s">
        <v>2150</v>
      </c>
      <c r="E18002">
        <f t="shared" si="855"/>
        <v>1.2195121951219513E-2</v>
      </c>
      <c r="F18002">
        <v>5</v>
      </c>
      <c r="G18002">
        <f>LOG(382/(5+1))</f>
        <v>1.803912112528065</v>
      </c>
      <c r="H18002">
        <f>0.0121951219512195*4.15366113937852</f>
        <v>5.0654404138762391E-2</v>
      </c>
      <c r="I18002">
        <v>5.0654404138762439E-2</v>
      </c>
    </row>
    <row r="18003" spans="1:9" x14ac:dyDescent="0.25">
      <c r="A18003">
        <v>563</v>
      </c>
      <c r="B18003" t="s">
        <v>4437</v>
      </c>
      <c r="C18003" t="s">
        <v>10</v>
      </c>
      <c r="D18003" t="s">
        <v>19</v>
      </c>
      <c r="E18003">
        <f t="shared" si="855"/>
        <v>1.2195121951219513E-2</v>
      </c>
      <c r="F18003">
        <v>220</v>
      </c>
      <c r="G18003">
        <f>LOG(382/(220+1))</f>
        <v>0.23767108922659805</v>
      </c>
      <c r="H18003">
        <f>0.0121951219512195*0.547257907088822</f>
        <v>6.6738769157173358E-3</v>
      </c>
      <c r="I18003">
        <v>6.6738769157173462E-3</v>
      </c>
    </row>
    <row r="18004" spans="1:9" x14ac:dyDescent="0.25">
      <c r="A18004">
        <v>563</v>
      </c>
      <c r="B18004" t="s">
        <v>4437</v>
      </c>
      <c r="C18004" t="s">
        <v>10</v>
      </c>
      <c r="D18004" t="s">
        <v>195</v>
      </c>
      <c r="E18004">
        <f t="shared" si="855"/>
        <v>1.2195121951219513E-2</v>
      </c>
      <c r="F18004">
        <v>55</v>
      </c>
      <c r="G18004">
        <f>LOG(382/(55+1))</f>
        <v>0.83387533590550833</v>
      </c>
      <c r="H18004">
        <f>0.0121951219512195*1.92006891787142</f>
        <v>2.3415474608188026E-2</v>
      </c>
      <c r="I18004">
        <v>2.341547460818812E-2</v>
      </c>
    </row>
    <row r="18005" spans="1:9" x14ac:dyDescent="0.25">
      <c r="A18005">
        <v>563</v>
      </c>
      <c r="B18005" t="s">
        <v>4437</v>
      </c>
      <c r="C18005" t="s">
        <v>10</v>
      </c>
      <c r="D18005" t="s">
        <v>22</v>
      </c>
      <c r="E18005">
        <f t="shared" si="855"/>
        <v>1.2195121951219513E-2</v>
      </c>
      <c r="F18005">
        <v>259</v>
      </c>
      <c r="G18005">
        <f>LOG(382/(259+1))</f>
        <v>0.16709001494089079</v>
      </c>
      <c r="H18005">
        <f>0.0121951219512195*0.384738977591047</f>
        <v>4.6919387511103255E-3</v>
      </c>
      <c r="I18005">
        <v>4.6919387511103359E-3</v>
      </c>
    </row>
    <row r="18006" spans="1:9" x14ac:dyDescent="0.25">
      <c r="A18006">
        <v>563</v>
      </c>
      <c r="B18006" t="s">
        <v>4437</v>
      </c>
      <c r="C18006" t="s">
        <v>10</v>
      </c>
      <c r="D18006" t="s">
        <v>23</v>
      </c>
      <c r="E18006">
        <f t="shared" si="855"/>
        <v>1.2195121951219513E-2</v>
      </c>
      <c r="F18006">
        <v>275</v>
      </c>
      <c r="G18006">
        <f>LOG(382/(275+1))</f>
        <v>0.14115428084649101</v>
      </c>
      <c r="H18006">
        <f>0.0121951219512195*0.325019742889425</f>
        <v>3.9636554010905444E-3</v>
      </c>
      <c r="I18006">
        <v>3.9636554010905496E-3</v>
      </c>
    </row>
    <row r="18007" spans="1:9" x14ac:dyDescent="0.25">
      <c r="A18007">
        <v>563</v>
      </c>
      <c r="B18007" t="s">
        <v>4437</v>
      </c>
      <c r="C18007" t="s">
        <v>10</v>
      </c>
      <c r="D18007" t="s">
        <v>204</v>
      </c>
      <c r="E18007">
        <f t="shared" si="855"/>
        <v>1.2195121951219513E-2</v>
      </c>
      <c r="F18007">
        <v>166</v>
      </c>
      <c r="G18007">
        <f>LOG(382/(166+1))</f>
        <v>0.35934689176412549</v>
      </c>
      <c r="H18007">
        <f>0.0121951219512195*0.82742679618982</f>
        <v>1.0090570685241697E-2</v>
      </c>
      <c r="I18007">
        <v>1.0090570685241711E-2</v>
      </c>
    </row>
    <row r="18008" spans="1:9" x14ac:dyDescent="0.25">
      <c r="A18008">
        <v>563</v>
      </c>
      <c r="B18008" t="s">
        <v>4437</v>
      </c>
      <c r="C18008" t="s">
        <v>10</v>
      </c>
      <c r="D18008" t="s">
        <v>76</v>
      </c>
      <c r="E18008">
        <f t="shared" si="855"/>
        <v>1.2195121951219513E-2</v>
      </c>
      <c r="F18008">
        <v>140</v>
      </c>
      <c r="G18008">
        <f>LOG(382/(140+1))</f>
        <v>0.43284425025632883</v>
      </c>
      <c r="H18008">
        <f>0.0121951219512195*0.996660718228407</f>
        <v>1.2154399002785438E-2</v>
      </c>
      <c r="I18008">
        <v>1.215439900278545E-2</v>
      </c>
    </row>
    <row r="18009" spans="1:9" x14ac:dyDescent="0.25">
      <c r="A18009">
        <v>563</v>
      </c>
      <c r="B18009" t="s">
        <v>4437</v>
      </c>
      <c r="C18009" t="s">
        <v>10</v>
      </c>
      <c r="D18009" t="s">
        <v>77</v>
      </c>
      <c r="E18009">
        <f t="shared" si="855"/>
        <v>1.2195121951219513E-2</v>
      </c>
      <c r="F18009">
        <v>148</v>
      </c>
      <c r="G18009">
        <f>LOG(382/(148+1))</f>
        <v>0.40887709449943471</v>
      </c>
      <c r="H18009">
        <f>0.0121951219512195*0.941474302661116</f>
        <v>1.1481393934891648E-2</v>
      </c>
      <c r="I18009">
        <v>1.148139393489166E-2</v>
      </c>
    </row>
    <row r="18010" spans="1:9" x14ac:dyDescent="0.25">
      <c r="A18010">
        <v>563</v>
      </c>
      <c r="B18010" t="s">
        <v>4437</v>
      </c>
      <c r="C18010" t="s">
        <v>10</v>
      </c>
      <c r="D18010" t="s">
        <v>40</v>
      </c>
      <c r="E18010">
        <f t="shared" ref="E18010:E18015" si="856">2/82</f>
        <v>2.4390243902439025E-2</v>
      </c>
      <c r="F18010">
        <v>159</v>
      </c>
      <c r="G18010">
        <f>LOG(382/(159+1))</f>
        <v>0.377943380255784</v>
      </c>
      <c r="H18010">
        <f>0.024390243902439*0.870246793372748</f>
        <v>2.122553154567676E-2</v>
      </c>
      <c r="I18010">
        <v>2.1225531545676791E-2</v>
      </c>
    </row>
    <row r="18011" spans="1:9" x14ac:dyDescent="0.25">
      <c r="A18011">
        <v>563</v>
      </c>
      <c r="B18011" t="s">
        <v>4437</v>
      </c>
      <c r="C18011" t="s">
        <v>10</v>
      </c>
      <c r="D18011" t="s">
        <v>41</v>
      </c>
      <c r="E18011">
        <f t="shared" si="856"/>
        <v>2.4390243902439025E-2</v>
      </c>
      <c r="F18011">
        <v>195</v>
      </c>
      <c r="G18011">
        <f>LOG(382/(195+1))</f>
        <v>0.28980729155523272</v>
      </c>
      <c r="H18011">
        <f>0.024390243902439*0.667305949376058</f>
        <v>1.6275754862830668E-2</v>
      </c>
      <c r="I18011">
        <v>1.6275754862830689E-2</v>
      </c>
    </row>
    <row r="18012" spans="1:9" x14ac:dyDescent="0.25">
      <c r="A18012">
        <v>563</v>
      </c>
      <c r="B18012" t="s">
        <v>4437</v>
      </c>
      <c r="C18012" t="s">
        <v>10</v>
      </c>
      <c r="D18012" t="s">
        <v>68</v>
      </c>
      <c r="E18012">
        <f t="shared" si="856"/>
        <v>2.4390243902439025E-2</v>
      </c>
      <c r="F18012">
        <v>43</v>
      </c>
      <c r="G18012">
        <f>LOG(382/(43+1))</f>
        <v>0.93861068642552126</v>
      </c>
      <c r="H18012">
        <f>0.024390243902439*2.16123097468831</f>
        <v>5.2712950602153849E-2</v>
      </c>
      <c r="I18012">
        <v>5.2712950602153988E-2</v>
      </c>
    </row>
    <row r="18013" spans="1:9" x14ac:dyDescent="0.25">
      <c r="A18013">
        <v>563</v>
      </c>
      <c r="B18013" t="s">
        <v>4437</v>
      </c>
      <c r="C18013" t="s">
        <v>10</v>
      </c>
      <c r="D18013" t="s">
        <v>44</v>
      </c>
      <c r="E18013">
        <f t="shared" si="856"/>
        <v>2.4390243902439025E-2</v>
      </c>
      <c r="F18013">
        <v>151</v>
      </c>
      <c r="G18013">
        <f>LOG(382/(151+1))</f>
        <v>0.40021977496693617</v>
      </c>
      <c r="H18013">
        <f>0.024390243902439*0.921540087760298</f>
        <v>2.2476587506348712E-2</v>
      </c>
      <c r="I18013">
        <v>2.247658750634875E-2</v>
      </c>
    </row>
    <row r="18014" spans="1:9" x14ac:dyDescent="0.25">
      <c r="A18014">
        <v>563</v>
      </c>
      <c r="B18014" t="s">
        <v>4437</v>
      </c>
      <c r="C18014" t="s">
        <v>10</v>
      </c>
      <c r="D18014" t="s">
        <v>322</v>
      </c>
      <c r="E18014">
        <f t="shared" si="856"/>
        <v>2.4390243902439025E-2</v>
      </c>
      <c r="F18014">
        <v>128</v>
      </c>
      <c r="G18014">
        <f>LOG(382/(128+1))</f>
        <v>0.47147365261245977</v>
      </c>
      <c r="H18014">
        <f>0.024390243902439*1.0856082042449</f>
        <v>2.6478248884021924E-2</v>
      </c>
      <c r="I18014">
        <v>2.6478248884022029E-2</v>
      </c>
    </row>
    <row r="18015" spans="1:9" x14ac:dyDescent="0.25">
      <c r="A18015">
        <v>563</v>
      </c>
      <c r="B18015" t="s">
        <v>4437</v>
      </c>
      <c r="C18015" t="s">
        <v>10</v>
      </c>
      <c r="D18015" t="s">
        <v>216</v>
      </c>
      <c r="E18015">
        <f t="shared" si="856"/>
        <v>2.4390243902439025E-2</v>
      </c>
      <c r="F18015">
        <v>63</v>
      </c>
      <c r="G18015">
        <f>LOG(382/(63+1))</f>
        <v>0.7758833889278216</v>
      </c>
      <c r="H18015">
        <f>0.024390243902439*1.7865375252469</f>
        <v>4.3574085981631663E-2</v>
      </c>
      <c r="I18015">
        <v>4.3574085981631788E-2</v>
      </c>
    </row>
    <row r="18016" spans="1:9" x14ac:dyDescent="0.25">
      <c r="A18016">
        <v>563</v>
      </c>
      <c r="B18016" t="s">
        <v>4437</v>
      </c>
      <c r="C18016" t="s">
        <v>10</v>
      </c>
      <c r="D18016" t="s">
        <v>119</v>
      </c>
      <c r="E18016">
        <f>1/82</f>
        <v>1.2195121951219513E-2</v>
      </c>
      <c r="F18016">
        <v>79</v>
      </c>
      <c r="G18016">
        <f>LOG(382/(79+1))</f>
        <v>0.67897337591976514</v>
      </c>
      <c r="H18016">
        <f>0.0121951219512195*1.56339397393269</f>
        <v>1.9065780169910836E-2</v>
      </c>
      <c r="I18016">
        <v>1.9065780169910899E-2</v>
      </c>
    </row>
    <row r="18017" spans="1:9" x14ac:dyDescent="0.25">
      <c r="A18017">
        <v>563</v>
      </c>
      <c r="B18017" t="s">
        <v>4437</v>
      </c>
      <c r="C18017" t="s">
        <v>10</v>
      </c>
      <c r="D18017" t="s">
        <v>593</v>
      </c>
      <c r="E18017">
        <f>2/82</f>
        <v>2.4390243902439025E-2</v>
      </c>
      <c r="F18017">
        <v>30</v>
      </c>
      <c r="G18017">
        <f>LOG(382/(30+1))</f>
        <v>1.090701669077436</v>
      </c>
      <c r="H18017">
        <f>0.024390243902439*2.51143340412142</f>
        <v>6.1254473271254092E-2</v>
      </c>
      <c r="I18017">
        <v>6.125447327125437E-2</v>
      </c>
    </row>
    <row r="18018" spans="1:9" x14ac:dyDescent="0.25">
      <c r="A18018">
        <v>563</v>
      </c>
      <c r="B18018" t="s">
        <v>4437</v>
      </c>
      <c r="C18018" t="s">
        <v>10</v>
      </c>
      <c r="D18018" t="s">
        <v>594</v>
      </c>
      <c r="E18018">
        <f>2/82</f>
        <v>2.4390243902439025E-2</v>
      </c>
      <c r="F18018">
        <v>36</v>
      </c>
      <c r="G18018">
        <f>LOG(382/(36+1))</f>
        <v>1.0138616388447137</v>
      </c>
      <c r="H18018">
        <f>0.024390243902439*2.33450269596235</f>
        <v>5.6939090145423116E-2</v>
      </c>
      <c r="I18018">
        <v>5.6939090145423199E-2</v>
      </c>
    </row>
    <row r="18019" spans="1:9" x14ac:dyDescent="0.25">
      <c r="A18019">
        <v>563</v>
      </c>
      <c r="B18019" t="s">
        <v>4437</v>
      </c>
      <c r="C18019" t="s">
        <v>10</v>
      </c>
      <c r="D18019" t="s">
        <v>1854</v>
      </c>
      <c r="E18019">
        <f>1/82</f>
        <v>1.2195121951219513E-2</v>
      </c>
      <c r="F18019">
        <v>9</v>
      </c>
      <c r="G18019">
        <f>LOG(382/(9+1))</f>
        <v>1.5820633629117087</v>
      </c>
      <c r="H18019">
        <f>0.0121951219512195*3.64283551561252</f>
        <v>4.4424823361128248E-2</v>
      </c>
      <c r="I18019">
        <v>4.4424823361128407E-2</v>
      </c>
    </row>
    <row r="18020" spans="1:9" x14ac:dyDescent="0.25">
      <c r="A18020">
        <v>563</v>
      </c>
      <c r="B18020" t="s">
        <v>4437</v>
      </c>
      <c r="C18020" t="s">
        <v>10</v>
      </c>
      <c r="D18020" t="s">
        <v>81</v>
      </c>
      <c r="E18020">
        <f>3/82</f>
        <v>3.6585365853658534E-2</v>
      </c>
      <c r="F18020">
        <v>114</v>
      </c>
      <c r="G18020">
        <f>LOG(382/(114+1))</f>
        <v>0.52136552255809698</v>
      </c>
      <c r="H18020">
        <f>0.0365853658536585*1.20048848024332</f>
        <v>4.3920310252804344E-2</v>
      </c>
      <c r="I18020">
        <v>4.3920310252804573E-2</v>
      </c>
    </row>
    <row r="18021" spans="1:9" x14ac:dyDescent="0.25">
      <c r="A18021">
        <v>563</v>
      </c>
      <c r="B18021" t="s">
        <v>4437</v>
      </c>
      <c r="C18021" t="s">
        <v>10</v>
      </c>
      <c r="D18021" t="s">
        <v>363</v>
      </c>
      <c r="E18021">
        <f t="shared" ref="E18021:E18028" si="857">1/82</f>
        <v>1.2195121951219513E-2</v>
      </c>
      <c r="F18021">
        <v>36</v>
      </c>
      <c r="G18021">
        <f>LOG(382/(36+1))</f>
        <v>1.0138616388447137</v>
      </c>
      <c r="H18021">
        <f>0.0121951219512195*2.33450269596235</f>
        <v>2.8469545072711558E-2</v>
      </c>
      <c r="I18021">
        <v>2.84695450727116E-2</v>
      </c>
    </row>
    <row r="18022" spans="1:9" x14ac:dyDescent="0.25">
      <c r="A18022">
        <v>563</v>
      </c>
      <c r="B18022" t="s">
        <v>4437</v>
      </c>
      <c r="C18022" t="s">
        <v>10</v>
      </c>
      <c r="D18022" t="s">
        <v>1328</v>
      </c>
      <c r="E18022">
        <f t="shared" si="857"/>
        <v>1.2195121951219513E-2</v>
      </c>
      <c r="F18022">
        <v>22</v>
      </c>
      <c r="G18022">
        <f>LOG(382/(22+1))</f>
        <v>1.2203355268941158</v>
      </c>
      <c r="H18022">
        <f>0.0121951219512195*2.80992639267742</f>
        <v>3.4267395032651429E-2</v>
      </c>
      <c r="I18022">
        <v>3.4267395032651533E-2</v>
      </c>
    </row>
    <row r="18023" spans="1:9" x14ac:dyDescent="0.25">
      <c r="A18023">
        <v>563</v>
      </c>
      <c r="B18023" t="s">
        <v>4437</v>
      </c>
      <c r="C18023" t="s">
        <v>10</v>
      </c>
      <c r="D18023" t="s">
        <v>469</v>
      </c>
      <c r="E18023">
        <f t="shared" si="857"/>
        <v>1.2195121951219513E-2</v>
      </c>
      <c r="F18023">
        <v>13</v>
      </c>
      <c r="G18023">
        <f>LOG(382/(13+1))</f>
        <v>1.4359353272334707</v>
      </c>
      <c r="H18023">
        <f>0.0121951219512195*3.30636327899131</f>
        <v>4.0321503402333016E-2</v>
      </c>
      <c r="I18023">
        <v>4.0321503402333127E-2</v>
      </c>
    </row>
    <row r="18024" spans="1:9" x14ac:dyDescent="0.25">
      <c r="A18024">
        <v>563</v>
      </c>
      <c r="B18024" t="s">
        <v>4437</v>
      </c>
      <c r="C18024" t="s">
        <v>10</v>
      </c>
      <c r="D18024" t="s">
        <v>764</v>
      </c>
      <c r="E18024">
        <f t="shared" si="857"/>
        <v>1.2195121951219513E-2</v>
      </c>
      <c r="F18024">
        <v>57</v>
      </c>
      <c r="G18024">
        <f>LOG(382/(57+1))</f>
        <v>0.81863536934877146</v>
      </c>
      <c r="H18024">
        <f>0.0121951219512195*1.88497759806015</f>
        <v>2.2987531683660342E-2</v>
      </c>
      <c r="I18024">
        <v>2.2987531683660439E-2</v>
      </c>
    </row>
    <row r="18025" spans="1:9" x14ac:dyDescent="0.25">
      <c r="A18025">
        <v>563</v>
      </c>
      <c r="B18025" t="s">
        <v>4437</v>
      </c>
      <c r="C18025" t="s">
        <v>10</v>
      </c>
      <c r="D18025" t="s">
        <v>1303</v>
      </c>
      <c r="E18025">
        <f t="shared" si="857"/>
        <v>1.2195121951219513E-2</v>
      </c>
      <c r="F18025">
        <v>17</v>
      </c>
      <c r="G18025">
        <f>LOG(382/(17+1))</f>
        <v>1.3267908578084027</v>
      </c>
      <c r="H18025">
        <f>0.0121951219512195*3.05504885071041</f>
        <v>3.7256693301346427E-2</v>
      </c>
      <c r="I18025">
        <v>3.7256693301346469E-2</v>
      </c>
    </row>
    <row r="18026" spans="1:9" x14ac:dyDescent="0.25">
      <c r="A18026">
        <v>563</v>
      </c>
      <c r="B18026" t="s">
        <v>4437</v>
      </c>
      <c r="C18026" t="s">
        <v>10</v>
      </c>
      <c r="D18026" t="s">
        <v>1012</v>
      </c>
      <c r="E18026">
        <f t="shared" si="857"/>
        <v>1.2195121951219513E-2</v>
      </c>
      <c r="F18026">
        <v>17</v>
      </c>
      <c r="G18026">
        <f>LOG(382/(17+1))</f>
        <v>1.3267908578084027</v>
      </c>
      <c r="H18026">
        <f>0.0121951219512195*3.05504885071041</f>
        <v>3.7256693301346427E-2</v>
      </c>
      <c r="I18026">
        <v>3.7256693301346469E-2</v>
      </c>
    </row>
    <row r="18027" spans="1:9" x14ac:dyDescent="0.25">
      <c r="A18027">
        <v>563</v>
      </c>
      <c r="B18027" t="s">
        <v>4437</v>
      </c>
      <c r="C18027" t="s">
        <v>10</v>
      </c>
      <c r="D18027" t="s">
        <v>1633</v>
      </c>
      <c r="E18027">
        <f t="shared" si="857"/>
        <v>1.2195121951219513E-2</v>
      </c>
      <c r="F18027">
        <v>18</v>
      </c>
      <c r="G18027">
        <f>LOG(382/(18+1))</f>
        <v>1.3033097619588798</v>
      </c>
      <c r="H18027">
        <f>0.0121951219512195*3.00098162944013</f>
        <v>3.6597336944391795E-2</v>
      </c>
      <c r="I18027">
        <v>3.6597336944391892E-2</v>
      </c>
    </row>
    <row r="18028" spans="1:9" x14ac:dyDescent="0.25">
      <c r="A18028">
        <v>563</v>
      </c>
      <c r="B18028" t="s">
        <v>4437</v>
      </c>
      <c r="C18028" t="s">
        <v>10</v>
      </c>
      <c r="D18028" t="s">
        <v>1536</v>
      </c>
      <c r="E18028">
        <f t="shared" si="857"/>
        <v>1.2195121951219513E-2</v>
      </c>
      <c r="F18028">
        <v>5</v>
      </c>
      <c r="G18028">
        <f>LOG(382/(5+1))</f>
        <v>1.803912112528065</v>
      </c>
      <c r="H18028">
        <f>0.0121951219512195*4.15366113937852</f>
        <v>5.0654404138762391E-2</v>
      </c>
      <c r="I18028">
        <v>5.0654404138762439E-2</v>
      </c>
    </row>
    <row r="18029" spans="1:9" x14ac:dyDescent="0.25">
      <c r="A18029">
        <v>563</v>
      </c>
      <c r="B18029" t="s">
        <v>4437</v>
      </c>
      <c r="C18029" t="s">
        <v>10</v>
      </c>
      <c r="D18029" t="s">
        <v>97</v>
      </c>
      <c r="E18029">
        <f>2/82</f>
        <v>2.4390243902439025E-2</v>
      </c>
      <c r="F18029">
        <v>19</v>
      </c>
      <c r="G18029">
        <f>LOG(382/(19+1))</f>
        <v>1.2810333672477277</v>
      </c>
      <c r="H18029">
        <f>0.024390243902439*2.94968833505258</f>
        <v>7.1943617928111644E-2</v>
      </c>
      <c r="I18029">
        <v>7.1943617928111811E-2</v>
      </c>
    </row>
    <row r="18030" spans="1:9" x14ac:dyDescent="0.25">
      <c r="A18030">
        <v>563</v>
      </c>
      <c r="B18030" t="s">
        <v>4437</v>
      </c>
      <c r="C18030" t="s">
        <v>10</v>
      </c>
      <c r="D18030" t="s">
        <v>11</v>
      </c>
      <c r="E18030">
        <f>3/82</f>
        <v>3.6585365853658534E-2</v>
      </c>
      <c r="F18030">
        <v>83</v>
      </c>
      <c r="G18030">
        <f>LOG(382/(83+1))</f>
        <v>0.65778407684982709</v>
      </c>
      <c r="H18030">
        <f>0.0365853658536585*1.51460380976326</f>
        <v>5.5412334503533847E-2</v>
      </c>
      <c r="I18030">
        <v>5.5412334503533951E-2</v>
      </c>
    </row>
    <row r="18031" spans="1:9" x14ac:dyDescent="0.25">
      <c r="A18031">
        <v>563</v>
      </c>
      <c r="B18031" t="s">
        <v>4437</v>
      </c>
      <c r="C18031" t="s">
        <v>10</v>
      </c>
      <c r="D18031" t="s">
        <v>2093</v>
      </c>
      <c r="E18031">
        <f t="shared" ref="E18031:E18040" si="858">1/82</f>
        <v>1.2195121951219513E-2</v>
      </c>
      <c r="F18031">
        <v>7</v>
      </c>
      <c r="G18031">
        <f>LOG(382/(7+1))</f>
        <v>1.6789733759197651</v>
      </c>
      <c r="H18031">
        <f>0.0121951219512195*3.86597906692673</f>
        <v>4.7146086182033253E-2</v>
      </c>
      <c r="I18031">
        <v>4.7146086182033413E-2</v>
      </c>
    </row>
    <row r="18032" spans="1:9" x14ac:dyDescent="0.25">
      <c r="A18032">
        <v>563</v>
      </c>
      <c r="B18032" t="s">
        <v>4437</v>
      </c>
      <c r="C18032" t="s">
        <v>10</v>
      </c>
      <c r="D18032" t="s">
        <v>123</v>
      </c>
      <c r="E18032">
        <f t="shared" si="858"/>
        <v>1.2195121951219513E-2</v>
      </c>
      <c r="F18032">
        <v>74</v>
      </c>
      <c r="G18032">
        <f>LOG(382/(74+1))</f>
        <v>0.7070020995200087</v>
      </c>
      <c r="H18032">
        <f>0.0121951219512195*1.62793249507026</f>
        <v>1.985283530573486E-2</v>
      </c>
      <c r="I18032">
        <v>1.985283530573494E-2</v>
      </c>
    </row>
    <row r="18033" spans="1:9" x14ac:dyDescent="0.25">
      <c r="A18033">
        <v>563</v>
      </c>
      <c r="B18033" t="s">
        <v>4437</v>
      </c>
      <c r="C18033" t="s">
        <v>10</v>
      </c>
      <c r="D18033" t="s">
        <v>4438</v>
      </c>
      <c r="E18033">
        <f t="shared" si="858"/>
        <v>1.2195121951219513E-2</v>
      </c>
      <c r="F18033">
        <v>1</v>
      </c>
      <c r="G18033">
        <f>LOG(382/(1+1))</f>
        <v>2.2810333672477277</v>
      </c>
      <c r="H18033">
        <f>0.0121951219512195*5.25227342804663</f>
        <v>6.4052114976178354E-2</v>
      </c>
      <c r="I18033">
        <v>6.4052114976178409E-2</v>
      </c>
    </row>
    <row r="18034" spans="1:9" x14ac:dyDescent="0.25">
      <c r="A18034">
        <v>563</v>
      </c>
      <c r="B18034" t="s">
        <v>4437</v>
      </c>
      <c r="C18034" t="s">
        <v>10</v>
      </c>
      <c r="D18034" t="s">
        <v>1223</v>
      </c>
      <c r="E18034">
        <f t="shared" si="858"/>
        <v>1.2195121951219513E-2</v>
      </c>
      <c r="F18034">
        <v>2</v>
      </c>
      <c r="G18034">
        <f>LOG(382/(2+1))</f>
        <v>2.1049421081920463</v>
      </c>
      <c r="H18034">
        <f>0.0121951219512195*4.84680831993846</f>
        <v>5.9107418535834823E-2</v>
      </c>
      <c r="I18034">
        <v>5.9107418535834948E-2</v>
      </c>
    </row>
    <row r="18035" spans="1:9" x14ac:dyDescent="0.25">
      <c r="A18035">
        <v>563</v>
      </c>
      <c r="B18035" t="s">
        <v>4437</v>
      </c>
      <c r="C18035" t="s">
        <v>10</v>
      </c>
      <c r="D18035" t="s">
        <v>1834</v>
      </c>
      <c r="E18035">
        <f t="shared" si="858"/>
        <v>1.2195121951219513E-2</v>
      </c>
      <c r="F18035">
        <v>12</v>
      </c>
      <c r="G18035">
        <f>LOG(382/(12+1))</f>
        <v>1.468120010604872</v>
      </c>
      <c r="H18035">
        <f>0.0121951219512195*3.38047125114503</f>
        <v>4.1225259160305207E-2</v>
      </c>
      <c r="I18035">
        <v>4.1225259160305353E-2</v>
      </c>
    </row>
    <row r="18036" spans="1:9" x14ac:dyDescent="0.25">
      <c r="A18036">
        <v>563</v>
      </c>
      <c r="B18036" t="s">
        <v>4437</v>
      </c>
      <c r="C18036" t="s">
        <v>10</v>
      </c>
      <c r="D18036" t="s">
        <v>4439</v>
      </c>
      <c r="E18036">
        <f t="shared" si="858"/>
        <v>1.2195121951219513E-2</v>
      </c>
      <c r="F18036">
        <v>1</v>
      </c>
      <c r="G18036">
        <f>LOG(382/(1+1))</f>
        <v>2.2810333672477277</v>
      </c>
      <c r="H18036">
        <f>0.0121951219512195*5.25227342804663</f>
        <v>6.4052114976178354E-2</v>
      </c>
      <c r="I18036">
        <v>6.4052114976178409E-2</v>
      </c>
    </row>
    <row r="18037" spans="1:9" x14ac:dyDescent="0.25">
      <c r="A18037">
        <v>563</v>
      </c>
      <c r="B18037" t="s">
        <v>4437</v>
      </c>
      <c r="C18037" t="s">
        <v>10</v>
      </c>
      <c r="D18037" t="s">
        <v>4440</v>
      </c>
      <c r="E18037">
        <f t="shared" si="858"/>
        <v>1.2195121951219513E-2</v>
      </c>
      <c r="F18037">
        <v>1</v>
      </c>
      <c r="G18037">
        <f>LOG(382/(1+1))</f>
        <v>2.2810333672477277</v>
      </c>
      <c r="H18037">
        <f>0.0121951219512195*5.25227342804663</f>
        <v>6.4052114976178354E-2</v>
      </c>
      <c r="I18037">
        <v>6.4052114976178409E-2</v>
      </c>
    </row>
    <row r="18038" spans="1:9" x14ac:dyDescent="0.25">
      <c r="A18038">
        <v>563</v>
      </c>
      <c r="B18038" t="s">
        <v>4437</v>
      </c>
      <c r="C18038" t="s">
        <v>10</v>
      </c>
      <c r="D18038" t="s">
        <v>133</v>
      </c>
      <c r="E18038">
        <f t="shared" si="858"/>
        <v>1.2195121951219513E-2</v>
      </c>
      <c r="F18038">
        <v>142</v>
      </c>
      <c r="G18038">
        <f>LOG(382/(142+1))</f>
        <v>0.42672732544664693</v>
      </c>
      <c r="H18038">
        <f>0.0121951219512195*0.982575978346667</f>
        <v>1.1982633882276415E-2</v>
      </c>
      <c r="I18038">
        <v>1.1982633882276441E-2</v>
      </c>
    </row>
    <row r="18039" spans="1:9" x14ac:dyDescent="0.25">
      <c r="A18039">
        <v>563</v>
      </c>
      <c r="B18039" t="s">
        <v>4437</v>
      </c>
      <c r="C18039" t="s">
        <v>10</v>
      </c>
      <c r="D18039" t="s">
        <v>765</v>
      </c>
      <c r="E18039">
        <f t="shared" si="858"/>
        <v>1.2195121951219513E-2</v>
      </c>
      <c r="F18039">
        <v>44</v>
      </c>
      <c r="G18039">
        <f>LOG(382/(44+1))</f>
        <v>0.92885084913636506</v>
      </c>
      <c r="H18039">
        <f>0.0121951219512195*2.13875811883625</f>
        <v>2.6082416083368875E-2</v>
      </c>
      <c r="I18039">
        <v>2.6082416083368969E-2</v>
      </c>
    </row>
    <row r="18040" spans="1:9" x14ac:dyDescent="0.25">
      <c r="A18040">
        <v>563</v>
      </c>
      <c r="B18040" t="s">
        <v>4437</v>
      </c>
      <c r="C18040" t="s">
        <v>10</v>
      </c>
      <c r="D18040" t="s">
        <v>2220</v>
      </c>
      <c r="E18040">
        <f t="shared" si="858"/>
        <v>1.2195121951219513E-2</v>
      </c>
      <c r="F18040">
        <v>21</v>
      </c>
      <c r="G18040">
        <f>LOG(382/(21+1))</f>
        <v>1.2396406820895025</v>
      </c>
      <c r="H18040">
        <f>0.0121951219512195*2.85437815524825</f>
        <v>3.4809489698149357E-2</v>
      </c>
      <c r="I18040">
        <v>3.4809489698149503E-2</v>
      </c>
    </row>
    <row r="18041" spans="1:9" x14ac:dyDescent="0.25">
      <c r="A18041">
        <v>563</v>
      </c>
      <c r="B18041" t="s">
        <v>4437</v>
      </c>
      <c r="C18041" t="s">
        <v>10</v>
      </c>
      <c r="D18041" t="s">
        <v>755</v>
      </c>
      <c r="E18041">
        <f>2/82</f>
        <v>2.4390243902439025E-2</v>
      </c>
      <c r="F18041">
        <v>19</v>
      </c>
      <c r="G18041">
        <f>LOG(382/(19+1))</f>
        <v>1.2810333672477277</v>
      </c>
      <c r="H18041">
        <f>0.024390243902439*2.94968833505258</f>
        <v>7.1943617928111644E-2</v>
      </c>
      <c r="I18041">
        <v>7.1943617928111811E-2</v>
      </c>
    </row>
    <row r="18042" spans="1:9" x14ac:dyDescent="0.25">
      <c r="A18042">
        <v>563</v>
      </c>
      <c r="B18042" t="s">
        <v>4437</v>
      </c>
      <c r="C18042" t="s">
        <v>10</v>
      </c>
      <c r="D18042" t="s">
        <v>89</v>
      </c>
      <c r="E18042">
        <f t="shared" ref="E18042:E18058" si="859">1/82</f>
        <v>1.2195121951219513E-2</v>
      </c>
      <c r="F18042">
        <v>40</v>
      </c>
      <c r="G18042">
        <f>LOG(382/(40+1))</f>
        <v>0.96927950619197323</v>
      </c>
      <c r="H18042">
        <f>0.0121951219512195*2.23184854190226</f>
        <v>2.7217665145149485E-2</v>
      </c>
      <c r="I18042">
        <v>2.7217665145149599E-2</v>
      </c>
    </row>
    <row r="18043" spans="1:9" x14ac:dyDescent="0.25">
      <c r="A18043">
        <v>563</v>
      </c>
      <c r="B18043" t="s">
        <v>4437</v>
      </c>
      <c r="C18043" t="s">
        <v>10</v>
      </c>
      <c r="D18043" t="s">
        <v>1876</v>
      </c>
      <c r="E18043">
        <f t="shared" si="859"/>
        <v>1.2195121951219513E-2</v>
      </c>
      <c r="F18043">
        <v>4</v>
      </c>
      <c r="G18043">
        <f>LOG(382/(4+1))</f>
        <v>1.8830933585756899</v>
      </c>
      <c r="H18043">
        <f>0.0121951219512195*4.33598269617247</f>
        <v>5.2877837758200805E-2</v>
      </c>
      <c r="I18043">
        <v>5.2877837758200923E-2</v>
      </c>
    </row>
    <row r="18044" spans="1:9" x14ac:dyDescent="0.25">
      <c r="A18044">
        <v>563</v>
      </c>
      <c r="B18044" t="s">
        <v>4437</v>
      </c>
      <c r="C18044" t="s">
        <v>10</v>
      </c>
      <c r="D18044" t="s">
        <v>1230</v>
      </c>
      <c r="E18044">
        <f t="shared" si="859"/>
        <v>1.2195121951219513E-2</v>
      </c>
      <c r="F18044">
        <v>10</v>
      </c>
      <c r="G18044">
        <f>LOG(382/(10+1))</f>
        <v>1.5406706777534838</v>
      </c>
      <c r="H18044">
        <f>0.0121951219512195*3.5475253358082</f>
        <v>4.3262504095221914E-2</v>
      </c>
      <c r="I18044">
        <v>4.3262504095222011E-2</v>
      </c>
    </row>
    <row r="18045" spans="1:9" x14ac:dyDescent="0.25">
      <c r="A18045">
        <v>563</v>
      </c>
      <c r="B18045" t="s">
        <v>4437</v>
      </c>
      <c r="C18045" t="s">
        <v>10</v>
      </c>
      <c r="D18045" t="s">
        <v>852</v>
      </c>
      <c r="E18045">
        <f t="shared" si="859"/>
        <v>1.2195121951219513E-2</v>
      </c>
      <c r="F18045">
        <v>10</v>
      </c>
      <c r="G18045">
        <f>LOG(382/(10+1))</f>
        <v>1.5406706777534838</v>
      </c>
      <c r="H18045">
        <f>0.0121951219512195*3.5475253358082</f>
        <v>4.3262504095221914E-2</v>
      </c>
      <c r="I18045">
        <v>4.3262504095222011E-2</v>
      </c>
    </row>
    <row r="18046" spans="1:9" x14ac:dyDescent="0.25">
      <c r="A18046">
        <v>563</v>
      </c>
      <c r="B18046" t="s">
        <v>4437</v>
      </c>
      <c r="C18046" t="s">
        <v>10</v>
      </c>
      <c r="D18046" t="s">
        <v>448</v>
      </c>
      <c r="E18046">
        <f t="shared" si="859"/>
        <v>1.2195121951219513E-2</v>
      </c>
      <c r="F18046">
        <v>19</v>
      </c>
      <c r="G18046">
        <f>LOG(382/(19+1))</f>
        <v>1.2810333672477277</v>
      </c>
      <c r="H18046">
        <f>0.0121951219512195*2.94968833505258</f>
        <v>3.5971808964055822E-2</v>
      </c>
      <c r="I18046">
        <v>3.5971808964055912E-2</v>
      </c>
    </row>
    <row r="18047" spans="1:9" x14ac:dyDescent="0.25">
      <c r="A18047">
        <v>563</v>
      </c>
      <c r="B18047" t="s">
        <v>4437</v>
      </c>
      <c r="C18047" t="s">
        <v>10</v>
      </c>
      <c r="D18047" t="s">
        <v>4441</v>
      </c>
      <c r="E18047">
        <f t="shared" si="859"/>
        <v>1.2195121951219513E-2</v>
      </c>
      <c r="F18047">
        <v>1</v>
      </c>
      <c r="G18047">
        <f>LOG(382/(1+1))</f>
        <v>2.2810333672477277</v>
      </c>
      <c r="H18047">
        <f>0.0121951219512195*5.25227342804663</f>
        <v>6.4052114976178354E-2</v>
      </c>
      <c r="I18047">
        <v>6.4052114976178409E-2</v>
      </c>
    </row>
    <row r="18048" spans="1:9" x14ac:dyDescent="0.25">
      <c r="A18048">
        <v>563</v>
      </c>
      <c r="B18048" t="s">
        <v>4437</v>
      </c>
      <c r="C18048" t="s">
        <v>10</v>
      </c>
      <c r="D18048" t="s">
        <v>1727</v>
      </c>
      <c r="E18048">
        <f t="shared" si="859"/>
        <v>1.2195121951219513E-2</v>
      </c>
      <c r="F18048">
        <v>27</v>
      </c>
      <c r="G18048">
        <f>LOG(382/(27+1))</f>
        <v>1.1349053315694895</v>
      </c>
      <c r="H18048">
        <f>0.0121951219512195*2.61321609843137</f>
        <v>3.1868489005260583E-2</v>
      </c>
      <c r="I18048">
        <v>3.1868489005260632E-2</v>
      </c>
    </row>
    <row r="18049" spans="1:9" x14ac:dyDescent="0.25">
      <c r="A18049">
        <v>563</v>
      </c>
      <c r="B18049" t="s">
        <v>4437</v>
      </c>
      <c r="C18049" t="s">
        <v>10</v>
      </c>
      <c r="D18049" t="s">
        <v>2554</v>
      </c>
      <c r="E18049">
        <f t="shared" si="859"/>
        <v>1.2195121951219513E-2</v>
      </c>
      <c r="F18049">
        <v>22</v>
      </c>
      <c r="G18049">
        <f>LOG(382/(22+1))</f>
        <v>1.2203355268941158</v>
      </c>
      <c r="H18049">
        <f>0.0121951219512195*2.80992639267742</f>
        <v>3.4267395032651429E-2</v>
      </c>
      <c r="I18049">
        <v>3.4267395032651533E-2</v>
      </c>
    </row>
    <row r="18050" spans="1:9" x14ac:dyDescent="0.25">
      <c r="A18050">
        <v>563</v>
      </c>
      <c r="B18050" t="s">
        <v>4437</v>
      </c>
      <c r="C18050" t="s">
        <v>10</v>
      </c>
      <c r="D18050" t="s">
        <v>362</v>
      </c>
      <c r="E18050">
        <f t="shared" si="859"/>
        <v>1.2195121951219513E-2</v>
      </c>
      <c r="F18050">
        <v>81</v>
      </c>
      <c r="G18050">
        <f>LOG(382/(81+1))</f>
        <v>0.66824951052799197</v>
      </c>
      <c r="H18050">
        <f>0.0121951219512195*1.53870136134232</f>
        <v>1.8764650748077056E-2</v>
      </c>
      <c r="I18050">
        <v>1.8764650748077101E-2</v>
      </c>
    </row>
    <row r="18051" spans="1:9" x14ac:dyDescent="0.25">
      <c r="A18051">
        <v>563</v>
      </c>
      <c r="B18051" t="s">
        <v>4437</v>
      </c>
      <c r="C18051" t="s">
        <v>10</v>
      </c>
      <c r="D18051" t="s">
        <v>1769</v>
      </c>
      <c r="E18051">
        <f t="shared" si="859"/>
        <v>1.2195121951219513E-2</v>
      </c>
      <c r="F18051">
        <v>84</v>
      </c>
      <c r="G18051">
        <f>LOG(382/(84+1))</f>
        <v>0.65264443719741605</v>
      </c>
      <c r="H18051">
        <f>0.0121951219512195*1.50276935211625</f>
        <v>1.8326455513612786E-2</v>
      </c>
      <c r="I18051">
        <v>1.8326455513612911E-2</v>
      </c>
    </row>
    <row r="18052" spans="1:9" x14ac:dyDescent="0.25">
      <c r="A18052">
        <v>563</v>
      </c>
      <c r="B18052" t="s">
        <v>4437</v>
      </c>
      <c r="C18052" t="s">
        <v>10</v>
      </c>
      <c r="D18052" t="s">
        <v>1921</v>
      </c>
      <c r="E18052">
        <f t="shared" si="859"/>
        <v>1.2195121951219513E-2</v>
      </c>
      <c r="F18052">
        <v>37</v>
      </c>
      <c r="G18052">
        <f>LOG(382/(37+1))</f>
        <v>1.0022797662948986</v>
      </c>
      <c r="H18052">
        <f>0.0121951219512195*2.30783444888018</f>
        <v>2.8144322547319238E-2</v>
      </c>
      <c r="I18052">
        <v>2.814432254731938E-2</v>
      </c>
    </row>
    <row r="18053" spans="1:9" x14ac:dyDescent="0.25">
      <c r="A18053">
        <v>563</v>
      </c>
      <c r="B18053" t="s">
        <v>4437</v>
      </c>
      <c r="C18053" t="s">
        <v>10</v>
      </c>
      <c r="D18053" t="s">
        <v>211</v>
      </c>
      <c r="E18053">
        <f t="shared" si="859"/>
        <v>1.2195121951219513E-2</v>
      </c>
      <c r="F18053">
        <v>10</v>
      </c>
      <c r="G18053">
        <f>LOG(382/(10+1))</f>
        <v>1.5406706777534838</v>
      </c>
      <c r="H18053">
        <f>0.0121951219512195*3.5475253358082</f>
        <v>4.3262504095221914E-2</v>
      </c>
      <c r="I18053">
        <v>4.3262504095222011E-2</v>
      </c>
    </row>
    <row r="18054" spans="1:9" x14ac:dyDescent="0.25">
      <c r="A18054">
        <v>563</v>
      </c>
      <c r="B18054" t="s">
        <v>4437</v>
      </c>
      <c r="C18054" t="s">
        <v>10</v>
      </c>
      <c r="D18054" t="s">
        <v>1747</v>
      </c>
      <c r="E18054">
        <f t="shared" si="859"/>
        <v>1.2195121951219513E-2</v>
      </c>
      <c r="F18054">
        <v>4</v>
      </c>
      <c r="G18054">
        <f>LOG(382/(4+1))</f>
        <v>1.8830933585756899</v>
      </c>
      <c r="H18054">
        <f>0.0121951219512195*4.33598269617247</f>
        <v>5.2877837758200805E-2</v>
      </c>
      <c r="I18054">
        <v>5.2877837758200923E-2</v>
      </c>
    </row>
    <row r="18055" spans="1:9" x14ac:dyDescent="0.25">
      <c r="A18055">
        <v>563</v>
      </c>
      <c r="B18055" t="s">
        <v>4437</v>
      </c>
      <c r="C18055" t="s">
        <v>10</v>
      </c>
      <c r="D18055" t="s">
        <v>1168</v>
      </c>
      <c r="E18055">
        <f t="shared" si="859"/>
        <v>1.2195121951219513E-2</v>
      </c>
      <c r="F18055">
        <v>5</v>
      </c>
      <c r="G18055">
        <f>LOG(382/(5+1))</f>
        <v>1.803912112528065</v>
      </c>
      <c r="H18055">
        <f>0.0121951219512195*4.15366113937852</f>
        <v>5.0654404138762391E-2</v>
      </c>
      <c r="I18055">
        <v>5.0654404138762439E-2</v>
      </c>
    </row>
    <row r="18056" spans="1:9" x14ac:dyDescent="0.25">
      <c r="A18056">
        <v>563</v>
      </c>
      <c r="B18056" t="s">
        <v>4437</v>
      </c>
      <c r="C18056" t="s">
        <v>10</v>
      </c>
      <c r="D18056" t="s">
        <v>1397</v>
      </c>
      <c r="E18056">
        <f t="shared" si="859"/>
        <v>1.2195121951219513E-2</v>
      </c>
      <c r="F18056">
        <v>29</v>
      </c>
      <c r="G18056">
        <f>LOG(382/(29+1))</f>
        <v>1.1049421081920463</v>
      </c>
      <c r="H18056">
        <f>0.0121951219512195*2.54422322694442</f>
        <v>3.1027112523712406E-2</v>
      </c>
      <c r="I18056">
        <v>3.1027112523712441E-2</v>
      </c>
    </row>
    <row r="18057" spans="1:9" x14ac:dyDescent="0.25">
      <c r="A18057">
        <v>563</v>
      </c>
      <c r="B18057" t="s">
        <v>4437</v>
      </c>
      <c r="C18057" t="s">
        <v>10</v>
      </c>
      <c r="D18057" t="s">
        <v>78</v>
      </c>
      <c r="E18057">
        <f t="shared" si="859"/>
        <v>1.2195121951219513E-2</v>
      </c>
      <c r="F18057">
        <v>122</v>
      </c>
      <c r="G18057">
        <f>LOG(382/(122+1))</f>
        <v>0.49215825147231079</v>
      </c>
      <c r="H18057">
        <f>0.0121951219512195*1.13323625323415</f>
        <v>1.3819954307733523E-2</v>
      </c>
      <c r="I18057">
        <v>1.3819954307733631E-2</v>
      </c>
    </row>
    <row r="18058" spans="1:9" x14ac:dyDescent="0.25">
      <c r="A18058">
        <v>563</v>
      </c>
      <c r="B18058" t="s">
        <v>4437</v>
      </c>
      <c r="C18058" t="s">
        <v>10</v>
      </c>
      <c r="D18058" t="s">
        <v>329</v>
      </c>
      <c r="E18058">
        <f t="shared" si="859"/>
        <v>1.2195121951219513E-2</v>
      </c>
      <c r="F18058">
        <v>9</v>
      </c>
      <c r="G18058">
        <f>LOG(382/(9+1))</f>
        <v>1.5820633629117087</v>
      </c>
      <c r="H18058">
        <f>0.0121951219512195*3.64283551561252</f>
        <v>4.4424823361128248E-2</v>
      </c>
      <c r="I18058">
        <v>4.4424823361128407E-2</v>
      </c>
    </row>
    <row r="18059" spans="1:9" x14ac:dyDescent="0.25">
      <c r="A18059">
        <v>564</v>
      </c>
      <c r="B18059" t="s">
        <v>4442</v>
      </c>
      <c r="C18059" t="s">
        <v>10</v>
      </c>
      <c r="D18059" t="s">
        <v>931</v>
      </c>
      <c r="E18059">
        <f t="shared" ref="E18059:E18064" si="860">1/3</f>
        <v>0.33333333333333331</v>
      </c>
      <c r="F18059">
        <v>22</v>
      </c>
      <c r="G18059">
        <f>LOG(382/(22+1))</f>
        <v>1.2203355268941158</v>
      </c>
      <c r="H18059">
        <f>0.333333333333333*2.80992639267742</f>
        <v>0.93664213089247228</v>
      </c>
      <c r="I18059">
        <v>0.93664213089247517</v>
      </c>
    </row>
    <row r="18060" spans="1:9" x14ac:dyDescent="0.25">
      <c r="A18060">
        <v>564</v>
      </c>
      <c r="B18060" t="s">
        <v>4442</v>
      </c>
      <c r="C18060" t="s">
        <v>10</v>
      </c>
      <c r="D18060" t="s">
        <v>309</v>
      </c>
      <c r="E18060">
        <f t="shared" si="860"/>
        <v>0.33333333333333331</v>
      </c>
      <c r="F18060">
        <v>25</v>
      </c>
      <c r="G18060">
        <f>LOG(382/(25+1))</f>
        <v>1.1670900149408907</v>
      </c>
      <c r="H18060">
        <f>0.333333333333333*2.68732407058509</f>
        <v>0.89577469019502909</v>
      </c>
      <c r="I18060">
        <v>0.89577469019503098</v>
      </c>
    </row>
    <row r="18061" spans="1:9" x14ac:dyDescent="0.25">
      <c r="A18061">
        <v>564</v>
      </c>
      <c r="B18061" t="s">
        <v>4442</v>
      </c>
      <c r="C18061" t="s">
        <v>10</v>
      </c>
      <c r="D18061" t="s">
        <v>310</v>
      </c>
      <c r="E18061">
        <f t="shared" si="860"/>
        <v>0.33333333333333331</v>
      </c>
      <c r="F18061">
        <v>50</v>
      </c>
      <c r="G18061">
        <f>LOG(382/(50+1))</f>
        <v>0.87449318681377242</v>
      </c>
      <c r="H18061">
        <f>0.333333333333333*2.01359497588224</f>
        <v>0.67119832529407919</v>
      </c>
      <c r="I18061">
        <v>0.67119832529408319</v>
      </c>
    </row>
    <row r="18062" spans="1:9" x14ac:dyDescent="0.25">
      <c r="A18062">
        <v>565</v>
      </c>
      <c r="B18062" t="s">
        <v>4443</v>
      </c>
      <c r="C18062" t="s">
        <v>10</v>
      </c>
      <c r="D18062" t="s">
        <v>931</v>
      </c>
      <c r="E18062">
        <f t="shared" si="860"/>
        <v>0.33333333333333331</v>
      </c>
      <c r="F18062">
        <v>22</v>
      </c>
      <c r="G18062">
        <f>LOG(382/(22+1))</f>
        <v>1.2203355268941158</v>
      </c>
      <c r="H18062">
        <f>0.333333333333333*2.80992639267742</f>
        <v>0.93664213089247228</v>
      </c>
      <c r="I18062">
        <v>0.93664213089247517</v>
      </c>
    </row>
    <row r="18063" spans="1:9" x14ac:dyDescent="0.25">
      <c r="A18063">
        <v>565</v>
      </c>
      <c r="B18063" t="s">
        <v>4443</v>
      </c>
      <c r="C18063" t="s">
        <v>10</v>
      </c>
      <c r="D18063" t="s">
        <v>309</v>
      </c>
      <c r="E18063">
        <f t="shared" si="860"/>
        <v>0.33333333333333331</v>
      </c>
      <c r="F18063">
        <v>25</v>
      </c>
      <c r="G18063">
        <f>LOG(382/(25+1))</f>
        <v>1.1670900149408907</v>
      </c>
      <c r="H18063">
        <f>0.333333333333333*2.68732407058509</f>
        <v>0.89577469019502909</v>
      </c>
      <c r="I18063">
        <v>0.89577469019503098</v>
      </c>
    </row>
    <row r="18064" spans="1:9" x14ac:dyDescent="0.25">
      <c r="A18064">
        <v>565</v>
      </c>
      <c r="B18064" t="s">
        <v>4443</v>
      </c>
      <c r="C18064" t="s">
        <v>10</v>
      </c>
      <c r="D18064" t="s">
        <v>310</v>
      </c>
      <c r="E18064">
        <f t="shared" si="860"/>
        <v>0.33333333333333331</v>
      </c>
      <c r="F18064">
        <v>50</v>
      </c>
      <c r="G18064">
        <f>LOG(382/(50+1))</f>
        <v>0.87449318681377242</v>
      </c>
      <c r="H18064">
        <f>0.333333333333333*2.01359497588224</f>
        <v>0.67119832529407919</v>
      </c>
      <c r="I18064">
        <v>0.67119832529408319</v>
      </c>
    </row>
    <row r="18065" spans="1:9" x14ac:dyDescent="0.25">
      <c r="A18065">
        <v>566</v>
      </c>
      <c r="B18065" t="s">
        <v>4444</v>
      </c>
      <c r="C18065" t="s">
        <v>10</v>
      </c>
      <c r="D18065" t="s">
        <v>570</v>
      </c>
      <c r="E18065">
        <f>3/161</f>
        <v>1.8633540372670808E-2</v>
      </c>
      <c r="F18065">
        <v>27</v>
      </c>
      <c r="G18065">
        <f>LOG(382/(27+1))</f>
        <v>1.1349053315694895</v>
      </c>
      <c r="H18065">
        <f>0.0186335403726708*2.61321609843137</f>
        <v>4.8693467672634209E-2</v>
      </c>
      <c r="I18065">
        <v>4.8693467672634237E-2</v>
      </c>
    </row>
    <row r="18066" spans="1:9" x14ac:dyDescent="0.25">
      <c r="A18066">
        <v>566</v>
      </c>
      <c r="B18066" t="s">
        <v>4444</v>
      </c>
      <c r="C18066" t="s">
        <v>10</v>
      </c>
      <c r="D18066" t="s">
        <v>2365</v>
      </c>
      <c r="E18066">
        <f>4/161</f>
        <v>2.4844720496894408E-2</v>
      </c>
      <c r="F18066">
        <v>2</v>
      </c>
      <c r="G18066">
        <f>LOG(382/(2+1))</f>
        <v>2.1049421081920463</v>
      </c>
      <c r="H18066">
        <f>0.0248447204968944*4.84680831993846</f>
        <v>0.12041759801089337</v>
      </c>
      <c r="I18066">
        <v>0.1204175980108935</v>
      </c>
    </row>
    <row r="18067" spans="1:9" x14ac:dyDescent="0.25">
      <c r="A18067">
        <v>566</v>
      </c>
      <c r="B18067" t="s">
        <v>4444</v>
      </c>
      <c r="C18067" t="s">
        <v>10</v>
      </c>
      <c r="D18067" t="s">
        <v>814</v>
      </c>
      <c r="E18067">
        <f>6/161</f>
        <v>3.7267080745341616E-2</v>
      </c>
      <c r="F18067">
        <v>18</v>
      </c>
      <c r="G18067">
        <f>LOG(382/(18+1))</f>
        <v>1.3033097619588798</v>
      </c>
      <c r="H18067">
        <f>0.0372670807453416*3.00098162944013</f>
        <v>0.11183782469963215</v>
      </c>
      <c r="I18067">
        <v>0.1118378246996323</v>
      </c>
    </row>
    <row r="18068" spans="1:9" x14ac:dyDescent="0.25">
      <c r="A18068">
        <v>566</v>
      </c>
      <c r="B18068" t="s">
        <v>4444</v>
      </c>
      <c r="C18068" t="s">
        <v>10</v>
      </c>
      <c r="D18068" t="s">
        <v>1401</v>
      </c>
      <c r="E18068">
        <f>7/161</f>
        <v>4.3478260869565216E-2</v>
      </c>
      <c r="F18068">
        <v>16</v>
      </c>
      <c r="G18068">
        <f>LOG(382/(16+1))</f>
        <v>1.3516144415334348</v>
      </c>
      <c r="H18068">
        <f>0.0434782608695652*3.11220726455035</f>
        <v>0.13531335932827604</v>
      </c>
      <c r="I18068">
        <v>0.13531335932827651</v>
      </c>
    </row>
    <row r="18069" spans="1:9" x14ac:dyDescent="0.25">
      <c r="A18069">
        <v>566</v>
      </c>
      <c r="B18069" t="s">
        <v>4444</v>
      </c>
      <c r="C18069" t="s">
        <v>10</v>
      </c>
      <c r="D18069" t="s">
        <v>4445</v>
      </c>
      <c r="E18069">
        <f>6/161</f>
        <v>3.7267080745341616E-2</v>
      </c>
      <c r="F18069">
        <v>1</v>
      </c>
      <c r="G18069">
        <f>LOG(382/(1+1))</f>
        <v>2.2810333672477277</v>
      </c>
      <c r="H18069">
        <f>0.0372670807453416*5.25227342804663</f>
        <v>0.1957368979396259</v>
      </c>
      <c r="I18069">
        <v>0.19573689793962601</v>
      </c>
    </row>
    <row r="18070" spans="1:9" x14ac:dyDescent="0.25">
      <c r="A18070">
        <v>566</v>
      </c>
      <c r="B18070" t="s">
        <v>4444</v>
      </c>
      <c r="C18070" t="s">
        <v>10</v>
      </c>
      <c r="D18070" t="s">
        <v>105</v>
      </c>
      <c r="E18070">
        <f t="shared" ref="E18070:E18076" si="861">1/161</f>
        <v>6.2111801242236021E-3</v>
      </c>
      <c r="F18070">
        <v>122</v>
      </c>
      <c r="G18070">
        <f>LOG(382/(122+1))</f>
        <v>0.49215825147231079</v>
      </c>
      <c r="H18070">
        <f>0.0062111801242236*1.13323625323415</f>
        <v>7.0387344921375751E-3</v>
      </c>
      <c r="I18070">
        <v>7.0387344921376237E-3</v>
      </c>
    </row>
    <row r="18071" spans="1:9" x14ac:dyDescent="0.25">
      <c r="A18071">
        <v>566</v>
      </c>
      <c r="B18071" t="s">
        <v>4444</v>
      </c>
      <c r="C18071" t="s">
        <v>10</v>
      </c>
      <c r="D18071" t="s">
        <v>2296</v>
      </c>
      <c r="E18071">
        <f t="shared" si="861"/>
        <v>6.2111801242236021E-3</v>
      </c>
      <c r="F18071">
        <v>5</v>
      </c>
      <c r="G18071">
        <f>LOG(382/(5+1))</f>
        <v>1.803912112528065</v>
      </c>
      <c r="H18071">
        <f>0.0062111801242236*4.15366113937852</f>
        <v>2.5799137511667816E-2</v>
      </c>
      <c r="I18071">
        <v>2.5799137511667819E-2</v>
      </c>
    </row>
    <row r="18072" spans="1:9" x14ac:dyDescent="0.25">
      <c r="A18072">
        <v>566</v>
      </c>
      <c r="B18072" t="s">
        <v>4444</v>
      </c>
      <c r="C18072" t="s">
        <v>10</v>
      </c>
      <c r="D18072" t="s">
        <v>4446</v>
      </c>
      <c r="E18072">
        <f t="shared" si="861"/>
        <v>6.2111801242236021E-3</v>
      </c>
      <c r="F18072">
        <v>1</v>
      </c>
      <c r="G18072">
        <f>LOG(382/(1+1))</f>
        <v>2.2810333672477277</v>
      </c>
      <c r="H18072">
        <f>0.0062111801242236*5.25227342804663</f>
        <v>3.2622816323270978E-2</v>
      </c>
      <c r="I18072">
        <v>3.2622816323270992E-2</v>
      </c>
    </row>
    <row r="18073" spans="1:9" x14ac:dyDescent="0.25">
      <c r="A18073">
        <v>566</v>
      </c>
      <c r="B18073" t="s">
        <v>4444</v>
      </c>
      <c r="C18073" t="s">
        <v>10</v>
      </c>
      <c r="D18073" t="s">
        <v>247</v>
      </c>
      <c r="E18073">
        <f t="shared" si="861"/>
        <v>6.2111801242236021E-3</v>
      </c>
      <c r="F18073">
        <v>121</v>
      </c>
      <c r="G18073">
        <f>LOG(382/(121+1))</f>
        <v>0.49570353223696051</v>
      </c>
      <c r="H18073">
        <f>0.0062111801242236*1.14139956387331</f>
        <v>7.0894382849273898E-3</v>
      </c>
      <c r="I18073">
        <v>7.0894382849274453E-3</v>
      </c>
    </row>
    <row r="18074" spans="1:9" x14ac:dyDescent="0.25">
      <c r="A18074">
        <v>566</v>
      </c>
      <c r="B18074" t="s">
        <v>4444</v>
      </c>
      <c r="C18074" t="s">
        <v>10</v>
      </c>
      <c r="D18074" t="s">
        <v>39</v>
      </c>
      <c r="E18074">
        <f t="shared" si="861"/>
        <v>6.2111801242236021E-3</v>
      </c>
      <c r="F18074">
        <v>145</v>
      </c>
      <c r="G18074">
        <f>LOG(382/(145+1))</f>
        <v>0.41771050712727159</v>
      </c>
      <c r="H18074">
        <f>0.0062111801242236*0.961813986898238</f>
        <v>5.9739999186225945E-3</v>
      </c>
      <c r="I18074">
        <v>5.9739999186226014E-3</v>
      </c>
    </row>
    <row r="18075" spans="1:9" x14ac:dyDescent="0.25">
      <c r="A18075">
        <v>566</v>
      </c>
      <c r="B18075" t="s">
        <v>4444</v>
      </c>
      <c r="C18075" t="s">
        <v>10</v>
      </c>
      <c r="D18075" t="s">
        <v>4447</v>
      </c>
      <c r="E18075">
        <f t="shared" si="861"/>
        <v>6.2111801242236021E-3</v>
      </c>
      <c r="F18075">
        <v>1</v>
      </c>
      <c r="G18075">
        <f>LOG(382/(1+1))</f>
        <v>2.2810333672477277</v>
      </c>
      <c r="H18075">
        <f>0.0062111801242236*5.25227342804663</f>
        <v>3.2622816323270978E-2</v>
      </c>
      <c r="I18075">
        <v>3.2622816323270992E-2</v>
      </c>
    </row>
    <row r="18076" spans="1:9" x14ac:dyDescent="0.25">
      <c r="A18076">
        <v>566</v>
      </c>
      <c r="B18076" t="s">
        <v>4444</v>
      </c>
      <c r="C18076" t="s">
        <v>10</v>
      </c>
      <c r="D18076" t="s">
        <v>42</v>
      </c>
      <c r="E18076">
        <f t="shared" si="861"/>
        <v>6.2111801242236021E-3</v>
      </c>
      <c r="F18076">
        <v>251</v>
      </c>
      <c r="G18076">
        <f>LOG(382/(251+1))</f>
        <v>0.18066282213016463</v>
      </c>
      <c r="H18076">
        <f>0.0062111801242236*0.415991521095151</f>
        <v>2.5837982676717441E-3</v>
      </c>
      <c r="I18076">
        <v>2.5837982676717511E-3</v>
      </c>
    </row>
    <row r="18077" spans="1:9" x14ac:dyDescent="0.25">
      <c r="A18077">
        <v>566</v>
      </c>
      <c r="B18077" t="s">
        <v>4444</v>
      </c>
      <c r="C18077" t="s">
        <v>10</v>
      </c>
      <c r="D18077" t="s">
        <v>432</v>
      </c>
      <c r="E18077">
        <f>3/161</f>
        <v>1.8633540372670808E-2</v>
      </c>
      <c r="F18077">
        <v>67</v>
      </c>
      <c r="G18077">
        <f>LOG(382/(67+1))</f>
        <v>0.7495544502054724</v>
      </c>
      <c r="H18077">
        <f>0.0186335403726708*1.72591290343046</f>
        <v>3.2159867765784958E-2</v>
      </c>
      <c r="I18077">
        <v>3.2159867765785118E-2</v>
      </c>
    </row>
    <row r="18078" spans="1:9" x14ac:dyDescent="0.25">
      <c r="A18078">
        <v>566</v>
      </c>
      <c r="B18078" t="s">
        <v>4444</v>
      </c>
      <c r="C18078" t="s">
        <v>10</v>
      </c>
      <c r="D18078" t="s">
        <v>22</v>
      </c>
      <c r="E18078">
        <f>3/161</f>
        <v>1.8633540372670808E-2</v>
      </c>
      <c r="F18078">
        <v>259</v>
      </c>
      <c r="G18078">
        <f>LOG(382/(259+1))</f>
        <v>0.16709001494089079</v>
      </c>
      <c r="H18078">
        <f>0.0186335403726708*0.384738977591047</f>
        <v>7.1690492718828611E-3</v>
      </c>
      <c r="I18078">
        <v>7.1690492718828732E-3</v>
      </c>
    </row>
    <row r="18079" spans="1:9" x14ac:dyDescent="0.25">
      <c r="A18079">
        <v>566</v>
      </c>
      <c r="B18079" t="s">
        <v>4444</v>
      </c>
      <c r="C18079" t="s">
        <v>10</v>
      </c>
      <c r="D18079" t="s">
        <v>23</v>
      </c>
      <c r="E18079">
        <f>2/161</f>
        <v>1.2422360248447204E-2</v>
      </c>
      <c r="F18079">
        <v>275</v>
      </c>
      <c r="G18079">
        <f>LOG(382/(275+1))</f>
        <v>0.14115428084649101</v>
      </c>
      <c r="H18079">
        <f>0.0124223602484472*0.325019742889425</f>
        <v>4.0375123340301222E-3</v>
      </c>
      <c r="I18079">
        <v>4.0375123340301257E-3</v>
      </c>
    </row>
    <row r="18080" spans="1:9" x14ac:dyDescent="0.25">
      <c r="A18080">
        <v>566</v>
      </c>
      <c r="B18080" t="s">
        <v>4444</v>
      </c>
      <c r="C18080" t="s">
        <v>10</v>
      </c>
      <c r="D18080" t="s">
        <v>263</v>
      </c>
      <c r="E18080">
        <f>3/161</f>
        <v>1.8633540372670808E-2</v>
      </c>
      <c r="F18080">
        <v>41</v>
      </c>
      <c r="G18080">
        <f>LOG(382/(41+1))</f>
        <v>0.95881407251380824</v>
      </c>
      <c r="H18080">
        <f>0.0186335403726708*2.2077509903232</f>
        <v>4.1138217210991292E-2</v>
      </c>
      <c r="I18080">
        <v>4.113821721099143E-2</v>
      </c>
    </row>
    <row r="18081" spans="1:9" x14ac:dyDescent="0.25">
      <c r="A18081">
        <v>566</v>
      </c>
      <c r="B18081" t="s">
        <v>4444</v>
      </c>
      <c r="C18081" t="s">
        <v>10</v>
      </c>
      <c r="D18081" t="s">
        <v>1043</v>
      </c>
      <c r="E18081">
        <f>1/161</f>
        <v>6.2111801242236021E-3</v>
      </c>
      <c r="F18081">
        <v>3</v>
      </c>
      <c r="G18081">
        <f>LOG(382/(3+1))</f>
        <v>1.9800033715837464</v>
      </c>
      <c r="H18081">
        <f>0.0062111801242236*4.55912624748668</f>
        <v>2.8317554332215396E-2</v>
      </c>
      <c r="I18081">
        <v>2.8317554332215431E-2</v>
      </c>
    </row>
    <row r="18082" spans="1:9" x14ac:dyDescent="0.25">
      <c r="A18082">
        <v>566</v>
      </c>
      <c r="B18082" t="s">
        <v>4444</v>
      </c>
      <c r="C18082" t="s">
        <v>10</v>
      </c>
      <c r="D18082" t="s">
        <v>4448</v>
      </c>
      <c r="E18082">
        <f>1/161</f>
        <v>6.2111801242236021E-3</v>
      </c>
      <c r="F18082">
        <v>1</v>
      </c>
      <c r="G18082">
        <f>LOG(382/(1+1))</f>
        <v>2.2810333672477277</v>
      </c>
      <c r="H18082">
        <f>0.0062111801242236*5.25227342804663</f>
        <v>3.2622816323270978E-2</v>
      </c>
      <c r="I18082">
        <v>3.2622816323270992E-2</v>
      </c>
    </row>
    <row r="18083" spans="1:9" x14ac:dyDescent="0.25">
      <c r="A18083">
        <v>566</v>
      </c>
      <c r="B18083" t="s">
        <v>4444</v>
      </c>
      <c r="C18083" t="s">
        <v>10</v>
      </c>
      <c r="D18083" t="s">
        <v>4449</v>
      </c>
      <c r="E18083">
        <f>1/161</f>
        <v>6.2111801242236021E-3</v>
      </c>
      <c r="F18083">
        <v>1</v>
      </c>
      <c r="G18083">
        <f>LOG(382/(1+1))</f>
        <v>2.2810333672477277</v>
      </c>
      <c r="H18083">
        <f>0.0062111801242236*5.25227342804663</f>
        <v>3.2622816323270978E-2</v>
      </c>
      <c r="I18083">
        <v>3.2622816323270992E-2</v>
      </c>
    </row>
    <row r="18084" spans="1:9" x14ac:dyDescent="0.25">
      <c r="A18084">
        <v>566</v>
      </c>
      <c r="B18084" t="s">
        <v>4444</v>
      </c>
      <c r="C18084" t="s">
        <v>10</v>
      </c>
      <c r="D18084" t="s">
        <v>25</v>
      </c>
      <c r="E18084">
        <f>2/161</f>
        <v>1.2422360248447204E-2</v>
      </c>
      <c r="F18084">
        <v>106</v>
      </c>
      <c r="G18084">
        <f>LOG(382/(106+1))</f>
        <v>0.55267958522649907</v>
      </c>
      <c r="H18084">
        <f>0.0124223602484472*1.27259177414466</f>
        <v>1.5808593467635523E-2</v>
      </c>
      <c r="I18084">
        <v>1.5808593467635641E-2</v>
      </c>
    </row>
    <row r="18085" spans="1:9" x14ac:dyDescent="0.25">
      <c r="A18085">
        <v>566</v>
      </c>
      <c r="B18085" t="s">
        <v>4444</v>
      </c>
      <c r="C18085" t="s">
        <v>10</v>
      </c>
      <c r="D18085" t="s">
        <v>485</v>
      </c>
      <c r="E18085">
        <f t="shared" ref="E18085:E18090" si="862">1/161</f>
        <v>6.2111801242236021E-3</v>
      </c>
      <c r="F18085">
        <v>74</v>
      </c>
      <c r="G18085">
        <f>LOG(382/(74+1))</f>
        <v>0.7070020995200087</v>
      </c>
      <c r="H18085">
        <f>0.0062111801242236*1.62793249507026</f>
        <v>1.0111381956958133E-2</v>
      </c>
      <c r="I18085">
        <v>1.0111381956958159E-2</v>
      </c>
    </row>
    <row r="18086" spans="1:9" x14ac:dyDescent="0.25">
      <c r="A18086">
        <v>566</v>
      </c>
      <c r="B18086" t="s">
        <v>4444</v>
      </c>
      <c r="C18086" t="s">
        <v>10</v>
      </c>
      <c r="D18086" t="s">
        <v>3461</v>
      </c>
      <c r="E18086">
        <f t="shared" si="862"/>
        <v>6.2111801242236021E-3</v>
      </c>
      <c r="F18086">
        <v>3</v>
      </c>
      <c r="G18086">
        <f>LOG(382/(3+1))</f>
        <v>1.9800033715837464</v>
      </c>
      <c r="H18086">
        <f>0.0062111801242236*4.55912624748668</f>
        <v>2.8317554332215396E-2</v>
      </c>
      <c r="I18086">
        <v>2.8317554332215431E-2</v>
      </c>
    </row>
    <row r="18087" spans="1:9" x14ac:dyDescent="0.25">
      <c r="A18087">
        <v>566</v>
      </c>
      <c r="B18087" t="s">
        <v>4444</v>
      </c>
      <c r="C18087" t="s">
        <v>10</v>
      </c>
      <c r="D18087" t="s">
        <v>2170</v>
      </c>
      <c r="E18087">
        <f t="shared" si="862"/>
        <v>6.2111801242236021E-3</v>
      </c>
      <c r="F18087">
        <v>5</v>
      </c>
      <c r="G18087">
        <f>LOG(382/(5+1))</f>
        <v>1.803912112528065</v>
      </c>
      <c r="H18087">
        <f>0.0062111801242236*4.15366113937852</f>
        <v>2.5799137511667816E-2</v>
      </c>
      <c r="I18087">
        <v>2.5799137511667819E-2</v>
      </c>
    </row>
    <row r="18088" spans="1:9" x14ac:dyDescent="0.25">
      <c r="A18088">
        <v>566</v>
      </c>
      <c r="B18088" t="s">
        <v>4444</v>
      </c>
      <c r="C18088" t="s">
        <v>10</v>
      </c>
      <c r="D18088" t="s">
        <v>112</v>
      </c>
      <c r="E18088">
        <f t="shared" si="862"/>
        <v>6.2111801242236021E-3</v>
      </c>
      <c r="F18088">
        <v>52</v>
      </c>
      <c r="G18088">
        <f>LOG(382/(52+1))</f>
        <v>0.85778749331091964</v>
      </c>
      <c r="H18088">
        <f>0.0062111801242236*1.97512869505445</f>
        <v>1.2267880093505896E-2</v>
      </c>
      <c r="I18088">
        <v>1.226788009350592E-2</v>
      </c>
    </row>
    <row r="18089" spans="1:9" x14ac:dyDescent="0.25">
      <c r="A18089">
        <v>566</v>
      </c>
      <c r="B18089" t="s">
        <v>4444</v>
      </c>
      <c r="C18089" t="s">
        <v>10</v>
      </c>
      <c r="D18089" t="s">
        <v>4450</v>
      </c>
      <c r="E18089">
        <f t="shared" si="862"/>
        <v>6.2111801242236021E-3</v>
      </c>
      <c r="F18089">
        <v>1</v>
      </c>
      <c r="G18089">
        <f>LOG(382/(1+1))</f>
        <v>2.2810333672477277</v>
      </c>
      <c r="H18089">
        <f>0.0062111801242236*5.25227342804663</f>
        <v>3.2622816323270978E-2</v>
      </c>
      <c r="I18089">
        <v>3.2622816323270992E-2</v>
      </c>
    </row>
    <row r="18090" spans="1:9" x14ac:dyDescent="0.25">
      <c r="A18090">
        <v>566</v>
      </c>
      <c r="B18090" t="s">
        <v>4444</v>
      </c>
      <c r="C18090" t="s">
        <v>10</v>
      </c>
      <c r="D18090" t="s">
        <v>1871</v>
      </c>
      <c r="E18090">
        <f t="shared" si="862"/>
        <v>6.2111801242236021E-3</v>
      </c>
      <c r="F18090">
        <v>4</v>
      </c>
      <c r="G18090">
        <f>LOG(382/(4+1))</f>
        <v>1.8830933585756899</v>
      </c>
      <c r="H18090">
        <f>0.0062111801242236*4.33598269617247</f>
        <v>2.6931569541443906E-2</v>
      </c>
      <c r="I18090">
        <v>2.6931569541443941E-2</v>
      </c>
    </row>
    <row r="18091" spans="1:9" x14ac:dyDescent="0.25">
      <c r="A18091">
        <v>566</v>
      </c>
      <c r="B18091" t="s">
        <v>4444</v>
      </c>
      <c r="C18091" t="s">
        <v>10</v>
      </c>
      <c r="D18091" t="s">
        <v>2982</v>
      </c>
      <c r="E18091">
        <f>4/161</f>
        <v>2.4844720496894408E-2</v>
      </c>
      <c r="F18091">
        <v>2</v>
      </c>
      <c r="G18091">
        <f>LOG(382/(2+1))</f>
        <v>2.1049421081920463</v>
      </c>
      <c r="H18091">
        <f>0.0248447204968944*4.84680831993846</f>
        <v>0.12041759801089337</v>
      </c>
      <c r="I18091">
        <v>0.1204175980108935</v>
      </c>
    </row>
    <row r="18092" spans="1:9" x14ac:dyDescent="0.25">
      <c r="A18092">
        <v>566</v>
      </c>
      <c r="B18092" t="s">
        <v>4444</v>
      </c>
      <c r="C18092" t="s">
        <v>10</v>
      </c>
      <c r="D18092" t="s">
        <v>46</v>
      </c>
      <c r="E18092">
        <f>1/161</f>
        <v>6.2111801242236021E-3</v>
      </c>
      <c r="F18092">
        <v>3</v>
      </c>
      <c r="G18092">
        <f>LOG(382/(3+1))</f>
        <v>1.9800033715837464</v>
      </c>
      <c r="H18092">
        <f>0.0062111801242236*4.55912624748668</f>
        <v>2.8317554332215396E-2</v>
      </c>
      <c r="I18092">
        <v>2.8317554332215431E-2</v>
      </c>
    </row>
    <row r="18093" spans="1:9" x14ac:dyDescent="0.25">
      <c r="A18093">
        <v>566</v>
      </c>
      <c r="B18093" t="s">
        <v>4444</v>
      </c>
      <c r="C18093" t="s">
        <v>10</v>
      </c>
      <c r="D18093" t="s">
        <v>2526</v>
      </c>
      <c r="E18093">
        <f>2/161</f>
        <v>1.2422360248447204E-2</v>
      </c>
      <c r="F18093">
        <v>2</v>
      </c>
      <c r="G18093">
        <f>LOG(382/(2+1))</f>
        <v>2.1049421081920463</v>
      </c>
      <c r="H18093">
        <f>0.0124223602484472*4.84680831993846</f>
        <v>6.0208799005446685E-2</v>
      </c>
      <c r="I18093">
        <v>6.0208799005446768E-2</v>
      </c>
    </row>
    <row r="18094" spans="1:9" x14ac:dyDescent="0.25">
      <c r="A18094">
        <v>566</v>
      </c>
      <c r="B18094" t="s">
        <v>4444</v>
      </c>
      <c r="C18094" t="s">
        <v>10</v>
      </c>
      <c r="D18094" t="s">
        <v>4451</v>
      </c>
      <c r="E18094">
        <f>1/161</f>
        <v>6.2111801242236021E-3</v>
      </c>
      <c r="F18094">
        <v>1</v>
      </c>
      <c r="G18094">
        <f>LOG(382/(1+1))</f>
        <v>2.2810333672477277</v>
      </c>
      <c r="H18094">
        <f>0.0062111801242236*5.25227342804663</f>
        <v>3.2622816323270978E-2</v>
      </c>
      <c r="I18094">
        <v>3.2622816323270992E-2</v>
      </c>
    </row>
    <row r="18095" spans="1:9" x14ac:dyDescent="0.25">
      <c r="A18095">
        <v>566</v>
      </c>
      <c r="B18095" t="s">
        <v>4444</v>
      </c>
      <c r="C18095" t="s">
        <v>10</v>
      </c>
      <c r="D18095" t="s">
        <v>2003</v>
      </c>
      <c r="E18095">
        <f>2/161</f>
        <v>1.2422360248447204E-2</v>
      </c>
      <c r="F18095">
        <v>2</v>
      </c>
      <c r="G18095">
        <f>LOG(382/(2+1))</f>
        <v>2.1049421081920463</v>
      </c>
      <c r="H18095">
        <f>0.0124223602484472*4.84680831993846</f>
        <v>6.0208799005446685E-2</v>
      </c>
      <c r="I18095">
        <v>6.0208799005446768E-2</v>
      </c>
    </row>
    <row r="18096" spans="1:9" x14ac:dyDescent="0.25">
      <c r="A18096">
        <v>566</v>
      </c>
      <c r="B18096" t="s">
        <v>4444</v>
      </c>
      <c r="C18096" t="s">
        <v>10</v>
      </c>
      <c r="D18096" t="s">
        <v>4452</v>
      </c>
      <c r="E18096">
        <f>2/161</f>
        <v>1.2422360248447204E-2</v>
      </c>
      <c r="F18096">
        <v>1</v>
      </c>
      <c r="G18096">
        <f>LOG(382/(1+1))</f>
        <v>2.2810333672477277</v>
      </c>
      <c r="H18096">
        <f>0.0124223602484472*5.25227342804663</f>
        <v>6.5245632646541957E-2</v>
      </c>
      <c r="I18096">
        <v>6.5245632646541984E-2</v>
      </c>
    </row>
    <row r="18097" spans="1:9" x14ac:dyDescent="0.25">
      <c r="A18097">
        <v>566</v>
      </c>
      <c r="B18097" t="s">
        <v>4444</v>
      </c>
      <c r="C18097" t="s">
        <v>10</v>
      </c>
      <c r="D18097" t="s">
        <v>144</v>
      </c>
      <c r="E18097">
        <f>2/161</f>
        <v>1.2422360248447204E-2</v>
      </c>
      <c r="F18097">
        <v>105</v>
      </c>
      <c r="G18097">
        <f>LOG(382/(105+1))</f>
        <v>0.55675749764693849</v>
      </c>
      <c r="H18097">
        <f>0.0124223602484472*1.2819815144945</f>
        <v>1.5925236204900616E-2</v>
      </c>
      <c r="I18097">
        <v>1.592523620490072E-2</v>
      </c>
    </row>
    <row r="18098" spans="1:9" x14ac:dyDescent="0.25">
      <c r="A18098">
        <v>566</v>
      </c>
      <c r="B18098" t="s">
        <v>4444</v>
      </c>
      <c r="C18098" t="s">
        <v>10</v>
      </c>
      <c r="D18098" t="s">
        <v>1398</v>
      </c>
      <c r="E18098">
        <f t="shared" ref="E18098:E18110" si="863">1/161</f>
        <v>6.2111801242236021E-3</v>
      </c>
      <c r="F18098">
        <v>29</v>
      </c>
      <c r="G18098">
        <f>LOG(382/(29+1))</f>
        <v>1.1049421081920463</v>
      </c>
      <c r="H18098">
        <f>0.0062111801242236*2.54422322694442</f>
        <v>1.5802628738785209E-2</v>
      </c>
      <c r="I18098">
        <v>1.580262873878522E-2</v>
      </c>
    </row>
    <row r="18099" spans="1:9" x14ac:dyDescent="0.25">
      <c r="A18099">
        <v>566</v>
      </c>
      <c r="B18099" t="s">
        <v>4444</v>
      </c>
      <c r="C18099" t="s">
        <v>10</v>
      </c>
      <c r="D18099" t="s">
        <v>1905</v>
      </c>
      <c r="E18099">
        <f t="shared" si="863"/>
        <v>6.2111801242236021E-3</v>
      </c>
      <c r="F18099">
        <v>24</v>
      </c>
      <c r="G18099">
        <f>LOG(382/(24+1))</f>
        <v>1.1841233542396712</v>
      </c>
      <c r="H18099">
        <f>0.0062111801242236*2.72654478373837</f>
        <v>1.6935060768561296E-2</v>
      </c>
      <c r="I18099">
        <v>1.6935060768561331E-2</v>
      </c>
    </row>
    <row r="18100" spans="1:9" x14ac:dyDescent="0.25">
      <c r="A18100">
        <v>566</v>
      </c>
      <c r="B18100" t="s">
        <v>4444</v>
      </c>
      <c r="C18100" t="s">
        <v>10</v>
      </c>
      <c r="D18100" t="s">
        <v>600</v>
      </c>
      <c r="E18100">
        <f t="shared" si="863"/>
        <v>6.2111801242236021E-3</v>
      </c>
      <c r="F18100">
        <v>102</v>
      </c>
      <c r="G18100">
        <f>LOG(382/(102+1))</f>
        <v>0.56922613820653656</v>
      </c>
      <c r="H18100">
        <f>0.0062111801242236*1.31069162037693</f>
        <v>8.140941741471612E-3</v>
      </c>
      <c r="I18100">
        <v>8.1409417414716728E-3</v>
      </c>
    </row>
    <row r="18101" spans="1:9" x14ac:dyDescent="0.25">
      <c r="A18101">
        <v>566</v>
      </c>
      <c r="B18101" t="s">
        <v>4444</v>
      </c>
      <c r="C18101" t="s">
        <v>10</v>
      </c>
      <c r="D18101" t="s">
        <v>726</v>
      </c>
      <c r="E18101">
        <f t="shared" si="863"/>
        <v>6.2111801242236021E-3</v>
      </c>
      <c r="F18101">
        <v>37</v>
      </c>
      <c r="G18101">
        <f>LOG(382/(37+1))</f>
        <v>1.0022797662948986</v>
      </c>
      <c r="H18101">
        <f>0.0062111801242236*2.30783444888018</f>
        <v>1.43343754588831E-2</v>
      </c>
      <c r="I18101">
        <v>1.4334375458883161E-2</v>
      </c>
    </row>
    <row r="18102" spans="1:9" x14ac:dyDescent="0.25">
      <c r="A18102">
        <v>566</v>
      </c>
      <c r="B18102" t="s">
        <v>4444</v>
      </c>
      <c r="C18102" t="s">
        <v>10</v>
      </c>
      <c r="D18102" t="s">
        <v>4453</v>
      </c>
      <c r="E18102">
        <f t="shared" si="863"/>
        <v>6.2111801242236021E-3</v>
      </c>
      <c r="F18102">
        <v>1</v>
      </c>
      <c r="G18102">
        <f>LOG(382/(1+1))</f>
        <v>2.2810333672477277</v>
      </c>
      <c r="H18102">
        <f>0.0062111801242236*5.25227342804663</f>
        <v>3.2622816323270978E-2</v>
      </c>
      <c r="I18102">
        <v>3.2622816323270992E-2</v>
      </c>
    </row>
    <row r="18103" spans="1:9" x14ac:dyDescent="0.25">
      <c r="A18103">
        <v>566</v>
      </c>
      <c r="B18103" t="s">
        <v>4444</v>
      </c>
      <c r="C18103" t="s">
        <v>10</v>
      </c>
      <c r="D18103" t="s">
        <v>3241</v>
      </c>
      <c r="E18103">
        <f t="shared" si="863"/>
        <v>6.2111801242236021E-3</v>
      </c>
      <c r="F18103">
        <v>9</v>
      </c>
      <c r="G18103">
        <f>LOG(382/(9+1))</f>
        <v>1.5820633629117087</v>
      </c>
      <c r="H18103">
        <f>0.0062111801242236*3.64283551561252</f>
        <v>2.2626307550388317E-2</v>
      </c>
      <c r="I18103">
        <v>2.2626307550388379E-2</v>
      </c>
    </row>
    <row r="18104" spans="1:9" x14ac:dyDescent="0.25">
      <c r="A18104">
        <v>566</v>
      </c>
      <c r="B18104" t="s">
        <v>4444</v>
      </c>
      <c r="C18104" t="s">
        <v>10</v>
      </c>
      <c r="D18104" t="s">
        <v>72</v>
      </c>
      <c r="E18104">
        <f t="shared" si="863"/>
        <v>6.2111801242236021E-3</v>
      </c>
      <c r="F18104">
        <v>13</v>
      </c>
      <c r="G18104">
        <f>LOG(382/(13+1))</f>
        <v>1.4359353272334707</v>
      </c>
      <c r="H18104">
        <f>0.0062111801242236*3.30636327899131</f>
        <v>2.0536417881933597E-2</v>
      </c>
      <c r="I18104">
        <v>2.0536417881933638E-2</v>
      </c>
    </row>
    <row r="18105" spans="1:9" x14ac:dyDescent="0.25">
      <c r="A18105">
        <v>566</v>
      </c>
      <c r="B18105" t="s">
        <v>4444</v>
      </c>
      <c r="C18105" t="s">
        <v>10</v>
      </c>
      <c r="D18105" t="s">
        <v>17</v>
      </c>
      <c r="E18105">
        <f t="shared" si="863"/>
        <v>6.2111801242236021E-3</v>
      </c>
      <c r="F18105">
        <v>169</v>
      </c>
      <c r="G18105">
        <f>LOG(382/(169+1))</f>
        <v>0.3516144415334348</v>
      </c>
      <c r="H18105">
        <f>0.0062111801242236*0.809622171556313</f>
        <v>5.0287091401013213E-3</v>
      </c>
      <c r="I18105">
        <v>5.0287091401013256E-3</v>
      </c>
    </row>
    <row r="18106" spans="1:9" x14ac:dyDescent="0.25">
      <c r="A18106">
        <v>566</v>
      </c>
      <c r="B18106" t="s">
        <v>4444</v>
      </c>
      <c r="C18106" t="s">
        <v>10</v>
      </c>
      <c r="D18106" t="s">
        <v>725</v>
      </c>
      <c r="E18106">
        <f t="shared" si="863"/>
        <v>6.2111801242236021E-3</v>
      </c>
      <c r="F18106">
        <v>12</v>
      </c>
      <c r="G18106">
        <f>LOG(382/(12+1))</f>
        <v>1.468120010604872</v>
      </c>
      <c r="H18106">
        <f>0.0062111801242236*3.38047125114503</f>
        <v>2.0996715845621298E-2</v>
      </c>
      <c r="I18106">
        <v>2.099671584562136E-2</v>
      </c>
    </row>
    <row r="18107" spans="1:9" x14ac:dyDescent="0.25">
      <c r="A18107">
        <v>566</v>
      </c>
      <c r="B18107" t="s">
        <v>4444</v>
      </c>
      <c r="C18107" t="s">
        <v>10</v>
      </c>
      <c r="D18107" t="s">
        <v>758</v>
      </c>
      <c r="E18107">
        <f t="shared" si="863"/>
        <v>6.2111801242236021E-3</v>
      </c>
      <c r="F18107">
        <v>26</v>
      </c>
      <c r="G18107">
        <f>LOG(382/(26+1))</f>
        <v>1.1506995987527215</v>
      </c>
      <c r="H18107">
        <f>0.0062111801242236*2.64958374260224</f>
        <v>1.6457041879517013E-2</v>
      </c>
      <c r="I18107">
        <v>1.6457041879517059E-2</v>
      </c>
    </row>
    <row r="18108" spans="1:9" x14ac:dyDescent="0.25">
      <c r="A18108">
        <v>566</v>
      </c>
      <c r="B18108" t="s">
        <v>4444</v>
      </c>
      <c r="C18108" t="s">
        <v>10</v>
      </c>
      <c r="D18108" t="s">
        <v>196</v>
      </c>
      <c r="E18108">
        <f t="shared" si="863"/>
        <v>6.2111801242236021E-3</v>
      </c>
      <c r="F18108">
        <v>33</v>
      </c>
      <c r="G18108">
        <f>LOG(382/(33+1))</f>
        <v>1.0505844458694535</v>
      </c>
      <c r="H18108">
        <f>0.0062111801242236*2.41906008399041</f>
        <v>1.5025217912983909E-2</v>
      </c>
      <c r="I18108">
        <v>1.5025217912983941E-2</v>
      </c>
    </row>
    <row r="18109" spans="1:9" x14ac:dyDescent="0.25">
      <c r="A18109">
        <v>566</v>
      </c>
      <c r="B18109" t="s">
        <v>4444</v>
      </c>
      <c r="C18109" t="s">
        <v>10</v>
      </c>
      <c r="D18109" t="s">
        <v>340</v>
      </c>
      <c r="E18109">
        <f t="shared" si="863"/>
        <v>6.2111801242236021E-3</v>
      </c>
      <c r="F18109">
        <v>28</v>
      </c>
      <c r="G18109">
        <f>LOG(382/(28+1))</f>
        <v>1.1196653650127526</v>
      </c>
      <c r="H18109">
        <f>0.0062111801242236*2.5781247786201</f>
        <v>1.6013197382733532E-2</v>
      </c>
      <c r="I18109">
        <v>1.601319738273355E-2</v>
      </c>
    </row>
    <row r="18110" spans="1:9" x14ac:dyDescent="0.25">
      <c r="A18110">
        <v>566</v>
      </c>
      <c r="B18110" t="s">
        <v>4444</v>
      </c>
      <c r="C18110" t="s">
        <v>10</v>
      </c>
      <c r="D18110" t="s">
        <v>339</v>
      </c>
      <c r="E18110">
        <f t="shared" si="863"/>
        <v>6.2111801242236021E-3</v>
      </c>
      <c r="F18110">
        <v>66</v>
      </c>
      <c r="G18110">
        <f>LOG(382/(66+1))</f>
        <v>0.75598856021088234</v>
      </c>
      <c r="H18110">
        <f>0.0062111801242236*1.7407279892156</f>
        <v>1.0811975088295648E-2</v>
      </c>
      <c r="I18110">
        <v>1.0811975088295711E-2</v>
      </c>
    </row>
    <row r="18111" spans="1:9" x14ac:dyDescent="0.25">
      <c r="A18111">
        <v>566</v>
      </c>
      <c r="B18111" t="s">
        <v>4444</v>
      </c>
      <c r="C18111" t="s">
        <v>10</v>
      </c>
      <c r="D18111" t="s">
        <v>237</v>
      </c>
      <c r="E18111">
        <f>4/161</f>
        <v>2.4844720496894408E-2</v>
      </c>
      <c r="F18111">
        <v>138</v>
      </c>
      <c r="G18111">
        <f>LOG(382/(138+1))</f>
        <v>0.43904856265761361</v>
      </c>
      <c r="H18111">
        <f>0.0248447204968944*1.01094667547588</f>
        <v>2.5116687589462849E-2</v>
      </c>
      <c r="I18111">
        <v>2.5116687589462939E-2</v>
      </c>
    </row>
    <row r="18112" spans="1:9" x14ac:dyDescent="0.25">
      <c r="A18112">
        <v>566</v>
      </c>
      <c r="B18112" t="s">
        <v>4444</v>
      </c>
      <c r="C18112" t="s">
        <v>10</v>
      </c>
      <c r="D18112" t="s">
        <v>596</v>
      </c>
      <c r="E18112">
        <f>1/161</f>
        <v>6.2111801242236021E-3</v>
      </c>
      <c r="F18112">
        <v>60</v>
      </c>
      <c r="G18112">
        <f>LOG(382/(60+1))</f>
        <v>0.79673352790094176</v>
      </c>
      <c r="H18112">
        <f>0.0062111801242236*1.83454674443326</f>
        <v>1.1394700275982977E-2</v>
      </c>
      <c r="I18112">
        <v>1.1394700275982999E-2</v>
      </c>
    </row>
    <row r="18113" spans="1:9" x14ac:dyDescent="0.25">
      <c r="A18113">
        <v>566</v>
      </c>
      <c r="B18113" t="s">
        <v>4444</v>
      </c>
      <c r="C18113" t="s">
        <v>10</v>
      </c>
      <c r="D18113" t="s">
        <v>597</v>
      </c>
      <c r="E18113">
        <f>1/161</f>
        <v>6.2111801242236021E-3</v>
      </c>
      <c r="F18113">
        <v>51</v>
      </c>
      <c r="G18113">
        <f>LOG(382/(51+1))</f>
        <v>0.86606001927690957</v>
      </c>
      <c r="H18113">
        <f>0.0062111801242236*1.99417689002514</f>
        <v>1.2386191863510181E-2</v>
      </c>
      <c r="I18113">
        <v>1.238619186351023E-2</v>
      </c>
    </row>
    <row r="18114" spans="1:9" x14ac:dyDescent="0.25">
      <c r="A18114">
        <v>566</v>
      </c>
      <c r="B18114" t="s">
        <v>4444</v>
      </c>
      <c r="C18114" t="s">
        <v>10</v>
      </c>
      <c r="D18114" t="s">
        <v>1482</v>
      </c>
      <c r="E18114">
        <f>1/161</f>
        <v>6.2111801242236021E-3</v>
      </c>
      <c r="F18114">
        <v>7</v>
      </c>
      <c r="G18114">
        <f>LOG(382/(7+1))</f>
        <v>1.6789733759197651</v>
      </c>
      <c r="H18114">
        <f>0.0062111801242236*3.86597906692673</f>
        <v>2.4012292341159806E-2</v>
      </c>
      <c r="I18114">
        <v>2.4012292341159869E-2</v>
      </c>
    </row>
    <row r="18115" spans="1:9" x14ac:dyDescent="0.25">
      <c r="A18115">
        <v>566</v>
      </c>
      <c r="B18115" t="s">
        <v>4444</v>
      </c>
      <c r="C18115" t="s">
        <v>10</v>
      </c>
      <c r="D18115" t="s">
        <v>361</v>
      </c>
      <c r="E18115">
        <f>1/161</f>
        <v>6.2111801242236021E-3</v>
      </c>
      <c r="F18115">
        <v>118</v>
      </c>
      <c r="G18115">
        <f>LOG(382/(118+1))</f>
        <v>0.50651640151917798</v>
      </c>
      <c r="H18115">
        <f>0.0062111801242236*1.16629711549504</f>
        <v>7.2440814627021087E-3</v>
      </c>
      <c r="I18115">
        <v>7.2440814627021477E-3</v>
      </c>
    </row>
    <row r="18116" spans="1:9" x14ac:dyDescent="0.25">
      <c r="A18116">
        <v>566</v>
      </c>
      <c r="B18116" t="s">
        <v>4444</v>
      </c>
      <c r="C18116" t="s">
        <v>10</v>
      </c>
      <c r="D18116" t="s">
        <v>434</v>
      </c>
      <c r="E18116">
        <f>1/161</f>
        <v>6.2111801242236021E-3</v>
      </c>
      <c r="F18116">
        <v>97</v>
      </c>
      <c r="G18116">
        <f>LOG(382/(97+1))</f>
        <v>0.59083728721921391</v>
      </c>
      <c r="H18116">
        <f>0.0062111801242236*1.360453129936</f>
        <v>8.4500194405962709E-3</v>
      </c>
      <c r="I18116">
        <v>8.4500194405962934E-3</v>
      </c>
    </row>
    <row r="18117" spans="1:9" x14ac:dyDescent="0.25">
      <c r="A18117">
        <v>566</v>
      </c>
      <c r="B18117" t="s">
        <v>4444</v>
      </c>
      <c r="C18117" t="s">
        <v>10</v>
      </c>
      <c r="D18117" t="s">
        <v>239</v>
      </c>
      <c r="E18117">
        <f>2/161</f>
        <v>1.2422360248447204E-2</v>
      </c>
      <c r="F18117">
        <v>40</v>
      </c>
      <c r="G18117">
        <f>LOG(382/(40+1))</f>
        <v>0.96927950619197323</v>
      </c>
      <c r="H18117">
        <f>0.0124223602484472*2.23184854190226</f>
        <v>2.7724826607481479E-2</v>
      </c>
      <c r="I18117">
        <v>2.772482660748158E-2</v>
      </c>
    </row>
    <row r="18118" spans="1:9" x14ac:dyDescent="0.25">
      <c r="A18118">
        <v>566</v>
      </c>
      <c r="B18118" t="s">
        <v>4444</v>
      </c>
      <c r="C18118" t="s">
        <v>10</v>
      </c>
      <c r="D18118" t="s">
        <v>444</v>
      </c>
      <c r="E18118">
        <f>3/161</f>
        <v>1.8633540372670808E-2</v>
      </c>
      <c r="F18118">
        <v>28</v>
      </c>
      <c r="G18118">
        <f>LOG(382/(28+1))</f>
        <v>1.1196653650127526</v>
      </c>
      <c r="H18118">
        <f>0.0186335403726708*2.5781247786201</f>
        <v>4.8039592148200604E-2</v>
      </c>
      <c r="I18118">
        <v>4.8039592148200652E-2</v>
      </c>
    </row>
    <row r="18119" spans="1:9" x14ac:dyDescent="0.25">
      <c r="A18119">
        <v>566</v>
      </c>
      <c r="B18119" t="s">
        <v>4444</v>
      </c>
      <c r="C18119" t="s">
        <v>10</v>
      </c>
      <c r="D18119" t="s">
        <v>310</v>
      </c>
      <c r="E18119">
        <f>1/161</f>
        <v>6.2111801242236021E-3</v>
      </c>
      <c r="F18119">
        <v>50</v>
      </c>
      <c r="G18119">
        <f>LOG(382/(50+1))</f>
        <v>0.87449318681377242</v>
      </c>
      <c r="H18119">
        <f>0.0062111801242236*2.01359497588224</f>
        <v>1.2506801092436268E-2</v>
      </c>
      <c r="I18119">
        <v>1.2506801092436331E-2</v>
      </c>
    </row>
    <row r="18120" spans="1:9" x14ac:dyDescent="0.25">
      <c r="A18120">
        <v>566</v>
      </c>
      <c r="B18120" t="s">
        <v>4444</v>
      </c>
      <c r="C18120" t="s">
        <v>10</v>
      </c>
      <c r="D18120" t="s">
        <v>1972</v>
      </c>
      <c r="E18120">
        <f>1/161</f>
        <v>6.2111801242236021E-3</v>
      </c>
      <c r="F18120">
        <v>9</v>
      </c>
      <c r="G18120">
        <f>LOG(382/(9+1))</f>
        <v>1.5820633629117087</v>
      </c>
      <c r="H18120">
        <f>0.0062111801242236*3.64283551561252</f>
        <v>2.2626307550388317E-2</v>
      </c>
      <c r="I18120">
        <v>2.2626307550388379E-2</v>
      </c>
    </row>
    <row r="18121" spans="1:9" x14ac:dyDescent="0.25">
      <c r="A18121">
        <v>566</v>
      </c>
      <c r="B18121" t="s">
        <v>4444</v>
      </c>
      <c r="C18121" t="s">
        <v>10</v>
      </c>
      <c r="D18121" t="s">
        <v>1468</v>
      </c>
      <c r="E18121">
        <f>1/161</f>
        <v>6.2111801242236021E-3</v>
      </c>
      <c r="F18121">
        <v>8</v>
      </c>
      <c r="G18121">
        <f>LOG(382/(8+1))</f>
        <v>1.6278208534723839</v>
      </c>
      <c r="H18121">
        <f>0.0062111801242236*3.74819603127035</f>
        <v>2.3280720691120176E-2</v>
      </c>
      <c r="I18121">
        <v>2.3280720691120221E-2</v>
      </c>
    </row>
    <row r="18122" spans="1:9" x14ac:dyDescent="0.25">
      <c r="A18122">
        <v>566</v>
      </c>
      <c r="B18122" t="s">
        <v>4444</v>
      </c>
      <c r="C18122" t="s">
        <v>10</v>
      </c>
      <c r="D18122" t="s">
        <v>214</v>
      </c>
      <c r="E18122">
        <f>1/161</f>
        <v>6.2111801242236021E-3</v>
      </c>
      <c r="F18122">
        <v>68</v>
      </c>
      <c r="G18122">
        <f>LOG(382/(68+1))</f>
        <v>0.74321427217445335</v>
      </c>
      <c r="H18122">
        <f>0.0062111801242236*1.71131410400931</f>
        <v>1.0629280149126145E-2</v>
      </c>
      <c r="I18122">
        <v>1.062928014912618E-2</v>
      </c>
    </row>
    <row r="18123" spans="1:9" x14ac:dyDescent="0.25">
      <c r="A18123">
        <v>566</v>
      </c>
      <c r="B18123" t="s">
        <v>4444</v>
      </c>
      <c r="C18123" t="s">
        <v>10</v>
      </c>
      <c r="D18123" t="s">
        <v>445</v>
      </c>
      <c r="E18123">
        <f>2/161</f>
        <v>1.2422360248447204E-2</v>
      </c>
      <c r="F18123">
        <v>35</v>
      </c>
      <c r="G18123">
        <f>LOG(382/(35+1))</f>
        <v>1.0257608621444214</v>
      </c>
      <c r="H18123">
        <f>0.0124223602484472*2.36190167015046</f>
        <v>2.9340393418018126E-2</v>
      </c>
      <c r="I18123">
        <v>2.9340393418018199E-2</v>
      </c>
    </row>
    <row r="18124" spans="1:9" x14ac:dyDescent="0.25">
      <c r="A18124">
        <v>566</v>
      </c>
      <c r="B18124" t="s">
        <v>4444</v>
      </c>
      <c r="C18124" t="s">
        <v>10</v>
      </c>
      <c r="D18124" t="s">
        <v>4454</v>
      </c>
      <c r="E18124">
        <f>1/161</f>
        <v>6.2111801242236021E-3</v>
      </c>
      <c r="F18124">
        <v>1</v>
      </c>
      <c r="G18124">
        <f>LOG(382/(1+1))</f>
        <v>2.2810333672477277</v>
      </c>
      <c r="H18124">
        <f>0.0062111801242236*5.25227342804663</f>
        <v>3.2622816323270978E-2</v>
      </c>
      <c r="I18124">
        <v>3.2622816323270992E-2</v>
      </c>
    </row>
    <row r="18125" spans="1:9" x14ac:dyDescent="0.25">
      <c r="A18125">
        <v>566</v>
      </c>
      <c r="B18125" t="s">
        <v>4444</v>
      </c>
      <c r="C18125" t="s">
        <v>10</v>
      </c>
      <c r="D18125" t="s">
        <v>490</v>
      </c>
      <c r="E18125">
        <f>2/161</f>
        <v>1.2422360248447204E-2</v>
      </c>
      <c r="F18125">
        <v>31</v>
      </c>
      <c r="G18125">
        <f>LOG(382/(31+1))</f>
        <v>1.0769133845918029</v>
      </c>
      <c r="H18125">
        <f>0.0124223602484472*2.47968470580684</f>
        <v>3.080353671809738E-2</v>
      </c>
      <c r="I18125">
        <v>3.0803536718097501E-2</v>
      </c>
    </row>
    <row r="18126" spans="1:9" x14ac:dyDescent="0.25">
      <c r="A18126">
        <v>566</v>
      </c>
      <c r="B18126" t="s">
        <v>4444</v>
      </c>
      <c r="C18126" t="s">
        <v>10</v>
      </c>
      <c r="D18126" t="s">
        <v>209</v>
      </c>
      <c r="E18126">
        <f>1/161</f>
        <v>6.2111801242236021E-3</v>
      </c>
      <c r="F18126">
        <v>7</v>
      </c>
      <c r="G18126">
        <f>LOG(382/(7+1))</f>
        <v>1.6789733759197651</v>
      </c>
      <c r="H18126">
        <f>0.0062111801242236*3.86597906692673</f>
        <v>2.4012292341159806E-2</v>
      </c>
      <c r="I18126">
        <v>2.4012292341159869E-2</v>
      </c>
    </row>
    <row r="18127" spans="1:9" x14ac:dyDescent="0.25">
      <c r="A18127">
        <v>566</v>
      </c>
      <c r="B18127" t="s">
        <v>4444</v>
      </c>
      <c r="C18127" t="s">
        <v>10</v>
      </c>
      <c r="D18127" t="s">
        <v>1633</v>
      </c>
      <c r="E18127">
        <f>1/161</f>
        <v>6.2111801242236021E-3</v>
      </c>
      <c r="F18127">
        <v>18</v>
      </c>
      <c r="G18127">
        <f>LOG(382/(18+1))</f>
        <v>1.3033097619588798</v>
      </c>
      <c r="H18127">
        <f>0.0062111801242236*3.00098162944013</f>
        <v>1.8639637449938691E-2</v>
      </c>
      <c r="I18127">
        <v>1.8639637449938719E-2</v>
      </c>
    </row>
    <row r="18128" spans="1:9" x14ac:dyDescent="0.25">
      <c r="A18128">
        <v>566</v>
      </c>
      <c r="B18128" t="s">
        <v>4444</v>
      </c>
      <c r="C18128" t="s">
        <v>10</v>
      </c>
      <c r="D18128" t="s">
        <v>1176</v>
      </c>
      <c r="E18128">
        <f>1/161</f>
        <v>6.2111801242236021E-3</v>
      </c>
      <c r="F18128">
        <v>15</v>
      </c>
      <c r="G18128">
        <f>LOG(382/(15+1))</f>
        <v>1.3779433802557839</v>
      </c>
      <c r="H18128">
        <f>0.0062111801242236*3.17283188636679</f>
        <v>1.9707030350104279E-2</v>
      </c>
      <c r="I18128">
        <v>1.9707030350104311E-2</v>
      </c>
    </row>
    <row r="18129" spans="1:9" x14ac:dyDescent="0.25">
      <c r="A18129">
        <v>566</v>
      </c>
      <c r="B18129" t="s">
        <v>4444</v>
      </c>
      <c r="C18129" t="s">
        <v>10</v>
      </c>
      <c r="D18129" t="s">
        <v>1073</v>
      </c>
      <c r="E18129">
        <f>1/161</f>
        <v>6.2111801242236021E-3</v>
      </c>
      <c r="F18129">
        <v>25</v>
      </c>
      <c r="G18129">
        <f>LOG(382/(25+1))</f>
        <v>1.1670900149408907</v>
      </c>
      <c r="H18129">
        <f>0.0062111801242236*2.68732407058509</f>
        <v>1.6691453854565771E-2</v>
      </c>
      <c r="I18129">
        <v>1.6691453854565799E-2</v>
      </c>
    </row>
    <row r="18130" spans="1:9" x14ac:dyDescent="0.25">
      <c r="A18130">
        <v>566</v>
      </c>
      <c r="B18130" t="s">
        <v>4444</v>
      </c>
      <c r="C18130" t="s">
        <v>10</v>
      </c>
      <c r="D18130" t="s">
        <v>4455</v>
      </c>
      <c r="E18130">
        <f>1/161</f>
        <v>6.2111801242236021E-3</v>
      </c>
      <c r="F18130">
        <v>1</v>
      </c>
      <c r="G18130">
        <f>LOG(382/(1+1))</f>
        <v>2.2810333672477277</v>
      </c>
      <c r="H18130">
        <f>0.0062111801242236*5.25227342804663</f>
        <v>3.2622816323270978E-2</v>
      </c>
      <c r="I18130">
        <v>3.2622816323270992E-2</v>
      </c>
    </row>
    <row r="18131" spans="1:9" x14ac:dyDescent="0.25">
      <c r="A18131">
        <v>566</v>
      </c>
      <c r="B18131" t="s">
        <v>4444</v>
      </c>
      <c r="C18131" t="s">
        <v>10</v>
      </c>
      <c r="D18131" t="s">
        <v>322</v>
      </c>
      <c r="E18131">
        <f>3/161</f>
        <v>1.8633540372670808E-2</v>
      </c>
      <c r="F18131">
        <v>128</v>
      </c>
      <c r="G18131">
        <f>LOG(382/(128+1))</f>
        <v>0.47147365261245977</v>
      </c>
      <c r="H18131">
        <f>0.0186335403726708*1.0856082042449</f>
        <v>2.0228724302699994E-2</v>
      </c>
      <c r="I18131">
        <v>2.0228724302700059E-2</v>
      </c>
    </row>
    <row r="18132" spans="1:9" x14ac:dyDescent="0.25">
      <c r="A18132">
        <v>566</v>
      </c>
      <c r="B18132" t="s">
        <v>4444</v>
      </c>
      <c r="C18132" t="s">
        <v>10</v>
      </c>
      <c r="D18132" t="s">
        <v>215</v>
      </c>
      <c r="E18132">
        <f>1/161</f>
        <v>6.2111801242236021E-3</v>
      </c>
      <c r="F18132">
        <v>25</v>
      </c>
      <c r="G18132">
        <f>LOG(382/(25+1))</f>
        <v>1.1670900149408907</v>
      </c>
      <c r="H18132">
        <f>0.0062111801242236*2.68732407058509</f>
        <v>1.6691453854565771E-2</v>
      </c>
      <c r="I18132">
        <v>1.6691453854565799E-2</v>
      </c>
    </row>
    <row r="18133" spans="1:9" x14ac:dyDescent="0.25">
      <c r="A18133">
        <v>566</v>
      </c>
      <c r="B18133" t="s">
        <v>4444</v>
      </c>
      <c r="C18133" t="s">
        <v>10</v>
      </c>
      <c r="D18133" t="s">
        <v>216</v>
      </c>
      <c r="E18133">
        <f>1/161</f>
        <v>6.2111801242236021E-3</v>
      </c>
      <c r="F18133">
        <v>63</v>
      </c>
      <c r="G18133">
        <f>LOG(382/(63+1))</f>
        <v>0.7758833889278216</v>
      </c>
      <c r="H18133">
        <f>0.0062111801242236*1.7865375252469</f>
        <v>1.1096506367993164E-2</v>
      </c>
      <c r="I18133">
        <v>1.1096506367993191E-2</v>
      </c>
    </row>
    <row r="18134" spans="1:9" x14ac:dyDescent="0.25">
      <c r="A18134">
        <v>566</v>
      </c>
      <c r="B18134" t="s">
        <v>4444</v>
      </c>
      <c r="C18134" t="s">
        <v>10</v>
      </c>
      <c r="D18134" t="s">
        <v>489</v>
      </c>
      <c r="E18134">
        <f>3/161</f>
        <v>1.8633540372670808E-2</v>
      </c>
      <c r="F18134">
        <v>6</v>
      </c>
      <c r="G18134">
        <f>LOG(382/(6+1))</f>
        <v>1.736965322897452</v>
      </c>
      <c r="H18134">
        <f>0.0186335403726708*3.99951045955126</f>
        <v>7.4525039618967559E-2</v>
      </c>
      <c r="I18134">
        <v>7.4525039618967615E-2</v>
      </c>
    </row>
    <row r="18135" spans="1:9" x14ac:dyDescent="0.25">
      <c r="A18135">
        <v>566</v>
      </c>
      <c r="B18135" t="s">
        <v>4444</v>
      </c>
      <c r="C18135" t="s">
        <v>10</v>
      </c>
      <c r="D18135" t="s">
        <v>1125</v>
      </c>
      <c r="E18135">
        <f t="shared" ref="E18135:E18142" si="864">1/161</f>
        <v>6.2111801242236021E-3</v>
      </c>
      <c r="F18135">
        <v>19</v>
      </c>
      <c r="G18135">
        <f>LOG(382/(19+1))</f>
        <v>1.2810333672477277</v>
      </c>
      <c r="H18135">
        <f>0.0062111801242236*2.94968833505258</f>
        <v>1.8321045559332789E-2</v>
      </c>
      <c r="I18135">
        <v>1.8321045559332821E-2</v>
      </c>
    </row>
    <row r="18136" spans="1:9" x14ac:dyDescent="0.25">
      <c r="A18136">
        <v>566</v>
      </c>
      <c r="B18136" t="s">
        <v>4444</v>
      </c>
      <c r="C18136" t="s">
        <v>10</v>
      </c>
      <c r="D18136" t="s">
        <v>4456</v>
      </c>
      <c r="E18136">
        <f t="shared" si="864"/>
        <v>6.2111801242236021E-3</v>
      </c>
      <c r="F18136">
        <v>1</v>
      </c>
      <c r="G18136">
        <f>LOG(382/(1+1))</f>
        <v>2.2810333672477277</v>
      </c>
      <c r="H18136">
        <f>0.0062111801242236*5.25227342804663</f>
        <v>3.2622816323270978E-2</v>
      </c>
      <c r="I18136">
        <v>3.2622816323270992E-2</v>
      </c>
    </row>
    <row r="18137" spans="1:9" x14ac:dyDescent="0.25">
      <c r="A18137">
        <v>566</v>
      </c>
      <c r="B18137" t="s">
        <v>4444</v>
      </c>
      <c r="C18137" t="s">
        <v>10</v>
      </c>
      <c r="D18137" t="s">
        <v>1302</v>
      </c>
      <c r="E18137">
        <f t="shared" si="864"/>
        <v>6.2111801242236021E-3</v>
      </c>
      <c r="F18137">
        <v>4</v>
      </c>
      <c r="G18137">
        <f>LOG(382/(4+1))</f>
        <v>1.8830933585756899</v>
      </c>
      <c r="H18137">
        <f>0.0062111801242236*4.33598269617247</f>
        <v>2.6931569541443906E-2</v>
      </c>
      <c r="I18137">
        <v>2.6931569541443941E-2</v>
      </c>
    </row>
    <row r="18138" spans="1:9" x14ac:dyDescent="0.25">
      <c r="A18138">
        <v>566</v>
      </c>
      <c r="B18138" t="s">
        <v>4444</v>
      </c>
      <c r="C18138" t="s">
        <v>10</v>
      </c>
      <c r="D18138" t="s">
        <v>4457</v>
      </c>
      <c r="E18138">
        <f t="shared" si="864"/>
        <v>6.2111801242236021E-3</v>
      </c>
      <c r="F18138">
        <v>1</v>
      </c>
      <c r="G18138">
        <f>LOG(382/(1+1))</f>
        <v>2.2810333672477277</v>
      </c>
      <c r="H18138">
        <f>0.0062111801242236*5.25227342804663</f>
        <v>3.2622816323270978E-2</v>
      </c>
      <c r="I18138">
        <v>3.2622816323270992E-2</v>
      </c>
    </row>
    <row r="18139" spans="1:9" x14ac:dyDescent="0.25">
      <c r="A18139">
        <v>566</v>
      </c>
      <c r="B18139" t="s">
        <v>4444</v>
      </c>
      <c r="C18139" t="s">
        <v>10</v>
      </c>
      <c r="D18139" t="s">
        <v>451</v>
      </c>
      <c r="E18139">
        <f t="shared" si="864"/>
        <v>6.2111801242236021E-3</v>
      </c>
      <c r="F18139">
        <v>15</v>
      </c>
      <c r="G18139">
        <f>LOG(382/(15+1))</f>
        <v>1.3779433802557839</v>
      </c>
      <c r="H18139">
        <f>0.0062111801242236*3.17283188636679</f>
        <v>1.9707030350104279E-2</v>
      </c>
      <c r="I18139">
        <v>1.9707030350104311E-2</v>
      </c>
    </row>
    <row r="18140" spans="1:9" x14ac:dyDescent="0.25">
      <c r="A18140">
        <v>566</v>
      </c>
      <c r="B18140" t="s">
        <v>4444</v>
      </c>
      <c r="C18140" t="s">
        <v>10</v>
      </c>
      <c r="D18140" t="s">
        <v>1186</v>
      </c>
      <c r="E18140">
        <f t="shared" si="864"/>
        <v>6.2111801242236021E-3</v>
      </c>
      <c r="F18140">
        <v>3</v>
      </c>
      <c r="G18140">
        <f>LOG(382/(3+1))</f>
        <v>1.9800033715837464</v>
      </c>
      <c r="H18140">
        <f>0.0062111801242236*4.55912624748668</f>
        <v>2.8317554332215396E-2</v>
      </c>
      <c r="I18140">
        <v>2.8317554332215431E-2</v>
      </c>
    </row>
    <row r="18141" spans="1:9" x14ac:dyDescent="0.25">
      <c r="A18141">
        <v>566</v>
      </c>
      <c r="B18141" t="s">
        <v>4444</v>
      </c>
      <c r="C18141" t="s">
        <v>10</v>
      </c>
      <c r="D18141" t="s">
        <v>717</v>
      </c>
      <c r="E18141">
        <f t="shared" si="864"/>
        <v>6.2111801242236021E-3</v>
      </c>
      <c r="F18141">
        <v>5</v>
      </c>
      <c r="G18141">
        <f>LOG(382/(5+1))</f>
        <v>1.803912112528065</v>
      </c>
      <c r="H18141">
        <f>0.0062111801242236*4.15366113937852</f>
        <v>2.5799137511667816E-2</v>
      </c>
      <c r="I18141">
        <v>2.5799137511667819E-2</v>
      </c>
    </row>
    <row r="18142" spans="1:9" x14ac:dyDescent="0.25">
      <c r="A18142">
        <v>566</v>
      </c>
      <c r="B18142" t="s">
        <v>4444</v>
      </c>
      <c r="C18142" t="s">
        <v>10</v>
      </c>
      <c r="D18142" t="s">
        <v>739</v>
      </c>
      <c r="E18142">
        <f t="shared" si="864"/>
        <v>6.2111801242236021E-3</v>
      </c>
      <c r="F18142">
        <v>24</v>
      </c>
      <c r="G18142">
        <f>LOG(382/(24+1))</f>
        <v>1.1841233542396712</v>
      </c>
      <c r="H18142">
        <f>0.0062111801242236*2.72654478373837</f>
        <v>1.6935060768561296E-2</v>
      </c>
      <c r="I18142">
        <v>1.6935060768561331E-2</v>
      </c>
    </row>
    <row r="18143" spans="1:9" x14ac:dyDescent="0.25">
      <c r="A18143">
        <v>566</v>
      </c>
      <c r="B18143" t="s">
        <v>4444</v>
      </c>
      <c r="C18143" t="s">
        <v>10</v>
      </c>
      <c r="D18143" t="s">
        <v>49</v>
      </c>
      <c r="E18143">
        <f>2/161</f>
        <v>1.2422360248447204E-2</v>
      </c>
      <c r="F18143">
        <v>13</v>
      </c>
      <c r="G18143">
        <f>LOG(382/(13+1))</f>
        <v>1.4359353272334707</v>
      </c>
      <c r="H18143">
        <f>0.0124223602484472*3.30636327899131</f>
        <v>4.1072835763867194E-2</v>
      </c>
      <c r="I18143">
        <v>4.1072835763867277E-2</v>
      </c>
    </row>
    <row r="18144" spans="1:9" x14ac:dyDescent="0.25">
      <c r="A18144">
        <v>566</v>
      </c>
      <c r="B18144" t="s">
        <v>4444</v>
      </c>
      <c r="C18144" t="s">
        <v>10</v>
      </c>
      <c r="D18144" t="s">
        <v>4458</v>
      </c>
      <c r="E18144">
        <f>2/161</f>
        <v>1.2422360248447204E-2</v>
      </c>
      <c r="F18144">
        <v>1</v>
      </c>
      <c r="G18144">
        <f>LOG(382/(1+1))</f>
        <v>2.2810333672477277</v>
      </c>
      <c r="H18144">
        <f>0.0124223602484472*5.25227342804663</f>
        <v>6.5245632646541957E-2</v>
      </c>
      <c r="I18144">
        <v>6.5245632646541984E-2</v>
      </c>
    </row>
    <row r="18145" spans="1:9" x14ac:dyDescent="0.25">
      <c r="A18145">
        <v>566</v>
      </c>
      <c r="B18145" t="s">
        <v>4444</v>
      </c>
      <c r="C18145" t="s">
        <v>10</v>
      </c>
      <c r="D18145" t="s">
        <v>324</v>
      </c>
      <c r="E18145">
        <f>2/161</f>
        <v>1.2422360248447204E-2</v>
      </c>
      <c r="F18145">
        <v>82</v>
      </c>
      <c r="G18145">
        <f>LOG(382/(82+1))</f>
        <v>0.66298527053563483</v>
      </c>
      <c r="H18145">
        <f>0.0124223602484472*1.52658000080997</f>
        <v>1.8963726718136266E-2</v>
      </c>
      <c r="I18145">
        <v>1.896372671813636E-2</v>
      </c>
    </row>
    <row r="18146" spans="1:9" x14ac:dyDescent="0.25">
      <c r="A18146">
        <v>566</v>
      </c>
      <c r="B18146" t="s">
        <v>4444</v>
      </c>
      <c r="C18146" t="s">
        <v>10</v>
      </c>
      <c r="D18146" t="s">
        <v>92</v>
      </c>
      <c r="E18146">
        <f t="shared" ref="E18146:E18163" si="865">1/161</f>
        <v>6.2111801242236021E-3</v>
      </c>
      <c r="F18146">
        <v>12</v>
      </c>
      <c r="G18146">
        <f>LOG(382/(12+1))</f>
        <v>1.468120010604872</v>
      </c>
      <c r="H18146">
        <f>0.0062111801242236*3.38047125114503</f>
        <v>2.0996715845621298E-2</v>
      </c>
      <c r="I18146">
        <v>2.099671584562136E-2</v>
      </c>
    </row>
    <row r="18147" spans="1:9" x14ac:dyDescent="0.25">
      <c r="A18147">
        <v>566</v>
      </c>
      <c r="B18147" t="s">
        <v>4444</v>
      </c>
      <c r="C18147" t="s">
        <v>10</v>
      </c>
      <c r="D18147" t="s">
        <v>4459</v>
      </c>
      <c r="E18147">
        <f t="shared" si="865"/>
        <v>6.2111801242236021E-3</v>
      </c>
      <c r="F18147">
        <v>1</v>
      </c>
      <c r="G18147">
        <f>LOG(382/(1+1))</f>
        <v>2.2810333672477277</v>
      </c>
      <c r="H18147">
        <f>0.0062111801242236*5.25227342804663</f>
        <v>3.2622816323270978E-2</v>
      </c>
      <c r="I18147">
        <v>3.2622816323270992E-2</v>
      </c>
    </row>
    <row r="18148" spans="1:9" x14ac:dyDescent="0.25">
      <c r="A18148">
        <v>566</v>
      </c>
      <c r="B18148" t="s">
        <v>4444</v>
      </c>
      <c r="C18148" t="s">
        <v>10</v>
      </c>
      <c r="D18148" t="s">
        <v>238</v>
      </c>
      <c r="E18148">
        <f t="shared" si="865"/>
        <v>6.2111801242236021E-3</v>
      </c>
      <c r="F18148">
        <v>10</v>
      </c>
      <c r="G18148">
        <f>LOG(382/(10+1))</f>
        <v>1.5406706777534838</v>
      </c>
      <c r="H18148">
        <f>0.0062111801242236*3.5475253358082</f>
        <v>2.2034318855951546E-2</v>
      </c>
      <c r="I18148">
        <v>2.2034318855951581E-2</v>
      </c>
    </row>
    <row r="18149" spans="1:9" x14ac:dyDescent="0.25">
      <c r="A18149">
        <v>566</v>
      </c>
      <c r="B18149" t="s">
        <v>4444</v>
      </c>
      <c r="C18149" t="s">
        <v>10</v>
      </c>
      <c r="D18149" t="s">
        <v>426</v>
      </c>
      <c r="E18149">
        <f t="shared" si="865"/>
        <v>6.2111801242236021E-3</v>
      </c>
      <c r="F18149">
        <v>10</v>
      </c>
      <c r="G18149">
        <f>LOG(382/(10+1))</f>
        <v>1.5406706777534838</v>
      </c>
      <c r="H18149">
        <f>0.0062111801242236*3.5475253358082</f>
        <v>2.2034318855951546E-2</v>
      </c>
      <c r="I18149">
        <v>2.2034318855951581E-2</v>
      </c>
    </row>
    <row r="18150" spans="1:9" x14ac:dyDescent="0.25">
      <c r="A18150">
        <v>566</v>
      </c>
      <c r="B18150" t="s">
        <v>4444</v>
      </c>
      <c r="C18150" t="s">
        <v>10</v>
      </c>
      <c r="D18150" t="s">
        <v>2505</v>
      </c>
      <c r="E18150">
        <f t="shared" si="865"/>
        <v>6.2111801242236021E-3</v>
      </c>
      <c r="F18150">
        <v>9</v>
      </c>
      <c r="G18150">
        <f>LOG(382/(9+1))</f>
        <v>1.5820633629117087</v>
      </c>
      <c r="H18150">
        <f>0.0062111801242236*3.64283551561252</f>
        <v>2.2626307550388317E-2</v>
      </c>
      <c r="I18150">
        <v>2.2626307550388379E-2</v>
      </c>
    </row>
    <row r="18151" spans="1:9" x14ac:dyDescent="0.25">
      <c r="A18151">
        <v>566</v>
      </c>
      <c r="B18151" t="s">
        <v>4444</v>
      </c>
      <c r="C18151" t="s">
        <v>10</v>
      </c>
      <c r="D18151" t="s">
        <v>81</v>
      </c>
      <c r="E18151">
        <f t="shared" si="865"/>
        <v>6.2111801242236021E-3</v>
      </c>
      <c r="F18151">
        <v>114</v>
      </c>
      <c r="G18151">
        <f>LOG(382/(114+1))</f>
        <v>0.52136552255809698</v>
      </c>
      <c r="H18151">
        <f>0.0062111801242236*1.20048848024332</f>
        <v>7.4564501878467051E-3</v>
      </c>
      <c r="I18151">
        <v>7.4564501878467389E-3</v>
      </c>
    </row>
    <row r="18152" spans="1:9" x14ac:dyDescent="0.25">
      <c r="A18152">
        <v>566</v>
      </c>
      <c r="B18152" t="s">
        <v>4444</v>
      </c>
      <c r="C18152" t="s">
        <v>10</v>
      </c>
      <c r="D18152" t="s">
        <v>2451</v>
      </c>
      <c r="E18152">
        <f t="shared" si="865"/>
        <v>6.2111801242236021E-3</v>
      </c>
      <c r="F18152">
        <v>5</v>
      </c>
      <c r="G18152">
        <f>LOG(382/(5+1))</f>
        <v>1.803912112528065</v>
      </c>
      <c r="H18152">
        <f>0.0062111801242236*4.15366113937852</f>
        <v>2.5799137511667816E-2</v>
      </c>
      <c r="I18152">
        <v>2.5799137511667819E-2</v>
      </c>
    </row>
    <row r="18153" spans="1:9" x14ac:dyDescent="0.25">
      <c r="A18153">
        <v>566</v>
      </c>
      <c r="B18153" t="s">
        <v>4444</v>
      </c>
      <c r="C18153" t="s">
        <v>10</v>
      </c>
      <c r="D18153" t="s">
        <v>1709</v>
      </c>
      <c r="E18153">
        <f t="shared" si="865"/>
        <v>6.2111801242236021E-3</v>
      </c>
      <c r="F18153">
        <v>21</v>
      </c>
      <c r="G18153">
        <f>LOG(382/(21+1))</f>
        <v>1.2396406820895025</v>
      </c>
      <c r="H18153">
        <f>0.0062111801242236*2.85437815524825</f>
        <v>1.7729056864895957E-2</v>
      </c>
      <c r="I18153">
        <v>1.7729056864896019E-2</v>
      </c>
    </row>
    <row r="18154" spans="1:9" x14ac:dyDescent="0.25">
      <c r="A18154">
        <v>566</v>
      </c>
      <c r="B18154" t="s">
        <v>4444</v>
      </c>
      <c r="C18154" t="s">
        <v>10</v>
      </c>
      <c r="D18154" t="s">
        <v>4383</v>
      </c>
      <c r="E18154">
        <f t="shared" si="865"/>
        <v>6.2111801242236021E-3</v>
      </c>
      <c r="F18154">
        <v>2</v>
      </c>
      <c r="G18154">
        <f>LOG(382/(2+1))</f>
        <v>2.1049421081920463</v>
      </c>
      <c r="H18154">
        <f>0.0062111801242236*4.84680831993846</f>
        <v>3.0104399502723343E-2</v>
      </c>
      <c r="I18154">
        <v>3.0104399502723381E-2</v>
      </c>
    </row>
    <row r="18155" spans="1:9" x14ac:dyDescent="0.25">
      <c r="A18155">
        <v>566</v>
      </c>
      <c r="B18155" t="s">
        <v>4444</v>
      </c>
      <c r="C18155" t="s">
        <v>10</v>
      </c>
      <c r="D18155" t="s">
        <v>764</v>
      </c>
      <c r="E18155">
        <f t="shared" si="865"/>
        <v>6.2111801242236021E-3</v>
      </c>
      <c r="F18155">
        <v>57</v>
      </c>
      <c r="G18155">
        <f>LOG(382/(57+1))</f>
        <v>0.81863536934877146</v>
      </c>
      <c r="H18155">
        <f>0.0062111801242236*1.88497759806015</f>
        <v>1.1707935391677946E-2</v>
      </c>
      <c r="I18155">
        <v>1.1707935391677979E-2</v>
      </c>
    </row>
    <row r="18156" spans="1:9" x14ac:dyDescent="0.25">
      <c r="A18156">
        <v>566</v>
      </c>
      <c r="B18156" t="s">
        <v>4444</v>
      </c>
      <c r="C18156" t="s">
        <v>10</v>
      </c>
      <c r="D18156" t="s">
        <v>1083</v>
      </c>
      <c r="E18156">
        <f t="shared" si="865"/>
        <v>6.2111801242236021E-3</v>
      </c>
      <c r="F18156">
        <v>51</v>
      </c>
      <c r="G18156">
        <f>LOG(382/(51+1))</f>
        <v>0.86606001927690957</v>
      </c>
      <c r="H18156">
        <f>0.0062111801242236*1.99417689002514</f>
        <v>1.2386191863510181E-2</v>
      </c>
      <c r="I18156">
        <v>1.238619186351023E-2</v>
      </c>
    </row>
    <row r="18157" spans="1:9" x14ac:dyDescent="0.25">
      <c r="A18157">
        <v>566</v>
      </c>
      <c r="B18157" t="s">
        <v>4444</v>
      </c>
      <c r="C18157" t="s">
        <v>10</v>
      </c>
      <c r="D18157" t="s">
        <v>765</v>
      </c>
      <c r="E18157">
        <f t="shared" si="865"/>
        <v>6.2111801242236021E-3</v>
      </c>
      <c r="F18157">
        <v>44</v>
      </c>
      <c r="G18157">
        <f>LOG(382/(44+1))</f>
        <v>0.92885084913636506</v>
      </c>
      <c r="H18157">
        <f>0.0062111801242236*2.13875811883625</f>
        <v>1.3284211918237572E-2</v>
      </c>
      <c r="I18157">
        <v>1.328421191823761E-2</v>
      </c>
    </row>
    <row r="18158" spans="1:9" x14ac:dyDescent="0.25">
      <c r="A18158">
        <v>566</v>
      </c>
      <c r="B18158" t="s">
        <v>4444</v>
      </c>
      <c r="C18158" t="s">
        <v>10</v>
      </c>
      <c r="D18158" t="s">
        <v>89</v>
      </c>
      <c r="E18158">
        <f t="shared" si="865"/>
        <v>6.2111801242236021E-3</v>
      </c>
      <c r="F18158">
        <v>40</v>
      </c>
      <c r="G18158">
        <f>LOG(382/(40+1))</f>
        <v>0.96927950619197323</v>
      </c>
      <c r="H18158">
        <f>0.0062111801242236*2.23184854190226</f>
        <v>1.386241330374074E-2</v>
      </c>
      <c r="I18158">
        <v>1.386241330374079E-2</v>
      </c>
    </row>
    <row r="18159" spans="1:9" x14ac:dyDescent="0.25">
      <c r="A18159">
        <v>566</v>
      </c>
      <c r="B18159" t="s">
        <v>4444</v>
      </c>
      <c r="C18159" t="s">
        <v>10</v>
      </c>
      <c r="D18159" t="s">
        <v>362</v>
      </c>
      <c r="E18159">
        <f t="shared" si="865"/>
        <v>6.2111801242236021E-3</v>
      </c>
      <c r="F18159">
        <v>81</v>
      </c>
      <c r="G18159">
        <f>LOG(382/(81+1))</f>
        <v>0.66824951052799197</v>
      </c>
      <c r="H18159">
        <f>0.0062111801242236*1.53870136134232</f>
        <v>9.5571513126852144E-3</v>
      </c>
      <c r="I18159">
        <v>9.5571513126852282E-3</v>
      </c>
    </row>
    <row r="18160" spans="1:9" x14ac:dyDescent="0.25">
      <c r="A18160">
        <v>566</v>
      </c>
      <c r="B18160" t="s">
        <v>4444</v>
      </c>
      <c r="C18160" t="s">
        <v>10</v>
      </c>
      <c r="D18160" t="s">
        <v>1769</v>
      </c>
      <c r="E18160">
        <f t="shared" si="865"/>
        <v>6.2111801242236021E-3</v>
      </c>
      <c r="F18160">
        <v>84</v>
      </c>
      <c r="G18160">
        <f>LOG(382/(84+1))</f>
        <v>0.65264443719741605</v>
      </c>
      <c r="H18160">
        <f>0.0062111801242236*1.50276935211625</f>
        <v>9.3339711311568284E-3</v>
      </c>
      <c r="I18160">
        <v>9.3339711311568874E-3</v>
      </c>
    </row>
    <row r="18161" spans="1:9" x14ac:dyDescent="0.25">
      <c r="A18161">
        <v>566</v>
      </c>
      <c r="B18161" t="s">
        <v>4444</v>
      </c>
      <c r="C18161" t="s">
        <v>10</v>
      </c>
      <c r="D18161" t="s">
        <v>1130</v>
      </c>
      <c r="E18161">
        <f t="shared" si="865"/>
        <v>6.2111801242236021E-3</v>
      </c>
      <c r="F18161">
        <v>12</v>
      </c>
      <c r="G18161">
        <f>LOG(382/(12+1))</f>
        <v>1.468120010604872</v>
      </c>
      <c r="H18161">
        <f>0.0062111801242236*3.38047125114503</f>
        <v>2.0996715845621298E-2</v>
      </c>
      <c r="I18161">
        <v>2.099671584562136E-2</v>
      </c>
    </row>
    <row r="18162" spans="1:9" x14ac:dyDescent="0.25">
      <c r="A18162">
        <v>566</v>
      </c>
      <c r="B18162" t="s">
        <v>4444</v>
      </c>
      <c r="C18162" t="s">
        <v>10</v>
      </c>
      <c r="D18162" t="s">
        <v>776</v>
      </c>
      <c r="E18162">
        <f t="shared" si="865"/>
        <v>6.2111801242236021E-3</v>
      </c>
      <c r="F18162">
        <v>15</v>
      </c>
      <c r="G18162">
        <f>LOG(382/(15+1))</f>
        <v>1.3779433802557839</v>
      </c>
      <c r="H18162">
        <f>0.0062111801242236*3.17283188636679</f>
        <v>1.9707030350104279E-2</v>
      </c>
      <c r="I18162">
        <v>1.9707030350104311E-2</v>
      </c>
    </row>
    <row r="18163" spans="1:9" x14ac:dyDescent="0.25">
      <c r="A18163">
        <v>566</v>
      </c>
      <c r="B18163" t="s">
        <v>4444</v>
      </c>
      <c r="C18163" t="s">
        <v>10</v>
      </c>
      <c r="D18163" t="s">
        <v>453</v>
      </c>
      <c r="E18163">
        <f t="shared" si="865"/>
        <v>6.2111801242236021E-3</v>
      </c>
      <c r="F18163">
        <v>68</v>
      </c>
      <c r="G18163">
        <f>LOG(382/(68+1))</f>
        <v>0.74321427217445335</v>
      </c>
      <c r="H18163">
        <f>0.0062111801242236*1.71131410400931</f>
        <v>1.0629280149126145E-2</v>
      </c>
      <c r="I18163">
        <v>1.062928014912618E-2</v>
      </c>
    </row>
    <row r="18164" spans="1:9" x14ac:dyDescent="0.25">
      <c r="A18164">
        <v>566</v>
      </c>
      <c r="B18164" t="s">
        <v>4444</v>
      </c>
      <c r="C18164" t="s">
        <v>10</v>
      </c>
      <c r="D18164" t="s">
        <v>243</v>
      </c>
      <c r="E18164">
        <f>2/161</f>
        <v>1.2422360248447204E-2</v>
      </c>
      <c r="F18164">
        <v>131</v>
      </c>
      <c r="G18164">
        <f>LOG(382/(131+1))</f>
        <v>0.46148943170585888</v>
      </c>
      <c r="H18164">
        <f>0.0124223602484472*1.0626186860202</f>
        <v>1.3200232124474531E-2</v>
      </c>
      <c r="I18164">
        <v>1.320023212447459E-2</v>
      </c>
    </row>
    <row r="18165" spans="1:9" x14ac:dyDescent="0.25">
      <c r="A18165">
        <v>566</v>
      </c>
      <c r="B18165" t="s">
        <v>4444</v>
      </c>
      <c r="C18165" t="s">
        <v>10</v>
      </c>
      <c r="D18165" t="s">
        <v>1397</v>
      </c>
      <c r="E18165">
        <f t="shared" ref="E18165:E18173" si="866">1/161</f>
        <v>6.2111801242236021E-3</v>
      </c>
      <c r="F18165">
        <v>29</v>
      </c>
      <c r="G18165">
        <f>LOG(382/(29+1))</f>
        <v>1.1049421081920463</v>
      </c>
      <c r="H18165">
        <f>0.0062111801242236*2.54422322694442</f>
        <v>1.5802628738785209E-2</v>
      </c>
      <c r="I18165">
        <v>1.580262873878522E-2</v>
      </c>
    </row>
    <row r="18166" spans="1:9" x14ac:dyDescent="0.25">
      <c r="A18166">
        <v>566</v>
      </c>
      <c r="B18166" t="s">
        <v>4444</v>
      </c>
      <c r="C18166" t="s">
        <v>10</v>
      </c>
      <c r="D18166" t="s">
        <v>458</v>
      </c>
      <c r="E18166">
        <f t="shared" si="866"/>
        <v>6.2111801242236021E-3</v>
      </c>
      <c r="F18166">
        <v>34</v>
      </c>
      <c r="G18166">
        <f>LOG(382/(34+1))</f>
        <v>1.037995318561433</v>
      </c>
      <c r="H18166">
        <f>0.0062111801242236*2.39007254711716</f>
        <v>1.4845171100106578E-2</v>
      </c>
      <c r="I18166">
        <v>1.484517110010659E-2</v>
      </c>
    </row>
    <row r="18167" spans="1:9" x14ac:dyDescent="0.25">
      <c r="A18167">
        <v>566</v>
      </c>
      <c r="B18167" t="s">
        <v>4444</v>
      </c>
      <c r="C18167" t="s">
        <v>10</v>
      </c>
      <c r="D18167" t="s">
        <v>459</v>
      </c>
      <c r="E18167">
        <f t="shared" si="866"/>
        <v>6.2111801242236021E-3</v>
      </c>
      <c r="F18167">
        <v>14</v>
      </c>
      <c r="G18167">
        <f>LOG(382/(14+1))</f>
        <v>1.4059721038560276</v>
      </c>
      <c r="H18167">
        <f>0.0062111801242236*3.23737040750436</f>
        <v>2.0107890729840736E-2</v>
      </c>
      <c r="I18167">
        <v>2.0107890729840781E-2</v>
      </c>
    </row>
    <row r="18168" spans="1:9" x14ac:dyDescent="0.25">
      <c r="A18168">
        <v>566</v>
      </c>
      <c r="B18168" t="s">
        <v>4444</v>
      </c>
      <c r="C18168" t="s">
        <v>10</v>
      </c>
      <c r="D18168" t="s">
        <v>836</v>
      </c>
      <c r="E18168">
        <f t="shared" si="866"/>
        <v>6.2111801242236021E-3</v>
      </c>
      <c r="F18168">
        <v>21</v>
      </c>
      <c r="G18168">
        <f>LOG(382/(21+1))</f>
        <v>1.2396406820895025</v>
      </c>
      <c r="H18168">
        <f>0.0062111801242236*2.85437815524825</f>
        <v>1.7729056864895957E-2</v>
      </c>
      <c r="I18168">
        <v>1.7729056864896019E-2</v>
      </c>
    </row>
    <row r="18169" spans="1:9" x14ac:dyDescent="0.25">
      <c r="A18169">
        <v>566</v>
      </c>
      <c r="B18169" t="s">
        <v>4444</v>
      </c>
      <c r="C18169" t="s">
        <v>10</v>
      </c>
      <c r="D18169" t="s">
        <v>4460</v>
      </c>
      <c r="E18169">
        <f t="shared" si="866"/>
        <v>6.2111801242236021E-3</v>
      </c>
      <c r="F18169">
        <v>1</v>
      </c>
      <c r="G18169">
        <f>LOG(382/(1+1))</f>
        <v>2.2810333672477277</v>
      </c>
      <c r="H18169">
        <f>0.0062111801242236*5.25227342804663</f>
        <v>3.2622816323270978E-2</v>
      </c>
      <c r="I18169">
        <v>3.2622816323270992E-2</v>
      </c>
    </row>
    <row r="18170" spans="1:9" x14ac:dyDescent="0.25">
      <c r="A18170">
        <v>566</v>
      </c>
      <c r="B18170" t="s">
        <v>4444</v>
      </c>
      <c r="C18170" t="s">
        <v>10</v>
      </c>
      <c r="D18170" t="s">
        <v>1362</v>
      </c>
      <c r="E18170">
        <f t="shared" si="866"/>
        <v>6.2111801242236021E-3</v>
      </c>
      <c r="F18170">
        <v>12</v>
      </c>
      <c r="G18170">
        <f>LOG(382/(12+1))</f>
        <v>1.468120010604872</v>
      </c>
      <c r="H18170">
        <f>0.0062111801242236*3.38047125114503</f>
        <v>2.0996715845621298E-2</v>
      </c>
      <c r="I18170">
        <v>2.099671584562136E-2</v>
      </c>
    </row>
    <row r="18171" spans="1:9" x14ac:dyDescent="0.25">
      <c r="A18171">
        <v>566</v>
      </c>
      <c r="B18171" t="s">
        <v>4444</v>
      </c>
      <c r="C18171" t="s">
        <v>10</v>
      </c>
      <c r="D18171" t="s">
        <v>887</v>
      </c>
      <c r="E18171">
        <f t="shared" si="866"/>
        <v>6.2111801242236021E-3</v>
      </c>
      <c r="F18171">
        <v>12</v>
      </c>
      <c r="G18171">
        <f>LOG(382/(12+1))</f>
        <v>1.468120010604872</v>
      </c>
      <c r="H18171">
        <f>0.0062111801242236*3.38047125114503</f>
        <v>2.0996715845621298E-2</v>
      </c>
      <c r="I18171">
        <v>2.099671584562136E-2</v>
      </c>
    </row>
    <row r="18172" spans="1:9" x14ac:dyDescent="0.25">
      <c r="A18172">
        <v>566</v>
      </c>
      <c r="B18172" t="s">
        <v>4444</v>
      </c>
      <c r="C18172" t="s">
        <v>10</v>
      </c>
      <c r="D18172" t="s">
        <v>888</v>
      </c>
      <c r="E18172">
        <f t="shared" si="866"/>
        <v>6.2111801242236021E-3</v>
      </c>
      <c r="F18172">
        <v>21</v>
      </c>
      <c r="G18172">
        <f>LOG(382/(21+1))</f>
        <v>1.2396406820895025</v>
      </c>
      <c r="H18172">
        <f>0.0062111801242236*2.85437815524825</f>
        <v>1.7729056864895957E-2</v>
      </c>
      <c r="I18172">
        <v>1.7729056864896019E-2</v>
      </c>
    </row>
    <row r="18173" spans="1:9" x14ac:dyDescent="0.25">
      <c r="A18173">
        <v>566</v>
      </c>
      <c r="B18173" t="s">
        <v>4444</v>
      </c>
      <c r="C18173" t="s">
        <v>10</v>
      </c>
      <c r="D18173" t="s">
        <v>4461</v>
      </c>
      <c r="E18173">
        <f t="shared" si="866"/>
        <v>6.2111801242236021E-3</v>
      </c>
      <c r="F18173">
        <v>1</v>
      </c>
      <c r="G18173">
        <f>LOG(382/(1+1))</f>
        <v>2.2810333672477277</v>
      </c>
      <c r="H18173">
        <f>0.0062111801242236*5.25227342804663</f>
        <v>3.2622816323270978E-2</v>
      </c>
      <c r="I18173">
        <v>3.2622816323270992E-2</v>
      </c>
    </row>
    <row r="18174" spans="1:9" x14ac:dyDescent="0.25">
      <c r="A18174">
        <v>567</v>
      </c>
      <c r="B18174" t="s">
        <v>4462</v>
      </c>
      <c r="C18174" t="s">
        <v>10</v>
      </c>
      <c r="D18174" t="s">
        <v>3079</v>
      </c>
      <c r="E18174">
        <f>5/129</f>
        <v>3.875968992248062E-2</v>
      </c>
      <c r="F18174">
        <v>2</v>
      </c>
      <c r="G18174">
        <f>LOG(382/(2+1))</f>
        <v>2.1049421081920463</v>
      </c>
      <c r="H18174">
        <f>0.0387596899224806*4.84680831993846</f>
        <v>0.18786078759451386</v>
      </c>
      <c r="I18174">
        <v>0.18786078759451419</v>
      </c>
    </row>
    <row r="18175" spans="1:9" x14ac:dyDescent="0.25">
      <c r="A18175">
        <v>567</v>
      </c>
      <c r="B18175" t="s">
        <v>4462</v>
      </c>
      <c r="C18175" t="s">
        <v>10</v>
      </c>
      <c r="D18175" t="s">
        <v>2837</v>
      </c>
      <c r="E18175">
        <f>4/129</f>
        <v>3.1007751937984496E-2</v>
      </c>
      <c r="F18175">
        <v>2</v>
      </c>
      <c r="G18175">
        <f>LOG(382/(2+1))</f>
        <v>2.1049421081920463</v>
      </c>
      <c r="H18175">
        <f>0.0310077519379844*4.84680831993846</f>
        <v>0.15028863007561069</v>
      </c>
      <c r="I18175">
        <v>0.1502886300756113</v>
      </c>
    </row>
    <row r="18176" spans="1:9" x14ac:dyDescent="0.25">
      <c r="A18176">
        <v>567</v>
      </c>
      <c r="B18176" t="s">
        <v>4462</v>
      </c>
      <c r="C18176" t="s">
        <v>10</v>
      </c>
      <c r="D18176" t="s">
        <v>3186</v>
      </c>
      <c r="E18176">
        <f>4/129</f>
        <v>3.1007751937984496E-2</v>
      </c>
      <c r="F18176">
        <v>3</v>
      </c>
      <c r="G18176">
        <f>LOG(382/(3+1))</f>
        <v>1.9800033715837464</v>
      </c>
      <c r="H18176">
        <f>0.0310077519379844*4.55912624748668</f>
        <v>0.14136825573602063</v>
      </c>
      <c r="I18176">
        <v>0.14136825573602119</v>
      </c>
    </row>
    <row r="18177" spans="1:9" x14ac:dyDescent="0.25">
      <c r="A18177">
        <v>567</v>
      </c>
      <c r="B18177" t="s">
        <v>4462</v>
      </c>
      <c r="C18177" t="s">
        <v>10</v>
      </c>
      <c r="D18177" t="s">
        <v>105</v>
      </c>
      <c r="E18177">
        <f>1/129</f>
        <v>7.7519379844961239E-3</v>
      </c>
      <c r="F18177">
        <v>122</v>
      </c>
      <c r="G18177">
        <f>LOG(382/(122+1))</f>
        <v>0.49215825147231079</v>
      </c>
      <c r="H18177">
        <f>0.00775193798449612*1.13323625323415</f>
        <v>8.7847771568538707E-3</v>
      </c>
      <c r="I18177">
        <v>8.7847771568539349E-3</v>
      </c>
    </row>
    <row r="18178" spans="1:9" x14ac:dyDescent="0.25">
      <c r="A18178">
        <v>567</v>
      </c>
      <c r="B18178" t="s">
        <v>4462</v>
      </c>
      <c r="C18178" t="s">
        <v>10</v>
      </c>
      <c r="D18178" t="s">
        <v>1401</v>
      </c>
      <c r="E18178">
        <f>4/129</f>
        <v>3.1007751937984496E-2</v>
      </c>
      <c r="F18178">
        <v>16</v>
      </c>
      <c r="G18178">
        <f>LOG(382/(16+1))</f>
        <v>1.3516144415334348</v>
      </c>
      <c r="H18178">
        <f>0.0310077519379844*3.11220726455035</f>
        <v>9.6502550838770226E-2</v>
      </c>
      <c r="I18178">
        <v>9.6502550838770823E-2</v>
      </c>
    </row>
    <row r="18179" spans="1:9" x14ac:dyDescent="0.25">
      <c r="A18179">
        <v>567</v>
      </c>
      <c r="B18179" t="s">
        <v>4462</v>
      </c>
      <c r="C18179" t="s">
        <v>10</v>
      </c>
      <c r="D18179" t="s">
        <v>4433</v>
      </c>
      <c r="E18179">
        <f>1/129</f>
        <v>7.7519379844961239E-3</v>
      </c>
      <c r="F18179">
        <v>2</v>
      </c>
      <c r="G18179">
        <f>LOG(382/(2+1))</f>
        <v>2.1049421081920463</v>
      </c>
      <c r="H18179">
        <f>0.00775193798449612*4.84680831993846</f>
        <v>3.757215751890277E-2</v>
      </c>
      <c r="I18179">
        <v>3.7572157518902832E-2</v>
      </c>
    </row>
    <row r="18180" spans="1:9" x14ac:dyDescent="0.25">
      <c r="A18180">
        <v>567</v>
      </c>
      <c r="B18180" t="s">
        <v>4462</v>
      </c>
      <c r="C18180" t="s">
        <v>10</v>
      </c>
      <c r="D18180" t="s">
        <v>247</v>
      </c>
      <c r="E18180">
        <f>1/129</f>
        <v>7.7519379844961239E-3</v>
      </c>
      <c r="F18180">
        <v>121</v>
      </c>
      <c r="G18180">
        <f>LOG(382/(121+1))</f>
        <v>0.49570353223696051</v>
      </c>
      <c r="H18180">
        <f>0.00775193798449612*1.14139956387331</f>
        <v>8.848058634676817E-3</v>
      </c>
      <c r="I18180">
        <v>8.8480586346768898E-3</v>
      </c>
    </row>
    <row r="18181" spans="1:9" x14ac:dyDescent="0.25">
      <c r="A18181">
        <v>567</v>
      </c>
      <c r="B18181" t="s">
        <v>4462</v>
      </c>
      <c r="C18181" t="s">
        <v>10</v>
      </c>
      <c r="D18181" t="s">
        <v>39</v>
      </c>
      <c r="E18181">
        <f>1/129</f>
        <v>7.7519379844961239E-3</v>
      </c>
      <c r="F18181">
        <v>145</v>
      </c>
      <c r="G18181">
        <f>LOG(382/(145+1))</f>
        <v>0.41771050712727159</v>
      </c>
      <c r="H18181">
        <f>0.00775193798449612*0.961813986898238</f>
        <v>7.4559223790561045E-3</v>
      </c>
      <c r="I18181">
        <v>7.455922379056114E-3</v>
      </c>
    </row>
    <row r="18182" spans="1:9" x14ac:dyDescent="0.25">
      <c r="A18182">
        <v>567</v>
      </c>
      <c r="B18182" t="s">
        <v>4462</v>
      </c>
      <c r="C18182" t="s">
        <v>10</v>
      </c>
      <c r="D18182" t="s">
        <v>11</v>
      </c>
      <c r="E18182">
        <f>6/129</f>
        <v>4.6511627906976744E-2</v>
      </c>
      <c r="F18182">
        <v>83</v>
      </c>
      <c r="G18182">
        <f>LOG(382/(83+1))</f>
        <v>0.65778407684982709</v>
      </c>
      <c r="H18182">
        <f>0.0465116279069767*1.51460380976326</f>
        <v>7.0446688826198076E-2</v>
      </c>
      <c r="I18182">
        <v>7.04466888261982E-2</v>
      </c>
    </row>
    <row r="18183" spans="1:9" x14ac:dyDescent="0.25">
      <c r="A18183">
        <v>567</v>
      </c>
      <c r="B18183" t="s">
        <v>4462</v>
      </c>
      <c r="C18183" t="s">
        <v>10</v>
      </c>
      <c r="D18183" t="s">
        <v>42</v>
      </c>
      <c r="E18183">
        <f>1/129</f>
        <v>7.7519379844961239E-3</v>
      </c>
      <c r="F18183">
        <v>251</v>
      </c>
      <c r="G18183">
        <f>LOG(382/(251+1))</f>
        <v>0.18066282213016463</v>
      </c>
      <c r="H18183">
        <f>0.00775193798449612*0.415991521095151</f>
        <v>3.2247404736058197E-3</v>
      </c>
      <c r="I18183">
        <v>3.224740473605828E-3</v>
      </c>
    </row>
    <row r="18184" spans="1:9" x14ac:dyDescent="0.25">
      <c r="A18184">
        <v>567</v>
      </c>
      <c r="B18184" t="s">
        <v>4462</v>
      </c>
      <c r="C18184" t="s">
        <v>10</v>
      </c>
      <c r="D18184" t="s">
        <v>814</v>
      </c>
      <c r="E18184">
        <f>2/129</f>
        <v>1.5503875968992248E-2</v>
      </c>
      <c r="F18184">
        <v>18</v>
      </c>
      <c r="G18184">
        <f>LOG(382/(18+1))</f>
        <v>1.3033097619588798</v>
      </c>
      <c r="H18184">
        <f>0.0155038759689922*3.00098162944013</f>
        <v>4.652684696806389E-2</v>
      </c>
      <c r="I18184">
        <v>4.6526846968064098E-2</v>
      </c>
    </row>
    <row r="18185" spans="1:9" x14ac:dyDescent="0.25">
      <c r="A18185">
        <v>567</v>
      </c>
      <c r="B18185" t="s">
        <v>4462</v>
      </c>
      <c r="C18185" t="s">
        <v>10</v>
      </c>
      <c r="D18185" t="s">
        <v>22</v>
      </c>
      <c r="E18185">
        <f>2/129</f>
        <v>1.5503875968992248E-2</v>
      </c>
      <c r="F18185">
        <v>259</v>
      </c>
      <c r="G18185">
        <f>LOG(382/(259+1))</f>
        <v>0.16709001494089079</v>
      </c>
      <c r="H18185">
        <f>0.0155038759689922*0.384738977591047</f>
        <v>5.9649453890084619E-3</v>
      </c>
      <c r="I18185">
        <v>5.9649453890084888E-3</v>
      </c>
    </row>
    <row r="18186" spans="1:9" x14ac:dyDescent="0.25">
      <c r="A18186">
        <v>567</v>
      </c>
      <c r="B18186" t="s">
        <v>4462</v>
      </c>
      <c r="C18186" t="s">
        <v>10</v>
      </c>
      <c r="D18186" t="s">
        <v>23</v>
      </c>
      <c r="E18186">
        <f>2/129</f>
        <v>1.5503875968992248E-2</v>
      </c>
      <c r="F18186">
        <v>275</v>
      </c>
      <c r="G18186">
        <f>LOG(382/(275+1))</f>
        <v>0.14115428084649101</v>
      </c>
      <c r="H18186">
        <f>0.0155038759689922*0.325019742889425</f>
        <v>5.0390657812313788E-3</v>
      </c>
      <c r="I18186">
        <v>5.0390657812313978E-3</v>
      </c>
    </row>
    <row r="18187" spans="1:9" x14ac:dyDescent="0.25">
      <c r="A18187">
        <v>567</v>
      </c>
      <c r="B18187" t="s">
        <v>4462</v>
      </c>
      <c r="C18187" t="s">
        <v>10</v>
      </c>
      <c r="D18187" t="s">
        <v>570</v>
      </c>
      <c r="E18187">
        <f>2/129</f>
        <v>1.5503875968992248E-2</v>
      </c>
      <c r="F18187">
        <v>27</v>
      </c>
      <c r="G18187">
        <f>LOG(382/(27+1))</f>
        <v>1.1349053315694895</v>
      </c>
      <c r="H18187">
        <f>0.0155038759689922*2.61321609843137</f>
        <v>4.0514978270253674E-2</v>
      </c>
      <c r="I18187">
        <v>4.0514978270253812E-2</v>
      </c>
    </row>
    <row r="18188" spans="1:9" x14ac:dyDescent="0.25">
      <c r="A18188">
        <v>567</v>
      </c>
      <c r="B18188" t="s">
        <v>4462</v>
      </c>
      <c r="C18188" t="s">
        <v>10</v>
      </c>
      <c r="D18188" t="s">
        <v>1185</v>
      </c>
      <c r="E18188">
        <f>1/129</f>
        <v>7.7519379844961239E-3</v>
      </c>
      <c r="F18188">
        <v>9</v>
      </c>
      <c r="G18188">
        <f>LOG(382/(9+1))</f>
        <v>1.5820633629117087</v>
      </c>
      <c r="H18188">
        <f>0.00775193798449612*3.64283551561252</f>
        <v>2.8239035004748201E-2</v>
      </c>
      <c r="I18188">
        <v>2.8239035004748291E-2</v>
      </c>
    </row>
    <row r="18189" spans="1:9" x14ac:dyDescent="0.25">
      <c r="A18189">
        <v>567</v>
      </c>
      <c r="B18189" t="s">
        <v>4462</v>
      </c>
      <c r="C18189" t="s">
        <v>10</v>
      </c>
      <c r="D18189" t="s">
        <v>345</v>
      </c>
      <c r="E18189">
        <f>1/129</f>
        <v>7.7519379844961239E-3</v>
      </c>
      <c r="F18189">
        <v>8</v>
      </c>
      <c r="G18189">
        <f>LOG(382/(8+1))</f>
        <v>1.6278208534723839</v>
      </c>
      <c r="H18189">
        <f>0.00775193798449612*3.74819603127035</f>
        <v>2.9055783188142233E-2</v>
      </c>
      <c r="I18189">
        <v>2.9055783188142292E-2</v>
      </c>
    </row>
    <row r="18190" spans="1:9" x14ac:dyDescent="0.25">
      <c r="A18190">
        <v>567</v>
      </c>
      <c r="B18190" t="s">
        <v>4462</v>
      </c>
      <c r="C18190" t="s">
        <v>10</v>
      </c>
      <c r="D18190" t="s">
        <v>204</v>
      </c>
      <c r="E18190">
        <f>2/129</f>
        <v>1.5503875968992248E-2</v>
      </c>
      <c r="F18190">
        <v>166</v>
      </c>
      <c r="G18190">
        <f>LOG(382/(166+1))</f>
        <v>0.35934689176412549</v>
      </c>
      <c r="H18190">
        <f>0.0155038759689922*0.82742679618982</f>
        <v>1.2828322421547555E-2</v>
      </c>
      <c r="I18190">
        <v>1.28283224215476E-2</v>
      </c>
    </row>
    <row r="18191" spans="1:9" x14ac:dyDescent="0.25">
      <c r="A18191">
        <v>567</v>
      </c>
      <c r="B18191" t="s">
        <v>4462</v>
      </c>
      <c r="C18191" t="s">
        <v>10</v>
      </c>
      <c r="D18191" t="s">
        <v>322</v>
      </c>
      <c r="E18191">
        <f>4/129</f>
        <v>3.1007751937984496E-2</v>
      </c>
      <c r="F18191">
        <v>128</v>
      </c>
      <c r="G18191">
        <f>LOG(382/(128+1))</f>
        <v>0.47147365261245977</v>
      </c>
      <c r="H18191">
        <f>0.0310077519379844*1.0856082042449</f>
        <v>3.3662269899066559E-2</v>
      </c>
      <c r="I18191">
        <v>3.366226989906676E-2</v>
      </c>
    </row>
    <row r="18192" spans="1:9" x14ac:dyDescent="0.25">
      <c r="A18192">
        <v>567</v>
      </c>
      <c r="B18192" t="s">
        <v>4462</v>
      </c>
      <c r="C18192" t="s">
        <v>10</v>
      </c>
      <c r="D18192" t="s">
        <v>1536</v>
      </c>
      <c r="E18192">
        <f>3/129</f>
        <v>2.3255813953488372E-2</v>
      </c>
      <c r="F18192">
        <v>5</v>
      </c>
      <c r="G18192">
        <f>LOG(382/(5+1))</f>
        <v>1.803912112528065</v>
      </c>
      <c r="H18192">
        <f>0.0232558139534883*4.15366113937852</f>
        <v>9.6596770683221089E-2</v>
      </c>
      <c r="I18192">
        <v>9.6596770683221395E-2</v>
      </c>
    </row>
    <row r="18193" spans="1:9" x14ac:dyDescent="0.25">
      <c r="A18193">
        <v>567</v>
      </c>
      <c r="B18193" t="s">
        <v>4462</v>
      </c>
      <c r="C18193" t="s">
        <v>10</v>
      </c>
      <c r="D18193" t="s">
        <v>764</v>
      </c>
      <c r="E18193">
        <f>2/129</f>
        <v>1.5503875968992248E-2</v>
      </c>
      <c r="F18193">
        <v>57</v>
      </c>
      <c r="G18193">
        <f>LOG(382/(57+1))</f>
        <v>0.81863536934877146</v>
      </c>
      <c r="H18193">
        <f>0.0155038759689922*1.88497759806015</f>
        <v>2.9224458884653397E-2</v>
      </c>
      <c r="I18193">
        <v>2.9224458884653581E-2</v>
      </c>
    </row>
    <row r="18194" spans="1:9" x14ac:dyDescent="0.25">
      <c r="A18194">
        <v>567</v>
      </c>
      <c r="B18194" t="s">
        <v>4462</v>
      </c>
      <c r="C18194" t="s">
        <v>10</v>
      </c>
      <c r="D18194" t="s">
        <v>2505</v>
      </c>
      <c r="E18194">
        <f>1/129</f>
        <v>7.7519379844961239E-3</v>
      </c>
      <c r="F18194">
        <v>9</v>
      </c>
      <c r="G18194">
        <f>LOG(382/(9+1))</f>
        <v>1.5820633629117087</v>
      </c>
      <c r="H18194">
        <f>0.00775193798449612*3.64283551561252</f>
        <v>2.8239035004748201E-2</v>
      </c>
      <c r="I18194">
        <v>2.8239035004748291E-2</v>
      </c>
    </row>
    <row r="18195" spans="1:9" x14ac:dyDescent="0.25">
      <c r="A18195">
        <v>567</v>
      </c>
      <c r="B18195" t="s">
        <v>4462</v>
      </c>
      <c r="C18195" t="s">
        <v>10</v>
      </c>
      <c r="D18195" t="s">
        <v>765</v>
      </c>
      <c r="E18195">
        <f>2/129</f>
        <v>1.5503875968992248E-2</v>
      </c>
      <c r="F18195">
        <v>44</v>
      </c>
      <c r="G18195">
        <f>LOG(382/(44+1))</f>
        <v>0.92885084913636506</v>
      </c>
      <c r="H18195">
        <f>0.0155038759689922*2.13875811883625</f>
        <v>3.3159040602112298E-2</v>
      </c>
      <c r="I18195">
        <v>3.3159040602112493E-2</v>
      </c>
    </row>
    <row r="18196" spans="1:9" x14ac:dyDescent="0.25">
      <c r="A18196">
        <v>567</v>
      </c>
      <c r="B18196" t="s">
        <v>4462</v>
      </c>
      <c r="C18196" t="s">
        <v>10</v>
      </c>
      <c r="D18196" t="s">
        <v>144</v>
      </c>
      <c r="E18196">
        <f t="shared" ref="E18196:E18210" si="867">1/129</f>
        <v>7.7519379844961239E-3</v>
      </c>
      <c r="F18196">
        <v>105</v>
      </c>
      <c r="G18196">
        <f>LOG(382/(105+1))</f>
        <v>0.55675749764693849</v>
      </c>
      <c r="H18196">
        <f>0.00775193798449612*1.2819815144945</f>
        <v>9.9378411976317766E-3</v>
      </c>
      <c r="I18196">
        <v>9.9378411976318443E-3</v>
      </c>
    </row>
    <row r="18197" spans="1:9" x14ac:dyDescent="0.25">
      <c r="A18197">
        <v>567</v>
      </c>
      <c r="B18197" t="s">
        <v>4462</v>
      </c>
      <c r="C18197" t="s">
        <v>10</v>
      </c>
      <c r="D18197" t="s">
        <v>1398</v>
      </c>
      <c r="E18197">
        <f t="shared" si="867"/>
        <v>7.7519379844961239E-3</v>
      </c>
      <c r="F18197">
        <v>29</v>
      </c>
      <c r="G18197">
        <f>LOG(382/(29+1))</f>
        <v>1.1049421081920463</v>
      </c>
      <c r="H18197">
        <f>0.00775193798449612*2.54422322694442</f>
        <v>1.972266067398774E-2</v>
      </c>
      <c r="I18197">
        <v>1.9722660673987751E-2</v>
      </c>
    </row>
    <row r="18198" spans="1:9" x14ac:dyDescent="0.25">
      <c r="A18198">
        <v>567</v>
      </c>
      <c r="B18198" t="s">
        <v>4462</v>
      </c>
      <c r="C18198" t="s">
        <v>10</v>
      </c>
      <c r="D18198" t="s">
        <v>1905</v>
      </c>
      <c r="E18198">
        <f t="shared" si="867"/>
        <v>7.7519379844961239E-3</v>
      </c>
      <c r="F18198">
        <v>24</v>
      </c>
      <c r="G18198">
        <f>LOG(382/(24+1))</f>
        <v>1.1841233542396712</v>
      </c>
      <c r="H18198">
        <f>0.00775193798449612*2.72654478373837</f>
        <v>2.1136006075491227E-2</v>
      </c>
      <c r="I18198">
        <v>2.1136006075491268E-2</v>
      </c>
    </row>
    <row r="18199" spans="1:9" x14ac:dyDescent="0.25">
      <c r="A18199">
        <v>567</v>
      </c>
      <c r="B18199" t="s">
        <v>4462</v>
      </c>
      <c r="C18199" t="s">
        <v>10</v>
      </c>
      <c r="D18199" t="s">
        <v>600</v>
      </c>
      <c r="E18199">
        <f t="shared" si="867"/>
        <v>7.7519379844961239E-3</v>
      </c>
      <c r="F18199">
        <v>102</v>
      </c>
      <c r="G18199">
        <f>LOG(382/(102+1))</f>
        <v>0.56922613820653656</v>
      </c>
      <c r="H18199">
        <f>0.00775193798449612*1.31069162037693</f>
        <v>1.0160400157960693E-2</v>
      </c>
      <c r="I18199">
        <v>1.0160400157960769E-2</v>
      </c>
    </row>
    <row r="18200" spans="1:9" x14ac:dyDescent="0.25">
      <c r="A18200">
        <v>567</v>
      </c>
      <c r="B18200" t="s">
        <v>4462</v>
      </c>
      <c r="C18200" t="s">
        <v>10</v>
      </c>
      <c r="D18200" t="s">
        <v>4463</v>
      </c>
      <c r="E18200">
        <f t="shared" si="867"/>
        <v>7.7519379844961239E-3</v>
      </c>
      <c r="F18200">
        <v>1</v>
      </c>
      <c r="G18200">
        <f>LOG(382/(1+1))</f>
        <v>2.2810333672477277</v>
      </c>
      <c r="H18200">
        <f>0.00775193798449612*5.25227342804663</f>
        <v>4.0715297891834319E-2</v>
      </c>
      <c r="I18200">
        <v>4.071529789183434E-2</v>
      </c>
    </row>
    <row r="18201" spans="1:9" x14ac:dyDescent="0.25">
      <c r="A18201">
        <v>567</v>
      </c>
      <c r="B18201" t="s">
        <v>4462</v>
      </c>
      <c r="C18201" t="s">
        <v>10</v>
      </c>
      <c r="D18201" t="s">
        <v>4464</v>
      </c>
      <c r="E18201">
        <f t="shared" si="867"/>
        <v>7.7519379844961239E-3</v>
      </c>
      <c r="F18201">
        <v>1</v>
      </c>
      <c r="G18201">
        <f>LOG(382/(1+1))</f>
        <v>2.2810333672477277</v>
      </c>
      <c r="H18201">
        <f>0.00775193798449612*5.25227342804663</f>
        <v>4.0715297891834319E-2</v>
      </c>
      <c r="I18201">
        <v>4.071529789183434E-2</v>
      </c>
    </row>
    <row r="18202" spans="1:9" x14ac:dyDescent="0.25">
      <c r="A18202">
        <v>567</v>
      </c>
      <c r="B18202" t="s">
        <v>4462</v>
      </c>
      <c r="C18202" t="s">
        <v>10</v>
      </c>
      <c r="D18202" t="s">
        <v>4233</v>
      </c>
      <c r="E18202">
        <f t="shared" si="867"/>
        <v>7.7519379844961239E-3</v>
      </c>
      <c r="F18202">
        <v>2</v>
      </c>
      <c r="G18202">
        <f>LOG(382/(2+1))</f>
        <v>2.1049421081920463</v>
      </c>
      <c r="H18202">
        <f>0.00775193798449612*4.84680831993846</f>
        <v>3.757215751890277E-2</v>
      </c>
      <c r="I18202">
        <v>3.7572157518902832E-2</v>
      </c>
    </row>
    <row r="18203" spans="1:9" x14ac:dyDescent="0.25">
      <c r="A18203">
        <v>567</v>
      </c>
      <c r="B18203" t="s">
        <v>4462</v>
      </c>
      <c r="C18203" t="s">
        <v>10</v>
      </c>
      <c r="D18203" t="s">
        <v>3251</v>
      </c>
      <c r="E18203">
        <f t="shared" si="867"/>
        <v>7.7519379844961239E-3</v>
      </c>
      <c r="F18203">
        <v>4</v>
      </c>
      <c r="G18203">
        <f>LOG(382/(4+1))</f>
        <v>1.8830933585756899</v>
      </c>
      <c r="H18203">
        <f>0.00775193798449612*4.33598269617247</f>
        <v>3.3612268962577269E-2</v>
      </c>
      <c r="I18203">
        <v>3.3612268962577317E-2</v>
      </c>
    </row>
    <row r="18204" spans="1:9" x14ac:dyDescent="0.25">
      <c r="A18204">
        <v>567</v>
      </c>
      <c r="B18204" t="s">
        <v>4462</v>
      </c>
      <c r="C18204" t="s">
        <v>10</v>
      </c>
      <c r="D18204" t="s">
        <v>4465</v>
      </c>
      <c r="E18204">
        <f t="shared" si="867"/>
        <v>7.7519379844961239E-3</v>
      </c>
      <c r="F18204">
        <v>1</v>
      </c>
      <c r="G18204">
        <f>LOG(382/(1+1))</f>
        <v>2.2810333672477277</v>
      </c>
      <c r="H18204">
        <f>0.00775193798449612*5.25227342804663</f>
        <v>4.0715297891834319E-2</v>
      </c>
      <c r="I18204">
        <v>4.071529789183434E-2</v>
      </c>
    </row>
    <row r="18205" spans="1:9" x14ac:dyDescent="0.25">
      <c r="A18205">
        <v>567</v>
      </c>
      <c r="B18205" t="s">
        <v>4462</v>
      </c>
      <c r="C18205" t="s">
        <v>10</v>
      </c>
      <c r="D18205" t="s">
        <v>17</v>
      </c>
      <c r="E18205">
        <f t="shared" si="867"/>
        <v>7.7519379844961239E-3</v>
      </c>
      <c r="F18205">
        <v>169</v>
      </c>
      <c r="G18205">
        <f>LOG(382/(169+1))</f>
        <v>0.3516144415334348</v>
      </c>
      <c r="H18205">
        <f>0.00775193798449612*0.809622171556313</f>
        <v>6.2761408647776162E-3</v>
      </c>
      <c r="I18205">
        <v>6.2761408647776231E-3</v>
      </c>
    </row>
    <row r="18206" spans="1:9" x14ac:dyDescent="0.25">
      <c r="A18206">
        <v>567</v>
      </c>
      <c r="B18206" t="s">
        <v>4462</v>
      </c>
      <c r="C18206" t="s">
        <v>10</v>
      </c>
      <c r="D18206" t="s">
        <v>432</v>
      </c>
      <c r="E18206">
        <f t="shared" si="867"/>
        <v>7.7519379844961239E-3</v>
      </c>
      <c r="F18206">
        <v>67</v>
      </c>
      <c r="G18206">
        <f>LOG(382/(67+1))</f>
        <v>0.7495544502054724</v>
      </c>
      <c r="H18206">
        <f>0.00775193798449612*1.72591290343046</f>
        <v>1.3379169794034567E-2</v>
      </c>
      <c r="I18206">
        <v>1.337916979403464E-2</v>
      </c>
    </row>
    <row r="18207" spans="1:9" x14ac:dyDescent="0.25">
      <c r="A18207">
        <v>567</v>
      </c>
      <c r="B18207" t="s">
        <v>4462</v>
      </c>
      <c r="C18207" t="s">
        <v>10</v>
      </c>
      <c r="D18207" t="s">
        <v>4466</v>
      </c>
      <c r="E18207">
        <f t="shared" si="867"/>
        <v>7.7519379844961239E-3</v>
      </c>
      <c r="F18207">
        <v>1</v>
      </c>
      <c r="G18207">
        <f>LOG(382/(1+1))</f>
        <v>2.2810333672477277</v>
      </c>
      <c r="H18207">
        <f>0.00775193798449612*5.25227342804663</f>
        <v>4.0715297891834319E-2</v>
      </c>
      <c r="I18207">
        <v>4.071529789183434E-2</v>
      </c>
    </row>
    <row r="18208" spans="1:9" x14ac:dyDescent="0.25">
      <c r="A18208">
        <v>567</v>
      </c>
      <c r="B18208" t="s">
        <v>4462</v>
      </c>
      <c r="C18208" t="s">
        <v>10</v>
      </c>
      <c r="D18208" t="s">
        <v>24</v>
      </c>
      <c r="E18208">
        <f t="shared" si="867"/>
        <v>7.7519379844961239E-3</v>
      </c>
      <c r="F18208">
        <v>59</v>
      </c>
      <c r="G18208">
        <f>LOG(382/(59+1))</f>
        <v>0.80391211252806505</v>
      </c>
      <c r="H18208">
        <f>0.00775193798449612*1.85107604638447</f>
        <v>1.4349426716158674E-2</v>
      </c>
      <c r="I18208">
        <v>1.4349426716158719E-2</v>
      </c>
    </row>
    <row r="18209" spans="1:9" x14ac:dyDescent="0.25">
      <c r="A18209">
        <v>567</v>
      </c>
      <c r="B18209" t="s">
        <v>4462</v>
      </c>
      <c r="C18209" t="s">
        <v>10</v>
      </c>
      <c r="D18209" t="s">
        <v>361</v>
      </c>
      <c r="E18209">
        <f t="shared" si="867"/>
        <v>7.7519379844961239E-3</v>
      </c>
      <c r="F18209">
        <v>118</v>
      </c>
      <c r="G18209">
        <f>LOG(382/(118+1))</f>
        <v>0.50651640151917798</v>
      </c>
      <c r="H18209">
        <f>0.00775193798449612*1.16629711549504</f>
        <v>9.0410629108142581E-3</v>
      </c>
      <c r="I18209">
        <v>9.0410629108143084E-3</v>
      </c>
    </row>
    <row r="18210" spans="1:9" x14ac:dyDescent="0.25">
      <c r="A18210">
        <v>567</v>
      </c>
      <c r="B18210" t="s">
        <v>4462</v>
      </c>
      <c r="C18210" t="s">
        <v>10</v>
      </c>
      <c r="D18210" t="s">
        <v>434</v>
      </c>
      <c r="E18210">
        <f t="shared" si="867"/>
        <v>7.7519379844961239E-3</v>
      </c>
      <c r="F18210">
        <v>97</v>
      </c>
      <c r="G18210">
        <f>LOG(382/(97+1))</f>
        <v>0.59083728721921391</v>
      </c>
      <c r="H18210">
        <f>0.00775193798449612*1.360453129936</f>
        <v>1.0546148294077514E-2</v>
      </c>
      <c r="I18210">
        <v>1.054614829407754E-2</v>
      </c>
    </row>
    <row r="18211" spans="1:9" x14ac:dyDescent="0.25">
      <c r="A18211">
        <v>567</v>
      </c>
      <c r="B18211" t="s">
        <v>4462</v>
      </c>
      <c r="C18211" t="s">
        <v>10</v>
      </c>
      <c r="D18211" t="s">
        <v>239</v>
      </c>
      <c r="E18211">
        <f>3/129</f>
        <v>2.3255813953488372E-2</v>
      </c>
      <c r="F18211">
        <v>40</v>
      </c>
      <c r="G18211">
        <f>LOG(382/(40+1))</f>
        <v>0.96927950619197323</v>
      </c>
      <c r="H18211">
        <f>0.0232558139534883*2.23184854190226</f>
        <v>5.1903454462843085E-2</v>
      </c>
      <c r="I18211">
        <v>5.1903454462843418E-2</v>
      </c>
    </row>
    <row r="18212" spans="1:9" x14ac:dyDescent="0.25">
      <c r="A18212">
        <v>567</v>
      </c>
      <c r="B18212" t="s">
        <v>4462</v>
      </c>
      <c r="C18212" t="s">
        <v>10</v>
      </c>
      <c r="D18212" t="s">
        <v>444</v>
      </c>
      <c r="E18212">
        <f>3/129</f>
        <v>2.3255813953488372E-2</v>
      </c>
      <c r="F18212">
        <v>28</v>
      </c>
      <c r="G18212">
        <f>LOG(382/(28+1))</f>
        <v>1.1196653650127526</v>
      </c>
      <c r="H18212">
        <f>0.0232558139534883*2.5781247786201</f>
        <v>5.9956390200467252E-2</v>
      </c>
      <c r="I18212">
        <v>5.9956390200467467E-2</v>
      </c>
    </row>
    <row r="18213" spans="1:9" x14ac:dyDescent="0.25">
      <c r="A18213">
        <v>567</v>
      </c>
      <c r="B18213" t="s">
        <v>4462</v>
      </c>
      <c r="C18213" t="s">
        <v>10</v>
      </c>
      <c r="D18213" t="s">
        <v>310</v>
      </c>
      <c r="E18213">
        <f t="shared" ref="E18213:E18220" si="868">1/129</f>
        <v>7.7519379844961239E-3</v>
      </c>
      <c r="F18213">
        <v>50</v>
      </c>
      <c r="G18213">
        <f>LOG(382/(50+1))</f>
        <v>0.87449318681377242</v>
      </c>
      <c r="H18213">
        <f>0.00775193798449612*2.01359497588224</f>
        <v>1.5609263378932082E-2</v>
      </c>
      <c r="I18213">
        <v>1.560926337893217E-2</v>
      </c>
    </row>
    <row r="18214" spans="1:9" x14ac:dyDescent="0.25">
      <c r="A18214">
        <v>567</v>
      </c>
      <c r="B18214" t="s">
        <v>4462</v>
      </c>
      <c r="C18214" t="s">
        <v>10</v>
      </c>
      <c r="D18214" t="s">
        <v>2241</v>
      </c>
      <c r="E18214">
        <f t="shared" si="868"/>
        <v>7.7519379844961239E-3</v>
      </c>
      <c r="F18214">
        <v>12</v>
      </c>
      <c r="G18214">
        <f>LOG(382/(12+1))</f>
        <v>1.468120010604872</v>
      </c>
      <c r="H18214">
        <f>0.00775193798449612*3.38047125114503</f>
        <v>2.6205203497248281E-2</v>
      </c>
      <c r="I18214">
        <v>2.620520349724836E-2</v>
      </c>
    </row>
    <row r="18215" spans="1:9" x14ac:dyDescent="0.25">
      <c r="A18215">
        <v>567</v>
      </c>
      <c r="B18215" t="s">
        <v>4462</v>
      </c>
      <c r="C18215" t="s">
        <v>10</v>
      </c>
      <c r="D18215" t="s">
        <v>851</v>
      </c>
      <c r="E18215">
        <f t="shared" si="868"/>
        <v>7.7519379844961239E-3</v>
      </c>
      <c r="F18215">
        <v>8</v>
      </c>
      <c r="G18215">
        <f>LOG(382/(8+1))</f>
        <v>1.6278208534723839</v>
      </c>
      <c r="H18215">
        <f>0.00775193798449612*3.74819603127035</f>
        <v>2.9055783188142233E-2</v>
      </c>
      <c r="I18215">
        <v>2.9055783188142292E-2</v>
      </c>
    </row>
    <row r="18216" spans="1:9" x14ac:dyDescent="0.25">
      <c r="A18216">
        <v>567</v>
      </c>
      <c r="B18216" t="s">
        <v>4462</v>
      </c>
      <c r="C18216" t="s">
        <v>10</v>
      </c>
      <c r="D18216" t="s">
        <v>214</v>
      </c>
      <c r="E18216">
        <f t="shared" si="868"/>
        <v>7.7519379844961239E-3</v>
      </c>
      <c r="F18216">
        <v>68</v>
      </c>
      <c r="G18216">
        <f>LOG(382/(68+1))</f>
        <v>0.74321427217445335</v>
      </c>
      <c r="H18216">
        <f>0.00775193798449612*1.71131410400931</f>
        <v>1.3266000806273714E-2</v>
      </c>
      <c r="I18216">
        <v>1.326600080627377E-2</v>
      </c>
    </row>
    <row r="18217" spans="1:9" x14ac:dyDescent="0.25">
      <c r="A18217">
        <v>567</v>
      </c>
      <c r="B18217" t="s">
        <v>4462</v>
      </c>
      <c r="C18217" t="s">
        <v>10</v>
      </c>
      <c r="D18217" t="s">
        <v>445</v>
      </c>
      <c r="E18217">
        <f t="shared" si="868"/>
        <v>7.7519379844961239E-3</v>
      </c>
      <c r="F18217">
        <v>35</v>
      </c>
      <c r="G18217">
        <f>LOG(382/(35+1))</f>
        <v>1.0257608621444214</v>
      </c>
      <c r="H18217">
        <f>0.00775193798449612*2.36190167015046</f>
        <v>1.8309315272484177E-2</v>
      </c>
      <c r="I18217">
        <v>1.8309315272484219E-2</v>
      </c>
    </row>
    <row r="18218" spans="1:9" x14ac:dyDescent="0.25">
      <c r="A18218">
        <v>567</v>
      </c>
      <c r="B18218" t="s">
        <v>4462</v>
      </c>
      <c r="C18218" t="s">
        <v>10</v>
      </c>
      <c r="D18218" t="s">
        <v>379</v>
      </c>
      <c r="E18218">
        <f t="shared" si="868"/>
        <v>7.7519379844961239E-3</v>
      </c>
      <c r="F18218">
        <v>17</v>
      </c>
      <c r="G18218">
        <f>LOG(382/(17+1))</f>
        <v>1.3267908578084027</v>
      </c>
      <c r="H18218">
        <f>0.00775193798449612*3.05504885071041</f>
        <v>2.3682549230313241E-2</v>
      </c>
      <c r="I18218">
        <v>2.3682549230313259E-2</v>
      </c>
    </row>
    <row r="18219" spans="1:9" x14ac:dyDescent="0.25">
      <c r="A18219">
        <v>567</v>
      </c>
      <c r="B18219" t="s">
        <v>4462</v>
      </c>
      <c r="C18219" t="s">
        <v>10</v>
      </c>
      <c r="D18219" t="s">
        <v>336</v>
      </c>
      <c r="E18219">
        <f t="shared" si="868"/>
        <v>7.7519379844961239E-3</v>
      </c>
      <c r="F18219">
        <v>10</v>
      </c>
      <c r="G18219">
        <f>LOG(382/(10+1))</f>
        <v>1.5406706777534838</v>
      </c>
      <c r="H18219">
        <f>0.00775193798449612*3.5475253358082</f>
        <v>2.7500196401613938E-2</v>
      </c>
      <c r="I18219">
        <v>2.750019640161399E-2</v>
      </c>
    </row>
    <row r="18220" spans="1:9" x14ac:dyDescent="0.25">
      <c r="A18220">
        <v>567</v>
      </c>
      <c r="B18220" t="s">
        <v>4462</v>
      </c>
      <c r="C18220" t="s">
        <v>10</v>
      </c>
      <c r="D18220" t="s">
        <v>4145</v>
      </c>
      <c r="E18220">
        <f t="shared" si="868"/>
        <v>7.7519379844961239E-3</v>
      </c>
      <c r="F18220">
        <v>2</v>
      </c>
      <c r="G18220">
        <f>LOG(382/(2+1))</f>
        <v>2.1049421081920463</v>
      </c>
      <c r="H18220">
        <f>0.00775193798449612*4.84680831993846</f>
        <v>3.757215751890277E-2</v>
      </c>
      <c r="I18220">
        <v>3.7572157518902832E-2</v>
      </c>
    </row>
    <row r="18221" spans="1:9" x14ac:dyDescent="0.25">
      <c r="A18221">
        <v>567</v>
      </c>
      <c r="B18221" t="s">
        <v>4462</v>
      </c>
      <c r="C18221" t="s">
        <v>10</v>
      </c>
      <c r="D18221" t="s">
        <v>237</v>
      </c>
      <c r="E18221">
        <f>3/129</f>
        <v>2.3255813953488372E-2</v>
      </c>
      <c r="F18221">
        <v>138</v>
      </c>
      <c r="G18221">
        <f>LOG(382/(138+1))</f>
        <v>0.43904856265761361</v>
      </c>
      <c r="H18221">
        <f>0.0232558139534883*1.01094667547588</f>
        <v>2.3510387801764579E-2</v>
      </c>
      <c r="I18221">
        <v>2.3510387801764732E-2</v>
      </c>
    </row>
    <row r="18222" spans="1:9" x14ac:dyDescent="0.25">
      <c r="A18222">
        <v>567</v>
      </c>
      <c r="B18222" t="s">
        <v>4462</v>
      </c>
      <c r="C18222" t="s">
        <v>10</v>
      </c>
      <c r="D18222" t="s">
        <v>243</v>
      </c>
      <c r="E18222">
        <f t="shared" ref="E18222:E18230" si="869">1/129</f>
        <v>7.7519379844961239E-3</v>
      </c>
      <c r="F18222">
        <v>131</v>
      </c>
      <c r="G18222">
        <f>LOG(382/(131+1))</f>
        <v>0.46148943170585888</v>
      </c>
      <c r="H18222">
        <f>0.00775193798449612*1.0626186860202</f>
        <v>8.237354155195345E-3</v>
      </c>
      <c r="I18222">
        <v>8.2373541551953814E-3</v>
      </c>
    </row>
    <row r="18223" spans="1:9" x14ac:dyDescent="0.25">
      <c r="A18223">
        <v>567</v>
      </c>
      <c r="B18223" t="s">
        <v>4462</v>
      </c>
      <c r="C18223" t="s">
        <v>10</v>
      </c>
      <c r="D18223" t="s">
        <v>232</v>
      </c>
      <c r="E18223">
        <f t="shared" si="869"/>
        <v>7.7519379844961239E-3</v>
      </c>
      <c r="F18223">
        <v>5</v>
      </c>
      <c r="G18223">
        <f>LOG(382/(5+1))</f>
        <v>1.803912112528065</v>
      </c>
      <c r="H18223">
        <f>0.00775193798449612*4.15366113937852</f>
        <v>3.2198923561073782E-2</v>
      </c>
      <c r="I18223">
        <v>3.2198923561073803E-2</v>
      </c>
    </row>
    <row r="18224" spans="1:9" x14ac:dyDescent="0.25">
      <c r="A18224">
        <v>567</v>
      </c>
      <c r="B18224" t="s">
        <v>4462</v>
      </c>
      <c r="C18224" t="s">
        <v>10</v>
      </c>
      <c r="D18224" t="s">
        <v>1152</v>
      </c>
      <c r="E18224">
        <f t="shared" si="869"/>
        <v>7.7519379844961239E-3</v>
      </c>
      <c r="F18224">
        <v>6</v>
      </c>
      <c r="G18224">
        <f>LOG(382/(6+1))</f>
        <v>1.736965322897452</v>
      </c>
      <c r="H18224">
        <f>0.00775193798449612*3.99951045955126</f>
        <v>3.1003957050784944E-2</v>
      </c>
      <c r="I18224">
        <v>3.1003957050784979E-2</v>
      </c>
    </row>
    <row r="18225" spans="1:9" x14ac:dyDescent="0.25">
      <c r="A18225">
        <v>567</v>
      </c>
      <c r="B18225" t="s">
        <v>4462</v>
      </c>
      <c r="C18225" t="s">
        <v>10</v>
      </c>
      <c r="D18225" t="s">
        <v>438</v>
      </c>
      <c r="E18225">
        <f t="shared" si="869"/>
        <v>7.7519379844961239E-3</v>
      </c>
      <c r="F18225">
        <v>37</v>
      </c>
      <c r="G18225">
        <f>LOG(382/(37+1))</f>
        <v>1.0022797662948986</v>
      </c>
      <c r="H18225">
        <f>0.00775193798449612*2.30783444888018</f>
        <v>1.7890189526202933E-2</v>
      </c>
      <c r="I18225">
        <v>1.7890189526203019E-2</v>
      </c>
    </row>
    <row r="18226" spans="1:9" x14ac:dyDescent="0.25">
      <c r="A18226">
        <v>567</v>
      </c>
      <c r="B18226" t="s">
        <v>4462</v>
      </c>
      <c r="C18226" t="s">
        <v>10</v>
      </c>
      <c r="D18226" t="s">
        <v>307</v>
      </c>
      <c r="E18226">
        <f t="shared" si="869"/>
        <v>7.7519379844961239E-3</v>
      </c>
      <c r="F18226">
        <v>67</v>
      </c>
      <c r="G18226">
        <f>LOG(382/(67+1))</f>
        <v>0.7495544502054724</v>
      </c>
      <c r="H18226">
        <f>0.00775193798449612*1.72591290343046</f>
        <v>1.3379169794034567E-2</v>
      </c>
      <c r="I18226">
        <v>1.337916979403464E-2</v>
      </c>
    </row>
    <row r="18227" spans="1:9" x14ac:dyDescent="0.25">
      <c r="A18227">
        <v>567</v>
      </c>
      <c r="B18227" t="s">
        <v>4462</v>
      </c>
      <c r="C18227" t="s">
        <v>10</v>
      </c>
      <c r="D18227" t="s">
        <v>1812</v>
      </c>
      <c r="E18227">
        <f t="shared" si="869"/>
        <v>7.7519379844961239E-3</v>
      </c>
      <c r="F18227">
        <v>10</v>
      </c>
      <c r="G18227">
        <f>LOG(382/(10+1))</f>
        <v>1.5406706777534838</v>
      </c>
      <c r="H18227">
        <f>0.00775193798449612*3.5475253358082</f>
        <v>2.7500196401613938E-2</v>
      </c>
      <c r="I18227">
        <v>2.750019640161399E-2</v>
      </c>
    </row>
    <row r="18228" spans="1:9" x14ac:dyDescent="0.25">
      <c r="A18228">
        <v>567</v>
      </c>
      <c r="B18228" t="s">
        <v>4462</v>
      </c>
      <c r="C18228" t="s">
        <v>10</v>
      </c>
      <c r="D18228" t="s">
        <v>458</v>
      </c>
      <c r="E18228">
        <f t="shared" si="869"/>
        <v>7.7519379844961239E-3</v>
      </c>
      <c r="F18228">
        <v>34</v>
      </c>
      <c r="G18228">
        <f>LOG(382/(34+1))</f>
        <v>1.037995318561433</v>
      </c>
      <c r="H18228">
        <f>0.00775193798449612*2.39007254711716</f>
        <v>1.8527694163698902E-2</v>
      </c>
      <c r="I18228">
        <v>1.852769416369892E-2</v>
      </c>
    </row>
    <row r="18229" spans="1:9" x14ac:dyDescent="0.25">
      <c r="A18229">
        <v>567</v>
      </c>
      <c r="B18229" t="s">
        <v>4462</v>
      </c>
      <c r="C18229" t="s">
        <v>10</v>
      </c>
      <c r="D18229" t="s">
        <v>459</v>
      </c>
      <c r="E18229">
        <f t="shared" si="869"/>
        <v>7.7519379844961239E-3</v>
      </c>
      <c r="F18229">
        <v>14</v>
      </c>
      <c r="G18229">
        <f>LOG(382/(14+1))</f>
        <v>1.4059721038560276</v>
      </c>
      <c r="H18229">
        <f>0.00775193798449612*3.23737040750436</f>
        <v>2.5095894631816728E-2</v>
      </c>
      <c r="I18229">
        <v>2.509589463181678E-2</v>
      </c>
    </row>
    <row r="18230" spans="1:9" x14ac:dyDescent="0.25">
      <c r="A18230">
        <v>567</v>
      </c>
      <c r="B18230" t="s">
        <v>4462</v>
      </c>
      <c r="C18230" t="s">
        <v>10</v>
      </c>
      <c r="D18230" t="s">
        <v>263</v>
      </c>
      <c r="E18230">
        <f t="shared" si="869"/>
        <v>7.7519379844961239E-3</v>
      </c>
      <c r="F18230">
        <v>41</v>
      </c>
      <c r="G18230">
        <f>LOG(382/(41+1))</f>
        <v>0.95881407251380824</v>
      </c>
      <c r="H18230">
        <f>0.00775193798449612*2.2077509903232</f>
        <v>1.711434876219534E-2</v>
      </c>
      <c r="I18230">
        <v>1.7114348762195399E-2</v>
      </c>
    </row>
    <row r="18231" spans="1:9" x14ac:dyDescent="0.25">
      <c r="A18231">
        <v>567</v>
      </c>
      <c r="B18231" t="s">
        <v>4462</v>
      </c>
      <c r="C18231" t="s">
        <v>10</v>
      </c>
      <c r="D18231" t="s">
        <v>1532</v>
      </c>
      <c r="E18231">
        <f>2/129</f>
        <v>1.5503875968992248E-2</v>
      </c>
      <c r="F18231">
        <v>28</v>
      </c>
      <c r="G18231">
        <f>LOG(382/(28+1))</f>
        <v>1.1196653650127526</v>
      </c>
      <c r="H18231">
        <f>0.0155038759689922*2.5781247786201</f>
        <v>3.9970926800311501E-2</v>
      </c>
      <c r="I18231">
        <v>3.9970926800311647E-2</v>
      </c>
    </row>
    <row r="18232" spans="1:9" x14ac:dyDescent="0.25">
      <c r="A18232">
        <v>567</v>
      </c>
      <c r="B18232" t="s">
        <v>4462</v>
      </c>
      <c r="C18232" t="s">
        <v>10</v>
      </c>
      <c r="D18232" t="s">
        <v>1533</v>
      </c>
      <c r="E18232">
        <f>2/129</f>
        <v>1.5503875968992248E-2</v>
      </c>
      <c r="F18232">
        <v>33</v>
      </c>
      <c r="G18232">
        <f>LOG(382/(33+1))</f>
        <v>1.0505844458694535</v>
      </c>
      <c r="H18232">
        <f>0.0155038759689922*2.41906008399041</f>
        <v>3.7504807503727172E-2</v>
      </c>
      <c r="I18232">
        <v>3.7504807503727353E-2</v>
      </c>
    </row>
    <row r="18233" spans="1:9" x14ac:dyDescent="0.25">
      <c r="A18233">
        <v>567</v>
      </c>
      <c r="B18233" t="s">
        <v>4462</v>
      </c>
      <c r="C18233" t="s">
        <v>10</v>
      </c>
      <c r="D18233" t="s">
        <v>81</v>
      </c>
      <c r="E18233">
        <f>1/129</f>
        <v>7.7519379844961239E-3</v>
      </c>
      <c r="F18233">
        <v>114</v>
      </c>
      <c r="G18233">
        <f>LOG(382/(114+1))</f>
        <v>0.52136552255809698</v>
      </c>
      <c r="H18233">
        <f>0.00775193798449612*1.20048848024332</f>
        <v>9.3061122499482115E-3</v>
      </c>
      <c r="I18233">
        <v>9.3061122499482566E-3</v>
      </c>
    </row>
    <row r="18234" spans="1:9" x14ac:dyDescent="0.25">
      <c r="A18234">
        <v>567</v>
      </c>
      <c r="B18234" t="s">
        <v>4462</v>
      </c>
      <c r="C18234" t="s">
        <v>10</v>
      </c>
      <c r="D18234" t="s">
        <v>241</v>
      </c>
      <c r="E18234">
        <f>1/129</f>
        <v>7.7519379844961239E-3</v>
      </c>
      <c r="F18234">
        <v>19</v>
      </c>
      <c r="G18234">
        <f>LOG(382/(19+1))</f>
        <v>1.2810333672477277</v>
      </c>
      <c r="H18234">
        <f>0.00775193798449612*2.94968833505258</f>
        <v>2.2865801046919213E-2</v>
      </c>
      <c r="I18234">
        <v>2.2865801046919262E-2</v>
      </c>
    </row>
    <row r="18235" spans="1:9" x14ac:dyDescent="0.25">
      <c r="A18235">
        <v>567</v>
      </c>
      <c r="B18235" t="s">
        <v>4462</v>
      </c>
      <c r="C18235" t="s">
        <v>10</v>
      </c>
      <c r="D18235" t="s">
        <v>279</v>
      </c>
      <c r="E18235">
        <f>3/129</f>
        <v>2.3255813953488372E-2</v>
      </c>
      <c r="F18235">
        <v>22</v>
      </c>
      <c r="G18235">
        <f>LOG(382/(22+1))</f>
        <v>1.2203355268941158</v>
      </c>
      <c r="H18235">
        <f>0.0232558139534883*2.80992639267742</f>
        <v>6.5347125411102575E-2</v>
      </c>
      <c r="I18235">
        <v>6.5347125411102921E-2</v>
      </c>
    </row>
    <row r="18236" spans="1:9" x14ac:dyDescent="0.25">
      <c r="A18236">
        <v>567</v>
      </c>
      <c r="B18236" t="s">
        <v>4462</v>
      </c>
      <c r="C18236" t="s">
        <v>10</v>
      </c>
      <c r="D18236" t="s">
        <v>301</v>
      </c>
      <c r="E18236">
        <f>1/129</f>
        <v>7.7519379844961239E-3</v>
      </c>
      <c r="F18236">
        <v>5</v>
      </c>
      <c r="G18236">
        <f>LOG(382/(5+1))</f>
        <v>1.803912112528065</v>
      </c>
      <c r="H18236">
        <f>0.00775193798449612*4.15366113937852</f>
        <v>3.2198923561073782E-2</v>
      </c>
      <c r="I18236">
        <v>3.2198923561073803E-2</v>
      </c>
    </row>
    <row r="18237" spans="1:9" x14ac:dyDescent="0.25">
      <c r="A18237">
        <v>567</v>
      </c>
      <c r="B18237" t="s">
        <v>4462</v>
      </c>
      <c r="C18237" t="s">
        <v>10</v>
      </c>
      <c r="D18237" t="s">
        <v>4467</v>
      </c>
      <c r="E18237">
        <f>2/129</f>
        <v>1.5503875968992248E-2</v>
      </c>
      <c r="F18237">
        <v>1</v>
      </c>
      <c r="G18237">
        <f>LOG(382/(1+1))</f>
        <v>2.2810333672477277</v>
      </c>
      <c r="H18237">
        <f>0.0155038759689922*5.25227342804663</f>
        <v>8.143059578366843E-2</v>
      </c>
      <c r="I18237">
        <v>8.143059578366868E-2</v>
      </c>
    </row>
    <row r="18238" spans="1:9" x14ac:dyDescent="0.25">
      <c r="A18238">
        <v>567</v>
      </c>
      <c r="B18238" t="s">
        <v>4462</v>
      </c>
      <c r="C18238" t="s">
        <v>10</v>
      </c>
      <c r="D18238" t="s">
        <v>451</v>
      </c>
      <c r="E18238">
        <f>1/129</f>
        <v>7.7519379844961239E-3</v>
      </c>
      <c r="F18238">
        <v>15</v>
      </c>
      <c r="G18238">
        <f>LOG(382/(15+1))</f>
        <v>1.3779433802557839</v>
      </c>
      <c r="H18238">
        <f>0.00775193798449612*3.17283188636679</f>
        <v>2.4595596018347196E-2</v>
      </c>
      <c r="I18238">
        <v>2.4595596018347241E-2</v>
      </c>
    </row>
    <row r="18239" spans="1:9" x14ac:dyDescent="0.25">
      <c r="A18239">
        <v>567</v>
      </c>
      <c r="B18239" t="s">
        <v>4462</v>
      </c>
      <c r="C18239" t="s">
        <v>10</v>
      </c>
      <c r="D18239" t="s">
        <v>4468</v>
      </c>
      <c r="E18239">
        <f>1/129</f>
        <v>7.7519379844961239E-3</v>
      </c>
      <c r="F18239">
        <v>2</v>
      </c>
      <c r="G18239">
        <f>LOG(382/(2+1))</f>
        <v>2.1049421081920463</v>
      </c>
      <c r="H18239">
        <f>0.00775193798449612*4.84680831993846</f>
        <v>3.757215751890277E-2</v>
      </c>
      <c r="I18239">
        <v>3.7572157518902832E-2</v>
      </c>
    </row>
    <row r="18240" spans="1:9" x14ac:dyDescent="0.25">
      <c r="A18240">
        <v>567</v>
      </c>
      <c r="B18240" t="s">
        <v>4462</v>
      </c>
      <c r="C18240" t="s">
        <v>10</v>
      </c>
      <c r="D18240" t="s">
        <v>898</v>
      </c>
      <c r="E18240">
        <f>2/129</f>
        <v>1.5503875968992248E-2</v>
      </c>
      <c r="F18240">
        <v>22</v>
      </c>
      <c r="G18240">
        <f>LOG(382/(22+1))</f>
        <v>1.2203355268941158</v>
      </c>
      <c r="H18240">
        <f>0.0155038759689922*2.80992639267742</f>
        <v>4.3564750274068385E-2</v>
      </c>
      <c r="I18240">
        <v>4.3564750274068607E-2</v>
      </c>
    </row>
    <row r="18241" spans="1:9" x14ac:dyDescent="0.25">
      <c r="A18241">
        <v>567</v>
      </c>
      <c r="B18241" t="s">
        <v>4462</v>
      </c>
      <c r="C18241" t="s">
        <v>10</v>
      </c>
      <c r="D18241" t="s">
        <v>324</v>
      </c>
      <c r="E18241">
        <f>2/129</f>
        <v>1.5503875968992248E-2</v>
      </c>
      <c r="F18241">
        <v>82</v>
      </c>
      <c r="G18241">
        <f>LOG(382/(82+1))</f>
        <v>0.66298527053563483</v>
      </c>
      <c r="H18241">
        <f>0.0155038759689922*1.52658000080997</f>
        <v>2.3667906989301785E-2</v>
      </c>
      <c r="I18241">
        <v>2.3667906989301969E-2</v>
      </c>
    </row>
    <row r="18242" spans="1:9" x14ac:dyDescent="0.25">
      <c r="A18242">
        <v>567</v>
      </c>
      <c r="B18242" t="s">
        <v>4462</v>
      </c>
      <c r="C18242" t="s">
        <v>10</v>
      </c>
      <c r="D18242" t="s">
        <v>97</v>
      </c>
      <c r="E18242">
        <f>2/129</f>
        <v>1.5503875968992248E-2</v>
      </c>
      <c r="F18242">
        <v>19</v>
      </c>
      <c r="G18242">
        <f>LOG(382/(19+1))</f>
        <v>1.2810333672477277</v>
      </c>
      <c r="H18242">
        <f>0.0155038759689922*2.94968833505258</f>
        <v>4.5731602093838308E-2</v>
      </c>
      <c r="I18242">
        <v>4.5731602093838523E-2</v>
      </c>
    </row>
    <row r="18243" spans="1:9" x14ac:dyDescent="0.25">
      <c r="A18243">
        <v>567</v>
      </c>
      <c r="B18243" t="s">
        <v>4462</v>
      </c>
      <c r="C18243" t="s">
        <v>10</v>
      </c>
      <c r="D18243" t="s">
        <v>442</v>
      </c>
      <c r="E18243">
        <f>1/129</f>
        <v>7.7519379844961239E-3</v>
      </c>
      <c r="F18243">
        <v>9</v>
      </c>
      <c r="G18243">
        <f>LOG(382/(9+1))</f>
        <v>1.5820633629117087</v>
      </c>
      <c r="H18243">
        <f>0.00775193798449612*3.64283551561252</f>
        <v>2.8239035004748201E-2</v>
      </c>
      <c r="I18243">
        <v>2.8239035004748291E-2</v>
      </c>
    </row>
    <row r="18244" spans="1:9" x14ac:dyDescent="0.25">
      <c r="A18244">
        <v>567</v>
      </c>
      <c r="B18244" t="s">
        <v>4462</v>
      </c>
      <c r="C18244" t="s">
        <v>10</v>
      </c>
      <c r="D18244" t="s">
        <v>1345</v>
      </c>
      <c r="E18244">
        <f>1/129</f>
        <v>7.7519379844961239E-3</v>
      </c>
      <c r="F18244">
        <v>8</v>
      </c>
      <c r="G18244">
        <f>LOG(382/(8+1))</f>
        <v>1.6278208534723839</v>
      </c>
      <c r="H18244">
        <f>0.00775193798449612*3.74819603127035</f>
        <v>2.9055783188142233E-2</v>
      </c>
      <c r="I18244">
        <v>2.9055783188142292E-2</v>
      </c>
    </row>
    <row r="18245" spans="1:9" x14ac:dyDescent="0.25">
      <c r="A18245">
        <v>567</v>
      </c>
      <c r="B18245" t="s">
        <v>4462</v>
      </c>
      <c r="C18245" t="s">
        <v>10</v>
      </c>
      <c r="D18245" t="s">
        <v>3961</v>
      </c>
      <c r="E18245">
        <f>2/129</f>
        <v>1.5503875968992248E-2</v>
      </c>
      <c r="F18245">
        <v>2</v>
      </c>
      <c r="G18245">
        <f>LOG(382/(2+1))</f>
        <v>2.1049421081920463</v>
      </c>
      <c r="H18245">
        <f>0.0155038759689922*4.84680831993846</f>
        <v>7.5144315037805345E-2</v>
      </c>
      <c r="I18245">
        <v>7.5144315037805665E-2</v>
      </c>
    </row>
    <row r="18246" spans="1:9" x14ac:dyDescent="0.25">
      <c r="A18246">
        <v>567</v>
      </c>
      <c r="B18246" t="s">
        <v>4462</v>
      </c>
      <c r="C18246" t="s">
        <v>10</v>
      </c>
      <c r="D18246" t="s">
        <v>4236</v>
      </c>
      <c r="E18246">
        <f t="shared" ref="E18246:E18257" si="870">1/129</f>
        <v>7.7519379844961239E-3</v>
      </c>
      <c r="F18246">
        <v>2</v>
      </c>
      <c r="G18246">
        <f>LOG(382/(2+1))</f>
        <v>2.1049421081920463</v>
      </c>
      <c r="H18246">
        <f>0.00775193798449612*4.84680831993846</f>
        <v>3.757215751890277E-2</v>
      </c>
      <c r="I18246">
        <v>3.7572157518902832E-2</v>
      </c>
    </row>
    <row r="18247" spans="1:9" x14ac:dyDescent="0.25">
      <c r="A18247">
        <v>567</v>
      </c>
      <c r="B18247" t="s">
        <v>4462</v>
      </c>
      <c r="C18247" t="s">
        <v>10</v>
      </c>
      <c r="D18247" t="s">
        <v>1397</v>
      </c>
      <c r="E18247">
        <f t="shared" si="870"/>
        <v>7.7519379844961239E-3</v>
      </c>
      <c r="F18247">
        <v>29</v>
      </c>
      <c r="G18247">
        <f>LOG(382/(29+1))</f>
        <v>1.1049421081920463</v>
      </c>
      <c r="H18247">
        <f>0.00775193798449612*2.54422322694442</f>
        <v>1.972266067398774E-2</v>
      </c>
      <c r="I18247">
        <v>1.9722660673987751E-2</v>
      </c>
    </row>
    <row r="18248" spans="1:9" x14ac:dyDescent="0.25">
      <c r="A18248">
        <v>567</v>
      </c>
      <c r="B18248" t="s">
        <v>4462</v>
      </c>
      <c r="C18248" t="s">
        <v>10</v>
      </c>
      <c r="D18248" t="s">
        <v>1539</v>
      </c>
      <c r="E18248">
        <f t="shared" si="870"/>
        <v>7.7519379844961239E-3</v>
      </c>
      <c r="F18248">
        <v>6</v>
      </c>
      <c r="G18248">
        <f>LOG(382/(6+1))</f>
        <v>1.736965322897452</v>
      </c>
      <c r="H18248">
        <f>0.00775193798449612*3.99951045955126</f>
        <v>3.1003957050784944E-2</v>
      </c>
      <c r="I18248">
        <v>3.1003957050784979E-2</v>
      </c>
    </row>
    <row r="18249" spans="1:9" x14ac:dyDescent="0.25">
      <c r="A18249">
        <v>567</v>
      </c>
      <c r="B18249" t="s">
        <v>4462</v>
      </c>
      <c r="C18249" t="s">
        <v>10</v>
      </c>
      <c r="D18249" t="s">
        <v>2220</v>
      </c>
      <c r="E18249">
        <f t="shared" si="870"/>
        <v>7.7519379844961239E-3</v>
      </c>
      <c r="F18249">
        <v>21</v>
      </c>
      <c r="G18249">
        <f>LOG(382/(21+1))</f>
        <v>1.2396406820895025</v>
      </c>
      <c r="H18249">
        <f>0.00775193798449612*2.85437815524825</f>
        <v>2.212696244378487E-2</v>
      </c>
      <c r="I18249">
        <v>2.212696244378495E-2</v>
      </c>
    </row>
    <row r="18250" spans="1:9" x14ac:dyDescent="0.25">
      <c r="A18250">
        <v>567</v>
      </c>
      <c r="B18250" t="s">
        <v>4462</v>
      </c>
      <c r="C18250" t="s">
        <v>10</v>
      </c>
      <c r="D18250" t="s">
        <v>1537</v>
      </c>
      <c r="E18250">
        <f t="shared" si="870"/>
        <v>7.7519379844961239E-3</v>
      </c>
      <c r="F18250">
        <v>80</v>
      </c>
      <c r="G18250">
        <f>LOG(382/(80+1))</f>
        <v>0.67357834403305894</v>
      </c>
      <c r="H18250">
        <f>0.00775193798449612*1.55097145393413</f>
        <v>1.2023034526621155E-2</v>
      </c>
      <c r="I18250">
        <v>1.202303452662121E-2</v>
      </c>
    </row>
    <row r="18251" spans="1:9" x14ac:dyDescent="0.25">
      <c r="A18251">
        <v>567</v>
      </c>
      <c r="B18251" t="s">
        <v>4462</v>
      </c>
      <c r="C18251" t="s">
        <v>10</v>
      </c>
      <c r="D18251" t="s">
        <v>2554</v>
      </c>
      <c r="E18251">
        <f t="shared" si="870"/>
        <v>7.7519379844961239E-3</v>
      </c>
      <c r="F18251">
        <v>22</v>
      </c>
      <c r="G18251">
        <f>LOG(382/(22+1))</f>
        <v>1.2203355268941158</v>
      </c>
      <c r="H18251">
        <f>0.00775193798449612*2.80992639267742</f>
        <v>2.1782375137034248E-2</v>
      </c>
      <c r="I18251">
        <v>2.1782375137034311E-2</v>
      </c>
    </row>
    <row r="18252" spans="1:9" x14ac:dyDescent="0.25">
      <c r="A18252">
        <v>567</v>
      </c>
      <c r="B18252" t="s">
        <v>4462</v>
      </c>
      <c r="C18252" t="s">
        <v>10</v>
      </c>
      <c r="D18252" t="s">
        <v>82</v>
      </c>
      <c r="E18252">
        <f t="shared" si="870"/>
        <v>7.7519379844961239E-3</v>
      </c>
      <c r="F18252">
        <v>92</v>
      </c>
      <c r="G18252">
        <f>LOG(382/(92+1))</f>
        <v>0.61358041435777355</v>
      </c>
      <c r="H18252">
        <f>0.00775193798449612*1.41282111545331</f>
        <v>1.0952101670180691E-2</v>
      </c>
      <c r="I18252">
        <v>1.0952101670180771E-2</v>
      </c>
    </row>
    <row r="18253" spans="1:9" x14ac:dyDescent="0.25">
      <c r="A18253">
        <v>567</v>
      </c>
      <c r="B18253" t="s">
        <v>4462</v>
      </c>
      <c r="C18253" t="s">
        <v>10</v>
      </c>
      <c r="D18253" t="s">
        <v>362</v>
      </c>
      <c r="E18253">
        <f t="shared" si="870"/>
        <v>7.7519379844961239E-3</v>
      </c>
      <c r="F18253">
        <v>81</v>
      </c>
      <c r="G18253">
        <f>LOG(382/(81+1))</f>
        <v>0.66824951052799197</v>
      </c>
      <c r="H18253">
        <f>0.00775193798449612*1.53870136134232</f>
        <v>1.1927917529785418E-2</v>
      </c>
      <c r="I18253">
        <v>1.1927917529785439E-2</v>
      </c>
    </row>
    <row r="18254" spans="1:9" x14ac:dyDescent="0.25">
      <c r="A18254">
        <v>567</v>
      </c>
      <c r="B18254" t="s">
        <v>4462</v>
      </c>
      <c r="C18254" t="s">
        <v>10</v>
      </c>
      <c r="D18254" t="s">
        <v>2238</v>
      </c>
      <c r="E18254">
        <f t="shared" si="870"/>
        <v>7.7519379844961239E-3</v>
      </c>
      <c r="F18254">
        <v>68</v>
      </c>
      <c r="G18254">
        <f>LOG(382/(68+1))</f>
        <v>0.74321427217445335</v>
      </c>
      <c r="H18254">
        <f>0.00775193798449612*1.71131410400931</f>
        <v>1.3266000806273714E-2</v>
      </c>
      <c r="I18254">
        <v>1.326600080627377E-2</v>
      </c>
    </row>
    <row r="18255" spans="1:9" x14ac:dyDescent="0.25">
      <c r="A18255">
        <v>567</v>
      </c>
      <c r="B18255" t="s">
        <v>4462</v>
      </c>
      <c r="C18255" t="s">
        <v>10</v>
      </c>
      <c r="D18255" t="s">
        <v>1130</v>
      </c>
      <c r="E18255">
        <f t="shared" si="870"/>
        <v>7.7519379844961239E-3</v>
      </c>
      <c r="F18255">
        <v>12</v>
      </c>
      <c r="G18255">
        <f>LOG(382/(12+1))</f>
        <v>1.468120010604872</v>
      </c>
      <c r="H18255">
        <f>0.00775193798449612*3.38047125114503</f>
        <v>2.6205203497248281E-2</v>
      </c>
      <c r="I18255">
        <v>2.620520349724836E-2</v>
      </c>
    </row>
    <row r="18256" spans="1:9" x14ac:dyDescent="0.25">
      <c r="A18256">
        <v>567</v>
      </c>
      <c r="B18256" t="s">
        <v>4462</v>
      </c>
      <c r="C18256" t="s">
        <v>10</v>
      </c>
      <c r="D18256" t="s">
        <v>776</v>
      </c>
      <c r="E18256">
        <f t="shared" si="870"/>
        <v>7.7519379844961239E-3</v>
      </c>
      <c r="F18256">
        <v>15</v>
      </c>
      <c r="G18256">
        <f>LOG(382/(15+1))</f>
        <v>1.3779433802557839</v>
      </c>
      <c r="H18256">
        <f>0.00775193798449612*3.17283188636679</f>
        <v>2.4595596018347196E-2</v>
      </c>
      <c r="I18256">
        <v>2.4595596018347241E-2</v>
      </c>
    </row>
    <row r="18257" spans="1:9" x14ac:dyDescent="0.25">
      <c r="A18257">
        <v>567</v>
      </c>
      <c r="B18257" t="s">
        <v>4462</v>
      </c>
      <c r="C18257" t="s">
        <v>10</v>
      </c>
      <c r="D18257" t="s">
        <v>89</v>
      </c>
      <c r="E18257">
        <f t="shared" si="870"/>
        <v>7.7519379844961239E-3</v>
      </c>
      <c r="F18257">
        <v>40</v>
      </c>
      <c r="G18257">
        <f>LOG(382/(40+1))</f>
        <v>0.96927950619197323</v>
      </c>
      <c r="H18257">
        <f>0.00775193798449612*2.23184854190226</f>
        <v>1.7301151487614408E-2</v>
      </c>
      <c r="I18257">
        <v>1.730115148761447E-2</v>
      </c>
    </row>
    <row r="18258" spans="1:9" x14ac:dyDescent="0.25">
      <c r="A18258">
        <v>568</v>
      </c>
      <c r="B18258" t="s">
        <v>4469</v>
      </c>
      <c r="C18258" t="s">
        <v>48</v>
      </c>
      <c r="D18258" t="s">
        <v>49</v>
      </c>
      <c r="E18258">
        <f>10/149</f>
        <v>6.7114093959731544E-2</v>
      </c>
      <c r="F18258">
        <v>13</v>
      </c>
      <c r="G18258">
        <f>LOG(382/(13+1))</f>
        <v>1.4359353272334707</v>
      </c>
      <c r="H18258">
        <f>0.0671140939597315*3.30636327899131</f>
        <v>0.22190357577122874</v>
      </c>
      <c r="I18258">
        <v>0.22190357577122929</v>
      </c>
    </row>
    <row r="18259" spans="1:9" x14ac:dyDescent="0.25">
      <c r="A18259">
        <v>568</v>
      </c>
      <c r="B18259" t="s">
        <v>4469</v>
      </c>
      <c r="C18259" t="s">
        <v>48</v>
      </c>
      <c r="D18259" t="s">
        <v>195</v>
      </c>
      <c r="E18259">
        <f>9/149</f>
        <v>6.0402684563758392E-2</v>
      </c>
      <c r="F18259">
        <v>55</v>
      </c>
      <c r="G18259">
        <f>LOG(382/(55+1))</f>
        <v>0.83387533590550833</v>
      </c>
      <c r="H18259">
        <f>0.0604026845637583*1.92006891787142</f>
        <v>0.11597731718686413</v>
      </c>
      <c r="I18259">
        <v>0.1159773171868647</v>
      </c>
    </row>
    <row r="18260" spans="1:9" x14ac:dyDescent="0.25">
      <c r="A18260">
        <v>568</v>
      </c>
      <c r="B18260" t="s">
        <v>4469</v>
      </c>
      <c r="C18260" t="s">
        <v>48</v>
      </c>
      <c r="D18260" t="s">
        <v>42</v>
      </c>
      <c r="E18260">
        <f t="shared" ref="E18260:E18267" si="871">1/149</f>
        <v>6.7114093959731542E-3</v>
      </c>
      <c r="F18260">
        <v>251</v>
      </c>
      <c r="G18260">
        <f>LOG(382/(251+1))</f>
        <v>0.18066282213016463</v>
      </c>
      <c r="H18260">
        <f>0.00671140939597315*0.415991521095151</f>
        <v>2.7918894033231588E-3</v>
      </c>
      <c r="I18260">
        <v>2.7918894033231671E-3</v>
      </c>
    </row>
    <row r="18261" spans="1:9" x14ac:dyDescent="0.25">
      <c r="A18261">
        <v>568</v>
      </c>
      <c r="B18261" t="s">
        <v>4469</v>
      </c>
      <c r="C18261" t="s">
        <v>48</v>
      </c>
      <c r="D18261" t="s">
        <v>600</v>
      </c>
      <c r="E18261">
        <f t="shared" si="871"/>
        <v>6.7114093959731542E-3</v>
      </c>
      <c r="F18261">
        <v>102</v>
      </c>
      <c r="G18261">
        <f>LOG(382/(102+1))</f>
        <v>0.56922613820653656</v>
      </c>
      <c r="H18261">
        <f>0.00671140939597315*1.31069162037693</f>
        <v>8.7965880562210011E-3</v>
      </c>
      <c r="I18261">
        <v>8.7965880562210705E-3</v>
      </c>
    </row>
    <row r="18262" spans="1:9" x14ac:dyDescent="0.25">
      <c r="A18262">
        <v>568</v>
      </c>
      <c r="B18262" t="s">
        <v>4469</v>
      </c>
      <c r="C18262" t="s">
        <v>48</v>
      </c>
      <c r="D18262" t="s">
        <v>4470</v>
      </c>
      <c r="E18262">
        <f t="shared" si="871"/>
        <v>6.7114093959731542E-3</v>
      </c>
      <c r="F18262">
        <v>1</v>
      </c>
      <c r="G18262">
        <f>LOG(382/(1+1))</f>
        <v>2.2810333672477277</v>
      </c>
      <c r="H18262">
        <f>0.00671140939597315*5.25227342804663</f>
        <v>3.5250157235212257E-2</v>
      </c>
      <c r="I18262">
        <v>3.5250157235212277E-2</v>
      </c>
    </row>
    <row r="18263" spans="1:9" x14ac:dyDescent="0.25">
      <c r="A18263">
        <v>568</v>
      </c>
      <c r="B18263" t="s">
        <v>4469</v>
      </c>
      <c r="C18263" t="s">
        <v>48</v>
      </c>
      <c r="D18263" t="s">
        <v>3241</v>
      </c>
      <c r="E18263">
        <f t="shared" si="871"/>
        <v>6.7114093959731542E-3</v>
      </c>
      <c r="F18263">
        <v>9</v>
      </c>
      <c r="G18263">
        <f>LOG(382/(9+1))</f>
        <v>1.5820633629117087</v>
      </c>
      <c r="H18263">
        <f>0.00671140939597315*3.64283551561252</f>
        <v>2.4448560507466563E-2</v>
      </c>
      <c r="I18263">
        <v>2.4448560507466639E-2</v>
      </c>
    </row>
    <row r="18264" spans="1:9" x14ac:dyDescent="0.25">
      <c r="A18264">
        <v>568</v>
      </c>
      <c r="B18264" t="s">
        <v>4469</v>
      </c>
      <c r="C18264" t="s">
        <v>48</v>
      </c>
      <c r="D18264" t="s">
        <v>1480</v>
      </c>
      <c r="E18264">
        <f t="shared" si="871"/>
        <v>6.7114093959731542E-3</v>
      </c>
      <c r="F18264">
        <v>11</v>
      </c>
      <c r="G18264">
        <f>LOG(382/(11+1))</f>
        <v>1.5028821168640838</v>
      </c>
      <c r="H18264">
        <f>0.00671140939597315*3.46051395881857</f>
        <v>2.3224925898111193E-2</v>
      </c>
      <c r="I18264">
        <v>2.3224925898111239E-2</v>
      </c>
    </row>
    <row r="18265" spans="1:9" x14ac:dyDescent="0.25">
      <c r="A18265">
        <v>568</v>
      </c>
      <c r="B18265" t="s">
        <v>4469</v>
      </c>
      <c r="C18265" t="s">
        <v>48</v>
      </c>
      <c r="D18265" t="s">
        <v>1015</v>
      </c>
      <c r="E18265">
        <f t="shared" si="871"/>
        <v>6.7114093959731542E-3</v>
      </c>
      <c r="F18265">
        <v>8</v>
      </c>
      <c r="G18265">
        <f>LOG(382/(8+1))</f>
        <v>1.6278208534723839</v>
      </c>
      <c r="H18265">
        <f>0.00671140939597315*3.74819603127035</f>
        <v>2.5155678062217097E-2</v>
      </c>
      <c r="I18265">
        <v>2.5155678062217149E-2</v>
      </c>
    </row>
    <row r="18266" spans="1:9" x14ac:dyDescent="0.25">
      <c r="A18266">
        <v>568</v>
      </c>
      <c r="B18266" t="s">
        <v>4469</v>
      </c>
      <c r="C18266" t="s">
        <v>48</v>
      </c>
      <c r="D18266" t="s">
        <v>4471</v>
      </c>
      <c r="E18266">
        <f t="shared" si="871"/>
        <v>6.7114093959731542E-3</v>
      </c>
      <c r="F18266">
        <v>1</v>
      </c>
      <c r="G18266">
        <f>LOG(382/(1+1))</f>
        <v>2.2810333672477277</v>
      </c>
      <c r="H18266">
        <f>0.00671140939597315*5.25227342804663</f>
        <v>3.5250157235212257E-2</v>
      </c>
      <c r="I18266">
        <v>3.5250157235212277E-2</v>
      </c>
    </row>
    <row r="18267" spans="1:9" x14ac:dyDescent="0.25">
      <c r="A18267">
        <v>568</v>
      </c>
      <c r="B18267" t="s">
        <v>4469</v>
      </c>
      <c r="C18267" t="s">
        <v>48</v>
      </c>
      <c r="D18267" t="s">
        <v>17</v>
      </c>
      <c r="E18267">
        <f t="shared" si="871"/>
        <v>6.7114093959731542E-3</v>
      </c>
      <c r="F18267">
        <v>169</v>
      </c>
      <c r="G18267">
        <f>LOG(382/(169+1))</f>
        <v>0.3516144415334348</v>
      </c>
      <c r="H18267">
        <f>0.00671140939597315*0.809622171556313</f>
        <v>5.4337058493712249E-3</v>
      </c>
      <c r="I18267">
        <v>5.4337058493712309E-3</v>
      </c>
    </row>
    <row r="18268" spans="1:9" x14ac:dyDescent="0.25">
      <c r="A18268">
        <v>568</v>
      </c>
      <c r="B18268" t="s">
        <v>4469</v>
      </c>
      <c r="C18268" t="s">
        <v>48</v>
      </c>
      <c r="D18268" t="s">
        <v>1401</v>
      </c>
      <c r="E18268">
        <f>3/149</f>
        <v>2.0134228187919462E-2</v>
      </c>
      <c r="F18268">
        <v>16</v>
      </c>
      <c r="G18268">
        <f>LOG(382/(16+1))</f>
        <v>1.3516144415334348</v>
      </c>
      <c r="H18268">
        <f>0.0201342281879194*3.11220726455035</f>
        <v>6.2661891232557179E-2</v>
      </c>
      <c r="I18268">
        <v>6.2661891232557568E-2</v>
      </c>
    </row>
    <row r="18269" spans="1:9" x14ac:dyDescent="0.25">
      <c r="A18269">
        <v>568</v>
      </c>
      <c r="B18269" t="s">
        <v>4469</v>
      </c>
      <c r="C18269" t="s">
        <v>48</v>
      </c>
      <c r="D18269" t="s">
        <v>725</v>
      </c>
      <c r="E18269">
        <f>1/149</f>
        <v>6.7114093959731542E-3</v>
      </c>
      <c r="F18269">
        <v>12</v>
      </c>
      <c r="G18269">
        <f>LOG(382/(12+1))</f>
        <v>1.468120010604872</v>
      </c>
      <c r="H18269">
        <f>0.00671140939597315*3.38047125114503</f>
        <v>2.2687726517751864E-2</v>
      </c>
      <c r="I18269">
        <v>2.268772651775194E-2</v>
      </c>
    </row>
    <row r="18270" spans="1:9" x14ac:dyDescent="0.25">
      <c r="A18270">
        <v>568</v>
      </c>
      <c r="B18270" t="s">
        <v>4469</v>
      </c>
      <c r="C18270" t="s">
        <v>48</v>
      </c>
      <c r="D18270" t="s">
        <v>432</v>
      </c>
      <c r="E18270">
        <f>3/149</f>
        <v>2.0134228187919462E-2</v>
      </c>
      <c r="F18270">
        <v>67</v>
      </c>
      <c r="G18270">
        <f>LOG(382/(67+1))</f>
        <v>0.7495544502054724</v>
      </c>
      <c r="H18270">
        <f>0.0201342281879194*1.72591290343046</f>
        <v>3.4749924230143385E-2</v>
      </c>
      <c r="I18270">
        <v>3.4749924230143663E-2</v>
      </c>
    </row>
    <row r="18271" spans="1:9" x14ac:dyDescent="0.25">
      <c r="A18271">
        <v>568</v>
      </c>
      <c r="B18271" t="s">
        <v>4469</v>
      </c>
      <c r="C18271" t="s">
        <v>48</v>
      </c>
      <c r="D18271" t="s">
        <v>814</v>
      </c>
      <c r="E18271">
        <f>2/149</f>
        <v>1.3422818791946308E-2</v>
      </c>
      <c r="F18271">
        <v>18</v>
      </c>
      <c r="G18271">
        <f>LOG(382/(18+1))</f>
        <v>1.3033097619588798</v>
      </c>
      <c r="H18271">
        <f>0.0134228187919463*3.00098162944013</f>
        <v>4.0281632609934608E-2</v>
      </c>
      <c r="I18271">
        <v>4.0281632609934691E-2</v>
      </c>
    </row>
    <row r="18272" spans="1:9" x14ac:dyDescent="0.25">
      <c r="A18272">
        <v>568</v>
      </c>
      <c r="B18272" t="s">
        <v>4469</v>
      </c>
      <c r="C18272" t="s">
        <v>48</v>
      </c>
      <c r="D18272" t="s">
        <v>22</v>
      </c>
      <c r="E18272">
        <f t="shared" ref="E18272:E18279" si="872">1/149</f>
        <v>6.7114093959731542E-3</v>
      </c>
      <c r="F18272">
        <v>259</v>
      </c>
      <c r="G18272">
        <f>LOG(382/(259+1))</f>
        <v>0.16709001494089079</v>
      </c>
      <c r="H18272">
        <f>0.00671140939597315*0.384738977591047</f>
        <v>2.582140789201656E-3</v>
      </c>
      <c r="I18272">
        <v>2.5821407892016612E-3</v>
      </c>
    </row>
    <row r="18273" spans="1:9" x14ac:dyDescent="0.25">
      <c r="A18273">
        <v>568</v>
      </c>
      <c r="B18273" t="s">
        <v>4469</v>
      </c>
      <c r="C18273" t="s">
        <v>48</v>
      </c>
      <c r="D18273" t="s">
        <v>23</v>
      </c>
      <c r="E18273">
        <f t="shared" si="872"/>
        <v>6.7114093959731542E-3</v>
      </c>
      <c r="F18273">
        <v>275</v>
      </c>
      <c r="G18273">
        <f>LOG(382/(275+1))</f>
        <v>0.14115428084649101</v>
      </c>
      <c r="H18273">
        <f>0.00671140939597315*0.325019742889425</f>
        <v>2.1813405563048641E-3</v>
      </c>
      <c r="I18273">
        <v>2.1813405563048671E-3</v>
      </c>
    </row>
    <row r="18274" spans="1:9" x14ac:dyDescent="0.25">
      <c r="A18274">
        <v>568</v>
      </c>
      <c r="B18274" t="s">
        <v>4469</v>
      </c>
      <c r="C18274" t="s">
        <v>48</v>
      </c>
      <c r="D18274" t="s">
        <v>58</v>
      </c>
      <c r="E18274">
        <f t="shared" si="872"/>
        <v>6.7114093959731542E-3</v>
      </c>
      <c r="F18274">
        <v>18</v>
      </c>
      <c r="G18274">
        <f>LOG(382/(18+1))</f>
        <v>1.3033097619588798</v>
      </c>
      <c r="H18274">
        <f>0.00671140939597315*3.00098162944013</f>
        <v>2.0140816304967304E-2</v>
      </c>
      <c r="I18274">
        <v>2.0140816304967349E-2</v>
      </c>
    </row>
    <row r="18275" spans="1:9" x14ac:dyDescent="0.25">
      <c r="A18275">
        <v>568</v>
      </c>
      <c r="B18275" t="s">
        <v>4469</v>
      </c>
      <c r="C18275" t="s">
        <v>48</v>
      </c>
      <c r="D18275" t="s">
        <v>589</v>
      </c>
      <c r="E18275">
        <f t="shared" si="872"/>
        <v>6.7114093959731542E-3</v>
      </c>
      <c r="F18275">
        <v>12</v>
      </c>
      <c r="G18275">
        <f>LOG(382/(12+1))</f>
        <v>1.468120010604872</v>
      </c>
      <c r="H18275">
        <f>0.00671140939597315*3.38047125114503</f>
        <v>2.2687726517751864E-2</v>
      </c>
      <c r="I18275">
        <v>2.268772651775194E-2</v>
      </c>
    </row>
    <row r="18276" spans="1:9" x14ac:dyDescent="0.25">
      <c r="A18276">
        <v>568</v>
      </c>
      <c r="B18276" t="s">
        <v>4469</v>
      </c>
      <c r="C18276" t="s">
        <v>48</v>
      </c>
      <c r="D18276" t="s">
        <v>3087</v>
      </c>
      <c r="E18276">
        <f t="shared" si="872"/>
        <v>6.7114093959731542E-3</v>
      </c>
      <c r="F18276">
        <v>2</v>
      </c>
      <c r="G18276">
        <f>LOG(382/(2+1))</f>
        <v>2.1049421081920463</v>
      </c>
      <c r="H18276">
        <f>0.00671140939597315*4.84680831993846</f>
        <v>3.2528914898915816E-2</v>
      </c>
      <c r="I18276">
        <v>3.2528914898915871E-2</v>
      </c>
    </row>
    <row r="18277" spans="1:9" x14ac:dyDescent="0.25">
      <c r="A18277">
        <v>568</v>
      </c>
      <c r="B18277" t="s">
        <v>4469</v>
      </c>
      <c r="C18277" t="s">
        <v>48</v>
      </c>
      <c r="D18277" t="s">
        <v>4472</v>
      </c>
      <c r="E18277">
        <f t="shared" si="872"/>
        <v>6.7114093959731542E-3</v>
      </c>
      <c r="F18277">
        <v>1</v>
      </c>
      <c r="G18277">
        <f>LOG(382/(1+1))</f>
        <v>2.2810333672477277</v>
      </c>
      <c r="H18277">
        <f>0.00671140939597315*5.25227342804663</f>
        <v>3.5250157235212257E-2</v>
      </c>
      <c r="I18277">
        <v>3.5250157235212277E-2</v>
      </c>
    </row>
    <row r="18278" spans="1:9" x14ac:dyDescent="0.25">
      <c r="A18278">
        <v>568</v>
      </c>
      <c r="B18278" t="s">
        <v>4469</v>
      </c>
      <c r="C18278" t="s">
        <v>48</v>
      </c>
      <c r="D18278" t="s">
        <v>59</v>
      </c>
      <c r="E18278">
        <f t="shared" si="872"/>
        <v>6.7114093959731542E-3</v>
      </c>
      <c r="F18278">
        <v>13</v>
      </c>
      <c r="G18278">
        <f>LOG(382/(13+1))</f>
        <v>1.4359353272334707</v>
      </c>
      <c r="H18278">
        <f>0.00671140939597315*3.30636327899131</f>
        <v>2.2190357577122871E-2</v>
      </c>
      <c r="I18278">
        <v>2.219035757712293E-2</v>
      </c>
    </row>
    <row r="18279" spans="1:9" x14ac:dyDescent="0.25">
      <c r="A18279">
        <v>568</v>
      </c>
      <c r="B18279" t="s">
        <v>4469</v>
      </c>
      <c r="C18279" t="s">
        <v>48</v>
      </c>
      <c r="D18279" t="s">
        <v>197</v>
      </c>
      <c r="E18279">
        <f t="shared" si="872"/>
        <v>6.7114093959731542E-3</v>
      </c>
      <c r="F18279">
        <v>18</v>
      </c>
      <c r="G18279">
        <f>LOG(382/(18+1))</f>
        <v>1.3033097619588798</v>
      </c>
      <c r="H18279">
        <f>0.00671140939597315*3.00098162944013</f>
        <v>2.0140816304967304E-2</v>
      </c>
      <c r="I18279">
        <v>2.0140816304967349E-2</v>
      </c>
    </row>
    <row r="18280" spans="1:9" x14ac:dyDescent="0.25">
      <c r="A18280">
        <v>568</v>
      </c>
      <c r="B18280" t="s">
        <v>4469</v>
      </c>
      <c r="C18280" t="s">
        <v>48</v>
      </c>
      <c r="D18280" t="s">
        <v>53</v>
      </c>
      <c r="E18280">
        <f>4/149</f>
        <v>2.6845637583892617E-2</v>
      </c>
      <c r="F18280">
        <v>57</v>
      </c>
      <c r="G18280">
        <f>LOG(382/(57+1))</f>
        <v>0.81863536934877146</v>
      </c>
      <c r="H18280">
        <f>0.0268456375838926*1.88497759806015</f>
        <v>5.060342545127916E-2</v>
      </c>
      <c r="I18280">
        <v>5.0603425451279348E-2</v>
      </c>
    </row>
    <row r="18281" spans="1:9" x14ac:dyDescent="0.25">
      <c r="A18281">
        <v>568</v>
      </c>
      <c r="B18281" t="s">
        <v>4469</v>
      </c>
      <c r="C18281" t="s">
        <v>48</v>
      </c>
      <c r="D18281" t="s">
        <v>50</v>
      </c>
      <c r="E18281">
        <f>1/149</f>
        <v>6.7114093959731542E-3</v>
      </c>
      <c r="F18281">
        <v>109</v>
      </c>
      <c r="G18281">
        <f>LOG(382/(109+1))</f>
        <v>0.54067067775348365</v>
      </c>
      <c r="H18281">
        <f>0.00671140939597315*1.24494024281415</f>
        <v>8.3553036430479809E-3</v>
      </c>
      <c r="I18281">
        <v>8.3553036430480468E-3</v>
      </c>
    </row>
    <row r="18282" spans="1:9" x14ac:dyDescent="0.25">
      <c r="A18282">
        <v>568</v>
      </c>
      <c r="B18282" t="s">
        <v>4469</v>
      </c>
      <c r="C18282" t="s">
        <v>48</v>
      </c>
      <c r="D18282" t="s">
        <v>92</v>
      </c>
      <c r="E18282">
        <f>1/149</f>
        <v>6.7114093959731542E-3</v>
      </c>
      <c r="F18282">
        <v>12</v>
      </c>
      <c r="G18282">
        <f>LOG(382/(12+1))</f>
        <v>1.468120010604872</v>
      </c>
      <c r="H18282">
        <f>0.00671140939597315*3.38047125114503</f>
        <v>2.2687726517751864E-2</v>
      </c>
      <c r="I18282">
        <v>2.268772651775194E-2</v>
      </c>
    </row>
    <row r="18283" spans="1:9" x14ac:dyDescent="0.25">
      <c r="A18283">
        <v>568</v>
      </c>
      <c r="B18283" t="s">
        <v>4469</v>
      </c>
      <c r="C18283" t="s">
        <v>48</v>
      </c>
      <c r="D18283" t="s">
        <v>1623</v>
      </c>
      <c r="E18283">
        <f>2/149</f>
        <v>1.3422818791946308E-2</v>
      </c>
      <c r="F18283">
        <v>3</v>
      </c>
      <c r="G18283">
        <f>LOG(382/(3+1))</f>
        <v>1.9800033715837464</v>
      </c>
      <c r="H18283">
        <f>0.0134228187919463*4.55912624748668</f>
        <v>6.1196325469619825E-2</v>
      </c>
      <c r="I18283">
        <v>6.1196325469619922E-2</v>
      </c>
    </row>
    <row r="18284" spans="1:9" x14ac:dyDescent="0.25">
      <c r="A18284">
        <v>568</v>
      </c>
      <c r="B18284" t="s">
        <v>4469</v>
      </c>
      <c r="C18284" t="s">
        <v>48</v>
      </c>
      <c r="D18284" t="s">
        <v>52</v>
      </c>
      <c r="E18284">
        <f>3/149</f>
        <v>2.0134228187919462E-2</v>
      </c>
      <c r="F18284">
        <v>35</v>
      </c>
      <c r="G18284">
        <f>LOG(382/(35+1))</f>
        <v>1.0257608621444214</v>
      </c>
      <c r="H18284">
        <f>0.0201342281879194*2.36190167015046</f>
        <v>4.7555067184237299E-2</v>
      </c>
      <c r="I18284">
        <v>4.7555067184237548E-2</v>
      </c>
    </row>
    <row r="18285" spans="1:9" x14ac:dyDescent="0.25">
      <c r="A18285">
        <v>568</v>
      </c>
      <c r="B18285" t="s">
        <v>4469</v>
      </c>
      <c r="C18285" t="s">
        <v>48</v>
      </c>
      <c r="D18285" t="s">
        <v>85</v>
      </c>
      <c r="E18285">
        <f>1/149</f>
        <v>6.7114093959731542E-3</v>
      </c>
      <c r="F18285">
        <v>13</v>
      </c>
      <c r="G18285">
        <f>LOG(382/(13+1))</f>
        <v>1.4359353272334707</v>
      </c>
      <c r="H18285">
        <f>0.00671140939597315*3.30636327899131</f>
        <v>2.2190357577122871E-2</v>
      </c>
      <c r="I18285">
        <v>2.219035757712293E-2</v>
      </c>
    </row>
    <row r="18286" spans="1:9" x14ac:dyDescent="0.25">
      <c r="A18286">
        <v>568</v>
      </c>
      <c r="B18286" t="s">
        <v>4469</v>
      </c>
      <c r="C18286" t="s">
        <v>48</v>
      </c>
      <c r="D18286" t="s">
        <v>1127</v>
      </c>
      <c r="E18286">
        <f>1/149</f>
        <v>6.7114093959731542E-3</v>
      </c>
      <c r="F18286">
        <v>18</v>
      </c>
      <c r="G18286">
        <f>LOG(382/(18+1))</f>
        <v>1.3033097619588798</v>
      </c>
      <c r="H18286">
        <f>0.00671140939597315*3.00098162944013</f>
        <v>2.0140816304967304E-2</v>
      </c>
      <c r="I18286">
        <v>2.0140816304967349E-2</v>
      </c>
    </row>
    <row r="18287" spans="1:9" x14ac:dyDescent="0.25">
      <c r="A18287">
        <v>568</v>
      </c>
      <c r="B18287" t="s">
        <v>4469</v>
      </c>
      <c r="C18287" t="s">
        <v>48</v>
      </c>
      <c r="D18287" t="s">
        <v>131</v>
      </c>
      <c r="E18287">
        <f>3/149</f>
        <v>2.0134228187919462E-2</v>
      </c>
      <c r="F18287">
        <v>38</v>
      </c>
      <c r="G18287">
        <f>LOG(382/(38+1))</f>
        <v>0.99099875588520958</v>
      </c>
      <c r="H18287">
        <f>0.0201342281879194*2.28185896247692</f>
        <v>4.5943469043159317E-2</v>
      </c>
      <c r="I18287">
        <v>4.5943469043159643E-2</v>
      </c>
    </row>
    <row r="18288" spans="1:9" x14ac:dyDescent="0.25">
      <c r="A18288">
        <v>568</v>
      </c>
      <c r="B18288" t="s">
        <v>4469</v>
      </c>
      <c r="C18288" t="s">
        <v>48</v>
      </c>
      <c r="D18288" t="s">
        <v>489</v>
      </c>
      <c r="E18288">
        <f>3/149</f>
        <v>2.0134228187919462E-2</v>
      </c>
      <c r="F18288">
        <v>6</v>
      </c>
      <c r="G18288">
        <f>LOG(382/(6+1))</f>
        <v>1.736965322897452</v>
      </c>
      <c r="H18288">
        <f>0.0201342281879194*3.99951045955126</f>
        <v>8.0527056232575445E-2</v>
      </c>
      <c r="I18288">
        <v>8.0527056232575736E-2</v>
      </c>
    </row>
    <row r="18289" spans="1:9" x14ac:dyDescent="0.25">
      <c r="A18289">
        <v>568</v>
      </c>
      <c r="B18289" t="s">
        <v>4469</v>
      </c>
      <c r="C18289" t="s">
        <v>48</v>
      </c>
      <c r="D18289" t="s">
        <v>25</v>
      </c>
      <c r="E18289">
        <f t="shared" ref="E18289:E18298" si="873">1/149</f>
        <v>6.7114093959731542E-3</v>
      </c>
      <c r="F18289">
        <v>106</v>
      </c>
      <c r="G18289">
        <f>LOG(382/(106+1))</f>
        <v>0.55267958522649907</v>
      </c>
      <c r="H18289">
        <f>0.00671140939597315*1.27259177414466</f>
        <v>8.5408843902326122E-3</v>
      </c>
      <c r="I18289">
        <v>8.5408843902326781E-3</v>
      </c>
    </row>
    <row r="18290" spans="1:9" x14ac:dyDescent="0.25">
      <c r="A18290">
        <v>568</v>
      </c>
      <c r="B18290" t="s">
        <v>4469</v>
      </c>
      <c r="C18290" t="s">
        <v>48</v>
      </c>
      <c r="D18290" t="s">
        <v>4473</v>
      </c>
      <c r="E18290">
        <f t="shared" si="873"/>
        <v>6.7114093959731542E-3</v>
      </c>
      <c r="F18290">
        <v>1</v>
      </c>
      <c r="G18290">
        <f>LOG(382/(1+1))</f>
        <v>2.2810333672477277</v>
      </c>
      <c r="H18290">
        <f>0.00671140939597315*5.25227342804663</f>
        <v>3.5250157235212257E-2</v>
      </c>
      <c r="I18290">
        <v>3.5250157235212277E-2</v>
      </c>
    </row>
    <row r="18291" spans="1:9" x14ac:dyDescent="0.25">
      <c r="A18291">
        <v>568</v>
      </c>
      <c r="B18291" t="s">
        <v>4469</v>
      </c>
      <c r="C18291" t="s">
        <v>48</v>
      </c>
      <c r="D18291" t="s">
        <v>716</v>
      </c>
      <c r="E18291">
        <f t="shared" si="873"/>
        <v>6.7114093959731542E-3</v>
      </c>
      <c r="F18291">
        <v>13</v>
      </c>
      <c r="G18291">
        <f>LOG(382/(13+1))</f>
        <v>1.4359353272334707</v>
      </c>
      <c r="H18291">
        <f>0.00671140939597315*3.30636327899131</f>
        <v>2.2190357577122871E-2</v>
      </c>
      <c r="I18291">
        <v>2.219035757712293E-2</v>
      </c>
    </row>
    <row r="18292" spans="1:9" x14ac:dyDescent="0.25">
      <c r="A18292">
        <v>568</v>
      </c>
      <c r="B18292" t="s">
        <v>4469</v>
      </c>
      <c r="C18292" t="s">
        <v>48</v>
      </c>
      <c r="D18292" t="s">
        <v>4474</v>
      </c>
      <c r="E18292">
        <f t="shared" si="873"/>
        <v>6.7114093959731542E-3</v>
      </c>
      <c r="F18292">
        <v>1</v>
      </c>
      <c r="G18292">
        <f>LOG(382/(1+1))</f>
        <v>2.2810333672477277</v>
      </c>
      <c r="H18292">
        <f>0.00671140939597315*5.25227342804663</f>
        <v>3.5250157235212257E-2</v>
      </c>
      <c r="I18292">
        <v>3.5250157235212277E-2</v>
      </c>
    </row>
    <row r="18293" spans="1:9" x14ac:dyDescent="0.25">
      <c r="A18293">
        <v>568</v>
      </c>
      <c r="B18293" t="s">
        <v>4469</v>
      </c>
      <c r="C18293" t="s">
        <v>48</v>
      </c>
      <c r="D18293" t="s">
        <v>4475</v>
      </c>
      <c r="E18293">
        <f t="shared" si="873"/>
        <v>6.7114093959731542E-3</v>
      </c>
      <c r="F18293">
        <v>1</v>
      </c>
      <c r="G18293">
        <f>LOG(382/(1+1))</f>
        <v>2.2810333672477277</v>
      </c>
      <c r="H18293">
        <f>0.00671140939597315*5.25227342804663</f>
        <v>3.5250157235212257E-2</v>
      </c>
      <c r="I18293">
        <v>3.5250157235212277E-2</v>
      </c>
    </row>
    <row r="18294" spans="1:9" x14ac:dyDescent="0.25">
      <c r="A18294">
        <v>568</v>
      </c>
      <c r="B18294" t="s">
        <v>4469</v>
      </c>
      <c r="C18294" t="s">
        <v>48</v>
      </c>
      <c r="D18294" t="s">
        <v>106</v>
      </c>
      <c r="E18294">
        <f t="shared" si="873"/>
        <v>6.7114093959731542E-3</v>
      </c>
      <c r="F18294">
        <v>17</v>
      </c>
      <c r="G18294">
        <f>LOG(382/(17+1))</f>
        <v>1.3267908578084027</v>
      </c>
      <c r="H18294">
        <f>0.00671140939597315*3.05504885071041</f>
        <v>2.0503683561814819E-2</v>
      </c>
      <c r="I18294">
        <v>2.0503683561814829E-2</v>
      </c>
    </row>
    <row r="18295" spans="1:9" x14ac:dyDescent="0.25">
      <c r="A18295">
        <v>568</v>
      </c>
      <c r="B18295" t="s">
        <v>4469</v>
      </c>
      <c r="C18295" t="s">
        <v>48</v>
      </c>
      <c r="D18295" t="s">
        <v>103</v>
      </c>
      <c r="E18295">
        <f t="shared" si="873"/>
        <v>6.7114093959731542E-3</v>
      </c>
      <c r="F18295">
        <v>38</v>
      </c>
      <c r="G18295">
        <f>LOG(382/(38+1))</f>
        <v>0.99099875588520958</v>
      </c>
      <c r="H18295">
        <f>0.00671140939597315*2.28185896247692</f>
        <v>1.5314489681053145E-2</v>
      </c>
      <c r="I18295">
        <v>1.5314489681053209E-2</v>
      </c>
    </row>
    <row r="18296" spans="1:9" x14ac:dyDescent="0.25">
      <c r="A18296">
        <v>568</v>
      </c>
      <c r="B18296" t="s">
        <v>4469</v>
      </c>
      <c r="C18296" t="s">
        <v>48</v>
      </c>
      <c r="D18296" t="s">
        <v>4476</v>
      </c>
      <c r="E18296">
        <f t="shared" si="873"/>
        <v>6.7114093959731542E-3</v>
      </c>
      <c r="F18296">
        <v>1</v>
      </c>
      <c r="G18296">
        <f>LOG(382/(1+1))</f>
        <v>2.2810333672477277</v>
      </c>
      <c r="H18296">
        <f>0.00671140939597315*5.25227342804663</f>
        <v>3.5250157235212257E-2</v>
      </c>
      <c r="I18296">
        <v>3.5250157235212277E-2</v>
      </c>
    </row>
    <row r="18297" spans="1:9" x14ac:dyDescent="0.25">
      <c r="A18297">
        <v>568</v>
      </c>
      <c r="B18297" t="s">
        <v>4469</v>
      </c>
      <c r="C18297" t="s">
        <v>48</v>
      </c>
      <c r="D18297" t="s">
        <v>4477</v>
      </c>
      <c r="E18297">
        <f t="shared" si="873"/>
        <v>6.7114093959731542E-3</v>
      </c>
      <c r="F18297">
        <v>1</v>
      </c>
      <c r="G18297">
        <f>LOG(382/(1+1))</f>
        <v>2.2810333672477277</v>
      </c>
      <c r="H18297">
        <f>0.00671140939597315*5.25227342804663</f>
        <v>3.5250157235212257E-2</v>
      </c>
      <c r="I18297">
        <v>3.5250157235212277E-2</v>
      </c>
    </row>
    <row r="18298" spans="1:9" x14ac:dyDescent="0.25">
      <c r="A18298">
        <v>568</v>
      </c>
      <c r="B18298" t="s">
        <v>4469</v>
      </c>
      <c r="C18298" t="s">
        <v>48</v>
      </c>
      <c r="D18298" t="s">
        <v>1187</v>
      </c>
      <c r="E18298">
        <f t="shared" si="873"/>
        <v>6.7114093959731542E-3</v>
      </c>
      <c r="F18298">
        <v>3</v>
      </c>
      <c r="G18298">
        <f>LOG(382/(3+1))</f>
        <v>1.9800033715837464</v>
      </c>
      <c r="H18298">
        <f>0.00671140939597315*4.55912624748668</f>
        <v>3.0598162734809912E-2</v>
      </c>
      <c r="I18298">
        <v>3.0598162734809961E-2</v>
      </c>
    </row>
    <row r="18299" spans="1:9" x14ac:dyDescent="0.25">
      <c r="A18299">
        <v>568</v>
      </c>
      <c r="B18299" t="s">
        <v>4469</v>
      </c>
      <c r="C18299" t="s">
        <v>48</v>
      </c>
      <c r="D18299" t="s">
        <v>812</v>
      </c>
      <c r="E18299">
        <f>3/149</f>
        <v>2.0134228187919462E-2</v>
      </c>
      <c r="F18299">
        <v>11</v>
      </c>
      <c r="G18299">
        <f>LOG(382/(11+1))</f>
        <v>1.5028821168640838</v>
      </c>
      <c r="H18299">
        <f>0.0201342281879194*3.46051395881857</f>
        <v>6.9674777694333404E-2</v>
      </c>
      <c r="I18299">
        <v>6.9674777694333723E-2</v>
      </c>
    </row>
    <row r="18300" spans="1:9" x14ac:dyDescent="0.25">
      <c r="A18300">
        <v>568</v>
      </c>
      <c r="B18300" t="s">
        <v>4469</v>
      </c>
      <c r="C18300" t="s">
        <v>48</v>
      </c>
      <c r="D18300" t="s">
        <v>3865</v>
      </c>
      <c r="E18300">
        <f t="shared" ref="E18300:E18321" si="874">1/149</f>
        <v>6.7114093959731542E-3</v>
      </c>
      <c r="F18300">
        <v>3</v>
      </c>
      <c r="G18300">
        <f>LOG(382/(3+1))</f>
        <v>1.9800033715837464</v>
      </c>
      <c r="H18300">
        <f>0.00671140939597315*4.55912624748668</f>
        <v>3.0598162734809912E-2</v>
      </c>
      <c r="I18300">
        <v>3.0598162734809961E-2</v>
      </c>
    </row>
    <row r="18301" spans="1:9" x14ac:dyDescent="0.25">
      <c r="A18301">
        <v>568</v>
      </c>
      <c r="B18301" t="s">
        <v>4469</v>
      </c>
      <c r="C18301" t="s">
        <v>48</v>
      </c>
      <c r="D18301" t="s">
        <v>82</v>
      </c>
      <c r="E18301">
        <f t="shared" si="874"/>
        <v>6.7114093959731542E-3</v>
      </c>
      <c r="F18301">
        <v>92</v>
      </c>
      <c r="G18301">
        <f>LOG(382/(92+1))</f>
        <v>0.61358041435777355</v>
      </c>
      <c r="H18301">
        <f>0.00671140939597315*1.41282111545331</f>
        <v>9.4820209090826103E-3</v>
      </c>
      <c r="I18301">
        <v>9.4820209090826797E-3</v>
      </c>
    </row>
    <row r="18302" spans="1:9" x14ac:dyDescent="0.25">
      <c r="A18302">
        <v>568</v>
      </c>
      <c r="B18302" t="s">
        <v>4469</v>
      </c>
      <c r="C18302" t="s">
        <v>48</v>
      </c>
      <c r="D18302" t="s">
        <v>118</v>
      </c>
      <c r="E18302">
        <f t="shared" si="874"/>
        <v>6.7114093959731542E-3</v>
      </c>
      <c r="F18302">
        <v>8</v>
      </c>
      <c r="G18302">
        <f>LOG(382/(8+1))</f>
        <v>1.6278208534723839</v>
      </c>
      <c r="H18302">
        <f>0.00671140939597315*3.74819603127035</f>
        <v>2.5155678062217097E-2</v>
      </c>
      <c r="I18302">
        <v>2.5155678062217149E-2</v>
      </c>
    </row>
    <row r="18303" spans="1:9" x14ac:dyDescent="0.25">
      <c r="A18303">
        <v>568</v>
      </c>
      <c r="B18303" t="s">
        <v>4469</v>
      </c>
      <c r="C18303" t="s">
        <v>48</v>
      </c>
      <c r="D18303" t="s">
        <v>419</v>
      </c>
      <c r="E18303">
        <f t="shared" si="874"/>
        <v>6.7114093959731542E-3</v>
      </c>
      <c r="F18303">
        <v>4</v>
      </c>
      <c r="G18303">
        <f>LOG(382/(4+1))</f>
        <v>1.8830933585756899</v>
      </c>
      <c r="H18303">
        <f>0.00671140939597315*4.33598269617247</f>
        <v>2.9100555007868911E-2</v>
      </c>
      <c r="I18303">
        <v>2.9100555007868959E-2</v>
      </c>
    </row>
    <row r="18304" spans="1:9" x14ac:dyDescent="0.25">
      <c r="A18304">
        <v>568</v>
      </c>
      <c r="B18304" t="s">
        <v>4469</v>
      </c>
      <c r="C18304" t="s">
        <v>48</v>
      </c>
      <c r="D18304" t="s">
        <v>4478</v>
      </c>
      <c r="E18304">
        <f t="shared" si="874"/>
        <v>6.7114093959731542E-3</v>
      </c>
      <c r="F18304">
        <v>2</v>
      </c>
      <c r="G18304">
        <f>LOG(382/(2+1))</f>
        <v>2.1049421081920463</v>
      </c>
      <c r="H18304">
        <f>0.00671140939597315*4.84680831993846</f>
        <v>3.2528914898915816E-2</v>
      </c>
      <c r="I18304">
        <v>3.2528914898915871E-2</v>
      </c>
    </row>
    <row r="18305" spans="1:9" x14ac:dyDescent="0.25">
      <c r="A18305">
        <v>568</v>
      </c>
      <c r="B18305" t="s">
        <v>4469</v>
      </c>
      <c r="C18305" t="s">
        <v>48</v>
      </c>
      <c r="D18305" t="s">
        <v>4479</v>
      </c>
      <c r="E18305">
        <f t="shared" si="874"/>
        <v>6.7114093959731542E-3</v>
      </c>
      <c r="F18305">
        <v>1</v>
      </c>
      <c r="G18305">
        <f>LOG(382/(1+1))</f>
        <v>2.2810333672477277</v>
      </c>
      <c r="H18305">
        <f>0.00671140939597315*5.25227342804663</f>
        <v>3.5250157235212257E-2</v>
      </c>
      <c r="I18305">
        <v>3.5250157235212277E-2</v>
      </c>
    </row>
    <row r="18306" spans="1:9" x14ac:dyDescent="0.25">
      <c r="A18306">
        <v>568</v>
      </c>
      <c r="B18306" t="s">
        <v>4469</v>
      </c>
      <c r="C18306" t="s">
        <v>48</v>
      </c>
      <c r="D18306" t="s">
        <v>4480</v>
      </c>
      <c r="E18306">
        <f t="shared" si="874"/>
        <v>6.7114093959731542E-3</v>
      </c>
      <c r="F18306">
        <v>1</v>
      </c>
      <c r="G18306">
        <f>LOG(382/(1+1))</f>
        <v>2.2810333672477277</v>
      </c>
      <c r="H18306">
        <f>0.00671140939597315*5.25227342804663</f>
        <v>3.5250157235212257E-2</v>
      </c>
      <c r="I18306">
        <v>3.5250157235212277E-2</v>
      </c>
    </row>
    <row r="18307" spans="1:9" x14ac:dyDescent="0.25">
      <c r="A18307">
        <v>568</v>
      </c>
      <c r="B18307" t="s">
        <v>4469</v>
      </c>
      <c r="C18307" t="s">
        <v>48</v>
      </c>
      <c r="D18307" t="s">
        <v>2050</v>
      </c>
      <c r="E18307">
        <f t="shared" si="874"/>
        <v>6.7114093959731542E-3</v>
      </c>
      <c r="F18307">
        <v>4</v>
      </c>
      <c r="G18307">
        <f>LOG(382/(4+1))</f>
        <v>1.8830933585756899</v>
      </c>
      <c r="H18307">
        <f>0.00671140939597315*4.33598269617247</f>
        <v>2.9100555007868911E-2</v>
      </c>
      <c r="I18307">
        <v>2.9100555007868959E-2</v>
      </c>
    </row>
    <row r="18308" spans="1:9" x14ac:dyDescent="0.25">
      <c r="A18308">
        <v>568</v>
      </c>
      <c r="B18308" t="s">
        <v>4469</v>
      </c>
      <c r="C18308" t="s">
        <v>48</v>
      </c>
      <c r="D18308" t="s">
        <v>492</v>
      </c>
      <c r="E18308">
        <f t="shared" si="874"/>
        <v>6.7114093959731542E-3</v>
      </c>
      <c r="F18308">
        <v>2</v>
      </c>
      <c r="G18308">
        <f>LOG(382/(2+1))</f>
        <v>2.1049421081920463</v>
      </c>
      <c r="H18308">
        <f>0.00671140939597315*4.84680831993846</f>
        <v>3.2528914898915816E-2</v>
      </c>
      <c r="I18308">
        <v>3.2528914898915871E-2</v>
      </c>
    </row>
    <row r="18309" spans="1:9" x14ac:dyDescent="0.25">
      <c r="A18309">
        <v>568</v>
      </c>
      <c r="B18309" t="s">
        <v>4469</v>
      </c>
      <c r="C18309" t="s">
        <v>48</v>
      </c>
      <c r="D18309" t="s">
        <v>493</v>
      </c>
      <c r="E18309">
        <f t="shared" si="874"/>
        <v>6.7114093959731542E-3</v>
      </c>
      <c r="F18309">
        <v>2</v>
      </c>
      <c r="G18309">
        <f>LOG(382/(2+1))</f>
        <v>2.1049421081920463</v>
      </c>
      <c r="H18309">
        <f>0.00671140939597315*4.84680831993846</f>
        <v>3.2528914898915816E-2</v>
      </c>
      <c r="I18309">
        <v>3.2528914898915871E-2</v>
      </c>
    </row>
    <row r="18310" spans="1:9" x14ac:dyDescent="0.25">
      <c r="A18310">
        <v>568</v>
      </c>
      <c r="B18310" t="s">
        <v>4469</v>
      </c>
      <c r="C18310" t="s">
        <v>48</v>
      </c>
      <c r="D18310" t="s">
        <v>4481</v>
      </c>
      <c r="E18310">
        <f t="shared" si="874"/>
        <v>6.7114093959731542E-3</v>
      </c>
      <c r="F18310">
        <v>1</v>
      </c>
      <c r="G18310">
        <f>LOG(382/(1+1))</f>
        <v>2.2810333672477277</v>
      </c>
      <c r="H18310">
        <f>0.00671140939597315*5.25227342804663</f>
        <v>3.5250157235212257E-2</v>
      </c>
      <c r="I18310">
        <v>3.5250157235212277E-2</v>
      </c>
    </row>
    <row r="18311" spans="1:9" x14ac:dyDescent="0.25">
      <c r="A18311">
        <v>568</v>
      </c>
      <c r="B18311" t="s">
        <v>4469</v>
      </c>
      <c r="C18311" t="s">
        <v>48</v>
      </c>
      <c r="D18311" t="s">
        <v>98</v>
      </c>
      <c r="E18311">
        <f t="shared" si="874"/>
        <v>6.7114093959731542E-3</v>
      </c>
      <c r="F18311">
        <v>56</v>
      </c>
      <c r="G18311">
        <f>LOG(382/(56+1))</f>
        <v>0.82618850723921733</v>
      </c>
      <c r="H18311">
        <f>0.00671140939597315*1.90236934077202</f>
        <v>1.2767579468268581E-2</v>
      </c>
      <c r="I18311">
        <v>1.2767579468268619E-2</v>
      </c>
    </row>
    <row r="18312" spans="1:9" x14ac:dyDescent="0.25">
      <c r="A18312">
        <v>568</v>
      </c>
      <c r="B18312" t="s">
        <v>4469</v>
      </c>
      <c r="C18312" t="s">
        <v>48</v>
      </c>
      <c r="D18312" t="s">
        <v>942</v>
      </c>
      <c r="E18312">
        <f t="shared" si="874"/>
        <v>6.7114093959731542E-3</v>
      </c>
      <c r="F18312">
        <v>10</v>
      </c>
      <c r="G18312">
        <f>LOG(382/(10+1))</f>
        <v>1.5406706777534838</v>
      </c>
      <c r="H18312">
        <f>0.00671140939597315*3.5475253358082</f>
        <v>2.380889487119596E-2</v>
      </c>
      <c r="I18312">
        <v>2.3808894871196001E-2</v>
      </c>
    </row>
    <row r="18313" spans="1:9" x14ac:dyDescent="0.25">
      <c r="A18313">
        <v>568</v>
      </c>
      <c r="B18313" t="s">
        <v>4469</v>
      </c>
      <c r="C18313" t="s">
        <v>48</v>
      </c>
      <c r="D18313" t="s">
        <v>3859</v>
      </c>
      <c r="E18313">
        <f t="shared" si="874"/>
        <v>6.7114093959731542E-3</v>
      </c>
      <c r="F18313">
        <v>2</v>
      </c>
      <c r="G18313">
        <f>LOG(382/(2+1))</f>
        <v>2.1049421081920463</v>
      </c>
      <c r="H18313">
        <f>0.00671140939597315*4.84680831993846</f>
        <v>3.2528914898915816E-2</v>
      </c>
      <c r="I18313">
        <v>3.2528914898915871E-2</v>
      </c>
    </row>
    <row r="18314" spans="1:9" x14ac:dyDescent="0.25">
      <c r="A18314">
        <v>568</v>
      </c>
      <c r="B18314" t="s">
        <v>4469</v>
      </c>
      <c r="C18314" t="s">
        <v>48</v>
      </c>
      <c r="D18314" t="s">
        <v>1348</v>
      </c>
      <c r="E18314">
        <f t="shared" si="874"/>
        <v>6.7114093959731542E-3</v>
      </c>
      <c r="F18314">
        <v>4</v>
      </c>
      <c r="G18314">
        <f>LOG(382/(4+1))</f>
        <v>1.8830933585756899</v>
      </c>
      <c r="H18314">
        <f>0.00671140939597315*4.33598269617247</f>
        <v>2.9100555007868911E-2</v>
      </c>
      <c r="I18314">
        <v>2.9100555007868959E-2</v>
      </c>
    </row>
    <row r="18315" spans="1:9" x14ac:dyDescent="0.25">
      <c r="A18315">
        <v>568</v>
      </c>
      <c r="B18315" t="s">
        <v>4469</v>
      </c>
      <c r="C18315" t="s">
        <v>48</v>
      </c>
      <c r="D18315" t="s">
        <v>4482</v>
      </c>
      <c r="E18315">
        <f t="shared" si="874"/>
        <v>6.7114093959731542E-3</v>
      </c>
      <c r="F18315">
        <v>1</v>
      </c>
      <c r="G18315">
        <f>LOG(382/(1+1))</f>
        <v>2.2810333672477277</v>
      </c>
      <c r="H18315">
        <f>0.00671140939597315*5.25227342804663</f>
        <v>3.5250157235212257E-2</v>
      </c>
      <c r="I18315">
        <v>3.5250157235212277E-2</v>
      </c>
    </row>
    <row r="18316" spans="1:9" x14ac:dyDescent="0.25">
      <c r="A18316">
        <v>568</v>
      </c>
      <c r="B18316" t="s">
        <v>4469</v>
      </c>
      <c r="C18316" t="s">
        <v>48</v>
      </c>
      <c r="D18316" t="s">
        <v>4483</v>
      </c>
      <c r="E18316">
        <f t="shared" si="874"/>
        <v>6.7114093959731542E-3</v>
      </c>
      <c r="F18316">
        <v>1</v>
      </c>
      <c r="G18316">
        <f>LOG(382/(1+1))</f>
        <v>2.2810333672477277</v>
      </c>
      <c r="H18316">
        <f>0.00671140939597315*5.25227342804663</f>
        <v>3.5250157235212257E-2</v>
      </c>
      <c r="I18316">
        <v>3.5250157235212277E-2</v>
      </c>
    </row>
    <row r="18317" spans="1:9" x14ac:dyDescent="0.25">
      <c r="A18317">
        <v>568</v>
      </c>
      <c r="B18317" t="s">
        <v>4469</v>
      </c>
      <c r="C18317" t="s">
        <v>48</v>
      </c>
      <c r="D18317" t="s">
        <v>201</v>
      </c>
      <c r="E18317">
        <f t="shared" si="874"/>
        <v>6.7114093959731542E-3</v>
      </c>
      <c r="F18317">
        <v>72</v>
      </c>
      <c r="G18317">
        <f>LOG(382/(72+1))</f>
        <v>0.71874050279125279</v>
      </c>
      <c r="H18317">
        <f>0.00671140939597315*1.65496116745818</f>
        <v>1.1107121929249522E-2</v>
      </c>
      <c r="I18317">
        <v>1.110712192924956E-2</v>
      </c>
    </row>
    <row r="18318" spans="1:9" x14ac:dyDescent="0.25">
      <c r="A18318">
        <v>568</v>
      </c>
      <c r="B18318" t="s">
        <v>4469</v>
      </c>
      <c r="C18318" t="s">
        <v>48</v>
      </c>
      <c r="D18318" t="s">
        <v>856</v>
      </c>
      <c r="E18318">
        <f t="shared" si="874"/>
        <v>6.7114093959731542E-3</v>
      </c>
      <c r="F18318">
        <v>3</v>
      </c>
      <c r="G18318">
        <f>LOG(382/(3+1))</f>
        <v>1.9800033715837464</v>
      </c>
      <c r="H18318">
        <f>0.00671140939597315*4.55912624748668</f>
        <v>3.0598162734809912E-2</v>
      </c>
      <c r="I18318">
        <v>3.0598162734809961E-2</v>
      </c>
    </row>
    <row r="18319" spans="1:9" x14ac:dyDescent="0.25">
      <c r="A18319">
        <v>568</v>
      </c>
      <c r="B18319" t="s">
        <v>4469</v>
      </c>
      <c r="C18319" t="s">
        <v>48</v>
      </c>
      <c r="D18319" t="s">
        <v>241</v>
      </c>
      <c r="E18319">
        <f t="shared" si="874"/>
        <v>6.7114093959731542E-3</v>
      </c>
      <c r="F18319">
        <v>19</v>
      </c>
      <c r="G18319">
        <f>LOG(382/(19+1))</f>
        <v>1.2810333672477277</v>
      </c>
      <c r="H18319">
        <f>0.00671140939597315*2.94968833505258</f>
        <v>1.9796566007064281E-2</v>
      </c>
      <c r="I18319">
        <v>1.9796566007064319E-2</v>
      </c>
    </row>
    <row r="18320" spans="1:9" x14ac:dyDescent="0.25">
      <c r="A18320">
        <v>568</v>
      </c>
      <c r="B18320" t="s">
        <v>4469</v>
      </c>
      <c r="C18320" t="s">
        <v>48</v>
      </c>
      <c r="D18320" t="s">
        <v>361</v>
      </c>
      <c r="E18320">
        <f t="shared" si="874"/>
        <v>6.7114093959731542E-3</v>
      </c>
      <c r="F18320">
        <v>118</v>
      </c>
      <c r="G18320">
        <f>LOG(382/(118+1))</f>
        <v>0.50651640151917798</v>
      </c>
      <c r="H18320">
        <f>0.00671140939597315*1.16629711549504</f>
        <v>7.8274974194297922E-3</v>
      </c>
      <c r="I18320">
        <v>7.8274974194298373E-3</v>
      </c>
    </row>
    <row r="18321" spans="1:9" x14ac:dyDescent="0.25">
      <c r="A18321">
        <v>568</v>
      </c>
      <c r="B18321" t="s">
        <v>4469</v>
      </c>
      <c r="C18321" t="s">
        <v>48</v>
      </c>
      <c r="D18321" t="s">
        <v>434</v>
      </c>
      <c r="E18321">
        <f t="shared" si="874"/>
        <v>6.7114093959731542E-3</v>
      </c>
      <c r="F18321">
        <v>97</v>
      </c>
      <c r="G18321">
        <f>LOG(382/(97+1))</f>
        <v>0.59083728721921391</v>
      </c>
      <c r="H18321">
        <f>0.00671140939597315*1.360453129936</f>
        <v>9.1305579190335516E-3</v>
      </c>
      <c r="I18321">
        <v>9.1305579190335776E-3</v>
      </c>
    </row>
    <row r="18322" spans="1:9" x14ac:dyDescent="0.25">
      <c r="A18322">
        <v>568</v>
      </c>
      <c r="B18322" t="s">
        <v>4469</v>
      </c>
      <c r="C18322" t="s">
        <v>48</v>
      </c>
      <c r="D18322" t="s">
        <v>444</v>
      </c>
      <c r="E18322">
        <f>2/149</f>
        <v>1.3422818791946308E-2</v>
      </c>
      <c r="F18322">
        <v>28</v>
      </c>
      <c r="G18322">
        <f>LOG(382/(28+1))</f>
        <v>1.1196653650127526</v>
      </c>
      <c r="H18322">
        <f>0.0134228187919463*2.5781247786201</f>
        <v>3.4605701726444268E-2</v>
      </c>
      <c r="I18322">
        <v>3.460570172644431E-2</v>
      </c>
    </row>
    <row r="18323" spans="1:9" x14ac:dyDescent="0.25">
      <c r="A18323">
        <v>568</v>
      </c>
      <c r="B18323" t="s">
        <v>4469</v>
      </c>
      <c r="C18323" t="s">
        <v>48</v>
      </c>
      <c r="D18323" t="s">
        <v>445</v>
      </c>
      <c r="E18323">
        <f>2/149</f>
        <v>1.3422818791946308E-2</v>
      </c>
      <c r="F18323">
        <v>35</v>
      </c>
      <c r="G18323">
        <f>LOG(382/(35+1))</f>
        <v>1.0257608621444214</v>
      </c>
      <c r="H18323">
        <f>0.0134228187919463*2.36190167015046</f>
        <v>3.1703378122824949E-2</v>
      </c>
      <c r="I18323">
        <v>3.1703378122825032E-2</v>
      </c>
    </row>
    <row r="18324" spans="1:9" x14ac:dyDescent="0.25">
      <c r="A18324">
        <v>568</v>
      </c>
      <c r="B18324" t="s">
        <v>4469</v>
      </c>
      <c r="C18324" t="s">
        <v>48</v>
      </c>
      <c r="D18324" t="s">
        <v>310</v>
      </c>
      <c r="E18324">
        <f>1/149</f>
        <v>6.7114093959731542E-3</v>
      </c>
      <c r="F18324">
        <v>50</v>
      </c>
      <c r="G18324">
        <f>LOG(382/(50+1))</f>
        <v>0.87449318681377242</v>
      </c>
      <c r="H18324">
        <f>0.00671140939597315*2.01359497588224</f>
        <v>1.3514060240820393E-2</v>
      </c>
      <c r="I18324">
        <v>1.3514060240820471E-2</v>
      </c>
    </row>
    <row r="18325" spans="1:9" x14ac:dyDescent="0.25">
      <c r="A18325">
        <v>568</v>
      </c>
      <c r="B18325" t="s">
        <v>4469</v>
      </c>
      <c r="C18325" t="s">
        <v>48</v>
      </c>
      <c r="D18325" t="s">
        <v>1467</v>
      </c>
      <c r="E18325">
        <f>1/149</f>
        <v>6.7114093959731542E-3</v>
      </c>
      <c r="F18325">
        <v>21</v>
      </c>
      <c r="G18325">
        <f>LOG(382/(21+1))</f>
        <v>1.2396406820895025</v>
      </c>
      <c r="H18325">
        <f>0.00671140939597315*2.85437815524825</f>
        <v>1.9156900370793612E-2</v>
      </c>
      <c r="I18325">
        <v>1.9156900370793681E-2</v>
      </c>
    </row>
    <row r="18326" spans="1:9" x14ac:dyDescent="0.25">
      <c r="A18326">
        <v>568</v>
      </c>
      <c r="B18326" t="s">
        <v>4469</v>
      </c>
      <c r="C18326" t="s">
        <v>48</v>
      </c>
      <c r="D18326" t="s">
        <v>672</v>
      </c>
      <c r="E18326">
        <f>1/149</f>
        <v>6.7114093959731542E-3</v>
      </c>
      <c r="F18326">
        <v>3</v>
      </c>
      <c r="G18326">
        <f>LOG(382/(3+1))</f>
        <v>1.9800033715837464</v>
      </c>
      <c r="H18326">
        <f>0.00671140939597315*4.55912624748668</f>
        <v>3.0598162734809912E-2</v>
      </c>
      <c r="I18326">
        <v>3.0598162734809961E-2</v>
      </c>
    </row>
    <row r="18327" spans="1:9" x14ac:dyDescent="0.25">
      <c r="A18327">
        <v>568</v>
      </c>
      <c r="B18327" t="s">
        <v>4469</v>
      </c>
      <c r="C18327" t="s">
        <v>48</v>
      </c>
      <c r="D18327" t="s">
        <v>214</v>
      </c>
      <c r="E18327">
        <f>1/149</f>
        <v>6.7114093959731542E-3</v>
      </c>
      <c r="F18327">
        <v>68</v>
      </c>
      <c r="G18327">
        <f>LOG(382/(68+1))</f>
        <v>0.74321427217445335</v>
      </c>
      <c r="H18327">
        <f>0.00671140939597315*1.71131410400931</f>
        <v>1.1485329557109457E-2</v>
      </c>
      <c r="I18327">
        <v>1.14853295571095E-2</v>
      </c>
    </row>
    <row r="18328" spans="1:9" x14ac:dyDescent="0.25">
      <c r="A18328">
        <v>568</v>
      </c>
      <c r="B18328" t="s">
        <v>4469</v>
      </c>
      <c r="C18328" t="s">
        <v>48</v>
      </c>
      <c r="D18328" t="s">
        <v>239</v>
      </c>
      <c r="E18328">
        <f>1/149</f>
        <v>6.7114093959731542E-3</v>
      </c>
      <c r="F18328">
        <v>40</v>
      </c>
      <c r="G18328">
        <f>LOG(382/(40+1))</f>
        <v>0.96927950619197323</v>
      </c>
      <c r="H18328">
        <f>0.00671140939597315*2.23184854190226</f>
        <v>1.4978849274511801E-2</v>
      </c>
      <c r="I18328">
        <v>1.497884927451186E-2</v>
      </c>
    </row>
    <row r="18329" spans="1:9" x14ac:dyDescent="0.25">
      <c r="A18329">
        <v>568</v>
      </c>
      <c r="B18329" t="s">
        <v>4469</v>
      </c>
      <c r="C18329" t="s">
        <v>48</v>
      </c>
      <c r="D18329" t="s">
        <v>448</v>
      </c>
      <c r="E18329">
        <f>2/149</f>
        <v>1.3422818791946308E-2</v>
      </c>
      <c r="F18329">
        <v>19</v>
      </c>
      <c r="G18329">
        <f>LOG(382/(19+1))</f>
        <v>1.2810333672477277</v>
      </c>
      <c r="H18329">
        <f>0.0134228187919463*2.94968833505258</f>
        <v>3.9593132014128563E-2</v>
      </c>
      <c r="I18329">
        <v>3.9593132014128653E-2</v>
      </c>
    </row>
    <row r="18330" spans="1:9" x14ac:dyDescent="0.25">
      <c r="A18330">
        <v>568</v>
      </c>
      <c r="B18330" t="s">
        <v>4469</v>
      </c>
      <c r="C18330" t="s">
        <v>48</v>
      </c>
      <c r="D18330" t="s">
        <v>438</v>
      </c>
      <c r="E18330">
        <f>1/149</f>
        <v>6.7114093959731542E-3</v>
      </c>
      <c r="F18330">
        <v>37</v>
      </c>
      <c r="G18330">
        <f>LOG(382/(37+1))</f>
        <v>1.0022797662948986</v>
      </c>
      <c r="H18330">
        <f>0.00671140939597315*2.30783444888018</f>
        <v>1.5488821804564954E-2</v>
      </c>
      <c r="I18330">
        <v>1.5488821804565031E-2</v>
      </c>
    </row>
    <row r="18331" spans="1:9" x14ac:dyDescent="0.25">
      <c r="A18331">
        <v>568</v>
      </c>
      <c r="B18331" t="s">
        <v>4469</v>
      </c>
      <c r="C18331" t="s">
        <v>48</v>
      </c>
      <c r="D18331" t="s">
        <v>307</v>
      </c>
      <c r="E18331">
        <f>1/149</f>
        <v>6.7114093959731542E-3</v>
      </c>
      <c r="F18331">
        <v>67</v>
      </c>
      <c r="G18331">
        <f>LOG(382/(67+1))</f>
        <v>0.7495544502054724</v>
      </c>
      <c r="H18331">
        <f>0.00671140939597315*1.72591290343046</f>
        <v>1.1583308076714489E-2</v>
      </c>
      <c r="I18331">
        <v>1.158330807671455E-2</v>
      </c>
    </row>
    <row r="18332" spans="1:9" x14ac:dyDescent="0.25">
      <c r="A18332">
        <v>568</v>
      </c>
      <c r="B18332" t="s">
        <v>4469</v>
      </c>
      <c r="C18332" t="s">
        <v>48</v>
      </c>
      <c r="D18332" t="s">
        <v>236</v>
      </c>
      <c r="E18332">
        <f>1/149</f>
        <v>6.7114093959731542E-3</v>
      </c>
      <c r="F18332">
        <v>87</v>
      </c>
      <c r="G18332">
        <f>LOG(382/(87+1))</f>
        <v>0.63758069076154011</v>
      </c>
      <c r="H18332">
        <f>0.00671140939597315*1.46808379412836</f>
        <v>9.8529113699889863E-3</v>
      </c>
      <c r="I18332">
        <v>9.8529113699890505E-3</v>
      </c>
    </row>
    <row r="18333" spans="1:9" x14ac:dyDescent="0.25">
      <c r="A18333">
        <v>568</v>
      </c>
      <c r="B18333" t="s">
        <v>4469</v>
      </c>
      <c r="C18333" t="s">
        <v>48</v>
      </c>
      <c r="D18333" t="s">
        <v>243</v>
      </c>
      <c r="E18333">
        <f>1/149</f>
        <v>6.7114093959731542E-3</v>
      </c>
      <c r="F18333">
        <v>131</v>
      </c>
      <c r="G18333">
        <f>LOG(382/(131+1))</f>
        <v>0.46148943170585888</v>
      </c>
      <c r="H18333">
        <f>0.00671140939597315*1.0626186860202</f>
        <v>7.1316690336926131E-3</v>
      </c>
      <c r="I18333">
        <v>7.1316690336926461E-3</v>
      </c>
    </row>
    <row r="18334" spans="1:9" x14ac:dyDescent="0.25">
      <c r="A18334">
        <v>568</v>
      </c>
      <c r="B18334" t="s">
        <v>4469</v>
      </c>
      <c r="C18334" t="s">
        <v>48</v>
      </c>
      <c r="D18334" t="s">
        <v>322</v>
      </c>
      <c r="E18334">
        <f>2/149</f>
        <v>1.3422818791946308E-2</v>
      </c>
      <c r="F18334">
        <v>128</v>
      </c>
      <c r="G18334">
        <f>LOG(382/(128+1))</f>
        <v>0.47147365261245977</v>
      </c>
      <c r="H18334">
        <f>0.0134228187919463*1.0856082042449</f>
        <v>1.4571922204629521E-2</v>
      </c>
      <c r="I18334">
        <v>1.457192220462957E-2</v>
      </c>
    </row>
    <row r="18335" spans="1:9" x14ac:dyDescent="0.25">
      <c r="A18335">
        <v>568</v>
      </c>
      <c r="B18335" t="s">
        <v>4469</v>
      </c>
      <c r="C18335" t="s">
        <v>48</v>
      </c>
      <c r="D18335" t="s">
        <v>81</v>
      </c>
      <c r="E18335">
        <f>1/149</f>
        <v>6.7114093959731542E-3</v>
      </c>
      <c r="F18335">
        <v>114</v>
      </c>
      <c r="G18335">
        <f>LOG(382/(114+1))</f>
        <v>0.52136552255809698</v>
      </c>
      <c r="H18335">
        <f>0.00671140939597315*1.20048848024332</f>
        <v>8.0569696660625443E-3</v>
      </c>
      <c r="I18335">
        <v>8.0569696660625842E-3</v>
      </c>
    </row>
    <row r="18336" spans="1:9" x14ac:dyDescent="0.25">
      <c r="A18336">
        <v>568</v>
      </c>
      <c r="B18336" t="s">
        <v>4469</v>
      </c>
      <c r="C18336" t="s">
        <v>48</v>
      </c>
      <c r="D18336" t="s">
        <v>309</v>
      </c>
      <c r="E18336">
        <f>2/149</f>
        <v>1.3422818791946308E-2</v>
      </c>
      <c r="F18336">
        <v>25</v>
      </c>
      <c r="G18336">
        <f>LOG(382/(25+1))</f>
        <v>1.1670900149408907</v>
      </c>
      <c r="H18336">
        <f>0.0134228187919463*2.68732407058509</f>
        <v>3.6071464034699172E-2</v>
      </c>
      <c r="I18336">
        <v>3.6071464034699227E-2</v>
      </c>
    </row>
    <row r="18337" spans="1:9" x14ac:dyDescent="0.25">
      <c r="A18337">
        <v>568</v>
      </c>
      <c r="B18337" t="s">
        <v>4469</v>
      </c>
      <c r="C18337" t="s">
        <v>48</v>
      </c>
      <c r="D18337" t="s">
        <v>411</v>
      </c>
      <c r="E18337">
        <f>1/149</f>
        <v>6.7114093959731542E-3</v>
      </c>
      <c r="F18337">
        <v>2</v>
      </c>
      <c r="G18337">
        <f>LOG(382/(2+1))</f>
        <v>2.1049421081920463</v>
      </c>
      <c r="H18337">
        <f>0.00671140939597315*4.84680831993846</f>
        <v>3.2528914898915816E-2</v>
      </c>
      <c r="I18337">
        <v>3.2528914898915871E-2</v>
      </c>
    </row>
    <row r="18338" spans="1:9" x14ac:dyDescent="0.25">
      <c r="A18338">
        <v>568</v>
      </c>
      <c r="B18338" t="s">
        <v>4469</v>
      </c>
      <c r="C18338" t="s">
        <v>48</v>
      </c>
      <c r="D18338" t="s">
        <v>4484</v>
      </c>
      <c r="E18338">
        <f>1/149</f>
        <v>6.7114093959731542E-3</v>
      </c>
      <c r="F18338">
        <v>1</v>
      </c>
      <c r="G18338">
        <f>LOG(382/(1+1))</f>
        <v>2.2810333672477277</v>
      </c>
      <c r="H18338">
        <f>0.00671140939597315*5.25227342804663</f>
        <v>3.5250157235212257E-2</v>
      </c>
      <c r="I18338">
        <v>3.5250157235212277E-2</v>
      </c>
    </row>
    <row r="18339" spans="1:9" x14ac:dyDescent="0.25">
      <c r="A18339">
        <v>568</v>
      </c>
      <c r="B18339" t="s">
        <v>4469</v>
      </c>
      <c r="C18339" t="s">
        <v>48</v>
      </c>
      <c r="D18339" t="s">
        <v>324</v>
      </c>
      <c r="E18339">
        <f>1/149</f>
        <v>6.7114093959731542E-3</v>
      </c>
      <c r="F18339">
        <v>82</v>
      </c>
      <c r="G18339">
        <f>LOG(382/(82+1))</f>
        <v>0.66298527053563483</v>
      </c>
      <c r="H18339">
        <f>0.00671140939597315*1.52658000080997</f>
        <v>1.0245503361140731E-2</v>
      </c>
      <c r="I18339">
        <v>1.024550336114079E-2</v>
      </c>
    </row>
    <row r="18340" spans="1:9" x14ac:dyDescent="0.25">
      <c r="A18340">
        <v>568</v>
      </c>
      <c r="B18340" t="s">
        <v>4469</v>
      </c>
      <c r="C18340" t="s">
        <v>48</v>
      </c>
      <c r="D18340" t="s">
        <v>1222</v>
      </c>
      <c r="E18340">
        <f>1/149</f>
        <v>6.7114093959731542E-3</v>
      </c>
      <c r="F18340">
        <v>56</v>
      </c>
      <c r="G18340">
        <f>LOG(382/(56+1))</f>
        <v>0.82618850723921733</v>
      </c>
      <c r="H18340">
        <f>0.00671140939597315*1.90236934077202</f>
        <v>1.2767579468268581E-2</v>
      </c>
      <c r="I18340">
        <v>1.2767579468268619E-2</v>
      </c>
    </row>
    <row r="18341" spans="1:9" x14ac:dyDescent="0.25">
      <c r="A18341">
        <v>568</v>
      </c>
      <c r="B18341" t="s">
        <v>4469</v>
      </c>
      <c r="C18341" t="s">
        <v>48</v>
      </c>
      <c r="D18341" t="s">
        <v>485</v>
      </c>
      <c r="E18341">
        <f>1/149</f>
        <v>6.7114093959731542E-3</v>
      </c>
      <c r="F18341">
        <v>74</v>
      </c>
      <c r="G18341">
        <f>LOG(382/(74+1))</f>
        <v>0.7070020995200087</v>
      </c>
      <c r="H18341">
        <f>0.00671140939597315*1.62793249507026</f>
        <v>1.0925721443424557E-2</v>
      </c>
      <c r="I18341">
        <v>1.09257214434246E-2</v>
      </c>
    </row>
    <row r="18342" spans="1:9" x14ac:dyDescent="0.25">
      <c r="A18342">
        <v>568</v>
      </c>
      <c r="B18342" t="s">
        <v>4469</v>
      </c>
      <c r="C18342" t="s">
        <v>48</v>
      </c>
      <c r="D18342" t="s">
        <v>237</v>
      </c>
      <c r="E18342">
        <f>3/149</f>
        <v>2.0134228187919462E-2</v>
      </c>
      <c r="F18342">
        <v>138</v>
      </c>
      <c r="G18342">
        <f>LOG(382/(138+1))</f>
        <v>0.43904856265761361</v>
      </c>
      <c r="H18342">
        <f>0.0201342281879194*1.01094667547588</f>
        <v>2.0354631049849869E-2</v>
      </c>
      <c r="I18342">
        <v>2.0354631049850001E-2</v>
      </c>
    </row>
    <row r="18343" spans="1:9" x14ac:dyDescent="0.25">
      <c r="A18343">
        <v>568</v>
      </c>
      <c r="B18343" t="s">
        <v>4469</v>
      </c>
      <c r="C18343" t="s">
        <v>48</v>
      </c>
      <c r="D18343" t="s">
        <v>133</v>
      </c>
      <c r="E18343">
        <f t="shared" ref="E18343:E18349" si="875">1/149</f>
        <v>6.7114093959731542E-3</v>
      </c>
      <c r="F18343">
        <v>142</v>
      </c>
      <c r="G18343">
        <f>LOG(382/(142+1))</f>
        <v>0.42672732544664693</v>
      </c>
      <c r="H18343">
        <f>0.00671140939597315*0.982575978346667</f>
        <v>6.5944696533333314E-3</v>
      </c>
      <c r="I18343">
        <v>6.5944696533333409E-3</v>
      </c>
    </row>
    <row r="18344" spans="1:9" x14ac:dyDescent="0.25">
      <c r="A18344">
        <v>568</v>
      </c>
      <c r="B18344" t="s">
        <v>4469</v>
      </c>
      <c r="C18344" t="s">
        <v>48</v>
      </c>
      <c r="D18344" t="s">
        <v>78</v>
      </c>
      <c r="E18344">
        <f t="shared" si="875"/>
        <v>6.7114093959731542E-3</v>
      </c>
      <c r="F18344">
        <v>122</v>
      </c>
      <c r="G18344">
        <f>LOG(382/(122+1))</f>
        <v>0.49215825147231079</v>
      </c>
      <c r="H18344">
        <f>0.00671140939597315*1.13323625323415</f>
        <v>7.6056124378130821E-3</v>
      </c>
      <c r="I18344">
        <v>7.6056124378131376E-3</v>
      </c>
    </row>
    <row r="18345" spans="1:9" x14ac:dyDescent="0.25">
      <c r="A18345">
        <v>568</v>
      </c>
      <c r="B18345" t="s">
        <v>4469</v>
      </c>
      <c r="C18345" t="s">
        <v>48</v>
      </c>
      <c r="D18345" t="s">
        <v>483</v>
      </c>
      <c r="E18345">
        <f t="shared" si="875"/>
        <v>6.7114093959731542E-3</v>
      </c>
      <c r="F18345">
        <v>61</v>
      </c>
      <c r="G18345">
        <f>LOG(382/(61+1))</f>
        <v>0.7896716734134549</v>
      </c>
      <c r="H18345">
        <f>0.00671140939597315*1.81828622356148</f>
        <v>1.2203263245379053E-2</v>
      </c>
      <c r="I18345">
        <v>1.2203263245379081E-2</v>
      </c>
    </row>
    <row r="18346" spans="1:9" x14ac:dyDescent="0.25">
      <c r="A18346">
        <v>568</v>
      </c>
      <c r="B18346" t="s">
        <v>4469</v>
      </c>
      <c r="C18346" t="s">
        <v>48</v>
      </c>
      <c r="D18346" t="s">
        <v>1709</v>
      </c>
      <c r="E18346">
        <f t="shared" si="875"/>
        <v>6.7114093959731542E-3</v>
      </c>
      <c r="F18346">
        <v>21</v>
      </c>
      <c r="G18346">
        <f>LOG(382/(21+1))</f>
        <v>1.2396406820895025</v>
      </c>
      <c r="H18346">
        <f>0.00671140939597315*2.85437815524825</f>
        <v>1.9156900370793612E-2</v>
      </c>
      <c r="I18346">
        <v>1.9156900370793681E-2</v>
      </c>
    </row>
    <row r="18347" spans="1:9" x14ac:dyDescent="0.25">
      <c r="A18347">
        <v>568</v>
      </c>
      <c r="B18347" t="s">
        <v>4469</v>
      </c>
      <c r="C18347" t="s">
        <v>48</v>
      </c>
      <c r="D18347" t="s">
        <v>222</v>
      </c>
      <c r="E18347">
        <f t="shared" si="875"/>
        <v>6.7114093959731542E-3</v>
      </c>
      <c r="F18347">
        <v>22</v>
      </c>
      <c r="G18347">
        <f>LOG(382/(22+1))</f>
        <v>1.2203355268941158</v>
      </c>
      <c r="H18347">
        <f>0.00671140939597315*2.80992639267742</f>
        <v>1.8858566393808174E-2</v>
      </c>
      <c r="I18347">
        <v>1.8858566393808229E-2</v>
      </c>
    </row>
    <row r="18348" spans="1:9" x14ac:dyDescent="0.25">
      <c r="A18348">
        <v>568</v>
      </c>
      <c r="B18348" t="s">
        <v>4469</v>
      </c>
      <c r="C18348" t="s">
        <v>48</v>
      </c>
      <c r="D18348" t="s">
        <v>718</v>
      </c>
      <c r="E18348">
        <f t="shared" si="875"/>
        <v>6.7114093959731542E-3</v>
      </c>
      <c r="F18348">
        <v>4</v>
      </c>
      <c r="G18348">
        <f>LOG(382/(4+1))</f>
        <v>1.8830933585756899</v>
      </c>
      <c r="H18348">
        <f>0.00671140939597315*4.33598269617247</f>
        <v>2.9100555007868911E-2</v>
      </c>
      <c r="I18348">
        <v>2.9100555007868959E-2</v>
      </c>
    </row>
    <row r="18349" spans="1:9" x14ac:dyDescent="0.25">
      <c r="A18349">
        <v>568</v>
      </c>
      <c r="B18349" t="s">
        <v>4469</v>
      </c>
      <c r="C18349" t="s">
        <v>48</v>
      </c>
      <c r="D18349" t="s">
        <v>1398</v>
      </c>
      <c r="E18349">
        <f t="shared" si="875"/>
        <v>6.7114093959731542E-3</v>
      </c>
      <c r="F18349">
        <v>29</v>
      </c>
      <c r="G18349">
        <f>LOG(382/(29+1))</f>
        <v>1.1049421081920463</v>
      </c>
      <c r="H18349">
        <f>0.00671140939597315*2.54422322694442</f>
        <v>1.7075323670767906E-2</v>
      </c>
      <c r="I18349">
        <v>1.707532367076792E-2</v>
      </c>
    </row>
    <row r="18350" spans="1:9" x14ac:dyDescent="0.25">
      <c r="A18350">
        <v>568</v>
      </c>
      <c r="B18350" t="s">
        <v>4469</v>
      </c>
      <c r="C18350" t="s">
        <v>48</v>
      </c>
      <c r="D18350" t="s">
        <v>340</v>
      </c>
      <c r="E18350">
        <f>2/149</f>
        <v>1.3422818791946308E-2</v>
      </c>
      <c r="F18350">
        <v>28</v>
      </c>
      <c r="G18350">
        <f>LOG(382/(28+1))</f>
        <v>1.1196653650127526</v>
      </c>
      <c r="H18350">
        <f>0.0134228187919463*2.5781247786201</f>
        <v>3.4605701726444268E-2</v>
      </c>
      <c r="I18350">
        <v>3.460570172644431E-2</v>
      </c>
    </row>
    <row r="18351" spans="1:9" x14ac:dyDescent="0.25">
      <c r="A18351">
        <v>568</v>
      </c>
      <c r="B18351" t="s">
        <v>4469</v>
      </c>
      <c r="C18351" t="s">
        <v>48</v>
      </c>
      <c r="D18351" t="s">
        <v>596</v>
      </c>
      <c r="E18351">
        <f t="shared" ref="E18351:E18361" si="876">1/149</f>
        <v>6.7114093959731542E-3</v>
      </c>
      <c r="F18351">
        <v>60</v>
      </c>
      <c r="G18351">
        <f>LOG(382/(60+1))</f>
        <v>0.79673352790094176</v>
      </c>
      <c r="H18351">
        <f>0.00671140939597315*1.83454674443326</f>
        <v>1.2312394257941334E-2</v>
      </c>
      <c r="I18351">
        <v>1.231239425794137E-2</v>
      </c>
    </row>
    <row r="18352" spans="1:9" x14ac:dyDescent="0.25">
      <c r="A18352">
        <v>568</v>
      </c>
      <c r="B18352" t="s">
        <v>4469</v>
      </c>
      <c r="C18352" t="s">
        <v>48</v>
      </c>
      <c r="D18352" t="s">
        <v>597</v>
      </c>
      <c r="E18352">
        <f t="shared" si="876"/>
        <v>6.7114093959731542E-3</v>
      </c>
      <c r="F18352">
        <v>51</v>
      </c>
      <c r="G18352">
        <f>LOG(382/(51+1))</f>
        <v>0.86606001927690957</v>
      </c>
      <c r="H18352">
        <f>0.00671140939597315*1.99417689002514</f>
        <v>1.338373751694724E-2</v>
      </c>
      <c r="I18352">
        <v>1.3383737516947301E-2</v>
      </c>
    </row>
    <row r="18353" spans="1:9" x14ac:dyDescent="0.25">
      <c r="A18353">
        <v>568</v>
      </c>
      <c r="B18353" t="s">
        <v>4469</v>
      </c>
      <c r="C18353" t="s">
        <v>48</v>
      </c>
      <c r="D18353" t="s">
        <v>1482</v>
      </c>
      <c r="E18353">
        <f t="shared" si="876"/>
        <v>6.7114093959731542E-3</v>
      </c>
      <c r="F18353">
        <v>7</v>
      </c>
      <c r="G18353">
        <f>LOG(382/(7+1))</f>
        <v>1.6789733759197651</v>
      </c>
      <c r="H18353">
        <f>0.00671140939597315*3.86597906692673</f>
        <v>2.5946168234407568E-2</v>
      </c>
      <c r="I18353">
        <v>2.5946168234407641E-2</v>
      </c>
    </row>
    <row r="18354" spans="1:9" x14ac:dyDescent="0.25">
      <c r="A18354">
        <v>568</v>
      </c>
      <c r="B18354" t="s">
        <v>4469</v>
      </c>
      <c r="C18354" t="s">
        <v>48</v>
      </c>
      <c r="D18354" t="s">
        <v>196</v>
      </c>
      <c r="E18354">
        <f t="shared" si="876"/>
        <v>6.7114093959731542E-3</v>
      </c>
      <c r="F18354">
        <v>33</v>
      </c>
      <c r="G18354">
        <f>LOG(382/(33+1))</f>
        <v>1.0505844458694535</v>
      </c>
      <c r="H18354">
        <f>0.00671140939597315*2.41906008399041</f>
        <v>1.6235302577116837E-2</v>
      </c>
      <c r="I18354">
        <v>1.6235302577116872E-2</v>
      </c>
    </row>
    <row r="18355" spans="1:9" x14ac:dyDescent="0.25">
      <c r="A18355">
        <v>568</v>
      </c>
      <c r="B18355" t="s">
        <v>4469</v>
      </c>
      <c r="C18355" t="s">
        <v>48</v>
      </c>
      <c r="D18355" t="s">
        <v>144</v>
      </c>
      <c r="E18355">
        <f t="shared" si="876"/>
        <v>6.7114093959731542E-3</v>
      </c>
      <c r="F18355">
        <v>105</v>
      </c>
      <c r="G18355">
        <f>LOG(382/(105+1))</f>
        <v>0.55675749764693849</v>
      </c>
      <c r="H18355">
        <f>0.00671140939597315*1.2819815144945</f>
        <v>8.603902781842275E-3</v>
      </c>
      <c r="I18355">
        <v>8.603902781842334E-3</v>
      </c>
    </row>
    <row r="18356" spans="1:9" x14ac:dyDescent="0.25">
      <c r="A18356">
        <v>568</v>
      </c>
      <c r="B18356" t="s">
        <v>4469</v>
      </c>
      <c r="C18356" t="s">
        <v>48</v>
      </c>
      <c r="D18356" t="s">
        <v>758</v>
      </c>
      <c r="E18356">
        <f t="shared" si="876"/>
        <v>6.7114093959731542E-3</v>
      </c>
      <c r="F18356">
        <v>26</v>
      </c>
      <c r="G18356">
        <f>LOG(382/(26+1))</f>
        <v>1.1506995987527215</v>
      </c>
      <c r="H18356">
        <f>0.00671140939597315*2.64958374260224</f>
        <v>1.7782441225518378E-2</v>
      </c>
      <c r="I18356">
        <v>1.778244122551843E-2</v>
      </c>
    </row>
    <row r="18357" spans="1:9" x14ac:dyDescent="0.25">
      <c r="A18357">
        <v>568</v>
      </c>
      <c r="B18357" t="s">
        <v>4469</v>
      </c>
      <c r="C18357" t="s">
        <v>48</v>
      </c>
      <c r="D18357" t="s">
        <v>339</v>
      </c>
      <c r="E18357">
        <f t="shared" si="876"/>
        <v>6.7114093959731542E-3</v>
      </c>
      <c r="F18357">
        <v>66</v>
      </c>
      <c r="G18357">
        <f>LOG(382/(66+1))</f>
        <v>0.75598856021088234</v>
      </c>
      <c r="H18357">
        <f>0.00671140939597315*1.7407279892156</f>
        <v>1.1682738182655026E-2</v>
      </c>
      <c r="I18357">
        <v>1.1682738182655091E-2</v>
      </c>
    </row>
    <row r="18358" spans="1:9" x14ac:dyDescent="0.25">
      <c r="A18358">
        <v>568</v>
      </c>
      <c r="B18358" t="s">
        <v>4469</v>
      </c>
      <c r="C18358" t="s">
        <v>48</v>
      </c>
      <c r="D18358" t="s">
        <v>247</v>
      </c>
      <c r="E18358">
        <f t="shared" si="876"/>
        <v>6.7114093959731542E-3</v>
      </c>
      <c r="F18358">
        <v>121</v>
      </c>
      <c r="G18358">
        <f>LOG(382/(121+1))</f>
        <v>0.49570353223696051</v>
      </c>
      <c r="H18358">
        <f>0.00671140939597315*1.14139956387331</f>
        <v>7.660399757538989E-3</v>
      </c>
      <c r="I18358">
        <v>7.6603997575390506E-3</v>
      </c>
    </row>
    <row r="18359" spans="1:9" x14ac:dyDescent="0.25">
      <c r="A18359">
        <v>568</v>
      </c>
      <c r="B18359" t="s">
        <v>4469</v>
      </c>
      <c r="C18359" t="s">
        <v>48</v>
      </c>
      <c r="D18359" t="s">
        <v>238</v>
      </c>
      <c r="E18359">
        <f t="shared" si="876"/>
        <v>6.7114093959731542E-3</v>
      </c>
      <c r="F18359">
        <v>10</v>
      </c>
      <c r="G18359">
        <f>LOG(382/(10+1))</f>
        <v>1.5406706777534838</v>
      </c>
      <c r="H18359">
        <f>0.00671140939597315*3.5475253358082</f>
        <v>2.380889487119596E-2</v>
      </c>
      <c r="I18359">
        <v>2.3808894871196001E-2</v>
      </c>
    </row>
    <row r="18360" spans="1:9" x14ac:dyDescent="0.25">
      <c r="A18360">
        <v>568</v>
      </c>
      <c r="B18360" t="s">
        <v>4469</v>
      </c>
      <c r="C18360" t="s">
        <v>48</v>
      </c>
      <c r="D18360" t="s">
        <v>105</v>
      </c>
      <c r="E18360">
        <f t="shared" si="876"/>
        <v>6.7114093959731542E-3</v>
      </c>
      <c r="F18360">
        <v>122</v>
      </c>
      <c r="G18360">
        <f>LOG(382/(122+1))</f>
        <v>0.49215825147231079</v>
      </c>
      <c r="H18360">
        <f>0.00671140939597315*1.13323625323415</f>
        <v>7.6056124378130821E-3</v>
      </c>
      <c r="I18360">
        <v>7.6056124378131376E-3</v>
      </c>
    </row>
    <row r="18361" spans="1:9" x14ac:dyDescent="0.25">
      <c r="A18361">
        <v>568</v>
      </c>
      <c r="B18361" t="s">
        <v>4469</v>
      </c>
      <c r="C18361" t="s">
        <v>48</v>
      </c>
      <c r="D18361" t="s">
        <v>405</v>
      </c>
      <c r="E18361">
        <f t="shared" si="876"/>
        <v>6.7114093959731542E-3</v>
      </c>
      <c r="F18361">
        <v>10</v>
      </c>
      <c r="G18361">
        <f>LOG(382/(10+1))</f>
        <v>1.5406706777534838</v>
      </c>
      <c r="H18361">
        <f>0.00671140939597315*3.5475253358082</f>
        <v>2.380889487119596E-2</v>
      </c>
      <c r="I18361">
        <v>2.3808894871196001E-2</v>
      </c>
    </row>
    <row r="18362" spans="1:9" x14ac:dyDescent="0.25">
      <c r="A18362">
        <v>568</v>
      </c>
      <c r="B18362" t="s">
        <v>4469</v>
      </c>
      <c r="C18362" t="s">
        <v>48</v>
      </c>
      <c r="D18362" t="s">
        <v>207</v>
      </c>
      <c r="E18362">
        <f>2/149</f>
        <v>1.3422818791946308E-2</v>
      </c>
      <c r="F18362">
        <v>21</v>
      </c>
      <c r="G18362">
        <f>LOG(382/(21+1))</f>
        <v>1.2396406820895025</v>
      </c>
      <c r="H18362">
        <f>0.0134228187919463*2.85437815524825</f>
        <v>3.8313800741587224E-2</v>
      </c>
      <c r="I18362">
        <v>3.831380074158737E-2</v>
      </c>
    </row>
    <row r="18363" spans="1:9" x14ac:dyDescent="0.25">
      <c r="A18363">
        <v>568</v>
      </c>
      <c r="B18363" t="s">
        <v>4469</v>
      </c>
      <c r="C18363" t="s">
        <v>48</v>
      </c>
      <c r="D18363" t="s">
        <v>1125</v>
      </c>
      <c r="E18363">
        <f>1/149</f>
        <v>6.7114093959731542E-3</v>
      </c>
      <c r="F18363">
        <v>19</v>
      </c>
      <c r="G18363">
        <f>LOG(382/(19+1))</f>
        <v>1.2810333672477277</v>
      </c>
      <c r="H18363">
        <f>0.00671140939597315*2.94968833505258</f>
        <v>1.9796566007064281E-2</v>
      </c>
      <c r="I18363">
        <v>1.9796566007064319E-2</v>
      </c>
    </row>
    <row r="18364" spans="1:9" x14ac:dyDescent="0.25">
      <c r="A18364">
        <v>569</v>
      </c>
      <c r="B18364" t="s">
        <v>4485</v>
      </c>
      <c r="C18364" t="s">
        <v>10</v>
      </c>
      <c r="D18364" t="s">
        <v>931</v>
      </c>
      <c r="E18364">
        <f>3/39</f>
        <v>7.6923076923076927E-2</v>
      </c>
      <c r="F18364">
        <v>22</v>
      </c>
      <c r="G18364">
        <f>LOG(382/(22+1))</f>
        <v>1.2203355268941158</v>
      </c>
      <c r="H18364">
        <f>0.0769230769230769*2.80992639267742</f>
        <v>0.21614818405210914</v>
      </c>
      <c r="I18364">
        <v>0.2161481840521097</v>
      </c>
    </row>
    <row r="18365" spans="1:9" x14ac:dyDescent="0.25">
      <c r="A18365">
        <v>569</v>
      </c>
      <c r="B18365" t="s">
        <v>4485</v>
      </c>
      <c r="C18365" t="s">
        <v>10</v>
      </c>
      <c r="D18365" t="s">
        <v>911</v>
      </c>
      <c r="E18365">
        <f>2/39</f>
        <v>5.128205128205128E-2</v>
      </c>
      <c r="F18365">
        <v>22</v>
      </c>
      <c r="G18365">
        <f>LOG(382/(22+1))</f>
        <v>1.2203355268941158</v>
      </c>
      <c r="H18365">
        <f>0.0512820512820512*2.80992639267742</f>
        <v>0.14409878936807258</v>
      </c>
      <c r="I18365">
        <v>0.1440987893680731</v>
      </c>
    </row>
    <row r="18366" spans="1:9" x14ac:dyDescent="0.25">
      <c r="A18366">
        <v>569</v>
      </c>
      <c r="B18366" t="s">
        <v>4485</v>
      </c>
      <c r="C18366" t="s">
        <v>10</v>
      </c>
      <c r="D18366" t="s">
        <v>11</v>
      </c>
      <c r="E18366">
        <f>2/39</f>
        <v>5.128205128205128E-2</v>
      </c>
      <c r="F18366">
        <v>83</v>
      </c>
      <c r="G18366">
        <f>LOG(382/(83+1))</f>
        <v>0.65778407684982709</v>
      </c>
      <c r="H18366">
        <f>0.0512820512820512*1.51460380976326</f>
        <v>7.7671990244269615E-2</v>
      </c>
      <c r="I18366">
        <v>7.7671990244269823E-2</v>
      </c>
    </row>
    <row r="18367" spans="1:9" x14ac:dyDescent="0.25">
      <c r="A18367">
        <v>569</v>
      </c>
      <c r="B18367" t="s">
        <v>4485</v>
      </c>
      <c r="C18367" t="s">
        <v>10</v>
      </c>
      <c r="D18367" t="s">
        <v>4486</v>
      </c>
      <c r="E18367">
        <f>2/39</f>
        <v>5.128205128205128E-2</v>
      </c>
      <c r="F18367">
        <v>1</v>
      </c>
      <c r="G18367">
        <f>LOG(382/(1+1))</f>
        <v>2.2810333672477277</v>
      </c>
      <c r="H18367">
        <f>0.0512820512820512*5.25227342804663</f>
        <v>0.26934735528444209</v>
      </c>
      <c r="I18367">
        <v>0.26934735528444248</v>
      </c>
    </row>
    <row r="18368" spans="1:9" x14ac:dyDescent="0.25">
      <c r="A18368">
        <v>569</v>
      </c>
      <c r="B18368" t="s">
        <v>4485</v>
      </c>
      <c r="C18368" t="s">
        <v>10</v>
      </c>
      <c r="D18368" t="s">
        <v>4487</v>
      </c>
      <c r="E18368">
        <f>2/39</f>
        <v>5.128205128205128E-2</v>
      </c>
      <c r="F18368">
        <v>1</v>
      </c>
      <c r="G18368">
        <f>LOG(382/(1+1))</f>
        <v>2.2810333672477277</v>
      </c>
      <c r="H18368">
        <f>0.0512820512820512*5.25227342804663</f>
        <v>0.26934735528444209</v>
      </c>
      <c r="I18368">
        <v>0.26934735528444248</v>
      </c>
    </row>
    <row r="18369" spans="1:9" x14ac:dyDescent="0.25">
      <c r="A18369">
        <v>569</v>
      </c>
      <c r="B18369" t="s">
        <v>4485</v>
      </c>
      <c r="C18369" t="s">
        <v>10</v>
      </c>
      <c r="D18369" t="s">
        <v>38</v>
      </c>
      <c r="E18369">
        <f>1/39</f>
        <v>2.564102564102564E-2</v>
      </c>
      <c r="F18369">
        <v>86</v>
      </c>
      <c r="G18369">
        <f>LOG(382/(86+1))</f>
        <v>0.64254411029309022</v>
      </c>
      <c r="H18369">
        <f>0.0256410256410256*1.47951248995199</f>
        <v>3.7936217691076607E-2</v>
      </c>
      <c r="I18369">
        <v>3.7936217691076697E-2</v>
      </c>
    </row>
    <row r="18370" spans="1:9" x14ac:dyDescent="0.25">
      <c r="A18370">
        <v>569</v>
      </c>
      <c r="B18370" t="s">
        <v>4485</v>
      </c>
      <c r="C18370" t="s">
        <v>10</v>
      </c>
      <c r="D18370" t="s">
        <v>39</v>
      </c>
      <c r="E18370">
        <f>3/39</f>
        <v>7.6923076923076927E-2</v>
      </c>
      <c r="F18370">
        <v>145</v>
      </c>
      <c r="G18370">
        <f>LOG(382/(145+1))</f>
        <v>0.41771050712727159</v>
      </c>
      <c r="H18370">
        <f>0.0769230769230769*0.961813986898238</f>
        <v>7.3985691299864445E-2</v>
      </c>
      <c r="I18370">
        <v>7.3985691299864514E-2</v>
      </c>
    </row>
    <row r="18371" spans="1:9" x14ac:dyDescent="0.25">
      <c r="A18371">
        <v>569</v>
      </c>
      <c r="B18371" t="s">
        <v>4485</v>
      </c>
      <c r="C18371" t="s">
        <v>10</v>
      </c>
      <c r="D18371" t="s">
        <v>17</v>
      </c>
      <c r="E18371">
        <f>1/39</f>
        <v>2.564102564102564E-2</v>
      </c>
      <c r="F18371">
        <v>169</v>
      </c>
      <c r="G18371">
        <f>LOG(382/(169+1))</f>
        <v>0.3516144415334348</v>
      </c>
      <c r="H18371">
        <f>0.0256410256410256*0.809622171556313</f>
        <v>2.0759542860418246E-2</v>
      </c>
      <c r="I18371">
        <v>2.0759542860418291E-2</v>
      </c>
    </row>
    <row r="18372" spans="1:9" x14ac:dyDescent="0.25">
      <c r="A18372">
        <v>569</v>
      </c>
      <c r="B18372" t="s">
        <v>4485</v>
      </c>
      <c r="C18372" t="s">
        <v>10</v>
      </c>
      <c r="D18372" t="s">
        <v>726</v>
      </c>
      <c r="E18372">
        <f>1/39</f>
        <v>2.564102564102564E-2</v>
      </c>
      <c r="F18372">
        <v>37</v>
      </c>
      <c r="G18372">
        <f>LOG(382/(37+1))</f>
        <v>1.0022797662948986</v>
      </c>
      <c r="H18372">
        <f>0.0256410256410256*2.30783444888018</f>
        <v>5.9175242278978871E-2</v>
      </c>
      <c r="I18372">
        <v>5.9175242278979211E-2</v>
      </c>
    </row>
    <row r="18373" spans="1:9" x14ac:dyDescent="0.25">
      <c r="A18373">
        <v>569</v>
      </c>
      <c r="B18373" t="s">
        <v>4485</v>
      </c>
      <c r="C18373" t="s">
        <v>10</v>
      </c>
      <c r="D18373" t="s">
        <v>4488</v>
      </c>
      <c r="E18373">
        <f>1/39</f>
        <v>2.564102564102564E-2</v>
      </c>
      <c r="F18373">
        <v>1</v>
      </c>
      <c r="G18373">
        <f>LOG(382/(1+1))</f>
        <v>2.2810333672477277</v>
      </c>
      <c r="H18373">
        <f>0.0256410256410256*5.25227342804663</f>
        <v>0.13467367764222105</v>
      </c>
      <c r="I18373">
        <v>0.1346736776422213</v>
      </c>
    </row>
    <row r="18374" spans="1:9" x14ac:dyDescent="0.25">
      <c r="A18374">
        <v>569</v>
      </c>
      <c r="B18374" t="s">
        <v>4485</v>
      </c>
      <c r="C18374" t="s">
        <v>10</v>
      </c>
      <c r="D18374" t="s">
        <v>19</v>
      </c>
      <c r="E18374">
        <f>2/39</f>
        <v>5.128205128205128E-2</v>
      </c>
      <c r="F18374">
        <v>220</v>
      </c>
      <c r="G18374">
        <f>LOG(382/(220+1))</f>
        <v>0.23767108922659805</v>
      </c>
      <c r="H18374">
        <f>0.0512820512820512*0.547257907088822</f>
        <v>2.8064508055836983E-2</v>
      </c>
      <c r="I18374">
        <v>2.8064508055837049E-2</v>
      </c>
    </row>
    <row r="18375" spans="1:9" x14ac:dyDescent="0.25">
      <c r="A18375">
        <v>569</v>
      </c>
      <c r="B18375" t="s">
        <v>4485</v>
      </c>
      <c r="C18375" t="s">
        <v>10</v>
      </c>
      <c r="D18375" t="s">
        <v>195</v>
      </c>
      <c r="E18375">
        <f>2/39</f>
        <v>5.128205128205128E-2</v>
      </c>
      <c r="F18375">
        <v>55</v>
      </c>
      <c r="G18375">
        <f>LOG(382/(55+1))</f>
        <v>0.83387533590550833</v>
      </c>
      <c r="H18375">
        <f>0.0512820512820512*1.92006891787142</f>
        <v>9.8465072711354712E-2</v>
      </c>
      <c r="I18375">
        <v>9.846507271135517E-2</v>
      </c>
    </row>
    <row r="18376" spans="1:9" x14ac:dyDescent="0.25">
      <c r="A18376">
        <v>569</v>
      </c>
      <c r="B18376" t="s">
        <v>4485</v>
      </c>
      <c r="C18376" t="s">
        <v>10</v>
      </c>
      <c r="D18376" t="s">
        <v>22</v>
      </c>
      <c r="E18376">
        <f t="shared" ref="E18376:E18383" si="877">1/39</f>
        <v>2.564102564102564E-2</v>
      </c>
      <c r="F18376">
        <v>259</v>
      </c>
      <c r="G18376">
        <f>LOG(382/(259+1))</f>
        <v>0.16709001494089079</v>
      </c>
      <c r="H18376">
        <f>0.0256410256410256*0.384738977591047</f>
        <v>9.86510198951401E-3</v>
      </c>
      <c r="I18376">
        <v>9.8651019895140395E-3</v>
      </c>
    </row>
    <row r="18377" spans="1:9" x14ac:dyDescent="0.25">
      <c r="A18377">
        <v>569</v>
      </c>
      <c r="B18377" t="s">
        <v>4485</v>
      </c>
      <c r="C18377" t="s">
        <v>10</v>
      </c>
      <c r="D18377" t="s">
        <v>23</v>
      </c>
      <c r="E18377">
        <f t="shared" si="877"/>
        <v>2.564102564102564E-2</v>
      </c>
      <c r="F18377">
        <v>275</v>
      </c>
      <c r="G18377">
        <f>LOG(382/(275+1))</f>
        <v>0.14115428084649101</v>
      </c>
      <c r="H18377">
        <f>0.0256410256410256*0.325019742889425</f>
        <v>8.3338395612672939E-3</v>
      </c>
      <c r="I18377">
        <v>8.3338395612673113E-3</v>
      </c>
    </row>
    <row r="18378" spans="1:9" x14ac:dyDescent="0.25">
      <c r="A18378">
        <v>569</v>
      </c>
      <c r="B18378" t="s">
        <v>4485</v>
      </c>
      <c r="C18378" t="s">
        <v>10</v>
      </c>
      <c r="D18378" t="s">
        <v>315</v>
      </c>
      <c r="E18378">
        <f t="shared" si="877"/>
        <v>2.564102564102564E-2</v>
      </c>
      <c r="F18378">
        <v>55</v>
      </c>
      <c r="G18378">
        <f>LOG(382/(55+1))</f>
        <v>0.83387533590550833</v>
      </c>
      <c r="H18378">
        <f>0.0256410256410256*1.92006891787142</f>
        <v>4.9232536355677356E-2</v>
      </c>
      <c r="I18378">
        <v>4.9232536355677578E-2</v>
      </c>
    </row>
    <row r="18379" spans="1:9" x14ac:dyDescent="0.25">
      <c r="A18379">
        <v>569</v>
      </c>
      <c r="B18379" t="s">
        <v>4485</v>
      </c>
      <c r="C18379" t="s">
        <v>10</v>
      </c>
      <c r="D18379" t="s">
        <v>1283</v>
      </c>
      <c r="E18379">
        <f t="shared" si="877"/>
        <v>2.564102564102564E-2</v>
      </c>
      <c r="F18379">
        <v>8</v>
      </c>
      <c r="G18379">
        <f>LOG(382/(8+1))</f>
        <v>1.6278208534723839</v>
      </c>
      <c r="H18379">
        <f>0.0256410256410256*3.74819603127035</f>
        <v>9.6107590545393431E-2</v>
      </c>
      <c r="I18379">
        <v>9.6107590545393737E-2</v>
      </c>
    </row>
    <row r="18380" spans="1:9" x14ac:dyDescent="0.25">
      <c r="A18380">
        <v>569</v>
      </c>
      <c r="B18380" t="s">
        <v>4485</v>
      </c>
      <c r="C18380" t="s">
        <v>10</v>
      </c>
      <c r="D18380" t="s">
        <v>169</v>
      </c>
      <c r="E18380">
        <f t="shared" si="877"/>
        <v>2.564102564102564E-2</v>
      </c>
      <c r="F18380">
        <v>8</v>
      </c>
      <c r="G18380">
        <f>LOG(382/(8+1))</f>
        <v>1.6278208534723839</v>
      </c>
      <c r="H18380">
        <f>0.0256410256410256*3.74819603127035</f>
        <v>9.6107590545393431E-2</v>
      </c>
      <c r="I18380">
        <v>9.6107590545393737E-2</v>
      </c>
    </row>
    <row r="18381" spans="1:9" x14ac:dyDescent="0.25">
      <c r="A18381">
        <v>569</v>
      </c>
      <c r="B18381" t="s">
        <v>4485</v>
      </c>
      <c r="C18381" t="s">
        <v>10</v>
      </c>
      <c r="D18381" t="s">
        <v>36</v>
      </c>
      <c r="E18381">
        <f t="shared" si="877"/>
        <v>2.564102564102564E-2</v>
      </c>
      <c r="F18381">
        <v>58</v>
      </c>
      <c r="G18381">
        <f>LOG(382/(58+1))</f>
        <v>0.81121135126956456</v>
      </c>
      <c r="H18381">
        <f>0.0256410256410256*1.86788316470085</f>
        <v>4.7894440120534537E-2</v>
      </c>
      <c r="I18381">
        <v>4.7894440120534759E-2</v>
      </c>
    </row>
    <row r="18382" spans="1:9" x14ac:dyDescent="0.25">
      <c r="A18382">
        <v>569</v>
      </c>
      <c r="B18382" t="s">
        <v>4485</v>
      </c>
      <c r="C18382" t="s">
        <v>10</v>
      </c>
      <c r="D18382" t="s">
        <v>77</v>
      </c>
      <c r="E18382">
        <f t="shared" si="877"/>
        <v>2.564102564102564E-2</v>
      </c>
      <c r="F18382">
        <v>148</v>
      </c>
      <c r="G18382">
        <f>LOG(382/(148+1))</f>
        <v>0.40887709449943471</v>
      </c>
      <c r="H18382">
        <f>0.0256410256410256*0.941474302661116</f>
        <v>2.414036673490037E-2</v>
      </c>
      <c r="I18382">
        <v>2.4140366734900411E-2</v>
      </c>
    </row>
    <row r="18383" spans="1:9" x14ac:dyDescent="0.25">
      <c r="A18383">
        <v>569</v>
      </c>
      <c r="B18383" t="s">
        <v>4485</v>
      </c>
      <c r="C18383" t="s">
        <v>10</v>
      </c>
      <c r="D18383" t="s">
        <v>1077</v>
      </c>
      <c r="E18383">
        <f t="shared" si="877"/>
        <v>2.564102564102564E-2</v>
      </c>
      <c r="F18383">
        <v>5</v>
      </c>
      <c r="G18383">
        <f>LOG(382/(5+1))</f>
        <v>1.803912112528065</v>
      </c>
      <c r="H18383">
        <f>0.0256410256410256*4.15366113937852</f>
        <v>0.10650413177893624</v>
      </c>
      <c r="I18383">
        <v>0.1065041317789364</v>
      </c>
    </row>
    <row r="18384" spans="1:9" x14ac:dyDescent="0.25">
      <c r="A18384">
        <v>569</v>
      </c>
      <c r="B18384" t="s">
        <v>4485</v>
      </c>
      <c r="C18384" t="s">
        <v>10</v>
      </c>
      <c r="D18384" t="s">
        <v>331</v>
      </c>
      <c r="E18384">
        <f>2/39</f>
        <v>5.128205128205128E-2</v>
      </c>
      <c r="F18384">
        <v>130</v>
      </c>
      <c r="G18384">
        <f>LOG(382/(130+1))</f>
        <v>0.46479206725594452</v>
      </c>
      <c r="H18384">
        <f>0.0512820512820512*1.07022328540542</f>
        <v>5.4883245405406067E-2</v>
      </c>
      <c r="I18384">
        <v>5.4883245405406338E-2</v>
      </c>
    </row>
    <row r="18385" spans="1:9" x14ac:dyDescent="0.25">
      <c r="A18385">
        <v>569</v>
      </c>
      <c r="B18385" t="s">
        <v>4485</v>
      </c>
      <c r="C18385" t="s">
        <v>10</v>
      </c>
      <c r="D18385" t="s">
        <v>1907</v>
      </c>
      <c r="E18385">
        <f t="shared" ref="E18385:E18391" si="878">1/39</f>
        <v>2.564102564102564E-2</v>
      </c>
      <c r="F18385">
        <v>20</v>
      </c>
      <c r="G18385">
        <f>LOG(382/(20+1))</f>
        <v>1.2598440681777894</v>
      </c>
      <c r="H18385">
        <f>0.0256410256410256*2.90089817088315</f>
        <v>7.4382004381619113E-2</v>
      </c>
      <c r="I18385">
        <v>7.4382004381619293E-2</v>
      </c>
    </row>
    <row r="18386" spans="1:9" x14ac:dyDescent="0.25">
      <c r="A18386">
        <v>569</v>
      </c>
      <c r="B18386" t="s">
        <v>4485</v>
      </c>
      <c r="C18386" t="s">
        <v>10</v>
      </c>
      <c r="D18386" t="s">
        <v>3723</v>
      </c>
      <c r="E18386">
        <f t="shared" si="878"/>
        <v>2.564102564102564E-2</v>
      </c>
      <c r="F18386">
        <v>2</v>
      </c>
      <c r="G18386">
        <f>LOG(382/(2+1))</f>
        <v>2.1049421081920463</v>
      </c>
      <c r="H18386">
        <f>0.0256410256410256*4.84680831993846</f>
        <v>0.12427713640867825</v>
      </c>
      <c r="I18386">
        <v>0.1242771364086786</v>
      </c>
    </row>
    <row r="18387" spans="1:9" x14ac:dyDescent="0.25">
      <c r="A18387">
        <v>569</v>
      </c>
      <c r="B18387" t="s">
        <v>4485</v>
      </c>
      <c r="C18387" t="s">
        <v>10</v>
      </c>
      <c r="D18387" t="s">
        <v>1255</v>
      </c>
      <c r="E18387">
        <f t="shared" si="878"/>
        <v>2.564102564102564E-2</v>
      </c>
      <c r="F18387">
        <v>12</v>
      </c>
      <c r="G18387">
        <f>LOG(382/(12+1))</f>
        <v>1.468120010604872</v>
      </c>
      <c r="H18387">
        <f>0.0256410256410256*3.38047125114503</f>
        <v>8.6678750029359597E-2</v>
      </c>
      <c r="I18387">
        <v>8.6678750029359958E-2</v>
      </c>
    </row>
    <row r="18388" spans="1:9" x14ac:dyDescent="0.25">
      <c r="A18388">
        <v>569</v>
      </c>
      <c r="B18388" t="s">
        <v>4485</v>
      </c>
      <c r="C18388" t="s">
        <v>10</v>
      </c>
      <c r="D18388" t="s">
        <v>2976</v>
      </c>
      <c r="E18388">
        <f t="shared" si="878"/>
        <v>2.564102564102564E-2</v>
      </c>
      <c r="F18388">
        <v>2</v>
      </c>
      <c r="G18388">
        <f>LOG(382/(2+1))</f>
        <v>2.1049421081920463</v>
      </c>
      <c r="H18388">
        <f>0.0256410256410256*4.84680831993846</f>
        <v>0.12427713640867825</v>
      </c>
      <c r="I18388">
        <v>0.1242771364086786</v>
      </c>
    </row>
    <row r="18389" spans="1:9" x14ac:dyDescent="0.25">
      <c r="A18389">
        <v>569</v>
      </c>
      <c r="B18389" t="s">
        <v>4485</v>
      </c>
      <c r="C18389" t="s">
        <v>10</v>
      </c>
      <c r="D18389" t="s">
        <v>4259</v>
      </c>
      <c r="E18389">
        <f t="shared" si="878"/>
        <v>2.564102564102564E-2</v>
      </c>
      <c r="F18389">
        <v>3</v>
      </c>
      <c r="G18389">
        <f>LOG(382/(3+1))</f>
        <v>1.9800033715837464</v>
      </c>
      <c r="H18389">
        <f>0.0256410256410256*4.55912624748668</f>
        <v>0.11690067301247878</v>
      </c>
      <c r="I18389">
        <v>0.1169006730124791</v>
      </c>
    </row>
    <row r="18390" spans="1:9" x14ac:dyDescent="0.25">
      <c r="A18390">
        <v>569</v>
      </c>
      <c r="B18390" t="s">
        <v>4485</v>
      </c>
      <c r="C18390" t="s">
        <v>10</v>
      </c>
      <c r="D18390" t="s">
        <v>152</v>
      </c>
      <c r="E18390">
        <f t="shared" si="878"/>
        <v>2.564102564102564E-2</v>
      </c>
      <c r="F18390">
        <v>31</v>
      </c>
      <c r="G18390">
        <f>LOG(382/(31+1))</f>
        <v>1.0769133845918029</v>
      </c>
      <c r="H18390">
        <f>0.0256410256410256*2.47968470580684</f>
        <v>6.3581659123252199E-2</v>
      </c>
      <c r="I18390">
        <v>6.3581659123252532E-2</v>
      </c>
    </row>
    <row r="18391" spans="1:9" x14ac:dyDescent="0.25">
      <c r="A18391">
        <v>569</v>
      </c>
      <c r="B18391" t="s">
        <v>4485</v>
      </c>
      <c r="C18391" t="s">
        <v>10</v>
      </c>
      <c r="D18391" t="s">
        <v>104</v>
      </c>
      <c r="E18391">
        <f t="shared" si="878"/>
        <v>2.564102564102564E-2</v>
      </c>
      <c r="F18391">
        <v>49</v>
      </c>
      <c r="G18391">
        <f>LOG(382/(49+1))</f>
        <v>0.88309335857568994</v>
      </c>
      <c r="H18391">
        <f>0.0256410256410256*2.03339760317842</f>
        <v>5.2138400081497865E-2</v>
      </c>
      <c r="I18391">
        <v>5.2138400081498178E-2</v>
      </c>
    </row>
    <row r="18392" spans="1:9" x14ac:dyDescent="0.25">
      <c r="A18392">
        <v>570</v>
      </c>
      <c r="B18392" t="s">
        <v>4489</v>
      </c>
      <c r="C18392" t="s">
        <v>10</v>
      </c>
      <c r="D18392" t="s">
        <v>2296</v>
      </c>
      <c r="E18392">
        <f>8/119</f>
        <v>6.7226890756302518E-2</v>
      </c>
      <c r="F18392">
        <v>5</v>
      </c>
      <c r="G18392">
        <f>LOG(382/(5+1))</f>
        <v>1.803912112528065</v>
      </c>
      <c r="H18392">
        <f>0.0672268907563025*4.15366113937852</f>
        <v>0.27923772365569877</v>
      </c>
      <c r="I18392">
        <v>0.27923772365569882</v>
      </c>
    </row>
    <row r="18393" spans="1:9" x14ac:dyDescent="0.25">
      <c r="A18393">
        <v>570</v>
      </c>
      <c r="B18393" t="s">
        <v>4489</v>
      </c>
      <c r="C18393" t="s">
        <v>10</v>
      </c>
      <c r="D18393" t="s">
        <v>1742</v>
      </c>
      <c r="E18393">
        <f>10/119</f>
        <v>8.4033613445378158E-2</v>
      </c>
      <c r="F18393">
        <v>7</v>
      </c>
      <c r="G18393">
        <f>LOG(382/(7+1))</f>
        <v>1.6789733759197651</v>
      </c>
      <c r="H18393">
        <f>0.0840336134453781*3.86597906692673</f>
        <v>0.32487219049804439</v>
      </c>
      <c r="I18393">
        <v>0.32487219049804528</v>
      </c>
    </row>
    <row r="18394" spans="1:9" x14ac:dyDescent="0.25">
      <c r="A18394">
        <v>570</v>
      </c>
      <c r="B18394" t="s">
        <v>4489</v>
      </c>
      <c r="C18394" t="s">
        <v>10</v>
      </c>
      <c r="D18394" t="s">
        <v>514</v>
      </c>
      <c r="E18394">
        <f>5/119</f>
        <v>4.2016806722689079E-2</v>
      </c>
      <c r="F18394">
        <v>6</v>
      </c>
      <c r="G18394">
        <f>LOG(382/(6+1))</f>
        <v>1.736965322897452</v>
      </c>
      <c r="H18394">
        <f>0.042016806722689*3.99951045955126</f>
        <v>0.16804665796433838</v>
      </c>
      <c r="I18394">
        <v>0.16804665796433871</v>
      </c>
    </row>
    <row r="18395" spans="1:9" x14ac:dyDescent="0.25">
      <c r="A18395">
        <v>570</v>
      </c>
      <c r="B18395" t="s">
        <v>4489</v>
      </c>
      <c r="C18395" t="s">
        <v>10</v>
      </c>
      <c r="D18395" t="s">
        <v>105</v>
      </c>
      <c r="E18395">
        <f t="shared" ref="E18395:E18413" si="879">1/119</f>
        <v>8.4033613445378148E-3</v>
      </c>
      <c r="F18395">
        <v>122</v>
      </c>
      <c r="G18395">
        <f>LOG(382/(122+1))</f>
        <v>0.49215825147231079</v>
      </c>
      <c r="H18395">
        <f>0.00840336134453781*1.13323625323415</f>
        <v>9.522993724656717E-3</v>
      </c>
      <c r="I18395">
        <v>9.5229937246567864E-3</v>
      </c>
    </row>
    <row r="18396" spans="1:9" x14ac:dyDescent="0.25">
      <c r="A18396">
        <v>570</v>
      </c>
      <c r="B18396" t="s">
        <v>4489</v>
      </c>
      <c r="C18396" t="s">
        <v>10</v>
      </c>
      <c r="D18396" t="s">
        <v>1375</v>
      </c>
      <c r="E18396">
        <f t="shared" si="879"/>
        <v>8.4033613445378148E-3</v>
      </c>
      <c r="F18396">
        <v>5</v>
      </c>
      <c r="G18396">
        <f>LOG(382/(5+1))</f>
        <v>1.803912112528065</v>
      </c>
      <c r="H18396">
        <f>0.00840336134453781*4.15366113937852</f>
        <v>3.4904715456962332E-2</v>
      </c>
      <c r="I18396">
        <v>3.4904715456962353E-2</v>
      </c>
    </row>
    <row r="18397" spans="1:9" x14ac:dyDescent="0.25">
      <c r="A18397">
        <v>570</v>
      </c>
      <c r="B18397" t="s">
        <v>4489</v>
      </c>
      <c r="C18397" t="s">
        <v>10</v>
      </c>
      <c r="D18397" t="s">
        <v>4490</v>
      </c>
      <c r="E18397">
        <f t="shared" si="879"/>
        <v>8.4033613445378148E-3</v>
      </c>
      <c r="F18397">
        <v>1</v>
      </c>
      <c r="G18397">
        <f>LOG(382/(1+1))</f>
        <v>2.2810333672477277</v>
      </c>
      <c r="H18397">
        <f>0.00840336134453781*5.25227342804663</f>
        <v>4.4136751496190139E-2</v>
      </c>
      <c r="I18397">
        <v>4.4136751496190167E-2</v>
      </c>
    </row>
    <row r="18398" spans="1:9" x14ac:dyDescent="0.25">
      <c r="A18398">
        <v>570</v>
      </c>
      <c r="B18398" t="s">
        <v>4489</v>
      </c>
      <c r="C18398" t="s">
        <v>10</v>
      </c>
      <c r="D18398" t="s">
        <v>42</v>
      </c>
      <c r="E18398">
        <f t="shared" si="879"/>
        <v>8.4033613445378148E-3</v>
      </c>
      <c r="F18398">
        <v>251</v>
      </c>
      <c r="G18398">
        <f>LOG(382/(251+1))</f>
        <v>0.18066282213016463</v>
      </c>
      <c r="H18398">
        <f>0.00840336134453781*0.415991521095151</f>
        <v>3.4957270680264765E-3</v>
      </c>
      <c r="I18398">
        <v>3.495727068026486E-3</v>
      </c>
    </row>
    <row r="18399" spans="1:9" x14ac:dyDescent="0.25">
      <c r="A18399">
        <v>570</v>
      </c>
      <c r="B18399" t="s">
        <v>4489</v>
      </c>
      <c r="C18399" t="s">
        <v>10</v>
      </c>
      <c r="D18399" t="s">
        <v>15</v>
      </c>
      <c r="E18399">
        <f t="shared" si="879"/>
        <v>8.4033613445378148E-3</v>
      </c>
      <c r="F18399">
        <v>112</v>
      </c>
      <c r="G18399">
        <f>LOG(382/(112+1))</f>
        <v>0.52898491942828896</v>
      </c>
      <c r="H18399">
        <f>0.00840336134453781*1.21803278989423</f>
        <v>1.0235569662976717E-2</v>
      </c>
      <c r="I18399">
        <v>1.023556966297676E-2</v>
      </c>
    </row>
    <row r="18400" spans="1:9" x14ac:dyDescent="0.25">
      <c r="A18400">
        <v>570</v>
      </c>
      <c r="B18400" t="s">
        <v>4489</v>
      </c>
      <c r="C18400" t="s">
        <v>10</v>
      </c>
      <c r="D18400" t="s">
        <v>17</v>
      </c>
      <c r="E18400">
        <f t="shared" si="879"/>
        <v>8.4033613445378148E-3</v>
      </c>
      <c r="F18400">
        <v>169</v>
      </c>
      <c r="G18400">
        <f>LOG(382/(169+1))</f>
        <v>0.3516144415334348</v>
      </c>
      <c r="H18400">
        <f>0.00840336134453781*0.809622171556313</f>
        <v>6.8035476601370796E-3</v>
      </c>
      <c r="I18400">
        <v>6.8035476601370874E-3</v>
      </c>
    </row>
    <row r="18401" spans="1:9" x14ac:dyDescent="0.25">
      <c r="A18401">
        <v>570</v>
      </c>
      <c r="B18401" t="s">
        <v>4489</v>
      </c>
      <c r="C18401" t="s">
        <v>10</v>
      </c>
      <c r="D18401" t="s">
        <v>19</v>
      </c>
      <c r="E18401">
        <f t="shared" si="879"/>
        <v>8.4033613445378148E-3</v>
      </c>
      <c r="F18401">
        <v>220</v>
      </c>
      <c r="G18401">
        <f>LOG(382/(220+1))</f>
        <v>0.23767108922659805</v>
      </c>
      <c r="H18401">
        <f>0.00840336134453781*0.547257907088822</f>
        <v>4.5988059419228714E-3</v>
      </c>
      <c r="I18401">
        <v>4.5988059419228766E-3</v>
      </c>
    </row>
    <row r="18402" spans="1:9" x14ac:dyDescent="0.25">
      <c r="A18402">
        <v>570</v>
      </c>
      <c r="B18402" t="s">
        <v>4489</v>
      </c>
      <c r="C18402" t="s">
        <v>10</v>
      </c>
      <c r="D18402" t="s">
        <v>195</v>
      </c>
      <c r="E18402">
        <f t="shared" si="879"/>
        <v>8.4033613445378148E-3</v>
      </c>
      <c r="F18402">
        <v>55</v>
      </c>
      <c r="G18402">
        <f>LOG(382/(55+1))</f>
        <v>0.83387533590550833</v>
      </c>
      <c r="H18402">
        <f>0.00840336134453781*1.92006891787142</f>
        <v>1.6135032923289234E-2</v>
      </c>
      <c r="I18402">
        <v>1.6135032923289289E-2</v>
      </c>
    </row>
    <row r="18403" spans="1:9" x14ac:dyDescent="0.25">
      <c r="A18403">
        <v>570</v>
      </c>
      <c r="B18403" t="s">
        <v>4489</v>
      </c>
      <c r="C18403" t="s">
        <v>10</v>
      </c>
      <c r="D18403" t="s">
        <v>22</v>
      </c>
      <c r="E18403">
        <f t="shared" si="879"/>
        <v>8.4033613445378148E-3</v>
      </c>
      <c r="F18403">
        <v>259</v>
      </c>
      <c r="G18403">
        <f>LOG(382/(259+1))</f>
        <v>0.16709001494089079</v>
      </c>
      <c r="H18403">
        <f>0.00840336134453781*0.384738977591047</f>
        <v>3.2331006520256033E-3</v>
      </c>
      <c r="I18403">
        <v>3.2331006520256089E-3</v>
      </c>
    </row>
    <row r="18404" spans="1:9" x14ac:dyDescent="0.25">
      <c r="A18404">
        <v>570</v>
      </c>
      <c r="B18404" t="s">
        <v>4489</v>
      </c>
      <c r="C18404" t="s">
        <v>10</v>
      </c>
      <c r="D18404" t="s">
        <v>23</v>
      </c>
      <c r="E18404">
        <f t="shared" si="879"/>
        <v>8.4033613445378148E-3</v>
      </c>
      <c r="F18404">
        <v>275</v>
      </c>
      <c r="G18404">
        <f>LOG(382/(275+1))</f>
        <v>0.14115428084649101</v>
      </c>
      <c r="H18404">
        <f>0.00840336134453781*0.325019742889425</f>
        <v>2.7312583436086115E-3</v>
      </c>
      <c r="I18404">
        <v>2.7312583436086149E-3</v>
      </c>
    </row>
    <row r="18405" spans="1:9" x14ac:dyDescent="0.25">
      <c r="A18405">
        <v>570</v>
      </c>
      <c r="B18405" t="s">
        <v>4489</v>
      </c>
      <c r="C18405" t="s">
        <v>10</v>
      </c>
      <c r="D18405" t="s">
        <v>485</v>
      </c>
      <c r="E18405">
        <f t="shared" si="879"/>
        <v>8.4033613445378148E-3</v>
      </c>
      <c r="F18405">
        <v>74</v>
      </c>
      <c r="G18405">
        <f>LOG(382/(74+1))</f>
        <v>0.7070020995200087</v>
      </c>
      <c r="H18405">
        <f>0.00840336134453781*1.62793249507026</f>
        <v>1.3680105000590411E-2</v>
      </c>
      <c r="I18405">
        <v>1.368010500059046E-2</v>
      </c>
    </row>
    <row r="18406" spans="1:9" x14ac:dyDescent="0.25">
      <c r="A18406">
        <v>570</v>
      </c>
      <c r="B18406" t="s">
        <v>4489</v>
      </c>
      <c r="C18406" t="s">
        <v>10</v>
      </c>
      <c r="D18406" t="s">
        <v>4491</v>
      </c>
      <c r="E18406">
        <f t="shared" si="879"/>
        <v>8.4033613445378148E-3</v>
      </c>
      <c r="F18406">
        <v>1</v>
      </c>
      <c r="G18406">
        <f>LOG(382/(1+1))</f>
        <v>2.2810333672477277</v>
      </c>
      <c r="H18406">
        <f>0.00840336134453781*5.25227342804663</f>
        <v>4.4136751496190139E-2</v>
      </c>
      <c r="I18406">
        <v>4.4136751496190167E-2</v>
      </c>
    </row>
    <row r="18407" spans="1:9" x14ac:dyDescent="0.25">
      <c r="A18407">
        <v>570</v>
      </c>
      <c r="B18407" t="s">
        <v>4489</v>
      </c>
      <c r="C18407" t="s">
        <v>10</v>
      </c>
      <c r="D18407" t="s">
        <v>2170</v>
      </c>
      <c r="E18407">
        <f t="shared" si="879"/>
        <v>8.4033613445378148E-3</v>
      </c>
      <c r="F18407">
        <v>5</v>
      </c>
      <c r="G18407">
        <f>LOG(382/(5+1))</f>
        <v>1.803912112528065</v>
      </c>
      <c r="H18407">
        <f>0.00840336134453781*4.15366113937852</f>
        <v>3.4904715456962332E-2</v>
      </c>
      <c r="I18407">
        <v>3.4904715456962353E-2</v>
      </c>
    </row>
    <row r="18408" spans="1:9" x14ac:dyDescent="0.25">
      <c r="A18408">
        <v>570</v>
      </c>
      <c r="B18408" t="s">
        <v>4489</v>
      </c>
      <c r="C18408" t="s">
        <v>10</v>
      </c>
      <c r="D18408" t="s">
        <v>26</v>
      </c>
      <c r="E18408">
        <f t="shared" si="879"/>
        <v>8.4033613445378148E-3</v>
      </c>
      <c r="F18408">
        <v>40</v>
      </c>
      <c r="G18408">
        <f>LOG(382/(40+1))</f>
        <v>0.96927950619197323</v>
      </c>
      <c r="H18408">
        <f>0.00840336134453781*2.23184854190226</f>
        <v>1.8755029763884525E-2</v>
      </c>
      <c r="I18408">
        <v>1.8755029763884601E-2</v>
      </c>
    </row>
    <row r="18409" spans="1:9" x14ac:dyDescent="0.25">
      <c r="A18409">
        <v>570</v>
      </c>
      <c r="B18409" t="s">
        <v>4489</v>
      </c>
      <c r="C18409" t="s">
        <v>10</v>
      </c>
      <c r="D18409" t="s">
        <v>4492</v>
      </c>
      <c r="E18409">
        <f t="shared" si="879"/>
        <v>8.4033613445378148E-3</v>
      </c>
      <c r="F18409">
        <v>1</v>
      </c>
      <c r="G18409">
        <f>LOG(382/(1+1))</f>
        <v>2.2810333672477277</v>
      </c>
      <c r="H18409">
        <f>0.00840336134453781*5.25227342804663</f>
        <v>4.4136751496190139E-2</v>
      </c>
      <c r="I18409">
        <v>4.4136751496190167E-2</v>
      </c>
    </row>
    <row r="18410" spans="1:9" x14ac:dyDescent="0.25">
      <c r="A18410">
        <v>570</v>
      </c>
      <c r="B18410" t="s">
        <v>4489</v>
      </c>
      <c r="C18410" t="s">
        <v>10</v>
      </c>
      <c r="D18410" t="s">
        <v>28</v>
      </c>
      <c r="E18410">
        <f t="shared" si="879"/>
        <v>8.4033613445378148E-3</v>
      </c>
      <c r="F18410">
        <v>35</v>
      </c>
      <c r="G18410">
        <f>LOG(382/(35+1))</f>
        <v>1.0257608621444214</v>
      </c>
      <c r="H18410">
        <f>0.00840336134453781*2.36190167015046</f>
        <v>1.9847913194541669E-2</v>
      </c>
      <c r="I18410">
        <v>1.9847913194541721E-2</v>
      </c>
    </row>
    <row r="18411" spans="1:9" x14ac:dyDescent="0.25">
      <c r="A18411">
        <v>570</v>
      </c>
      <c r="B18411" t="s">
        <v>4489</v>
      </c>
      <c r="C18411" t="s">
        <v>10</v>
      </c>
      <c r="D18411" t="s">
        <v>476</v>
      </c>
      <c r="E18411">
        <f t="shared" si="879"/>
        <v>8.4033613445378148E-3</v>
      </c>
      <c r="F18411">
        <v>18</v>
      </c>
      <c r="G18411">
        <f>LOG(382/(18+1))</f>
        <v>1.3033097619588798</v>
      </c>
      <c r="H18411">
        <f>0.00840336134453781*3.00098162944013</f>
        <v>2.5218333020505277E-2</v>
      </c>
      <c r="I18411">
        <v>2.5218333020505329E-2</v>
      </c>
    </row>
    <row r="18412" spans="1:9" x14ac:dyDescent="0.25">
      <c r="A18412">
        <v>570</v>
      </c>
      <c r="B18412" t="s">
        <v>4489</v>
      </c>
      <c r="C18412" t="s">
        <v>10</v>
      </c>
      <c r="D18412" t="s">
        <v>929</v>
      </c>
      <c r="E18412">
        <f t="shared" si="879"/>
        <v>8.4033613445378148E-3</v>
      </c>
      <c r="F18412">
        <v>32</v>
      </c>
      <c r="G18412">
        <f>LOG(382/(32+1))</f>
        <v>1.0635494230338212</v>
      </c>
      <c r="H18412">
        <f>0.00840336134453781*2.44891304714009</f>
        <v>2.0579101236471331E-2</v>
      </c>
      <c r="I18412">
        <v>2.057910123647139E-2</v>
      </c>
    </row>
    <row r="18413" spans="1:9" x14ac:dyDescent="0.25">
      <c r="A18413">
        <v>570</v>
      </c>
      <c r="B18413" t="s">
        <v>4489</v>
      </c>
      <c r="C18413" t="s">
        <v>10</v>
      </c>
      <c r="D18413" t="s">
        <v>204</v>
      </c>
      <c r="E18413">
        <f t="shared" si="879"/>
        <v>8.4033613445378148E-3</v>
      </c>
      <c r="F18413">
        <v>166</v>
      </c>
      <c r="G18413">
        <f>LOG(382/(166+1))</f>
        <v>0.35934689176412549</v>
      </c>
      <c r="H18413">
        <f>0.00840336134453781*0.82742679618982</f>
        <v>6.9531663545362972E-3</v>
      </c>
      <c r="I18413">
        <v>6.9531663545363024E-3</v>
      </c>
    </row>
    <row r="18414" spans="1:9" x14ac:dyDescent="0.25">
      <c r="A18414">
        <v>570</v>
      </c>
      <c r="B18414" t="s">
        <v>4489</v>
      </c>
      <c r="C18414" t="s">
        <v>10</v>
      </c>
      <c r="D18414" t="s">
        <v>76</v>
      </c>
      <c r="E18414">
        <f>2/119</f>
        <v>1.680672268907563E-2</v>
      </c>
      <c r="F18414">
        <v>140</v>
      </c>
      <c r="G18414">
        <f>LOG(382/(140+1))</f>
        <v>0.43284425025632883</v>
      </c>
      <c r="H18414">
        <f>0.0168067226890756*0.996660718228407</f>
        <v>1.6750600306359748E-2</v>
      </c>
      <c r="I18414">
        <v>1.6750600306359779E-2</v>
      </c>
    </row>
    <row r="18415" spans="1:9" x14ac:dyDescent="0.25">
      <c r="A18415">
        <v>570</v>
      </c>
      <c r="B18415" t="s">
        <v>4489</v>
      </c>
      <c r="C18415" t="s">
        <v>10</v>
      </c>
      <c r="D18415" t="s">
        <v>161</v>
      </c>
      <c r="E18415">
        <f>1/119</f>
        <v>8.4033613445378148E-3</v>
      </c>
      <c r="F18415">
        <v>33</v>
      </c>
      <c r="G18415">
        <f>LOG(382/(33+1))</f>
        <v>1.0505844458694535</v>
      </c>
      <c r="H18415">
        <f>0.00840336134453781*2.41906008399041</f>
        <v>2.0328235999919401E-2</v>
      </c>
      <c r="I18415">
        <v>2.0328235999919439E-2</v>
      </c>
    </row>
    <row r="18416" spans="1:9" x14ac:dyDescent="0.25">
      <c r="A18416">
        <v>570</v>
      </c>
      <c r="B18416" t="s">
        <v>4489</v>
      </c>
      <c r="C18416" t="s">
        <v>10</v>
      </c>
      <c r="D18416" t="s">
        <v>483</v>
      </c>
      <c r="E18416">
        <f>2/119</f>
        <v>1.680672268907563E-2</v>
      </c>
      <c r="F18416">
        <v>61</v>
      </c>
      <c r="G18416">
        <f>LOG(382/(61+1))</f>
        <v>0.7896716734134549</v>
      </c>
      <c r="H18416">
        <f>0.0168067226890756*1.81828622356148</f>
        <v>3.0559432328764312E-2</v>
      </c>
      <c r="I18416">
        <v>3.055943232876443E-2</v>
      </c>
    </row>
    <row r="18417" spans="1:9" x14ac:dyDescent="0.25">
      <c r="A18417">
        <v>570</v>
      </c>
      <c r="B18417" t="s">
        <v>4489</v>
      </c>
      <c r="C18417" t="s">
        <v>10</v>
      </c>
      <c r="D18417" t="s">
        <v>936</v>
      </c>
      <c r="E18417">
        <f>1/119</f>
        <v>8.4033613445378148E-3</v>
      </c>
      <c r="F18417">
        <v>21</v>
      </c>
      <c r="G18417">
        <f>LOG(382/(21+1))</f>
        <v>1.2396406820895025</v>
      </c>
      <c r="H18417">
        <f>0.00840336134453781*2.85437815524825</f>
        <v>2.3986371052506287E-2</v>
      </c>
      <c r="I18417">
        <v>2.3986371052506381E-2</v>
      </c>
    </row>
    <row r="18418" spans="1:9" x14ac:dyDescent="0.25">
      <c r="A18418">
        <v>570</v>
      </c>
      <c r="B18418" t="s">
        <v>4489</v>
      </c>
      <c r="C18418" t="s">
        <v>10</v>
      </c>
      <c r="D18418" t="s">
        <v>79</v>
      </c>
      <c r="E18418">
        <f>1/119</f>
        <v>8.4033613445378148E-3</v>
      </c>
      <c r="F18418">
        <v>26</v>
      </c>
      <c r="G18418">
        <f>LOG(382/(26+1))</f>
        <v>1.1506995987527215</v>
      </c>
      <c r="H18418">
        <f>0.00840336134453781*2.64958374260224</f>
        <v>2.2265409601699482E-2</v>
      </c>
      <c r="I18418">
        <v>2.2265409601699551E-2</v>
      </c>
    </row>
    <row r="18419" spans="1:9" x14ac:dyDescent="0.25">
      <c r="A18419">
        <v>570</v>
      </c>
      <c r="B18419" t="s">
        <v>4489</v>
      </c>
      <c r="C18419" t="s">
        <v>10</v>
      </c>
      <c r="D18419" t="s">
        <v>726</v>
      </c>
      <c r="E18419">
        <f>1/119</f>
        <v>8.4033613445378148E-3</v>
      </c>
      <c r="F18419">
        <v>37</v>
      </c>
      <c r="G18419">
        <f>LOG(382/(37+1))</f>
        <v>1.0022797662948986</v>
      </c>
      <c r="H18419">
        <f>0.00840336134453781*2.30783444888018</f>
        <v>1.9393566797312422E-2</v>
      </c>
      <c r="I18419">
        <v>1.9393566797312509E-2</v>
      </c>
    </row>
    <row r="18420" spans="1:9" x14ac:dyDescent="0.25">
      <c r="A18420">
        <v>570</v>
      </c>
      <c r="B18420" t="s">
        <v>4489</v>
      </c>
      <c r="C18420" t="s">
        <v>10</v>
      </c>
      <c r="D18420" t="s">
        <v>1931</v>
      </c>
      <c r="E18420">
        <f>1/119</f>
        <v>8.4033613445378148E-3</v>
      </c>
      <c r="F18420">
        <v>5</v>
      </c>
      <c r="G18420">
        <f>LOG(382/(5+1))</f>
        <v>1.803912112528065</v>
      </c>
      <c r="H18420">
        <f>0.00840336134453781*4.15366113937852</f>
        <v>3.4904715456962332E-2</v>
      </c>
      <c r="I18420">
        <v>3.4904715456962353E-2</v>
      </c>
    </row>
    <row r="18421" spans="1:9" x14ac:dyDescent="0.25">
      <c r="A18421">
        <v>570</v>
      </c>
      <c r="B18421" t="s">
        <v>4489</v>
      </c>
      <c r="C18421" t="s">
        <v>10</v>
      </c>
      <c r="D18421" t="s">
        <v>434</v>
      </c>
      <c r="E18421">
        <f>1/119</f>
        <v>8.4033613445378148E-3</v>
      </c>
      <c r="F18421">
        <v>97</v>
      </c>
      <c r="G18421">
        <f>LOG(382/(97+1))</f>
        <v>0.59083728721921391</v>
      </c>
      <c r="H18421">
        <f>0.00840336134453781*1.360453129936</f>
        <v>1.1432379243159657E-2</v>
      </c>
      <c r="I18421">
        <v>1.143237924315969E-2</v>
      </c>
    </row>
    <row r="18422" spans="1:9" x14ac:dyDescent="0.25">
      <c r="A18422">
        <v>570</v>
      </c>
      <c r="B18422" t="s">
        <v>4489</v>
      </c>
      <c r="C18422" t="s">
        <v>10</v>
      </c>
      <c r="D18422" t="s">
        <v>239</v>
      </c>
      <c r="E18422">
        <f>2/119</f>
        <v>1.680672268907563E-2</v>
      </c>
      <c r="F18422">
        <v>40</v>
      </c>
      <c r="G18422">
        <f>LOG(382/(40+1))</f>
        <v>0.96927950619197323</v>
      </c>
      <c r="H18422">
        <f>0.0168067226890756*2.23184854190226</f>
        <v>3.7510059527769E-2</v>
      </c>
      <c r="I18422">
        <v>3.7510059527769188E-2</v>
      </c>
    </row>
    <row r="18423" spans="1:9" x14ac:dyDescent="0.25">
      <c r="A18423">
        <v>570</v>
      </c>
      <c r="B18423" t="s">
        <v>4489</v>
      </c>
      <c r="C18423" t="s">
        <v>10</v>
      </c>
      <c r="D18423" t="s">
        <v>444</v>
      </c>
      <c r="E18423">
        <f>2/119</f>
        <v>1.680672268907563E-2</v>
      </c>
      <c r="F18423">
        <v>28</v>
      </c>
      <c r="G18423">
        <f>LOG(382/(28+1))</f>
        <v>1.1196653650127526</v>
      </c>
      <c r="H18423">
        <f>0.0168067226890756*2.5781247786201</f>
        <v>4.3329828212102434E-2</v>
      </c>
      <c r="I18423">
        <v>4.3329828212102538E-2</v>
      </c>
    </row>
    <row r="18424" spans="1:9" x14ac:dyDescent="0.25">
      <c r="A18424">
        <v>570</v>
      </c>
      <c r="B18424" t="s">
        <v>4489</v>
      </c>
      <c r="C18424" t="s">
        <v>10</v>
      </c>
      <c r="D18424" t="s">
        <v>310</v>
      </c>
      <c r="E18424">
        <f t="shared" ref="E18424:E18429" si="880">1/119</f>
        <v>8.4033613445378148E-3</v>
      </c>
      <c r="F18424">
        <v>50</v>
      </c>
      <c r="G18424">
        <f>LOG(382/(50+1))</f>
        <v>0.87449318681377242</v>
      </c>
      <c r="H18424">
        <f>0.00840336134453781*2.01359497588224</f>
        <v>1.6920966183884358E-2</v>
      </c>
      <c r="I18424">
        <v>1.6920966183884448E-2</v>
      </c>
    </row>
    <row r="18425" spans="1:9" x14ac:dyDescent="0.25">
      <c r="A18425">
        <v>570</v>
      </c>
      <c r="B18425" t="s">
        <v>4489</v>
      </c>
      <c r="C18425" t="s">
        <v>10</v>
      </c>
      <c r="D18425" t="s">
        <v>1467</v>
      </c>
      <c r="E18425">
        <f t="shared" si="880"/>
        <v>8.4033613445378148E-3</v>
      </c>
      <c r="F18425">
        <v>21</v>
      </c>
      <c r="G18425">
        <f>LOG(382/(21+1))</f>
        <v>1.2396406820895025</v>
      </c>
      <c r="H18425">
        <f>0.00840336134453781*2.85437815524825</f>
        <v>2.3986371052506287E-2</v>
      </c>
      <c r="I18425">
        <v>2.3986371052506381E-2</v>
      </c>
    </row>
    <row r="18426" spans="1:9" x14ac:dyDescent="0.25">
      <c r="A18426">
        <v>570</v>
      </c>
      <c r="B18426" t="s">
        <v>4489</v>
      </c>
      <c r="C18426" t="s">
        <v>10</v>
      </c>
      <c r="D18426" t="s">
        <v>851</v>
      </c>
      <c r="E18426">
        <f t="shared" si="880"/>
        <v>8.4033613445378148E-3</v>
      </c>
      <c r="F18426">
        <v>8</v>
      </c>
      <c r="G18426">
        <f>LOG(382/(8+1))</f>
        <v>1.6278208534723839</v>
      </c>
      <c r="H18426">
        <f>0.00840336134453781*3.74819603127035</f>
        <v>3.1497445640927289E-2</v>
      </c>
      <c r="I18426">
        <v>3.1497445640927359E-2</v>
      </c>
    </row>
    <row r="18427" spans="1:9" x14ac:dyDescent="0.25">
      <c r="A18427">
        <v>570</v>
      </c>
      <c r="B18427" t="s">
        <v>4489</v>
      </c>
      <c r="C18427" t="s">
        <v>10</v>
      </c>
      <c r="D18427" t="s">
        <v>214</v>
      </c>
      <c r="E18427">
        <f t="shared" si="880"/>
        <v>8.4033613445378148E-3</v>
      </c>
      <c r="F18427">
        <v>68</v>
      </c>
      <c r="G18427">
        <f>LOG(382/(68+1))</f>
        <v>0.74321427217445335</v>
      </c>
      <c r="H18427">
        <f>0.00840336134453781*1.71131410400931</f>
        <v>1.4380790789994193E-2</v>
      </c>
      <c r="I18427">
        <v>1.438079078999425E-2</v>
      </c>
    </row>
    <row r="18428" spans="1:9" x14ac:dyDescent="0.25">
      <c r="A18428">
        <v>570</v>
      </c>
      <c r="B18428" t="s">
        <v>4489</v>
      </c>
      <c r="C18428" t="s">
        <v>10</v>
      </c>
      <c r="D18428" t="s">
        <v>445</v>
      </c>
      <c r="E18428">
        <f t="shared" si="880"/>
        <v>8.4033613445378148E-3</v>
      </c>
      <c r="F18428">
        <v>35</v>
      </c>
      <c r="G18428">
        <f>LOG(382/(35+1))</f>
        <v>1.0257608621444214</v>
      </c>
      <c r="H18428">
        <f>0.00840336134453781*2.36190167015046</f>
        <v>1.9847913194541669E-2</v>
      </c>
      <c r="I18428">
        <v>1.9847913194541721E-2</v>
      </c>
    </row>
    <row r="18429" spans="1:9" x14ac:dyDescent="0.25">
      <c r="A18429">
        <v>570</v>
      </c>
      <c r="B18429" t="s">
        <v>4489</v>
      </c>
      <c r="C18429" t="s">
        <v>10</v>
      </c>
      <c r="D18429" t="s">
        <v>448</v>
      </c>
      <c r="E18429">
        <f t="shared" si="880"/>
        <v>8.4033613445378148E-3</v>
      </c>
      <c r="F18429">
        <v>19</v>
      </c>
      <c r="G18429">
        <f>LOG(382/(19+1))</f>
        <v>1.2810333672477277</v>
      </c>
      <c r="H18429">
        <f>0.00840336134453781*2.94968833505258</f>
        <v>2.4787296933214943E-2</v>
      </c>
      <c r="I18429">
        <v>2.4787296933214999E-2</v>
      </c>
    </row>
    <row r="18430" spans="1:9" x14ac:dyDescent="0.25">
      <c r="A18430">
        <v>570</v>
      </c>
      <c r="B18430" t="s">
        <v>4489</v>
      </c>
      <c r="C18430" t="s">
        <v>10</v>
      </c>
      <c r="D18430" t="s">
        <v>2036</v>
      </c>
      <c r="E18430">
        <f>2/119</f>
        <v>1.680672268907563E-2</v>
      </c>
      <c r="F18430">
        <v>7</v>
      </c>
      <c r="G18430">
        <f>LOG(382/(7+1))</f>
        <v>1.6789733759197651</v>
      </c>
      <c r="H18430">
        <f>0.0168067226890756*3.86597906692673</f>
        <v>6.4974438099608789E-2</v>
      </c>
      <c r="I18430">
        <v>6.4974438099609053E-2</v>
      </c>
    </row>
    <row r="18431" spans="1:9" x14ac:dyDescent="0.25">
      <c r="A18431">
        <v>570</v>
      </c>
      <c r="B18431" t="s">
        <v>4489</v>
      </c>
      <c r="C18431" t="s">
        <v>10</v>
      </c>
      <c r="D18431" t="s">
        <v>490</v>
      </c>
      <c r="E18431">
        <f>1/119</f>
        <v>8.4033613445378148E-3</v>
      </c>
      <c r="F18431">
        <v>31</v>
      </c>
      <c r="G18431">
        <f>LOG(382/(31+1))</f>
        <v>1.0769133845918029</v>
      </c>
      <c r="H18431">
        <f>0.00840336134453781*2.47968470580684</f>
        <v>2.0837686603418809E-2</v>
      </c>
      <c r="I18431">
        <v>2.0837686603418899E-2</v>
      </c>
    </row>
    <row r="18432" spans="1:9" x14ac:dyDescent="0.25">
      <c r="A18432">
        <v>570</v>
      </c>
      <c r="B18432" t="s">
        <v>4489</v>
      </c>
      <c r="C18432" t="s">
        <v>10</v>
      </c>
      <c r="D18432" t="s">
        <v>596</v>
      </c>
      <c r="E18432">
        <f>3/119</f>
        <v>2.5210084033613446E-2</v>
      </c>
      <c r="F18432">
        <v>60</v>
      </c>
      <c r="G18432">
        <f>LOG(382/(60+1))</f>
        <v>0.79673352790094176</v>
      </c>
      <c r="H18432">
        <f>0.0252100840336134*1.83454674443326</f>
        <v>4.6249077590754369E-2</v>
      </c>
      <c r="I18432">
        <v>4.6249077590754563E-2</v>
      </c>
    </row>
    <row r="18433" spans="1:9" x14ac:dyDescent="0.25">
      <c r="A18433">
        <v>570</v>
      </c>
      <c r="B18433" t="s">
        <v>4489</v>
      </c>
      <c r="C18433" t="s">
        <v>10</v>
      </c>
      <c r="D18433" t="s">
        <v>597</v>
      </c>
      <c r="E18433">
        <f>2/119</f>
        <v>1.680672268907563E-2</v>
      </c>
      <c r="F18433">
        <v>51</v>
      </c>
      <c r="G18433">
        <f>LOG(382/(51+1))</f>
        <v>0.86606001927690957</v>
      </c>
      <c r="H18433">
        <f>0.0168067226890756*1.99417689002514</f>
        <v>3.3515577983615735E-2</v>
      </c>
      <c r="I18433">
        <v>3.351557798361593E-2</v>
      </c>
    </row>
    <row r="18434" spans="1:9" x14ac:dyDescent="0.25">
      <c r="A18434">
        <v>570</v>
      </c>
      <c r="B18434" t="s">
        <v>4489</v>
      </c>
      <c r="C18434" t="s">
        <v>10</v>
      </c>
      <c r="D18434" t="s">
        <v>852</v>
      </c>
      <c r="E18434">
        <f>1/119</f>
        <v>8.4033613445378148E-3</v>
      </c>
      <c r="F18434">
        <v>10</v>
      </c>
      <c r="G18434">
        <f>LOG(382/(10+1))</f>
        <v>1.5406706777534838</v>
      </c>
      <c r="H18434">
        <f>0.00840336134453781*3.5475253358082</f>
        <v>2.9811137275699142E-2</v>
      </c>
      <c r="I18434">
        <v>2.9811137275699201E-2</v>
      </c>
    </row>
    <row r="18435" spans="1:9" x14ac:dyDescent="0.25">
      <c r="A18435">
        <v>570</v>
      </c>
      <c r="B18435" t="s">
        <v>4489</v>
      </c>
      <c r="C18435" t="s">
        <v>10</v>
      </c>
      <c r="D18435" t="s">
        <v>1222</v>
      </c>
      <c r="E18435">
        <f>3/119</f>
        <v>2.5210084033613446E-2</v>
      </c>
      <c r="F18435">
        <v>56</v>
      </c>
      <c r="G18435">
        <f>LOG(382/(56+1))</f>
        <v>0.82618850723921733</v>
      </c>
      <c r="H18435">
        <f>0.0252100840336134*1.90236934077202</f>
        <v>4.795889094383235E-2</v>
      </c>
      <c r="I18435">
        <v>4.7958890943832558E-2</v>
      </c>
    </row>
    <row r="18436" spans="1:9" x14ac:dyDescent="0.25">
      <c r="A18436">
        <v>570</v>
      </c>
      <c r="B18436" t="s">
        <v>4489</v>
      </c>
      <c r="C18436" t="s">
        <v>10</v>
      </c>
      <c r="D18436" t="s">
        <v>1486</v>
      </c>
      <c r="E18436">
        <f>1/119</f>
        <v>8.4033613445378148E-3</v>
      </c>
      <c r="F18436">
        <v>5</v>
      </c>
      <c r="G18436">
        <f>LOG(382/(5+1))</f>
        <v>1.803912112528065</v>
      </c>
      <c r="H18436">
        <f>0.00840336134453781*4.15366113937852</f>
        <v>3.4904715456962332E-2</v>
      </c>
      <c r="I18436">
        <v>3.4904715456962353E-2</v>
      </c>
    </row>
    <row r="18437" spans="1:9" x14ac:dyDescent="0.25">
      <c r="A18437">
        <v>570</v>
      </c>
      <c r="B18437" t="s">
        <v>4489</v>
      </c>
      <c r="C18437" t="s">
        <v>10</v>
      </c>
      <c r="D18437" t="s">
        <v>2204</v>
      </c>
      <c r="E18437">
        <f>1/119</f>
        <v>8.4033613445378148E-3</v>
      </c>
      <c r="F18437">
        <v>7</v>
      </c>
      <c r="G18437">
        <f>LOG(382/(7+1))</f>
        <v>1.6789733759197651</v>
      </c>
      <c r="H18437">
        <f>0.00840336134453781*3.86597906692673</f>
        <v>3.2487219049804436E-2</v>
      </c>
      <c r="I18437">
        <v>3.2487219049804533E-2</v>
      </c>
    </row>
    <row r="18438" spans="1:9" x14ac:dyDescent="0.25">
      <c r="A18438">
        <v>570</v>
      </c>
      <c r="B18438" t="s">
        <v>4489</v>
      </c>
      <c r="C18438" t="s">
        <v>10</v>
      </c>
      <c r="D18438" t="s">
        <v>336</v>
      </c>
      <c r="E18438">
        <f>1/119</f>
        <v>8.4033613445378148E-3</v>
      </c>
      <c r="F18438">
        <v>10</v>
      </c>
      <c r="G18438">
        <f>LOG(382/(10+1))</f>
        <v>1.5406706777534838</v>
      </c>
      <c r="H18438">
        <f>0.00840336134453781*3.5475253358082</f>
        <v>2.9811137275699142E-2</v>
      </c>
      <c r="I18438">
        <v>2.9811137275699201E-2</v>
      </c>
    </row>
    <row r="18439" spans="1:9" x14ac:dyDescent="0.25">
      <c r="A18439">
        <v>570</v>
      </c>
      <c r="B18439" t="s">
        <v>4489</v>
      </c>
      <c r="C18439" t="s">
        <v>10</v>
      </c>
      <c r="D18439" t="s">
        <v>451</v>
      </c>
      <c r="E18439">
        <f>1/119</f>
        <v>8.4033613445378148E-3</v>
      </c>
      <c r="F18439">
        <v>15</v>
      </c>
      <c r="G18439">
        <f>LOG(382/(15+1))</f>
        <v>1.3779433802557839</v>
      </c>
      <c r="H18439">
        <f>0.00840336134453781*3.17283188636679</f>
        <v>2.6662452826611664E-2</v>
      </c>
      <c r="I18439">
        <v>2.6662452826611709E-2</v>
      </c>
    </row>
    <row r="18440" spans="1:9" x14ac:dyDescent="0.25">
      <c r="A18440">
        <v>570</v>
      </c>
      <c r="B18440" t="s">
        <v>4489</v>
      </c>
      <c r="C18440" t="s">
        <v>10</v>
      </c>
      <c r="D18440" t="s">
        <v>322</v>
      </c>
      <c r="E18440">
        <f>2/119</f>
        <v>1.680672268907563E-2</v>
      </c>
      <c r="F18440">
        <v>128</v>
      </c>
      <c r="G18440">
        <f>LOG(382/(128+1))</f>
        <v>0.47147365261245977</v>
      </c>
      <c r="H18440">
        <f>0.0168067226890756*1.0856082042449</f>
        <v>1.8245516037729378E-2</v>
      </c>
      <c r="I18440">
        <v>1.8245516037729462E-2</v>
      </c>
    </row>
    <row r="18441" spans="1:9" x14ac:dyDescent="0.25">
      <c r="A18441">
        <v>570</v>
      </c>
      <c r="B18441" t="s">
        <v>4489</v>
      </c>
      <c r="C18441" t="s">
        <v>10</v>
      </c>
      <c r="D18441" t="s">
        <v>123</v>
      </c>
      <c r="E18441">
        <f>1/119</f>
        <v>8.4033613445378148E-3</v>
      </c>
      <c r="F18441">
        <v>74</v>
      </c>
      <c r="G18441">
        <f>LOG(382/(74+1))</f>
        <v>0.7070020995200087</v>
      </c>
      <c r="H18441">
        <f>0.00840336134453781*1.62793249507026</f>
        <v>1.3680105000590411E-2</v>
      </c>
      <c r="I18441">
        <v>1.368010500059046E-2</v>
      </c>
    </row>
    <row r="18442" spans="1:9" x14ac:dyDescent="0.25">
      <c r="A18442">
        <v>570</v>
      </c>
      <c r="B18442" t="s">
        <v>4489</v>
      </c>
      <c r="C18442" t="s">
        <v>10</v>
      </c>
      <c r="D18442" t="s">
        <v>81</v>
      </c>
      <c r="E18442">
        <f>2/119</f>
        <v>1.680672268907563E-2</v>
      </c>
      <c r="F18442">
        <v>114</v>
      </c>
      <c r="G18442">
        <f>LOG(382/(114+1))</f>
        <v>0.52136552255809698</v>
      </c>
      <c r="H18442">
        <f>0.0168067226890756*1.20048848024332</f>
        <v>2.017627697887929E-2</v>
      </c>
      <c r="I18442">
        <v>2.0176276978879411E-2</v>
      </c>
    </row>
    <row r="18443" spans="1:9" x14ac:dyDescent="0.25">
      <c r="A18443">
        <v>570</v>
      </c>
      <c r="B18443" t="s">
        <v>4489</v>
      </c>
      <c r="C18443" t="s">
        <v>10</v>
      </c>
      <c r="D18443" t="s">
        <v>754</v>
      </c>
      <c r="E18443">
        <f>1/119</f>
        <v>8.4033613445378148E-3</v>
      </c>
      <c r="F18443">
        <v>111</v>
      </c>
      <c r="G18443">
        <f>LOG(382/(111+1))</f>
        <v>0.53284534024152708</v>
      </c>
      <c r="H18443">
        <f>0.00840336134453781*1.22692173731148</f>
        <v>1.0310266700096464E-2</v>
      </c>
      <c r="I18443">
        <v>1.0310266700096479E-2</v>
      </c>
    </row>
    <row r="18444" spans="1:9" x14ac:dyDescent="0.25">
      <c r="A18444">
        <v>570</v>
      </c>
      <c r="B18444" t="s">
        <v>4489</v>
      </c>
      <c r="C18444" t="s">
        <v>10</v>
      </c>
      <c r="D18444" t="s">
        <v>237</v>
      </c>
      <c r="E18444">
        <f>2/119</f>
        <v>1.680672268907563E-2</v>
      </c>
      <c r="F18444">
        <v>138</v>
      </c>
      <c r="G18444">
        <f>LOG(382/(138+1))</f>
        <v>0.43904856265761361</v>
      </c>
      <c r="H18444">
        <f>0.0168067226890756*1.01094667547588</f>
        <v>1.6990700428166017E-2</v>
      </c>
      <c r="I18444">
        <v>1.6990700428166111E-2</v>
      </c>
    </row>
    <row r="18445" spans="1:9" x14ac:dyDescent="0.25">
      <c r="A18445">
        <v>570</v>
      </c>
      <c r="B18445" t="s">
        <v>4489</v>
      </c>
      <c r="C18445" t="s">
        <v>10</v>
      </c>
      <c r="D18445" t="s">
        <v>324</v>
      </c>
      <c r="E18445">
        <f>3/119</f>
        <v>2.5210084033613446E-2</v>
      </c>
      <c r="F18445">
        <v>82</v>
      </c>
      <c r="G18445">
        <f>LOG(382/(82+1))</f>
        <v>0.66298527053563483</v>
      </c>
      <c r="H18445">
        <f>0.0252100840336134*1.52658000080997</f>
        <v>3.8485210104452952E-2</v>
      </c>
      <c r="I18445">
        <v>3.8485210104453209E-2</v>
      </c>
    </row>
    <row r="18446" spans="1:9" x14ac:dyDescent="0.25">
      <c r="A18446">
        <v>570</v>
      </c>
      <c r="B18446" t="s">
        <v>4489</v>
      </c>
      <c r="C18446" t="s">
        <v>10</v>
      </c>
      <c r="D18446" t="s">
        <v>753</v>
      </c>
      <c r="E18446">
        <f>1/119</f>
        <v>8.4033613445378148E-3</v>
      </c>
      <c r="F18446">
        <v>19</v>
      </c>
      <c r="G18446">
        <f>LOG(382/(19+1))</f>
        <v>1.2810333672477277</v>
      </c>
      <c r="H18446">
        <f>0.00840336134453781*2.94968833505258</f>
        <v>2.4787296933214943E-2</v>
      </c>
      <c r="I18446">
        <v>2.4787296933214999E-2</v>
      </c>
    </row>
    <row r="18447" spans="1:9" x14ac:dyDescent="0.25">
      <c r="A18447">
        <v>570</v>
      </c>
      <c r="B18447" t="s">
        <v>4489</v>
      </c>
      <c r="C18447" t="s">
        <v>10</v>
      </c>
      <c r="D18447" t="s">
        <v>1544</v>
      </c>
      <c r="E18447">
        <f>1/119</f>
        <v>8.4033613445378148E-3</v>
      </c>
      <c r="F18447">
        <v>19</v>
      </c>
      <c r="G18447">
        <f>LOG(382/(19+1))</f>
        <v>1.2810333672477277</v>
      </c>
      <c r="H18447">
        <f>0.00840336134453781*2.94968833505258</f>
        <v>2.4787296933214943E-2</v>
      </c>
      <c r="I18447">
        <v>2.4787296933214999E-2</v>
      </c>
    </row>
    <row r="18448" spans="1:9" x14ac:dyDescent="0.25">
      <c r="A18448">
        <v>570</v>
      </c>
      <c r="B18448" t="s">
        <v>4489</v>
      </c>
      <c r="C18448" t="s">
        <v>10</v>
      </c>
      <c r="D18448" t="s">
        <v>82</v>
      </c>
      <c r="E18448">
        <f>1/119</f>
        <v>8.4033613445378148E-3</v>
      </c>
      <c r="F18448">
        <v>92</v>
      </c>
      <c r="G18448">
        <f>LOG(382/(92+1))</f>
        <v>0.61358041435777355</v>
      </c>
      <c r="H18448">
        <f>0.00840336134453781*1.41282111545331</f>
        <v>1.1872446348347134E-2</v>
      </c>
      <c r="I18448">
        <v>1.1872446348347219E-2</v>
      </c>
    </row>
    <row r="18449" spans="1:9" x14ac:dyDescent="0.25">
      <c r="A18449">
        <v>570</v>
      </c>
      <c r="B18449" t="s">
        <v>4489</v>
      </c>
      <c r="C18449" t="s">
        <v>10</v>
      </c>
      <c r="D18449" t="s">
        <v>2554</v>
      </c>
      <c r="E18449">
        <f>1/119</f>
        <v>8.4033613445378148E-3</v>
      </c>
      <c r="F18449">
        <v>22</v>
      </c>
      <c r="G18449">
        <f>LOG(382/(22+1))</f>
        <v>1.2203355268941158</v>
      </c>
      <c r="H18449">
        <f>0.00840336134453781*2.80992639267742</f>
        <v>2.3612826829222E-2</v>
      </c>
      <c r="I18449">
        <v>2.3612826829222059E-2</v>
      </c>
    </row>
    <row r="18450" spans="1:9" x14ac:dyDescent="0.25">
      <c r="A18450">
        <v>570</v>
      </c>
      <c r="B18450" t="s">
        <v>4489</v>
      </c>
      <c r="C18450" t="s">
        <v>10</v>
      </c>
      <c r="D18450" t="s">
        <v>133</v>
      </c>
      <c r="E18450">
        <f>3/119</f>
        <v>2.5210084033613446E-2</v>
      </c>
      <c r="F18450">
        <v>142</v>
      </c>
      <c r="G18450">
        <f>LOG(382/(142+1))</f>
        <v>0.42672732544664693</v>
      </c>
      <c r="H18450">
        <f>0.0252100840336134*0.982575978346667</f>
        <v>2.4770822983529377E-2</v>
      </c>
      <c r="I18450">
        <v>2.477082298352944E-2</v>
      </c>
    </row>
    <row r="18451" spans="1:9" x14ac:dyDescent="0.25">
      <c r="A18451">
        <v>570</v>
      </c>
      <c r="B18451" t="s">
        <v>4489</v>
      </c>
      <c r="C18451" t="s">
        <v>10</v>
      </c>
      <c r="D18451" t="s">
        <v>1769</v>
      </c>
      <c r="E18451">
        <f>1/119</f>
        <v>8.4033613445378148E-3</v>
      </c>
      <c r="F18451">
        <v>84</v>
      </c>
      <c r="G18451">
        <f>LOG(382/(84+1))</f>
        <v>0.65264443719741605</v>
      </c>
      <c r="H18451">
        <f>0.00840336134453781*1.50276935211625</f>
        <v>1.2628313883329823E-2</v>
      </c>
      <c r="I18451">
        <v>1.262831388332991E-2</v>
      </c>
    </row>
    <row r="18452" spans="1:9" x14ac:dyDescent="0.25">
      <c r="A18452">
        <v>570</v>
      </c>
      <c r="B18452" t="s">
        <v>4489</v>
      </c>
      <c r="C18452" t="s">
        <v>10</v>
      </c>
      <c r="D18452" t="s">
        <v>201</v>
      </c>
      <c r="E18452">
        <f>2/119</f>
        <v>1.680672268907563E-2</v>
      </c>
      <c r="F18452">
        <v>72</v>
      </c>
      <c r="G18452">
        <f>LOG(382/(72+1))</f>
        <v>0.71874050279125279</v>
      </c>
      <c r="H18452">
        <f>0.0168067226890756*1.65496116745818</f>
        <v>2.7814473402658434E-2</v>
      </c>
      <c r="I18452">
        <v>2.7814473402658552E-2</v>
      </c>
    </row>
    <row r="18453" spans="1:9" x14ac:dyDescent="0.25">
      <c r="A18453">
        <v>570</v>
      </c>
      <c r="B18453" t="s">
        <v>4489</v>
      </c>
      <c r="C18453" t="s">
        <v>10</v>
      </c>
      <c r="D18453" t="s">
        <v>593</v>
      </c>
      <c r="E18453">
        <f>2/119</f>
        <v>1.680672268907563E-2</v>
      </c>
      <c r="F18453">
        <v>30</v>
      </c>
      <c r="G18453">
        <f>LOG(382/(30+1))</f>
        <v>1.090701669077436</v>
      </c>
      <c r="H18453">
        <f>0.0168067226890756*2.51143340412142</f>
        <v>4.2208964775149835E-2</v>
      </c>
      <c r="I18453">
        <v>4.2208964775150057E-2</v>
      </c>
    </row>
    <row r="18454" spans="1:9" x14ac:dyDescent="0.25">
      <c r="A18454">
        <v>570</v>
      </c>
      <c r="B18454" t="s">
        <v>4489</v>
      </c>
      <c r="C18454" t="s">
        <v>10</v>
      </c>
      <c r="D18454" t="s">
        <v>594</v>
      </c>
      <c r="E18454">
        <f>3/119</f>
        <v>2.5210084033613446E-2</v>
      </c>
      <c r="F18454">
        <v>36</v>
      </c>
      <c r="G18454">
        <f>LOG(382/(36+1))</f>
        <v>1.0138616388447137</v>
      </c>
      <c r="H18454">
        <f>0.0252100840336134*2.33450269596235</f>
        <v>5.8853009141907879E-2</v>
      </c>
      <c r="I18454">
        <v>5.8853009141908011E-2</v>
      </c>
    </row>
    <row r="18455" spans="1:9" x14ac:dyDescent="0.25">
      <c r="A18455">
        <v>570</v>
      </c>
      <c r="B18455" t="s">
        <v>4489</v>
      </c>
      <c r="C18455" t="s">
        <v>10</v>
      </c>
      <c r="D18455" t="s">
        <v>4493</v>
      </c>
      <c r="E18455">
        <f t="shared" ref="E18455:E18460" si="881">1/119</f>
        <v>8.4033613445378148E-3</v>
      </c>
      <c r="F18455">
        <v>1</v>
      </c>
      <c r="G18455">
        <f>LOG(382/(1+1))</f>
        <v>2.2810333672477277</v>
      </c>
      <c r="H18455">
        <f>0.00840336134453781*5.25227342804663</f>
        <v>4.4136751496190139E-2</v>
      </c>
      <c r="I18455">
        <v>4.4136751496190167E-2</v>
      </c>
    </row>
    <row r="18456" spans="1:9" x14ac:dyDescent="0.25">
      <c r="A18456">
        <v>570</v>
      </c>
      <c r="B18456" t="s">
        <v>4489</v>
      </c>
      <c r="C18456" t="s">
        <v>10</v>
      </c>
      <c r="D18456" t="s">
        <v>31</v>
      </c>
      <c r="E18456">
        <f t="shared" si="881"/>
        <v>8.4033613445378148E-3</v>
      </c>
      <c r="F18456">
        <v>31</v>
      </c>
      <c r="G18456">
        <f>LOG(382/(31+1))</f>
        <v>1.0769133845918029</v>
      </c>
      <c r="H18456">
        <f>0.00840336134453781*2.47968470580684</f>
        <v>2.0837686603418809E-2</v>
      </c>
      <c r="I18456">
        <v>2.0837686603418899E-2</v>
      </c>
    </row>
    <row r="18457" spans="1:9" x14ac:dyDescent="0.25">
      <c r="A18457">
        <v>570</v>
      </c>
      <c r="B18457" t="s">
        <v>4489</v>
      </c>
      <c r="C18457" t="s">
        <v>10</v>
      </c>
      <c r="D18457" t="s">
        <v>4494</v>
      </c>
      <c r="E18457">
        <f t="shared" si="881"/>
        <v>8.4033613445378148E-3</v>
      </c>
      <c r="F18457">
        <v>1</v>
      </c>
      <c r="G18457">
        <f>LOG(382/(1+1))</f>
        <v>2.2810333672477277</v>
      </c>
      <c r="H18457">
        <f>0.00840336134453781*5.25227342804663</f>
        <v>4.4136751496190139E-2</v>
      </c>
      <c r="I18457">
        <v>4.4136751496190167E-2</v>
      </c>
    </row>
    <row r="18458" spans="1:9" x14ac:dyDescent="0.25">
      <c r="A18458">
        <v>570</v>
      </c>
      <c r="B18458" t="s">
        <v>4489</v>
      </c>
      <c r="C18458" t="s">
        <v>10</v>
      </c>
      <c r="D18458" t="s">
        <v>899</v>
      </c>
      <c r="E18458">
        <f t="shared" si="881"/>
        <v>8.4033613445378148E-3</v>
      </c>
      <c r="F18458">
        <v>5</v>
      </c>
      <c r="G18458">
        <f>LOG(382/(5+1))</f>
        <v>1.803912112528065</v>
      </c>
      <c r="H18458">
        <f>0.00840336134453781*4.15366113937852</f>
        <v>3.4904715456962332E-2</v>
      </c>
      <c r="I18458">
        <v>3.4904715456962353E-2</v>
      </c>
    </row>
    <row r="18459" spans="1:9" x14ac:dyDescent="0.25">
      <c r="A18459">
        <v>570</v>
      </c>
      <c r="B18459" t="s">
        <v>4489</v>
      </c>
      <c r="C18459" t="s">
        <v>10</v>
      </c>
      <c r="D18459" t="s">
        <v>327</v>
      </c>
      <c r="E18459">
        <f t="shared" si="881"/>
        <v>8.4033613445378148E-3</v>
      </c>
      <c r="F18459">
        <v>46</v>
      </c>
      <c r="G18459">
        <f>LOG(382/(46+1))</f>
        <v>0.90996550497599127</v>
      </c>
      <c r="H18459">
        <f>0.00840336134453781*2.09527300689651</f>
        <v>1.7607336192407636E-2</v>
      </c>
      <c r="I18459">
        <v>1.7607336192407699E-2</v>
      </c>
    </row>
    <row r="18460" spans="1:9" x14ac:dyDescent="0.25">
      <c r="A18460">
        <v>570</v>
      </c>
      <c r="B18460" t="s">
        <v>4489</v>
      </c>
      <c r="C18460" t="s">
        <v>10</v>
      </c>
      <c r="D18460" t="s">
        <v>1784</v>
      </c>
      <c r="E18460">
        <f t="shared" si="881"/>
        <v>8.4033613445378148E-3</v>
      </c>
      <c r="F18460">
        <v>6</v>
      </c>
      <c r="G18460">
        <f>LOG(382/(6+1))</f>
        <v>1.736965322897452</v>
      </c>
      <c r="H18460">
        <f>0.00840336134453781*3.99951045955126</f>
        <v>3.3609331592867712E-2</v>
      </c>
      <c r="I18460">
        <v>3.3609331592867747E-2</v>
      </c>
    </row>
    <row r="18461" spans="1:9" x14ac:dyDescent="0.25">
      <c r="A18461">
        <v>570</v>
      </c>
      <c r="B18461" t="s">
        <v>4489</v>
      </c>
      <c r="C18461" t="s">
        <v>10</v>
      </c>
      <c r="D18461" t="s">
        <v>878</v>
      </c>
      <c r="E18461">
        <f>2/119</f>
        <v>1.680672268907563E-2</v>
      </c>
      <c r="F18461">
        <v>9</v>
      </c>
      <c r="G18461">
        <f>LOG(382/(9+1))</f>
        <v>1.5820633629117087</v>
      </c>
      <c r="H18461">
        <f>0.0168067226890756*3.64283551561252</f>
        <v>6.1224126312815347E-2</v>
      </c>
      <c r="I18461">
        <v>6.1224126312815617E-2</v>
      </c>
    </row>
    <row r="18462" spans="1:9" x14ac:dyDescent="0.25">
      <c r="A18462">
        <v>570</v>
      </c>
      <c r="B18462" t="s">
        <v>4489</v>
      </c>
      <c r="C18462" t="s">
        <v>10</v>
      </c>
      <c r="D18462" t="s">
        <v>127</v>
      </c>
      <c r="E18462">
        <f>1/119</f>
        <v>8.4033613445378148E-3</v>
      </c>
      <c r="F18462">
        <v>4</v>
      </c>
      <c r="G18462">
        <f>LOG(382/(4+1))</f>
        <v>1.8830933585756899</v>
      </c>
      <c r="H18462">
        <f>0.00840336134453781*4.33598269617247</f>
        <v>3.643682937960057E-2</v>
      </c>
      <c r="I18462">
        <v>3.6436829379600633E-2</v>
      </c>
    </row>
    <row r="18463" spans="1:9" x14ac:dyDescent="0.25">
      <c r="A18463">
        <v>570</v>
      </c>
      <c r="B18463" t="s">
        <v>4489</v>
      </c>
      <c r="C18463" t="s">
        <v>10</v>
      </c>
      <c r="D18463" t="s">
        <v>545</v>
      </c>
      <c r="E18463">
        <f>1/119</f>
        <v>8.4033613445378148E-3</v>
      </c>
      <c r="F18463">
        <v>6</v>
      </c>
      <c r="G18463">
        <f>LOG(382/(6+1))</f>
        <v>1.736965322897452</v>
      </c>
      <c r="H18463">
        <f>0.00840336134453781*3.99951045955126</f>
        <v>3.3609331592867712E-2</v>
      </c>
      <c r="I18463">
        <v>3.3609331592867747E-2</v>
      </c>
    </row>
    <row r="18464" spans="1:9" x14ac:dyDescent="0.25">
      <c r="A18464">
        <v>570</v>
      </c>
      <c r="B18464" t="s">
        <v>4489</v>
      </c>
      <c r="C18464" t="s">
        <v>10</v>
      </c>
      <c r="D18464" t="s">
        <v>126</v>
      </c>
      <c r="E18464">
        <f>1/119</f>
        <v>8.4033613445378148E-3</v>
      </c>
      <c r="F18464">
        <v>79</v>
      </c>
      <c r="G18464">
        <f>LOG(382/(79+1))</f>
        <v>0.67897337591976514</v>
      </c>
      <c r="H18464">
        <f>0.00840336134453781*1.56339397393269</f>
        <v>1.313776448682932E-2</v>
      </c>
      <c r="I18464">
        <v>1.313776448682936E-2</v>
      </c>
    </row>
    <row r="18465" spans="1:9" x14ac:dyDescent="0.25">
      <c r="A18465">
        <v>570</v>
      </c>
      <c r="B18465" t="s">
        <v>4489</v>
      </c>
      <c r="C18465" t="s">
        <v>10</v>
      </c>
      <c r="D18465" t="s">
        <v>1083</v>
      </c>
      <c r="E18465">
        <f>2/119</f>
        <v>1.680672268907563E-2</v>
      </c>
      <c r="F18465">
        <v>51</v>
      </c>
      <c r="G18465">
        <f>LOG(382/(51+1))</f>
        <v>0.86606001927690957</v>
      </c>
      <c r="H18465">
        <f>0.0168067226890756*1.99417689002514</f>
        <v>3.3515577983615735E-2</v>
      </c>
      <c r="I18465">
        <v>3.351557798361593E-2</v>
      </c>
    </row>
    <row r="18466" spans="1:9" x14ac:dyDescent="0.25">
      <c r="A18466">
        <v>570</v>
      </c>
      <c r="B18466" t="s">
        <v>4489</v>
      </c>
      <c r="C18466" t="s">
        <v>10</v>
      </c>
      <c r="D18466" t="s">
        <v>1299</v>
      </c>
      <c r="E18466">
        <f>1/119</f>
        <v>8.4033613445378148E-3</v>
      </c>
      <c r="F18466">
        <v>3</v>
      </c>
      <c r="G18466">
        <f>LOG(382/(3+1))</f>
        <v>1.9800033715837464</v>
      </c>
      <c r="H18466">
        <f>0.00840336134453781*4.55912624748668</f>
        <v>3.8311985272997284E-2</v>
      </c>
      <c r="I18466">
        <v>3.8311985272997347E-2</v>
      </c>
    </row>
    <row r="18467" spans="1:9" x14ac:dyDescent="0.25">
      <c r="A18467">
        <v>570</v>
      </c>
      <c r="B18467" t="s">
        <v>4489</v>
      </c>
      <c r="C18467" t="s">
        <v>10</v>
      </c>
      <c r="D18467" t="s">
        <v>78</v>
      </c>
      <c r="E18467">
        <f>1/119</f>
        <v>8.4033613445378148E-3</v>
      </c>
      <c r="F18467">
        <v>122</v>
      </c>
      <c r="G18467">
        <f>LOG(382/(122+1))</f>
        <v>0.49215825147231079</v>
      </c>
      <c r="H18467">
        <f>0.00840336134453781*1.13323625323415</f>
        <v>9.522993724656717E-3</v>
      </c>
      <c r="I18467">
        <v>9.5229937246567864E-3</v>
      </c>
    </row>
    <row r="18468" spans="1:9" x14ac:dyDescent="0.25">
      <c r="A18468">
        <v>571</v>
      </c>
      <c r="B18468" t="s">
        <v>4495</v>
      </c>
      <c r="C18468" t="s">
        <v>10</v>
      </c>
      <c r="D18468" t="s">
        <v>11</v>
      </c>
      <c r="E18468">
        <f>6/97</f>
        <v>6.1855670103092786E-2</v>
      </c>
      <c r="F18468">
        <v>83</v>
      </c>
      <c r="G18468">
        <f>LOG(382/(83+1))</f>
        <v>0.65778407684982709</v>
      </c>
      <c r="H18468">
        <f>0.0618556701030927*1.51460380976326</f>
        <v>9.368683359360358E-2</v>
      </c>
      <c r="I18468">
        <v>9.3686833593603802E-2</v>
      </c>
    </row>
    <row r="18469" spans="1:9" x14ac:dyDescent="0.25">
      <c r="A18469">
        <v>571</v>
      </c>
      <c r="B18469" t="s">
        <v>4495</v>
      </c>
      <c r="C18469" t="s">
        <v>10</v>
      </c>
      <c r="D18469" t="s">
        <v>12</v>
      </c>
      <c r="E18469">
        <f>6/97</f>
        <v>6.1855670103092786E-2</v>
      </c>
      <c r="F18469">
        <v>28</v>
      </c>
      <c r="G18469">
        <f>LOG(382/(28+1))</f>
        <v>1.1196653650127526</v>
      </c>
      <c r="H18469">
        <f>0.0618556701030927*2.5781247786201</f>
        <v>0.15947163579093379</v>
      </c>
      <c r="I18469">
        <v>0.1594716357909341</v>
      </c>
    </row>
    <row r="18470" spans="1:9" x14ac:dyDescent="0.25">
      <c r="A18470">
        <v>571</v>
      </c>
      <c r="B18470" t="s">
        <v>4495</v>
      </c>
      <c r="C18470" t="s">
        <v>10</v>
      </c>
      <c r="D18470" t="s">
        <v>4496</v>
      </c>
      <c r="E18470">
        <f>3/97</f>
        <v>3.0927835051546393E-2</v>
      </c>
      <c r="F18470">
        <v>1</v>
      </c>
      <c r="G18470">
        <f>LOG(382/(1+1))</f>
        <v>2.2810333672477277</v>
      </c>
      <c r="H18470">
        <f>0.0309278350515463*5.25227342804663</f>
        <v>0.1624414462282458</v>
      </c>
      <c r="I18470">
        <v>0.1624414462282463</v>
      </c>
    </row>
    <row r="18471" spans="1:9" x14ac:dyDescent="0.25">
      <c r="A18471">
        <v>571</v>
      </c>
      <c r="B18471" t="s">
        <v>4495</v>
      </c>
      <c r="C18471" t="s">
        <v>10</v>
      </c>
      <c r="D18471" t="s">
        <v>42</v>
      </c>
      <c r="E18471">
        <f>1/97</f>
        <v>1.0309278350515464E-2</v>
      </c>
      <c r="F18471">
        <v>251</v>
      </c>
      <c r="G18471">
        <f>LOG(382/(251+1))</f>
        <v>0.18066282213016463</v>
      </c>
      <c r="H18471">
        <f>0.0103092783505154*0.415991521095151</f>
        <v>4.2885723824242104E-3</v>
      </c>
      <c r="I18471">
        <v>4.288572382424246E-3</v>
      </c>
    </row>
    <row r="18472" spans="1:9" x14ac:dyDescent="0.25">
      <c r="A18472">
        <v>571</v>
      </c>
      <c r="B18472" t="s">
        <v>4495</v>
      </c>
      <c r="C18472" t="s">
        <v>10</v>
      </c>
      <c r="D18472" t="s">
        <v>15</v>
      </c>
      <c r="E18472">
        <f>2/97</f>
        <v>2.0618556701030927E-2</v>
      </c>
      <c r="F18472">
        <v>112</v>
      </c>
      <c r="G18472">
        <f>LOG(382/(112+1))</f>
        <v>0.52898491942828896</v>
      </c>
      <c r="H18472">
        <f>0.0206185567010309*1.21803278989423</f>
        <v>2.5114078142149037E-2</v>
      </c>
      <c r="I18472">
        <v>2.5114078142149169E-2</v>
      </c>
    </row>
    <row r="18473" spans="1:9" x14ac:dyDescent="0.25">
      <c r="A18473">
        <v>571</v>
      </c>
      <c r="B18473" t="s">
        <v>4495</v>
      </c>
      <c r="C18473" t="s">
        <v>10</v>
      </c>
      <c r="D18473" t="s">
        <v>1677</v>
      </c>
      <c r="E18473">
        <f t="shared" ref="E18473:E18482" si="882">1/97</f>
        <v>1.0309278350515464E-2</v>
      </c>
      <c r="F18473">
        <v>2</v>
      </c>
      <c r="G18473">
        <f>LOG(382/(2+1))</f>
        <v>2.1049421081920463</v>
      </c>
      <c r="H18473">
        <f>0.0103092783505154*4.84680831993846</f>
        <v>4.9967096081839482E-2</v>
      </c>
      <c r="I18473">
        <v>4.996709608183985E-2</v>
      </c>
    </row>
    <row r="18474" spans="1:9" x14ac:dyDescent="0.25">
      <c r="A18474">
        <v>571</v>
      </c>
      <c r="B18474" t="s">
        <v>4495</v>
      </c>
      <c r="C18474" t="s">
        <v>10</v>
      </c>
      <c r="D18474" t="s">
        <v>1211</v>
      </c>
      <c r="E18474">
        <f t="shared" si="882"/>
        <v>1.0309278350515464E-2</v>
      </c>
      <c r="F18474">
        <v>3</v>
      </c>
      <c r="G18474">
        <f>LOG(382/(3+1))</f>
        <v>1.9800033715837464</v>
      </c>
      <c r="H18474">
        <f>0.0103092783505154*4.55912624748668</f>
        <v>4.7001301520480945E-2</v>
      </c>
      <c r="I18474">
        <v>4.7001301520481292E-2</v>
      </c>
    </row>
    <row r="18475" spans="1:9" x14ac:dyDescent="0.25">
      <c r="A18475">
        <v>571</v>
      </c>
      <c r="B18475" t="s">
        <v>4495</v>
      </c>
      <c r="C18475" t="s">
        <v>10</v>
      </c>
      <c r="D18475" t="s">
        <v>17</v>
      </c>
      <c r="E18475">
        <f t="shared" si="882"/>
        <v>1.0309278350515464E-2</v>
      </c>
      <c r="F18475">
        <v>169</v>
      </c>
      <c r="G18475">
        <f>LOG(382/(169+1))</f>
        <v>0.3516144415334348</v>
      </c>
      <c r="H18475">
        <f>0.0103092783505154*0.809622171556313</f>
        <v>8.3466203253227626E-3</v>
      </c>
      <c r="I18475">
        <v>8.3466203253228181E-3</v>
      </c>
    </row>
    <row r="18476" spans="1:9" x14ac:dyDescent="0.25">
      <c r="A18476">
        <v>571</v>
      </c>
      <c r="B18476" t="s">
        <v>4495</v>
      </c>
      <c r="C18476" t="s">
        <v>10</v>
      </c>
      <c r="D18476" t="s">
        <v>1557</v>
      </c>
      <c r="E18476">
        <f t="shared" si="882"/>
        <v>1.0309278350515464E-2</v>
      </c>
      <c r="F18476">
        <v>2</v>
      </c>
      <c r="G18476">
        <f>LOG(382/(2+1))</f>
        <v>2.1049421081920463</v>
      </c>
      <c r="H18476">
        <f>0.0103092783505154*4.84680831993846</f>
        <v>4.9967096081839482E-2</v>
      </c>
      <c r="I18476">
        <v>4.996709608183985E-2</v>
      </c>
    </row>
    <row r="18477" spans="1:9" x14ac:dyDescent="0.25">
      <c r="A18477">
        <v>571</v>
      </c>
      <c r="B18477" t="s">
        <v>4495</v>
      </c>
      <c r="C18477" t="s">
        <v>10</v>
      </c>
      <c r="D18477" t="s">
        <v>19</v>
      </c>
      <c r="E18477">
        <f t="shared" si="882"/>
        <v>1.0309278350515464E-2</v>
      </c>
      <c r="F18477">
        <v>220</v>
      </c>
      <c r="G18477">
        <f>LOG(382/(220+1))</f>
        <v>0.23767108922659805</v>
      </c>
      <c r="H18477">
        <f>0.0103092783505154*0.547257907088822</f>
        <v>5.6418340936991614E-3</v>
      </c>
      <c r="I18477">
        <v>5.6418340936992004E-3</v>
      </c>
    </row>
    <row r="18478" spans="1:9" x14ac:dyDescent="0.25">
      <c r="A18478">
        <v>571</v>
      </c>
      <c r="B18478" t="s">
        <v>4495</v>
      </c>
      <c r="C18478" t="s">
        <v>10</v>
      </c>
      <c r="D18478" t="s">
        <v>195</v>
      </c>
      <c r="E18478">
        <f t="shared" si="882"/>
        <v>1.0309278350515464E-2</v>
      </c>
      <c r="F18478">
        <v>55</v>
      </c>
      <c r="G18478">
        <f>LOG(382/(55+1))</f>
        <v>0.83387533590550833</v>
      </c>
      <c r="H18478">
        <f>0.0103092783505154*1.92006891787142</f>
        <v>1.9794524926509363E-2</v>
      </c>
      <c r="I18478">
        <v>1.979452492650954E-2</v>
      </c>
    </row>
    <row r="18479" spans="1:9" x14ac:dyDescent="0.25">
      <c r="A18479">
        <v>571</v>
      </c>
      <c r="B18479" t="s">
        <v>4495</v>
      </c>
      <c r="C18479" t="s">
        <v>10</v>
      </c>
      <c r="D18479" t="s">
        <v>22</v>
      </c>
      <c r="E18479">
        <f t="shared" si="882"/>
        <v>1.0309278350515464E-2</v>
      </c>
      <c r="F18479">
        <v>259</v>
      </c>
      <c r="G18479">
        <f>LOG(382/(259+1))</f>
        <v>0.16709001494089079</v>
      </c>
      <c r="H18479">
        <f>0.0103092783505154*0.384738977591047</f>
        <v>3.9663812122788106E-3</v>
      </c>
      <c r="I18479">
        <v>3.9663812122788401E-3</v>
      </c>
    </row>
    <row r="18480" spans="1:9" x14ac:dyDescent="0.25">
      <c r="A18480">
        <v>571</v>
      </c>
      <c r="B18480" t="s">
        <v>4495</v>
      </c>
      <c r="C18480" t="s">
        <v>10</v>
      </c>
      <c r="D18480" t="s">
        <v>23</v>
      </c>
      <c r="E18480">
        <f t="shared" si="882"/>
        <v>1.0309278350515464E-2</v>
      </c>
      <c r="F18480">
        <v>275</v>
      </c>
      <c r="G18480">
        <f>LOG(382/(275+1))</f>
        <v>0.14115428084649101</v>
      </c>
      <c r="H18480">
        <f>0.0103092783505154*0.325019742889425</f>
        <v>3.3507189988600302E-3</v>
      </c>
      <c r="I18480">
        <v>3.3507189988600532E-3</v>
      </c>
    </row>
    <row r="18481" spans="1:9" x14ac:dyDescent="0.25">
      <c r="A18481">
        <v>571</v>
      </c>
      <c r="B18481" t="s">
        <v>4495</v>
      </c>
      <c r="C18481" t="s">
        <v>10</v>
      </c>
      <c r="D18481" t="s">
        <v>26</v>
      </c>
      <c r="E18481">
        <f t="shared" si="882"/>
        <v>1.0309278350515464E-2</v>
      </c>
      <c r="F18481">
        <v>40</v>
      </c>
      <c r="G18481">
        <f>LOG(382/(40+1))</f>
        <v>0.96927950619197323</v>
      </c>
      <c r="H18481">
        <f>0.0103092783505154*2.23184854190226</f>
        <v>2.300874785466233E-2</v>
      </c>
      <c r="I18481">
        <v>2.3008747854662549E-2</v>
      </c>
    </row>
    <row r="18482" spans="1:9" x14ac:dyDescent="0.25">
      <c r="A18482">
        <v>571</v>
      </c>
      <c r="B18482" t="s">
        <v>4495</v>
      </c>
      <c r="C18482" t="s">
        <v>10</v>
      </c>
      <c r="D18482" t="s">
        <v>1133</v>
      </c>
      <c r="E18482">
        <f t="shared" si="882"/>
        <v>1.0309278350515464E-2</v>
      </c>
      <c r="F18482">
        <v>5</v>
      </c>
      <c r="G18482">
        <f>LOG(382/(5+1))</f>
        <v>1.803912112528065</v>
      </c>
      <c r="H18482">
        <f>0.0103092783505154*4.15366113937852</f>
        <v>4.28212488595721E-2</v>
      </c>
      <c r="I18482">
        <v>4.2821248859572371E-2</v>
      </c>
    </row>
    <row r="18483" spans="1:9" x14ac:dyDescent="0.25">
      <c r="A18483">
        <v>571</v>
      </c>
      <c r="B18483" t="s">
        <v>4495</v>
      </c>
      <c r="C18483" t="s">
        <v>10</v>
      </c>
      <c r="D18483" t="s">
        <v>28</v>
      </c>
      <c r="E18483">
        <f>3/97</f>
        <v>3.0927835051546393E-2</v>
      </c>
      <c r="F18483">
        <v>35</v>
      </c>
      <c r="G18483">
        <f>LOG(382/(35+1))</f>
        <v>1.0257608621444214</v>
      </c>
      <c r="H18483">
        <f>0.0309278350515463*2.36190167015046</f>
        <v>7.3048505262385141E-2</v>
      </c>
      <c r="I18483">
        <v>7.3048505262385516E-2</v>
      </c>
    </row>
    <row r="18484" spans="1:9" x14ac:dyDescent="0.25">
      <c r="A18484">
        <v>571</v>
      </c>
      <c r="B18484" t="s">
        <v>4495</v>
      </c>
      <c r="C18484" t="s">
        <v>10</v>
      </c>
      <c r="D18484" t="s">
        <v>204</v>
      </c>
      <c r="E18484">
        <f t="shared" ref="E18484:E18489" si="883">1/97</f>
        <v>1.0309278350515464E-2</v>
      </c>
      <c r="F18484">
        <v>166</v>
      </c>
      <c r="G18484">
        <f>LOG(382/(166+1))</f>
        <v>0.35934689176412549</v>
      </c>
      <c r="H18484">
        <f>0.0103092783505154*0.82742679618982</f>
        <v>8.5301731565960281E-3</v>
      </c>
      <c r="I18484">
        <v>8.5301731565960836E-3</v>
      </c>
    </row>
    <row r="18485" spans="1:9" x14ac:dyDescent="0.25">
      <c r="A18485">
        <v>571</v>
      </c>
      <c r="B18485" t="s">
        <v>4495</v>
      </c>
      <c r="C18485" t="s">
        <v>10</v>
      </c>
      <c r="D18485" t="s">
        <v>76</v>
      </c>
      <c r="E18485">
        <f t="shared" si="883"/>
        <v>1.0309278350515464E-2</v>
      </c>
      <c r="F18485">
        <v>140</v>
      </c>
      <c r="G18485">
        <f>LOG(382/(140+1))</f>
        <v>0.43284425025632883</v>
      </c>
      <c r="H18485">
        <f>0.0103092783505154*0.996660718228407</f>
        <v>1.0274852765241245E-2</v>
      </c>
      <c r="I18485">
        <v>1.0274852765241311E-2</v>
      </c>
    </row>
    <row r="18486" spans="1:9" x14ac:dyDescent="0.25">
      <c r="A18486">
        <v>571</v>
      </c>
      <c r="B18486" t="s">
        <v>4495</v>
      </c>
      <c r="C18486" t="s">
        <v>10</v>
      </c>
      <c r="D18486" t="s">
        <v>939</v>
      </c>
      <c r="E18486">
        <f t="shared" si="883"/>
        <v>1.0309278350515464E-2</v>
      </c>
      <c r="F18486">
        <v>35</v>
      </c>
      <c r="G18486">
        <f>LOG(382/(35+1))</f>
        <v>1.0257608621444214</v>
      </c>
      <c r="H18486">
        <f>0.0103092783505154*2.36190167015046</f>
        <v>2.4349501754128301E-2</v>
      </c>
      <c r="I18486">
        <v>2.4349501754128509E-2</v>
      </c>
    </row>
    <row r="18487" spans="1:9" x14ac:dyDescent="0.25">
      <c r="A18487">
        <v>571</v>
      </c>
      <c r="B18487" t="s">
        <v>4495</v>
      </c>
      <c r="C18487" t="s">
        <v>10</v>
      </c>
      <c r="D18487" t="s">
        <v>78</v>
      </c>
      <c r="E18487">
        <f t="shared" si="883"/>
        <v>1.0309278350515464E-2</v>
      </c>
      <c r="F18487">
        <v>122</v>
      </c>
      <c r="G18487">
        <f>LOG(382/(122+1))</f>
        <v>0.49215825147231079</v>
      </c>
      <c r="H18487">
        <f>0.0103092783505154*1.13323625323415</f>
        <v>1.1682847971486009E-2</v>
      </c>
      <c r="I18487">
        <v>1.168284797148616E-2</v>
      </c>
    </row>
    <row r="18488" spans="1:9" x14ac:dyDescent="0.25">
      <c r="A18488">
        <v>571</v>
      </c>
      <c r="B18488" t="s">
        <v>4495</v>
      </c>
      <c r="C18488" t="s">
        <v>10</v>
      </c>
      <c r="D18488" t="s">
        <v>483</v>
      </c>
      <c r="E18488">
        <f t="shared" si="883"/>
        <v>1.0309278350515464E-2</v>
      </c>
      <c r="F18488">
        <v>61</v>
      </c>
      <c r="G18488">
        <f>LOG(382/(61+1))</f>
        <v>0.7896716734134549</v>
      </c>
      <c r="H18488">
        <f>0.0103092783505154*1.81828622356148</f>
        <v>1.874521879960277E-2</v>
      </c>
      <c r="I18488">
        <v>1.874521879960292E-2</v>
      </c>
    </row>
    <row r="18489" spans="1:9" x14ac:dyDescent="0.25">
      <c r="A18489">
        <v>571</v>
      </c>
      <c r="B18489" t="s">
        <v>4495</v>
      </c>
      <c r="C18489" t="s">
        <v>10</v>
      </c>
      <c r="D18489" t="s">
        <v>1398</v>
      </c>
      <c r="E18489">
        <f t="shared" si="883"/>
        <v>1.0309278350515464E-2</v>
      </c>
      <c r="F18489">
        <v>29</v>
      </c>
      <c r="G18489">
        <f>LOG(382/(29+1))</f>
        <v>1.1049421081920463</v>
      </c>
      <c r="H18489">
        <f>0.0103092783505154*2.54422322694442</f>
        <v>2.6229105432416536E-2</v>
      </c>
      <c r="I18489">
        <v>2.6229105432416699E-2</v>
      </c>
    </row>
    <row r="18490" spans="1:9" x14ac:dyDescent="0.25">
      <c r="A18490">
        <v>571</v>
      </c>
      <c r="B18490" t="s">
        <v>4495</v>
      </c>
      <c r="C18490" t="s">
        <v>10</v>
      </c>
      <c r="D18490" t="s">
        <v>542</v>
      </c>
      <c r="E18490">
        <f>2/97</f>
        <v>2.0618556701030927E-2</v>
      </c>
      <c r="F18490">
        <v>42</v>
      </c>
      <c r="G18490">
        <f>LOG(382/(42+1))</f>
        <v>0.94859490733212215</v>
      </c>
      <c r="H18490">
        <f>0.0206185567010309*2.18422049291301</f>
        <v>4.5035474080680551E-2</v>
      </c>
      <c r="I18490">
        <v>4.5035474080680683E-2</v>
      </c>
    </row>
    <row r="18491" spans="1:9" x14ac:dyDescent="0.25">
      <c r="A18491">
        <v>571</v>
      </c>
      <c r="B18491" t="s">
        <v>4495</v>
      </c>
      <c r="C18491" t="s">
        <v>10</v>
      </c>
      <c r="D18491" t="s">
        <v>1362</v>
      </c>
      <c r="E18491">
        <f t="shared" ref="E18491:E18496" si="884">1/97</f>
        <v>1.0309278350515464E-2</v>
      </c>
      <c r="F18491">
        <v>12</v>
      </c>
      <c r="G18491">
        <f>LOG(382/(12+1))</f>
        <v>1.468120010604872</v>
      </c>
      <c r="H18491">
        <f>0.0103092783505154*3.38047125114503</f>
        <v>3.4850219083969167E-2</v>
      </c>
      <c r="I18491">
        <v>3.4850219083969472E-2</v>
      </c>
    </row>
    <row r="18492" spans="1:9" x14ac:dyDescent="0.25">
      <c r="A18492">
        <v>571</v>
      </c>
      <c r="B18492" t="s">
        <v>4495</v>
      </c>
      <c r="C18492" t="s">
        <v>10</v>
      </c>
      <c r="D18492" t="s">
        <v>1472</v>
      </c>
      <c r="E18492">
        <f t="shared" si="884"/>
        <v>1.0309278350515464E-2</v>
      </c>
      <c r="F18492">
        <v>7</v>
      </c>
      <c r="G18492">
        <f>LOG(382/(7+1))</f>
        <v>1.6789733759197651</v>
      </c>
      <c r="H18492">
        <f>0.0103092783505154*3.86597906692673</f>
        <v>3.9855454298213466E-2</v>
      </c>
      <c r="I18492">
        <v>3.9855454298213813E-2</v>
      </c>
    </row>
    <row r="18493" spans="1:9" x14ac:dyDescent="0.25">
      <c r="A18493">
        <v>571</v>
      </c>
      <c r="B18493" t="s">
        <v>4495</v>
      </c>
      <c r="C18493" t="s">
        <v>10</v>
      </c>
      <c r="D18493" t="s">
        <v>814</v>
      </c>
      <c r="E18493">
        <f t="shared" si="884"/>
        <v>1.0309278350515464E-2</v>
      </c>
      <c r="F18493">
        <v>18</v>
      </c>
      <c r="G18493">
        <f>LOG(382/(18+1))</f>
        <v>1.3033097619588798</v>
      </c>
      <c r="H18493">
        <f>0.0103092783505154*3.00098162944013</f>
        <v>3.0937954942681561E-2</v>
      </c>
      <c r="I18493">
        <v>3.0937954942681801E-2</v>
      </c>
    </row>
    <row r="18494" spans="1:9" x14ac:dyDescent="0.25">
      <c r="A18494">
        <v>571</v>
      </c>
      <c r="B18494" t="s">
        <v>4495</v>
      </c>
      <c r="C18494" t="s">
        <v>10</v>
      </c>
      <c r="D18494" t="s">
        <v>1401</v>
      </c>
      <c r="E18494">
        <f t="shared" si="884"/>
        <v>1.0309278350515464E-2</v>
      </c>
      <c r="F18494">
        <v>16</v>
      </c>
      <c r="G18494">
        <f>LOG(382/(16+1))</f>
        <v>1.3516144415334348</v>
      </c>
      <c r="H18494">
        <f>0.0103092783505154*3.11220726455035</f>
        <v>3.2084610974745673E-2</v>
      </c>
      <c r="I18494">
        <v>3.2084610974745971E-2</v>
      </c>
    </row>
    <row r="18495" spans="1:9" x14ac:dyDescent="0.25">
      <c r="A18495">
        <v>571</v>
      </c>
      <c r="B18495" t="s">
        <v>4495</v>
      </c>
      <c r="C18495" t="s">
        <v>10</v>
      </c>
      <c r="D18495" t="s">
        <v>1478</v>
      </c>
      <c r="E18495">
        <f t="shared" si="884"/>
        <v>1.0309278350515464E-2</v>
      </c>
      <c r="F18495">
        <v>17</v>
      </c>
      <c r="G18495">
        <f>LOG(382/(17+1))</f>
        <v>1.3267908578084027</v>
      </c>
      <c r="H18495">
        <f>0.0103092783505154*3.05504885071041</f>
        <v>3.1495348976395783E-2</v>
      </c>
      <c r="I18495">
        <v>3.1495348976395977E-2</v>
      </c>
    </row>
    <row r="18496" spans="1:9" x14ac:dyDescent="0.25">
      <c r="A18496">
        <v>571</v>
      </c>
      <c r="B18496" t="s">
        <v>4495</v>
      </c>
      <c r="C18496" t="s">
        <v>10</v>
      </c>
      <c r="D18496" t="s">
        <v>4497</v>
      </c>
      <c r="E18496">
        <f t="shared" si="884"/>
        <v>1.0309278350515464E-2</v>
      </c>
      <c r="F18496">
        <v>1</v>
      </c>
      <c r="G18496">
        <f>LOG(382/(1+1))</f>
        <v>2.2810333672477277</v>
      </c>
      <c r="H18496">
        <f>0.0103092783505154*5.25227342804663</f>
        <v>5.4147148742748424E-2</v>
      </c>
      <c r="I18496">
        <v>5.4147148742748757E-2</v>
      </c>
    </row>
    <row r="18497" spans="1:9" x14ac:dyDescent="0.25">
      <c r="A18497">
        <v>571</v>
      </c>
      <c r="B18497" t="s">
        <v>4495</v>
      </c>
      <c r="C18497" t="s">
        <v>10</v>
      </c>
      <c r="D18497" t="s">
        <v>779</v>
      </c>
      <c r="E18497">
        <f>2/97</f>
        <v>2.0618556701030927E-2</v>
      </c>
      <c r="F18497">
        <v>25</v>
      </c>
      <c r="G18497">
        <f>LOG(382/(25+1))</f>
        <v>1.1670900149408907</v>
      </c>
      <c r="H18497">
        <f>0.0206185567010309*2.68732407058509</f>
        <v>5.540874372340384E-2</v>
      </c>
      <c r="I18497">
        <v>5.5408743723403979E-2</v>
      </c>
    </row>
    <row r="18498" spans="1:9" x14ac:dyDescent="0.25">
      <c r="A18498">
        <v>571</v>
      </c>
      <c r="B18498" t="s">
        <v>4495</v>
      </c>
      <c r="C18498" t="s">
        <v>10</v>
      </c>
      <c r="D18498" t="s">
        <v>1405</v>
      </c>
      <c r="E18498">
        <f>1/97</f>
        <v>1.0309278350515464E-2</v>
      </c>
      <c r="F18498">
        <v>14</v>
      </c>
      <c r="G18498">
        <f>LOG(382/(14+1))</f>
        <v>1.4059721038560276</v>
      </c>
      <c r="H18498">
        <f>0.0103092783505154*3.23737040750436</f>
        <v>3.3374952654683918E-2</v>
      </c>
      <c r="I18498">
        <v>3.3374952654684167E-2</v>
      </c>
    </row>
    <row r="18499" spans="1:9" x14ac:dyDescent="0.25">
      <c r="A18499">
        <v>571</v>
      </c>
      <c r="B18499" t="s">
        <v>4495</v>
      </c>
      <c r="C18499" t="s">
        <v>10</v>
      </c>
      <c r="D18499" t="s">
        <v>360</v>
      </c>
      <c r="E18499">
        <f>1/97</f>
        <v>1.0309278350515464E-2</v>
      </c>
      <c r="F18499">
        <v>15</v>
      </c>
      <c r="G18499">
        <f>LOG(382/(15+1))</f>
        <v>1.3779433802557839</v>
      </c>
      <c r="H18499">
        <f>0.0103092783505154*3.17283188636679</f>
        <v>3.2709607075946084E-2</v>
      </c>
      <c r="I18499">
        <v>3.2709607075946327E-2</v>
      </c>
    </row>
    <row r="18500" spans="1:9" x14ac:dyDescent="0.25">
      <c r="A18500">
        <v>571</v>
      </c>
      <c r="B18500" t="s">
        <v>4495</v>
      </c>
      <c r="C18500" t="s">
        <v>10</v>
      </c>
      <c r="D18500" t="s">
        <v>361</v>
      </c>
      <c r="E18500">
        <f>1/97</f>
        <v>1.0309278350515464E-2</v>
      </c>
      <c r="F18500">
        <v>118</v>
      </c>
      <c r="G18500">
        <f>LOG(382/(118+1))</f>
        <v>0.50651640151917798</v>
      </c>
      <c r="H18500">
        <f>0.0103092783505154*1.16629711549504</f>
        <v>1.2023681603041573E-2</v>
      </c>
      <c r="I18500">
        <v>1.202368160304171E-2</v>
      </c>
    </row>
    <row r="18501" spans="1:9" x14ac:dyDescent="0.25">
      <c r="A18501">
        <v>571</v>
      </c>
      <c r="B18501" t="s">
        <v>4495</v>
      </c>
      <c r="C18501" t="s">
        <v>10</v>
      </c>
      <c r="D18501" t="s">
        <v>4498</v>
      </c>
      <c r="E18501">
        <f>1/97</f>
        <v>1.0309278350515464E-2</v>
      </c>
      <c r="F18501">
        <v>1</v>
      </c>
      <c r="G18501">
        <f>LOG(382/(1+1))</f>
        <v>2.2810333672477277</v>
      </c>
      <c r="H18501">
        <f>0.0103092783505154*5.25227342804663</f>
        <v>5.4147148742748424E-2</v>
      </c>
      <c r="I18501">
        <v>5.4147148742748757E-2</v>
      </c>
    </row>
    <row r="18502" spans="1:9" x14ac:dyDescent="0.25">
      <c r="A18502">
        <v>571</v>
      </c>
      <c r="B18502" t="s">
        <v>4495</v>
      </c>
      <c r="C18502" t="s">
        <v>10</v>
      </c>
      <c r="D18502" t="s">
        <v>2147</v>
      </c>
      <c r="E18502">
        <f>1/97</f>
        <v>1.0309278350515464E-2</v>
      </c>
      <c r="F18502">
        <v>2</v>
      </c>
      <c r="G18502">
        <f>LOG(382/(2+1))</f>
        <v>2.1049421081920463</v>
      </c>
      <c r="H18502">
        <f>0.0103092783505154*4.84680831993846</f>
        <v>4.9967096081839482E-2</v>
      </c>
      <c r="I18502">
        <v>4.996709608183985E-2</v>
      </c>
    </row>
    <row r="18503" spans="1:9" x14ac:dyDescent="0.25">
      <c r="A18503">
        <v>571</v>
      </c>
      <c r="B18503" t="s">
        <v>4495</v>
      </c>
      <c r="C18503" t="s">
        <v>10</v>
      </c>
      <c r="D18503" t="s">
        <v>600</v>
      </c>
      <c r="E18503">
        <f>3/97</f>
        <v>3.0927835051546393E-2</v>
      </c>
      <c r="F18503">
        <v>102</v>
      </c>
      <c r="G18503">
        <f>LOG(382/(102+1))</f>
        <v>0.56922613820653656</v>
      </c>
      <c r="H18503">
        <f>0.0309278350515463*1.31069162037693</f>
        <v>4.0536854238461636E-2</v>
      </c>
      <c r="I18503">
        <v>4.0536854238462053E-2</v>
      </c>
    </row>
    <row r="18504" spans="1:9" x14ac:dyDescent="0.25">
      <c r="A18504">
        <v>571</v>
      </c>
      <c r="B18504" t="s">
        <v>4495</v>
      </c>
      <c r="C18504" t="s">
        <v>10</v>
      </c>
      <c r="D18504" t="s">
        <v>144</v>
      </c>
      <c r="E18504">
        <f>1/97</f>
        <v>1.0309278350515464E-2</v>
      </c>
      <c r="F18504">
        <v>105</v>
      </c>
      <c r="G18504">
        <f>LOG(382/(105+1))</f>
        <v>0.55675749764693849</v>
      </c>
      <c r="H18504">
        <f>0.0103092783505154*1.2819815144945</f>
        <v>1.3216304273139093E-2</v>
      </c>
      <c r="I18504">
        <v>1.3216304273139259E-2</v>
      </c>
    </row>
    <row r="18505" spans="1:9" x14ac:dyDescent="0.25">
      <c r="A18505">
        <v>571</v>
      </c>
      <c r="B18505" t="s">
        <v>4495</v>
      </c>
      <c r="C18505" t="s">
        <v>10</v>
      </c>
      <c r="D18505" t="s">
        <v>230</v>
      </c>
      <c r="E18505">
        <f>1/97</f>
        <v>1.0309278350515464E-2</v>
      </c>
      <c r="F18505">
        <v>9</v>
      </c>
      <c r="G18505">
        <f>LOG(382/(9+1))</f>
        <v>1.5820633629117087</v>
      </c>
      <c r="H18505">
        <f>0.0103092783505154*3.64283551561252</f>
        <v>3.7555005315592756E-2</v>
      </c>
      <c r="I18505">
        <v>3.7555005315593089E-2</v>
      </c>
    </row>
    <row r="18506" spans="1:9" x14ac:dyDescent="0.25">
      <c r="A18506">
        <v>571</v>
      </c>
      <c r="B18506" t="s">
        <v>4495</v>
      </c>
      <c r="C18506" t="s">
        <v>10</v>
      </c>
      <c r="D18506" t="s">
        <v>2172</v>
      </c>
      <c r="E18506">
        <f>2/97</f>
        <v>2.0618556701030927E-2</v>
      </c>
      <c r="F18506">
        <v>2</v>
      </c>
      <c r="G18506">
        <f>LOG(382/(2+1))</f>
        <v>2.1049421081920463</v>
      </c>
      <c r="H18506">
        <f>0.0206185567010309*4.84680831993846</f>
        <v>9.993419216367945E-2</v>
      </c>
      <c r="I18506">
        <v>9.99341921636797E-2</v>
      </c>
    </row>
    <row r="18507" spans="1:9" x14ac:dyDescent="0.25">
      <c r="A18507">
        <v>571</v>
      </c>
      <c r="B18507" t="s">
        <v>4495</v>
      </c>
      <c r="C18507" t="s">
        <v>10</v>
      </c>
      <c r="D18507" t="s">
        <v>928</v>
      </c>
      <c r="E18507">
        <f>1/97</f>
        <v>1.0309278350515464E-2</v>
      </c>
      <c r="F18507">
        <v>5</v>
      </c>
      <c r="G18507">
        <f>LOG(382/(5+1))</f>
        <v>1.803912112528065</v>
      </c>
      <c r="H18507">
        <f>0.0103092783505154*4.15366113937852</f>
        <v>4.28212488595721E-2</v>
      </c>
      <c r="I18507">
        <v>4.2821248859572371E-2</v>
      </c>
    </row>
    <row r="18508" spans="1:9" x14ac:dyDescent="0.25">
      <c r="A18508">
        <v>571</v>
      </c>
      <c r="B18508" t="s">
        <v>4495</v>
      </c>
      <c r="C18508" t="s">
        <v>10</v>
      </c>
      <c r="D18508" t="s">
        <v>324</v>
      </c>
      <c r="E18508">
        <f>1/97</f>
        <v>1.0309278350515464E-2</v>
      </c>
      <c r="F18508">
        <v>82</v>
      </c>
      <c r="G18508">
        <f>LOG(382/(82+1))</f>
        <v>0.66298527053563483</v>
      </c>
      <c r="H18508">
        <f>0.0103092783505154*1.52658000080997</f>
        <v>1.5737938152680004E-2</v>
      </c>
      <c r="I18508">
        <v>1.5737938152680181E-2</v>
      </c>
    </row>
    <row r="18509" spans="1:9" x14ac:dyDescent="0.25">
      <c r="A18509">
        <v>571</v>
      </c>
      <c r="B18509" t="s">
        <v>4495</v>
      </c>
      <c r="C18509" t="s">
        <v>10</v>
      </c>
      <c r="D18509" t="s">
        <v>1222</v>
      </c>
      <c r="E18509">
        <f>2/97</f>
        <v>2.0618556701030927E-2</v>
      </c>
      <c r="F18509">
        <v>56</v>
      </c>
      <c r="G18509">
        <f>LOG(382/(56+1))</f>
        <v>0.82618850723921733</v>
      </c>
      <c r="H18509">
        <f>0.0206185567010309*1.90236934077202</f>
        <v>3.9224110119010669E-2</v>
      </c>
      <c r="I18509">
        <v>3.9224110119010822E-2</v>
      </c>
    </row>
    <row r="18510" spans="1:9" x14ac:dyDescent="0.25">
      <c r="A18510">
        <v>571</v>
      </c>
      <c r="B18510" t="s">
        <v>4495</v>
      </c>
      <c r="C18510" t="s">
        <v>10</v>
      </c>
      <c r="D18510" t="s">
        <v>187</v>
      </c>
      <c r="E18510">
        <f>1/97</f>
        <v>1.0309278350515464E-2</v>
      </c>
      <c r="F18510">
        <v>21</v>
      </c>
      <c r="G18510">
        <f>LOG(382/(21+1))</f>
        <v>1.2396406820895025</v>
      </c>
      <c r="H18510">
        <f>0.0103092783505154*2.85437815524825</f>
        <v>2.9426578920084868E-2</v>
      </c>
      <c r="I18510">
        <v>2.9426578920085149E-2</v>
      </c>
    </row>
    <row r="18511" spans="1:9" x14ac:dyDescent="0.25">
      <c r="A18511">
        <v>571</v>
      </c>
      <c r="B18511" t="s">
        <v>4495</v>
      </c>
      <c r="C18511" t="s">
        <v>10</v>
      </c>
      <c r="D18511" t="s">
        <v>1986</v>
      </c>
      <c r="E18511">
        <f>1/97</f>
        <v>1.0309278350515464E-2</v>
      </c>
      <c r="F18511">
        <v>5</v>
      </c>
      <c r="G18511">
        <f>LOG(382/(5+1))</f>
        <v>1.803912112528065</v>
      </c>
      <c r="H18511">
        <f>0.0103092783505154*4.15366113937852</f>
        <v>4.28212488595721E-2</v>
      </c>
      <c r="I18511">
        <v>4.2821248859572371E-2</v>
      </c>
    </row>
    <row r="18512" spans="1:9" x14ac:dyDescent="0.25">
      <c r="A18512">
        <v>571</v>
      </c>
      <c r="B18512" t="s">
        <v>4495</v>
      </c>
      <c r="C18512" t="s">
        <v>10</v>
      </c>
      <c r="D18512" t="s">
        <v>4499</v>
      </c>
      <c r="E18512">
        <f>1/97</f>
        <v>1.0309278350515464E-2</v>
      </c>
      <c r="F18512">
        <v>2</v>
      </c>
      <c r="G18512">
        <f>LOG(382/(2+1))</f>
        <v>2.1049421081920463</v>
      </c>
      <c r="H18512">
        <f>0.0103092783505154*4.84680831993846</f>
        <v>4.9967096081839482E-2</v>
      </c>
      <c r="I18512">
        <v>4.996709608183985E-2</v>
      </c>
    </row>
    <row r="18513" spans="1:9" x14ac:dyDescent="0.25">
      <c r="A18513">
        <v>571</v>
      </c>
      <c r="B18513" t="s">
        <v>4495</v>
      </c>
      <c r="C18513" t="s">
        <v>10</v>
      </c>
      <c r="D18513" t="s">
        <v>399</v>
      </c>
      <c r="E18513">
        <f>1/97</f>
        <v>1.0309278350515464E-2</v>
      </c>
      <c r="F18513">
        <v>27</v>
      </c>
      <c r="G18513">
        <f>LOG(382/(27+1))</f>
        <v>1.1349053315694895</v>
      </c>
      <c r="H18513">
        <f>0.0103092783505154*2.61321609843137</f>
        <v>2.6940372148776842E-2</v>
      </c>
      <c r="I18513">
        <v>2.6940372148777019E-2</v>
      </c>
    </row>
    <row r="18514" spans="1:9" x14ac:dyDescent="0.25">
      <c r="A18514">
        <v>571</v>
      </c>
      <c r="B18514" t="s">
        <v>4495</v>
      </c>
      <c r="C18514" t="s">
        <v>10</v>
      </c>
      <c r="D18514" t="s">
        <v>322</v>
      </c>
      <c r="E18514">
        <f>1/97</f>
        <v>1.0309278350515464E-2</v>
      </c>
      <c r="F18514">
        <v>128</v>
      </c>
      <c r="G18514">
        <f>LOG(382/(128+1))</f>
        <v>0.47147365261245977</v>
      </c>
      <c r="H18514">
        <f>0.0103092783505154*1.0856082042449</f>
        <v>1.1191837157163848E-2</v>
      </c>
      <c r="I18514">
        <v>1.119183715716395E-2</v>
      </c>
    </row>
    <row r="18515" spans="1:9" x14ac:dyDescent="0.25">
      <c r="A18515">
        <v>571</v>
      </c>
      <c r="B18515" t="s">
        <v>4495</v>
      </c>
      <c r="C18515" t="s">
        <v>10</v>
      </c>
      <c r="D18515" t="s">
        <v>123</v>
      </c>
      <c r="E18515">
        <f>2/97</f>
        <v>2.0618556701030927E-2</v>
      </c>
      <c r="F18515">
        <v>74</v>
      </c>
      <c r="G18515">
        <f>LOG(382/(74+1))</f>
        <v>0.7070020995200087</v>
      </c>
      <c r="H18515">
        <f>0.0206185567010309*1.62793249507026</f>
        <v>3.3565618455056866E-2</v>
      </c>
      <c r="I18515">
        <v>3.3565618455056997E-2</v>
      </c>
    </row>
    <row r="18516" spans="1:9" x14ac:dyDescent="0.25">
      <c r="A18516">
        <v>571</v>
      </c>
      <c r="B18516" t="s">
        <v>4495</v>
      </c>
      <c r="C18516" t="s">
        <v>10</v>
      </c>
      <c r="D18516" t="s">
        <v>444</v>
      </c>
      <c r="E18516">
        <f>2/97</f>
        <v>2.0618556701030927E-2</v>
      </c>
      <c r="F18516">
        <v>28</v>
      </c>
      <c r="G18516">
        <f>LOG(382/(28+1))</f>
        <v>1.1196653650127526</v>
      </c>
      <c r="H18516">
        <f>0.0206185567010309*2.5781247786201</f>
        <v>5.3157211930311261E-2</v>
      </c>
      <c r="I18516">
        <v>5.3157211930311372E-2</v>
      </c>
    </row>
    <row r="18517" spans="1:9" x14ac:dyDescent="0.25">
      <c r="A18517">
        <v>571</v>
      </c>
      <c r="B18517" t="s">
        <v>4495</v>
      </c>
      <c r="C18517" t="s">
        <v>10</v>
      </c>
      <c r="D18517" t="s">
        <v>445</v>
      </c>
      <c r="E18517">
        <f>2/97</f>
        <v>2.0618556701030927E-2</v>
      </c>
      <c r="F18517">
        <v>35</v>
      </c>
      <c r="G18517">
        <f>LOG(382/(35+1))</f>
        <v>1.0257608621444214</v>
      </c>
      <c r="H18517">
        <f>0.0206185567010309*2.36190167015046</f>
        <v>4.8699003508256844E-2</v>
      </c>
      <c r="I18517">
        <v>4.8699003508257011E-2</v>
      </c>
    </row>
    <row r="18518" spans="1:9" x14ac:dyDescent="0.25">
      <c r="A18518">
        <v>571</v>
      </c>
      <c r="B18518" t="s">
        <v>4495</v>
      </c>
      <c r="C18518" t="s">
        <v>10</v>
      </c>
      <c r="D18518" t="s">
        <v>239</v>
      </c>
      <c r="E18518">
        <f t="shared" ref="E18518:E18540" si="885">1/97</f>
        <v>1.0309278350515464E-2</v>
      </c>
      <c r="F18518">
        <v>40</v>
      </c>
      <c r="G18518">
        <f>LOG(382/(40+1))</f>
        <v>0.96927950619197323</v>
      </c>
      <c r="H18518">
        <f>0.0103092783505154*2.23184854190226</f>
        <v>2.300874785466233E-2</v>
      </c>
      <c r="I18518">
        <v>2.3008747854662549E-2</v>
      </c>
    </row>
    <row r="18519" spans="1:9" x14ac:dyDescent="0.25">
      <c r="A18519">
        <v>571</v>
      </c>
      <c r="B18519" t="s">
        <v>4495</v>
      </c>
      <c r="C18519" t="s">
        <v>10</v>
      </c>
      <c r="D18519" t="s">
        <v>448</v>
      </c>
      <c r="E18519">
        <f t="shared" si="885"/>
        <v>1.0309278350515464E-2</v>
      </c>
      <c r="F18519">
        <v>19</v>
      </c>
      <c r="G18519">
        <f>LOG(382/(19+1))</f>
        <v>1.2810333672477277</v>
      </c>
      <c r="H18519">
        <f>0.0103092783505154*2.94968833505258</f>
        <v>3.0409158093325377E-2</v>
      </c>
      <c r="I18519">
        <v>3.040915809332561E-2</v>
      </c>
    </row>
    <row r="18520" spans="1:9" x14ac:dyDescent="0.25">
      <c r="A18520">
        <v>571</v>
      </c>
      <c r="B18520" t="s">
        <v>4495</v>
      </c>
      <c r="C18520" t="s">
        <v>10</v>
      </c>
      <c r="D18520" t="s">
        <v>4500</v>
      </c>
      <c r="E18520">
        <f t="shared" si="885"/>
        <v>1.0309278350515464E-2</v>
      </c>
      <c r="F18520">
        <v>1</v>
      </c>
      <c r="G18520">
        <f>LOG(382/(1+1))</f>
        <v>2.2810333672477277</v>
      </c>
      <c r="H18520">
        <f>0.0103092783505154*5.25227342804663</f>
        <v>5.4147148742748424E-2</v>
      </c>
      <c r="I18520">
        <v>5.4147148742748757E-2</v>
      </c>
    </row>
    <row r="18521" spans="1:9" x14ac:dyDescent="0.25">
      <c r="A18521">
        <v>571</v>
      </c>
      <c r="B18521" t="s">
        <v>4495</v>
      </c>
      <c r="C18521" t="s">
        <v>10</v>
      </c>
      <c r="D18521" t="s">
        <v>490</v>
      </c>
      <c r="E18521">
        <f t="shared" si="885"/>
        <v>1.0309278350515464E-2</v>
      </c>
      <c r="F18521">
        <v>31</v>
      </c>
      <c r="G18521">
        <f>LOG(382/(31+1))</f>
        <v>1.0769133845918029</v>
      </c>
      <c r="H18521">
        <f>0.0103092783505154*2.47968470580684</f>
        <v>2.5563759853678602E-2</v>
      </c>
      <c r="I18521">
        <v>2.5563759853678852E-2</v>
      </c>
    </row>
    <row r="18522" spans="1:9" x14ac:dyDescent="0.25">
      <c r="A18522">
        <v>571</v>
      </c>
      <c r="B18522" t="s">
        <v>4495</v>
      </c>
      <c r="C18522" t="s">
        <v>10</v>
      </c>
      <c r="D18522" t="s">
        <v>1073</v>
      </c>
      <c r="E18522">
        <f t="shared" si="885"/>
        <v>1.0309278350515464E-2</v>
      </c>
      <c r="F18522">
        <v>25</v>
      </c>
      <c r="G18522">
        <f>LOG(382/(25+1))</f>
        <v>1.1670900149408907</v>
      </c>
      <c r="H18522">
        <f>0.0103092783505154*2.68732407058509</f>
        <v>2.7704371861701785E-2</v>
      </c>
      <c r="I18522">
        <v>2.7704371861701989E-2</v>
      </c>
    </row>
    <row r="18523" spans="1:9" x14ac:dyDescent="0.25">
      <c r="A18523">
        <v>571</v>
      </c>
      <c r="B18523" t="s">
        <v>4495</v>
      </c>
      <c r="C18523" t="s">
        <v>10</v>
      </c>
      <c r="D18523" t="s">
        <v>1974</v>
      </c>
      <c r="E18523">
        <f t="shared" si="885"/>
        <v>1.0309278350515464E-2</v>
      </c>
      <c r="F18523">
        <v>9</v>
      </c>
      <c r="G18523">
        <f>LOG(382/(9+1))</f>
        <v>1.5820633629117087</v>
      </c>
      <c r="H18523">
        <f>0.0103092783505154*3.64283551561252</f>
        <v>3.7555005315592756E-2</v>
      </c>
      <c r="I18523">
        <v>3.7555005315593089E-2</v>
      </c>
    </row>
    <row r="18524" spans="1:9" x14ac:dyDescent="0.25">
      <c r="A18524">
        <v>571</v>
      </c>
      <c r="B18524" t="s">
        <v>4495</v>
      </c>
      <c r="C18524" t="s">
        <v>10</v>
      </c>
      <c r="D18524" t="s">
        <v>786</v>
      </c>
      <c r="E18524">
        <f t="shared" si="885"/>
        <v>1.0309278350515464E-2</v>
      </c>
      <c r="F18524">
        <v>11</v>
      </c>
      <c r="G18524">
        <f>LOG(382/(11+1))</f>
        <v>1.5028821168640838</v>
      </c>
      <c r="H18524">
        <f>0.0103092783505154*3.46051395881857</f>
        <v>3.5675401637304621E-2</v>
      </c>
      <c r="I18524">
        <v>3.5675401637304899E-2</v>
      </c>
    </row>
    <row r="18525" spans="1:9" x14ac:dyDescent="0.25">
      <c r="A18525">
        <v>571</v>
      </c>
      <c r="B18525" t="s">
        <v>4495</v>
      </c>
      <c r="C18525" t="s">
        <v>10</v>
      </c>
      <c r="D18525" t="s">
        <v>4501</v>
      </c>
      <c r="E18525">
        <f t="shared" si="885"/>
        <v>1.0309278350515464E-2</v>
      </c>
      <c r="F18525">
        <v>1</v>
      </c>
      <c r="G18525">
        <f>LOG(382/(1+1))</f>
        <v>2.2810333672477277</v>
      </c>
      <c r="H18525">
        <f>0.0103092783505154*5.25227342804663</f>
        <v>5.4147148742748424E-2</v>
      </c>
      <c r="I18525">
        <v>5.4147148742748757E-2</v>
      </c>
    </row>
    <row r="18526" spans="1:9" x14ac:dyDescent="0.25">
      <c r="A18526">
        <v>571</v>
      </c>
      <c r="B18526" t="s">
        <v>4495</v>
      </c>
      <c r="C18526" t="s">
        <v>10</v>
      </c>
      <c r="D18526" t="s">
        <v>237</v>
      </c>
      <c r="E18526">
        <f t="shared" si="885"/>
        <v>1.0309278350515464E-2</v>
      </c>
      <c r="F18526">
        <v>138</v>
      </c>
      <c r="G18526">
        <f>LOG(382/(138+1))</f>
        <v>0.43904856265761361</v>
      </c>
      <c r="H18526">
        <f>0.0103092783505154*1.01094667547588</f>
        <v>1.0422130675009007E-2</v>
      </c>
      <c r="I18526">
        <v>1.0422130675009109E-2</v>
      </c>
    </row>
    <row r="18527" spans="1:9" x14ac:dyDescent="0.25">
      <c r="A18527">
        <v>571</v>
      </c>
      <c r="B18527" t="s">
        <v>4495</v>
      </c>
      <c r="C18527" t="s">
        <v>10</v>
      </c>
      <c r="D18527" t="s">
        <v>133</v>
      </c>
      <c r="E18527">
        <f t="shared" si="885"/>
        <v>1.0309278350515464E-2</v>
      </c>
      <c r="F18527">
        <v>142</v>
      </c>
      <c r="G18527">
        <f>LOG(382/(142+1))</f>
        <v>0.42672732544664693</v>
      </c>
      <c r="H18527">
        <f>0.0103092783505154*0.982575978346667</f>
        <v>1.0129649261305782E-2</v>
      </c>
      <c r="I18527">
        <v>1.0129649261305849E-2</v>
      </c>
    </row>
    <row r="18528" spans="1:9" x14ac:dyDescent="0.25">
      <c r="A18528">
        <v>571</v>
      </c>
      <c r="B18528" t="s">
        <v>4495</v>
      </c>
      <c r="C18528" t="s">
        <v>10</v>
      </c>
      <c r="D18528" t="s">
        <v>77</v>
      </c>
      <c r="E18528">
        <f t="shared" si="885"/>
        <v>1.0309278350515464E-2</v>
      </c>
      <c r="F18528">
        <v>148</v>
      </c>
      <c r="G18528">
        <f>LOG(382/(148+1))</f>
        <v>0.40887709449943471</v>
      </c>
      <c r="H18528">
        <f>0.0103092783505154*0.941474302661116</f>
        <v>9.7059206459908266E-3</v>
      </c>
      <c r="I18528">
        <v>9.7059206459908873E-3</v>
      </c>
    </row>
    <row r="18529" spans="1:9" x14ac:dyDescent="0.25">
      <c r="A18529">
        <v>571</v>
      </c>
      <c r="B18529" t="s">
        <v>4495</v>
      </c>
      <c r="C18529" t="s">
        <v>10</v>
      </c>
      <c r="D18529" t="s">
        <v>331</v>
      </c>
      <c r="E18529">
        <f t="shared" si="885"/>
        <v>1.0309278350515464E-2</v>
      </c>
      <c r="F18529">
        <v>130</v>
      </c>
      <c r="G18529">
        <f>LOG(382/(130+1))</f>
        <v>0.46479206725594452</v>
      </c>
      <c r="H18529">
        <f>0.0103092783505154*1.07022328540542</f>
        <v>1.103322974644756E-2</v>
      </c>
      <c r="I18529">
        <v>1.103322974644767E-2</v>
      </c>
    </row>
    <row r="18530" spans="1:9" x14ac:dyDescent="0.25">
      <c r="A18530">
        <v>571</v>
      </c>
      <c r="B18530" t="s">
        <v>4495</v>
      </c>
      <c r="C18530" t="s">
        <v>10</v>
      </c>
      <c r="D18530" t="s">
        <v>594</v>
      </c>
      <c r="E18530">
        <f t="shared" si="885"/>
        <v>1.0309278350515464E-2</v>
      </c>
      <c r="F18530">
        <v>36</v>
      </c>
      <c r="G18530">
        <f>LOG(382/(36+1))</f>
        <v>1.0138616388447137</v>
      </c>
      <c r="H18530">
        <f>0.0103092783505154*2.33450269596235</f>
        <v>2.406703810270449E-2</v>
      </c>
      <c r="I18530">
        <v>2.4067038102704649E-2</v>
      </c>
    </row>
    <row r="18531" spans="1:9" x14ac:dyDescent="0.25">
      <c r="A18531">
        <v>571</v>
      </c>
      <c r="B18531" t="s">
        <v>4495</v>
      </c>
      <c r="C18531" t="s">
        <v>10</v>
      </c>
      <c r="D18531" t="s">
        <v>2600</v>
      </c>
      <c r="E18531">
        <f t="shared" si="885"/>
        <v>1.0309278350515464E-2</v>
      </c>
      <c r="F18531">
        <v>2</v>
      </c>
      <c r="G18531">
        <f>LOG(382/(2+1))</f>
        <v>2.1049421081920463</v>
      </c>
      <c r="H18531">
        <f>0.0103092783505154*4.84680831993846</f>
        <v>4.9967096081839482E-2</v>
      </c>
      <c r="I18531">
        <v>4.996709608183985E-2</v>
      </c>
    </row>
    <row r="18532" spans="1:9" x14ac:dyDescent="0.25">
      <c r="A18532">
        <v>571</v>
      </c>
      <c r="B18532" t="s">
        <v>4495</v>
      </c>
      <c r="C18532" t="s">
        <v>10</v>
      </c>
      <c r="D18532" t="s">
        <v>216</v>
      </c>
      <c r="E18532">
        <f t="shared" si="885"/>
        <v>1.0309278350515464E-2</v>
      </c>
      <c r="F18532">
        <v>63</v>
      </c>
      <c r="G18532">
        <f>LOG(382/(63+1))</f>
        <v>0.7758833889278216</v>
      </c>
      <c r="H18532">
        <f>0.0103092783505154*1.7865375252469</f>
        <v>1.8417912631411227E-2</v>
      </c>
      <c r="I18532">
        <v>1.8417912631411369E-2</v>
      </c>
    </row>
    <row r="18533" spans="1:9" x14ac:dyDescent="0.25">
      <c r="A18533">
        <v>571</v>
      </c>
      <c r="B18533" t="s">
        <v>4495</v>
      </c>
      <c r="C18533" t="s">
        <v>10</v>
      </c>
      <c r="D18533" t="s">
        <v>217</v>
      </c>
      <c r="E18533">
        <f t="shared" si="885"/>
        <v>1.0309278350515464E-2</v>
      </c>
      <c r="F18533">
        <v>12</v>
      </c>
      <c r="G18533">
        <f>LOG(382/(12+1))</f>
        <v>1.468120010604872</v>
      </c>
      <c r="H18533">
        <f>0.0103092783505154*3.38047125114503</f>
        <v>3.4850219083969167E-2</v>
      </c>
      <c r="I18533">
        <v>3.4850219083969472E-2</v>
      </c>
    </row>
    <row r="18534" spans="1:9" x14ac:dyDescent="0.25">
      <c r="A18534">
        <v>571</v>
      </c>
      <c r="B18534" t="s">
        <v>4495</v>
      </c>
      <c r="C18534" t="s">
        <v>10</v>
      </c>
      <c r="D18534" t="s">
        <v>937</v>
      </c>
      <c r="E18534">
        <f t="shared" si="885"/>
        <v>1.0309278350515464E-2</v>
      </c>
      <c r="F18534">
        <v>41</v>
      </c>
      <c r="G18534">
        <f>LOG(382/(41+1))</f>
        <v>0.95881407251380824</v>
      </c>
      <c r="H18534">
        <f>0.0103092783505154*2.2077509903232</f>
        <v>2.27603194878679E-2</v>
      </c>
      <c r="I18534">
        <v>2.2760319487868112E-2</v>
      </c>
    </row>
    <row r="18535" spans="1:9" x14ac:dyDescent="0.25">
      <c r="A18535">
        <v>571</v>
      </c>
      <c r="B18535" t="s">
        <v>4495</v>
      </c>
      <c r="C18535" t="s">
        <v>10</v>
      </c>
      <c r="D18535" t="s">
        <v>438</v>
      </c>
      <c r="E18535">
        <f t="shared" si="885"/>
        <v>1.0309278350515464E-2</v>
      </c>
      <c r="F18535">
        <v>37</v>
      </c>
      <c r="G18535">
        <f>LOG(382/(37+1))</f>
        <v>1.0022797662948986</v>
      </c>
      <c r="H18535">
        <f>0.0103092783505154*2.30783444888018</f>
        <v>2.3792107720414075E-2</v>
      </c>
      <c r="I18535">
        <v>2.3792107720414318E-2</v>
      </c>
    </row>
    <row r="18536" spans="1:9" x14ac:dyDescent="0.25">
      <c r="A18536">
        <v>571</v>
      </c>
      <c r="B18536" t="s">
        <v>4495</v>
      </c>
      <c r="C18536" t="s">
        <v>10</v>
      </c>
      <c r="D18536" t="s">
        <v>1533</v>
      </c>
      <c r="E18536">
        <f t="shared" si="885"/>
        <v>1.0309278350515464E-2</v>
      </c>
      <c r="F18536">
        <v>33</v>
      </c>
      <c r="G18536">
        <f>LOG(382/(33+1))</f>
        <v>1.0505844458694535</v>
      </c>
      <c r="H18536">
        <f>0.0103092783505154*2.41906008399041</f>
        <v>2.4938763752478301E-2</v>
      </c>
      <c r="I18536">
        <v>2.4938763752478488E-2</v>
      </c>
    </row>
    <row r="18537" spans="1:9" x14ac:dyDescent="0.25">
      <c r="A18537">
        <v>571</v>
      </c>
      <c r="B18537" t="s">
        <v>4495</v>
      </c>
      <c r="C18537" t="s">
        <v>10</v>
      </c>
      <c r="D18537" t="s">
        <v>1532</v>
      </c>
      <c r="E18537">
        <f t="shared" si="885"/>
        <v>1.0309278350515464E-2</v>
      </c>
      <c r="F18537">
        <v>28</v>
      </c>
      <c r="G18537">
        <f>LOG(382/(28+1))</f>
        <v>1.1196653650127526</v>
      </c>
      <c r="H18537">
        <f>0.0103092783505154*2.5781247786201</f>
        <v>2.6578605965155502E-2</v>
      </c>
      <c r="I18537">
        <v>2.6578605965155679E-2</v>
      </c>
    </row>
    <row r="18538" spans="1:9" x14ac:dyDescent="0.25">
      <c r="A18538">
        <v>571</v>
      </c>
      <c r="B18538" t="s">
        <v>4495</v>
      </c>
      <c r="C18538" t="s">
        <v>10</v>
      </c>
      <c r="D18538" t="s">
        <v>241</v>
      </c>
      <c r="E18538">
        <f t="shared" si="885"/>
        <v>1.0309278350515464E-2</v>
      </c>
      <c r="F18538">
        <v>19</v>
      </c>
      <c r="G18538">
        <f>LOG(382/(19+1))</f>
        <v>1.2810333672477277</v>
      </c>
      <c r="H18538">
        <f>0.0103092783505154*2.94968833505258</f>
        <v>3.0409158093325377E-2</v>
      </c>
      <c r="I18538">
        <v>3.040915809332561E-2</v>
      </c>
    </row>
    <row r="18539" spans="1:9" x14ac:dyDescent="0.25">
      <c r="A18539">
        <v>571</v>
      </c>
      <c r="B18539" t="s">
        <v>4495</v>
      </c>
      <c r="C18539" t="s">
        <v>10</v>
      </c>
      <c r="D18539" t="s">
        <v>4502</v>
      </c>
      <c r="E18539">
        <f t="shared" si="885"/>
        <v>1.0309278350515464E-2</v>
      </c>
      <c r="F18539">
        <v>1</v>
      </c>
      <c r="G18539">
        <f>LOG(382/(1+1))</f>
        <v>2.2810333672477277</v>
      </c>
      <c r="H18539">
        <f>0.0103092783505154*5.25227342804663</f>
        <v>5.4147148742748424E-2</v>
      </c>
      <c r="I18539">
        <v>5.4147148742748757E-2</v>
      </c>
    </row>
    <row r="18540" spans="1:9" x14ac:dyDescent="0.25">
      <c r="A18540">
        <v>571</v>
      </c>
      <c r="B18540" t="s">
        <v>4495</v>
      </c>
      <c r="C18540" t="s">
        <v>10</v>
      </c>
      <c r="D18540" t="s">
        <v>30</v>
      </c>
      <c r="E18540">
        <f t="shared" si="885"/>
        <v>1.0309278350515464E-2</v>
      </c>
      <c r="F18540">
        <v>7</v>
      </c>
      <c r="G18540">
        <f>LOG(382/(7+1))</f>
        <v>1.6789733759197651</v>
      </c>
      <c r="H18540">
        <f>0.0103092783505154*3.86597906692673</f>
        <v>3.9855454298213466E-2</v>
      </c>
      <c r="I18540">
        <v>3.9855454298213813E-2</v>
      </c>
    </row>
    <row r="18541" spans="1:9" x14ac:dyDescent="0.25">
      <c r="A18541">
        <v>572</v>
      </c>
      <c r="B18541" t="s">
        <v>4503</v>
      </c>
      <c r="C18541" t="s">
        <v>10</v>
      </c>
      <c r="D18541" t="s">
        <v>4259</v>
      </c>
      <c r="E18541">
        <f>6/86</f>
        <v>6.9767441860465115E-2</v>
      </c>
      <c r="F18541">
        <v>3</v>
      </c>
      <c r="G18541">
        <f>LOG(382/(3+1))</f>
        <v>1.9800033715837464</v>
      </c>
      <c r="H18541">
        <f>0.0697674418604651*4.55912624748668</f>
        <v>0.31807857540604739</v>
      </c>
      <c r="I18541">
        <v>0.31807857540604773</v>
      </c>
    </row>
    <row r="18542" spans="1:9" x14ac:dyDescent="0.25">
      <c r="A18542">
        <v>572</v>
      </c>
      <c r="B18542" t="s">
        <v>4503</v>
      </c>
      <c r="C18542" t="s">
        <v>10</v>
      </c>
      <c r="D18542" t="s">
        <v>152</v>
      </c>
      <c r="E18542">
        <f>5/86</f>
        <v>5.8139534883720929E-2</v>
      </c>
      <c r="F18542">
        <v>31</v>
      </c>
      <c r="G18542">
        <f>LOG(382/(31+1))</f>
        <v>1.0769133845918029</v>
      </c>
      <c r="H18542">
        <f>0.0581395348837209*2.47968470580684</f>
        <v>0.14416771545388596</v>
      </c>
      <c r="I18542">
        <v>0.14416771545388651</v>
      </c>
    </row>
    <row r="18543" spans="1:9" x14ac:dyDescent="0.25">
      <c r="A18543">
        <v>572</v>
      </c>
      <c r="B18543" t="s">
        <v>4503</v>
      </c>
      <c r="C18543" t="s">
        <v>10</v>
      </c>
      <c r="D18543" t="s">
        <v>104</v>
      </c>
      <c r="E18543">
        <f>5/86</f>
        <v>5.8139534883720929E-2</v>
      </c>
      <c r="F18543">
        <v>49</v>
      </c>
      <c r="G18543">
        <f>LOG(382/(49+1))</f>
        <v>0.88309335857568994</v>
      </c>
      <c r="H18543">
        <f>0.0581395348837209*2.03339760317842</f>
        <v>0.11822079088246622</v>
      </c>
      <c r="I18543">
        <v>0.1182207908824668</v>
      </c>
    </row>
    <row r="18544" spans="1:9" x14ac:dyDescent="0.25">
      <c r="A18544">
        <v>572</v>
      </c>
      <c r="B18544" t="s">
        <v>4503</v>
      </c>
      <c r="C18544" t="s">
        <v>10</v>
      </c>
      <c r="D18544" t="s">
        <v>4504</v>
      </c>
      <c r="E18544">
        <f>2/86</f>
        <v>2.3255813953488372E-2</v>
      </c>
      <c r="F18544">
        <v>2</v>
      </c>
      <c r="G18544">
        <f>LOG(382/(2+1))</f>
        <v>2.1049421081920463</v>
      </c>
      <c r="H18544">
        <f>0.0232558139534883*4.84680831993846</f>
        <v>0.11271647255670801</v>
      </c>
      <c r="I18544">
        <v>0.1127164725567085</v>
      </c>
    </row>
    <row r="18545" spans="1:9" x14ac:dyDescent="0.25">
      <c r="A18545">
        <v>572</v>
      </c>
      <c r="B18545" t="s">
        <v>4503</v>
      </c>
      <c r="C18545" t="s">
        <v>10</v>
      </c>
      <c r="D18545" t="s">
        <v>42</v>
      </c>
      <c r="E18545">
        <f>2/86</f>
        <v>2.3255813953488372E-2</v>
      </c>
      <c r="F18545">
        <v>251</v>
      </c>
      <c r="G18545">
        <f>LOG(382/(251+1))</f>
        <v>0.18066282213016463</v>
      </c>
      <c r="H18545">
        <f>0.0232558139534883*0.415991521095151</f>
        <v>9.6742214208174332E-3</v>
      </c>
      <c r="I18545">
        <v>9.6742214208174852E-3</v>
      </c>
    </row>
    <row r="18546" spans="1:9" x14ac:dyDescent="0.25">
      <c r="A18546">
        <v>572</v>
      </c>
      <c r="B18546" t="s">
        <v>4503</v>
      </c>
      <c r="C18546" t="s">
        <v>10</v>
      </c>
      <c r="D18546" t="s">
        <v>465</v>
      </c>
      <c r="E18546">
        <f>2/86</f>
        <v>2.3255813953488372E-2</v>
      </c>
      <c r="F18546">
        <v>36</v>
      </c>
      <c r="G18546">
        <f>LOG(382/(36+1))</f>
        <v>1.0138616388447137</v>
      </c>
      <c r="H18546">
        <f>0.0232558139534883*2.33450269596235</f>
        <v>5.4290760371217273E-2</v>
      </c>
      <c r="I18546">
        <v>5.429076037121746E-2</v>
      </c>
    </row>
    <row r="18547" spans="1:9" x14ac:dyDescent="0.25">
      <c r="A18547">
        <v>572</v>
      </c>
      <c r="B18547" t="s">
        <v>4503</v>
      </c>
      <c r="C18547" t="s">
        <v>10</v>
      </c>
      <c r="D18547" t="s">
        <v>1365</v>
      </c>
      <c r="E18547">
        <f>1/86</f>
        <v>1.1627906976744186E-2</v>
      </c>
      <c r="F18547">
        <v>4</v>
      </c>
      <c r="G18547">
        <f>LOG(382/(4+1))</f>
        <v>1.8830933585756899</v>
      </c>
      <c r="H18547">
        <f>0.0116279069767441*4.33598269617247</f>
        <v>5.0418403443865556E-2</v>
      </c>
      <c r="I18547">
        <v>5.0418403443865993E-2</v>
      </c>
    </row>
    <row r="18548" spans="1:9" x14ac:dyDescent="0.25">
      <c r="A18548">
        <v>572</v>
      </c>
      <c r="B18548" t="s">
        <v>4503</v>
      </c>
      <c r="C18548" t="s">
        <v>10</v>
      </c>
      <c r="D18548" t="s">
        <v>331</v>
      </c>
      <c r="E18548">
        <f>1/86</f>
        <v>1.1627906976744186E-2</v>
      </c>
      <c r="F18548">
        <v>130</v>
      </c>
      <c r="G18548">
        <f>LOG(382/(130+1))</f>
        <v>0.46479206725594452</v>
      </c>
      <c r="H18548">
        <f>0.0116279069767441*1.07022328540542</f>
        <v>1.2444456807039676E-2</v>
      </c>
      <c r="I18548">
        <v>1.244445680703981E-2</v>
      </c>
    </row>
    <row r="18549" spans="1:9" x14ac:dyDescent="0.25">
      <c r="A18549">
        <v>572</v>
      </c>
      <c r="B18549" t="s">
        <v>4503</v>
      </c>
      <c r="C18549" t="s">
        <v>10</v>
      </c>
      <c r="D18549" t="s">
        <v>111</v>
      </c>
      <c r="E18549">
        <f>2/86</f>
        <v>2.3255813953488372E-2</v>
      </c>
      <c r="F18549">
        <v>33</v>
      </c>
      <c r="G18549">
        <f>LOG(382/(33+1))</f>
        <v>1.0505844458694535</v>
      </c>
      <c r="H18549">
        <f>0.0232558139534883*2.41906008399041</f>
        <v>5.6257211255590758E-2</v>
      </c>
      <c r="I18549">
        <v>5.6257211255591022E-2</v>
      </c>
    </row>
    <row r="18550" spans="1:9" x14ac:dyDescent="0.25">
      <c r="A18550">
        <v>572</v>
      </c>
      <c r="B18550" t="s">
        <v>4503</v>
      </c>
      <c r="C18550" t="s">
        <v>10</v>
      </c>
      <c r="D18550" t="s">
        <v>19</v>
      </c>
      <c r="E18550">
        <f>2/86</f>
        <v>2.3255813953488372E-2</v>
      </c>
      <c r="F18550">
        <v>220</v>
      </c>
      <c r="G18550">
        <f>LOG(382/(220+1))</f>
        <v>0.23767108922659805</v>
      </c>
      <c r="H18550">
        <f>0.0232558139534883*0.547257907088822</f>
        <v>1.2726928071833031E-2</v>
      </c>
      <c r="I18550">
        <v>1.272692807183308E-2</v>
      </c>
    </row>
    <row r="18551" spans="1:9" x14ac:dyDescent="0.25">
      <c r="A18551">
        <v>572</v>
      </c>
      <c r="B18551" t="s">
        <v>4503</v>
      </c>
      <c r="C18551" t="s">
        <v>10</v>
      </c>
      <c r="D18551" t="s">
        <v>195</v>
      </c>
      <c r="E18551">
        <f>2/86</f>
        <v>2.3255813953488372E-2</v>
      </c>
      <c r="F18551">
        <v>55</v>
      </c>
      <c r="G18551">
        <f>LOG(382/(55+1))</f>
        <v>0.83387533590550833</v>
      </c>
      <c r="H18551">
        <f>0.0232558139534883*1.92006891787142</f>
        <v>4.4652765531893353E-2</v>
      </c>
      <c r="I18551">
        <v>4.4652765531893623E-2</v>
      </c>
    </row>
    <row r="18552" spans="1:9" x14ac:dyDescent="0.25">
      <c r="A18552">
        <v>572</v>
      </c>
      <c r="B18552" t="s">
        <v>4503</v>
      </c>
      <c r="C18552" t="s">
        <v>10</v>
      </c>
      <c r="D18552" t="s">
        <v>22</v>
      </c>
      <c r="E18552">
        <f>1/86</f>
        <v>1.1627906976744186E-2</v>
      </c>
      <c r="F18552">
        <v>259</v>
      </c>
      <c r="G18552">
        <f>LOG(382/(259+1))</f>
        <v>0.16709001494089079</v>
      </c>
      <c r="H18552">
        <f>0.0116279069767441*0.384738977591047</f>
        <v>4.4737090417563278E-3</v>
      </c>
      <c r="I18552">
        <v>4.4737090417563668E-3</v>
      </c>
    </row>
    <row r="18553" spans="1:9" x14ac:dyDescent="0.25">
      <c r="A18553">
        <v>572</v>
      </c>
      <c r="B18553" t="s">
        <v>4503</v>
      </c>
      <c r="C18553" t="s">
        <v>10</v>
      </c>
      <c r="D18553" t="s">
        <v>23</v>
      </c>
      <c r="E18553">
        <f>1/86</f>
        <v>1.1627906976744186E-2</v>
      </c>
      <c r="F18553">
        <v>275</v>
      </c>
      <c r="G18553">
        <f>LOG(382/(275+1))</f>
        <v>0.14115428084649101</v>
      </c>
      <c r="H18553">
        <f>0.0116279069767441*0.325019742889425</f>
        <v>3.779299335923518E-3</v>
      </c>
      <c r="I18553">
        <v>3.7792993359235479E-3</v>
      </c>
    </row>
    <row r="18554" spans="1:9" x14ac:dyDescent="0.25">
      <c r="A18554">
        <v>572</v>
      </c>
      <c r="B18554" t="s">
        <v>4503</v>
      </c>
      <c r="C18554" t="s">
        <v>10</v>
      </c>
      <c r="D18554" t="s">
        <v>105</v>
      </c>
      <c r="E18554">
        <f>1/86</f>
        <v>1.1627906976744186E-2</v>
      </c>
      <c r="F18554">
        <v>122</v>
      </c>
      <c r="G18554">
        <f>LOG(382/(122+1))</f>
        <v>0.49215825147231079</v>
      </c>
      <c r="H18554">
        <f>0.0116279069767441*1.13323625323415</f>
        <v>1.3177165735280716E-2</v>
      </c>
      <c r="I18554">
        <v>1.31771657352809E-2</v>
      </c>
    </row>
    <row r="18555" spans="1:9" x14ac:dyDescent="0.25">
      <c r="A18555">
        <v>572</v>
      </c>
      <c r="B18555" t="s">
        <v>4503</v>
      </c>
      <c r="C18555" t="s">
        <v>10</v>
      </c>
      <c r="D18555" t="s">
        <v>902</v>
      </c>
      <c r="E18555">
        <f>1/86</f>
        <v>1.1627906976744186E-2</v>
      </c>
      <c r="F18555">
        <v>5</v>
      </c>
      <c r="G18555">
        <f>LOG(382/(5+1))</f>
        <v>1.803912112528065</v>
      </c>
      <c r="H18555">
        <f>0.0116279069767441*4.15366113937852</f>
        <v>4.8298385341610336E-2</v>
      </c>
      <c r="I18555">
        <v>4.8298385341610697E-2</v>
      </c>
    </row>
    <row r="18556" spans="1:9" x14ac:dyDescent="0.25">
      <c r="A18556">
        <v>572</v>
      </c>
      <c r="B18556" t="s">
        <v>4503</v>
      </c>
      <c r="C18556" t="s">
        <v>10</v>
      </c>
      <c r="D18556" t="s">
        <v>4505</v>
      </c>
      <c r="E18556">
        <f>2/86</f>
        <v>2.3255813953488372E-2</v>
      </c>
      <c r="F18556">
        <v>1</v>
      </c>
      <c r="G18556">
        <f>LOG(382/(1+1))</f>
        <v>2.2810333672477277</v>
      </c>
      <c r="H18556">
        <f>0.0232558139534883*5.25227342804663</f>
        <v>0.12214589367550263</v>
      </c>
      <c r="I18556">
        <v>0.12214589367550301</v>
      </c>
    </row>
    <row r="18557" spans="1:9" x14ac:dyDescent="0.25">
      <c r="A18557">
        <v>572</v>
      </c>
      <c r="B18557" t="s">
        <v>4503</v>
      </c>
      <c r="C18557" t="s">
        <v>10</v>
      </c>
      <c r="D18557" t="s">
        <v>1832</v>
      </c>
      <c r="E18557">
        <f>4/86</f>
        <v>4.6511627906976744E-2</v>
      </c>
      <c r="F18557">
        <v>9</v>
      </c>
      <c r="G18557">
        <f>LOG(382/(9+1))</f>
        <v>1.5820633629117087</v>
      </c>
      <c r="H18557">
        <f>0.0465116279069767*3.64283551561252</f>
        <v>0.16943421002848916</v>
      </c>
      <c r="I18557">
        <v>0.16943421002848971</v>
      </c>
    </row>
    <row r="18558" spans="1:9" x14ac:dyDescent="0.25">
      <c r="A18558">
        <v>572</v>
      </c>
      <c r="B18558" t="s">
        <v>4503</v>
      </c>
      <c r="C18558" t="s">
        <v>10</v>
      </c>
      <c r="D18558" t="s">
        <v>924</v>
      </c>
      <c r="E18558">
        <f>1/86</f>
        <v>1.1627906976744186E-2</v>
      </c>
      <c r="F18558">
        <v>13</v>
      </c>
      <c r="G18558">
        <f>LOG(382/(13+1))</f>
        <v>1.4359353272334707</v>
      </c>
      <c r="H18558">
        <f>0.0116279069767441*3.30636327899131</f>
        <v>3.8446084639433553E-2</v>
      </c>
      <c r="I18558">
        <v>3.8446084639433907E-2</v>
      </c>
    </row>
    <row r="18559" spans="1:9" x14ac:dyDescent="0.25">
      <c r="A18559">
        <v>572</v>
      </c>
      <c r="B18559" t="s">
        <v>4503</v>
      </c>
      <c r="C18559" t="s">
        <v>10</v>
      </c>
      <c r="D18559" t="s">
        <v>26</v>
      </c>
      <c r="E18559">
        <f>1/86</f>
        <v>1.1627906976744186E-2</v>
      </c>
      <c r="F18559">
        <v>40</v>
      </c>
      <c r="G18559">
        <f>LOG(382/(40+1))</f>
        <v>0.96927950619197323</v>
      </c>
      <c r="H18559">
        <f>0.0116279069767441*2.23184854190226</f>
        <v>2.5951727231421431E-2</v>
      </c>
      <c r="I18559">
        <v>2.5951727231421709E-2</v>
      </c>
    </row>
    <row r="18560" spans="1:9" x14ac:dyDescent="0.25">
      <c r="A18560">
        <v>572</v>
      </c>
      <c r="B18560" t="s">
        <v>4503</v>
      </c>
      <c r="C18560" t="s">
        <v>10</v>
      </c>
      <c r="D18560" t="s">
        <v>2725</v>
      </c>
      <c r="E18560">
        <f>1/86</f>
        <v>1.1627906976744186E-2</v>
      </c>
      <c r="F18560">
        <v>2</v>
      </c>
      <c r="G18560">
        <f>LOG(382/(2+1))</f>
        <v>2.1049421081920463</v>
      </c>
      <c r="H18560">
        <f>0.0116279069767441*4.84680831993846</f>
        <v>5.6358236278353763E-2</v>
      </c>
      <c r="I18560">
        <v>5.6358236278354248E-2</v>
      </c>
    </row>
    <row r="18561" spans="1:9" x14ac:dyDescent="0.25">
      <c r="A18561">
        <v>572</v>
      </c>
      <c r="B18561" t="s">
        <v>4503</v>
      </c>
      <c r="C18561" t="s">
        <v>10</v>
      </c>
      <c r="D18561" t="s">
        <v>28</v>
      </c>
      <c r="E18561">
        <f>2/86</f>
        <v>2.3255813953488372E-2</v>
      </c>
      <c r="F18561">
        <v>35</v>
      </c>
      <c r="G18561">
        <f>LOG(382/(35+1))</f>
        <v>1.0257608621444214</v>
      </c>
      <c r="H18561">
        <f>0.0232558139534883*2.36190167015046</f>
        <v>5.4927945817452389E-2</v>
      </c>
      <c r="I18561">
        <v>5.4927945817452667E-2</v>
      </c>
    </row>
    <row r="18562" spans="1:9" x14ac:dyDescent="0.25">
      <c r="A18562">
        <v>572</v>
      </c>
      <c r="B18562" t="s">
        <v>4503</v>
      </c>
      <c r="C18562" t="s">
        <v>10</v>
      </c>
      <c r="D18562" t="s">
        <v>476</v>
      </c>
      <c r="E18562">
        <f t="shared" ref="E18562:E18571" si="886">1/86</f>
        <v>1.1627906976744186E-2</v>
      </c>
      <c r="F18562">
        <v>18</v>
      </c>
      <c r="G18562">
        <f>LOG(382/(18+1))</f>
        <v>1.3033097619588798</v>
      </c>
      <c r="H18562">
        <f>0.0116279069767441*3.00098162944013</f>
        <v>3.4895135226047765E-2</v>
      </c>
      <c r="I18562">
        <v>3.4895135226048077E-2</v>
      </c>
    </row>
    <row r="18563" spans="1:9" x14ac:dyDescent="0.25">
      <c r="A18563">
        <v>572</v>
      </c>
      <c r="B18563" t="s">
        <v>4503</v>
      </c>
      <c r="C18563" t="s">
        <v>10</v>
      </c>
      <c r="D18563" t="s">
        <v>929</v>
      </c>
      <c r="E18563">
        <f t="shared" si="886"/>
        <v>1.1627906976744186E-2</v>
      </c>
      <c r="F18563">
        <v>32</v>
      </c>
      <c r="G18563">
        <f>LOG(382/(32+1))</f>
        <v>1.0635494230338212</v>
      </c>
      <c r="H18563">
        <f>0.0116279069767441*2.44891304714009</f>
        <v>2.8475733106279905E-2</v>
      </c>
      <c r="I18563">
        <v>2.8475733106280179E-2</v>
      </c>
    </row>
    <row r="18564" spans="1:9" x14ac:dyDescent="0.25">
      <c r="A18564">
        <v>572</v>
      </c>
      <c r="B18564" t="s">
        <v>4503</v>
      </c>
      <c r="C18564" t="s">
        <v>10</v>
      </c>
      <c r="D18564" t="s">
        <v>485</v>
      </c>
      <c r="E18564">
        <f t="shared" si="886"/>
        <v>1.1627906976744186E-2</v>
      </c>
      <c r="F18564">
        <v>74</v>
      </c>
      <c r="G18564">
        <f>LOG(382/(74+1))</f>
        <v>0.7070020995200087</v>
      </c>
      <c r="H18564">
        <f>0.0116279069767441*1.62793249507026</f>
        <v>1.8929447617095904E-2</v>
      </c>
      <c r="I18564">
        <v>1.8929447617096098E-2</v>
      </c>
    </row>
    <row r="18565" spans="1:9" x14ac:dyDescent="0.25">
      <c r="A18565">
        <v>572</v>
      </c>
      <c r="B18565" t="s">
        <v>4503</v>
      </c>
      <c r="C18565" t="s">
        <v>10</v>
      </c>
      <c r="D18565" t="s">
        <v>4506</v>
      </c>
      <c r="E18565">
        <f t="shared" si="886"/>
        <v>1.1627906976744186E-2</v>
      </c>
      <c r="F18565">
        <v>1</v>
      </c>
      <c r="G18565">
        <f>LOG(382/(1+1))</f>
        <v>2.2810333672477277</v>
      </c>
      <c r="H18565">
        <f>0.0116279069767441*5.25227342804663</f>
        <v>6.1072946837751052E-2</v>
      </c>
      <c r="I18565">
        <v>6.107294683775151E-2</v>
      </c>
    </row>
    <row r="18566" spans="1:9" x14ac:dyDescent="0.25">
      <c r="A18566">
        <v>572</v>
      </c>
      <c r="B18566" t="s">
        <v>4503</v>
      </c>
      <c r="C18566" t="s">
        <v>10</v>
      </c>
      <c r="D18566" t="s">
        <v>930</v>
      </c>
      <c r="E18566">
        <f t="shared" si="886"/>
        <v>1.1627906976744186E-2</v>
      </c>
      <c r="F18566">
        <v>6</v>
      </c>
      <c r="G18566">
        <f>LOG(382/(6+1))</f>
        <v>1.736965322897452</v>
      </c>
      <c r="H18566">
        <f>0.0116279069767441*3.99951045955126</f>
        <v>4.6505935576177097E-2</v>
      </c>
      <c r="I18566">
        <v>4.6505935576177472E-2</v>
      </c>
    </row>
    <row r="18567" spans="1:9" x14ac:dyDescent="0.25">
      <c r="A18567">
        <v>572</v>
      </c>
      <c r="B18567" t="s">
        <v>4503</v>
      </c>
      <c r="C18567" t="s">
        <v>10</v>
      </c>
      <c r="D18567" t="s">
        <v>241</v>
      </c>
      <c r="E18567">
        <f t="shared" si="886"/>
        <v>1.1627906976744186E-2</v>
      </c>
      <c r="F18567">
        <v>19</v>
      </c>
      <c r="G18567">
        <f>LOG(382/(19+1))</f>
        <v>1.2810333672477277</v>
      </c>
      <c r="H18567">
        <f>0.0116279069767441*2.94968833505258</f>
        <v>3.4298701570378579E-2</v>
      </c>
      <c r="I18567">
        <v>3.4298701570378891E-2</v>
      </c>
    </row>
    <row r="18568" spans="1:9" x14ac:dyDescent="0.25">
      <c r="A18568">
        <v>572</v>
      </c>
      <c r="B18568" t="s">
        <v>4503</v>
      </c>
      <c r="C18568" t="s">
        <v>10</v>
      </c>
      <c r="D18568" t="s">
        <v>1133</v>
      </c>
      <c r="E18568">
        <f t="shared" si="886"/>
        <v>1.1627906976744186E-2</v>
      </c>
      <c r="F18568">
        <v>5</v>
      </c>
      <c r="G18568">
        <f>LOG(382/(5+1))</f>
        <v>1.803912112528065</v>
      </c>
      <c r="H18568">
        <f>0.0116279069767441*4.15366113937852</f>
        <v>4.8298385341610336E-2</v>
      </c>
      <c r="I18568">
        <v>4.8298385341610697E-2</v>
      </c>
    </row>
    <row r="18569" spans="1:9" x14ac:dyDescent="0.25">
      <c r="A18569">
        <v>572</v>
      </c>
      <c r="B18569" t="s">
        <v>4503</v>
      </c>
      <c r="C18569" t="s">
        <v>10</v>
      </c>
      <c r="D18569" t="s">
        <v>31</v>
      </c>
      <c r="E18569">
        <f t="shared" si="886"/>
        <v>1.1627906976744186E-2</v>
      </c>
      <c r="F18569">
        <v>31</v>
      </c>
      <c r="G18569">
        <f>LOG(382/(31+1))</f>
        <v>1.0769133845918029</v>
      </c>
      <c r="H18569">
        <f>0.0116279069767441*2.47968470580684</f>
        <v>2.8833543090776993E-2</v>
      </c>
      <c r="I18569">
        <v>2.8833543090777309E-2</v>
      </c>
    </row>
    <row r="18570" spans="1:9" x14ac:dyDescent="0.25">
      <c r="A18570">
        <v>572</v>
      </c>
      <c r="B18570" t="s">
        <v>4503</v>
      </c>
      <c r="C18570" t="s">
        <v>10</v>
      </c>
      <c r="D18570" t="s">
        <v>1581</v>
      </c>
      <c r="E18570">
        <f t="shared" si="886"/>
        <v>1.1627906976744186E-2</v>
      </c>
      <c r="F18570">
        <v>4</v>
      </c>
      <c r="G18570">
        <f>LOG(382/(4+1))</f>
        <v>1.8830933585756899</v>
      </c>
      <c r="H18570">
        <f>0.0116279069767441*4.33598269617247</f>
        <v>5.0418403443865556E-2</v>
      </c>
      <c r="I18570">
        <v>5.0418403443865993E-2</v>
      </c>
    </row>
    <row r="18571" spans="1:9" x14ac:dyDescent="0.25">
      <c r="A18571">
        <v>572</v>
      </c>
      <c r="B18571" t="s">
        <v>4503</v>
      </c>
      <c r="C18571" t="s">
        <v>10</v>
      </c>
      <c r="D18571" t="s">
        <v>1755</v>
      </c>
      <c r="E18571">
        <f t="shared" si="886"/>
        <v>1.1627906976744186E-2</v>
      </c>
      <c r="F18571">
        <v>2</v>
      </c>
      <c r="G18571">
        <f>LOG(382/(2+1))</f>
        <v>2.1049421081920463</v>
      </c>
      <c r="H18571">
        <f>0.0116279069767441*4.84680831993846</f>
        <v>5.6358236278353763E-2</v>
      </c>
      <c r="I18571">
        <v>5.6358236278354248E-2</v>
      </c>
    </row>
    <row r="18572" spans="1:9" x14ac:dyDescent="0.25">
      <c r="A18572">
        <v>572</v>
      </c>
      <c r="B18572" t="s">
        <v>4503</v>
      </c>
      <c r="C18572" t="s">
        <v>10</v>
      </c>
      <c r="D18572" t="s">
        <v>25</v>
      </c>
      <c r="E18572">
        <f>3/86</f>
        <v>3.4883720930232558E-2</v>
      </c>
      <c r="F18572">
        <v>106</v>
      </c>
      <c r="G18572">
        <f>LOG(382/(106+1))</f>
        <v>0.55267958522649907</v>
      </c>
      <c r="H18572">
        <f>0.0348837209302325*1.27259177414466</f>
        <v>4.439273630737179E-2</v>
      </c>
      <c r="I18572">
        <v>4.4392736307372178E-2</v>
      </c>
    </row>
    <row r="18573" spans="1:9" x14ac:dyDescent="0.25">
      <c r="A18573">
        <v>572</v>
      </c>
      <c r="B18573" t="s">
        <v>4503</v>
      </c>
      <c r="C18573" t="s">
        <v>10</v>
      </c>
      <c r="D18573" t="s">
        <v>1532</v>
      </c>
      <c r="E18573">
        <f>1/86</f>
        <v>1.1627906976744186E-2</v>
      </c>
      <c r="F18573">
        <v>28</v>
      </c>
      <c r="G18573">
        <f>LOG(382/(28+1))</f>
        <v>1.1196653650127526</v>
      </c>
      <c r="H18573">
        <f>0.0116279069767441*2.5781247786201</f>
        <v>2.9978195100233494E-2</v>
      </c>
      <c r="I18573">
        <v>2.997819510023373E-2</v>
      </c>
    </row>
    <row r="18574" spans="1:9" x14ac:dyDescent="0.25">
      <c r="A18574">
        <v>572</v>
      </c>
      <c r="B18574" t="s">
        <v>4503</v>
      </c>
      <c r="C18574" t="s">
        <v>10</v>
      </c>
      <c r="D18574" t="s">
        <v>11</v>
      </c>
      <c r="E18574">
        <f>3/86</f>
        <v>3.4883720930232558E-2</v>
      </c>
      <c r="F18574">
        <v>83</v>
      </c>
      <c r="G18574">
        <f>LOG(382/(83+1))</f>
        <v>0.65778407684982709</v>
      </c>
      <c r="H18574">
        <f>0.0348837209302325*1.51460380976326</f>
        <v>5.2835016619648519E-2</v>
      </c>
      <c r="I18574">
        <v>5.2835016619648657E-2</v>
      </c>
    </row>
    <row r="18575" spans="1:9" x14ac:dyDescent="0.25">
      <c r="A18575">
        <v>572</v>
      </c>
      <c r="B18575" t="s">
        <v>4503</v>
      </c>
      <c r="C18575" t="s">
        <v>10</v>
      </c>
      <c r="D18575" t="s">
        <v>151</v>
      </c>
      <c r="E18575">
        <f>2/86</f>
        <v>2.3255813953488372E-2</v>
      </c>
      <c r="F18575">
        <v>14</v>
      </c>
      <c r="G18575">
        <f>LOG(382/(14+1))</f>
        <v>1.4059721038560276</v>
      </c>
      <c r="H18575">
        <f>0.0232558139534883*3.23737040750436</f>
        <v>7.528768389545E-2</v>
      </c>
      <c r="I18575">
        <v>7.5287683895450347E-2</v>
      </c>
    </row>
    <row r="18576" spans="1:9" x14ac:dyDescent="0.25">
      <c r="A18576">
        <v>572</v>
      </c>
      <c r="B18576" t="s">
        <v>4503</v>
      </c>
      <c r="C18576" t="s">
        <v>10</v>
      </c>
      <c r="D18576" t="s">
        <v>2224</v>
      </c>
      <c r="E18576">
        <f t="shared" ref="E18576:E18581" si="887">1/86</f>
        <v>1.1627906976744186E-2</v>
      </c>
      <c r="F18576">
        <v>6</v>
      </c>
      <c r="G18576">
        <f>LOG(382/(6+1))</f>
        <v>1.736965322897452</v>
      </c>
      <c r="H18576">
        <f>0.0116279069767441*3.99951045955126</f>
        <v>4.6505935576177097E-2</v>
      </c>
      <c r="I18576">
        <v>4.6505935576177472E-2</v>
      </c>
    </row>
    <row r="18577" spans="1:9" x14ac:dyDescent="0.25">
      <c r="A18577">
        <v>572</v>
      </c>
      <c r="B18577" t="s">
        <v>4503</v>
      </c>
      <c r="C18577" t="s">
        <v>10</v>
      </c>
      <c r="D18577" t="s">
        <v>161</v>
      </c>
      <c r="E18577">
        <f t="shared" si="887"/>
        <v>1.1627906976744186E-2</v>
      </c>
      <c r="F18577">
        <v>33</v>
      </c>
      <c r="G18577">
        <f>LOG(382/(33+1))</f>
        <v>1.0505844458694535</v>
      </c>
      <c r="H18577">
        <f>0.0116279069767441*2.41906008399041</f>
        <v>2.8128605627795258E-2</v>
      </c>
      <c r="I18577">
        <v>2.8128605627795511E-2</v>
      </c>
    </row>
    <row r="18578" spans="1:9" x14ac:dyDescent="0.25">
      <c r="A18578">
        <v>572</v>
      </c>
      <c r="B18578" t="s">
        <v>4503</v>
      </c>
      <c r="C18578" t="s">
        <v>10</v>
      </c>
      <c r="D18578" t="s">
        <v>932</v>
      </c>
      <c r="E18578">
        <f t="shared" si="887"/>
        <v>1.1627906976744186E-2</v>
      </c>
      <c r="F18578">
        <v>35</v>
      </c>
      <c r="G18578">
        <f>LOG(382/(35+1))</f>
        <v>1.0257608621444214</v>
      </c>
      <c r="H18578">
        <f>0.0116279069767441*2.36190167015046</f>
        <v>2.7463972908726073E-2</v>
      </c>
      <c r="I18578">
        <v>2.746397290872634E-2</v>
      </c>
    </row>
    <row r="18579" spans="1:9" x14ac:dyDescent="0.25">
      <c r="A18579">
        <v>572</v>
      </c>
      <c r="B18579" t="s">
        <v>4503</v>
      </c>
      <c r="C18579" t="s">
        <v>10</v>
      </c>
      <c r="D18579" t="s">
        <v>1095</v>
      </c>
      <c r="E18579">
        <f t="shared" si="887"/>
        <v>1.1627906976744186E-2</v>
      </c>
      <c r="F18579">
        <v>4</v>
      </c>
      <c r="G18579">
        <f>LOG(382/(4+1))</f>
        <v>1.8830933585756899</v>
      </c>
      <c r="H18579">
        <f>0.0116279069767441*4.33598269617247</f>
        <v>5.0418403443865556E-2</v>
      </c>
      <c r="I18579">
        <v>5.0418403443865993E-2</v>
      </c>
    </row>
    <row r="18580" spans="1:9" x14ac:dyDescent="0.25">
      <c r="A18580">
        <v>572</v>
      </c>
      <c r="B18580" t="s">
        <v>4503</v>
      </c>
      <c r="C18580" t="s">
        <v>10</v>
      </c>
      <c r="D18580" t="s">
        <v>103</v>
      </c>
      <c r="E18580">
        <f t="shared" si="887"/>
        <v>1.1627906976744186E-2</v>
      </c>
      <c r="F18580">
        <v>38</v>
      </c>
      <c r="G18580">
        <f>LOG(382/(38+1))</f>
        <v>0.99099875588520958</v>
      </c>
      <c r="H18580">
        <f>0.0116279069767441*2.28185896247692</f>
        <v>2.6533243749731431E-2</v>
      </c>
      <c r="I18580">
        <v>2.653324374973173E-2</v>
      </c>
    </row>
    <row r="18581" spans="1:9" x14ac:dyDescent="0.25">
      <c r="A18581">
        <v>572</v>
      </c>
      <c r="B18581" t="s">
        <v>4503</v>
      </c>
      <c r="C18581" t="s">
        <v>10</v>
      </c>
      <c r="D18581" t="s">
        <v>3553</v>
      </c>
      <c r="E18581">
        <f t="shared" si="887"/>
        <v>1.1627906976744186E-2</v>
      </c>
      <c r="F18581">
        <v>2</v>
      </c>
      <c r="G18581">
        <f>LOG(382/(2+1))</f>
        <v>2.1049421081920463</v>
      </c>
      <c r="H18581">
        <f>0.0116279069767441*4.84680831993846</f>
        <v>5.6358236278353763E-2</v>
      </c>
      <c r="I18581">
        <v>5.6358236278354248E-2</v>
      </c>
    </row>
    <row r="18582" spans="1:9" x14ac:dyDescent="0.25">
      <c r="A18582">
        <v>572</v>
      </c>
      <c r="B18582" t="s">
        <v>4503</v>
      </c>
      <c r="C18582" t="s">
        <v>10</v>
      </c>
      <c r="E18582">
        <f>2/86</f>
        <v>2.3255813953488372E-2</v>
      </c>
      <c r="F18582">
        <v>20</v>
      </c>
      <c r="G18582">
        <f>LOG(382/(20+1))</f>
        <v>1.2598440681777894</v>
      </c>
      <c r="H18582">
        <f>0.0232558139534883*2.90089817088315</f>
        <v>6.7462748160073041E-2</v>
      </c>
      <c r="I18582">
        <v>6.7462748160073305E-2</v>
      </c>
    </row>
    <row r="18583" spans="1:9" x14ac:dyDescent="0.25">
      <c r="A18583">
        <v>572</v>
      </c>
      <c r="B18583" t="s">
        <v>4503</v>
      </c>
      <c r="C18583" t="s">
        <v>10</v>
      </c>
      <c r="D18583" t="s">
        <v>730</v>
      </c>
      <c r="E18583">
        <f>1/86</f>
        <v>1.1627906976744186E-2</v>
      </c>
      <c r="F18583">
        <v>11</v>
      </c>
      <c r="G18583">
        <f>LOG(382/(11+1))</f>
        <v>1.5028821168640838</v>
      </c>
      <c r="H18583">
        <f>0.0116279069767441*3.46051395881857</f>
        <v>4.0238534404866792E-2</v>
      </c>
      <c r="I18583">
        <v>4.0238534404867153E-2</v>
      </c>
    </row>
    <row r="18584" spans="1:9" x14ac:dyDescent="0.25">
      <c r="A18584">
        <v>572</v>
      </c>
      <c r="B18584" t="s">
        <v>4503</v>
      </c>
      <c r="C18584" t="s">
        <v>10</v>
      </c>
      <c r="D18584" t="s">
        <v>1374</v>
      </c>
      <c r="E18584">
        <f>2/86</f>
        <v>2.3255813953488372E-2</v>
      </c>
      <c r="F18584">
        <v>9</v>
      </c>
      <c r="G18584">
        <f>LOG(382/(9+1))</f>
        <v>1.5820633629117087</v>
      </c>
      <c r="H18584">
        <f>0.0232558139534883*3.64283551561252</f>
        <v>8.4717105014244384E-2</v>
      </c>
      <c r="I18584">
        <v>8.471710501424487E-2</v>
      </c>
    </row>
    <row r="18585" spans="1:9" x14ac:dyDescent="0.25">
      <c r="A18585">
        <v>572</v>
      </c>
      <c r="B18585" t="s">
        <v>4503</v>
      </c>
      <c r="C18585" t="s">
        <v>10</v>
      </c>
      <c r="D18585" t="s">
        <v>3432</v>
      </c>
      <c r="E18585">
        <f t="shared" ref="E18585:E18595" si="888">1/86</f>
        <v>1.1627906976744186E-2</v>
      </c>
      <c r="F18585">
        <v>8</v>
      </c>
      <c r="G18585">
        <f>LOG(382/(8+1))</f>
        <v>1.6278208534723839</v>
      </c>
      <c r="H18585">
        <f>0.0116279069767441*3.74819603127035</f>
        <v>4.3583674782213047E-2</v>
      </c>
      <c r="I18585">
        <v>4.3583674782213443E-2</v>
      </c>
    </row>
    <row r="18586" spans="1:9" x14ac:dyDescent="0.25">
      <c r="A18586">
        <v>572</v>
      </c>
      <c r="B18586" t="s">
        <v>4503</v>
      </c>
      <c r="C18586" t="s">
        <v>10</v>
      </c>
      <c r="D18586" t="s">
        <v>190</v>
      </c>
      <c r="E18586">
        <f t="shared" si="888"/>
        <v>1.1627906976744186E-2</v>
      </c>
      <c r="F18586">
        <v>23</v>
      </c>
      <c r="G18586">
        <f>LOG(382/(23+1))</f>
        <v>1.2018521212001028</v>
      </c>
      <c r="H18586">
        <f>0.0116279069767441*2.76736677825862</f>
        <v>3.2178683468123248E-2</v>
      </c>
      <c r="I18586">
        <v>3.2178683468123602E-2</v>
      </c>
    </row>
    <row r="18587" spans="1:9" x14ac:dyDescent="0.25">
      <c r="A18587">
        <v>572</v>
      </c>
      <c r="B18587" t="s">
        <v>4503</v>
      </c>
      <c r="C18587" t="s">
        <v>10</v>
      </c>
      <c r="D18587" t="s">
        <v>911</v>
      </c>
      <c r="E18587">
        <f t="shared" si="888"/>
        <v>1.1627906976744186E-2</v>
      </c>
      <c r="F18587">
        <v>22</v>
      </c>
      <c r="G18587">
        <f>LOG(382/(22+1))</f>
        <v>1.2203355268941158</v>
      </c>
      <c r="H18587">
        <f>0.0116279069767441*2.80992639267742</f>
        <v>3.2673562705551148E-2</v>
      </c>
      <c r="I18587">
        <v>3.2673562705551461E-2</v>
      </c>
    </row>
    <row r="18588" spans="1:9" x14ac:dyDescent="0.25">
      <c r="A18588">
        <v>572</v>
      </c>
      <c r="B18588" t="s">
        <v>4503</v>
      </c>
      <c r="C18588" t="s">
        <v>10</v>
      </c>
      <c r="D18588" t="s">
        <v>38</v>
      </c>
      <c r="E18588">
        <f t="shared" si="888"/>
        <v>1.1627906976744186E-2</v>
      </c>
      <c r="F18588">
        <v>86</v>
      </c>
      <c r="G18588">
        <f>LOG(382/(86+1))</f>
        <v>0.64254411029309022</v>
      </c>
      <c r="H18588">
        <f>0.0116279069767441*1.47951248995199</f>
        <v>1.7203633604092779E-2</v>
      </c>
      <c r="I18588">
        <v>1.7203633604092921E-2</v>
      </c>
    </row>
    <row r="18589" spans="1:9" x14ac:dyDescent="0.25">
      <c r="A18589">
        <v>572</v>
      </c>
      <c r="B18589" t="s">
        <v>4503</v>
      </c>
      <c r="C18589" t="s">
        <v>10</v>
      </c>
      <c r="D18589" t="s">
        <v>404</v>
      </c>
      <c r="E18589">
        <f t="shared" si="888"/>
        <v>1.1627906976744186E-2</v>
      </c>
      <c r="F18589">
        <v>22</v>
      </c>
      <c r="G18589">
        <f>LOG(382/(22+1))</f>
        <v>1.2203355268941158</v>
      </c>
      <c r="H18589">
        <f>0.0116279069767441*2.80992639267742</f>
        <v>3.2673562705551148E-2</v>
      </c>
      <c r="I18589">
        <v>3.2673562705551461E-2</v>
      </c>
    </row>
    <row r="18590" spans="1:9" x14ac:dyDescent="0.25">
      <c r="A18590">
        <v>572</v>
      </c>
      <c r="B18590" t="s">
        <v>4503</v>
      </c>
      <c r="C18590" t="s">
        <v>10</v>
      </c>
      <c r="D18590" t="s">
        <v>39</v>
      </c>
      <c r="E18590">
        <f t="shared" si="888"/>
        <v>1.1627906976744186E-2</v>
      </c>
      <c r="F18590">
        <v>145</v>
      </c>
      <c r="G18590">
        <f>LOG(382/(145+1))</f>
        <v>0.41771050712727159</v>
      </c>
      <c r="H18590">
        <f>0.0116279069767441*0.961813986898238</f>
        <v>1.1183883568584079E-2</v>
      </c>
      <c r="I18590">
        <v>1.118388356858417E-2</v>
      </c>
    </row>
    <row r="18591" spans="1:9" x14ac:dyDescent="0.25">
      <c r="A18591">
        <v>572</v>
      </c>
      <c r="B18591" t="s">
        <v>4503</v>
      </c>
      <c r="C18591" t="s">
        <v>10</v>
      </c>
      <c r="D18591" t="s">
        <v>2816</v>
      </c>
      <c r="E18591">
        <f t="shared" si="888"/>
        <v>1.1627906976744186E-2</v>
      </c>
      <c r="F18591">
        <v>2</v>
      </c>
      <c r="G18591">
        <f>LOG(382/(2+1))</f>
        <v>2.1049421081920463</v>
      </c>
      <c r="H18591">
        <f>0.0116279069767441*4.84680831993846</f>
        <v>5.6358236278353763E-2</v>
      </c>
      <c r="I18591">
        <v>5.6358236278354248E-2</v>
      </c>
    </row>
    <row r="18592" spans="1:9" x14ac:dyDescent="0.25">
      <c r="A18592">
        <v>572</v>
      </c>
      <c r="B18592" t="s">
        <v>4503</v>
      </c>
      <c r="C18592" t="s">
        <v>10</v>
      </c>
      <c r="D18592" t="s">
        <v>1375</v>
      </c>
      <c r="E18592">
        <f t="shared" si="888"/>
        <v>1.1627906976744186E-2</v>
      </c>
      <c r="F18592">
        <v>5</v>
      </c>
      <c r="G18592">
        <f>LOG(382/(5+1))</f>
        <v>1.803912112528065</v>
      </c>
      <c r="H18592">
        <f>0.0116279069767441*4.15366113937852</f>
        <v>4.8298385341610336E-2</v>
      </c>
      <c r="I18592">
        <v>4.8298385341610697E-2</v>
      </c>
    </row>
    <row r="18593" spans="1:9" x14ac:dyDescent="0.25">
      <c r="A18593">
        <v>572</v>
      </c>
      <c r="B18593" t="s">
        <v>4503</v>
      </c>
      <c r="C18593" t="s">
        <v>10</v>
      </c>
      <c r="D18593" t="s">
        <v>4507</v>
      </c>
      <c r="E18593">
        <f t="shared" si="888"/>
        <v>1.1627906976744186E-2</v>
      </c>
      <c r="F18593">
        <v>1</v>
      </c>
      <c r="G18593">
        <f>LOG(382/(1+1))</f>
        <v>2.2810333672477277</v>
      </c>
      <c r="H18593">
        <f>0.0116279069767441*5.25227342804663</f>
        <v>6.1072946837751052E-2</v>
      </c>
      <c r="I18593">
        <v>6.107294683775151E-2</v>
      </c>
    </row>
    <row r="18594" spans="1:9" x14ac:dyDescent="0.25">
      <c r="A18594">
        <v>572</v>
      </c>
      <c r="B18594" t="s">
        <v>4503</v>
      </c>
      <c r="C18594" t="s">
        <v>10</v>
      </c>
      <c r="D18594" t="s">
        <v>40</v>
      </c>
      <c r="E18594">
        <f t="shared" si="888"/>
        <v>1.1627906976744186E-2</v>
      </c>
      <c r="F18594">
        <v>159</v>
      </c>
      <c r="G18594">
        <f>LOG(382/(159+1))</f>
        <v>0.377943380255784</v>
      </c>
      <c r="H18594">
        <f>0.0116279069767441*0.870246793372748</f>
        <v>1.0119148760148158E-2</v>
      </c>
      <c r="I18594">
        <v>1.0119148760148239E-2</v>
      </c>
    </row>
    <row r="18595" spans="1:9" x14ac:dyDescent="0.25">
      <c r="A18595">
        <v>572</v>
      </c>
      <c r="B18595" t="s">
        <v>4503</v>
      </c>
      <c r="C18595" t="s">
        <v>10</v>
      </c>
      <c r="D18595" t="s">
        <v>4508</v>
      </c>
      <c r="E18595">
        <f t="shared" si="888"/>
        <v>1.1627906976744186E-2</v>
      </c>
      <c r="F18595">
        <v>1</v>
      </c>
      <c r="G18595">
        <f>LOG(382/(1+1))</f>
        <v>2.2810333672477277</v>
      </c>
      <c r="H18595">
        <f>0.0116279069767441*5.25227342804663</f>
        <v>6.1072946837751052E-2</v>
      </c>
      <c r="I18595">
        <v>6.107294683775151E-2</v>
      </c>
    </row>
    <row r="18596" spans="1:9" x14ac:dyDescent="0.25">
      <c r="A18596">
        <v>573</v>
      </c>
      <c r="B18596" t="s">
        <v>4509</v>
      </c>
      <c r="C18596" t="s">
        <v>10</v>
      </c>
      <c r="D18596" t="s">
        <v>315</v>
      </c>
      <c r="E18596">
        <f>2/21</f>
        <v>9.5238095238095233E-2</v>
      </c>
      <c r="F18596">
        <v>55</v>
      </c>
      <c r="G18596">
        <f>LOG(382/(55+1))</f>
        <v>0.83387533590550833</v>
      </c>
      <c r="H18596">
        <f>0.0952380952380952*1.92006891787142</f>
        <v>0.1828637064639447</v>
      </c>
      <c r="I18596">
        <v>0.18286370646394531</v>
      </c>
    </row>
    <row r="18597" spans="1:9" x14ac:dyDescent="0.25">
      <c r="A18597">
        <v>573</v>
      </c>
      <c r="B18597" t="s">
        <v>4509</v>
      </c>
      <c r="C18597" t="s">
        <v>10</v>
      </c>
      <c r="D18597" t="s">
        <v>4510</v>
      </c>
      <c r="E18597">
        <f t="shared" ref="E18597:E18615" si="889">1/21</f>
        <v>4.7619047619047616E-2</v>
      </c>
      <c r="F18597">
        <v>1</v>
      </c>
      <c r="G18597">
        <f>LOG(382/(1+1))</f>
        <v>2.2810333672477277</v>
      </c>
      <c r="H18597">
        <f>0.0476190476190476*5.25227342804663</f>
        <v>0.25010825847841084</v>
      </c>
      <c r="I18597">
        <v>0.25010825847841089</v>
      </c>
    </row>
    <row r="18598" spans="1:9" x14ac:dyDescent="0.25">
      <c r="A18598">
        <v>573</v>
      </c>
      <c r="B18598" t="s">
        <v>4509</v>
      </c>
      <c r="C18598" t="s">
        <v>10</v>
      </c>
      <c r="D18598" t="s">
        <v>42</v>
      </c>
      <c r="E18598">
        <f t="shared" si="889"/>
        <v>4.7619047619047616E-2</v>
      </c>
      <c r="F18598">
        <v>251</v>
      </c>
      <c r="G18598">
        <f>LOG(382/(251+1))</f>
        <v>0.18066282213016463</v>
      </c>
      <c r="H18598">
        <f>0.0476190476190476*0.415991521095151</f>
        <v>1.9809120052150041E-2</v>
      </c>
      <c r="I18598">
        <v>1.9809120052150089E-2</v>
      </c>
    </row>
    <row r="18599" spans="1:9" x14ac:dyDescent="0.25">
      <c r="A18599">
        <v>573</v>
      </c>
      <c r="B18599" t="s">
        <v>4509</v>
      </c>
      <c r="C18599" t="s">
        <v>10</v>
      </c>
      <c r="D18599" t="s">
        <v>1367</v>
      </c>
      <c r="E18599">
        <f t="shared" si="889"/>
        <v>4.7619047619047616E-2</v>
      </c>
      <c r="F18599">
        <v>6</v>
      </c>
      <c r="G18599">
        <f>LOG(382/(6+1))</f>
        <v>1.736965322897452</v>
      </c>
      <c r="H18599">
        <f>0.0476190476190476*3.99951045955126</f>
        <v>0.19045287902625041</v>
      </c>
      <c r="I18599">
        <v>0.19045287902625049</v>
      </c>
    </row>
    <row r="18600" spans="1:9" x14ac:dyDescent="0.25">
      <c r="A18600">
        <v>573</v>
      </c>
      <c r="B18600" t="s">
        <v>4509</v>
      </c>
      <c r="C18600" t="s">
        <v>10</v>
      </c>
      <c r="D18600" t="s">
        <v>169</v>
      </c>
      <c r="E18600">
        <f t="shared" si="889"/>
        <v>4.7619047619047616E-2</v>
      </c>
      <c r="F18600">
        <v>8</v>
      </c>
      <c r="G18600">
        <f>LOG(382/(8+1))</f>
        <v>1.6278208534723839</v>
      </c>
      <c r="H18600">
        <f>0.0476190476190476*3.74819603127035</f>
        <v>0.17848552529858802</v>
      </c>
      <c r="I18600">
        <v>0.17848552529858841</v>
      </c>
    </row>
    <row r="18601" spans="1:9" x14ac:dyDescent="0.25">
      <c r="A18601">
        <v>573</v>
      </c>
      <c r="B18601" t="s">
        <v>4509</v>
      </c>
      <c r="C18601" t="s">
        <v>10</v>
      </c>
      <c r="D18601" t="s">
        <v>17</v>
      </c>
      <c r="E18601">
        <f t="shared" si="889"/>
        <v>4.7619047619047616E-2</v>
      </c>
      <c r="F18601">
        <v>169</v>
      </c>
      <c r="G18601">
        <f>LOG(382/(169+1))</f>
        <v>0.3516144415334348</v>
      </c>
      <c r="H18601">
        <f>0.0476190476190476*0.809622171556313</f>
        <v>3.8553436740776797E-2</v>
      </c>
      <c r="I18601">
        <v>3.8553436740776832E-2</v>
      </c>
    </row>
    <row r="18602" spans="1:9" x14ac:dyDescent="0.25">
      <c r="A18602">
        <v>573</v>
      </c>
      <c r="B18602" t="s">
        <v>4509</v>
      </c>
      <c r="C18602" t="s">
        <v>10</v>
      </c>
      <c r="D18602" t="s">
        <v>111</v>
      </c>
      <c r="E18602">
        <f t="shared" si="889"/>
        <v>4.7619047619047616E-2</v>
      </c>
      <c r="F18602">
        <v>33</v>
      </c>
      <c r="G18602">
        <f>LOG(382/(33+1))</f>
        <v>1.0505844458694535</v>
      </c>
      <c r="H18602">
        <f>0.0476190476190476*2.41906008399041</f>
        <v>0.11519333733287664</v>
      </c>
      <c r="I18602">
        <v>0.1151933373328768</v>
      </c>
    </row>
    <row r="18603" spans="1:9" x14ac:dyDescent="0.25">
      <c r="A18603">
        <v>573</v>
      </c>
      <c r="B18603" t="s">
        <v>4509</v>
      </c>
      <c r="C18603" t="s">
        <v>10</v>
      </c>
      <c r="D18603" t="s">
        <v>2150</v>
      </c>
      <c r="E18603">
        <f t="shared" si="889"/>
        <v>4.7619047619047616E-2</v>
      </c>
      <c r="F18603">
        <v>5</v>
      </c>
      <c r="G18603">
        <f>LOG(382/(5+1))</f>
        <v>1.803912112528065</v>
      </c>
      <c r="H18603">
        <f>0.0476190476190476*4.15366113937852</f>
        <v>0.19779338758945325</v>
      </c>
      <c r="I18603">
        <v>0.19779338758945331</v>
      </c>
    </row>
    <row r="18604" spans="1:9" x14ac:dyDescent="0.25">
      <c r="A18604">
        <v>573</v>
      </c>
      <c r="B18604" t="s">
        <v>4509</v>
      </c>
      <c r="C18604" t="s">
        <v>10</v>
      </c>
      <c r="D18604" t="s">
        <v>19</v>
      </c>
      <c r="E18604">
        <f t="shared" si="889"/>
        <v>4.7619047619047616E-2</v>
      </c>
      <c r="F18604">
        <v>220</v>
      </c>
      <c r="G18604">
        <f>LOG(382/(220+1))</f>
        <v>0.23767108922659805</v>
      </c>
      <c r="H18604">
        <f>0.0476190476190476*0.547257907088822</f>
        <v>2.6059900337562947E-2</v>
      </c>
      <c r="I18604">
        <v>2.6059900337562971E-2</v>
      </c>
    </row>
    <row r="18605" spans="1:9" x14ac:dyDescent="0.25">
      <c r="A18605">
        <v>573</v>
      </c>
      <c r="B18605" t="s">
        <v>4509</v>
      </c>
      <c r="C18605" t="s">
        <v>10</v>
      </c>
      <c r="D18605" t="s">
        <v>195</v>
      </c>
      <c r="E18605">
        <f t="shared" si="889"/>
        <v>4.7619047619047616E-2</v>
      </c>
      <c r="F18605">
        <v>55</v>
      </c>
      <c r="G18605">
        <f>LOG(382/(55+1))</f>
        <v>0.83387533590550833</v>
      </c>
      <c r="H18605">
        <f>0.0476190476190476*1.92006891787142</f>
        <v>9.1431853231972351E-2</v>
      </c>
      <c r="I18605">
        <v>9.1431853231972657E-2</v>
      </c>
    </row>
    <row r="18606" spans="1:9" x14ac:dyDescent="0.25">
      <c r="A18606">
        <v>573</v>
      </c>
      <c r="B18606" t="s">
        <v>4509</v>
      </c>
      <c r="C18606" t="s">
        <v>10</v>
      </c>
      <c r="D18606" t="s">
        <v>22</v>
      </c>
      <c r="E18606">
        <f t="shared" si="889"/>
        <v>4.7619047619047616E-2</v>
      </c>
      <c r="F18606">
        <v>259</v>
      </c>
      <c r="G18606">
        <f>LOG(382/(259+1))</f>
        <v>0.16709001494089079</v>
      </c>
      <c r="H18606">
        <f>0.0476190476190476*0.384738977591047</f>
        <v>1.8320903694811756E-2</v>
      </c>
      <c r="I18606">
        <v>1.8320903694811791E-2</v>
      </c>
    </row>
    <row r="18607" spans="1:9" x14ac:dyDescent="0.25">
      <c r="A18607">
        <v>573</v>
      </c>
      <c r="B18607" t="s">
        <v>4509</v>
      </c>
      <c r="C18607" t="s">
        <v>10</v>
      </c>
      <c r="D18607" t="s">
        <v>23</v>
      </c>
      <c r="E18607">
        <f t="shared" si="889"/>
        <v>4.7619047619047616E-2</v>
      </c>
      <c r="F18607">
        <v>275</v>
      </c>
      <c r="G18607">
        <f>LOG(382/(275+1))</f>
        <v>0.14115428084649101</v>
      </c>
      <c r="H18607">
        <f>0.0476190476190476*0.325019742889425</f>
        <v>1.5477130613782137E-2</v>
      </c>
      <c r="I18607">
        <v>1.5477130613782151E-2</v>
      </c>
    </row>
    <row r="18608" spans="1:9" x14ac:dyDescent="0.25">
      <c r="A18608">
        <v>573</v>
      </c>
      <c r="B18608" t="s">
        <v>4509</v>
      </c>
      <c r="C18608" t="s">
        <v>10</v>
      </c>
      <c r="D18608" t="s">
        <v>204</v>
      </c>
      <c r="E18608">
        <f t="shared" si="889"/>
        <v>4.7619047619047616E-2</v>
      </c>
      <c r="F18608">
        <v>166</v>
      </c>
      <c r="G18608">
        <f>LOG(382/(166+1))</f>
        <v>0.35934689176412549</v>
      </c>
      <c r="H18608">
        <f>0.0476190476190476*0.82742679618982</f>
        <v>3.9401276009039032E-2</v>
      </c>
      <c r="I18608">
        <v>3.9401276009039053E-2</v>
      </c>
    </row>
    <row r="18609" spans="1:9" x14ac:dyDescent="0.25">
      <c r="A18609">
        <v>573</v>
      </c>
      <c r="B18609" t="s">
        <v>4509</v>
      </c>
      <c r="C18609" t="s">
        <v>10</v>
      </c>
      <c r="D18609" t="s">
        <v>76</v>
      </c>
      <c r="E18609">
        <f t="shared" si="889"/>
        <v>4.7619047619047616E-2</v>
      </c>
      <c r="F18609">
        <v>140</v>
      </c>
      <c r="G18609">
        <f>LOG(382/(140+1))</f>
        <v>0.43284425025632883</v>
      </c>
      <c r="H18609">
        <f>0.0476190476190476*0.996660718228407</f>
        <v>4.7460034201352697E-2</v>
      </c>
      <c r="I18609">
        <v>4.746003420135271E-2</v>
      </c>
    </row>
    <row r="18610" spans="1:9" x14ac:dyDescent="0.25">
      <c r="A18610">
        <v>573</v>
      </c>
      <c r="B18610" t="s">
        <v>4509</v>
      </c>
      <c r="C18610" t="s">
        <v>10</v>
      </c>
      <c r="D18610" t="s">
        <v>77</v>
      </c>
      <c r="E18610">
        <f t="shared" si="889"/>
        <v>4.7619047619047616E-2</v>
      </c>
      <c r="F18610">
        <v>148</v>
      </c>
      <c r="G18610">
        <f>LOG(382/(148+1))</f>
        <v>0.40887709449943471</v>
      </c>
      <c r="H18610">
        <f>0.0476190476190476*0.941474302661116</f>
        <v>4.483210965052932E-2</v>
      </c>
      <c r="I18610">
        <v>4.4832109650529327E-2</v>
      </c>
    </row>
    <row r="18611" spans="1:9" x14ac:dyDescent="0.25">
      <c r="A18611">
        <v>573</v>
      </c>
      <c r="B18611" t="s">
        <v>4509</v>
      </c>
      <c r="C18611" t="s">
        <v>10</v>
      </c>
      <c r="D18611" t="s">
        <v>40</v>
      </c>
      <c r="E18611">
        <f t="shared" si="889"/>
        <v>4.7619047619047616E-2</v>
      </c>
      <c r="F18611">
        <v>159</v>
      </c>
      <c r="G18611">
        <f>LOG(382/(159+1))</f>
        <v>0.377943380255784</v>
      </c>
      <c r="H18611">
        <f>0.0476190476190476*0.870246793372748</f>
        <v>4.1440323493940369E-2</v>
      </c>
      <c r="I18611">
        <v>4.1440323493940397E-2</v>
      </c>
    </row>
    <row r="18612" spans="1:9" x14ac:dyDescent="0.25">
      <c r="A18612">
        <v>573</v>
      </c>
      <c r="B18612" t="s">
        <v>4509</v>
      </c>
      <c r="C18612" t="s">
        <v>10</v>
      </c>
      <c r="D18612" t="s">
        <v>41</v>
      </c>
      <c r="E18612">
        <f t="shared" si="889"/>
        <v>4.7619047619047616E-2</v>
      </c>
      <c r="F18612">
        <v>195</v>
      </c>
      <c r="G18612">
        <f>LOG(382/(195+1))</f>
        <v>0.28980729155523272</v>
      </c>
      <c r="H18612">
        <f>0.0476190476190476*0.667305949376058</f>
        <v>3.1776473779812277E-2</v>
      </c>
      <c r="I18612">
        <v>3.1776473779812277E-2</v>
      </c>
    </row>
    <row r="18613" spans="1:9" x14ac:dyDescent="0.25">
      <c r="A18613">
        <v>573</v>
      </c>
      <c r="B18613" t="s">
        <v>4509</v>
      </c>
      <c r="C18613" t="s">
        <v>10</v>
      </c>
      <c r="D18613" t="s">
        <v>78</v>
      </c>
      <c r="E18613">
        <f t="shared" si="889"/>
        <v>4.7619047619047616E-2</v>
      </c>
      <c r="F18613">
        <v>122</v>
      </c>
      <c r="G18613">
        <f>LOG(382/(122+1))</f>
        <v>0.49215825147231079</v>
      </c>
      <c r="H18613">
        <f>0.0476190476190476*1.13323625323415</f>
        <v>5.3963631106388077E-2</v>
      </c>
      <c r="I18613">
        <v>5.3963631106388452E-2</v>
      </c>
    </row>
    <row r="18614" spans="1:9" x14ac:dyDescent="0.25">
      <c r="A18614">
        <v>573</v>
      </c>
      <c r="B18614" t="s">
        <v>4509</v>
      </c>
      <c r="C18614" t="s">
        <v>10</v>
      </c>
      <c r="D18614" t="s">
        <v>483</v>
      </c>
      <c r="E18614">
        <f t="shared" si="889"/>
        <v>4.7619047619047616E-2</v>
      </c>
      <c r="F18614">
        <v>61</v>
      </c>
      <c r="G18614">
        <f>LOG(382/(61+1))</f>
        <v>0.7896716734134549</v>
      </c>
      <c r="H18614">
        <f>0.0476190476190476*1.81828622356148</f>
        <v>8.6585058264832357E-2</v>
      </c>
      <c r="I18614">
        <v>8.6585058264832551E-2</v>
      </c>
    </row>
    <row r="18615" spans="1:9" x14ac:dyDescent="0.25">
      <c r="A18615">
        <v>573</v>
      </c>
      <c r="B18615" t="s">
        <v>4509</v>
      </c>
      <c r="C18615" t="s">
        <v>10</v>
      </c>
      <c r="D18615" t="s">
        <v>1709</v>
      </c>
      <c r="E18615">
        <f t="shared" si="889"/>
        <v>4.7619047619047616E-2</v>
      </c>
      <c r="F18615">
        <v>21</v>
      </c>
      <c r="G18615">
        <f>LOG(382/(21+1))</f>
        <v>1.2396406820895025</v>
      </c>
      <c r="H18615">
        <f>0.0476190476190476*2.85437815524825</f>
        <v>0.13592276929753566</v>
      </c>
      <c r="I18615">
        <v>0.13592276929753611</v>
      </c>
    </row>
    <row r="18616" spans="1:9" x14ac:dyDescent="0.25">
      <c r="A18616">
        <v>574</v>
      </c>
      <c r="B18616" t="s">
        <v>4511</v>
      </c>
      <c r="C18616" t="s">
        <v>10</v>
      </c>
      <c r="D18616" t="s">
        <v>613</v>
      </c>
      <c r="E18616">
        <f>1/32</f>
        <v>3.125E-2</v>
      </c>
      <c r="F18616">
        <v>2</v>
      </c>
      <c r="G18616">
        <f>LOG(382/(2+1))</f>
        <v>2.1049421081920463</v>
      </c>
      <c r="H18616">
        <f>0.03125*4.84680831993846</f>
        <v>0.15146275999807687</v>
      </c>
      <c r="I18616">
        <v>0.15146275999807701</v>
      </c>
    </row>
    <row r="18617" spans="1:9" x14ac:dyDescent="0.25">
      <c r="A18617">
        <v>574</v>
      </c>
      <c r="B18617" t="s">
        <v>4511</v>
      </c>
      <c r="C18617" t="s">
        <v>10</v>
      </c>
      <c r="D18617" t="s">
        <v>4512</v>
      </c>
      <c r="E18617">
        <f>1/32</f>
        <v>3.125E-2</v>
      </c>
      <c r="F18617">
        <v>1</v>
      </c>
      <c r="G18617">
        <f>LOG(382/(1+1))</f>
        <v>2.2810333672477277</v>
      </c>
      <c r="H18617">
        <f>0.03125*5.25227342804663</f>
        <v>0.16413354462645718</v>
      </c>
      <c r="I18617">
        <v>0.16413354462645721</v>
      </c>
    </row>
    <row r="18618" spans="1:9" x14ac:dyDescent="0.25">
      <c r="A18618">
        <v>574</v>
      </c>
      <c r="B18618" t="s">
        <v>4511</v>
      </c>
      <c r="C18618" t="s">
        <v>10</v>
      </c>
      <c r="D18618" t="s">
        <v>4513</v>
      </c>
      <c r="E18618">
        <f>2/32</f>
        <v>6.25E-2</v>
      </c>
      <c r="F18618">
        <v>1</v>
      </c>
      <c r="G18618">
        <f>LOG(382/(1+1))</f>
        <v>2.2810333672477277</v>
      </c>
      <c r="H18618">
        <f>0.0625*5.25227342804663</f>
        <v>0.32826708925291437</v>
      </c>
      <c r="I18618">
        <v>0.32826708925291442</v>
      </c>
    </row>
    <row r="18619" spans="1:9" x14ac:dyDescent="0.25">
      <c r="A18619">
        <v>574</v>
      </c>
      <c r="B18619" t="s">
        <v>4511</v>
      </c>
      <c r="C18619" t="s">
        <v>10</v>
      </c>
      <c r="D18619" t="s">
        <v>4514</v>
      </c>
      <c r="E18619">
        <f>3/32</f>
        <v>9.375E-2</v>
      </c>
      <c r="F18619">
        <v>2</v>
      </c>
      <c r="G18619">
        <f>LOG(382/(2+1))</f>
        <v>2.1049421081920463</v>
      </c>
      <c r="H18619">
        <f>0.09375*4.84680831993846</f>
        <v>0.45438827999423059</v>
      </c>
      <c r="I18619">
        <v>0.45438827999423109</v>
      </c>
    </row>
    <row r="18620" spans="1:9" x14ac:dyDescent="0.25">
      <c r="A18620">
        <v>574</v>
      </c>
      <c r="B18620" t="s">
        <v>4511</v>
      </c>
      <c r="C18620" t="s">
        <v>10</v>
      </c>
      <c r="D18620" t="s">
        <v>4515</v>
      </c>
      <c r="E18620">
        <f t="shared" ref="E18620:E18644" si="890">1/32</f>
        <v>3.125E-2</v>
      </c>
      <c r="F18620">
        <v>2</v>
      </c>
      <c r="G18620">
        <f>LOG(382/(2+1))</f>
        <v>2.1049421081920463</v>
      </c>
      <c r="H18620">
        <f>0.03125*4.84680831993846</f>
        <v>0.15146275999807687</v>
      </c>
      <c r="I18620">
        <v>0.15146275999807701</v>
      </c>
    </row>
    <row r="18621" spans="1:9" x14ac:dyDescent="0.25">
      <c r="A18621">
        <v>574</v>
      </c>
      <c r="B18621" t="s">
        <v>4511</v>
      </c>
      <c r="C18621" t="s">
        <v>10</v>
      </c>
      <c r="D18621" t="s">
        <v>42</v>
      </c>
      <c r="E18621">
        <f t="shared" si="890"/>
        <v>3.125E-2</v>
      </c>
      <c r="F18621">
        <v>251</v>
      </c>
      <c r="G18621">
        <f>LOG(382/(251+1))</f>
        <v>0.18066282213016463</v>
      </c>
      <c r="H18621">
        <f>0.03125*0.415991521095151</f>
        <v>1.2999735034223468E-2</v>
      </c>
      <c r="I18621">
        <v>1.2999735034223499E-2</v>
      </c>
    </row>
    <row r="18622" spans="1:9" x14ac:dyDescent="0.25">
      <c r="A18622">
        <v>574</v>
      </c>
      <c r="B18622" t="s">
        <v>4511</v>
      </c>
      <c r="C18622" t="s">
        <v>10</v>
      </c>
      <c r="D18622" t="s">
        <v>15</v>
      </c>
      <c r="E18622">
        <f t="shared" si="890"/>
        <v>3.125E-2</v>
      </c>
      <c r="F18622">
        <v>112</v>
      </c>
      <c r="G18622">
        <f>LOG(382/(112+1))</f>
        <v>0.52898491942828896</v>
      </c>
      <c r="H18622">
        <f>0.03125*1.21803278989423</f>
        <v>3.8063524684194688E-2</v>
      </c>
      <c r="I18622">
        <v>3.8063524684194827E-2</v>
      </c>
    </row>
    <row r="18623" spans="1:9" x14ac:dyDescent="0.25">
      <c r="A18623">
        <v>574</v>
      </c>
      <c r="B18623" t="s">
        <v>4511</v>
      </c>
      <c r="C18623" t="s">
        <v>10</v>
      </c>
      <c r="D18623" t="s">
        <v>17</v>
      </c>
      <c r="E18623">
        <f t="shared" si="890"/>
        <v>3.125E-2</v>
      </c>
      <c r="F18623">
        <v>169</v>
      </c>
      <c r="G18623">
        <f>LOG(382/(169+1))</f>
        <v>0.3516144415334348</v>
      </c>
      <c r="H18623">
        <f>0.03125*0.809622171556313</f>
        <v>2.5300692861134781E-2</v>
      </c>
      <c r="I18623">
        <v>2.5300692861134799E-2</v>
      </c>
    </row>
    <row r="18624" spans="1:9" x14ac:dyDescent="0.25">
      <c r="A18624">
        <v>574</v>
      </c>
      <c r="B18624" t="s">
        <v>4511</v>
      </c>
      <c r="C18624" t="s">
        <v>10</v>
      </c>
      <c r="D18624" t="s">
        <v>1195</v>
      </c>
      <c r="E18624">
        <f t="shared" si="890"/>
        <v>3.125E-2</v>
      </c>
      <c r="F18624">
        <v>3</v>
      </c>
      <c r="G18624">
        <f>LOG(382/(3+1))</f>
        <v>1.9800033715837464</v>
      </c>
      <c r="H18624">
        <f>0.03125*4.55912624748668</f>
        <v>0.14247269523395875</v>
      </c>
      <c r="I18624">
        <v>0.14247269523395889</v>
      </c>
    </row>
    <row r="18625" spans="1:9" x14ac:dyDescent="0.25">
      <c r="A18625">
        <v>574</v>
      </c>
      <c r="B18625" t="s">
        <v>4511</v>
      </c>
      <c r="C18625" t="s">
        <v>10</v>
      </c>
      <c r="D18625" t="s">
        <v>4516</v>
      </c>
      <c r="E18625">
        <f t="shared" si="890"/>
        <v>3.125E-2</v>
      </c>
      <c r="F18625">
        <v>1</v>
      </c>
      <c r="G18625">
        <f>LOG(382/(1+1))</f>
        <v>2.2810333672477277</v>
      </c>
      <c r="H18625">
        <f>0.03125*5.25227342804663</f>
        <v>0.16413354462645718</v>
      </c>
      <c r="I18625">
        <v>0.16413354462645721</v>
      </c>
    </row>
    <row r="18626" spans="1:9" x14ac:dyDescent="0.25">
      <c r="A18626">
        <v>574</v>
      </c>
      <c r="B18626" t="s">
        <v>4511</v>
      </c>
      <c r="C18626" t="s">
        <v>10</v>
      </c>
      <c r="D18626" t="s">
        <v>19</v>
      </c>
      <c r="E18626">
        <f t="shared" si="890"/>
        <v>3.125E-2</v>
      </c>
      <c r="F18626">
        <v>220</v>
      </c>
      <c r="G18626">
        <f>LOG(382/(220+1))</f>
        <v>0.23767108922659805</v>
      </c>
      <c r="H18626">
        <f>0.03125*0.547257907088822</f>
        <v>1.7101809596525689E-2</v>
      </c>
      <c r="I18626">
        <v>1.7101809596525699E-2</v>
      </c>
    </row>
    <row r="18627" spans="1:9" x14ac:dyDescent="0.25">
      <c r="A18627">
        <v>574</v>
      </c>
      <c r="B18627" t="s">
        <v>4511</v>
      </c>
      <c r="C18627" t="s">
        <v>10</v>
      </c>
      <c r="D18627" t="s">
        <v>195</v>
      </c>
      <c r="E18627">
        <f t="shared" si="890"/>
        <v>3.125E-2</v>
      </c>
      <c r="F18627">
        <v>55</v>
      </c>
      <c r="G18627">
        <f>LOG(382/(55+1))</f>
        <v>0.83387533590550833</v>
      </c>
      <c r="H18627">
        <f>0.03125*1.92006891787142</f>
        <v>6.0002153683481878E-2</v>
      </c>
      <c r="I18627">
        <v>6.0002153683482058E-2</v>
      </c>
    </row>
    <row r="18628" spans="1:9" x14ac:dyDescent="0.25">
      <c r="A18628">
        <v>574</v>
      </c>
      <c r="B18628" t="s">
        <v>4511</v>
      </c>
      <c r="C18628" t="s">
        <v>10</v>
      </c>
      <c r="D18628" t="s">
        <v>22</v>
      </c>
      <c r="E18628">
        <f t="shared" si="890"/>
        <v>3.125E-2</v>
      </c>
      <c r="F18628">
        <v>259</v>
      </c>
      <c r="G18628">
        <f>LOG(382/(259+1))</f>
        <v>0.16709001494089079</v>
      </c>
      <c r="H18628">
        <f>0.03125*0.384738977591047</f>
        <v>1.202309304972022E-2</v>
      </c>
      <c r="I18628">
        <v>1.202309304972024E-2</v>
      </c>
    </row>
    <row r="18629" spans="1:9" x14ac:dyDescent="0.25">
      <c r="A18629">
        <v>574</v>
      </c>
      <c r="B18629" t="s">
        <v>4511</v>
      </c>
      <c r="C18629" t="s">
        <v>10</v>
      </c>
      <c r="D18629" t="s">
        <v>23</v>
      </c>
      <c r="E18629">
        <f t="shared" si="890"/>
        <v>3.125E-2</v>
      </c>
      <c r="F18629">
        <v>275</v>
      </c>
      <c r="G18629">
        <f>LOG(382/(275+1))</f>
        <v>0.14115428084649101</v>
      </c>
      <c r="H18629">
        <f>0.03125*0.325019742889425</f>
        <v>1.0156866965294531E-2</v>
      </c>
      <c r="I18629">
        <v>1.0156866965294539E-2</v>
      </c>
    </row>
    <row r="18630" spans="1:9" x14ac:dyDescent="0.25">
      <c r="A18630">
        <v>574</v>
      </c>
      <c r="B18630" t="s">
        <v>4511</v>
      </c>
      <c r="C18630" t="s">
        <v>10</v>
      </c>
      <c r="D18630" t="s">
        <v>26</v>
      </c>
      <c r="E18630">
        <f t="shared" si="890"/>
        <v>3.125E-2</v>
      </c>
      <c r="F18630">
        <v>40</v>
      </c>
      <c r="G18630">
        <f>LOG(382/(40+1))</f>
        <v>0.96927950619197323</v>
      </c>
      <c r="H18630">
        <f>0.03125*2.23184854190226</f>
        <v>6.9745266934445618E-2</v>
      </c>
      <c r="I18630">
        <v>6.9745266934445854E-2</v>
      </c>
    </row>
    <row r="18631" spans="1:9" x14ac:dyDescent="0.25">
      <c r="A18631">
        <v>574</v>
      </c>
      <c r="B18631" t="s">
        <v>4511</v>
      </c>
      <c r="C18631" t="s">
        <v>10</v>
      </c>
      <c r="D18631" t="s">
        <v>4517</v>
      </c>
      <c r="E18631">
        <f t="shared" si="890"/>
        <v>3.125E-2</v>
      </c>
      <c r="F18631">
        <v>1</v>
      </c>
      <c r="G18631">
        <f>LOG(382/(1+1))</f>
        <v>2.2810333672477277</v>
      </c>
      <c r="H18631">
        <f>0.03125*5.25227342804663</f>
        <v>0.16413354462645718</v>
      </c>
      <c r="I18631">
        <v>0.16413354462645721</v>
      </c>
    </row>
    <row r="18632" spans="1:9" x14ac:dyDescent="0.25">
      <c r="A18632">
        <v>574</v>
      </c>
      <c r="B18632" t="s">
        <v>4511</v>
      </c>
      <c r="C18632" t="s">
        <v>10</v>
      </c>
      <c r="D18632" t="s">
        <v>28</v>
      </c>
      <c r="E18632">
        <f t="shared" si="890"/>
        <v>3.125E-2</v>
      </c>
      <c r="F18632">
        <v>35</v>
      </c>
      <c r="G18632">
        <f>LOG(382/(35+1))</f>
        <v>1.0257608621444214</v>
      </c>
      <c r="H18632">
        <f>0.03125*2.36190167015046</f>
        <v>7.3809427192201876E-2</v>
      </c>
      <c r="I18632">
        <v>7.3809427192202029E-2</v>
      </c>
    </row>
    <row r="18633" spans="1:9" x14ac:dyDescent="0.25">
      <c r="A18633">
        <v>574</v>
      </c>
      <c r="B18633" t="s">
        <v>4511</v>
      </c>
      <c r="C18633" t="s">
        <v>10</v>
      </c>
      <c r="D18633" t="s">
        <v>476</v>
      </c>
      <c r="E18633">
        <f t="shared" si="890"/>
        <v>3.125E-2</v>
      </c>
      <c r="F18633">
        <v>18</v>
      </c>
      <c r="G18633">
        <f>LOG(382/(18+1))</f>
        <v>1.3033097619588798</v>
      </c>
      <c r="H18633">
        <f>0.03125*3.00098162944013</f>
        <v>9.3780675920004067E-2</v>
      </c>
      <c r="I18633">
        <v>9.3780675920004206E-2</v>
      </c>
    </row>
    <row r="18634" spans="1:9" x14ac:dyDescent="0.25">
      <c r="A18634">
        <v>574</v>
      </c>
      <c r="B18634" t="s">
        <v>4511</v>
      </c>
      <c r="C18634" t="s">
        <v>10</v>
      </c>
      <c r="D18634" t="s">
        <v>929</v>
      </c>
      <c r="E18634">
        <f t="shared" si="890"/>
        <v>3.125E-2</v>
      </c>
      <c r="F18634">
        <v>32</v>
      </c>
      <c r="G18634">
        <f>LOG(382/(32+1))</f>
        <v>1.0635494230338212</v>
      </c>
      <c r="H18634">
        <f>0.03125*2.44891304714009</f>
        <v>7.6528532723127818E-2</v>
      </c>
      <c r="I18634">
        <v>7.6528532723127971E-2</v>
      </c>
    </row>
    <row r="18635" spans="1:9" x14ac:dyDescent="0.25">
      <c r="A18635">
        <v>574</v>
      </c>
      <c r="B18635" t="s">
        <v>4511</v>
      </c>
      <c r="C18635" t="s">
        <v>10</v>
      </c>
      <c r="D18635" t="s">
        <v>25</v>
      </c>
      <c r="E18635">
        <f t="shared" si="890"/>
        <v>3.125E-2</v>
      </c>
      <c r="F18635">
        <v>106</v>
      </c>
      <c r="G18635">
        <f>LOG(382/(106+1))</f>
        <v>0.55267958522649907</v>
      </c>
      <c r="H18635">
        <f>0.03125*1.27259177414466</f>
        <v>3.9768492942020624E-2</v>
      </c>
      <c r="I18635">
        <v>3.9768492942020908E-2</v>
      </c>
    </row>
    <row r="18636" spans="1:9" x14ac:dyDescent="0.25">
      <c r="A18636">
        <v>574</v>
      </c>
      <c r="B18636" t="s">
        <v>4511</v>
      </c>
      <c r="C18636" t="s">
        <v>10</v>
      </c>
      <c r="D18636" t="s">
        <v>626</v>
      </c>
      <c r="E18636">
        <f t="shared" si="890"/>
        <v>3.125E-2</v>
      </c>
      <c r="F18636">
        <v>12</v>
      </c>
      <c r="G18636">
        <f>LOG(382/(12+1))</f>
        <v>1.468120010604872</v>
      </c>
      <c r="H18636">
        <f>0.03125*3.38047125114503</f>
        <v>0.10563972659828219</v>
      </c>
      <c r="I18636">
        <v>0.1056397265982825</v>
      </c>
    </row>
    <row r="18637" spans="1:9" x14ac:dyDescent="0.25">
      <c r="A18637">
        <v>574</v>
      </c>
      <c r="B18637" t="s">
        <v>4511</v>
      </c>
      <c r="C18637" t="s">
        <v>10</v>
      </c>
      <c r="D18637" t="s">
        <v>52</v>
      </c>
      <c r="E18637">
        <f t="shared" si="890"/>
        <v>3.125E-2</v>
      </c>
      <c r="F18637">
        <v>35</v>
      </c>
      <c r="G18637">
        <f>LOG(382/(35+1))</f>
        <v>1.0257608621444214</v>
      </c>
      <c r="H18637">
        <f>0.03125*2.36190167015046</f>
        <v>7.3809427192201876E-2</v>
      </c>
      <c r="I18637">
        <v>7.3809427192202029E-2</v>
      </c>
    </row>
    <row r="18638" spans="1:9" x14ac:dyDescent="0.25">
      <c r="A18638">
        <v>574</v>
      </c>
      <c r="B18638" t="s">
        <v>4511</v>
      </c>
      <c r="C18638" t="s">
        <v>10</v>
      </c>
      <c r="D18638" t="s">
        <v>543</v>
      </c>
      <c r="E18638">
        <f t="shared" si="890"/>
        <v>3.125E-2</v>
      </c>
      <c r="F18638">
        <v>6</v>
      </c>
      <c r="G18638">
        <f>LOG(382/(6+1))</f>
        <v>1.736965322897452</v>
      </c>
      <c r="H18638">
        <f>0.03125*3.99951045955126</f>
        <v>0.12498470186097688</v>
      </c>
      <c r="I18638">
        <v>0.1249847018609769</v>
      </c>
    </row>
    <row r="18639" spans="1:9" x14ac:dyDescent="0.25">
      <c r="A18639">
        <v>574</v>
      </c>
      <c r="B18639" t="s">
        <v>4511</v>
      </c>
      <c r="C18639" t="s">
        <v>10</v>
      </c>
      <c r="D18639" t="s">
        <v>4518</v>
      </c>
      <c r="E18639">
        <f t="shared" si="890"/>
        <v>3.125E-2</v>
      </c>
      <c r="F18639">
        <v>2</v>
      </c>
      <c r="G18639">
        <f>LOG(382/(2+1))</f>
        <v>2.1049421081920463</v>
      </c>
      <c r="H18639">
        <f>0.03125*4.84680831993846</f>
        <v>0.15146275999807687</v>
      </c>
      <c r="I18639">
        <v>0.15146275999807701</v>
      </c>
    </row>
    <row r="18640" spans="1:9" x14ac:dyDescent="0.25">
      <c r="A18640">
        <v>574</v>
      </c>
      <c r="B18640" t="s">
        <v>4511</v>
      </c>
      <c r="C18640" t="s">
        <v>10</v>
      </c>
      <c r="D18640" t="s">
        <v>4519</v>
      </c>
      <c r="E18640">
        <f t="shared" si="890"/>
        <v>3.125E-2</v>
      </c>
      <c r="F18640">
        <v>1</v>
      </c>
      <c r="G18640">
        <f>LOG(382/(1+1))</f>
        <v>2.2810333672477277</v>
      </c>
      <c r="H18640">
        <f>0.03125*5.25227342804663</f>
        <v>0.16413354462645718</v>
      </c>
      <c r="I18640">
        <v>0.16413354462645721</v>
      </c>
    </row>
    <row r="18641" spans="1:9" x14ac:dyDescent="0.25">
      <c r="A18641">
        <v>574</v>
      </c>
      <c r="B18641" t="s">
        <v>4511</v>
      </c>
      <c r="C18641" t="s">
        <v>10</v>
      </c>
      <c r="D18641" t="s">
        <v>4520</v>
      </c>
      <c r="E18641">
        <f t="shared" si="890"/>
        <v>3.125E-2</v>
      </c>
      <c r="F18641">
        <v>1</v>
      </c>
      <c r="G18641">
        <f>LOG(382/(1+1))</f>
        <v>2.2810333672477277</v>
      </c>
      <c r="H18641">
        <f>0.03125*5.25227342804663</f>
        <v>0.16413354462645718</v>
      </c>
      <c r="I18641">
        <v>0.16413354462645721</v>
      </c>
    </row>
    <row r="18642" spans="1:9" x14ac:dyDescent="0.25">
      <c r="A18642">
        <v>574</v>
      </c>
      <c r="B18642" t="s">
        <v>4511</v>
      </c>
      <c r="C18642" t="s">
        <v>10</v>
      </c>
      <c r="D18642" t="s">
        <v>1349</v>
      </c>
      <c r="E18642">
        <f t="shared" si="890"/>
        <v>3.125E-2</v>
      </c>
      <c r="F18642">
        <v>7</v>
      </c>
      <c r="G18642">
        <f>LOG(382/(7+1))</f>
        <v>1.6789733759197651</v>
      </c>
      <c r="H18642">
        <f>0.03125*3.86597906692673</f>
        <v>0.12081184584146032</v>
      </c>
      <c r="I18642">
        <v>0.1208118458414606</v>
      </c>
    </row>
    <row r="18643" spans="1:9" x14ac:dyDescent="0.25">
      <c r="A18643">
        <v>574</v>
      </c>
      <c r="B18643" t="s">
        <v>4511</v>
      </c>
      <c r="C18643" t="s">
        <v>10</v>
      </c>
      <c r="D18643" t="s">
        <v>1849</v>
      </c>
      <c r="E18643">
        <f t="shared" si="890"/>
        <v>3.125E-2</v>
      </c>
      <c r="F18643">
        <v>4</v>
      </c>
      <c r="G18643">
        <f>LOG(382/(4+1))</f>
        <v>1.8830933585756899</v>
      </c>
      <c r="H18643">
        <f>0.03125*4.33598269617247</f>
        <v>0.1354994592553897</v>
      </c>
      <c r="I18643">
        <v>0.13549945925538981</v>
      </c>
    </row>
    <row r="18644" spans="1:9" x14ac:dyDescent="0.25">
      <c r="A18644">
        <v>574</v>
      </c>
      <c r="B18644" t="s">
        <v>4511</v>
      </c>
      <c r="C18644" t="s">
        <v>10</v>
      </c>
      <c r="D18644" t="s">
        <v>1453</v>
      </c>
      <c r="E18644">
        <f t="shared" si="890"/>
        <v>3.125E-2</v>
      </c>
      <c r="F18644">
        <v>23</v>
      </c>
      <c r="G18644">
        <f>LOG(382/(23+1))</f>
        <v>1.2018521212001028</v>
      </c>
      <c r="H18644">
        <f>0.03125*2.76736677825862</f>
        <v>8.6480211820581881E-2</v>
      </c>
      <c r="I18644">
        <v>8.6480211820582173E-2</v>
      </c>
    </row>
    <row r="18645" spans="1:9" x14ac:dyDescent="0.25">
      <c r="A18645">
        <v>575</v>
      </c>
      <c r="B18645" t="s">
        <v>4521</v>
      </c>
      <c r="C18645" t="s">
        <v>10</v>
      </c>
      <c r="D18645" t="s">
        <v>39</v>
      </c>
      <c r="E18645">
        <f>3/92</f>
        <v>3.2608695652173912E-2</v>
      </c>
      <c r="F18645">
        <v>145</v>
      </c>
      <c r="G18645">
        <f>LOG(382/(145+1))</f>
        <v>0.41771050712727159</v>
      </c>
      <c r="H18645">
        <f>0.0326086956521739*0.961813986898238</f>
        <v>3.136349957276862E-2</v>
      </c>
      <c r="I18645">
        <v>3.1363499572768648E-2</v>
      </c>
    </row>
    <row r="18646" spans="1:9" x14ac:dyDescent="0.25">
      <c r="A18646">
        <v>575</v>
      </c>
      <c r="B18646" t="s">
        <v>4521</v>
      </c>
      <c r="C18646" t="s">
        <v>10</v>
      </c>
      <c r="D18646" t="s">
        <v>331</v>
      </c>
      <c r="E18646">
        <f>5/92</f>
        <v>5.434782608695652E-2</v>
      </c>
      <c r="F18646">
        <v>130</v>
      </c>
      <c r="G18646">
        <f>LOG(382/(130+1))</f>
        <v>0.46479206725594452</v>
      </c>
      <c r="H18646">
        <f>0.0543478260869565*1.07022328540542</f>
        <v>5.8164308989424984E-2</v>
      </c>
      <c r="I18646">
        <v>5.8164308989425199E-2</v>
      </c>
    </row>
    <row r="18647" spans="1:9" x14ac:dyDescent="0.25">
      <c r="A18647">
        <v>575</v>
      </c>
      <c r="B18647" t="s">
        <v>4521</v>
      </c>
      <c r="C18647" t="s">
        <v>10</v>
      </c>
      <c r="D18647" t="s">
        <v>1681</v>
      </c>
      <c r="E18647">
        <f>2/92</f>
        <v>2.1739130434782608E-2</v>
      </c>
      <c r="F18647">
        <v>2</v>
      </c>
      <c r="G18647">
        <f>LOG(382/(2+1))</f>
        <v>2.1049421081920463</v>
      </c>
      <c r="H18647">
        <f>0.0217391304347826*4.84680831993846</f>
        <v>0.1053653982595317</v>
      </c>
      <c r="I18647">
        <v>0.10536539825953189</v>
      </c>
    </row>
    <row r="18648" spans="1:9" x14ac:dyDescent="0.25">
      <c r="A18648">
        <v>575</v>
      </c>
      <c r="B18648" t="s">
        <v>4521</v>
      </c>
      <c r="C18648" t="s">
        <v>10</v>
      </c>
      <c r="D18648" t="s">
        <v>3251</v>
      </c>
      <c r="E18648">
        <f>2/92</f>
        <v>2.1739130434782608E-2</v>
      </c>
      <c r="F18648">
        <v>4</v>
      </c>
      <c r="G18648">
        <f>LOG(382/(4+1))</f>
        <v>1.8830933585756899</v>
      </c>
      <c r="H18648">
        <f>0.0217391304347826*4.33598269617247</f>
        <v>9.4260493395053671E-2</v>
      </c>
      <c r="I18648">
        <v>9.4260493395053796E-2</v>
      </c>
    </row>
    <row r="18649" spans="1:9" x14ac:dyDescent="0.25">
      <c r="A18649">
        <v>575</v>
      </c>
      <c r="B18649" t="s">
        <v>4521</v>
      </c>
      <c r="C18649" t="s">
        <v>10</v>
      </c>
      <c r="D18649" t="s">
        <v>42</v>
      </c>
      <c r="E18649">
        <f>1/92</f>
        <v>1.0869565217391304E-2</v>
      </c>
      <c r="F18649">
        <v>251</v>
      </c>
      <c r="G18649">
        <f>LOG(382/(251+1))</f>
        <v>0.18066282213016463</v>
      </c>
      <c r="H18649">
        <f>0.0108695652173913*0.415991521095151</f>
        <v>4.5216469684255522E-3</v>
      </c>
      <c r="I18649">
        <v>4.5216469684255644E-3</v>
      </c>
    </row>
    <row r="18650" spans="1:9" x14ac:dyDescent="0.25">
      <c r="A18650">
        <v>575</v>
      </c>
      <c r="B18650" t="s">
        <v>4521</v>
      </c>
      <c r="C18650" t="s">
        <v>10</v>
      </c>
      <c r="D18650" t="s">
        <v>17</v>
      </c>
      <c r="E18650">
        <f>2/92</f>
        <v>2.1739130434782608E-2</v>
      </c>
      <c r="F18650">
        <v>169</v>
      </c>
      <c r="G18650">
        <f>LOG(382/(169+1))</f>
        <v>0.3516144415334348</v>
      </c>
      <c r="H18650">
        <f>0.0217391304347826*0.809622171556313</f>
        <v>1.7600481990354626E-2</v>
      </c>
      <c r="I18650">
        <v>1.760048199035464E-2</v>
      </c>
    </row>
    <row r="18651" spans="1:9" x14ac:dyDescent="0.25">
      <c r="A18651">
        <v>575</v>
      </c>
      <c r="B18651" t="s">
        <v>4521</v>
      </c>
      <c r="C18651" t="s">
        <v>10</v>
      </c>
      <c r="D18651" t="s">
        <v>726</v>
      </c>
      <c r="E18651">
        <f>2/92</f>
        <v>2.1739130434782608E-2</v>
      </c>
      <c r="F18651">
        <v>37</v>
      </c>
      <c r="G18651">
        <f>LOG(382/(37+1))</f>
        <v>1.0022797662948986</v>
      </c>
      <c r="H18651">
        <f>0.0217391304347826*2.30783444888018</f>
        <v>5.0170314106090852E-2</v>
      </c>
      <c r="I18651">
        <v>5.0170314106091067E-2</v>
      </c>
    </row>
    <row r="18652" spans="1:9" x14ac:dyDescent="0.25">
      <c r="A18652">
        <v>575</v>
      </c>
      <c r="B18652" t="s">
        <v>4521</v>
      </c>
      <c r="C18652" t="s">
        <v>10</v>
      </c>
      <c r="D18652" t="s">
        <v>4522</v>
      </c>
      <c r="E18652">
        <f>2/92</f>
        <v>2.1739130434782608E-2</v>
      </c>
      <c r="F18652">
        <v>2</v>
      </c>
      <c r="G18652">
        <f>LOG(382/(2+1))</f>
        <v>2.1049421081920463</v>
      </c>
      <c r="H18652">
        <f>0.0217391304347826*4.84680831993846</f>
        <v>0.1053653982595317</v>
      </c>
      <c r="I18652">
        <v>0.10536539825953189</v>
      </c>
    </row>
    <row r="18653" spans="1:9" x14ac:dyDescent="0.25">
      <c r="A18653">
        <v>575</v>
      </c>
      <c r="B18653" t="s">
        <v>4521</v>
      </c>
      <c r="C18653" t="s">
        <v>10</v>
      </c>
      <c r="D18653" t="s">
        <v>19</v>
      </c>
      <c r="E18653">
        <f t="shared" ref="E18653:E18658" si="891">1/92</f>
        <v>1.0869565217391304E-2</v>
      </c>
      <c r="F18653">
        <v>220</v>
      </c>
      <c r="G18653">
        <f>LOG(382/(220+1))</f>
        <v>0.23767108922659805</v>
      </c>
      <c r="H18653">
        <f>0.0108695652173913*0.547257907088822</f>
        <v>5.9484555118350206E-3</v>
      </c>
      <c r="I18653">
        <v>5.9484555118350258E-3</v>
      </c>
    </row>
    <row r="18654" spans="1:9" x14ac:dyDescent="0.25">
      <c r="A18654">
        <v>575</v>
      </c>
      <c r="B18654" t="s">
        <v>4521</v>
      </c>
      <c r="C18654" t="s">
        <v>10</v>
      </c>
      <c r="D18654" t="s">
        <v>195</v>
      </c>
      <c r="E18654">
        <f t="shared" si="891"/>
        <v>1.0869565217391304E-2</v>
      </c>
      <c r="F18654">
        <v>55</v>
      </c>
      <c r="G18654">
        <f>LOG(382/(55+1))</f>
        <v>0.83387533590550833</v>
      </c>
      <c r="H18654">
        <f>0.0108695652173913*1.92006891787142</f>
        <v>2.0870314324689342E-2</v>
      </c>
      <c r="I18654">
        <v>2.0870314324689412E-2</v>
      </c>
    </row>
    <row r="18655" spans="1:9" x14ac:dyDescent="0.25">
      <c r="A18655">
        <v>575</v>
      </c>
      <c r="B18655" t="s">
        <v>4521</v>
      </c>
      <c r="C18655" t="s">
        <v>10</v>
      </c>
      <c r="D18655" t="s">
        <v>22</v>
      </c>
      <c r="E18655">
        <f t="shared" si="891"/>
        <v>1.0869565217391304E-2</v>
      </c>
      <c r="F18655">
        <v>259</v>
      </c>
      <c r="G18655">
        <f>LOG(382/(259+1))</f>
        <v>0.16709001494089079</v>
      </c>
      <c r="H18655">
        <f>0.0108695652173913*0.384738977591047</f>
        <v>4.181945408598336E-3</v>
      </c>
      <c r="I18655">
        <v>4.1819454085983429E-3</v>
      </c>
    </row>
    <row r="18656" spans="1:9" x14ac:dyDescent="0.25">
      <c r="A18656">
        <v>575</v>
      </c>
      <c r="B18656" t="s">
        <v>4521</v>
      </c>
      <c r="C18656" t="s">
        <v>10</v>
      </c>
      <c r="D18656" t="s">
        <v>23</v>
      </c>
      <c r="E18656">
        <f t="shared" si="891"/>
        <v>1.0869565217391304E-2</v>
      </c>
      <c r="F18656">
        <v>275</v>
      </c>
      <c r="G18656">
        <f>LOG(382/(275+1))</f>
        <v>0.14115428084649101</v>
      </c>
      <c r="H18656">
        <f>0.0108695652173913*0.325019742889425</f>
        <v>3.5328232922763572E-3</v>
      </c>
      <c r="I18656">
        <v>3.5328232922763598E-3</v>
      </c>
    </row>
    <row r="18657" spans="1:9" x14ac:dyDescent="0.25">
      <c r="A18657">
        <v>575</v>
      </c>
      <c r="B18657" t="s">
        <v>4521</v>
      </c>
      <c r="C18657" t="s">
        <v>10</v>
      </c>
      <c r="D18657" t="s">
        <v>204</v>
      </c>
      <c r="E18657">
        <f t="shared" si="891"/>
        <v>1.0869565217391304E-2</v>
      </c>
      <c r="F18657">
        <v>166</v>
      </c>
      <c r="G18657">
        <f>LOG(382/(166+1))</f>
        <v>0.35934689176412549</v>
      </c>
      <c r="H18657">
        <f>0.0108695652173913*0.82742679618982</f>
        <v>8.9937695238023873E-3</v>
      </c>
      <c r="I18657">
        <v>8.9937695238023925E-3</v>
      </c>
    </row>
    <row r="18658" spans="1:9" x14ac:dyDescent="0.25">
      <c r="A18658">
        <v>575</v>
      </c>
      <c r="B18658" t="s">
        <v>4521</v>
      </c>
      <c r="C18658" t="s">
        <v>10</v>
      </c>
      <c r="D18658" t="s">
        <v>76</v>
      </c>
      <c r="E18658">
        <f t="shared" si="891"/>
        <v>1.0869565217391304E-2</v>
      </c>
      <c r="F18658">
        <v>140</v>
      </c>
      <c r="G18658">
        <f>LOG(382/(140+1))</f>
        <v>0.43284425025632883</v>
      </c>
      <c r="H18658">
        <f>0.0108695652173913*0.996660718228407</f>
        <v>1.0833268676395724E-2</v>
      </c>
      <c r="I18658">
        <v>1.0833268676395729E-2</v>
      </c>
    </row>
    <row r="18659" spans="1:9" x14ac:dyDescent="0.25">
      <c r="A18659">
        <v>575</v>
      </c>
      <c r="B18659" t="s">
        <v>4521</v>
      </c>
      <c r="C18659" t="s">
        <v>10</v>
      </c>
      <c r="D18659" t="s">
        <v>77</v>
      </c>
      <c r="E18659">
        <f>2/92</f>
        <v>2.1739130434782608E-2</v>
      </c>
      <c r="F18659">
        <v>148</v>
      </c>
      <c r="G18659">
        <f>LOG(382/(148+1))</f>
        <v>0.40887709449943471</v>
      </c>
      <c r="H18659">
        <f>0.0217391304347826*0.941474302661116</f>
        <v>2.0466832666545993E-2</v>
      </c>
      <c r="I18659">
        <v>2.0466832666546E-2</v>
      </c>
    </row>
    <row r="18660" spans="1:9" x14ac:dyDescent="0.25">
      <c r="A18660">
        <v>575</v>
      </c>
      <c r="B18660" t="s">
        <v>4521</v>
      </c>
      <c r="C18660" t="s">
        <v>10</v>
      </c>
      <c r="D18660" t="s">
        <v>78</v>
      </c>
      <c r="E18660">
        <f>2/92</f>
        <v>2.1739130434782608E-2</v>
      </c>
      <c r="F18660">
        <v>122</v>
      </c>
      <c r="G18660">
        <f>LOG(382/(122+1))</f>
        <v>0.49215825147231079</v>
      </c>
      <c r="H18660">
        <f>0.0217391304347826*1.13323625323415</f>
        <v>2.4635570722481515E-2</v>
      </c>
      <c r="I18660">
        <v>2.4635570722481681E-2</v>
      </c>
    </row>
    <row r="18661" spans="1:9" x14ac:dyDescent="0.25">
      <c r="A18661">
        <v>575</v>
      </c>
      <c r="B18661" t="s">
        <v>4521</v>
      </c>
      <c r="C18661" t="s">
        <v>10</v>
      </c>
      <c r="D18661" t="s">
        <v>483</v>
      </c>
      <c r="E18661">
        <f>1/92</f>
        <v>1.0869565217391304E-2</v>
      </c>
      <c r="F18661">
        <v>61</v>
      </c>
      <c r="G18661">
        <f>LOG(382/(61+1))</f>
        <v>0.7896716734134549</v>
      </c>
      <c r="H18661">
        <f>0.0108695652173913*1.81828622356148</f>
        <v>1.9763980690885648E-2</v>
      </c>
      <c r="I18661">
        <v>1.9763980690885689E-2</v>
      </c>
    </row>
    <row r="18662" spans="1:9" x14ac:dyDescent="0.25">
      <c r="A18662">
        <v>575</v>
      </c>
      <c r="B18662" t="s">
        <v>4521</v>
      </c>
      <c r="C18662" t="s">
        <v>10</v>
      </c>
      <c r="D18662" t="s">
        <v>764</v>
      </c>
      <c r="E18662">
        <f>1/92</f>
        <v>1.0869565217391304E-2</v>
      </c>
      <c r="F18662">
        <v>57</v>
      </c>
      <c r="G18662">
        <f>LOG(382/(57+1))</f>
        <v>0.81863536934877146</v>
      </c>
      <c r="H18662">
        <f>0.0108695652173913*1.88497759806015</f>
        <v>2.0488886935436407E-2</v>
      </c>
      <c r="I18662">
        <v>2.048888693543648E-2</v>
      </c>
    </row>
    <row r="18663" spans="1:9" x14ac:dyDescent="0.25">
      <c r="A18663">
        <v>575</v>
      </c>
      <c r="B18663" t="s">
        <v>4521</v>
      </c>
      <c r="C18663" t="s">
        <v>10</v>
      </c>
      <c r="D18663" t="s">
        <v>1289</v>
      </c>
      <c r="E18663">
        <f>1/92</f>
        <v>1.0869565217391304E-2</v>
      </c>
      <c r="F18663">
        <v>8</v>
      </c>
      <c r="G18663">
        <f>LOG(382/(8+1))</f>
        <v>1.6278208534723839</v>
      </c>
      <c r="H18663">
        <f>0.0108695652173913*3.74819603127035</f>
        <v>4.0741261209460311E-2</v>
      </c>
      <c r="I18663">
        <v>4.0741261209460387E-2</v>
      </c>
    </row>
    <row r="18664" spans="1:9" x14ac:dyDescent="0.25">
      <c r="A18664">
        <v>575</v>
      </c>
      <c r="B18664" t="s">
        <v>4521</v>
      </c>
      <c r="C18664" t="s">
        <v>10</v>
      </c>
      <c r="D18664" t="s">
        <v>133</v>
      </c>
      <c r="E18664">
        <f>3/92</f>
        <v>3.2608695652173912E-2</v>
      </c>
      <c r="F18664">
        <v>142</v>
      </c>
      <c r="G18664">
        <f>LOG(382/(142+1))</f>
        <v>0.42672732544664693</v>
      </c>
      <c r="H18664">
        <f>0.0326086956521739*0.982575978346667</f>
        <v>3.2040521033043473E-2</v>
      </c>
      <c r="I18664">
        <v>3.2040521033043508E-2</v>
      </c>
    </row>
    <row r="18665" spans="1:9" x14ac:dyDescent="0.25">
      <c r="A18665">
        <v>575</v>
      </c>
      <c r="B18665" t="s">
        <v>4521</v>
      </c>
      <c r="C18665" t="s">
        <v>10</v>
      </c>
      <c r="D18665" t="s">
        <v>144</v>
      </c>
      <c r="E18665">
        <f>1/92</f>
        <v>1.0869565217391304E-2</v>
      </c>
      <c r="F18665">
        <v>105</v>
      </c>
      <c r="G18665">
        <f>LOG(382/(105+1))</f>
        <v>0.55675749764693849</v>
      </c>
      <c r="H18665">
        <f>0.0108695652173913*1.2819815144945</f>
        <v>1.3934581679288039E-2</v>
      </c>
      <c r="I18665">
        <v>1.3934581679288131E-2</v>
      </c>
    </row>
    <row r="18666" spans="1:9" x14ac:dyDescent="0.25">
      <c r="A18666">
        <v>575</v>
      </c>
      <c r="B18666" t="s">
        <v>4521</v>
      </c>
      <c r="C18666" t="s">
        <v>10</v>
      </c>
      <c r="D18666" t="s">
        <v>1398</v>
      </c>
      <c r="E18666">
        <f>1/92</f>
        <v>1.0869565217391304E-2</v>
      </c>
      <c r="F18666">
        <v>29</v>
      </c>
      <c r="G18666">
        <f>LOG(382/(29+1))</f>
        <v>1.1049421081920463</v>
      </c>
      <c r="H18666">
        <f>0.0108695652173913*2.54422322694442</f>
        <v>2.7654600292874119E-2</v>
      </c>
      <c r="I18666">
        <v>2.7654600292874129E-2</v>
      </c>
    </row>
    <row r="18667" spans="1:9" x14ac:dyDescent="0.25">
      <c r="A18667">
        <v>575</v>
      </c>
      <c r="B18667" t="s">
        <v>4521</v>
      </c>
      <c r="C18667" t="s">
        <v>10</v>
      </c>
      <c r="D18667" t="s">
        <v>339</v>
      </c>
      <c r="E18667">
        <f>1/92</f>
        <v>1.0869565217391304E-2</v>
      </c>
      <c r="F18667">
        <v>66</v>
      </c>
      <c r="G18667">
        <f>LOG(382/(66+1))</f>
        <v>0.75598856021088234</v>
      </c>
      <c r="H18667">
        <f>0.0108695652173913*1.7407279892156</f>
        <v>1.8920956404517384E-2</v>
      </c>
      <c r="I18667">
        <v>1.8920956404517492E-2</v>
      </c>
    </row>
    <row r="18668" spans="1:9" x14ac:dyDescent="0.25">
      <c r="A18668">
        <v>575</v>
      </c>
      <c r="B18668" t="s">
        <v>4521</v>
      </c>
      <c r="C18668" t="s">
        <v>10</v>
      </c>
      <c r="D18668" t="s">
        <v>600</v>
      </c>
      <c r="E18668">
        <f>3/92</f>
        <v>3.2608695652173912E-2</v>
      </c>
      <c r="F18668">
        <v>102</v>
      </c>
      <c r="G18668">
        <f>LOG(382/(102+1))</f>
        <v>0.56922613820653656</v>
      </c>
      <c r="H18668">
        <f>0.0326086956521739*1.31069162037693</f>
        <v>4.2739944142725965E-2</v>
      </c>
      <c r="I18668">
        <v>4.2739944142726277E-2</v>
      </c>
    </row>
    <row r="18669" spans="1:9" x14ac:dyDescent="0.25">
      <c r="A18669">
        <v>575</v>
      </c>
      <c r="B18669" t="s">
        <v>4521</v>
      </c>
      <c r="C18669" t="s">
        <v>10</v>
      </c>
      <c r="D18669" t="s">
        <v>1283</v>
      </c>
      <c r="E18669">
        <f>1/92</f>
        <v>1.0869565217391304E-2</v>
      </c>
      <c r="F18669">
        <v>8</v>
      </c>
      <c r="G18669">
        <f>LOG(382/(8+1))</f>
        <v>1.6278208534723839</v>
      </c>
      <c r="H18669">
        <f>0.0108695652173913*3.74819603127035</f>
        <v>4.0741261209460311E-2</v>
      </c>
      <c r="I18669">
        <v>4.0741261209460387E-2</v>
      </c>
    </row>
    <row r="18670" spans="1:9" x14ac:dyDescent="0.25">
      <c r="A18670">
        <v>575</v>
      </c>
      <c r="B18670" t="s">
        <v>4521</v>
      </c>
      <c r="C18670" t="s">
        <v>10</v>
      </c>
      <c r="D18670" t="s">
        <v>814</v>
      </c>
      <c r="E18670">
        <f>1/92</f>
        <v>1.0869565217391304E-2</v>
      </c>
      <c r="F18670">
        <v>18</v>
      </c>
      <c r="G18670">
        <f>LOG(382/(18+1))</f>
        <v>1.3033097619588798</v>
      </c>
      <c r="H18670">
        <f>0.0108695652173913*3.00098162944013</f>
        <v>3.2619365537392704E-2</v>
      </c>
      <c r="I18670">
        <v>3.2619365537392767E-2</v>
      </c>
    </row>
    <row r="18671" spans="1:9" x14ac:dyDescent="0.25">
      <c r="A18671">
        <v>575</v>
      </c>
      <c r="B18671" t="s">
        <v>4521</v>
      </c>
      <c r="C18671" t="s">
        <v>10</v>
      </c>
      <c r="D18671" t="s">
        <v>1401</v>
      </c>
      <c r="E18671">
        <f>1/92</f>
        <v>1.0869565217391304E-2</v>
      </c>
      <c r="F18671">
        <v>16</v>
      </c>
      <c r="G18671">
        <f>LOG(382/(16+1))</f>
        <v>1.3516144415334348</v>
      </c>
      <c r="H18671">
        <f>0.0108695652173913*3.11220726455035</f>
        <v>3.382833983206901E-2</v>
      </c>
      <c r="I18671">
        <v>3.3828339832069121E-2</v>
      </c>
    </row>
    <row r="18672" spans="1:9" x14ac:dyDescent="0.25">
      <c r="A18672">
        <v>575</v>
      </c>
      <c r="B18672" t="s">
        <v>4521</v>
      </c>
      <c r="C18672" t="s">
        <v>10</v>
      </c>
      <c r="D18672" t="s">
        <v>82</v>
      </c>
      <c r="E18672">
        <f>2/92</f>
        <v>2.1739130434782608E-2</v>
      </c>
      <c r="F18672">
        <v>92</v>
      </c>
      <c r="G18672">
        <f>LOG(382/(92+1))</f>
        <v>0.61358041435777355</v>
      </c>
      <c r="H18672">
        <f>0.0217391304347826*1.41282111545331</f>
        <v>3.0713502509854551E-2</v>
      </c>
      <c r="I18672">
        <v>3.071350250985477E-2</v>
      </c>
    </row>
    <row r="18673" spans="1:9" x14ac:dyDescent="0.25">
      <c r="A18673">
        <v>575</v>
      </c>
      <c r="B18673" t="s">
        <v>4521</v>
      </c>
      <c r="C18673" t="s">
        <v>10</v>
      </c>
      <c r="D18673" t="s">
        <v>4523</v>
      </c>
      <c r="E18673">
        <f>1/92</f>
        <v>1.0869565217391304E-2</v>
      </c>
      <c r="F18673">
        <v>1</v>
      </c>
      <c r="G18673">
        <f>LOG(382/(1+1))</f>
        <v>2.2810333672477277</v>
      </c>
      <c r="H18673">
        <f>0.0108695652173913*5.25227342804663</f>
        <v>5.7089928565724216E-2</v>
      </c>
      <c r="I18673">
        <v>5.7089928565724243E-2</v>
      </c>
    </row>
    <row r="18674" spans="1:9" x14ac:dyDescent="0.25">
      <c r="A18674">
        <v>575</v>
      </c>
      <c r="B18674" t="s">
        <v>4521</v>
      </c>
      <c r="C18674" t="s">
        <v>10</v>
      </c>
      <c r="D18674" t="s">
        <v>361</v>
      </c>
      <c r="E18674">
        <f>1/92</f>
        <v>1.0869565217391304E-2</v>
      </c>
      <c r="F18674">
        <v>118</v>
      </c>
      <c r="G18674">
        <f>LOG(382/(118+1))</f>
        <v>0.50651640151917798</v>
      </c>
      <c r="H18674">
        <f>0.0108695652173913*1.16629711549504</f>
        <v>1.2677142559728689E-2</v>
      </c>
      <c r="I18674">
        <v>1.267714255972876E-2</v>
      </c>
    </row>
    <row r="18675" spans="1:9" x14ac:dyDescent="0.25">
      <c r="A18675">
        <v>575</v>
      </c>
      <c r="B18675" t="s">
        <v>4521</v>
      </c>
      <c r="C18675" t="s">
        <v>10</v>
      </c>
      <c r="D18675" t="s">
        <v>336</v>
      </c>
      <c r="E18675">
        <f>1/92</f>
        <v>1.0869565217391304E-2</v>
      </c>
      <c r="F18675">
        <v>10</v>
      </c>
      <c r="G18675">
        <f>LOG(382/(10+1))</f>
        <v>1.5406706777534838</v>
      </c>
      <c r="H18675">
        <f>0.0108695652173913*3.5475253358082</f>
        <v>3.8560057997915204E-2</v>
      </c>
      <c r="I18675">
        <v>3.8560057997915273E-2</v>
      </c>
    </row>
    <row r="18676" spans="1:9" x14ac:dyDescent="0.25">
      <c r="A18676">
        <v>575</v>
      </c>
      <c r="B18676" t="s">
        <v>4521</v>
      </c>
      <c r="C18676" t="s">
        <v>10</v>
      </c>
      <c r="D18676" t="s">
        <v>688</v>
      </c>
      <c r="E18676">
        <f>1/92</f>
        <v>1.0869565217391304E-2</v>
      </c>
      <c r="F18676">
        <v>23</v>
      </c>
      <c r="G18676">
        <f>LOG(382/(23+1))</f>
        <v>1.2018521212001028</v>
      </c>
      <c r="H18676">
        <f>0.0108695652173913*2.76736677825862</f>
        <v>3.0080073676724123E-2</v>
      </c>
      <c r="I18676">
        <v>3.0080073676724231E-2</v>
      </c>
    </row>
    <row r="18677" spans="1:9" x14ac:dyDescent="0.25">
      <c r="A18677">
        <v>575</v>
      </c>
      <c r="B18677" t="s">
        <v>4521</v>
      </c>
      <c r="C18677" t="s">
        <v>10</v>
      </c>
      <c r="D18677" t="s">
        <v>1492</v>
      </c>
      <c r="E18677">
        <f>1/92</f>
        <v>1.0869565217391304E-2</v>
      </c>
      <c r="F18677">
        <v>8</v>
      </c>
      <c r="G18677">
        <f>LOG(382/(8+1))</f>
        <v>1.6278208534723839</v>
      </c>
      <c r="H18677">
        <f>0.0108695652173913*3.74819603127035</f>
        <v>4.0741261209460311E-2</v>
      </c>
      <c r="I18677">
        <v>4.0741261209460387E-2</v>
      </c>
    </row>
    <row r="18678" spans="1:9" x14ac:dyDescent="0.25">
      <c r="A18678">
        <v>575</v>
      </c>
      <c r="B18678" t="s">
        <v>4521</v>
      </c>
      <c r="C18678" t="s">
        <v>10</v>
      </c>
      <c r="D18678" t="s">
        <v>322</v>
      </c>
      <c r="E18678">
        <f>2/92</f>
        <v>2.1739130434782608E-2</v>
      </c>
      <c r="F18678">
        <v>128</v>
      </c>
      <c r="G18678">
        <f>LOG(382/(128+1))</f>
        <v>0.47147365261245977</v>
      </c>
      <c r="H18678">
        <f>0.0217391304347826*1.0856082042449</f>
        <v>2.3600178353149991E-2</v>
      </c>
      <c r="I18678">
        <v>2.3600178353150071E-2</v>
      </c>
    </row>
    <row r="18679" spans="1:9" x14ac:dyDescent="0.25">
      <c r="A18679">
        <v>575</v>
      </c>
      <c r="B18679" t="s">
        <v>4521</v>
      </c>
      <c r="C18679" t="s">
        <v>10</v>
      </c>
      <c r="D18679" t="s">
        <v>123</v>
      </c>
      <c r="E18679">
        <f>3/92</f>
        <v>3.2608695652173912E-2</v>
      </c>
      <c r="F18679">
        <v>74</v>
      </c>
      <c r="G18679">
        <f>LOG(382/(74+1))</f>
        <v>0.7070020995200087</v>
      </c>
      <c r="H18679">
        <f>0.0326086956521739*1.62793249507026</f>
        <v>5.3084755274030192E-2</v>
      </c>
      <c r="I18679">
        <v>5.3084755274030372E-2</v>
      </c>
    </row>
    <row r="18680" spans="1:9" x14ac:dyDescent="0.25">
      <c r="A18680">
        <v>575</v>
      </c>
      <c r="B18680" t="s">
        <v>4521</v>
      </c>
      <c r="C18680" t="s">
        <v>10</v>
      </c>
      <c r="D18680" t="s">
        <v>324</v>
      </c>
      <c r="E18680">
        <f>3/92</f>
        <v>3.2608695652173912E-2</v>
      </c>
      <c r="F18680">
        <v>82</v>
      </c>
      <c r="G18680">
        <f>LOG(382/(82+1))</f>
        <v>0.66298527053563483</v>
      </c>
      <c r="H18680">
        <f>0.0326086956521739*1.52658000080997</f>
        <v>4.977978263510769E-2</v>
      </c>
      <c r="I18680">
        <v>4.9779782635107947E-2</v>
      </c>
    </row>
    <row r="18681" spans="1:9" x14ac:dyDescent="0.25">
      <c r="A18681">
        <v>575</v>
      </c>
      <c r="B18681" t="s">
        <v>4521</v>
      </c>
      <c r="C18681" t="s">
        <v>10</v>
      </c>
      <c r="D18681" t="s">
        <v>81</v>
      </c>
      <c r="E18681">
        <f t="shared" ref="E18681:E18690" si="892">1/92</f>
        <v>1.0869565217391304E-2</v>
      </c>
      <c r="F18681">
        <v>114</v>
      </c>
      <c r="G18681">
        <f>LOG(382/(114+1))</f>
        <v>0.52136552255809698</v>
      </c>
      <c r="H18681">
        <f>0.0108695652173913*1.20048848024332</f>
        <v>1.3048787828731735E-2</v>
      </c>
      <c r="I18681">
        <v>1.3048787828731791E-2</v>
      </c>
    </row>
    <row r="18682" spans="1:9" x14ac:dyDescent="0.25">
      <c r="A18682">
        <v>575</v>
      </c>
      <c r="B18682" t="s">
        <v>4521</v>
      </c>
      <c r="C18682" t="s">
        <v>10</v>
      </c>
      <c r="D18682" t="s">
        <v>1222</v>
      </c>
      <c r="E18682">
        <f t="shared" si="892"/>
        <v>1.0869565217391304E-2</v>
      </c>
      <c r="F18682">
        <v>56</v>
      </c>
      <c r="G18682">
        <f>LOG(382/(56+1))</f>
        <v>0.82618850723921733</v>
      </c>
      <c r="H18682">
        <f>0.0108695652173913*1.90236934077202</f>
        <v>2.0677927617087165E-2</v>
      </c>
      <c r="I18682">
        <v>2.0677927617087231E-2</v>
      </c>
    </row>
    <row r="18683" spans="1:9" x14ac:dyDescent="0.25">
      <c r="A18683">
        <v>575</v>
      </c>
      <c r="B18683" t="s">
        <v>4521</v>
      </c>
      <c r="C18683" t="s">
        <v>10</v>
      </c>
      <c r="D18683" t="s">
        <v>1544</v>
      </c>
      <c r="E18683">
        <f t="shared" si="892"/>
        <v>1.0869565217391304E-2</v>
      </c>
      <c r="F18683">
        <v>19</v>
      </c>
      <c r="G18683">
        <f>LOG(382/(19+1))</f>
        <v>1.2810333672477277</v>
      </c>
      <c r="H18683">
        <f>0.0108695652173913*2.94968833505258</f>
        <v>3.2061829728832383E-2</v>
      </c>
      <c r="I18683">
        <v>3.2061829728832439E-2</v>
      </c>
    </row>
    <row r="18684" spans="1:9" x14ac:dyDescent="0.25">
      <c r="A18684">
        <v>575</v>
      </c>
      <c r="B18684" t="s">
        <v>4521</v>
      </c>
      <c r="C18684" t="s">
        <v>10</v>
      </c>
      <c r="D18684" t="s">
        <v>1540</v>
      </c>
      <c r="E18684">
        <f t="shared" si="892"/>
        <v>1.0869565217391304E-2</v>
      </c>
      <c r="F18684">
        <v>12</v>
      </c>
      <c r="G18684">
        <f>LOG(382/(12+1))</f>
        <v>1.468120010604872</v>
      </c>
      <c r="H18684">
        <f>0.0108695652173913*3.38047125114503</f>
        <v>3.6744252729837272E-2</v>
      </c>
      <c r="I18684">
        <v>3.6744252729837383E-2</v>
      </c>
    </row>
    <row r="18685" spans="1:9" x14ac:dyDescent="0.25">
      <c r="A18685">
        <v>575</v>
      </c>
      <c r="B18685" t="s">
        <v>4521</v>
      </c>
      <c r="C18685" t="s">
        <v>10</v>
      </c>
      <c r="D18685" t="s">
        <v>237</v>
      </c>
      <c r="E18685">
        <f t="shared" si="892"/>
        <v>1.0869565217391304E-2</v>
      </c>
      <c r="F18685">
        <v>138</v>
      </c>
      <c r="G18685">
        <f>LOG(382/(138+1))</f>
        <v>0.43904856265761361</v>
      </c>
      <c r="H18685">
        <f>0.0108695652173913*1.01094667547588</f>
        <v>1.0988550820389997E-2</v>
      </c>
      <c r="I18685">
        <v>1.098855082039004E-2</v>
      </c>
    </row>
    <row r="18686" spans="1:9" x14ac:dyDescent="0.25">
      <c r="A18686">
        <v>575</v>
      </c>
      <c r="B18686" t="s">
        <v>4521</v>
      </c>
      <c r="C18686" t="s">
        <v>10</v>
      </c>
      <c r="D18686" t="s">
        <v>594</v>
      </c>
      <c r="E18686">
        <f t="shared" si="892"/>
        <v>1.0869565217391304E-2</v>
      </c>
      <c r="F18686">
        <v>36</v>
      </c>
      <c r="G18686">
        <f>LOG(382/(36+1))</f>
        <v>1.0138616388447137</v>
      </c>
      <c r="H18686">
        <f>0.0108695652173913*2.33450269596235</f>
        <v>2.537502930393858E-2</v>
      </c>
      <c r="I18686">
        <v>2.53750293039386E-2</v>
      </c>
    </row>
    <row r="18687" spans="1:9" x14ac:dyDescent="0.25">
      <c r="A18687">
        <v>575</v>
      </c>
      <c r="B18687" t="s">
        <v>4521</v>
      </c>
      <c r="C18687" t="s">
        <v>10</v>
      </c>
      <c r="D18687" t="s">
        <v>469</v>
      </c>
      <c r="E18687">
        <f t="shared" si="892"/>
        <v>1.0869565217391304E-2</v>
      </c>
      <c r="F18687">
        <v>13</v>
      </c>
      <c r="G18687">
        <f>LOG(382/(13+1))</f>
        <v>1.4359353272334707</v>
      </c>
      <c r="H18687">
        <f>0.0108695652173913*3.30636327899131</f>
        <v>3.5938731293383791E-2</v>
      </c>
      <c r="I18687">
        <v>3.5938731293383867E-2</v>
      </c>
    </row>
    <row r="18688" spans="1:9" x14ac:dyDescent="0.25">
      <c r="A18688">
        <v>575</v>
      </c>
      <c r="B18688" t="s">
        <v>4521</v>
      </c>
      <c r="C18688" t="s">
        <v>10</v>
      </c>
      <c r="D18688" t="s">
        <v>1083</v>
      </c>
      <c r="E18688">
        <f t="shared" si="892"/>
        <v>1.0869565217391304E-2</v>
      </c>
      <c r="F18688">
        <v>51</v>
      </c>
      <c r="G18688">
        <f>LOG(382/(51+1))</f>
        <v>0.86606001927690957</v>
      </c>
      <c r="H18688">
        <f>0.0108695652173913*1.99417689002514</f>
        <v>2.167583576114282E-2</v>
      </c>
      <c r="I18688">
        <v>2.167583576114291E-2</v>
      </c>
    </row>
    <row r="18689" spans="1:9" x14ac:dyDescent="0.25">
      <c r="A18689">
        <v>575</v>
      </c>
      <c r="B18689" t="s">
        <v>4521</v>
      </c>
      <c r="C18689" t="s">
        <v>10</v>
      </c>
      <c r="D18689" t="s">
        <v>1626</v>
      </c>
      <c r="E18689">
        <f t="shared" si="892"/>
        <v>1.0869565217391304E-2</v>
      </c>
      <c r="F18689">
        <v>32</v>
      </c>
      <c r="G18689">
        <f>LOG(382/(32+1))</f>
        <v>1.0635494230338212</v>
      </c>
      <c r="H18689">
        <f>0.0108695652173913*2.44891304714009</f>
        <v>2.6618620077609668E-2</v>
      </c>
      <c r="I18689">
        <v>2.661862007760973E-2</v>
      </c>
    </row>
    <row r="18690" spans="1:9" x14ac:dyDescent="0.25">
      <c r="A18690">
        <v>575</v>
      </c>
      <c r="B18690" t="s">
        <v>4521</v>
      </c>
      <c r="C18690" t="s">
        <v>10</v>
      </c>
      <c r="D18690" t="s">
        <v>236</v>
      </c>
      <c r="E18690">
        <f t="shared" si="892"/>
        <v>1.0869565217391304E-2</v>
      </c>
      <c r="F18690">
        <v>87</v>
      </c>
      <c r="G18690">
        <f>LOG(382/(87+1))</f>
        <v>0.63758069076154011</v>
      </c>
      <c r="H18690">
        <f>0.0108695652173913*1.46808379412836</f>
        <v>1.5957432544873473E-2</v>
      </c>
      <c r="I18690">
        <v>1.595743254487357E-2</v>
      </c>
    </row>
    <row r="18691" spans="1:9" x14ac:dyDescent="0.25">
      <c r="A18691">
        <v>575</v>
      </c>
      <c r="B18691" t="s">
        <v>4521</v>
      </c>
      <c r="C18691" t="s">
        <v>10</v>
      </c>
      <c r="D18691" t="s">
        <v>283</v>
      </c>
      <c r="E18691">
        <f>2/92</f>
        <v>2.1739130434782608E-2</v>
      </c>
      <c r="F18691">
        <v>16</v>
      </c>
      <c r="G18691">
        <f>LOG(382/(16+1))</f>
        <v>1.3516144415334348</v>
      </c>
      <c r="H18691">
        <f>0.0217391304347826*3.11220726455035</f>
        <v>6.765667966413802E-2</v>
      </c>
      <c r="I18691">
        <v>6.7656679664138242E-2</v>
      </c>
    </row>
    <row r="18692" spans="1:9" x14ac:dyDescent="0.25">
      <c r="A18692">
        <v>575</v>
      </c>
      <c r="B18692" t="s">
        <v>4521</v>
      </c>
      <c r="C18692" t="s">
        <v>10</v>
      </c>
      <c r="D18692" t="s">
        <v>1176</v>
      </c>
      <c r="E18692">
        <f>1/92</f>
        <v>1.0869565217391304E-2</v>
      </c>
      <c r="F18692">
        <v>15</v>
      </c>
      <c r="G18692">
        <f>LOG(382/(15+1))</f>
        <v>1.3779433802557839</v>
      </c>
      <c r="H18692">
        <f>0.0108695652173913*3.17283188636679</f>
        <v>3.4487303112682492E-2</v>
      </c>
      <c r="I18692">
        <v>3.4487303112682541E-2</v>
      </c>
    </row>
    <row r="18693" spans="1:9" x14ac:dyDescent="0.25">
      <c r="A18693">
        <v>575</v>
      </c>
      <c r="B18693" t="s">
        <v>4521</v>
      </c>
      <c r="C18693" t="s">
        <v>10</v>
      </c>
      <c r="D18693" t="s">
        <v>754</v>
      </c>
      <c r="E18693">
        <f>1/92</f>
        <v>1.0869565217391304E-2</v>
      </c>
      <c r="F18693">
        <v>111</v>
      </c>
      <c r="G18693">
        <f>LOG(382/(111+1))</f>
        <v>0.53284534024152708</v>
      </c>
      <c r="H18693">
        <f>0.0108695652173913*1.22692173731148</f>
        <v>1.333610584034217E-2</v>
      </c>
      <c r="I18693">
        <v>1.333610584034218E-2</v>
      </c>
    </row>
    <row r="18694" spans="1:9" x14ac:dyDescent="0.25">
      <c r="A18694">
        <v>575</v>
      </c>
      <c r="B18694" t="s">
        <v>4521</v>
      </c>
      <c r="C18694" t="s">
        <v>10</v>
      </c>
      <c r="D18694" t="s">
        <v>450</v>
      </c>
      <c r="E18694">
        <f>1/92</f>
        <v>1.0869565217391304E-2</v>
      </c>
      <c r="F18694">
        <v>17</v>
      </c>
      <c r="G18694">
        <f>LOG(382/(17+1))</f>
        <v>1.3267908578084027</v>
      </c>
      <c r="H18694">
        <f>0.0108695652173913*3.05504885071041</f>
        <v>3.3207052725113137E-2</v>
      </c>
      <c r="I18694">
        <v>3.3207052725113158E-2</v>
      </c>
    </row>
    <row r="18695" spans="1:9" x14ac:dyDescent="0.25">
      <c r="A18695">
        <v>575</v>
      </c>
      <c r="B18695" t="s">
        <v>4521</v>
      </c>
      <c r="C18695" t="s">
        <v>10</v>
      </c>
      <c r="D18695" t="s">
        <v>309</v>
      </c>
      <c r="E18695">
        <f>1/92</f>
        <v>1.0869565217391304E-2</v>
      </c>
      <c r="F18695">
        <v>25</v>
      </c>
      <c r="G18695">
        <f>LOG(382/(25+1))</f>
        <v>1.1670900149408907</v>
      </c>
      <c r="H18695">
        <f>0.0108695652173913*2.68732407058509</f>
        <v>2.9210044245490098E-2</v>
      </c>
      <c r="I18695">
        <v>2.921004424549014E-2</v>
      </c>
    </row>
    <row r="18696" spans="1:9" x14ac:dyDescent="0.25">
      <c r="A18696">
        <v>575</v>
      </c>
      <c r="B18696" t="s">
        <v>4521</v>
      </c>
      <c r="C18696" t="s">
        <v>10</v>
      </c>
      <c r="D18696" t="s">
        <v>338</v>
      </c>
      <c r="E18696">
        <f>2/92</f>
        <v>2.1739130434782608E-2</v>
      </c>
      <c r="F18696">
        <v>54</v>
      </c>
      <c r="G18696">
        <f>LOG(382/(54+1))</f>
        <v>0.84170067341746491</v>
      </c>
      <c r="H18696">
        <f>0.0217391304347826*1.9380874233741</f>
        <v>4.2132335290741285E-2</v>
      </c>
      <c r="I18696">
        <v>4.2132335290741403E-2</v>
      </c>
    </row>
    <row r="18697" spans="1:9" x14ac:dyDescent="0.25">
      <c r="A18697">
        <v>575</v>
      </c>
      <c r="B18697" t="s">
        <v>4521</v>
      </c>
      <c r="C18697" t="s">
        <v>10</v>
      </c>
      <c r="D18697" t="s">
        <v>388</v>
      </c>
      <c r="E18697">
        <f>2/92</f>
        <v>2.1739130434782608E-2</v>
      </c>
      <c r="F18697">
        <v>44</v>
      </c>
      <c r="G18697">
        <f>LOG(382/(44+1))</f>
        <v>0.92885084913636506</v>
      </c>
      <c r="H18697">
        <f>0.0217391304347826*2.13875811883625</f>
        <v>4.64947417138315E-2</v>
      </c>
      <c r="I18697">
        <v>4.6494741713831632E-2</v>
      </c>
    </row>
    <row r="18698" spans="1:9" x14ac:dyDescent="0.25">
      <c r="A18698">
        <v>575</v>
      </c>
      <c r="B18698" t="s">
        <v>4521</v>
      </c>
      <c r="C18698" t="s">
        <v>10</v>
      </c>
      <c r="D18698" t="s">
        <v>597</v>
      </c>
      <c r="E18698">
        <f>2/92</f>
        <v>2.1739130434782608E-2</v>
      </c>
      <c r="F18698">
        <v>51</v>
      </c>
      <c r="G18698">
        <f>LOG(382/(51+1))</f>
        <v>0.86606001927690957</v>
      </c>
      <c r="H18698">
        <f>0.0217391304347826*1.99417689002514</f>
        <v>4.335167152228564E-2</v>
      </c>
      <c r="I18698">
        <v>4.335167152228582E-2</v>
      </c>
    </row>
    <row r="18699" spans="1:9" x14ac:dyDescent="0.25">
      <c r="A18699">
        <v>575</v>
      </c>
      <c r="B18699" t="s">
        <v>4521</v>
      </c>
      <c r="C18699" t="s">
        <v>10</v>
      </c>
      <c r="D18699" t="s">
        <v>11</v>
      </c>
      <c r="E18699">
        <f>1/92</f>
        <v>1.0869565217391304E-2</v>
      </c>
      <c r="F18699">
        <v>83</v>
      </c>
      <c r="G18699">
        <f>LOG(382/(83+1))</f>
        <v>0.65778407684982709</v>
      </c>
      <c r="H18699">
        <f>0.0108695652173913*1.51460380976326</f>
        <v>1.6463084888731081E-2</v>
      </c>
      <c r="I18699">
        <v>1.6463084888731098E-2</v>
      </c>
    </row>
    <row r="18700" spans="1:9" x14ac:dyDescent="0.25">
      <c r="A18700">
        <v>575</v>
      </c>
      <c r="B18700" t="s">
        <v>4521</v>
      </c>
      <c r="C18700" t="s">
        <v>10</v>
      </c>
      <c r="D18700" t="s">
        <v>1921</v>
      </c>
      <c r="E18700">
        <f>1/92</f>
        <v>1.0869565217391304E-2</v>
      </c>
      <c r="F18700">
        <v>37</v>
      </c>
      <c r="G18700">
        <f>LOG(382/(37+1))</f>
        <v>1.0022797662948986</v>
      </c>
      <c r="H18700">
        <f>0.0108695652173913*2.30783444888018</f>
        <v>2.5085157053045426E-2</v>
      </c>
      <c r="I18700">
        <v>2.508515705304553E-2</v>
      </c>
    </row>
    <row r="18701" spans="1:9" x14ac:dyDescent="0.25">
      <c r="A18701">
        <v>575</v>
      </c>
      <c r="B18701" t="s">
        <v>4521</v>
      </c>
      <c r="C18701" t="s">
        <v>10</v>
      </c>
      <c r="D18701" t="s">
        <v>2768</v>
      </c>
      <c r="E18701">
        <f>1/92</f>
        <v>1.0869565217391304E-2</v>
      </c>
      <c r="F18701">
        <v>4</v>
      </c>
      <c r="G18701">
        <f>LOG(382/(4+1))</f>
        <v>1.8830933585756899</v>
      </c>
      <c r="H18701">
        <f>0.0108695652173913*4.33598269617247</f>
        <v>4.7130246697526836E-2</v>
      </c>
      <c r="I18701">
        <v>4.7130246697526898E-2</v>
      </c>
    </row>
    <row r="18702" spans="1:9" x14ac:dyDescent="0.25">
      <c r="A18702">
        <v>575</v>
      </c>
      <c r="B18702" t="s">
        <v>4521</v>
      </c>
      <c r="C18702" t="s">
        <v>10</v>
      </c>
      <c r="D18702" t="s">
        <v>1348</v>
      </c>
      <c r="E18702">
        <f>1/92</f>
        <v>1.0869565217391304E-2</v>
      </c>
      <c r="F18702">
        <v>4</v>
      </c>
      <c r="G18702">
        <f>LOG(382/(4+1))</f>
        <v>1.8830933585756899</v>
      </c>
      <c r="H18702">
        <f>0.0108695652173913*4.33598269617247</f>
        <v>4.7130246697526836E-2</v>
      </c>
      <c r="I18702">
        <v>4.7130246697526898E-2</v>
      </c>
    </row>
    <row r="18703" spans="1:9" x14ac:dyDescent="0.25">
      <c r="A18703">
        <v>575</v>
      </c>
      <c r="B18703" t="s">
        <v>4521</v>
      </c>
      <c r="C18703" t="s">
        <v>10</v>
      </c>
      <c r="D18703" t="s">
        <v>763</v>
      </c>
      <c r="E18703">
        <f>2/92</f>
        <v>2.1739130434782608E-2</v>
      </c>
      <c r="F18703">
        <v>47</v>
      </c>
      <c r="G18703">
        <f>LOG(382/(47+1))</f>
        <v>0.90082212553612151</v>
      </c>
      <c r="H18703">
        <f>0.0217391304347826*2.07421959769868</f>
        <v>4.5091730384753899E-2</v>
      </c>
      <c r="I18703">
        <v>4.5091730384754003E-2</v>
      </c>
    </row>
    <row r="18704" spans="1:9" x14ac:dyDescent="0.25">
      <c r="A18704">
        <v>575</v>
      </c>
      <c r="B18704" t="s">
        <v>4521</v>
      </c>
      <c r="C18704" t="s">
        <v>10</v>
      </c>
      <c r="D18704" t="s">
        <v>1831</v>
      </c>
      <c r="E18704">
        <f>1/92</f>
        <v>1.0869565217391304E-2</v>
      </c>
      <c r="F18704">
        <v>28</v>
      </c>
      <c r="G18704">
        <f>LOG(382/(28+1))</f>
        <v>1.1196653650127526</v>
      </c>
      <c r="H18704">
        <f>0.0108695652173913*2.5781247786201</f>
        <v>2.8023095419783685E-2</v>
      </c>
      <c r="I18704">
        <v>2.8023095419783709E-2</v>
      </c>
    </row>
    <row r="18705" spans="1:9" x14ac:dyDescent="0.25">
      <c r="A18705">
        <v>575</v>
      </c>
      <c r="B18705" t="s">
        <v>4521</v>
      </c>
      <c r="C18705" t="s">
        <v>10</v>
      </c>
      <c r="D18705" t="s">
        <v>1919</v>
      </c>
      <c r="E18705">
        <f>1/92</f>
        <v>1.0869565217391304E-2</v>
      </c>
      <c r="F18705">
        <v>18</v>
      </c>
      <c r="G18705">
        <f>LOG(382/(18+1))</f>
        <v>1.3033097619588798</v>
      </c>
      <c r="H18705">
        <f>0.0108695652173913*3.00098162944013</f>
        <v>3.2619365537392704E-2</v>
      </c>
      <c r="I18705">
        <v>3.2619365537392767E-2</v>
      </c>
    </row>
    <row r="18706" spans="1:9" x14ac:dyDescent="0.25">
      <c r="A18706">
        <v>575</v>
      </c>
      <c r="B18706" t="s">
        <v>4521</v>
      </c>
      <c r="C18706" t="s">
        <v>10</v>
      </c>
      <c r="D18706" t="s">
        <v>1918</v>
      </c>
      <c r="E18706">
        <f>2/92</f>
        <v>2.1739130434782608E-2</v>
      </c>
      <c r="F18706">
        <v>25</v>
      </c>
      <c r="G18706">
        <f>LOG(382/(25+1))</f>
        <v>1.1670900149408907</v>
      </c>
      <c r="H18706">
        <f>0.0217391304347826*2.68732407058509</f>
        <v>5.8420088490980196E-2</v>
      </c>
      <c r="I18706">
        <v>5.8420088490980293E-2</v>
      </c>
    </row>
    <row r="18707" spans="1:9" x14ac:dyDescent="0.25">
      <c r="A18707">
        <v>575</v>
      </c>
      <c r="B18707" t="s">
        <v>4521</v>
      </c>
      <c r="C18707" t="s">
        <v>10</v>
      </c>
      <c r="D18707" t="s">
        <v>1920</v>
      </c>
      <c r="E18707">
        <f>1/92</f>
        <v>1.0869565217391304E-2</v>
      </c>
      <c r="F18707">
        <v>18</v>
      </c>
      <c r="G18707">
        <f>LOG(382/(18+1))</f>
        <v>1.3033097619588798</v>
      </c>
      <c r="H18707">
        <f>0.0108695652173913*3.00098162944013</f>
        <v>3.2619365537392704E-2</v>
      </c>
      <c r="I18707">
        <v>3.2619365537392767E-2</v>
      </c>
    </row>
    <row r="18708" spans="1:9" x14ac:dyDescent="0.25">
      <c r="A18708">
        <v>576</v>
      </c>
      <c r="B18708" t="s">
        <v>4524</v>
      </c>
      <c r="C18708" t="s">
        <v>10</v>
      </c>
      <c r="D18708" t="s">
        <v>931</v>
      </c>
      <c r="E18708">
        <f>1/29</f>
        <v>3.4482758620689655E-2</v>
      </c>
      <c r="F18708">
        <v>22</v>
      </c>
      <c r="G18708">
        <f>LOG(382/(22+1))</f>
        <v>1.2203355268941158</v>
      </c>
      <c r="H18708">
        <f>0.0344827586206896*2.80992639267742</f>
        <v>9.6894013540600524E-2</v>
      </c>
      <c r="I18708">
        <v>9.6894013540600885E-2</v>
      </c>
    </row>
    <row r="18709" spans="1:9" x14ac:dyDescent="0.25">
      <c r="A18709">
        <v>576</v>
      </c>
      <c r="B18709" t="s">
        <v>4524</v>
      </c>
      <c r="C18709" t="s">
        <v>10</v>
      </c>
      <c r="D18709" t="s">
        <v>1375</v>
      </c>
      <c r="E18709">
        <f>1/29</f>
        <v>3.4482758620689655E-2</v>
      </c>
      <c r="F18709">
        <v>5</v>
      </c>
      <c r="G18709">
        <f>LOG(382/(5+1))</f>
        <v>1.803912112528065</v>
      </c>
      <c r="H18709">
        <f>0.0344827586206896*4.15366113937852</f>
        <v>0.14322969446132805</v>
      </c>
      <c r="I18709">
        <v>0.1432296944613283</v>
      </c>
    </row>
    <row r="18710" spans="1:9" x14ac:dyDescent="0.25">
      <c r="A18710">
        <v>576</v>
      </c>
      <c r="B18710" t="s">
        <v>4524</v>
      </c>
      <c r="C18710" t="s">
        <v>10</v>
      </c>
      <c r="D18710" t="s">
        <v>4525</v>
      </c>
      <c r="E18710">
        <f>2/29</f>
        <v>6.8965517241379309E-2</v>
      </c>
      <c r="F18710">
        <v>1</v>
      </c>
      <c r="G18710">
        <f>LOG(382/(1+1))</f>
        <v>2.2810333672477277</v>
      </c>
      <c r="H18710">
        <f>0.0689655172413793*5.25227342804663</f>
        <v>0.36222575365838822</v>
      </c>
      <c r="I18710">
        <v>0.36222575365838833</v>
      </c>
    </row>
    <row r="18711" spans="1:9" x14ac:dyDescent="0.25">
      <c r="A18711">
        <v>576</v>
      </c>
      <c r="B18711" t="s">
        <v>4524</v>
      </c>
      <c r="C18711" t="s">
        <v>10</v>
      </c>
      <c r="D18711" t="s">
        <v>247</v>
      </c>
      <c r="E18711">
        <f>1/29</f>
        <v>3.4482758620689655E-2</v>
      </c>
      <c r="F18711">
        <v>121</v>
      </c>
      <c r="G18711">
        <f>LOG(382/(121+1))</f>
        <v>0.49570353223696051</v>
      </c>
      <c r="H18711">
        <f>0.0344827586206896*1.14139956387331</f>
        <v>3.9358605650803735E-2</v>
      </c>
      <c r="I18711">
        <v>3.9358605650804103E-2</v>
      </c>
    </row>
    <row r="18712" spans="1:9" x14ac:dyDescent="0.25">
      <c r="A18712">
        <v>576</v>
      </c>
      <c r="B18712" t="s">
        <v>4524</v>
      </c>
      <c r="C18712" t="s">
        <v>10</v>
      </c>
      <c r="D18712" t="s">
        <v>39</v>
      </c>
      <c r="E18712">
        <f>1/29</f>
        <v>3.4482758620689655E-2</v>
      </c>
      <c r="F18712">
        <v>145</v>
      </c>
      <c r="G18712">
        <f>LOG(382/(145+1))</f>
        <v>0.41771050712727159</v>
      </c>
      <c r="H18712">
        <f>0.0344827586206896*0.961813986898238</f>
        <v>3.3165999548215051E-2</v>
      </c>
      <c r="I18712">
        <v>3.3165999548215128E-2</v>
      </c>
    </row>
    <row r="18713" spans="1:9" x14ac:dyDescent="0.25">
      <c r="A18713">
        <v>576</v>
      </c>
      <c r="B18713" t="s">
        <v>4524</v>
      </c>
      <c r="C18713" t="s">
        <v>10</v>
      </c>
      <c r="D18713" t="s">
        <v>331</v>
      </c>
      <c r="E18713">
        <f>3/29</f>
        <v>0.10344827586206896</v>
      </c>
      <c r="F18713">
        <v>130</v>
      </c>
      <c r="G18713">
        <f>LOG(382/(130+1))</f>
        <v>0.46479206725594452</v>
      </c>
      <c r="H18713">
        <f>0.103448275862068*1.07022328540542</f>
        <v>0.11071275366262864</v>
      </c>
      <c r="I18713">
        <v>0.11071275366263</v>
      </c>
    </row>
    <row r="18714" spans="1:9" x14ac:dyDescent="0.25">
      <c r="A18714">
        <v>576</v>
      </c>
      <c r="B18714" t="s">
        <v>4524</v>
      </c>
      <c r="C18714" t="s">
        <v>10</v>
      </c>
      <c r="D18714" t="s">
        <v>42</v>
      </c>
      <c r="E18714">
        <f t="shared" ref="E18714:E18733" si="893">1/29</f>
        <v>3.4482758620689655E-2</v>
      </c>
      <c r="F18714">
        <v>251</v>
      </c>
      <c r="G18714">
        <f>LOG(382/(251+1))</f>
        <v>0.18066282213016463</v>
      </c>
      <c r="H18714">
        <f>0.0344827586206896*0.415991521095151</f>
        <v>1.4344535210177596E-2</v>
      </c>
      <c r="I18714">
        <v>1.434453521017765E-2</v>
      </c>
    </row>
    <row r="18715" spans="1:9" x14ac:dyDescent="0.25">
      <c r="A18715">
        <v>576</v>
      </c>
      <c r="B18715" t="s">
        <v>4524</v>
      </c>
      <c r="C18715" t="s">
        <v>10</v>
      </c>
      <c r="D18715" t="s">
        <v>1367</v>
      </c>
      <c r="E18715">
        <f t="shared" si="893"/>
        <v>3.4482758620689655E-2</v>
      </c>
      <c r="F18715">
        <v>6</v>
      </c>
      <c r="G18715">
        <f>LOG(382/(6+1))</f>
        <v>1.736965322897452</v>
      </c>
      <c r="H18715">
        <f>0.0344827586206896*3.99951045955126</f>
        <v>0.13791415377762944</v>
      </c>
      <c r="I18715">
        <v>0.13791415377762969</v>
      </c>
    </row>
    <row r="18716" spans="1:9" x14ac:dyDescent="0.25">
      <c r="A18716">
        <v>576</v>
      </c>
      <c r="B18716" t="s">
        <v>4524</v>
      </c>
      <c r="C18716" t="s">
        <v>10</v>
      </c>
      <c r="D18716" t="s">
        <v>17</v>
      </c>
      <c r="E18716">
        <f t="shared" si="893"/>
        <v>3.4482758620689655E-2</v>
      </c>
      <c r="F18716">
        <v>169</v>
      </c>
      <c r="G18716">
        <f>LOG(382/(169+1))</f>
        <v>0.3516144415334348</v>
      </c>
      <c r="H18716">
        <f>0.0344827586206896*0.809622171556313</f>
        <v>2.7918005915734886E-2</v>
      </c>
      <c r="I18716">
        <v>2.7918005915734949E-2</v>
      </c>
    </row>
    <row r="18717" spans="1:9" x14ac:dyDescent="0.25">
      <c r="A18717">
        <v>576</v>
      </c>
      <c r="B18717" t="s">
        <v>4524</v>
      </c>
      <c r="C18717" t="s">
        <v>10</v>
      </c>
      <c r="D18717" t="s">
        <v>726</v>
      </c>
      <c r="E18717">
        <f t="shared" si="893"/>
        <v>3.4482758620689655E-2</v>
      </c>
      <c r="F18717">
        <v>37</v>
      </c>
      <c r="G18717">
        <f>LOG(382/(37+1))</f>
        <v>1.0022797662948986</v>
      </c>
      <c r="H18717">
        <f>0.0344827586206896*2.30783444888018</f>
        <v>7.9580498237247457E-2</v>
      </c>
      <c r="I18717">
        <v>7.9580498237247901E-2</v>
      </c>
    </row>
    <row r="18718" spans="1:9" x14ac:dyDescent="0.25">
      <c r="A18718">
        <v>576</v>
      </c>
      <c r="B18718" t="s">
        <v>4524</v>
      </c>
      <c r="C18718" t="s">
        <v>10</v>
      </c>
      <c r="D18718" t="s">
        <v>4522</v>
      </c>
      <c r="E18718">
        <f t="shared" si="893"/>
        <v>3.4482758620689655E-2</v>
      </c>
      <c r="F18718">
        <v>2</v>
      </c>
      <c r="G18718">
        <f>LOG(382/(2+1))</f>
        <v>2.1049421081920463</v>
      </c>
      <c r="H18718">
        <f>0.0344827586206896*4.84680831993846</f>
        <v>0.167131321377188</v>
      </c>
      <c r="I18718">
        <v>0.16713132137718839</v>
      </c>
    </row>
    <row r="18719" spans="1:9" x14ac:dyDescent="0.25">
      <c r="A18719">
        <v>576</v>
      </c>
      <c r="B18719" t="s">
        <v>4524</v>
      </c>
      <c r="C18719" t="s">
        <v>10</v>
      </c>
      <c r="D18719" t="s">
        <v>19</v>
      </c>
      <c r="E18719">
        <f t="shared" si="893"/>
        <v>3.4482758620689655E-2</v>
      </c>
      <c r="F18719">
        <v>220</v>
      </c>
      <c r="G18719">
        <f>LOG(382/(220+1))</f>
        <v>0.23767108922659805</v>
      </c>
      <c r="H18719">
        <f>0.0344827586206896*0.547257907088822</f>
        <v>1.8870962313407628E-2</v>
      </c>
      <c r="I18719">
        <v>1.8870962313407669E-2</v>
      </c>
    </row>
    <row r="18720" spans="1:9" x14ac:dyDescent="0.25">
      <c r="A18720">
        <v>576</v>
      </c>
      <c r="B18720" t="s">
        <v>4524</v>
      </c>
      <c r="C18720" t="s">
        <v>10</v>
      </c>
      <c r="D18720" t="s">
        <v>195</v>
      </c>
      <c r="E18720">
        <f t="shared" si="893"/>
        <v>3.4482758620689655E-2</v>
      </c>
      <c r="F18720">
        <v>55</v>
      </c>
      <c r="G18720">
        <f>LOG(382/(55+1))</f>
        <v>0.83387533590550833</v>
      </c>
      <c r="H18720">
        <f>0.0344827586206896*1.92006891787142</f>
        <v>6.6209273030048865E-2</v>
      </c>
      <c r="I18720">
        <v>6.6209273030049171E-2</v>
      </c>
    </row>
    <row r="18721" spans="1:9" x14ac:dyDescent="0.25">
      <c r="A18721">
        <v>576</v>
      </c>
      <c r="B18721" t="s">
        <v>4524</v>
      </c>
      <c r="C18721" t="s">
        <v>10</v>
      </c>
      <c r="D18721" t="s">
        <v>22</v>
      </c>
      <c r="E18721">
        <f t="shared" si="893"/>
        <v>3.4482758620689655E-2</v>
      </c>
      <c r="F18721">
        <v>259</v>
      </c>
      <c r="G18721">
        <f>LOG(382/(259+1))</f>
        <v>0.16709001494089079</v>
      </c>
      <c r="H18721">
        <f>0.0344827586206896*0.384738977591047</f>
        <v>1.3266861296242979E-2</v>
      </c>
      <c r="I18721">
        <v>1.3266861296243019E-2</v>
      </c>
    </row>
    <row r="18722" spans="1:9" x14ac:dyDescent="0.25">
      <c r="A18722">
        <v>576</v>
      </c>
      <c r="B18722" t="s">
        <v>4524</v>
      </c>
      <c r="C18722" t="s">
        <v>10</v>
      </c>
      <c r="D18722" t="s">
        <v>23</v>
      </c>
      <c r="E18722">
        <f t="shared" si="893"/>
        <v>3.4482758620689655E-2</v>
      </c>
      <c r="F18722">
        <v>275</v>
      </c>
      <c r="G18722">
        <f>LOG(382/(275+1))</f>
        <v>0.14115428084649101</v>
      </c>
      <c r="H18722">
        <f>0.0344827586206896*0.325019742889425</f>
        <v>1.1207577341014636E-2</v>
      </c>
      <c r="I18722">
        <v>1.1207577341014661E-2</v>
      </c>
    </row>
    <row r="18723" spans="1:9" x14ac:dyDescent="0.25">
      <c r="A18723">
        <v>576</v>
      </c>
      <c r="B18723" t="s">
        <v>4524</v>
      </c>
      <c r="C18723" t="s">
        <v>10</v>
      </c>
      <c r="D18723" t="s">
        <v>204</v>
      </c>
      <c r="E18723">
        <f t="shared" si="893"/>
        <v>3.4482758620689655E-2</v>
      </c>
      <c r="F18723">
        <v>166</v>
      </c>
      <c r="G18723">
        <f>LOG(382/(166+1))</f>
        <v>0.35934689176412549</v>
      </c>
      <c r="H18723">
        <f>0.0344827586206896*0.82742679618982</f>
        <v>2.853195848930409E-2</v>
      </c>
      <c r="I18723">
        <v>2.8531958489304138E-2</v>
      </c>
    </row>
    <row r="18724" spans="1:9" x14ac:dyDescent="0.25">
      <c r="A18724">
        <v>576</v>
      </c>
      <c r="B18724" t="s">
        <v>4524</v>
      </c>
      <c r="C18724" t="s">
        <v>10</v>
      </c>
      <c r="D18724" t="s">
        <v>4526</v>
      </c>
      <c r="E18724">
        <f t="shared" si="893"/>
        <v>3.4482758620689655E-2</v>
      </c>
      <c r="F18724">
        <v>5</v>
      </c>
      <c r="G18724">
        <f>LOG(382/(5+1))</f>
        <v>1.803912112528065</v>
      </c>
      <c r="H18724">
        <f>0.0344827586206896*4.15366113937852</f>
        <v>0.14322969446132805</v>
      </c>
      <c r="I18724">
        <v>0.1432296944613283</v>
      </c>
    </row>
    <row r="18725" spans="1:9" x14ac:dyDescent="0.25">
      <c r="A18725">
        <v>576</v>
      </c>
      <c r="B18725" t="s">
        <v>4524</v>
      </c>
      <c r="C18725" t="s">
        <v>10</v>
      </c>
      <c r="D18725" t="s">
        <v>1532</v>
      </c>
      <c r="E18725">
        <f t="shared" si="893"/>
        <v>3.4482758620689655E-2</v>
      </c>
      <c r="F18725">
        <v>28</v>
      </c>
      <c r="G18725">
        <f>LOG(382/(28+1))</f>
        <v>1.1196653650127526</v>
      </c>
      <c r="H18725">
        <f>0.0344827586206896*2.5781247786201</f>
        <v>8.8900854435175716E-2</v>
      </c>
      <c r="I18725">
        <v>8.8900854435175897E-2</v>
      </c>
    </row>
    <row r="18726" spans="1:9" x14ac:dyDescent="0.25">
      <c r="A18726">
        <v>576</v>
      </c>
      <c r="B18726" t="s">
        <v>4524</v>
      </c>
      <c r="C18726" t="s">
        <v>10</v>
      </c>
      <c r="D18726" t="s">
        <v>398</v>
      </c>
      <c r="E18726">
        <f t="shared" si="893"/>
        <v>3.4482758620689655E-2</v>
      </c>
      <c r="F18726">
        <v>14</v>
      </c>
      <c r="G18726">
        <f>LOG(382/(14+1))</f>
        <v>1.4059721038560276</v>
      </c>
      <c r="H18726">
        <f>0.0344827586206896*3.23737040750436</f>
        <v>0.11163346232773637</v>
      </c>
      <c r="I18726">
        <v>0.1116334623277367</v>
      </c>
    </row>
    <row r="18727" spans="1:9" x14ac:dyDescent="0.25">
      <c r="A18727">
        <v>576</v>
      </c>
      <c r="B18727" t="s">
        <v>4524</v>
      </c>
      <c r="C18727" t="s">
        <v>10</v>
      </c>
      <c r="D18727" t="s">
        <v>911</v>
      </c>
      <c r="E18727">
        <f t="shared" si="893"/>
        <v>3.4482758620689655E-2</v>
      </c>
      <c r="F18727">
        <v>22</v>
      </c>
      <c r="G18727">
        <f>LOG(382/(22+1))</f>
        <v>1.2203355268941158</v>
      </c>
      <c r="H18727">
        <f>0.0344827586206896*2.80992639267742</f>
        <v>9.6894013540600524E-2</v>
      </c>
      <c r="I18727">
        <v>9.6894013540600885E-2</v>
      </c>
    </row>
    <row r="18728" spans="1:9" x14ac:dyDescent="0.25">
      <c r="A18728">
        <v>576</v>
      </c>
      <c r="B18728" t="s">
        <v>4524</v>
      </c>
      <c r="C18728" t="s">
        <v>10</v>
      </c>
      <c r="D18728" t="s">
        <v>11</v>
      </c>
      <c r="E18728">
        <f t="shared" si="893"/>
        <v>3.4482758620689655E-2</v>
      </c>
      <c r="F18728">
        <v>83</v>
      </c>
      <c r="G18728">
        <f>LOG(382/(83+1))</f>
        <v>0.65778407684982709</v>
      </c>
      <c r="H18728">
        <f>0.0344827586206896*1.51460380976326</f>
        <v>5.2227717578043363E-2</v>
      </c>
      <c r="I18728">
        <v>5.2227717578043502E-2</v>
      </c>
    </row>
    <row r="18729" spans="1:9" x14ac:dyDescent="0.25">
      <c r="A18729">
        <v>576</v>
      </c>
      <c r="B18729" t="s">
        <v>4524</v>
      </c>
      <c r="C18729" t="s">
        <v>10</v>
      </c>
      <c r="D18729" t="s">
        <v>680</v>
      </c>
      <c r="E18729">
        <f t="shared" si="893"/>
        <v>3.4482758620689655E-2</v>
      </c>
      <c r="F18729">
        <v>25</v>
      </c>
      <c r="G18729">
        <f>LOG(382/(25+1))</f>
        <v>1.1670900149408907</v>
      </c>
      <c r="H18729">
        <f>0.0344827586206896*2.68732407058509</f>
        <v>9.2666347261554677E-2</v>
      </c>
      <c r="I18729">
        <v>9.2666347261554941E-2</v>
      </c>
    </row>
    <row r="18730" spans="1:9" x14ac:dyDescent="0.25">
      <c r="A18730">
        <v>576</v>
      </c>
      <c r="B18730" t="s">
        <v>4524</v>
      </c>
      <c r="C18730" t="s">
        <v>10</v>
      </c>
      <c r="D18730" t="s">
        <v>932</v>
      </c>
      <c r="E18730">
        <f t="shared" si="893"/>
        <v>3.4482758620689655E-2</v>
      </c>
      <c r="F18730">
        <v>35</v>
      </c>
      <c r="G18730">
        <f>LOG(382/(35+1))</f>
        <v>1.0257608621444214</v>
      </c>
      <c r="H18730">
        <f>0.0344827586206896*2.36190167015046</f>
        <v>8.1444885177601942E-2</v>
      </c>
      <c r="I18730">
        <v>8.1444885177602233E-2</v>
      </c>
    </row>
    <row r="18731" spans="1:9" x14ac:dyDescent="0.25">
      <c r="A18731">
        <v>576</v>
      </c>
      <c r="B18731" t="s">
        <v>4524</v>
      </c>
      <c r="C18731" t="s">
        <v>10</v>
      </c>
      <c r="D18731" t="s">
        <v>78</v>
      </c>
      <c r="E18731">
        <f t="shared" si="893"/>
        <v>3.4482758620689655E-2</v>
      </c>
      <c r="F18731">
        <v>122</v>
      </c>
      <c r="G18731">
        <f>LOG(382/(122+1))</f>
        <v>0.49215825147231079</v>
      </c>
      <c r="H18731">
        <f>0.0344827586206896*1.13323625323415</f>
        <v>3.9077112180487865E-2</v>
      </c>
      <c r="I18731">
        <v>3.9077112180488191E-2</v>
      </c>
    </row>
    <row r="18732" spans="1:9" x14ac:dyDescent="0.25">
      <c r="A18732">
        <v>576</v>
      </c>
      <c r="B18732" t="s">
        <v>4524</v>
      </c>
      <c r="C18732" t="s">
        <v>10</v>
      </c>
      <c r="D18732" t="s">
        <v>1709</v>
      </c>
      <c r="E18732">
        <f t="shared" si="893"/>
        <v>3.4482758620689655E-2</v>
      </c>
      <c r="F18732">
        <v>21</v>
      </c>
      <c r="G18732">
        <f>LOG(382/(21+1))</f>
        <v>1.2396406820895025</v>
      </c>
      <c r="H18732">
        <f>0.0344827586206896*2.85437815524825</f>
        <v>9.8426832939594658E-2</v>
      </c>
      <c r="I18732">
        <v>9.8426832939595144E-2</v>
      </c>
    </row>
    <row r="18733" spans="1:9" x14ac:dyDescent="0.25">
      <c r="A18733">
        <v>576</v>
      </c>
      <c r="B18733" t="s">
        <v>4524</v>
      </c>
      <c r="C18733" t="s">
        <v>10</v>
      </c>
      <c r="D18733" t="s">
        <v>79</v>
      </c>
      <c r="E18733">
        <f t="shared" si="893"/>
        <v>3.4482758620689655E-2</v>
      </c>
      <c r="F18733">
        <v>26</v>
      </c>
      <c r="G18733">
        <f>LOG(382/(26+1))</f>
        <v>1.1506995987527215</v>
      </c>
      <c r="H18733">
        <f>0.0344827586206896*2.64958374260224</f>
        <v>9.1364956641456399E-2</v>
      </c>
      <c r="I18733">
        <v>9.136495664145676E-2</v>
      </c>
    </row>
    <row r="18734" spans="1:9" x14ac:dyDescent="0.25">
      <c r="A18734">
        <v>577</v>
      </c>
      <c r="B18734" t="s">
        <v>4527</v>
      </c>
      <c r="C18734" t="s">
        <v>10</v>
      </c>
      <c r="D18734" t="s">
        <v>1374</v>
      </c>
      <c r="E18734">
        <f>2/30</f>
        <v>6.6666666666666666E-2</v>
      </c>
      <c r="F18734">
        <v>9</v>
      </c>
      <c r="G18734">
        <f>LOG(382/(9+1))</f>
        <v>1.5820633629117087</v>
      </c>
      <c r="H18734">
        <f>0.0666666666666666*3.64283551561252</f>
        <v>0.24285570104083443</v>
      </c>
      <c r="I18734">
        <v>0.24285570104083529</v>
      </c>
    </row>
    <row r="18735" spans="1:9" x14ac:dyDescent="0.25">
      <c r="A18735">
        <v>577</v>
      </c>
      <c r="B18735" t="s">
        <v>4527</v>
      </c>
      <c r="C18735" t="s">
        <v>10</v>
      </c>
      <c r="D18735" t="s">
        <v>4528</v>
      </c>
      <c r="E18735">
        <f t="shared" ref="E18735:E18750" si="894">1/30</f>
        <v>3.3333333333333333E-2</v>
      </c>
      <c r="F18735">
        <v>1</v>
      </c>
      <c r="G18735">
        <f>LOG(382/(1+1))</f>
        <v>2.2810333672477277</v>
      </c>
      <c r="H18735">
        <f>0.0333333333333333*5.25227342804663</f>
        <v>0.17507578093488749</v>
      </c>
      <c r="I18735">
        <v>0.17507578093488771</v>
      </c>
    </row>
    <row r="18736" spans="1:9" x14ac:dyDescent="0.25">
      <c r="A18736">
        <v>577</v>
      </c>
      <c r="B18736" t="s">
        <v>4527</v>
      </c>
      <c r="C18736" t="s">
        <v>10</v>
      </c>
      <c r="D18736" t="s">
        <v>105</v>
      </c>
      <c r="E18736">
        <f t="shared" si="894"/>
        <v>3.3333333333333333E-2</v>
      </c>
      <c r="F18736">
        <v>122</v>
      </c>
      <c r="G18736">
        <f>LOG(382/(122+1))</f>
        <v>0.49215825147231079</v>
      </c>
      <c r="H18736">
        <f>0.0333333333333333*1.13323625323415</f>
        <v>3.7774541774471627E-2</v>
      </c>
      <c r="I18736">
        <v>3.7774541774471919E-2</v>
      </c>
    </row>
    <row r="18737" spans="1:9" x14ac:dyDescent="0.25">
      <c r="A18737">
        <v>577</v>
      </c>
      <c r="B18737" t="s">
        <v>4527</v>
      </c>
      <c r="C18737" t="s">
        <v>10</v>
      </c>
      <c r="D18737" t="s">
        <v>4529</v>
      </c>
      <c r="E18737">
        <f t="shared" si="894"/>
        <v>3.3333333333333333E-2</v>
      </c>
      <c r="F18737">
        <v>1</v>
      </c>
      <c r="G18737">
        <f>LOG(382/(1+1))</f>
        <v>2.2810333672477277</v>
      </c>
      <c r="H18737">
        <f>0.0333333333333333*5.25227342804663</f>
        <v>0.17507578093488749</v>
      </c>
      <c r="I18737">
        <v>0.17507578093488771</v>
      </c>
    </row>
    <row r="18738" spans="1:9" x14ac:dyDescent="0.25">
      <c r="A18738">
        <v>577</v>
      </c>
      <c r="B18738" t="s">
        <v>4527</v>
      </c>
      <c r="C18738" t="s">
        <v>10</v>
      </c>
      <c r="D18738" t="s">
        <v>4530</v>
      </c>
      <c r="E18738">
        <f t="shared" si="894"/>
        <v>3.3333333333333333E-2</v>
      </c>
      <c r="F18738">
        <v>1</v>
      </c>
      <c r="G18738">
        <f>LOG(382/(1+1))</f>
        <v>2.2810333672477277</v>
      </c>
      <c r="H18738">
        <f>0.0333333333333333*5.25227342804663</f>
        <v>0.17507578093488749</v>
      </c>
      <c r="I18738">
        <v>0.17507578093488771</v>
      </c>
    </row>
    <row r="18739" spans="1:9" x14ac:dyDescent="0.25">
      <c r="A18739">
        <v>577</v>
      </c>
      <c r="B18739" t="s">
        <v>4527</v>
      </c>
      <c r="C18739" t="s">
        <v>10</v>
      </c>
      <c r="D18739" t="s">
        <v>42</v>
      </c>
      <c r="E18739">
        <f t="shared" si="894"/>
        <v>3.3333333333333333E-2</v>
      </c>
      <c r="F18739">
        <v>251</v>
      </c>
      <c r="G18739">
        <f>LOG(382/(251+1))</f>
        <v>0.18066282213016463</v>
      </c>
      <c r="H18739">
        <f>0.0333333333333333*0.415991521095151</f>
        <v>1.3866384036505018E-2</v>
      </c>
      <c r="I18739">
        <v>1.386638403650506E-2</v>
      </c>
    </row>
    <row r="18740" spans="1:9" x14ac:dyDescent="0.25">
      <c r="A18740">
        <v>577</v>
      </c>
      <c r="B18740" t="s">
        <v>4527</v>
      </c>
      <c r="C18740" t="s">
        <v>10</v>
      </c>
      <c r="D18740" t="s">
        <v>15</v>
      </c>
      <c r="E18740">
        <f t="shared" si="894"/>
        <v>3.3333333333333333E-2</v>
      </c>
      <c r="F18740">
        <v>112</v>
      </c>
      <c r="G18740">
        <f>LOG(382/(112+1))</f>
        <v>0.52898491942828896</v>
      </c>
      <c r="H18740">
        <f>0.0333333333333333*1.21803278989423</f>
        <v>4.060109299647429E-2</v>
      </c>
      <c r="I18740">
        <v>4.0601092996474492E-2</v>
      </c>
    </row>
    <row r="18741" spans="1:9" x14ac:dyDescent="0.25">
      <c r="A18741">
        <v>577</v>
      </c>
      <c r="B18741" t="s">
        <v>4527</v>
      </c>
      <c r="C18741" t="s">
        <v>10</v>
      </c>
      <c r="D18741" t="s">
        <v>217</v>
      </c>
      <c r="E18741">
        <f t="shared" si="894"/>
        <v>3.3333333333333333E-2</v>
      </c>
      <c r="F18741">
        <v>12</v>
      </c>
      <c r="G18741">
        <f>LOG(382/(12+1))</f>
        <v>1.468120010604872</v>
      </c>
      <c r="H18741">
        <f>0.0333333333333333*3.38047125114503</f>
        <v>0.11268237503816755</v>
      </c>
      <c r="I18741">
        <v>0.112682375038168</v>
      </c>
    </row>
    <row r="18742" spans="1:9" x14ac:dyDescent="0.25">
      <c r="A18742">
        <v>577</v>
      </c>
      <c r="B18742" t="s">
        <v>4527</v>
      </c>
      <c r="C18742" t="s">
        <v>10</v>
      </c>
      <c r="D18742" t="s">
        <v>17</v>
      </c>
      <c r="E18742">
        <f t="shared" si="894"/>
        <v>3.3333333333333333E-2</v>
      </c>
      <c r="F18742">
        <v>169</v>
      </c>
      <c r="G18742">
        <f>LOG(382/(169+1))</f>
        <v>0.3516144415334348</v>
      </c>
      <c r="H18742">
        <f>0.0333333333333333*0.809622171556313</f>
        <v>2.6987405718543737E-2</v>
      </c>
      <c r="I18742">
        <v>2.6987405718543779E-2</v>
      </c>
    </row>
    <row r="18743" spans="1:9" x14ac:dyDescent="0.25">
      <c r="A18743">
        <v>577</v>
      </c>
      <c r="B18743" t="s">
        <v>4527</v>
      </c>
      <c r="C18743" t="s">
        <v>10</v>
      </c>
      <c r="D18743" t="s">
        <v>814</v>
      </c>
      <c r="E18743">
        <f t="shared" si="894"/>
        <v>3.3333333333333333E-2</v>
      </c>
      <c r="F18743">
        <v>18</v>
      </c>
      <c r="G18743">
        <f>LOG(382/(18+1))</f>
        <v>1.3033097619588798</v>
      </c>
      <c r="H18743">
        <f>0.0333333333333333*3.00098162944013</f>
        <v>0.10003272098133757</v>
      </c>
      <c r="I18743">
        <v>0.10003272098133779</v>
      </c>
    </row>
    <row r="18744" spans="1:9" x14ac:dyDescent="0.25">
      <c r="A18744">
        <v>577</v>
      </c>
      <c r="B18744" t="s">
        <v>4527</v>
      </c>
      <c r="C18744" t="s">
        <v>10</v>
      </c>
      <c r="D18744" t="s">
        <v>4531</v>
      </c>
      <c r="E18744">
        <f t="shared" si="894"/>
        <v>3.3333333333333333E-2</v>
      </c>
      <c r="F18744">
        <v>1</v>
      </c>
      <c r="G18744">
        <f>LOG(382/(1+1))</f>
        <v>2.2810333672477277</v>
      </c>
      <c r="H18744">
        <f>0.0333333333333333*5.25227342804663</f>
        <v>0.17507578093488749</v>
      </c>
      <c r="I18744">
        <v>0.17507578093488771</v>
      </c>
    </row>
    <row r="18745" spans="1:9" x14ac:dyDescent="0.25">
      <c r="A18745">
        <v>577</v>
      </c>
      <c r="B18745" t="s">
        <v>4527</v>
      </c>
      <c r="C18745" t="s">
        <v>10</v>
      </c>
      <c r="D18745" t="s">
        <v>19</v>
      </c>
      <c r="E18745">
        <f t="shared" si="894"/>
        <v>3.3333333333333333E-2</v>
      </c>
      <c r="F18745">
        <v>220</v>
      </c>
      <c r="G18745">
        <f>LOG(382/(220+1))</f>
        <v>0.23767108922659805</v>
      </c>
      <c r="H18745">
        <f>0.0333333333333333*0.547257907088822</f>
        <v>1.824193023629405E-2</v>
      </c>
      <c r="I18745">
        <v>1.8241930236294081E-2</v>
      </c>
    </row>
    <row r="18746" spans="1:9" x14ac:dyDescent="0.25">
      <c r="A18746">
        <v>577</v>
      </c>
      <c r="B18746" t="s">
        <v>4527</v>
      </c>
      <c r="C18746" t="s">
        <v>10</v>
      </c>
      <c r="D18746" t="s">
        <v>195</v>
      </c>
      <c r="E18746">
        <f t="shared" si="894"/>
        <v>3.3333333333333333E-2</v>
      </c>
      <c r="F18746">
        <v>55</v>
      </c>
      <c r="G18746">
        <f>LOG(382/(55+1))</f>
        <v>0.83387533590550833</v>
      </c>
      <c r="H18746">
        <f>0.0333333333333333*1.92006891787142</f>
        <v>6.4002297262380603E-2</v>
      </c>
      <c r="I18746">
        <v>6.4002297262380867E-2</v>
      </c>
    </row>
    <row r="18747" spans="1:9" x14ac:dyDescent="0.25">
      <c r="A18747">
        <v>577</v>
      </c>
      <c r="B18747" t="s">
        <v>4527</v>
      </c>
      <c r="C18747" t="s">
        <v>10</v>
      </c>
      <c r="D18747" t="s">
        <v>22</v>
      </c>
      <c r="E18747">
        <f t="shared" si="894"/>
        <v>3.3333333333333333E-2</v>
      </c>
      <c r="F18747">
        <v>259</v>
      </c>
      <c r="G18747">
        <f>LOG(382/(259+1))</f>
        <v>0.16709001494089079</v>
      </c>
      <c r="H18747">
        <f>0.0333333333333333*0.384738977591047</f>
        <v>1.282463258636822E-2</v>
      </c>
      <c r="I18747">
        <v>1.282463258636825E-2</v>
      </c>
    </row>
    <row r="18748" spans="1:9" x14ac:dyDescent="0.25">
      <c r="A18748">
        <v>577</v>
      </c>
      <c r="B18748" t="s">
        <v>4527</v>
      </c>
      <c r="C18748" t="s">
        <v>10</v>
      </c>
      <c r="D18748" t="s">
        <v>23</v>
      </c>
      <c r="E18748">
        <f t="shared" si="894"/>
        <v>3.3333333333333333E-2</v>
      </c>
      <c r="F18748">
        <v>275</v>
      </c>
      <c r="G18748">
        <f>LOG(382/(275+1))</f>
        <v>0.14115428084649101</v>
      </c>
      <c r="H18748">
        <f>0.0333333333333333*0.325019742889425</f>
        <v>1.0833991429647487E-2</v>
      </c>
      <c r="I18748">
        <v>1.0833991429647499E-2</v>
      </c>
    </row>
    <row r="18749" spans="1:9" x14ac:dyDescent="0.25">
      <c r="A18749">
        <v>577</v>
      </c>
      <c r="B18749" t="s">
        <v>4527</v>
      </c>
      <c r="C18749" t="s">
        <v>10</v>
      </c>
      <c r="D18749" t="s">
        <v>25</v>
      </c>
      <c r="E18749">
        <f t="shared" si="894"/>
        <v>3.3333333333333333E-2</v>
      </c>
      <c r="F18749">
        <v>106</v>
      </c>
      <c r="G18749">
        <f>LOG(382/(106+1))</f>
        <v>0.55267958522649907</v>
      </c>
      <c r="H18749">
        <f>0.0333333333333333*1.27259177414466</f>
        <v>4.2419725804821951E-2</v>
      </c>
      <c r="I18749">
        <v>4.2419725804822297E-2</v>
      </c>
    </row>
    <row r="18750" spans="1:9" x14ac:dyDescent="0.25">
      <c r="A18750">
        <v>577</v>
      </c>
      <c r="B18750" t="s">
        <v>4527</v>
      </c>
      <c r="C18750" t="s">
        <v>10</v>
      </c>
      <c r="D18750" t="s">
        <v>219</v>
      </c>
      <c r="E18750">
        <f t="shared" si="894"/>
        <v>3.3333333333333333E-2</v>
      </c>
      <c r="F18750">
        <v>19</v>
      </c>
      <c r="G18750">
        <f>LOG(382/(19+1))</f>
        <v>1.2810333672477277</v>
      </c>
      <c r="H18750">
        <f>0.0333333333333333*2.94968833505258</f>
        <v>9.8322944501752566E-2</v>
      </c>
      <c r="I18750">
        <v>9.8322944501752815E-2</v>
      </c>
    </row>
    <row r="18751" spans="1:9" x14ac:dyDescent="0.25">
      <c r="A18751">
        <v>577</v>
      </c>
      <c r="B18751" t="s">
        <v>4527</v>
      </c>
      <c r="C18751" t="s">
        <v>10</v>
      </c>
      <c r="D18751" t="s">
        <v>11</v>
      </c>
      <c r="E18751">
        <f>2/30</f>
        <v>6.6666666666666666E-2</v>
      </c>
      <c r="F18751">
        <v>83</v>
      </c>
      <c r="G18751">
        <f>LOG(382/(83+1))</f>
        <v>0.65778407684982709</v>
      </c>
      <c r="H18751">
        <f>0.0666666666666666*1.51460380976326</f>
        <v>0.10097358731755056</v>
      </c>
      <c r="I18751">
        <v>0.10097358731755079</v>
      </c>
    </row>
    <row r="18752" spans="1:9" x14ac:dyDescent="0.25">
      <c r="A18752">
        <v>577</v>
      </c>
      <c r="B18752" t="s">
        <v>4527</v>
      </c>
      <c r="C18752" t="s">
        <v>10</v>
      </c>
      <c r="D18752" t="s">
        <v>1534</v>
      </c>
      <c r="E18752">
        <f t="shared" ref="E18752:E18761" si="895">1/30</f>
        <v>3.3333333333333333E-2</v>
      </c>
      <c r="F18752">
        <v>25</v>
      </c>
      <c r="G18752">
        <f>LOG(382/(25+1))</f>
        <v>1.1670900149408907</v>
      </c>
      <c r="H18752">
        <f>0.0333333333333333*2.68732407058509</f>
        <v>8.9577469019502906E-2</v>
      </c>
      <c r="I18752">
        <v>8.95774690195031E-2</v>
      </c>
    </row>
    <row r="18753" spans="1:9" x14ac:dyDescent="0.25">
      <c r="A18753">
        <v>577</v>
      </c>
      <c r="B18753" t="s">
        <v>4527</v>
      </c>
      <c r="C18753" t="s">
        <v>10</v>
      </c>
      <c r="D18753" t="s">
        <v>151</v>
      </c>
      <c r="E18753">
        <f t="shared" si="895"/>
        <v>3.3333333333333333E-2</v>
      </c>
      <c r="F18753">
        <v>14</v>
      </c>
      <c r="G18753">
        <f>LOG(382/(14+1))</f>
        <v>1.4059721038560276</v>
      </c>
      <c r="H18753">
        <f>0.0333333333333333*3.23737040750436</f>
        <v>0.10791234691681188</v>
      </c>
      <c r="I18753">
        <v>0.1079123469168122</v>
      </c>
    </row>
    <row r="18754" spans="1:9" x14ac:dyDescent="0.25">
      <c r="A18754">
        <v>577</v>
      </c>
      <c r="B18754" t="s">
        <v>4527</v>
      </c>
      <c r="C18754" t="s">
        <v>10</v>
      </c>
      <c r="D18754" t="s">
        <v>2224</v>
      </c>
      <c r="E18754">
        <f t="shared" si="895"/>
        <v>3.3333333333333333E-2</v>
      </c>
      <c r="F18754">
        <v>6</v>
      </c>
      <c r="G18754">
        <f>LOG(382/(6+1))</f>
        <v>1.736965322897452</v>
      </c>
      <c r="H18754">
        <f>0.0333333333333333*3.99951045955126</f>
        <v>0.1333170153183752</v>
      </c>
      <c r="I18754">
        <v>0.13331701531837539</v>
      </c>
    </row>
    <row r="18755" spans="1:9" x14ac:dyDescent="0.25">
      <c r="A18755">
        <v>577</v>
      </c>
      <c r="B18755" t="s">
        <v>4527</v>
      </c>
      <c r="C18755" t="s">
        <v>10</v>
      </c>
      <c r="D18755" t="s">
        <v>929</v>
      </c>
      <c r="E18755">
        <f t="shared" si="895"/>
        <v>3.3333333333333333E-2</v>
      </c>
      <c r="F18755">
        <v>32</v>
      </c>
      <c r="G18755">
        <f>LOG(382/(32+1))</f>
        <v>1.0635494230338212</v>
      </c>
      <c r="H18755">
        <f>0.0333333333333333*2.44891304714009</f>
        <v>8.1630434904669591E-2</v>
      </c>
      <c r="I18755">
        <v>8.1630434904669841E-2</v>
      </c>
    </row>
    <row r="18756" spans="1:9" x14ac:dyDescent="0.25">
      <c r="A18756">
        <v>577</v>
      </c>
      <c r="B18756" t="s">
        <v>4527</v>
      </c>
      <c r="C18756" t="s">
        <v>10</v>
      </c>
      <c r="D18756" t="s">
        <v>1532</v>
      </c>
      <c r="E18756">
        <f t="shared" si="895"/>
        <v>3.3333333333333333E-2</v>
      </c>
      <c r="F18756">
        <v>28</v>
      </c>
      <c r="G18756">
        <f>LOG(382/(28+1))</f>
        <v>1.1196653650127526</v>
      </c>
      <c r="H18756">
        <f>0.0333333333333333*2.5781247786201</f>
        <v>8.5937492620669909E-2</v>
      </c>
      <c r="I18756">
        <v>8.5937492620670033E-2</v>
      </c>
    </row>
    <row r="18757" spans="1:9" x14ac:dyDescent="0.25">
      <c r="A18757">
        <v>577</v>
      </c>
      <c r="B18757" t="s">
        <v>4527</v>
      </c>
      <c r="C18757" t="s">
        <v>10</v>
      </c>
      <c r="D18757" t="s">
        <v>4532</v>
      </c>
      <c r="E18757">
        <f t="shared" si="895"/>
        <v>3.3333333333333333E-2</v>
      </c>
      <c r="F18757">
        <v>1</v>
      </c>
      <c r="G18757">
        <f>LOG(382/(1+1))</f>
        <v>2.2810333672477277</v>
      </c>
      <c r="H18757">
        <f>0.0333333333333333*5.25227342804663</f>
        <v>0.17507578093488749</v>
      </c>
      <c r="I18757">
        <v>0.17507578093488771</v>
      </c>
    </row>
    <row r="18758" spans="1:9" x14ac:dyDescent="0.25">
      <c r="A18758">
        <v>577</v>
      </c>
      <c r="B18758" t="s">
        <v>4527</v>
      </c>
      <c r="C18758" t="s">
        <v>10</v>
      </c>
      <c r="D18758" t="s">
        <v>241</v>
      </c>
      <c r="E18758">
        <f t="shared" si="895"/>
        <v>3.3333333333333333E-2</v>
      </c>
      <c r="F18758">
        <v>19</v>
      </c>
      <c r="G18758">
        <f>LOG(382/(19+1))</f>
        <v>1.2810333672477277</v>
      </c>
      <c r="H18758">
        <f>0.0333333333333333*2.94968833505258</f>
        <v>9.8322944501752566E-2</v>
      </c>
      <c r="I18758">
        <v>9.8322944501752815E-2</v>
      </c>
    </row>
    <row r="18759" spans="1:9" x14ac:dyDescent="0.25">
      <c r="A18759">
        <v>577</v>
      </c>
      <c r="B18759" t="s">
        <v>4527</v>
      </c>
      <c r="C18759" t="s">
        <v>10</v>
      </c>
      <c r="D18759" t="s">
        <v>542</v>
      </c>
      <c r="E18759">
        <f t="shared" si="895"/>
        <v>3.3333333333333333E-2</v>
      </c>
      <c r="F18759">
        <v>42</v>
      </c>
      <c r="G18759">
        <f>LOG(382/(42+1))</f>
        <v>0.94859490733212215</v>
      </c>
      <c r="H18759">
        <f>0.0333333333333333*2.18422049291301</f>
        <v>7.2807349763766918E-2</v>
      </c>
      <c r="I18759">
        <v>7.2807349763767099E-2</v>
      </c>
    </row>
    <row r="18760" spans="1:9" x14ac:dyDescent="0.25">
      <c r="A18760">
        <v>577</v>
      </c>
      <c r="B18760" t="s">
        <v>4527</v>
      </c>
      <c r="C18760" t="s">
        <v>10</v>
      </c>
      <c r="D18760" t="s">
        <v>4417</v>
      </c>
      <c r="E18760">
        <f t="shared" si="895"/>
        <v>3.3333333333333333E-2</v>
      </c>
      <c r="F18760">
        <v>3</v>
      </c>
      <c r="G18760">
        <f>LOG(382/(3+1))</f>
        <v>1.9800033715837464</v>
      </c>
      <c r="H18760">
        <f>0.0333333333333333*4.55912624748668</f>
        <v>0.15197087491622252</v>
      </c>
      <c r="I18760">
        <v>0.1519708749162228</v>
      </c>
    </row>
    <row r="18761" spans="1:9" x14ac:dyDescent="0.25">
      <c r="A18761">
        <v>577</v>
      </c>
      <c r="B18761" t="s">
        <v>4527</v>
      </c>
      <c r="C18761" t="s">
        <v>10</v>
      </c>
      <c r="D18761" t="s">
        <v>28</v>
      </c>
      <c r="E18761">
        <f t="shared" si="895"/>
        <v>3.3333333333333333E-2</v>
      </c>
      <c r="F18761">
        <v>35</v>
      </c>
      <c r="G18761">
        <f>LOG(382/(35+1))</f>
        <v>1.0257608621444214</v>
      </c>
      <c r="H18761">
        <f>0.0333333333333333*2.36190167015046</f>
        <v>7.8730055671681912E-2</v>
      </c>
      <c r="I18761">
        <v>7.8730055671682161E-2</v>
      </c>
    </row>
    <row r="18762" spans="1:9" x14ac:dyDescent="0.25">
      <c r="A18762">
        <v>578</v>
      </c>
      <c r="B18762" t="s">
        <v>4533</v>
      </c>
      <c r="C18762" t="s">
        <v>10</v>
      </c>
      <c r="D18762" t="s">
        <v>4534</v>
      </c>
      <c r="E18762">
        <f>1/22</f>
        <v>4.5454545454545456E-2</v>
      </c>
      <c r="F18762">
        <v>1</v>
      </c>
      <c r="G18762">
        <f>LOG(382/(1+1))</f>
        <v>2.2810333672477277</v>
      </c>
      <c r="H18762">
        <f>0.0454545454545454*5.25227342804663</f>
        <v>0.23873970127484653</v>
      </c>
      <c r="I18762">
        <v>0.23873970127484681</v>
      </c>
    </row>
    <row r="18763" spans="1:9" x14ac:dyDescent="0.25">
      <c r="A18763">
        <v>578</v>
      </c>
      <c r="B18763" t="s">
        <v>4533</v>
      </c>
      <c r="C18763" t="s">
        <v>10</v>
      </c>
      <c r="D18763" t="s">
        <v>1217</v>
      </c>
      <c r="E18763">
        <f>1/22</f>
        <v>4.5454545454545456E-2</v>
      </c>
      <c r="F18763">
        <v>5</v>
      </c>
      <c r="G18763">
        <f>LOG(382/(5+1))</f>
        <v>1.803912112528065</v>
      </c>
      <c r="H18763">
        <f>0.0454545454545454*4.15366113937852</f>
        <v>0.18880277906265977</v>
      </c>
      <c r="I18763">
        <v>0.18880277906265999</v>
      </c>
    </row>
    <row r="18764" spans="1:9" x14ac:dyDescent="0.25">
      <c r="A18764">
        <v>578</v>
      </c>
      <c r="B18764" t="s">
        <v>4533</v>
      </c>
      <c r="C18764" t="s">
        <v>10</v>
      </c>
      <c r="D18764" t="s">
        <v>247</v>
      </c>
      <c r="E18764">
        <f>1/22</f>
        <v>4.5454545454545456E-2</v>
      </c>
      <c r="F18764">
        <v>121</v>
      </c>
      <c r="G18764">
        <f>LOG(382/(121+1))</f>
        <v>0.49570353223696051</v>
      </c>
      <c r="H18764">
        <f>0.0454545454545454*1.14139956387331</f>
        <v>5.1881798357877672E-2</v>
      </c>
      <c r="I18764">
        <v>5.188179835787813E-2</v>
      </c>
    </row>
    <row r="18765" spans="1:9" x14ac:dyDescent="0.25">
      <c r="A18765">
        <v>578</v>
      </c>
      <c r="B18765" t="s">
        <v>4533</v>
      </c>
      <c r="C18765" t="s">
        <v>10</v>
      </c>
      <c r="D18765" t="s">
        <v>39</v>
      </c>
      <c r="E18765">
        <f>1/22</f>
        <v>4.5454545454545456E-2</v>
      </c>
      <c r="F18765">
        <v>145</v>
      </c>
      <c r="G18765">
        <f>LOG(382/(145+1))</f>
        <v>0.41771050712727159</v>
      </c>
      <c r="H18765">
        <f>0.0454545454545454*0.961813986898238</f>
        <v>4.3718817586283494E-2</v>
      </c>
      <c r="I18765">
        <v>4.3718817586283577E-2</v>
      </c>
    </row>
    <row r="18766" spans="1:9" x14ac:dyDescent="0.25">
      <c r="A18766">
        <v>578</v>
      </c>
      <c r="B18766" t="s">
        <v>4533</v>
      </c>
      <c r="C18766" t="s">
        <v>10</v>
      </c>
      <c r="D18766" t="s">
        <v>331</v>
      </c>
      <c r="E18766">
        <f>2/22</f>
        <v>9.0909090909090912E-2</v>
      </c>
      <c r="F18766">
        <v>130</v>
      </c>
      <c r="G18766">
        <f>LOG(382/(130+1))</f>
        <v>0.46479206725594452</v>
      </c>
      <c r="H18766">
        <f>0.0909090909090909*1.07022328540542</f>
        <v>9.729302594594727E-2</v>
      </c>
      <c r="I18766">
        <v>9.7293025945947603E-2</v>
      </c>
    </row>
    <row r="18767" spans="1:9" x14ac:dyDescent="0.25">
      <c r="A18767">
        <v>578</v>
      </c>
      <c r="B18767" t="s">
        <v>4533</v>
      </c>
      <c r="C18767" t="s">
        <v>10</v>
      </c>
      <c r="D18767" t="s">
        <v>42</v>
      </c>
      <c r="E18767">
        <f t="shared" ref="E18767:E18782" si="896">1/22</f>
        <v>4.5454545454545456E-2</v>
      </c>
      <c r="F18767">
        <v>251</v>
      </c>
      <c r="G18767">
        <f>LOG(382/(251+1))</f>
        <v>0.18066282213016463</v>
      </c>
      <c r="H18767">
        <f>0.0454545454545454*0.415991521095151</f>
        <v>1.8908705504325021E-2</v>
      </c>
      <c r="I18767">
        <v>1.890870550432509E-2</v>
      </c>
    </row>
    <row r="18768" spans="1:9" x14ac:dyDescent="0.25">
      <c r="A18768">
        <v>578</v>
      </c>
      <c r="B18768" t="s">
        <v>4533</v>
      </c>
      <c r="C18768" t="s">
        <v>10</v>
      </c>
      <c r="D18768" t="s">
        <v>4535</v>
      </c>
      <c r="E18768">
        <f t="shared" si="896"/>
        <v>4.5454545454545456E-2</v>
      </c>
      <c r="F18768">
        <v>1</v>
      </c>
      <c r="G18768">
        <f>LOG(382/(1+1))</f>
        <v>2.2810333672477277</v>
      </c>
      <c r="H18768">
        <f>0.0454545454545454*5.25227342804663</f>
        <v>0.23873970127484653</v>
      </c>
      <c r="I18768">
        <v>0.23873970127484681</v>
      </c>
    </row>
    <row r="18769" spans="1:9" x14ac:dyDescent="0.25">
      <c r="A18769">
        <v>578</v>
      </c>
      <c r="B18769" t="s">
        <v>4533</v>
      </c>
      <c r="C18769" t="s">
        <v>10</v>
      </c>
      <c r="D18769" t="s">
        <v>19</v>
      </c>
      <c r="E18769">
        <f t="shared" si="896"/>
        <v>4.5454545454545456E-2</v>
      </c>
      <c r="F18769">
        <v>220</v>
      </c>
      <c r="G18769">
        <f>LOG(382/(220+1))</f>
        <v>0.23767108922659805</v>
      </c>
      <c r="H18769">
        <f>0.0454545454545454*0.547257907088822</f>
        <v>2.4875359413128247E-2</v>
      </c>
      <c r="I18769">
        <v>2.4875359413128292E-2</v>
      </c>
    </row>
    <row r="18770" spans="1:9" x14ac:dyDescent="0.25">
      <c r="A18770">
        <v>578</v>
      </c>
      <c r="B18770" t="s">
        <v>4533</v>
      </c>
      <c r="C18770" t="s">
        <v>10</v>
      </c>
      <c r="D18770" t="s">
        <v>195</v>
      </c>
      <c r="E18770">
        <f t="shared" si="896"/>
        <v>4.5454545454545456E-2</v>
      </c>
      <c r="F18770">
        <v>55</v>
      </c>
      <c r="G18770">
        <f>LOG(382/(55+1))</f>
        <v>0.83387533590550833</v>
      </c>
      <c r="H18770">
        <f>0.0454545454545454*1.92006891787142</f>
        <v>8.7275859903246267E-2</v>
      </c>
      <c r="I18770">
        <v>8.7275859903246628E-2</v>
      </c>
    </row>
    <row r="18771" spans="1:9" x14ac:dyDescent="0.25">
      <c r="A18771">
        <v>578</v>
      </c>
      <c r="B18771" t="s">
        <v>4533</v>
      </c>
      <c r="C18771" t="s">
        <v>10</v>
      </c>
      <c r="D18771" t="s">
        <v>22</v>
      </c>
      <c r="E18771">
        <f t="shared" si="896"/>
        <v>4.5454545454545456E-2</v>
      </c>
      <c r="F18771">
        <v>259</v>
      </c>
      <c r="G18771">
        <f>LOG(382/(259+1))</f>
        <v>0.16709001494089079</v>
      </c>
      <c r="H18771">
        <f>0.0454545454545454*0.384738977591047</f>
        <v>1.7488135345047572E-2</v>
      </c>
      <c r="I18771">
        <v>1.748813534504761E-2</v>
      </c>
    </row>
    <row r="18772" spans="1:9" x14ac:dyDescent="0.25">
      <c r="A18772">
        <v>578</v>
      </c>
      <c r="B18772" t="s">
        <v>4533</v>
      </c>
      <c r="C18772" t="s">
        <v>10</v>
      </c>
      <c r="D18772" t="s">
        <v>23</v>
      </c>
      <c r="E18772">
        <f t="shared" si="896"/>
        <v>4.5454545454545456E-2</v>
      </c>
      <c r="F18772">
        <v>275</v>
      </c>
      <c r="G18772">
        <f>LOG(382/(275+1))</f>
        <v>0.14115428084649101</v>
      </c>
      <c r="H18772">
        <f>0.0454545454545454*0.325019742889425</f>
        <v>1.4773624676792026E-2</v>
      </c>
      <c r="I18772">
        <v>1.477362467679205E-2</v>
      </c>
    </row>
    <row r="18773" spans="1:9" x14ac:dyDescent="0.25">
      <c r="A18773">
        <v>578</v>
      </c>
      <c r="B18773" t="s">
        <v>4533</v>
      </c>
      <c r="C18773" t="s">
        <v>10</v>
      </c>
      <c r="D18773" t="s">
        <v>105</v>
      </c>
      <c r="E18773">
        <f t="shared" si="896"/>
        <v>4.5454545454545456E-2</v>
      </c>
      <c r="F18773">
        <v>122</v>
      </c>
      <c r="G18773">
        <f>LOG(382/(122+1))</f>
        <v>0.49215825147231079</v>
      </c>
      <c r="H18773">
        <f>0.0454545454545454*1.13323625323415</f>
        <v>5.1510738783370397E-2</v>
      </c>
      <c r="I18773">
        <v>5.1510738783370799E-2</v>
      </c>
    </row>
    <row r="18774" spans="1:9" x14ac:dyDescent="0.25">
      <c r="A18774">
        <v>578</v>
      </c>
      <c r="B18774" t="s">
        <v>4533</v>
      </c>
      <c r="C18774" t="s">
        <v>10</v>
      </c>
      <c r="D18774" t="s">
        <v>1532</v>
      </c>
      <c r="E18774">
        <f t="shared" si="896"/>
        <v>4.5454545454545456E-2</v>
      </c>
      <c r="F18774">
        <v>28</v>
      </c>
      <c r="G18774">
        <f>LOG(382/(28+1))</f>
        <v>1.1196653650127526</v>
      </c>
      <c r="H18774">
        <f>0.0454545454545454*2.5781247786201</f>
        <v>0.11718748993727712</v>
      </c>
      <c r="I18774">
        <v>0.1171874899372773</v>
      </c>
    </row>
    <row r="18775" spans="1:9" x14ac:dyDescent="0.25">
      <c r="A18775">
        <v>578</v>
      </c>
      <c r="B18775" t="s">
        <v>4533</v>
      </c>
      <c r="C18775" t="s">
        <v>10</v>
      </c>
      <c r="D18775" t="s">
        <v>931</v>
      </c>
      <c r="E18775">
        <f t="shared" si="896"/>
        <v>4.5454545454545456E-2</v>
      </c>
      <c r="F18775">
        <v>22</v>
      </c>
      <c r="G18775">
        <f>LOG(382/(22+1))</f>
        <v>1.2203355268941158</v>
      </c>
      <c r="H18775">
        <f>0.0454545454545454*2.80992639267742</f>
        <v>0.12772392693988258</v>
      </c>
      <c r="I18775">
        <v>0.12772392693988299</v>
      </c>
    </row>
    <row r="18776" spans="1:9" x14ac:dyDescent="0.25">
      <c r="A18776">
        <v>578</v>
      </c>
      <c r="B18776" t="s">
        <v>4533</v>
      </c>
      <c r="C18776" t="s">
        <v>10</v>
      </c>
      <c r="D18776" t="s">
        <v>680</v>
      </c>
      <c r="E18776">
        <f t="shared" si="896"/>
        <v>4.5454545454545456E-2</v>
      </c>
      <c r="F18776">
        <v>25</v>
      </c>
      <c r="G18776">
        <f>LOG(382/(25+1))</f>
        <v>1.1670900149408907</v>
      </c>
      <c r="H18776">
        <f>0.0454545454545454*2.68732407058509</f>
        <v>0.12215109411750395</v>
      </c>
      <c r="I18776">
        <v>0.1221510941175042</v>
      </c>
    </row>
    <row r="18777" spans="1:9" x14ac:dyDescent="0.25">
      <c r="A18777">
        <v>578</v>
      </c>
      <c r="B18777" t="s">
        <v>4533</v>
      </c>
      <c r="C18777" t="s">
        <v>10</v>
      </c>
      <c r="D18777" t="s">
        <v>1534</v>
      </c>
      <c r="E18777">
        <f t="shared" si="896"/>
        <v>4.5454545454545456E-2</v>
      </c>
      <c r="F18777">
        <v>25</v>
      </c>
      <c r="G18777">
        <f>LOG(382/(25+1))</f>
        <v>1.1670900149408907</v>
      </c>
      <c r="H18777">
        <f>0.0454545454545454*2.68732407058509</f>
        <v>0.12215109411750395</v>
      </c>
      <c r="I18777">
        <v>0.1221510941175042</v>
      </c>
    </row>
    <row r="18778" spans="1:9" x14ac:dyDescent="0.25">
      <c r="A18778">
        <v>578</v>
      </c>
      <c r="B18778" t="s">
        <v>4533</v>
      </c>
      <c r="C18778" t="s">
        <v>10</v>
      </c>
      <c r="D18778" t="s">
        <v>937</v>
      </c>
      <c r="E18778">
        <f t="shared" si="896"/>
        <v>4.5454545454545456E-2</v>
      </c>
      <c r="F18778">
        <v>41</v>
      </c>
      <c r="G18778">
        <f>LOG(382/(41+1))</f>
        <v>0.95881407251380824</v>
      </c>
      <c r="H18778">
        <f>0.0454545454545454*2.2077509903232</f>
        <v>0.10035231774196353</v>
      </c>
      <c r="I18778">
        <v>0.1003523177419639</v>
      </c>
    </row>
    <row r="18779" spans="1:9" x14ac:dyDescent="0.25">
      <c r="A18779">
        <v>578</v>
      </c>
      <c r="B18779" t="s">
        <v>4533</v>
      </c>
      <c r="C18779" t="s">
        <v>10</v>
      </c>
      <c r="D18779" t="s">
        <v>746</v>
      </c>
      <c r="E18779">
        <f t="shared" si="896"/>
        <v>4.5454545454545456E-2</v>
      </c>
      <c r="F18779">
        <v>58</v>
      </c>
      <c r="G18779">
        <f>LOG(382/(58+1))</f>
        <v>0.81121135126956456</v>
      </c>
      <c r="H18779">
        <f>0.0454545454545454*1.86788316470085</f>
        <v>8.4903780213674895E-2</v>
      </c>
      <c r="I18779">
        <v>8.4903780213675256E-2</v>
      </c>
    </row>
    <row r="18780" spans="1:9" x14ac:dyDescent="0.25">
      <c r="A18780">
        <v>578</v>
      </c>
      <c r="B18780" t="s">
        <v>4533</v>
      </c>
      <c r="C18780" t="s">
        <v>10</v>
      </c>
      <c r="D18780" t="s">
        <v>1289</v>
      </c>
      <c r="E18780">
        <f t="shared" si="896"/>
        <v>4.5454545454545456E-2</v>
      </c>
      <c r="F18780">
        <v>8</v>
      </c>
      <c r="G18780">
        <f>LOG(382/(8+1))</f>
        <v>1.6278208534723839</v>
      </c>
      <c r="H18780">
        <f>0.0454545454545454*3.74819603127035</f>
        <v>0.17037254687592479</v>
      </c>
      <c r="I18780">
        <v>0.17037254687592529</v>
      </c>
    </row>
    <row r="18781" spans="1:9" x14ac:dyDescent="0.25">
      <c r="A18781">
        <v>578</v>
      </c>
      <c r="B18781" t="s">
        <v>4533</v>
      </c>
      <c r="C18781" t="s">
        <v>10</v>
      </c>
      <c r="D18781" t="s">
        <v>133</v>
      </c>
      <c r="E18781">
        <f t="shared" si="896"/>
        <v>4.5454545454545456E-2</v>
      </c>
      <c r="F18781">
        <v>142</v>
      </c>
      <c r="G18781">
        <f>LOG(382/(142+1))</f>
        <v>0.42672732544664693</v>
      </c>
      <c r="H18781">
        <f>0.0454545454545454*0.982575978346667</f>
        <v>4.4662544470302989E-2</v>
      </c>
      <c r="I18781">
        <v>4.4662544470303087E-2</v>
      </c>
    </row>
    <row r="18782" spans="1:9" x14ac:dyDescent="0.25">
      <c r="A18782">
        <v>578</v>
      </c>
      <c r="B18782" t="s">
        <v>4533</v>
      </c>
      <c r="C18782" t="s">
        <v>10</v>
      </c>
      <c r="D18782" t="s">
        <v>77</v>
      </c>
      <c r="E18782">
        <f t="shared" si="896"/>
        <v>4.5454545454545456E-2</v>
      </c>
      <c r="F18782">
        <v>148</v>
      </c>
      <c r="G18782">
        <f>LOG(382/(148+1))</f>
        <v>0.40887709449943471</v>
      </c>
      <c r="H18782">
        <f>0.0454545454545454*0.941474302661116</f>
        <v>4.2794286484596128E-2</v>
      </c>
      <c r="I18782">
        <v>4.279428648459619E-2</v>
      </c>
    </row>
    <row r="18783" spans="1:9" x14ac:dyDescent="0.25">
      <c r="A18783">
        <v>579</v>
      </c>
      <c r="B18783" t="s">
        <v>4536</v>
      </c>
      <c r="C18783" t="s">
        <v>48</v>
      </c>
      <c r="D18783" t="s">
        <v>106</v>
      </c>
      <c r="E18783">
        <f>10/101</f>
        <v>9.9009900990099015E-2</v>
      </c>
      <c r="F18783">
        <v>17</v>
      </c>
      <c r="G18783">
        <f>LOG(382/(17+1))</f>
        <v>1.3267908578084027</v>
      </c>
      <c r="H18783">
        <f>0.099009900990099*3.05504885071041</f>
        <v>0.30248008422875344</v>
      </c>
      <c r="I18783">
        <v>0.3024800842287535</v>
      </c>
    </row>
    <row r="18784" spans="1:9" x14ac:dyDescent="0.25">
      <c r="A18784">
        <v>579</v>
      </c>
      <c r="B18784" t="s">
        <v>4536</v>
      </c>
      <c r="C18784" t="s">
        <v>48</v>
      </c>
      <c r="D18784" t="s">
        <v>3252</v>
      </c>
      <c r="E18784">
        <f>10/101</f>
        <v>9.9009900990099015E-2</v>
      </c>
      <c r="F18784">
        <v>2</v>
      </c>
      <c r="G18784">
        <f>LOG(382/(2+1))</f>
        <v>2.1049421081920463</v>
      </c>
      <c r="H18784">
        <f>0.099009900990099*4.84680831993846</f>
        <v>0.47988201187509499</v>
      </c>
      <c r="I18784">
        <v>0.4798820118750956</v>
      </c>
    </row>
    <row r="18785" spans="1:9" x14ac:dyDescent="0.25">
      <c r="A18785">
        <v>579</v>
      </c>
      <c r="B18785" t="s">
        <v>4536</v>
      </c>
      <c r="C18785" t="s">
        <v>48</v>
      </c>
      <c r="D18785" t="s">
        <v>4537</v>
      </c>
      <c r="E18785">
        <f>10/101</f>
        <v>9.9009900990099015E-2</v>
      </c>
      <c r="F18785">
        <v>1</v>
      </c>
      <c r="G18785">
        <f>LOG(382/(1+1))</f>
        <v>2.2810333672477277</v>
      </c>
      <c r="H18785">
        <f>0.099009900990099*5.25227342804663</f>
        <v>0.5200270720838247</v>
      </c>
      <c r="I18785">
        <v>0.52002707208382482</v>
      </c>
    </row>
    <row r="18786" spans="1:9" x14ac:dyDescent="0.25">
      <c r="A18786">
        <v>579</v>
      </c>
      <c r="B18786" t="s">
        <v>4536</v>
      </c>
      <c r="C18786" t="s">
        <v>48</v>
      </c>
      <c r="D18786" t="s">
        <v>4538</v>
      </c>
      <c r="E18786">
        <f>10/101</f>
        <v>9.9009900990099015E-2</v>
      </c>
      <c r="F18786">
        <v>1</v>
      </c>
      <c r="G18786">
        <f>LOG(382/(1+1))</f>
        <v>2.2810333672477277</v>
      </c>
      <c r="H18786">
        <f>0.099009900990099*5.25227342804663</f>
        <v>0.5200270720838247</v>
      </c>
      <c r="I18786">
        <v>0.52002707208382482</v>
      </c>
    </row>
    <row r="18787" spans="1:9" x14ac:dyDescent="0.25">
      <c r="A18787">
        <v>579</v>
      </c>
      <c r="B18787" t="s">
        <v>4536</v>
      </c>
      <c r="C18787" t="s">
        <v>48</v>
      </c>
      <c r="D18787" t="s">
        <v>1296</v>
      </c>
      <c r="E18787">
        <f>2/101</f>
        <v>1.9801980198019802E-2</v>
      </c>
      <c r="F18787">
        <v>14</v>
      </c>
      <c r="G18787">
        <f>LOG(382/(14+1))</f>
        <v>1.4059721038560276</v>
      </c>
      <c r="H18787">
        <f>0.0198019801980198*3.23737040750436</f>
        <v>6.4106344703056622E-2</v>
      </c>
      <c r="I18787">
        <v>6.4106344703056733E-2</v>
      </c>
    </row>
    <row r="18788" spans="1:9" x14ac:dyDescent="0.25">
      <c r="A18788">
        <v>579</v>
      </c>
      <c r="B18788" t="s">
        <v>4536</v>
      </c>
      <c r="C18788" t="s">
        <v>48</v>
      </c>
      <c r="D18788" t="s">
        <v>2714</v>
      </c>
      <c r="E18788">
        <f>1/101</f>
        <v>9.9009900990099011E-3</v>
      </c>
      <c r="F18788">
        <v>3</v>
      </c>
      <c r="G18788">
        <f>LOG(382/(3+1))</f>
        <v>1.9800033715837464</v>
      </c>
      <c r="H18788">
        <f>0.0099009900990099*4.55912624748668</f>
        <v>4.5139863836501773E-2</v>
      </c>
      <c r="I18788">
        <v>4.5139863836501828E-2</v>
      </c>
    </row>
    <row r="18789" spans="1:9" x14ac:dyDescent="0.25">
      <c r="A18789">
        <v>579</v>
      </c>
      <c r="B18789" t="s">
        <v>4536</v>
      </c>
      <c r="C18789" t="s">
        <v>48</v>
      </c>
      <c r="D18789" t="s">
        <v>4539</v>
      </c>
      <c r="E18789">
        <f>2/101</f>
        <v>1.9801980198019802E-2</v>
      </c>
      <c r="F18789">
        <v>1</v>
      </c>
      <c r="G18789">
        <f>LOG(382/(1+1))</f>
        <v>2.2810333672477277</v>
      </c>
      <c r="H18789">
        <f>0.0198019801980198*5.25227342804663</f>
        <v>0.10400541441676493</v>
      </c>
      <c r="I18789">
        <v>0.1040054144167649</v>
      </c>
    </row>
    <row r="18790" spans="1:9" x14ac:dyDescent="0.25">
      <c r="A18790">
        <v>579</v>
      </c>
      <c r="B18790" t="s">
        <v>4536</v>
      </c>
      <c r="C18790" t="s">
        <v>48</v>
      </c>
      <c r="D18790" t="s">
        <v>4540</v>
      </c>
      <c r="E18790">
        <f>2/101</f>
        <v>1.9801980198019802E-2</v>
      </c>
      <c r="F18790">
        <v>1</v>
      </c>
      <c r="G18790">
        <f>LOG(382/(1+1))</f>
        <v>2.2810333672477277</v>
      </c>
      <c r="H18790">
        <f>0.0198019801980198*5.25227342804663</f>
        <v>0.10400541441676493</v>
      </c>
      <c r="I18790">
        <v>0.1040054144167649</v>
      </c>
    </row>
    <row r="18791" spans="1:9" x14ac:dyDescent="0.25">
      <c r="A18791">
        <v>579</v>
      </c>
      <c r="B18791" t="s">
        <v>4536</v>
      </c>
      <c r="C18791" t="s">
        <v>48</v>
      </c>
      <c r="D18791" t="s">
        <v>4345</v>
      </c>
      <c r="E18791">
        <f>1/101</f>
        <v>9.9009900990099011E-3</v>
      </c>
      <c r="F18791">
        <v>2</v>
      </c>
      <c r="G18791">
        <f>LOG(382/(2+1))</f>
        <v>2.1049421081920463</v>
      </c>
      <c r="H18791">
        <f>0.0099009900990099*4.84680831993846</f>
        <v>4.7988201187509495E-2</v>
      </c>
      <c r="I18791">
        <v>4.7988201187509558E-2</v>
      </c>
    </row>
    <row r="18792" spans="1:9" x14ac:dyDescent="0.25">
      <c r="A18792">
        <v>579</v>
      </c>
      <c r="B18792" t="s">
        <v>4536</v>
      </c>
      <c r="C18792" t="s">
        <v>48</v>
      </c>
      <c r="D18792" t="s">
        <v>2741</v>
      </c>
      <c r="E18792">
        <f>1/101</f>
        <v>9.9009900990099011E-3</v>
      </c>
      <c r="F18792">
        <v>2</v>
      </c>
      <c r="G18792">
        <f>LOG(382/(2+1))</f>
        <v>2.1049421081920463</v>
      </c>
      <c r="H18792">
        <f>0.0099009900990099*4.84680831993846</f>
        <v>4.7988201187509495E-2</v>
      </c>
      <c r="I18792">
        <v>4.7988201187509558E-2</v>
      </c>
    </row>
    <row r="18793" spans="1:9" x14ac:dyDescent="0.25">
      <c r="A18793">
        <v>579</v>
      </c>
      <c r="B18793" t="s">
        <v>4536</v>
      </c>
      <c r="C18793" t="s">
        <v>48</v>
      </c>
      <c r="D18793" t="s">
        <v>3414</v>
      </c>
      <c r="E18793">
        <f>1/101</f>
        <v>9.9009900990099011E-3</v>
      </c>
      <c r="F18793">
        <v>3</v>
      </c>
      <c r="G18793">
        <f>LOG(382/(3+1))</f>
        <v>1.9800033715837464</v>
      </c>
      <c r="H18793">
        <f>0.0099009900990099*4.55912624748668</f>
        <v>4.5139863836501773E-2</v>
      </c>
      <c r="I18793">
        <v>4.5139863836501828E-2</v>
      </c>
    </row>
    <row r="18794" spans="1:9" x14ac:dyDescent="0.25">
      <c r="A18794">
        <v>579</v>
      </c>
      <c r="B18794" t="s">
        <v>4536</v>
      </c>
      <c r="C18794" t="s">
        <v>48</v>
      </c>
      <c r="D18794" t="s">
        <v>739</v>
      </c>
      <c r="E18794">
        <f>1/101</f>
        <v>9.9009900990099011E-3</v>
      </c>
      <c r="F18794">
        <v>24</v>
      </c>
      <c r="G18794">
        <f>LOG(382/(24+1))</f>
        <v>1.1841233542396712</v>
      </c>
      <c r="H18794">
        <f>0.0099009900990099*2.72654478373837</f>
        <v>2.6995492908300688E-2</v>
      </c>
      <c r="I18794">
        <v>2.699549290830074E-2</v>
      </c>
    </row>
    <row r="18795" spans="1:9" x14ac:dyDescent="0.25">
      <c r="A18795">
        <v>579</v>
      </c>
      <c r="B18795" t="s">
        <v>4536</v>
      </c>
      <c r="C18795" t="s">
        <v>48</v>
      </c>
      <c r="D18795" t="s">
        <v>4541</v>
      </c>
      <c r="E18795">
        <f>3/101</f>
        <v>2.9702970297029702E-2</v>
      </c>
      <c r="F18795">
        <v>1</v>
      </c>
      <c r="G18795">
        <f>LOG(382/(1+1))</f>
        <v>2.2810333672477277</v>
      </c>
      <c r="H18795">
        <f>0.0297029702970297*5.25227342804663</f>
        <v>0.15600812162514741</v>
      </c>
      <c r="I18795">
        <v>0.15600812162514741</v>
      </c>
    </row>
    <row r="18796" spans="1:9" x14ac:dyDescent="0.25">
      <c r="A18796">
        <v>579</v>
      </c>
      <c r="B18796" t="s">
        <v>4536</v>
      </c>
      <c r="C18796" t="s">
        <v>48</v>
      </c>
      <c r="D18796" t="s">
        <v>4542</v>
      </c>
      <c r="E18796">
        <f>2/101</f>
        <v>1.9801980198019802E-2</v>
      </c>
      <c r="F18796">
        <v>2</v>
      </c>
      <c r="G18796">
        <f>LOG(382/(2+1))</f>
        <v>2.1049421081920463</v>
      </c>
      <c r="H18796">
        <f>0.0198019801980198*4.84680831993846</f>
        <v>9.597640237501899E-2</v>
      </c>
      <c r="I18796">
        <v>9.5976402375019115E-2</v>
      </c>
    </row>
    <row r="18797" spans="1:9" x14ac:dyDescent="0.25">
      <c r="A18797">
        <v>579</v>
      </c>
      <c r="B18797" t="s">
        <v>4536</v>
      </c>
      <c r="C18797" t="s">
        <v>48</v>
      </c>
      <c r="D18797" t="s">
        <v>924</v>
      </c>
      <c r="E18797">
        <f>1/101</f>
        <v>9.9009900990099011E-3</v>
      </c>
      <c r="F18797">
        <v>13</v>
      </c>
      <c r="G18797">
        <f>LOG(382/(13+1))</f>
        <v>1.4359353272334707</v>
      </c>
      <c r="H18797">
        <f>0.0099009900990099*3.30636327899131</f>
        <v>3.273627008902287E-2</v>
      </c>
      <c r="I18797">
        <v>3.2736270089022933E-2</v>
      </c>
    </row>
    <row r="18798" spans="1:9" x14ac:dyDescent="0.25">
      <c r="A18798">
        <v>579</v>
      </c>
      <c r="B18798" t="s">
        <v>4536</v>
      </c>
      <c r="C18798" t="s">
        <v>48</v>
      </c>
      <c r="D18798" t="s">
        <v>4543</v>
      </c>
      <c r="E18798">
        <f>1/101</f>
        <v>9.9009900990099011E-3</v>
      </c>
      <c r="F18798">
        <v>1</v>
      </c>
      <c r="G18798">
        <f>LOG(382/(1+1))</f>
        <v>2.2810333672477277</v>
      </c>
      <c r="H18798">
        <f>0.0099009900990099*5.25227342804663</f>
        <v>5.2002707208382466E-2</v>
      </c>
      <c r="I18798">
        <v>5.2002707208382473E-2</v>
      </c>
    </row>
    <row r="18799" spans="1:9" x14ac:dyDescent="0.25">
      <c r="A18799">
        <v>579</v>
      </c>
      <c r="B18799" t="s">
        <v>4536</v>
      </c>
      <c r="C18799" t="s">
        <v>48</v>
      </c>
      <c r="D18799" t="s">
        <v>4544</v>
      </c>
      <c r="E18799">
        <f>1/101</f>
        <v>9.9009900990099011E-3</v>
      </c>
      <c r="F18799">
        <v>1</v>
      </c>
      <c r="G18799">
        <f>LOG(382/(1+1))</f>
        <v>2.2810333672477277</v>
      </c>
      <c r="H18799">
        <f>0.0099009900990099*5.25227342804663</f>
        <v>5.2002707208382466E-2</v>
      </c>
      <c r="I18799">
        <v>5.2002707208382473E-2</v>
      </c>
    </row>
    <row r="18800" spans="1:9" x14ac:dyDescent="0.25">
      <c r="A18800">
        <v>579</v>
      </c>
      <c r="B18800" t="s">
        <v>4536</v>
      </c>
      <c r="C18800" t="s">
        <v>48</v>
      </c>
      <c r="D18800" t="s">
        <v>28</v>
      </c>
      <c r="E18800">
        <f>4/101</f>
        <v>3.9603960396039604E-2</v>
      </c>
      <c r="F18800">
        <v>35</v>
      </c>
      <c r="G18800">
        <f>LOG(382/(35+1))</f>
        <v>1.0257608621444214</v>
      </c>
      <c r="H18800">
        <f>0.0396039603960396*2.36190167015046</f>
        <v>9.3540660203978596E-2</v>
      </c>
      <c r="I18800">
        <v>9.3540660203978804E-2</v>
      </c>
    </row>
    <row r="18801" spans="1:9" x14ac:dyDescent="0.25">
      <c r="A18801">
        <v>579</v>
      </c>
      <c r="B18801" t="s">
        <v>4536</v>
      </c>
      <c r="C18801" t="s">
        <v>48</v>
      </c>
      <c r="D18801" t="s">
        <v>4545</v>
      </c>
      <c r="E18801">
        <f t="shared" ref="E18801:E18823" si="897">1/101</f>
        <v>9.9009900990099011E-3</v>
      </c>
      <c r="F18801">
        <v>1</v>
      </c>
      <c r="G18801">
        <f>LOG(382/(1+1))</f>
        <v>2.2810333672477277</v>
      </c>
      <c r="H18801">
        <f>0.0099009900990099*5.25227342804663</f>
        <v>5.2002707208382466E-2</v>
      </c>
      <c r="I18801">
        <v>5.2002707208382473E-2</v>
      </c>
    </row>
    <row r="18802" spans="1:9" x14ac:dyDescent="0.25">
      <c r="A18802">
        <v>579</v>
      </c>
      <c r="B18802" t="s">
        <v>4536</v>
      </c>
      <c r="C18802" t="s">
        <v>48</v>
      </c>
      <c r="D18802" t="s">
        <v>4546</v>
      </c>
      <c r="E18802">
        <f t="shared" si="897"/>
        <v>9.9009900990099011E-3</v>
      </c>
      <c r="F18802">
        <v>1</v>
      </c>
      <c r="G18802">
        <f>LOG(382/(1+1))</f>
        <v>2.2810333672477277</v>
      </c>
      <c r="H18802">
        <f>0.0099009900990099*5.25227342804663</f>
        <v>5.2002707208382466E-2</v>
      </c>
      <c r="I18802">
        <v>5.2002707208382473E-2</v>
      </c>
    </row>
    <row r="18803" spans="1:9" x14ac:dyDescent="0.25">
      <c r="A18803">
        <v>579</v>
      </c>
      <c r="B18803" t="s">
        <v>4536</v>
      </c>
      <c r="C18803" t="s">
        <v>48</v>
      </c>
      <c r="D18803" t="s">
        <v>4547</v>
      </c>
      <c r="E18803">
        <f t="shared" si="897"/>
        <v>9.9009900990099011E-3</v>
      </c>
      <c r="F18803">
        <v>1</v>
      </c>
      <c r="G18803">
        <f>LOG(382/(1+1))</f>
        <v>2.2810333672477277</v>
      </c>
      <c r="H18803">
        <f>0.0099009900990099*5.25227342804663</f>
        <v>5.2002707208382466E-2</v>
      </c>
      <c r="I18803">
        <v>5.2002707208382473E-2</v>
      </c>
    </row>
    <row r="18804" spans="1:9" x14ac:dyDescent="0.25">
      <c r="A18804">
        <v>579</v>
      </c>
      <c r="B18804" t="s">
        <v>4536</v>
      </c>
      <c r="C18804" t="s">
        <v>48</v>
      </c>
      <c r="D18804" t="s">
        <v>192</v>
      </c>
      <c r="E18804">
        <f t="shared" si="897"/>
        <v>9.9009900990099011E-3</v>
      </c>
      <c r="F18804">
        <v>5</v>
      </c>
      <c r="G18804">
        <f>LOG(382/(5+1))</f>
        <v>1.803912112528065</v>
      </c>
      <c r="H18804">
        <f>0.0099009900990099*4.15366113937852</f>
        <v>4.1125357815628906E-2</v>
      </c>
      <c r="I18804">
        <v>4.1125357815628913E-2</v>
      </c>
    </row>
    <row r="18805" spans="1:9" x14ac:dyDescent="0.25">
      <c r="A18805">
        <v>579</v>
      </c>
      <c r="B18805" t="s">
        <v>4536</v>
      </c>
      <c r="C18805" t="s">
        <v>48</v>
      </c>
      <c r="D18805" t="s">
        <v>4548</v>
      </c>
      <c r="E18805">
        <f t="shared" si="897"/>
        <v>9.9009900990099011E-3</v>
      </c>
      <c r="F18805">
        <v>1</v>
      </c>
      <c r="G18805">
        <f>LOG(382/(1+1))</f>
        <v>2.2810333672477277</v>
      </c>
      <c r="H18805">
        <f>0.0099009900990099*5.25227342804663</f>
        <v>5.2002707208382466E-2</v>
      </c>
      <c r="I18805">
        <v>5.2002707208382473E-2</v>
      </c>
    </row>
    <row r="18806" spans="1:9" x14ac:dyDescent="0.25">
      <c r="A18806">
        <v>579</v>
      </c>
      <c r="B18806" t="s">
        <v>4536</v>
      </c>
      <c r="C18806" t="s">
        <v>48</v>
      </c>
      <c r="D18806" t="s">
        <v>4549</v>
      </c>
      <c r="E18806">
        <f t="shared" si="897"/>
        <v>9.9009900990099011E-3</v>
      </c>
      <c r="F18806">
        <v>1</v>
      </c>
      <c r="G18806">
        <f>LOG(382/(1+1))</f>
        <v>2.2810333672477277</v>
      </c>
      <c r="H18806">
        <f>0.0099009900990099*5.25227342804663</f>
        <v>5.2002707208382466E-2</v>
      </c>
      <c r="I18806">
        <v>5.2002707208382473E-2</v>
      </c>
    </row>
    <row r="18807" spans="1:9" x14ac:dyDescent="0.25">
      <c r="A18807">
        <v>579</v>
      </c>
      <c r="B18807" t="s">
        <v>4536</v>
      </c>
      <c r="C18807" t="s">
        <v>48</v>
      </c>
      <c r="D18807" t="s">
        <v>1480</v>
      </c>
      <c r="E18807">
        <f t="shared" si="897"/>
        <v>9.9009900990099011E-3</v>
      </c>
      <c r="F18807">
        <v>11</v>
      </c>
      <c r="G18807">
        <f>LOG(382/(11+1))</f>
        <v>1.5028821168640838</v>
      </c>
      <c r="H18807">
        <f>0.0099009900990099*3.46051395881857</f>
        <v>3.4262514443748213E-2</v>
      </c>
      <c r="I18807">
        <v>3.4262514443748268E-2</v>
      </c>
    </row>
    <row r="18808" spans="1:9" x14ac:dyDescent="0.25">
      <c r="A18808">
        <v>579</v>
      </c>
      <c r="B18808" t="s">
        <v>4536</v>
      </c>
      <c r="C18808" t="s">
        <v>48</v>
      </c>
      <c r="D18808" t="s">
        <v>4550</v>
      </c>
      <c r="E18808">
        <f t="shared" si="897"/>
        <v>9.9009900990099011E-3</v>
      </c>
      <c r="F18808">
        <v>1</v>
      </c>
      <c r="G18808">
        <f>LOG(382/(1+1))</f>
        <v>2.2810333672477277</v>
      </c>
      <c r="H18808">
        <f>0.0099009900990099*5.25227342804663</f>
        <v>5.2002707208382466E-2</v>
      </c>
      <c r="I18808">
        <v>5.2002707208382473E-2</v>
      </c>
    </row>
    <row r="18809" spans="1:9" x14ac:dyDescent="0.25">
      <c r="A18809">
        <v>579</v>
      </c>
      <c r="B18809" t="s">
        <v>4536</v>
      </c>
      <c r="C18809" t="s">
        <v>48</v>
      </c>
      <c r="D18809" t="s">
        <v>4551</v>
      </c>
      <c r="E18809">
        <f t="shared" si="897"/>
        <v>9.9009900990099011E-3</v>
      </c>
      <c r="F18809">
        <v>1</v>
      </c>
      <c r="G18809">
        <f>LOG(382/(1+1))</f>
        <v>2.2810333672477277</v>
      </c>
      <c r="H18809">
        <f>0.0099009900990099*5.25227342804663</f>
        <v>5.2002707208382466E-2</v>
      </c>
      <c r="I18809">
        <v>5.2002707208382473E-2</v>
      </c>
    </row>
    <row r="18810" spans="1:9" x14ac:dyDescent="0.25">
      <c r="A18810">
        <v>579</v>
      </c>
      <c r="B18810" t="s">
        <v>4536</v>
      </c>
      <c r="C18810" t="s">
        <v>48</v>
      </c>
      <c r="D18810" t="s">
        <v>67</v>
      </c>
      <c r="E18810">
        <f t="shared" si="897"/>
        <v>9.9009900990099011E-3</v>
      </c>
      <c r="F18810">
        <v>7</v>
      </c>
      <c r="G18810">
        <f>LOG(382/(7+1))</f>
        <v>1.6789733759197651</v>
      </c>
      <c r="H18810">
        <f>0.0099009900990099*3.86597906692673</f>
        <v>3.8277020464621087E-2</v>
      </c>
      <c r="I18810">
        <v>3.8277020464621177E-2</v>
      </c>
    </row>
    <row r="18811" spans="1:9" x14ac:dyDescent="0.25">
      <c r="A18811">
        <v>579</v>
      </c>
      <c r="B18811" t="s">
        <v>4536</v>
      </c>
      <c r="C18811" t="s">
        <v>48</v>
      </c>
      <c r="D18811" t="s">
        <v>2284</v>
      </c>
      <c r="E18811">
        <f t="shared" si="897"/>
        <v>9.9009900990099011E-3</v>
      </c>
      <c r="F18811">
        <v>4</v>
      </c>
      <c r="G18811">
        <f>LOG(382/(4+1))</f>
        <v>1.8830933585756899</v>
      </c>
      <c r="H18811">
        <f>0.0099009900990099*4.33598269617247</f>
        <v>4.2930521744281878E-2</v>
      </c>
      <c r="I18811">
        <v>4.2930521744281927E-2</v>
      </c>
    </row>
    <row r="18812" spans="1:9" x14ac:dyDescent="0.25">
      <c r="A18812">
        <v>579</v>
      </c>
      <c r="B18812" t="s">
        <v>4536</v>
      </c>
      <c r="C18812" t="s">
        <v>48</v>
      </c>
      <c r="D18812" t="s">
        <v>4552</v>
      </c>
      <c r="E18812">
        <f t="shared" si="897"/>
        <v>9.9009900990099011E-3</v>
      </c>
      <c r="F18812">
        <v>1</v>
      </c>
      <c r="G18812">
        <f>LOG(382/(1+1))</f>
        <v>2.2810333672477277</v>
      </c>
      <c r="H18812">
        <f>0.0099009900990099*5.25227342804663</f>
        <v>5.2002707208382466E-2</v>
      </c>
      <c r="I18812">
        <v>5.2002707208382473E-2</v>
      </c>
    </row>
    <row r="18813" spans="1:9" x14ac:dyDescent="0.25">
      <c r="A18813">
        <v>579</v>
      </c>
      <c r="B18813" t="s">
        <v>4536</v>
      </c>
      <c r="C18813" t="s">
        <v>48</v>
      </c>
      <c r="D18813" t="s">
        <v>4553</v>
      </c>
      <c r="E18813">
        <f t="shared" si="897"/>
        <v>9.9009900990099011E-3</v>
      </c>
      <c r="F18813">
        <v>1</v>
      </c>
      <c r="G18813">
        <f>LOG(382/(1+1))</f>
        <v>2.2810333672477277</v>
      </c>
      <c r="H18813">
        <f>0.0099009900990099*5.25227342804663</f>
        <v>5.2002707208382466E-2</v>
      </c>
      <c r="I18813">
        <v>5.2002707208382473E-2</v>
      </c>
    </row>
    <row r="18814" spans="1:9" x14ac:dyDescent="0.25">
      <c r="A18814">
        <v>579</v>
      </c>
      <c r="B18814" t="s">
        <v>4536</v>
      </c>
      <c r="C18814" t="s">
        <v>48</v>
      </c>
      <c r="D18814" t="s">
        <v>4554</v>
      </c>
      <c r="E18814">
        <f t="shared" si="897"/>
        <v>9.9009900990099011E-3</v>
      </c>
      <c r="F18814">
        <v>1</v>
      </c>
      <c r="G18814">
        <f>LOG(382/(1+1))</f>
        <v>2.2810333672477277</v>
      </c>
      <c r="H18814">
        <f>0.0099009900990099*5.25227342804663</f>
        <v>5.2002707208382466E-2</v>
      </c>
      <c r="I18814">
        <v>5.2002707208382473E-2</v>
      </c>
    </row>
    <row r="18815" spans="1:9" x14ac:dyDescent="0.25">
      <c r="A18815">
        <v>579</v>
      </c>
      <c r="B18815" t="s">
        <v>4536</v>
      </c>
      <c r="C18815" t="s">
        <v>48</v>
      </c>
      <c r="D18815" t="s">
        <v>4555</v>
      </c>
      <c r="E18815">
        <f t="shared" si="897"/>
        <v>9.9009900990099011E-3</v>
      </c>
      <c r="F18815">
        <v>1</v>
      </c>
      <c r="G18815">
        <f>LOG(382/(1+1))</f>
        <v>2.2810333672477277</v>
      </c>
      <c r="H18815">
        <f>0.0099009900990099*5.25227342804663</f>
        <v>5.2002707208382466E-2</v>
      </c>
      <c r="I18815">
        <v>5.2002707208382473E-2</v>
      </c>
    </row>
    <row r="18816" spans="1:9" x14ac:dyDescent="0.25">
      <c r="A18816">
        <v>579</v>
      </c>
      <c r="B18816" t="s">
        <v>4536</v>
      </c>
      <c r="C18816" t="s">
        <v>48</v>
      </c>
      <c r="D18816" t="s">
        <v>432</v>
      </c>
      <c r="E18816">
        <f t="shared" si="897"/>
        <v>9.9009900990099011E-3</v>
      </c>
      <c r="F18816">
        <v>67</v>
      </c>
      <c r="G18816">
        <f>LOG(382/(67+1))</f>
        <v>0.7495544502054724</v>
      </c>
      <c r="H18816">
        <f>0.0099009900990099*1.72591290343046</f>
        <v>1.7088246568618414E-2</v>
      </c>
      <c r="I18816">
        <v>1.7088246568618501E-2</v>
      </c>
    </row>
    <row r="18817" spans="1:9" x14ac:dyDescent="0.25">
      <c r="A18817">
        <v>579</v>
      </c>
      <c r="B18817" t="s">
        <v>4536</v>
      </c>
      <c r="C18817" t="s">
        <v>48</v>
      </c>
      <c r="D18817" t="s">
        <v>103</v>
      </c>
      <c r="E18817">
        <f t="shared" si="897"/>
        <v>9.9009900990099011E-3</v>
      </c>
      <c r="F18817">
        <v>38</v>
      </c>
      <c r="G18817">
        <f>LOG(382/(38+1))</f>
        <v>0.99099875588520958</v>
      </c>
      <c r="H18817">
        <f>0.0099009900990099*2.28185896247692</f>
        <v>2.2592662994820989E-2</v>
      </c>
      <c r="I18817">
        <v>2.2592662994821079E-2</v>
      </c>
    </row>
    <row r="18818" spans="1:9" x14ac:dyDescent="0.25">
      <c r="A18818">
        <v>579</v>
      </c>
      <c r="B18818" t="s">
        <v>4536</v>
      </c>
      <c r="C18818" t="s">
        <v>48</v>
      </c>
      <c r="D18818" t="s">
        <v>811</v>
      </c>
      <c r="E18818">
        <f t="shared" si="897"/>
        <v>9.9009900990099011E-3</v>
      </c>
      <c r="F18818">
        <v>27</v>
      </c>
      <c r="G18818">
        <f>LOG(382/(27+1))</f>
        <v>1.1349053315694895</v>
      </c>
      <c r="H18818">
        <f>0.0099009900990099*2.61321609843137</f>
        <v>2.5873426717142274E-2</v>
      </c>
      <c r="I18818">
        <v>2.5873426717142291E-2</v>
      </c>
    </row>
    <row r="18819" spans="1:9" x14ac:dyDescent="0.25">
      <c r="A18819">
        <v>579</v>
      </c>
      <c r="B18819" t="s">
        <v>4536</v>
      </c>
      <c r="C18819" t="s">
        <v>48</v>
      </c>
      <c r="D18819" t="s">
        <v>417</v>
      </c>
      <c r="E18819">
        <f t="shared" si="897"/>
        <v>9.9009900990099011E-3</v>
      </c>
      <c r="F18819">
        <v>7</v>
      </c>
      <c r="G18819">
        <f>LOG(382/(7+1))</f>
        <v>1.6789733759197651</v>
      </c>
      <c r="H18819">
        <f>0.0099009900990099*3.86597906692673</f>
        <v>3.8277020464621087E-2</v>
      </c>
      <c r="I18819">
        <v>3.8277020464621177E-2</v>
      </c>
    </row>
    <row r="18820" spans="1:9" x14ac:dyDescent="0.25">
      <c r="A18820">
        <v>579</v>
      </c>
      <c r="B18820" t="s">
        <v>4536</v>
      </c>
      <c r="C18820" t="s">
        <v>48</v>
      </c>
      <c r="D18820" t="s">
        <v>4556</v>
      </c>
      <c r="E18820">
        <f t="shared" si="897"/>
        <v>9.9009900990099011E-3</v>
      </c>
      <c r="F18820">
        <v>1</v>
      </c>
      <c r="G18820">
        <f>LOG(382/(1+1))</f>
        <v>2.2810333672477277</v>
      </c>
      <c r="H18820">
        <f>0.0099009900990099*5.25227342804663</f>
        <v>5.2002707208382466E-2</v>
      </c>
      <c r="I18820">
        <v>5.2002707208382473E-2</v>
      </c>
    </row>
    <row r="18821" spans="1:9" x14ac:dyDescent="0.25">
      <c r="A18821">
        <v>579</v>
      </c>
      <c r="B18821" t="s">
        <v>4536</v>
      </c>
      <c r="C18821" t="s">
        <v>48</v>
      </c>
      <c r="D18821" t="s">
        <v>1114</v>
      </c>
      <c r="E18821">
        <f t="shared" si="897"/>
        <v>9.9009900990099011E-3</v>
      </c>
      <c r="F18821">
        <v>3</v>
      </c>
      <c r="G18821">
        <f>LOG(382/(3+1))</f>
        <v>1.9800033715837464</v>
      </c>
      <c r="H18821">
        <f>0.0099009900990099*4.55912624748668</f>
        <v>4.5139863836501773E-2</v>
      </c>
      <c r="I18821">
        <v>4.5139863836501828E-2</v>
      </c>
    </row>
    <row r="18822" spans="1:9" x14ac:dyDescent="0.25">
      <c r="A18822">
        <v>579</v>
      </c>
      <c r="B18822" t="s">
        <v>4536</v>
      </c>
      <c r="C18822" t="s">
        <v>48</v>
      </c>
      <c r="D18822" t="s">
        <v>3747</v>
      </c>
      <c r="E18822">
        <f t="shared" si="897"/>
        <v>9.9009900990099011E-3</v>
      </c>
      <c r="F18822">
        <v>3</v>
      </c>
      <c r="G18822">
        <f>LOG(382/(3+1))</f>
        <v>1.9800033715837464</v>
      </c>
      <c r="H18822">
        <f>0.0099009900990099*4.55912624748668</f>
        <v>4.5139863836501773E-2</v>
      </c>
      <c r="I18822">
        <v>4.5139863836501828E-2</v>
      </c>
    </row>
    <row r="18823" spans="1:9" x14ac:dyDescent="0.25">
      <c r="A18823">
        <v>579</v>
      </c>
      <c r="B18823" t="s">
        <v>4536</v>
      </c>
      <c r="C18823" t="s">
        <v>48</v>
      </c>
      <c r="D18823" t="s">
        <v>388</v>
      </c>
      <c r="E18823">
        <f t="shared" si="897"/>
        <v>9.9009900990099011E-3</v>
      </c>
      <c r="F18823">
        <v>44</v>
      </c>
      <c r="G18823">
        <f>LOG(382/(44+1))</f>
        <v>0.92885084913636506</v>
      </c>
      <c r="H18823">
        <f>0.0099009900990099*2.13875811883625</f>
        <v>2.1175822958774747E-2</v>
      </c>
      <c r="I18823">
        <v>2.11758229587748E-2</v>
      </c>
    </row>
    <row r="18824" spans="1:9" x14ac:dyDescent="0.25">
      <c r="A18824">
        <v>579</v>
      </c>
      <c r="B18824" t="s">
        <v>4536</v>
      </c>
      <c r="C18824" t="s">
        <v>48</v>
      </c>
      <c r="D18824" t="s">
        <v>2217</v>
      </c>
      <c r="E18824">
        <f>2/101</f>
        <v>1.9801980198019802E-2</v>
      </c>
      <c r="F18824">
        <v>4</v>
      </c>
      <c r="G18824">
        <f>LOG(382/(4+1))</f>
        <v>1.8830933585756899</v>
      </c>
      <c r="H18824">
        <f>0.0198019801980198*4.33598269617247</f>
        <v>8.5861043488563757E-2</v>
      </c>
      <c r="I18824">
        <v>8.5861043488563854E-2</v>
      </c>
    </row>
    <row r="18825" spans="1:9" x14ac:dyDescent="0.25">
      <c r="A18825">
        <v>579</v>
      </c>
      <c r="B18825" t="s">
        <v>4536</v>
      </c>
      <c r="C18825" t="s">
        <v>48</v>
      </c>
      <c r="D18825" t="s">
        <v>4557</v>
      </c>
      <c r="E18825">
        <f>2/101</f>
        <v>1.9801980198019802E-2</v>
      </c>
      <c r="F18825">
        <v>1</v>
      </c>
      <c r="G18825">
        <f>LOG(382/(1+1))</f>
        <v>2.2810333672477277</v>
      </c>
      <c r="H18825">
        <f>0.0198019801980198*5.25227342804663</f>
        <v>0.10400541441676493</v>
      </c>
      <c r="I18825">
        <v>0.1040054144167649</v>
      </c>
    </row>
    <row r="18826" spans="1:9" x14ac:dyDescent="0.25">
      <c r="A18826">
        <v>579</v>
      </c>
      <c r="B18826" t="s">
        <v>4536</v>
      </c>
      <c r="C18826" t="s">
        <v>48</v>
      </c>
      <c r="D18826" t="s">
        <v>4558</v>
      </c>
      <c r="E18826">
        <f>2/101</f>
        <v>1.9801980198019802E-2</v>
      </c>
      <c r="F18826">
        <v>1</v>
      </c>
      <c r="G18826">
        <f>LOG(382/(1+1))</f>
        <v>2.2810333672477277</v>
      </c>
      <c r="H18826">
        <f>0.0198019801980198*5.25227342804663</f>
        <v>0.10400541441676493</v>
      </c>
      <c r="I18826">
        <v>0.1040054144167649</v>
      </c>
    </row>
    <row r="18827" spans="1:9" x14ac:dyDescent="0.25">
      <c r="A18827">
        <v>579</v>
      </c>
      <c r="B18827" t="s">
        <v>4536</v>
      </c>
      <c r="C18827" t="s">
        <v>48</v>
      </c>
      <c r="D18827" t="s">
        <v>4559</v>
      </c>
      <c r="E18827">
        <f>2/101</f>
        <v>1.9801980198019802E-2</v>
      </c>
      <c r="F18827">
        <v>1</v>
      </c>
      <c r="G18827">
        <f>LOG(382/(1+1))</f>
        <v>2.2810333672477277</v>
      </c>
      <c r="H18827">
        <f>0.0198019801980198*5.25227342804663</f>
        <v>0.10400541441676493</v>
      </c>
      <c r="I18827">
        <v>0.1040054144167649</v>
      </c>
    </row>
    <row r="18828" spans="1:9" x14ac:dyDescent="0.25">
      <c r="A18828">
        <v>579</v>
      </c>
      <c r="B18828" t="s">
        <v>4536</v>
      </c>
      <c r="C18828" t="s">
        <v>48</v>
      </c>
      <c r="D18828" t="s">
        <v>2667</v>
      </c>
      <c r="E18828">
        <f>1/101</f>
        <v>9.9009900990099011E-3</v>
      </c>
      <c r="F18828">
        <v>3</v>
      </c>
      <c r="G18828">
        <f>LOG(382/(3+1))</f>
        <v>1.9800033715837464</v>
      </c>
      <c r="H18828">
        <f>0.0099009900990099*4.55912624748668</f>
        <v>4.5139863836501773E-2</v>
      </c>
      <c r="I18828">
        <v>4.5139863836501828E-2</v>
      </c>
    </row>
    <row r="18829" spans="1:9" x14ac:dyDescent="0.25">
      <c r="A18829">
        <v>579</v>
      </c>
      <c r="B18829" t="s">
        <v>4536</v>
      </c>
      <c r="C18829" t="s">
        <v>48</v>
      </c>
      <c r="D18829" t="s">
        <v>4560</v>
      </c>
      <c r="E18829">
        <f>2/101</f>
        <v>1.9801980198019802E-2</v>
      </c>
      <c r="F18829">
        <v>1</v>
      </c>
      <c r="G18829">
        <f>LOG(382/(1+1))</f>
        <v>2.2810333672477277</v>
      </c>
      <c r="H18829">
        <f>0.0198019801980198*5.25227342804663</f>
        <v>0.10400541441676493</v>
      </c>
      <c r="I18829">
        <v>0.1040054144167649</v>
      </c>
    </row>
    <row r="18830" spans="1:9" x14ac:dyDescent="0.25">
      <c r="A18830">
        <v>579</v>
      </c>
      <c r="B18830" t="s">
        <v>4536</v>
      </c>
      <c r="C18830" t="s">
        <v>48</v>
      </c>
      <c r="D18830" t="s">
        <v>942</v>
      </c>
      <c r="E18830">
        <f>1/101</f>
        <v>9.9009900990099011E-3</v>
      </c>
      <c r="F18830">
        <v>10</v>
      </c>
      <c r="G18830">
        <f>LOG(382/(10+1))</f>
        <v>1.5406706777534838</v>
      </c>
      <c r="H18830">
        <f>0.0099009900990099*3.5475253358082</f>
        <v>3.5124013225823758E-2</v>
      </c>
      <c r="I18830">
        <v>3.5124013225823807E-2</v>
      </c>
    </row>
    <row r="18831" spans="1:9" x14ac:dyDescent="0.25">
      <c r="A18831">
        <v>579</v>
      </c>
      <c r="B18831" t="s">
        <v>4536</v>
      </c>
      <c r="C18831" t="s">
        <v>48</v>
      </c>
      <c r="D18831" t="s">
        <v>4561</v>
      </c>
      <c r="E18831">
        <f>1/101</f>
        <v>9.9009900990099011E-3</v>
      </c>
      <c r="F18831">
        <v>1</v>
      </c>
      <c r="G18831">
        <f>LOG(382/(1+1))</f>
        <v>2.2810333672477277</v>
      </c>
      <c r="H18831">
        <f>0.0099009900990099*5.25227342804663</f>
        <v>5.2002707208382466E-2</v>
      </c>
      <c r="I18831">
        <v>5.2002707208382473E-2</v>
      </c>
    </row>
    <row r="18832" spans="1:9" x14ac:dyDescent="0.25">
      <c r="A18832">
        <v>579</v>
      </c>
      <c r="B18832" t="s">
        <v>4536</v>
      </c>
      <c r="C18832" t="s">
        <v>48</v>
      </c>
      <c r="D18832" t="s">
        <v>4562</v>
      </c>
      <c r="E18832">
        <f>1/101</f>
        <v>9.9009900990099011E-3</v>
      </c>
      <c r="F18832">
        <v>2</v>
      </c>
      <c r="G18832">
        <f>LOG(382/(2+1))</f>
        <v>2.1049421081920463</v>
      </c>
      <c r="H18832">
        <f>0.0099009900990099*4.84680831993846</f>
        <v>4.7988201187509495E-2</v>
      </c>
      <c r="I18832">
        <v>4.7988201187509558E-2</v>
      </c>
    </row>
    <row r="18833" spans="1:9" x14ac:dyDescent="0.25">
      <c r="A18833">
        <v>579</v>
      </c>
      <c r="B18833" t="s">
        <v>4536</v>
      </c>
      <c r="C18833" t="s">
        <v>48</v>
      </c>
      <c r="D18833" t="s">
        <v>4563</v>
      </c>
      <c r="E18833">
        <f>1/101</f>
        <v>9.9009900990099011E-3</v>
      </c>
      <c r="F18833">
        <v>2</v>
      </c>
      <c r="G18833">
        <f>LOG(382/(2+1))</f>
        <v>2.1049421081920463</v>
      </c>
      <c r="H18833">
        <f>0.0099009900990099*4.84680831993846</f>
        <v>4.7988201187509495E-2</v>
      </c>
      <c r="I18833">
        <v>4.7988201187509558E-2</v>
      </c>
    </row>
    <row r="18834" spans="1:9" x14ac:dyDescent="0.25">
      <c r="A18834">
        <v>580</v>
      </c>
      <c r="B18834" t="s">
        <v>4564</v>
      </c>
      <c r="C18834" t="s">
        <v>10</v>
      </c>
      <c r="D18834" t="s">
        <v>432</v>
      </c>
      <c r="E18834">
        <f>3/57</f>
        <v>5.2631578947368418E-2</v>
      </c>
      <c r="F18834">
        <v>67</v>
      </c>
      <c r="G18834">
        <f>LOG(382/(67+1))</f>
        <v>0.7495544502054724</v>
      </c>
      <c r="H18834">
        <f>0.0526315789473684*1.72591290343046</f>
        <v>9.0837521233182075E-2</v>
      </c>
      <c r="I18834">
        <v>9.0837521233182533E-2</v>
      </c>
    </row>
    <row r="18835" spans="1:9" x14ac:dyDescent="0.25">
      <c r="A18835">
        <v>580</v>
      </c>
      <c r="B18835" t="s">
        <v>4564</v>
      </c>
      <c r="C18835" t="s">
        <v>10</v>
      </c>
      <c r="D18835" t="s">
        <v>814</v>
      </c>
      <c r="E18835">
        <f>3/57</f>
        <v>5.2631578947368418E-2</v>
      </c>
      <c r="F18835">
        <v>18</v>
      </c>
      <c r="G18835">
        <f>LOG(382/(18+1))</f>
        <v>1.3033097619588798</v>
      </c>
      <c r="H18835">
        <f>0.0526315789473684*3.00098162944013</f>
        <v>0.15794640154948048</v>
      </c>
      <c r="I18835">
        <v>0.15794640154948081</v>
      </c>
    </row>
    <row r="18836" spans="1:9" x14ac:dyDescent="0.25">
      <c r="A18836">
        <v>580</v>
      </c>
      <c r="B18836" t="s">
        <v>4564</v>
      </c>
      <c r="C18836" t="s">
        <v>10</v>
      </c>
      <c r="D18836" t="s">
        <v>1401</v>
      </c>
      <c r="E18836">
        <f>3/57</f>
        <v>5.2631578947368418E-2</v>
      </c>
      <c r="F18836">
        <v>16</v>
      </c>
      <c r="G18836">
        <f>LOG(382/(16+1))</f>
        <v>1.3516144415334348</v>
      </c>
      <c r="H18836">
        <f>0.0526315789473684*3.11220726455035</f>
        <v>0.16380038234475519</v>
      </c>
      <c r="I18836">
        <v>0.16380038234475569</v>
      </c>
    </row>
    <row r="18837" spans="1:9" x14ac:dyDescent="0.25">
      <c r="A18837">
        <v>580</v>
      </c>
      <c r="B18837" t="s">
        <v>4564</v>
      </c>
      <c r="C18837" t="s">
        <v>10</v>
      </c>
      <c r="D18837" t="s">
        <v>25</v>
      </c>
      <c r="E18837">
        <f>1/57</f>
        <v>1.7543859649122806E-2</v>
      </c>
      <c r="F18837">
        <v>106</v>
      </c>
      <c r="G18837">
        <f>LOG(382/(106+1))</f>
        <v>0.55267958522649907</v>
      </c>
      <c r="H18837">
        <f>0.0175438596491228*1.27259177414466</f>
        <v>2.2326171476222095E-2</v>
      </c>
      <c r="I18837">
        <v>2.2326171476222258E-2</v>
      </c>
    </row>
    <row r="18838" spans="1:9" x14ac:dyDescent="0.25">
      <c r="A18838">
        <v>580</v>
      </c>
      <c r="B18838" t="s">
        <v>4564</v>
      </c>
      <c r="C18838" t="s">
        <v>10</v>
      </c>
      <c r="D18838" t="s">
        <v>596</v>
      </c>
      <c r="E18838">
        <f>2/57</f>
        <v>3.5087719298245612E-2</v>
      </c>
      <c r="F18838">
        <v>60</v>
      </c>
      <c r="G18838">
        <f>LOG(382/(60+1))</f>
        <v>0.79673352790094176</v>
      </c>
      <c r="H18838">
        <f>0.0350877192982456*1.83454674443326</f>
        <v>6.4370061208184531E-2</v>
      </c>
      <c r="I18838">
        <v>6.4370061208184698E-2</v>
      </c>
    </row>
    <row r="18839" spans="1:9" x14ac:dyDescent="0.25">
      <c r="A18839">
        <v>580</v>
      </c>
      <c r="B18839" t="s">
        <v>4564</v>
      </c>
      <c r="C18839" t="s">
        <v>10</v>
      </c>
      <c r="D18839" t="s">
        <v>363</v>
      </c>
      <c r="E18839">
        <f>1/57</f>
        <v>1.7543859649122806E-2</v>
      </c>
      <c r="F18839">
        <v>36</v>
      </c>
      <c r="G18839">
        <f>LOG(382/(36+1))</f>
        <v>1.0138616388447137</v>
      </c>
      <c r="H18839">
        <f>0.0175438596491228*2.33450269596235</f>
        <v>4.0956187648462261E-2</v>
      </c>
      <c r="I18839">
        <v>4.0956187648462303E-2</v>
      </c>
    </row>
    <row r="18840" spans="1:9" x14ac:dyDescent="0.25">
      <c r="A18840">
        <v>580</v>
      </c>
      <c r="B18840" t="s">
        <v>4564</v>
      </c>
      <c r="C18840" t="s">
        <v>10</v>
      </c>
      <c r="D18840" t="s">
        <v>451</v>
      </c>
      <c r="E18840">
        <f>4/57</f>
        <v>7.0175438596491224E-2</v>
      </c>
      <c r="F18840">
        <v>15</v>
      </c>
      <c r="G18840">
        <f>LOG(382/(15+1))</f>
        <v>1.3779433802557839</v>
      </c>
      <c r="H18840">
        <f>0.0701754385964912*3.17283188636679</f>
        <v>0.22265486921872202</v>
      </c>
      <c r="I18840">
        <v>0.22265486921872241</v>
      </c>
    </row>
    <row r="18841" spans="1:9" x14ac:dyDescent="0.25">
      <c r="A18841">
        <v>580</v>
      </c>
      <c r="B18841" t="s">
        <v>4564</v>
      </c>
      <c r="C18841" t="s">
        <v>10</v>
      </c>
      <c r="D18841" t="s">
        <v>2711</v>
      </c>
      <c r="E18841">
        <f>7/57</f>
        <v>0.12280701754385964</v>
      </c>
      <c r="F18841">
        <v>3</v>
      </c>
      <c r="G18841">
        <f>LOG(382/(3+1))</f>
        <v>1.9800033715837464</v>
      </c>
      <c r="H18841">
        <f>0.122807017543859*4.55912624748668</f>
        <v>0.55989269705976474</v>
      </c>
      <c r="I18841">
        <v>0.55989269705976819</v>
      </c>
    </row>
    <row r="18842" spans="1:9" x14ac:dyDescent="0.25">
      <c r="A18842">
        <v>580</v>
      </c>
      <c r="B18842" t="s">
        <v>4564</v>
      </c>
      <c r="C18842" t="s">
        <v>10</v>
      </c>
      <c r="D18842" t="s">
        <v>344</v>
      </c>
      <c r="E18842">
        <f>1/57</f>
        <v>1.7543859649122806E-2</v>
      </c>
      <c r="F18842">
        <v>6</v>
      </c>
      <c r="G18842">
        <f>LOG(382/(6+1))</f>
        <v>1.736965322897452</v>
      </c>
      <c r="H18842">
        <f>0.0175438596491228*3.99951045955126</f>
        <v>7.0166850167565936E-2</v>
      </c>
      <c r="I18842">
        <v>7.0166850167565992E-2</v>
      </c>
    </row>
    <row r="18843" spans="1:9" x14ac:dyDescent="0.25">
      <c r="A18843">
        <v>580</v>
      </c>
      <c r="B18843" t="s">
        <v>4564</v>
      </c>
      <c r="C18843" t="s">
        <v>10</v>
      </c>
      <c r="D18843" t="s">
        <v>582</v>
      </c>
      <c r="E18843">
        <f>1/57</f>
        <v>1.7543859649122806E-2</v>
      </c>
      <c r="F18843">
        <v>14</v>
      </c>
      <c r="G18843">
        <f>LOG(382/(14+1))</f>
        <v>1.4059721038560276</v>
      </c>
      <c r="H18843">
        <f>0.0175438596491228*3.23737040750436</f>
        <v>5.6795972061479974E-2</v>
      </c>
      <c r="I18843">
        <v>5.6795972061480092E-2</v>
      </c>
    </row>
    <row r="18844" spans="1:9" x14ac:dyDescent="0.25">
      <c r="A18844">
        <v>580</v>
      </c>
      <c r="B18844" t="s">
        <v>4564</v>
      </c>
      <c r="C18844" t="s">
        <v>10</v>
      </c>
      <c r="D18844" t="s">
        <v>1974</v>
      </c>
      <c r="E18844">
        <f>1/57</f>
        <v>1.7543859649122806E-2</v>
      </c>
      <c r="F18844">
        <v>9</v>
      </c>
      <c r="G18844">
        <f>LOG(382/(9+1))</f>
        <v>1.5820633629117087</v>
      </c>
      <c r="H18844">
        <f>0.0175438596491228*3.64283551561252</f>
        <v>6.390939501074594E-2</v>
      </c>
      <c r="I18844">
        <v>6.390939501074612E-2</v>
      </c>
    </row>
    <row r="18845" spans="1:9" x14ac:dyDescent="0.25">
      <c r="A18845">
        <v>580</v>
      </c>
      <c r="B18845" t="s">
        <v>4564</v>
      </c>
      <c r="C18845" t="s">
        <v>10</v>
      </c>
      <c r="D18845" t="s">
        <v>786</v>
      </c>
      <c r="E18845">
        <f>5/57</f>
        <v>8.771929824561403E-2</v>
      </c>
      <c r="F18845">
        <v>11</v>
      </c>
      <c r="G18845">
        <f>LOG(382/(11+1))</f>
        <v>1.5028821168640838</v>
      </c>
      <c r="H18845">
        <f>0.087719298245614*3.46051395881857</f>
        <v>0.30355385603671659</v>
      </c>
      <c r="I18845">
        <v>0.30355385603671708</v>
      </c>
    </row>
    <row r="18846" spans="1:9" x14ac:dyDescent="0.25">
      <c r="A18846">
        <v>580</v>
      </c>
      <c r="B18846" t="s">
        <v>4564</v>
      </c>
      <c r="C18846" t="s">
        <v>10</v>
      </c>
      <c r="D18846" t="s">
        <v>4565</v>
      </c>
      <c r="E18846">
        <f>1/57</f>
        <v>1.7543859649122806E-2</v>
      </c>
      <c r="F18846">
        <v>1</v>
      </c>
      <c r="G18846">
        <f t="shared" ref="G18846:G18853" si="898">LOG(382/(1+1))</f>
        <v>2.2810333672477277</v>
      </c>
      <c r="H18846">
        <f>0.0175438596491228*5.25227342804663</f>
        <v>9.2145147860467153E-2</v>
      </c>
      <c r="I18846">
        <v>9.214514786046718E-2</v>
      </c>
    </row>
    <row r="18847" spans="1:9" x14ac:dyDescent="0.25">
      <c r="A18847">
        <v>580</v>
      </c>
      <c r="B18847" t="s">
        <v>4564</v>
      </c>
      <c r="C18847" t="s">
        <v>10</v>
      </c>
      <c r="D18847" t="s">
        <v>4566</v>
      </c>
      <c r="E18847">
        <f>1/57</f>
        <v>1.7543859649122806E-2</v>
      </c>
      <c r="F18847">
        <v>1</v>
      </c>
      <c r="G18847">
        <f t="shared" si="898"/>
        <v>2.2810333672477277</v>
      </c>
      <c r="H18847">
        <f>0.0175438596491228*5.25227342804663</f>
        <v>9.2145147860467153E-2</v>
      </c>
      <c r="I18847">
        <v>9.214514786046718E-2</v>
      </c>
    </row>
    <row r="18848" spans="1:9" x14ac:dyDescent="0.25">
      <c r="A18848">
        <v>580</v>
      </c>
      <c r="B18848" t="s">
        <v>4564</v>
      </c>
      <c r="C18848" t="s">
        <v>10</v>
      </c>
      <c r="D18848" t="s">
        <v>4567</v>
      </c>
      <c r="E18848">
        <f>1/57</f>
        <v>1.7543859649122806E-2</v>
      </c>
      <c r="F18848">
        <v>1</v>
      </c>
      <c r="G18848">
        <f t="shared" si="898"/>
        <v>2.2810333672477277</v>
      </c>
      <c r="H18848">
        <f>0.0175438596491228*5.25227342804663</f>
        <v>9.2145147860467153E-2</v>
      </c>
      <c r="I18848">
        <v>9.214514786046718E-2</v>
      </c>
    </row>
    <row r="18849" spans="1:9" x14ac:dyDescent="0.25">
      <c r="A18849">
        <v>580</v>
      </c>
      <c r="B18849" t="s">
        <v>4564</v>
      </c>
      <c r="C18849" t="s">
        <v>10</v>
      </c>
      <c r="D18849" t="s">
        <v>4568</v>
      </c>
      <c r="E18849">
        <f>3/57</f>
        <v>5.2631578947368418E-2</v>
      </c>
      <c r="F18849">
        <v>1</v>
      </c>
      <c r="G18849">
        <f t="shared" si="898"/>
        <v>2.2810333672477277</v>
      </c>
      <c r="H18849">
        <f>0.0526315789473684*5.25227342804663</f>
        <v>0.27643544358140143</v>
      </c>
      <c r="I18849">
        <v>0.27643544358140149</v>
      </c>
    </row>
    <row r="18850" spans="1:9" x14ac:dyDescent="0.25">
      <c r="A18850">
        <v>580</v>
      </c>
      <c r="B18850" t="s">
        <v>4564</v>
      </c>
      <c r="C18850" t="s">
        <v>10</v>
      </c>
      <c r="D18850" t="s">
        <v>4569</v>
      </c>
      <c r="E18850">
        <f t="shared" ref="E18850:E18868" si="899">1/57</f>
        <v>1.7543859649122806E-2</v>
      </c>
      <c r="F18850">
        <v>1</v>
      </c>
      <c r="G18850">
        <f t="shared" si="898"/>
        <v>2.2810333672477277</v>
      </c>
      <c r="H18850">
        <f>0.0175438596491228*5.25227342804663</f>
        <v>9.2145147860467153E-2</v>
      </c>
      <c r="I18850">
        <v>9.214514786046718E-2</v>
      </c>
    </row>
    <row r="18851" spans="1:9" x14ac:dyDescent="0.25">
      <c r="A18851">
        <v>580</v>
      </c>
      <c r="B18851" t="s">
        <v>4564</v>
      </c>
      <c r="C18851" t="s">
        <v>10</v>
      </c>
      <c r="D18851" t="s">
        <v>4570</v>
      </c>
      <c r="E18851">
        <f t="shared" si="899"/>
        <v>1.7543859649122806E-2</v>
      </c>
      <c r="F18851">
        <v>1</v>
      </c>
      <c r="G18851">
        <f t="shared" si="898"/>
        <v>2.2810333672477277</v>
      </c>
      <c r="H18851">
        <f>0.0175438596491228*5.25227342804663</f>
        <v>9.2145147860467153E-2</v>
      </c>
      <c r="I18851">
        <v>9.214514786046718E-2</v>
      </c>
    </row>
    <row r="18852" spans="1:9" x14ac:dyDescent="0.25">
      <c r="A18852">
        <v>580</v>
      </c>
      <c r="B18852" t="s">
        <v>4564</v>
      </c>
      <c r="C18852" t="s">
        <v>10</v>
      </c>
      <c r="D18852" t="s">
        <v>4571</v>
      </c>
      <c r="E18852">
        <f t="shared" si="899"/>
        <v>1.7543859649122806E-2</v>
      </c>
      <c r="F18852">
        <v>1</v>
      </c>
      <c r="G18852">
        <f t="shared" si="898"/>
        <v>2.2810333672477277</v>
      </c>
      <c r="H18852">
        <f>0.0175438596491228*5.25227342804663</f>
        <v>9.2145147860467153E-2</v>
      </c>
      <c r="I18852">
        <v>9.214514786046718E-2</v>
      </c>
    </row>
    <row r="18853" spans="1:9" x14ac:dyDescent="0.25">
      <c r="A18853">
        <v>580</v>
      </c>
      <c r="B18853" t="s">
        <v>4564</v>
      </c>
      <c r="C18853" t="s">
        <v>10</v>
      </c>
      <c r="D18853" t="s">
        <v>4572</v>
      </c>
      <c r="E18853">
        <f t="shared" si="899"/>
        <v>1.7543859649122806E-2</v>
      </c>
      <c r="F18853">
        <v>1</v>
      </c>
      <c r="G18853">
        <f t="shared" si="898"/>
        <v>2.2810333672477277</v>
      </c>
      <c r="H18853">
        <f>0.0175438596491228*5.25227342804663</f>
        <v>9.2145147860467153E-2</v>
      </c>
      <c r="I18853">
        <v>9.214514786046718E-2</v>
      </c>
    </row>
    <row r="18854" spans="1:9" x14ac:dyDescent="0.25">
      <c r="A18854">
        <v>580</v>
      </c>
      <c r="B18854" t="s">
        <v>4564</v>
      </c>
      <c r="C18854" t="s">
        <v>10</v>
      </c>
      <c r="D18854" t="s">
        <v>38</v>
      </c>
      <c r="E18854">
        <f t="shared" si="899"/>
        <v>1.7543859649122806E-2</v>
      </c>
      <c r="F18854">
        <v>86</v>
      </c>
      <c r="G18854">
        <f>LOG(382/(86+1))</f>
        <v>0.64254411029309022</v>
      </c>
      <c r="H18854">
        <f>0.0175438596491228*1.47951248995199</f>
        <v>2.595635947284192E-2</v>
      </c>
      <c r="I18854">
        <v>2.5956359472841951E-2</v>
      </c>
    </row>
    <row r="18855" spans="1:9" x14ac:dyDescent="0.25">
      <c r="A18855">
        <v>580</v>
      </c>
      <c r="B18855" t="s">
        <v>4564</v>
      </c>
      <c r="C18855" t="s">
        <v>10</v>
      </c>
      <c r="D18855" t="s">
        <v>1482</v>
      </c>
      <c r="E18855">
        <f t="shared" si="899"/>
        <v>1.7543859649122806E-2</v>
      </c>
      <c r="F18855">
        <v>7</v>
      </c>
      <c r="G18855">
        <f>LOG(382/(7+1))</f>
        <v>1.6789733759197651</v>
      </c>
      <c r="H18855">
        <f>0.0175438596491228*3.86597906692673</f>
        <v>6.7824194156609272E-2</v>
      </c>
      <c r="I18855">
        <v>6.7824194156609452E-2</v>
      </c>
    </row>
    <row r="18856" spans="1:9" x14ac:dyDescent="0.25">
      <c r="A18856">
        <v>580</v>
      </c>
      <c r="B18856" t="s">
        <v>4564</v>
      </c>
      <c r="C18856" t="s">
        <v>10</v>
      </c>
      <c r="D18856" t="s">
        <v>1399</v>
      </c>
      <c r="E18856">
        <f t="shared" si="899"/>
        <v>1.7543859649122806E-2</v>
      </c>
      <c r="F18856">
        <v>7</v>
      </c>
      <c r="G18856">
        <f>LOG(382/(7+1))</f>
        <v>1.6789733759197651</v>
      </c>
      <c r="H18856">
        <f>0.0175438596491228*3.86597906692673</f>
        <v>6.7824194156609272E-2</v>
      </c>
      <c r="I18856">
        <v>6.7824194156609452E-2</v>
      </c>
    </row>
    <row r="18857" spans="1:9" x14ac:dyDescent="0.25">
      <c r="A18857">
        <v>580</v>
      </c>
      <c r="B18857" t="s">
        <v>4564</v>
      </c>
      <c r="C18857" t="s">
        <v>10</v>
      </c>
      <c r="D18857" t="s">
        <v>812</v>
      </c>
      <c r="E18857">
        <f t="shared" si="899"/>
        <v>1.7543859649122806E-2</v>
      </c>
      <c r="F18857">
        <v>11</v>
      </c>
      <c r="G18857">
        <f>LOG(382/(11+1))</f>
        <v>1.5028821168640838</v>
      </c>
      <c r="H18857">
        <f>0.0175438596491228*3.46051395881857</f>
        <v>6.0710771207343306E-2</v>
      </c>
      <c r="I18857">
        <v>6.0710771207343417E-2</v>
      </c>
    </row>
    <row r="18858" spans="1:9" x14ac:dyDescent="0.25">
      <c r="A18858">
        <v>580</v>
      </c>
      <c r="B18858" t="s">
        <v>4564</v>
      </c>
      <c r="C18858" t="s">
        <v>10</v>
      </c>
      <c r="D18858" t="s">
        <v>805</v>
      </c>
      <c r="E18858">
        <f t="shared" si="899"/>
        <v>1.7543859649122806E-2</v>
      </c>
      <c r="F18858">
        <v>19</v>
      </c>
      <c r="G18858">
        <f>LOG(382/(19+1))</f>
        <v>1.2810333672477277</v>
      </c>
      <c r="H18858">
        <f>0.0175438596491228*2.94968833505258</f>
        <v>5.1748918158817173E-2</v>
      </c>
      <c r="I18858">
        <v>5.174891815881727E-2</v>
      </c>
    </row>
    <row r="18859" spans="1:9" x14ac:dyDescent="0.25">
      <c r="A18859">
        <v>580</v>
      </c>
      <c r="B18859" t="s">
        <v>4564</v>
      </c>
      <c r="C18859" t="s">
        <v>10</v>
      </c>
      <c r="D18859" t="s">
        <v>823</v>
      </c>
      <c r="E18859">
        <f t="shared" si="899"/>
        <v>1.7543859649122806E-2</v>
      </c>
      <c r="F18859">
        <v>45</v>
      </c>
      <c r="G18859">
        <f>LOG(382/(45+1))</f>
        <v>0.9193055312301347</v>
      </c>
      <c r="H18859">
        <f>0.0175438596491228*2.11677921211748</f>
        <v>3.7136477405569815E-2</v>
      </c>
      <c r="I18859">
        <v>3.7136477405569829E-2</v>
      </c>
    </row>
    <row r="18860" spans="1:9" x14ac:dyDescent="0.25">
      <c r="A18860">
        <v>580</v>
      </c>
      <c r="B18860" t="s">
        <v>4564</v>
      </c>
      <c r="C18860" t="s">
        <v>10</v>
      </c>
      <c r="D18860" t="s">
        <v>3863</v>
      </c>
      <c r="E18860">
        <f t="shared" si="899"/>
        <v>1.7543859649122806E-2</v>
      </c>
      <c r="F18860">
        <v>2</v>
      </c>
      <c r="G18860">
        <f>LOG(382/(2+1))</f>
        <v>2.1049421081920463</v>
      </c>
      <c r="H18860">
        <f>0.0175438596491228*4.84680831993846</f>
        <v>8.5031724911201007E-2</v>
      </c>
      <c r="I18860">
        <v>8.5031724911201145E-2</v>
      </c>
    </row>
    <row r="18861" spans="1:9" x14ac:dyDescent="0.25">
      <c r="A18861">
        <v>580</v>
      </c>
      <c r="B18861" t="s">
        <v>4564</v>
      </c>
      <c r="C18861" t="s">
        <v>10</v>
      </c>
      <c r="D18861" t="s">
        <v>131</v>
      </c>
      <c r="E18861">
        <f t="shared" si="899"/>
        <v>1.7543859649122806E-2</v>
      </c>
      <c r="F18861">
        <v>38</v>
      </c>
      <c r="G18861">
        <f>LOG(382/(38+1))</f>
        <v>0.99099875588520958</v>
      </c>
      <c r="H18861">
        <f>0.0175438596491228*2.28185896247692</f>
        <v>4.0032613376788054E-2</v>
      </c>
      <c r="I18861">
        <v>4.0032613376788227E-2</v>
      </c>
    </row>
    <row r="18862" spans="1:9" x14ac:dyDescent="0.25">
      <c r="A18862">
        <v>580</v>
      </c>
      <c r="B18862" t="s">
        <v>4564</v>
      </c>
      <c r="C18862" t="s">
        <v>10</v>
      </c>
      <c r="D18862" t="s">
        <v>24</v>
      </c>
      <c r="E18862">
        <f t="shared" si="899"/>
        <v>1.7543859649122806E-2</v>
      </c>
      <c r="F18862">
        <v>59</v>
      </c>
      <c r="G18862">
        <f>LOG(382/(59+1))</f>
        <v>0.80391211252806505</v>
      </c>
      <c r="H18862">
        <f>0.0175438596491228*1.85107604638447</f>
        <v>3.2475018357622266E-2</v>
      </c>
      <c r="I18862">
        <v>3.2475018357622357E-2</v>
      </c>
    </row>
    <row r="18863" spans="1:9" x14ac:dyDescent="0.25">
      <c r="A18863">
        <v>580</v>
      </c>
      <c r="B18863" t="s">
        <v>4564</v>
      </c>
      <c r="C18863" t="s">
        <v>10</v>
      </c>
      <c r="D18863" t="s">
        <v>4573</v>
      </c>
      <c r="E18863">
        <f t="shared" si="899"/>
        <v>1.7543859649122806E-2</v>
      </c>
      <c r="F18863">
        <v>1</v>
      </c>
      <c r="G18863">
        <f>LOG(382/(1+1))</f>
        <v>2.2810333672477277</v>
      </c>
      <c r="H18863">
        <f>0.0175438596491228*5.25227342804663</f>
        <v>9.2145147860467153E-2</v>
      </c>
      <c r="I18863">
        <v>9.214514786046718E-2</v>
      </c>
    </row>
    <row r="18864" spans="1:9" x14ac:dyDescent="0.25">
      <c r="A18864">
        <v>580</v>
      </c>
      <c r="B18864" t="s">
        <v>4564</v>
      </c>
      <c r="C18864" t="s">
        <v>10</v>
      </c>
      <c r="D18864" t="s">
        <v>4574</v>
      </c>
      <c r="E18864">
        <f t="shared" si="899"/>
        <v>1.7543859649122806E-2</v>
      </c>
      <c r="F18864">
        <v>1</v>
      </c>
      <c r="G18864">
        <f>LOG(382/(1+1))</f>
        <v>2.2810333672477277</v>
      </c>
      <c r="H18864">
        <f>0.0175438596491228*5.25227342804663</f>
        <v>9.2145147860467153E-2</v>
      </c>
      <c r="I18864">
        <v>9.214514786046718E-2</v>
      </c>
    </row>
    <row r="18865" spans="1:9" x14ac:dyDescent="0.25">
      <c r="A18865">
        <v>580</v>
      </c>
      <c r="B18865" t="s">
        <v>4564</v>
      </c>
      <c r="C18865" t="s">
        <v>10</v>
      </c>
      <c r="D18865" t="s">
        <v>4575</v>
      </c>
      <c r="E18865">
        <f t="shared" si="899"/>
        <v>1.7543859649122806E-2</v>
      </c>
      <c r="F18865">
        <v>1</v>
      </c>
      <c r="G18865">
        <f>LOG(382/(1+1))</f>
        <v>2.2810333672477277</v>
      </c>
      <c r="H18865">
        <f>0.0175438596491228*5.25227342804663</f>
        <v>9.2145147860467153E-2</v>
      </c>
      <c r="I18865">
        <v>9.214514786046718E-2</v>
      </c>
    </row>
    <row r="18866" spans="1:9" x14ac:dyDescent="0.25">
      <c r="A18866">
        <v>580</v>
      </c>
      <c r="B18866" t="s">
        <v>4564</v>
      </c>
      <c r="C18866" t="s">
        <v>10</v>
      </c>
      <c r="D18866" t="s">
        <v>4576</v>
      </c>
      <c r="E18866">
        <f t="shared" si="899"/>
        <v>1.7543859649122806E-2</v>
      </c>
      <c r="F18866">
        <v>2</v>
      </c>
      <c r="G18866">
        <f>LOG(382/(2+1))</f>
        <v>2.1049421081920463</v>
      </c>
      <c r="H18866">
        <f>0.0175438596491228*4.84680831993846</f>
        <v>8.5031724911201007E-2</v>
      </c>
      <c r="I18866">
        <v>8.5031724911201145E-2</v>
      </c>
    </row>
    <row r="18867" spans="1:9" x14ac:dyDescent="0.25">
      <c r="A18867">
        <v>580</v>
      </c>
      <c r="B18867" t="s">
        <v>4564</v>
      </c>
      <c r="C18867" t="s">
        <v>10</v>
      </c>
      <c r="D18867" t="s">
        <v>4230</v>
      </c>
      <c r="E18867">
        <f t="shared" si="899"/>
        <v>1.7543859649122806E-2</v>
      </c>
      <c r="F18867">
        <v>2</v>
      </c>
      <c r="G18867">
        <f>LOG(382/(2+1))</f>
        <v>2.1049421081920463</v>
      </c>
      <c r="H18867">
        <f>0.0175438596491228*4.84680831993846</f>
        <v>8.5031724911201007E-2</v>
      </c>
      <c r="I18867">
        <v>8.5031724911201145E-2</v>
      </c>
    </row>
    <row r="18868" spans="1:9" x14ac:dyDescent="0.25">
      <c r="A18868">
        <v>580</v>
      </c>
      <c r="B18868" t="s">
        <v>4564</v>
      </c>
      <c r="C18868" t="s">
        <v>10</v>
      </c>
      <c r="D18868" t="s">
        <v>4577</v>
      </c>
      <c r="E18868">
        <f t="shared" si="899"/>
        <v>1.7543859649122806E-2</v>
      </c>
      <c r="F18868">
        <v>1</v>
      </c>
      <c r="G18868">
        <f>LOG(382/(1+1))</f>
        <v>2.2810333672477277</v>
      </c>
      <c r="H18868">
        <f>0.0175438596491228*5.25227342804663</f>
        <v>9.2145147860467153E-2</v>
      </c>
      <c r="I18868">
        <v>9.214514786046718E-2</v>
      </c>
    </row>
    <row r="18869" spans="1:9" x14ac:dyDescent="0.25">
      <c r="A18869">
        <v>581</v>
      </c>
      <c r="B18869" t="s">
        <v>4578</v>
      </c>
      <c r="C18869" t="s">
        <v>10</v>
      </c>
      <c r="D18869" t="s">
        <v>570</v>
      </c>
      <c r="E18869">
        <f>1/23</f>
        <v>4.3478260869565216E-2</v>
      </c>
      <c r="F18869">
        <v>27</v>
      </c>
      <c r="G18869">
        <f>LOG(382/(27+1))</f>
        <v>1.1349053315694895</v>
      </c>
      <c r="H18869">
        <f>0.0434782608695652*2.61321609843137</f>
        <v>0.1136180912361465</v>
      </c>
      <c r="I18869">
        <v>0.11361809123614661</v>
      </c>
    </row>
    <row r="18870" spans="1:9" x14ac:dyDescent="0.25">
      <c r="A18870">
        <v>581</v>
      </c>
      <c r="B18870" t="s">
        <v>4578</v>
      </c>
      <c r="C18870" t="s">
        <v>10</v>
      </c>
      <c r="D18870" t="s">
        <v>331</v>
      </c>
      <c r="E18870">
        <f>2/23</f>
        <v>8.6956521739130432E-2</v>
      </c>
      <c r="F18870">
        <v>130</v>
      </c>
      <c r="G18870">
        <f>LOG(382/(130+1))</f>
        <v>0.46479206725594452</v>
      </c>
      <c r="H18870">
        <f>0.0869565217391304*1.07022328540542</f>
        <v>9.3062894383079978E-2</v>
      </c>
      <c r="I18870">
        <v>9.3062894383080311E-2</v>
      </c>
    </row>
    <row r="18871" spans="1:9" x14ac:dyDescent="0.25">
      <c r="A18871">
        <v>581</v>
      </c>
      <c r="B18871" t="s">
        <v>4578</v>
      </c>
      <c r="C18871" t="s">
        <v>10</v>
      </c>
      <c r="D18871" t="s">
        <v>4579</v>
      </c>
      <c r="E18871">
        <f t="shared" ref="E18871:E18882" si="900">1/23</f>
        <v>4.3478260869565216E-2</v>
      </c>
      <c r="F18871">
        <v>1</v>
      </c>
      <c r="G18871">
        <f>LOG(382/(1+1))</f>
        <v>2.2810333672477277</v>
      </c>
      <c r="H18871">
        <f>0.0434782608695652*5.25227342804663</f>
        <v>0.22835971426289686</v>
      </c>
      <c r="I18871">
        <v>0.22835971426289689</v>
      </c>
    </row>
    <row r="18872" spans="1:9" x14ac:dyDescent="0.25">
      <c r="A18872">
        <v>581</v>
      </c>
      <c r="B18872" t="s">
        <v>4578</v>
      </c>
      <c r="C18872" t="s">
        <v>10</v>
      </c>
      <c r="D18872" t="s">
        <v>2267</v>
      </c>
      <c r="E18872">
        <f t="shared" si="900"/>
        <v>4.3478260869565216E-2</v>
      </c>
      <c r="F18872">
        <v>9</v>
      </c>
      <c r="G18872">
        <f>LOG(382/(9+1))</f>
        <v>1.5820633629117087</v>
      </c>
      <c r="H18872">
        <f>0.0434782608695652*3.64283551561252</f>
        <v>0.1583841528527182</v>
      </c>
      <c r="I18872">
        <v>0.1583841528527187</v>
      </c>
    </row>
    <row r="18873" spans="1:9" x14ac:dyDescent="0.25">
      <c r="A18873">
        <v>581</v>
      </c>
      <c r="B18873" t="s">
        <v>4578</v>
      </c>
      <c r="C18873" t="s">
        <v>10</v>
      </c>
      <c r="D18873" t="s">
        <v>22</v>
      </c>
      <c r="E18873">
        <f t="shared" si="900"/>
        <v>4.3478260869565216E-2</v>
      </c>
      <c r="F18873">
        <v>259</v>
      </c>
      <c r="G18873">
        <f>LOG(382/(259+1))</f>
        <v>0.16709001494089079</v>
      </c>
      <c r="H18873">
        <f>0.0434782608695652*0.384738977591047</f>
        <v>1.6727781634393344E-2</v>
      </c>
      <c r="I18873">
        <v>1.6727781634393368E-2</v>
      </c>
    </row>
    <row r="18874" spans="1:9" x14ac:dyDescent="0.25">
      <c r="A18874">
        <v>581</v>
      </c>
      <c r="B18874" t="s">
        <v>4578</v>
      </c>
      <c r="C18874" t="s">
        <v>10</v>
      </c>
      <c r="D18874" t="s">
        <v>23</v>
      </c>
      <c r="E18874">
        <f t="shared" si="900"/>
        <v>4.3478260869565216E-2</v>
      </c>
      <c r="F18874">
        <v>275</v>
      </c>
      <c r="G18874">
        <f>LOG(382/(275+1))</f>
        <v>0.14115428084649101</v>
      </c>
      <c r="H18874">
        <f>0.0434782608695652*0.325019742889425</f>
        <v>1.4131293169105429E-2</v>
      </c>
      <c r="I18874">
        <v>1.4131293169105439E-2</v>
      </c>
    </row>
    <row r="18875" spans="1:9" x14ac:dyDescent="0.25">
      <c r="A18875">
        <v>581</v>
      </c>
      <c r="B18875" t="s">
        <v>4578</v>
      </c>
      <c r="C18875" t="s">
        <v>10</v>
      </c>
      <c r="D18875" t="s">
        <v>247</v>
      </c>
      <c r="E18875">
        <f t="shared" si="900"/>
        <v>4.3478260869565216E-2</v>
      </c>
      <c r="F18875">
        <v>121</v>
      </c>
      <c r="G18875">
        <f>LOG(382/(121+1))</f>
        <v>0.49570353223696051</v>
      </c>
      <c r="H18875">
        <f>0.0434782608695652*1.14139956387331</f>
        <v>4.9626067994491728E-2</v>
      </c>
      <c r="I18875">
        <v>4.9626067994492117E-2</v>
      </c>
    </row>
    <row r="18876" spans="1:9" x14ac:dyDescent="0.25">
      <c r="A18876">
        <v>581</v>
      </c>
      <c r="B18876" t="s">
        <v>4578</v>
      </c>
      <c r="C18876" t="s">
        <v>10</v>
      </c>
      <c r="D18876" t="s">
        <v>39</v>
      </c>
      <c r="E18876">
        <f t="shared" si="900"/>
        <v>4.3478260869565216E-2</v>
      </c>
      <c r="F18876">
        <v>145</v>
      </c>
      <c r="G18876">
        <f>LOG(382/(145+1))</f>
        <v>0.41771050712727159</v>
      </c>
      <c r="H18876">
        <f>0.0434782608695652*0.961813986898238</f>
        <v>4.181799943035816E-2</v>
      </c>
      <c r="I18876">
        <v>4.1817999430358202E-2</v>
      </c>
    </row>
    <row r="18877" spans="1:9" x14ac:dyDescent="0.25">
      <c r="A18877">
        <v>581</v>
      </c>
      <c r="B18877" t="s">
        <v>4578</v>
      </c>
      <c r="C18877" t="s">
        <v>10</v>
      </c>
      <c r="D18877" t="s">
        <v>2007</v>
      </c>
      <c r="E18877">
        <f t="shared" si="900"/>
        <v>4.3478260869565216E-2</v>
      </c>
      <c r="F18877">
        <v>5</v>
      </c>
      <c r="G18877">
        <f>LOG(382/(5+1))</f>
        <v>1.803912112528065</v>
      </c>
      <c r="H18877">
        <f>0.0434782608695652*4.15366113937852</f>
        <v>0.18059396258167471</v>
      </c>
      <c r="I18877">
        <v>0.18059396258167479</v>
      </c>
    </row>
    <row r="18878" spans="1:9" x14ac:dyDescent="0.25">
      <c r="A18878">
        <v>581</v>
      </c>
      <c r="B18878" t="s">
        <v>4578</v>
      </c>
      <c r="C18878" t="s">
        <v>10</v>
      </c>
      <c r="D18878" t="s">
        <v>77</v>
      </c>
      <c r="E18878">
        <f t="shared" si="900"/>
        <v>4.3478260869565216E-2</v>
      </c>
      <c r="F18878">
        <v>148</v>
      </c>
      <c r="G18878">
        <f>LOG(382/(148+1))</f>
        <v>0.40887709449943471</v>
      </c>
      <c r="H18878">
        <f>0.0434782608695652*0.941474302661116</f>
        <v>4.0933665333091986E-2</v>
      </c>
      <c r="I18878">
        <v>4.0933665333091999E-2</v>
      </c>
    </row>
    <row r="18879" spans="1:9" x14ac:dyDescent="0.25">
      <c r="A18879">
        <v>581</v>
      </c>
      <c r="B18879" t="s">
        <v>4578</v>
      </c>
      <c r="C18879" t="s">
        <v>10</v>
      </c>
      <c r="D18879" t="s">
        <v>626</v>
      </c>
      <c r="E18879">
        <f t="shared" si="900"/>
        <v>4.3478260869565216E-2</v>
      </c>
      <c r="F18879">
        <v>12</v>
      </c>
      <c r="G18879">
        <f>LOG(382/(12+1))</f>
        <v>1.468120010604872</v>
      </c>
      <c r="H18879">
        <f>0.0434782608695652*3.38047125114503</f>
        <v>0.14697701091934909</v>
      </c>
      <c r="I18879">
        <v>0.1469770109193495</v>
      </c>
    </row>
    <row r="18880" spans="1:9" x14ac:dyDescent="0.25">
      <c r="A18880">
        <v>581</v>
      </c>
      <c r="B18880" t="s">
        <v>4578</v>
      </c>
      <c r="C18880" t="s">
        <v>10</v>
      </c>
      <c r="D18880" t="s">
        <v>1525</v>
      </c>
      <c r="E18880">
        <f t="shared" si="900"/>
        <v>4.3478260869565216E-2</v>
      </c>
      <c r="F18880">
        <v>8</v>
      </c>
      <c r="G18880">
        <f>LOG(382/(8+1))</f>
        <v>1.6278208534723839</v>
      </c>
      <c r="H18880">
        <f>0.0434782608695652*3.74819603127035</f>
        <v>0.16296504483784124</v>
      </c>
      <c r="I18880">
        <v>0.16296504483784149</v>
      </c>
    </row>
    <row r="18881" spans="1:9" x14ac:dyDescent="0.25">
      <c r="A18881">
        <v>581</v>
      </c>
      <c r="B18881" t="s">
        <v>4578</v>
      </c>
      <c r="C18881" t="s">
        <v>10</v>
      </c>
      <c r="D18881" t="s">
        <v>105</v>
      </c>
      <c r="E18881">
        <f t="shared" si="900"/>
        <v>4.3478260869565216E-2</v>
      </c>
      <c r="F18881">
        <v>122</v>
      </c>
      <c r="G18881">
        <f>LOG(382/(122+1))</f>
        <v>0.49215825147231079</v>
      </c>
      <c r="H18881">
        <f>0.0434782608695652*1.13323625323415</f>
        <v>4.9271141444963029E-2</v>
      </c>
      <c r="I18881">
        <v>4.9271141444963369E-2</v>
      </c>
    </row>
    <row r="18882" spans="1:9" x14ac:dyDescent="0.25">
      <c r="A18882">
        <v>581</v>
      </c>
      <c r="B18882" t="s">
        <v>4578</v>
      </c>
      <c r="C18882" t="s">
        <v>10</v>
      </c>
      <c r="D18882" t="s">
        <v>3219</v>
      </c>
      <c r="E18882">
        <f t="shared" si="900"/>
        <v>4.3478260869565216E-2</v>
      </c>
      <c r="F18882">
        <v>3</v>
      </c>
      <c r="G18882">
        <f>LOG(382/(3+1))</f>
        <v>1.9800033715837464</v>
      </c>
      <c r="H18882">
        <f>0.0434782608695652*4.55912624748668</f>
        <v>0.19822288032550775</v>
      </c>
      <c r="I18882">
        <v>0.198222880325508</v>
      </c>
    </row>
    <row r="18883" spans="1:9" x14ac:dyDescent="0.25">
      <c r="A18883">
        <v>581</v>
      </c>
      <c r="B18883" t="s">
        <v>4578</v>
      </c>
      <c r="C18883" t="s">
        <v>10</v>
      </c>
      <c r="D18883" t="s">
        <v>4256</v>
      </c>
      <c r="E18883">
        <f>2/23</f>
        <v>8.6956521739130432E-2</v>
      </c>
      <c r="F18883">
        <v>2</v>
      </c>
      <c r="G18883">
        <f>LOG(382/(2+1))</f>
        <v>2.1049421081920463</v>
      </c>
      <c r="H18883">
        <f>0.0869565217391304*4.84680831993846</f>
        <v>0.4214615930381268</v>
      </c>
      <c r="I18883">
        <v>0.42146159303812741</v>
      </c>
    </row>
    <row r="18884" spans="1:9" x14ac:dyDescent="0.25">
      <c r="A18884">
        <v>581</v>
      </c>
      <c r="B18884" t="s">
        <v>4578</v>
      </c>
      <c r="C18884" t="s">
        <v>10</v>
      </c>
      <c r="D18884" t="s">
        <v>4580</v>
      </c>
      <c r="E18884">
        <f t="shared" ref="E18884:E18889" si="901">1/23</f>
        <v>4.3478260869565216E-2</v>
      </c>
      <c r="F18884">
        <v>1</v>
      </c>
      <c r="G18884">
        <f>LOG(382/(1+1))</f>
        <v>2.2810333672477277</v>
      </c>
      <c r="H18884">
        <f>0.0434782608695652*5.25227342804663</f>
        <v>0.22835971426289686</v>
      </c>
      <c r="I18884">
        <v>0.22835971426289689</v>
      </c>
    </row>
    <row r="18885" spans="1:9" x14ac:dyDescent="0.25">
      <c r="A18885">
        <v>581</v>
      </c>
      <c r="B18885" t="s">
        <v>4578</v>
      </c>
      <c r="C18885" t="s">
        <v>10</v>
      </c>
      <c r="D18885" t="s">
        <v>4581</v>
      </c>
      <c r="E18885">
        <f t="shared" si="901"/>
        <v>4.3478260869565216E-2</v>
      </c>
      <c r="F18885">
        <v>1</v>
      </c>
      <c r="G18885">
        <f>LOG(382/(1+1))</f>
        <v>2.2810333672477277</v>
      </c>
      <c r="H18885">
        <f>0.0434782608695652*5.25227342804663</f>
        <v>0.22835971426289686</v>
      </c>
      <c r="I18885">
        <v>0.22835971426289689</v>
      </c>
    </row>
    <row r="18886" spans="1:9" x14ac:dyDescent="0.25">
      <c r="A18886">
        <v>581</v>
      </c>
      <c r="B18886" t="s">
        <v>4578</v>
      </c>
      <c r="C18886" t="s">
        <v>10</v>
      </c>
      <c r="D18886" t="s">
        <v>4582</v>
      </c>
      <c r="E18886">
        <f t="shared" si="901"/>
        <v>4.3478260869565216E-2</v>
      </c>
      <c r="F18886">
        <v>1</v>
      </c>
      <c r="G18886">
        <f>LOG(382/(1+1))</f>
        <v>2.2810333672477277</v>
      </c>
      <c r="H18886">
        <f>0.0434782608695652*5.25227342804663</f>
        <v>0.22835971426289686</v>
      </c>
      <c r="I18886">
        <v>0.22835971426289689</v>
      </c>
    </row>
    <row r="18887" spans="1:9" x14ac:dyDescent="0.25">
      <c r="A18887">
        <v>581</v>
      </c>
      <c r="B18887" t="s">
        <v>4578</v>
      </c>
      <c r="C18887" t="s">
        <v>10</v>
      </c>
      <c r="D18887" t="s">
        <v>38</v>
      </c>
      <c r="E18887">
        <f t="shared" si="901"/>
        <v>4.3478260869565216E-2</v>
      </c>
      <c r="F18887">
        <v>86</v>
      </c>
      <c r="G18887">
        <f>LOG(382/(86+1))</f>
        <v>0.64254411029309022</v>
      </c>
      <c r="H18887">
        <f>0.0434782608695652*1.47951248995199</f>
        <v>6.4326629997912582E-2</v>
      </c>
      <c r="I18887">
        <v>6.4326629997912665E-2</v>
      </c>
    </row>
    <row r="18888" spans="1:9" x14ac:dyDescent="0.25">
      <c r="A18888">
        <v>581</v>
      </c>
      <c r="B18888" t="s">
        <v>4578</v>
      </c>
      <c r="C18888" t="s">
        <v>10</v>
      </c>
      <c r="D18888" t="s">
        <v>26</v>
      </c>
      <c r="E18888">
        <f t="shared" si="901"/>
        <v>4.3478260869565216E-2</v>
      </c>
      <c r="F18888">
        <v>40</v>
      </c>
      <c r="G18888">
        <f>LOG(382/(40+1))</f>
        <v>0.96927950619197323</v>
      </c>
      <c r="H18888">
        <f>0.0434782608695652*2.23184854190226</f>
        <v>9.7036893126185172E-2</v>
      </c>
      <c r="I18888">
        <v>9.7036893126185533E-2</v>
      </c>
    </row>
    <row r="18889" spans="1:9" x14ac:dyDescent="0.25">
      <c r="A18889">
        <v>581</v>
      </c>
      <c r="B18889" t="s">
        <v>4578</v>
      </c>
      <c r="C18889" t="s">
        <v>10</v>
      </c>
      <c r="D18889" t="s">
        <v>24</v>
      </c>
      <c r="E18889">
        <f t="shared" si="901"/>
        <v>4.3478260869565216E-2</v>
      </c>
      <c r="F18889">
        <v>59</v>
      </c>
      <c r="G18889">
        <f>LOG(382/(59+1))</f>
        <v>0.80391211252806505</v>
      </c>
      <c r="H18889">
        <f>0.0434782608695652*1.85107604638447</f>
        <v>8.0481567234107362E-2</v>
      </c>
      <c r="I18889">
        <v>8.0481567234107584E-2</v>
      </c>
    </row>
    <row r="18890" spans="1:9" x14ac:dyDescent="0.25">
      <c r="A18890">
        <v>582</v>
      </c>
      <c r="B18890" t="s">
        <v>4583</v>
      </c>
      <c r="C18890" t="s">
        <v>48</v>
      </c>
      <c r="D18890" t="s">
        <v>49</v>
      </c>
      <c r="E18890">
        <f>3/39</f>
        <v>7.6923076923076927E-2</v>
      </c>
      <c r="F18890">
        <v>13</v>
      </c>
      <c r="G18890">
        <f>LOG(382/(13+1))</f>
        <v>1.4359353272334707</v>
      </c>
      <c r="H18890">
        <f>0.0769230769230769*3.30636327899131</f>
        <v>0.25433563684548532</v>
      </c>
      <c r="I18890">
        <v>0.25433563684548588</v>
      </c>
    </row>
    <row r="18891" spans="1:9" x14ac:dyDescent="0.25">
      <c r="A18891">
        <v>582</v>
      </c>
      <c r="B18891" t="s">
        <v>4583</v>
      </c>
      <c r="C18891" t="s">
        <v>48</v>
      </c>
      <c r="D18891" t="s">
        <v>1346</v>
      </c>
      <c r="E18891">
        <f>1/39</f>
        <v>2.564102564102564E-2</v>
      </c>
      <c r="F18891">
        <v>2</v>
      </c>
      <c r="G18891">
        <f>LOG(382/(2+1))</f>
        <v>2.1049421081920463</v>
      </c>
      <c r="H18891">
        <f>0.0256410256410256*4.84680831993846</f>
        <v>0.12427713640867825</v>
      </c>
      <c r="I18891">
        <v>0.1242771364086786</v>
      </c>
    </row>
    <row r="18892" spans="1:9" x14ac:dyDescent="0.25">
      <c r="A18892">
        <v>582</v>
      </c>
      <c r="B18892" t="s">
        <v>4583</v>
      </c>
      <c r="C18892" t="s">
        <v>48</v>
      </c>
      <c r="D18892" t="s">
        <v>20</v>
      </c>
      <c r="E18892">
        <f>3/39</f>
        <v>7.6923076923076927E-2</v>
      </c>
      <c r="F18892">
        <v>19</v>
      </c>
      <c r="G18892">
        <f>LOG(382/(19+1))</f>
        <v>1.2810333672477277</v>
      </c>
      <c r="H18892">
        <f>0.0769230769230769*2.94968833505258</f>
        <v>0.22689910269635225</v>
      </c>
      <c r="I18892">
        <v>0.22689910269635269</v>
      </c>
    </row>
    <row r="18893" spans="1:9" x14ac:dyDescent="0.25">
      <c r="A18893">
        <v>582</v>
      </c>
      <c r="B18893" t="s">
        <v>4583</v>
      </c>
      <c r="C18893" t="s">
        <v>48</v>
      </c>
      <c r="D18893" t="s">
        <v>2267</v>
      </c>
      <c r="E18893">
        <f>1/39</f>
        <v>2.564102564102564E-2</v>
      </c>
      <c r="F18893">
        <v>9</v>
      </c>
      <c r="G18893">
        <f>LOG(382/(9+1))</f>
        <v>1.5820633629117087</v>
      </c>
      <c r="H18893">
        <f>0.0256410256410256*3.64283551561252</f>
        <v>9.3406038861859331E-2</v>
      </c>
      <c r="I18893">
        <v>9.3406038861859719E-2</v>
      </c>
    </row>
    <row r="18894" spans="1:9" x14ac:dyDescent="0.25">
      <c r="A18894">
        <v>582</v>
      </c>
      <c r="B18894" t="s">
        <v>4583</v>
      </c>
      <c r="C18894" t="s">
        <v>48</v>
      </c>
      <c r="D18894" t="s">
        <v>247</v>
      </c>
      <c r="E18894">
        <f>1/39</f>
        <v>2.564102564102564E-2</v>
      </c>
      <c r="F18894">
        <v>121</v>
      </c>
      <c r="G18894">
        <f>LOG(382/(121+1))</f>
        <v>0.49570353223696051</v>
      </c>
      <c r="H18894">
        <f>0.0256410256410256*1.14139956387331</f>
        <v>2.9266655483930981E-2</v>
      </c>
      <c r="I18894">
        <v>2.9266655483931248E-2</v>
      </c>
    </row>
    <row r="18895" spans="1:9" x14ac:dyDescent="0.25">
      <c r="A18895">
        <v>582</v>
      </c>
      <c r="B18895" t="s">
        <v>4583</v>
      </c>
      <c r="C18895" t="s">
        <v>48</v>
      </c>
      <c r="D18895" t="s">
        <v>918</v>
      </c>
      <c r="E18895">
        <f>1/39</f>
        <v>2.564102564102564E-2</v>
      </c>
      <c r="F18895">
        <v>3</v>
      </c>
      <c r="G18895">
        <f>LOG(382/(3+1))</f>
        <v>1.9800033715837464</v>
      </c>
      <c r="H18895">
        <f>0.0256410256410256*4.55912624748668</f>
        <v>0.11690067301247878</v>
      </c>
      <c r="I18895">
        <v>0.1169006730124791</v>
      </c>
    </row>
    <row r="18896" spans="1:9" x14ac:dyDescent="0.25">
      <c r="A18896">
        <v>582</v>
      </c>
      <c r="B18896" t="s">
        <v>4583</v>
      </c>
      <c r="C18896" t="s">
        <v>48</v>
      </c>
      <c r="D18896" t="s">
        <v>3074</v>
      </c>
      <c r="E18896">
        <f>1/39</f>
        <v>2.564102564102564E-2</v>
      </c>
      <c r="F18896">
        <v>4</v>
      </c>
      <c r="G18896">
        <f>LOG(382/(4+1))</f>
        <v>1.8830933585756899</v>
      </c>
      <c r="H18896">
        <f>0.0256410256410256*4.33598269617247</f>
        <v>0.11117904349160163</v>
      </c>
      <c r="I18896">
        <v>0.1111790434916019</v>
      </c>
    </row>
    <row r="18897" spans="1:9" x14ac:dyDescent="0.25">
      <c r="A18897">
        <v>582</v>
      </c>
      <c r="B18897" t="s">
        <v>4583</v>
      </c>
      <c r="C18897" t="s">
        <v>48</v>
      </c>
      <c r="D18897" t="s">
        <v>105</v>
      </c>
      <c r="E18897">
        <f>1/39</f>
        <v>2.564102564102564E-2</v>
      </c>
      <c r="F18897">
        <v>122</v>
      </c>
      <c r="G18897">
        <f>LOG(382/(122+1))</f>
        <v>0.49215825147231079</v>
      </c>
      <c r="H18897">
        <f>0.0256410256410256*1.13323625323415</f>
        <v>2.9057339826516617E-2</v>
      </c>
      <c r="I18897">
        <v>2.905733982651686E-2</v>
      </c>
    </row>
    <row r="18898" spans="1:9" x14ac:dyDescent="0.25">
      <c r="A18898">
        <v>582</v>
      </c>
      <c r="B18898" t="s">
        <v>4583</v>
      </c>
      <c r="C18898" t="s">
        <v>48</v>
      </c>
      <c r="D18898" t="s">
        <v>53</v>
      </c>
      <c r="E18898">
        <f>2/39</f>
        <v>5.128205128205128E-2</v>
      </c>
      <c r="F18898">
        <v>57</v>
      </c>
      <c r="G18898">
        <f>LOG(382/(57+1))</f>
        <v>0.81863536934877146</v>
      </c>
      <c r="H18898">
        <f>0.0512820512820512*1.88497759806015</f>
        <v>9.6665517849238297E-2</v>
      </c>
      <c r="I18898">
        <v>9.6665517849238755E-2</v>
      </c>
    </row>
    <row r="18899" spans="1:9" x14ac:dyDescent="0.25">
      <c r="A18899">
        <v>582</v>
      </c>
      <c r="B18899" t="s">
        <v>4583</v>
      </c>
      <c r="C18899" t="s">
        <v>48</v>
      </c>
      <c r="D18899" t="s">
        <v>52</v>
      </c>
      <c r="E18899">
        <f t="shared" ref="E18899:E18923" si="902">1/39</f>
        <v>2.564102564102564E-2</v>
      </c>
      <c r="F18899">
        <v>35</v>
      </c>
      <c r="G18899">
        <f>LOG(382/(35+1))</f>
        <v>1.0257608621444214</v>
      </c>
      <c r="H18899">
        <f>0.0256410256410256*2.36190167015046</f>
        <v>6.0561581285909133E-2</v>
      </c>
      <c r="I18899">
        <v>6.0561581285909348E-2</v>
      </c>
    </row>
    <row r="18900" spans="1:9" x14ac:dyDescent="0.25">
      <c r="A18900">
        <v>582</v>
      </c>
      <c r="B18900" t="s">
        <v>4583</v>
      </c>
      <c r="C18900" t="s">
        <v>48</v>
      </c>
      <c r="D18900" t="s">
        <v>94</v>
      </c>
      <c r="E18900">
        <f t="shared" si="902"/>
        <v>2.564102564102564E-2</v>
      </c>
      <c r="F18900">
        <v>12</v>
      </c>
      <c r="G18900">
        <f>LOG(382/(12+1))</f>
        <v>1.468120010604872</v>
      </c>
      <c r="H18900">
        <f>0.0256410256410256*3.38047125114503</f>
        <v>8.6678750029359597E-2</v>
      </c>
      <c r="I18900">
        <v>8.6678750029359958E-2</v>
      </c>
    </row>
    <row r="18901" spans="1:9" x14ac:dyDescent="0.25">
      <c r="A18901">
        <v>582</v>
      </c>
      <c r="B18901" t="s">
        <v>4583</v>
      </c>
      <c r="C18901" t="s">
        <v>48</v>
      </c>
      <c r="D18901" t="s">
        <v>58</v>
      </c>
      <c r="E18901">
        <f t="shared" si="902"/>
        <v>2.564102564102564E-2</v>
      </c>
      <c r="F18901">
        <v>18</v>
      </c>
      <c r="G18901">
        <f>LOG(382/(18+1))</f>
        <v>1.3033097619588798</v>
      </c>
      <c r="H18901">
        <f>0.0256410256410256*3.00098162944013</f>
        <v>7.6948246908721152E-2</v>
      </c>
      <c r="I18901">
        <v>7.6948246908721402E-2</v>
      </c>
    </row>
    <row r="18902" spans="1:9" x14ac:dyDescent="0.25">
      <c r="A18902">
        <v>582</v>
      </c>
      <c r="B18902" t="s">
        <v>4583</v>
      </c>
      <c r="C18902" t="s">
        <v>48</v>
      </c>
      <c r="D18902" t="s">
        <v>4584</v>
      </c>
      <c r="E18902">
        <f t="shared" si="902"/>
        <v>2.564102564102564E-2</v>
      </c>
      <c r="F18902">
        <v>1</v>
      </c>
      <c r="G18902">
        <f>LOG(382/(1+1))</f>
        <v>2.2810333672477277</v>
      </c>
      <c r="H18902">
        <f>0.0256410256410256*5.25227342804663</f>
        <v>0.13467367764222105</v>
      </c>
      <c r="I18902">
        <v>0.1346736776422213</v>
      </c>
    </row>
    <row r="18903" spans="1:9" x14ac:dyDescent="0.25">
      <c r="A18903">
        <v>582</v>
      </c>
      <c r="B18903" t="s">
        <v>4583</v>
      </c>
      <c r="C18903" t="s">
        <v>48</v>
      </c>
      <c r="D18903" t="s">
        <v>2925</v>
      </c>
      <c r="E18903">
        <f t="shared" si="902"/>
        <v>2.564102564102564E-2</v>
      </c>
      <c r="F18903">
        <v>3</v>
      </c>
      <c r="G18903">
        <f>LOG(382/(3+1))</f>
        <v>1.9800033715837464</v>
      </c>
      <c r="H18903">
        <f>0.0256410256410256*4.55912624748668</f>
        <v>0.11690067301247878</v>
      </c>
      <c r="I18903">
        <v>0.1169006730124791</v>
      </c>
    </row>
    <row r="18904" spans="1:9" x14ac:dyDescent="0.25">
      <c r="A18904">
        <v>582</v>
      </c>
      <c r="B18904" t="s">
        <v>4583</v>
      </c>
      <c r="C18904" t="s">
        <v>48</v>
      </c>
      <c r="D18904" t="s">
        <v>4585</v>
      </c>
      <c r="E18904">
        <f t="shared" si="902"/>
        <v>2.564102564102564E-2</v>
      </c>
      <c r="F18904">
        <v>1</v>
      </c>
      <c r="G18904">
        <f>LOG(382/(1+1))</f>
        <v>2.2810333672477277</v>
      </c>
      <c r="H18904">
        <f>0.0256410256410256*5.25227342804663</f>
        <v>0.13467367764222105</v>
      </c>
      <c r="I18904">
        <v>0.1346736776422213</v>
      </c>
    </row>
    <row r="18905" spans="1:9" x14ac:dyDescent="0.25">
      <c r="A18905">
        <v>582</v>
      </c>
      <c r="B18905" t="s">
        <v>4583</v>
      </c>
      <c r="C18905" t="s">
        <v>48</v>
      </c>
      <c r="D18905" t="s">
        <v>4586</v>
      </c>
      <c r="E18905">
        <f t="shared" si="902"/>
        <v>2.564102564102564E-2</v>
      </c>
      <c r="F18905">
        <v>3</v>
      </c>
      <c r="G18905">
        <f>LOG(382/(3+1))</f>
        <v>1.9800033715837464</v>
      </c>
      <c r="H18905">
        <f>0.0256410256410256*4.55912624748668</f>
        <v>0.11690067301247878</v>
      </c>
      <c r="I18905">
        <v>0.1169006730124791</v>
      </c>
    </row>
    <row r="18906" spans="1:9" x14ac:dyDescent="0.25">
      <c r="A18906">
        <v>582</v>
      </c>
      <c r="B18906" t="s">
        <v>4583</v>
      </c>
      <c r="C18906" t="s">
        <v>48</v>
      </c>
      <c r="D18906" t="s">
        <v>1518</v>
      </c>
      <c r="E18906">
        <f t="shared" si="902"/>
        <v>2.564102564102564E-2</v>
      </c>
      <c r="F18906">
        <v>3</v>
      </c>
      <c r="G18906">
        <f>LOG(382/(3+1))</f>
        <v>1.9800033715837464</v>
      </c>
      <c r="H18906">
        <f>0.0256410256410256*4.55912624748668</f>
        <v>0.11690067301247878</v>
      </c>
      <c r="I18906">
        <v>0.1169006730124791</v>
      </c>
    </row>
    <row r="18907" spans="1:9" x14ac:dyDescent="0.25">
      <c r="A18907">
        <v>582</v>
      </c>
      <c r="B18907" t="s">
        <v>4583</v>
      </c>
      <c r="C18907" t="s">
        <v>48</v>
      </c>
      <c r="D18907" t="s">
        <v>1349</v>
      </c>
      <c r="E18907">
        <f t="shared" si="902"/>
        <v>2.564102564102564E-2</v>
      </c>
      <c r="F18907">
        <v>7</v>
      </c>
      <c r="G18907">
        <f>LOG(382/(7+1))</f>
        <v>1.6789733759197651</v>
      </c>
      <c r="H18907">
        <f>0.0256410256410256*3.86597906692673</f>
        <v>9.9127668382736511E-2</v>
      </c>
      <c r="I18907">
        <v>9.91276683827369E-2</v>
      </c>
    </row>
    <row r="18908" spans="1:9" x14ac:dyDescent="0.25">
      <c r="A18908">
        <v>582</v>
      </c>
      <c r="B18908" t="s">
        <v>4583</v>
      </c>
      <c r="C18908" t="s">
        <v>48</v>
      </c>
      <c r="D18908" t="s">
        <v>4381</v>
      </c>
      <c r="E18908">
        <f t="shared" si="902"/>
        <v>2.564102564102564E-2</v>
      </c>
      <c r="F18908">
        <v>2</v>
      </c>
      <c r="G18908">
        <f>LOG(382/(2+1))</f>
        <v>2.1049421081920463</v>
      </c>
      <c r="H18908">
        <f>0.0256410256410256*4.84680831993846</f>
        <v>0.12427713640867825</v>
      </c>
      <c r="I18908">
        <v>0.1242771364086786</v>
      </c>
    </row>
    <row r="18909" spans="1:9" x14ac:dyDescent="0.25">
      <c r="A18909">
        <v>582</v>
      </c>
      <c r="B18909" t="s">
        <v>4583</v>
      </c>
      <c r="C18909" t="s">
        <v>48</v>
      </c>
      <c r="D18909" t="s">
        <v>93</v>
      </c>
      <c r="E18909">
        <f t="shared" si="902"/>
        <v>2.564102564102564E-2</v>
      </c>
      <c r="F18909">
        <v>11</v>
      </c>
      <c r="G18909">
        <f>LOG(382/(11+1))</f>
        <v>1.5028821168640838</v>
      </c>
      <c r="H18909">
        <f>0.0256410256410256*3.46051395881857</f>
        <v>8.8731127149193956E-2</v>
      </c>
      <c r="I18909">
        <v>8.8731127149194219E-2</v>
      </c>
    </row>
    <row r="18910" spans="1:9" x14ac:dyDescent="0.25">
      <c r="A18910">
        <v>582</v>
      </c>
      <c r="B18910" t="s">
        <v>4583</v>
      </c>
      <c r="C18910" t="s">
        <v>48</v>
      </c>
      <c r="D18910" t="s">
        <v>24</v>
      </c>
      <c r="E18910">
        <f t="shared" si="902"/>
        <v>2.564102564102564E-2</v>
      </c>
      <c r="F18910">
        <v>59</v>
      </c>
      <c r="G18910">
        <f>LOG(382/(59+1))</f>
        <v>0.80391211252806505</v>
      </c>
      <c r="H18910">
        <f>0.0256410256410256*1.85107604638447</f>
        <v>4.7463488368832484E-2</v>
      </c>
      <c r="I18910">
        <v>4.7463488368832678E-2</v>
      </c>
    </row>
    <row r="18911" spans="1:9" x14ac:dyDescent="0.25">
      <c r="A18911">
        <v>582</v>
      </c>
      <c r="B18911" t="s">
        <v>4583</v>
      </c>
      <c r="C18911" t="s">
        <v>48</v>
      </c>
      <c r="D18911" t="s">
        <v>4587</v>
      </c>
      <c r="E18911">
        <f t="shared" si="902"/>
        <v>2.564102564102564E-2</v>
      </c>
      <c r="F18911">
        <v>1</v>
      </c>
      <c r="G18911">
        <f>LOG(382/(1+1))</f>
        <v>2.2810333672477277</v>
      </c>
      <c r="H18911">
        <f>0.0256410256410256*5.25227342804663</f>
        <v>0.13467367764222105</v>
      </c>
      <c r="I18911">
        <v>0.1346736776422213</v>
      </c>
    </row>
    <row r="18912" spans="1:9" x14ac:dyDescent="0.25">
      <c r="A18912">
        <v>582</v>
      </c>
      <c r="B18912" t="s">
        <v>4583</v>
      </c>
      <c r="C18912" t="s">
        <v>48</v>
      </c>
      <c r="D18912" t="s">
        <v>4380</v>
      </c>
      <c r="E18912">
        <f t="shared" si="902"/>
        <v>2.564102564102564E-2</v>
      </c>
      <c r="F18912">
        <v>3</v>
      </c>
      <c r="G18912">
        <f>LOG(382/(3+1))</f>
        <v>1.9800033715837464</v>
      </c>
      <c r="H18912">
        <f>0.0256410256410256*4.55912624748668</f>
        <v>0.11690067301247878</v>
      </c>
      <c r="I18912">
        <v>0.1169006730124791</v>
      </c>
    </row>
    <row r="18913" spans="1:9" x14ac:dyDescent="0.25">
      <c r="A18913">
        <v>582</v>
      </c>
      <c r="B18913" t="s">
        <v>4583</v>
      </c>
      <c r="C18913" t="s">
        <v>48</v>
      </c>
      <c r="D18913" t="s">
        <v>197</v>
      </c>
      <c r="E18913">
        <f t="shared" si="902"/>
        <v>2.564102564102564E-2</v>
      </c>
      <c r="F18913">
        <v>18</v>
      </c>
      <c r="G18913">
        <f>LOG(382/(18+1))</f>
        <v>1.3033097619588798</v>
      </c>
      <c r="H18913">
        <f>0.0256410256410256*3.00098162944013</f>
        <v>7.6948246908721152E-2</v>
      </c>
      <c r="I18913">
        <v>7.6948246908721402E-2</v>
      </c>
    </row>
    <row r="18914" spans="1:9" x14ac:dyDescent="0.25">
      <c r="A18914">
        <v>582</v>
      </c>
      <c r="B18914" t="s">
        <v>4583</v>
      </c>
      <c r="C18914" t="s">
        <v>48</v>
      </c>
      <c r="D18914" t="s">
        <v>201</v>
      </c>
      <c r="E18914">
        <f t="shared" si="902"/>
        <v>2.564102564102564E-2</v>
      </c>
      <c r="F18914">
        <v>72</v>
      </c>
      <c r="G18914">
        <f>LOG(382/(72+1))</f>
        <v>0.71874050279125279</v>
      </c>
      <c r="H18914">
        <f>0.0256410256410256*1.65496116745818</f>
        <v>4.2434901729696849E-2</v>
      </c>
      <c r="I18914">
        <v>4.2434901729697022E-2</v>
      </c>
    </row>
    <row r="18915" spans="1:9" x14ac:dyDescent="0.25">
      <c r="A18915">
        <v>582</v>
      </c>
      <c r="B18915" t="s">
        <v>4583</v>
      </c>
      <c r="C18915" t="s">
        <v>48</v>
      </c>
      <c r="D18915" t="s">
        <v>263</v>
      </c>
      <c r="E18915">
        <f t="shared" si="902"/>
        <v>2.564102564102564E-2</v>
      </c>
      <c r="F18915">
        <v>41</v>
      </c>
      <c r="G18915">
        <f>LOG(382/(41+1))</f>
        <v>0.95881407251380824</v>
      </c>
      <c r="H18915">
        <f>0.0256410256410256*2.2077509903232</f>
        <v>5.6608999751876832E-2</v>
      </c>
      <c r="I18915">
        <v>5.6608999751877102E-2</v>
      </c>
    </row>
    <row r="18916" spans="1:9" x14ac:dyDescent="0.25">
      <c r="A18916">
        <v>582</v>
      </c>
      <c r="B18916" t="s">
        <v>4583</v>
      </c>
      <c r="C18916" t="s">
        <v>48</v>
      </c>
      <c r="D18916" t="s">
        <v>1171</v>
      </c>
      <c r="E18916">
        <f t="shared" si="902"/>
        <v>2.564102564102564E-2</v>
      </c>
      <c r="F18916">
        <v>4</v>
      </c>
      <c r="G18916">
        <f>LOG(382/(4+1))</f>
        <v>1.8830933585756899</v>
      </c>
      <c r="H18916">
        <f>0.0256410256410256*4.33598269617247</f>
        <v>0.11117904349160163</v>
      </c>
      <c r="I18916">
        <v>0.1111790434916019</v>
      </c>
    </row>
    <row r="18917" spans="1:9" x14ac:dyDescent="0.25">
      <c r="A18917">
        <v>582</v>
      </c>
      <c r="B18917" t="s">
        <v>4583</v>
      </c>
      <c r="C18917" t="s">
        <v>48</v>
      </c>
      <c r="D18917" t="s">
        <v>4588</v>
      </c>
      <c r="E18917">
        <f t="shared" si="902"/>
        <v>2.564102564102564E-2</v>
      </c>
      <c r="F18917">
        <v>1</v>
      </c>
      <c r="G18917">
        <f>LOG(382/(1+1))</f>
        <v>2.2810333672477277</v>
      </c>
      <c r="H18917">
        <f>0.0256410256410256*5.25227342804663</f>
        <v>0.13467367764222105</v>
      </c>
      <c r="I18917">
        <v>0.1346736776422213</v>
      </c>
    </row>
    <row r="18918" spans="1:9" x14ac:dyDescent="0.25">
      <c r="A18918">
        <v>582</v>
      </c>
      <c r="B18918" t="s">
        <v>4583</v>
      </c>
      <c r="C18918" t="s">
        <v>48</v>
      </c>
      <c r="D18918" t="s">
        <v>261</v>
      </c>
      <c r="E18918">
        <f t="shared" si="902"/>
        <v>2.564102564102564E-2</v>
      </c>
      <c r="F18918">
        <v>3</v>
      </c>
      <c r="G18918">
        <f>LOG(382/(3+1))</f>
        <v>1.9800033715837464</v>
      </c>
      <c r="H18918">
        <f>0.0256410256410256*4.55912624748668</f>
        <v>0.11690067301247878</v>
      </c>
      <c r="I18918">
        <v>0.1169006730124791</v>
      </c>
    </row>
    <row r="18919" spans="1:9" x14ac:dyDescent="0.25">
      <c r="A18919">
        <v>582</v>
      </c>
      <c r="B18919" t="s">
        <v>4583</v>
      </c>
      <c r="C18919" t="s">
        <v>48</v>
      </c>
      <c r="D18919" t="s">
        <v>4589</v>
      </c>
      <c r="E18919">
        <f t="shared" si="902"/>
        <v>2.564102564102564E-2</v>
      </c>
      <c r="F18919">
        <v>2</v>
      </c>
      <c r="G18919">
        <f>LOG(382/(2+1))</f>
        <v>2.1049421081920463</v>
      </c>
      <c r="H18919">
        <f>0.0256410256410256*4.84680831993846</f>
        <v>0.12427713640867825</v>
      </c>
      <c r="I18919">
        <v>0.1242771364086786</v>
      </c>
    </row>
    <row r="18920" spans="1:9" x14ac:dyDescent="0.25">
      <c r="A18920">
        <v>582</v>
      </c>
      <c r="B18920" t="s">
        <v>4583</v>
      </c>
      <c r="C18920" t="s">
        <v>48</v>
      </c>
      <c r="D18920" t="s">
        <v>426</v>
      </c>
      <c r="E18920">
        <f t="shared" si="902"/>
        <v>2.564102564102564E-2</v>
      </c>
      <c r="F18920">
        <v>10</v>
      </c>
      <c r="G18920">
        <f>LOG(382/(10+1))</f>
        <v>1.5406706777534838</v>
      </c>
      <c r="H18920">
        <f>0.0256410256410256*3.5475253358082</f>
        <v>9.0962188097646002E-2</v>
      </c>
      <c r="I18920">
        <v>9.0962188097646265E-2</v>
      </c>
    </row>
    <row r="18921" spans="1:9" x14ac:dyDescent="0.25">
      <c r="A18921">
        <v>582</v>
      </c>
      <c r="B18921" t="s">
        <v>4583</v>
      </c>
      <c r="C18921" t="s">
        <v>48</v>
      </c>
      <c r="D18921" t="s">
        <v>406</v>
      </c>
      <c r="E18921">
        <f t="shared" si="902"/>
        <v>2.564102564102564E-2</v>
      </c>
      <c r="F18921">
        <v>10</v>
      </c>
      <c r="G18921">
        <f>LOG(382/(10+1))</f>
        <v>1.5406706777534838</v>
      </c>
      <c r="H18921">
        <f>0.0256410256410256*3.5475253358082</f>
        <v>9.0962188097646002E-2</v>
      </c>
      <c r="I18921">
        <v>9.0962188097646265E-2</v>
      </c>
    </row>
    <row r="18922" spans="1:9" x14ac:dyDescent="0.25">
      <c r="A18922">
        <v>582</v>
      </c>
      <c r="B18922" t="s">
        <v>4583</v>
      </c>
      <c r="C18922" t="s">
        <v>48</v>
      </c>
      <c r="D18922" t="s">
        <v>403</v>
      </c>
      <c r="E18922">
        <f t="shared" si="902"/>
        <v>2.564102564102564E-2</v>
      </c>
      <c r="F18922">
        <v>11</v>
      </c>
      <c r="G18922">
        <f>LOG(382/(11+1))</f>
        <v>1.5028821168640838</v>
      </c>
      <c r="H18922">
        <f>0.0256410256410256*3.46051395881857</f>
        <v>8.8731127149193956E-2</v>
      </c>
      <c r="I18922">
        <v>8.8731127149194219E-2</v>
      </c>
    </row>
    <row r="18923" spans="1:9" x14ac:dyDescent="0.25">
      <c r="A18923">
        <v>582</v>
      </c>
      <c r="B18923" t="s">
        <v>4583</v>
      </c>
      <c r="C18923" t="s">
        <v>48</v>
      </c>
      <c r="D18923" t="s">
        <v>188</v>
      </c>
      <c r="E18923">
        <f t="shared" si="902"/>
        <v>2.564102564102564E-2</v>
      </c>
      <c r="F18923">
        <v>19</v>
      </c>
      <c r="G18923">
        <f>LOG(382/(19+1))</f>
        <v>1.2810333672477277</v>
      </c>
      <c r="H18923">
        <f>0.0256410256410256*2.94968833505258</f>
        <v>7.5633034232117313E-2</v>
      </c>
      <c r="I18923">
        <v>7.5633034232117549E-2</v>
      </c>
    </row>
    <row r="18924" spans="1:9" x14ac:dyDescent="0.25">
      <c r="A18924">
        <v>583</v>
      </c>
      <c r="B18924" t="s">
        <v>4590</v>
      </c>
      <c r="C18924" t="s">
        <v>138</v>
      </c>
      <c r="D18924" t="s">
        <v>16</v>
      </c>
      <c r="E18924">
        <f>1/193</f>
        <v>5.1813471502590676E-3</v>
      </c>
      <c r="F18924">
        <v>8</v>
      </c>
      <c r="G18924">
        <f>LOG(382/(8+1))</f>
        <v>1.6278208534723839</v>
      </c>
      <c r="H18924">
        <f>0.00518134715025906*3.74819603127035</f>
        <v>1.9420704825234947E-2</v>
      </c>
      <c r="I18924">
        <v>1.9420704825235009E-2</v>
      </c>
    </row>
    <row r="18925" spans="1:9" x14ac:dyDescent="0.25">
      <c r="A18925">
        <v>583</v>
      </c>
      <c r="B18925" t="s">
        <v>4590</v>
      </c>
      <c r="C18925" t="s">
        <v>138</v>
      </c>
      <c r="D18925" t="s">
        <v>2546</v>
      </c>
      <c r="E18925">
        <f>1/193</f>
        <v>5.1813471502590676E-3</v>
      </c>
      <c r="F18925">
        <v>2</v>
      </c>
      <c r="G18925">
        <f>LOG(382/(2+1))</f>
        <v>2.1049421081920463</v>
      </c>
      <c r="H18925">
        <f>0.00518134715025906*4.84680831993846</f>
        <v>2.511299647636504E-2</v>
      </c>
      <c r="I18925">
        <v>2.5112996476365109E-2</v>
      </c>
    </row>
    <row r="18926" spans="1:9" x14ac:dyDescent="0.25">
      <c r="A18926">
        <v>583</v>
      </c>
      <c r="B18926" t="s">
        <v>4590</v>
      </c>
      <c r="C18926" t="s">
        <v>138</v>
      </c>
      <c r="D18926" t="s">
        <v>744</v>
      </c>
      <c r="E18926">
        <f>5/193</f>
        <v>2.5906735751295335E-2</v>
      </c>
      <c r="F18926">
        <v>28</v>
      </c>
      <c r="G18926">
        <f>LOG(382/(28+1))</f>
        <v>1.1196653650127526</v>
      </c>
      <c r="H18926">
        <f>0.0259067357512953*2.5781247786201</f>
        <v>6.6790797373577626E-2</v>
      </c>
      <c r="I18926">
        <v>6.6790797373577751E-2</v>
      </c>
    </row>
    <row r="18927" spans="1:9" x14ac:dyDescent="0.25">
      <c r="A18927">
        <v>583</v>
      </c>
      <c r="B18927" t="s">
        <v>4590</v>
      </c>
      <c r="C18927" t="s">
        <v>138</v>
      </c>
      <c r="D18927" t="s">
        <v>570</v>
      </c>
      <c r="E18927">
        <f>2/193</f>
        <v>1.0362694300518135E-2</v>
      </c>
      <c r="F18927">
        <v>27</v>
      </c>
      <c r="G18927">
        <f>LOG(382/(27+1))</f>
        <v>1.1349053315694895</v>
      </c>
      <c r="H18927">
        <f>0.0103626943005181*2.61321609843137</f>
        <v>2.7079959569236908E-2</v>
      </c>
      <c r="I18927">
        <v>2.7079959569237009E-2</v>
      </c>
    </row>
    <row r="18928" spans="1:9" x14ac:dyDescent="0.25">
      <c r="A18928">
        <v>583</v>
      </c>
      <c r="B18928" t="s">
        <v>4590</v>
      </c>
      <c r="C18928" t="s">
        <v>138</v>
      </c>
      <c r="D18928" t="s">
        <v>1613</v>
      </c>
      <c r="E18928">
        <f>2/193</f>
        <v>1.0362694300518135E-2</v>
      </c>
      <c r="F18928">
        <v>2</v>
      </c>
      <c r="G18928">
        <f>LOG(382/(2+1))</f>
        <v>2.1049421081920463</v>
      </c>
      <c r="H18928">
        <f>0.0103626943005181*4.84680831993846</f>
        <v>5.0225992952729989E-2</v>
      </c>
      <c r="I18928">
        <v>5.0225992952730211E-2</v>
      </c>
    </row>
    <row r="18929" spans="1:9" x14ac:dyDescent="0.25">
      <c r="A18929">
        <v>583</v>
      </c>
      <c r="B18929" t="s">
        <v>4590</v>
      </c>
      <c r="C18929" t="s">
        <v>138</v>
      </c>
      <c r="D18929" t="s">
        <v>750</v>
      </c>
      <c r="E18929">
        <f>2/193</f>
        <v>1.0362694300518135E-2</v>
      </c>
      <c r="F18929">
        <v>9</v>
      </c>
      <c r="G18929">
        <f>LOG(382/(9+1))</f>
        <v>1.5820633629117087</v>
      </c>
      <c r="H18929">
        <f>0.0103626943005181*3.64283551561252</f>
        <v>3.7749590835362778E-2</v>
      </c>
      <c r="I18929">
        <v>3.7749590835363001E-2</v>
      </c>
    </row>
    <row r="18930" spans="1:9" x14ac:dyDescent="0.25">
      <c r="A18930">
        <v>583</v>
      </c>
      <c r="B18930" t="s">
        <v>4590</v>
      </c>
      <c r="C18930" t="s">
        <v>138</v>
      </c>
      <c r="D18930" t="s">
        <v>746</v>
      </c>
      <c r="E18930">
        <f>2/193</f>
        <v>1.0362694300518135E-2</v>
      </c>
      <c r="F18930">
        <v>58</v>
      </c>
      <c r="G18930">
        <f>LOG(382/(58+1))</f>
        <v>0.81121135126956456</v>
      </c>
      <c r="H18930">
        <f>0.0103626943005181*1.86788316470085</f>
        <v>1.9356302224879211E-2</v>
      </c>
      <c r="I18930">
        <v>1.9356302224879329E-2</v>
      </c>
    </row>
    <row r="18931" spans="1:9" x14ac:dyDescent="0.25">
      <c r="A18931">
        <v>583</v>
      </c>
      <c r="B18931" t="s">
        <v>4590</v>
      </c>
      <c r="C18931" t="s">
        <v>138</v>
      </c>
      <c r="D18931" t="s">
        <v>3074</v>
      </c>
      <c r="E18931">
        <f>1/193</f>
        <v>5.1813471502590676E-3</v>
      </c>
      <c r="F18931">
        <v>4</v>
      </c>
      <c r="G18931">
        <f>LOG(382/(4+1))</f>
        <v>1.8830933585756899</v>
      </c>
      <c r="H18931">
        <f>0.00518134715025906*4.33598269617247</f>
        <v>2.2466231586385825E-2</v>
      </c>
      <c r="I18931">
        <v>2.2466231586385881E-2</v>
      </c>
    </row>
    <row r="18932" spans="1:9" x14ac:dyDescent="0.25">
      <c r="A18932">
        <v>583</v>
      </c>
      <c r="B18932" t="s">
        <v>4590</v>
      </c>
      <c r="C18932" t="s">
        <v>138</v>
      </c>
      <c r="D18932" t="s">
        <v>1633</v>
      </c>
      <c r="E18932">
        <f>2/193</f>
        <v>1.0362694300518135E-2</v>
      </c>
      <c r="F18932">
        <v>18</v>
      </c>
      <c r="G18932">
        <f>LOG(382/(18+1))</f>
        <v>1.3033097619588798</v>
      </c>
      <c r="H18932">
        <f>0.0103626943005181*3.00098162944013</f>
        <v>3.1098255227358759E-2</v>
      </c>
      <c r="I18932">
        <v>3.1098255227358911E-2</v>
      </c>
    </row>
    <row r="18933" spans="1:9" x14ac:dyDescent="0.25">
      <c r="A18933">
        <v>583</v>
      </c>
      <c r="B18933" t="s">
        <v>4590</v>
      </c>
      <c r="C18933" t="s">
        <v>138</v>
      </c>
      <c r="D18933" t="s">
        <v>76</v>
      </c>
      <c r="E18933">
        <f>1/193</f>
        <v>5.1813471502590676E-3</v>
      </c>
      <c r="F18933">
        <v>140</v>
      </c>
      <c r="G18933">
        <f>LOG(382/(140+1))</f>
        <v>0.43284425025632883</v>
      </c>
      <c r="H18933">
        <f>0.00518134715025906*0.996660718228407</f>
        <v>5.164045172167904E-3</v>
      </c>
      <c r="I18933">
        <v>5.1640451721679118E-3</v>
      </c>
    </row>
    <row r="18934" spans="1:9" x14ac:dyDescent="0.25">
      <c r="A18934">
        <v>583</v>
      </c>
      <c r="B18934" t="s">
        <v>4590</v>
      </c>
      <c r="C18934" t="s">
        <v>138</v>
      </c>
      <c r="D18934" t="s">
        <v>40</v>
      </c>
      <c r="E18934">
        <f>2/193</f>
        <v>1.0362694300518135E-2</v>
      </c>
      <c r="F18934">
        <v>159</v>
      </c>
      <c r="G18934">
        <f>LOG(382/(159+1))</f>
        <v>0.377943380255784</v>
      </c>
      <c r="H18934">
        <f>0.0103626943005181*0.870246793372748</f>
        <v>9.018101485727929E-3</v>
      </c>
      <c r="I18934">
        <v>9.0181014857279619E-3</v>
      </c>
    </row>
    <row r="18935" spans="1:9" x14ac:dyDescent="0.25">
      <c r="A18935">
        <v>583</v>
      </c>
      <c r="B18935" t="s">
        <v>4590</v>
      </c>
      <c r="C18935" t="s">
        <v>138</v>
      </c>
      <c r="D18935" t="s">
        <v>41</v>
      </c>
      <c r="E18935">
        <f>2/193</f>
        <v>1.0362694300518135E-2</v>
      </c>
      <c r="F18935">
        <v>195</v>
      </c>
      <c r="G18935">
        <f>LOG(382/(195+1))</f>
        <v>0.28980729155523272</v>
      </c>
      <c r="H18935">
        <f>0.0103626943005181*0.667305949376058</f>
        <v>6.9150875583010966E-3</v>
      </c>
      <c r="I18935">
        <v>6.9150875583011201E-3</v>
      </c>
    </row>
    <row r="18936" spans="1:9" x14ac:dyDescent="0.25">
      <c r="A18936">
        <v>583</v>
      </c>
      <c r="B18936" t="s">
        <v>4590</v>
      </c>
      <c r="C18936" t="s">
        <v>138</v>
      </c>
      <c r="D18936" t="s">
        <v>4379</v>
      </c>
      <c r="E18936">
        <f>1/193</f>
        <v>5.1813471502590676E-3</v>
      </c>
      <c r="F18936">
        <v>3</v>
      </c>
      <c r="G18936">
        <f>LOG(382/(3+1))</f>
        <v>1.9800033715837464</v>
      </c>
      <c r="H18936">
        <f>0.00518134715025906*4.55912624748668</f>
        <v>2.3622415790086389E-2</v>
      </c>
      <c r="I18936">
        <v>2.3622415790086448E-2</v>
      </c>
    </row>
    <row r="18937" spans="1:9" x14ac:dyDescent="0.25">
      <c r="A18937">
        <v>583</v>
      </c>
      <c r="B18937" t="s">
        <v>4590</v>
      </c>
      <c r="C18937" t="s">
        <v>138</v>
      </c>
      <c r="D18937" t="s">
        <v>322</v>
      </c>
      <c r="E18937">
        <f>11/193</f>
        <v>5.6994818652849742E-2</v>
      </c>
      <c r="F18937">
        <v>128</v>
      </c>
      <c r="G18937">
        <f>LOG(382/(128+1))</f>
        <v>0.47147365261245977</v>
      </c>
      <c r="H18937">
        <f>0.0569948186528497*1.0856082042449</f>
        <v>6.1874042728983891E-2</v>
      </c>
      <c r="I18937">
        <v>6.187404272898412E-2</v>
      </c>
    </row>
    <row r="18938" spans="1:9" x14ac:dyDescent="0.25">
      <c r="A18938">
        <v>583</v>
      </c>
      <c r="B18938" t="s">
        <v>4590</v>
      </c>
      <c r="C18938" t="s">
        <v>138</v>
      </c>
      <c r="D18938" t="s">
        <v>338</v>
      </c>
      <c r="E18938">
        <f>4/193</f>
        <v>2.072538860103627E-2</v>
      </c>
      <c r="F18938">
        <v>54</v>
      </c>
      <c r="G18938">
        <f>LOG(382/(54+1))</f>
        <v>0.84170067341746491</v>
      </c>
      <c r="H18938">
        <f>0.0207253886010362*1.9380874233741</f>
        <v>4.0167614992209194E-2</v>
      </c>
      <c r="I18938">
        <v>4.0167614992209423E-2</v>
      </c>
    </row>
    <row r="18939" spans="1:9" x14ac:dyDescent="0.25">
      <c r="A18939">
        <v>583</v>
      </c>
      <c r="B18939" t="s">
        <v>4590</v>
      </c>
      <c r="C18939" t="s">
        <v>138</v>
      </c>
      <c r="D18939" t="s">
        <v>42</v>
      </c>
      <c r="E18939">
        <f t="shared" ref="E18939:E18944" si="903">1/193</f>
        <v>5.1813471502590676E-3</v>
      </c>
      <c r="F18939">
        <v>251</v>
      </c>
      <c r="G18939">
        <f>LOG(382/(251+1))</f>
        <v>0.18066282213016463</v>
      </c>
      <c r="H18939">
        <f>0.00518134715025906*0.415991521095151</f>
        <v>2.1553964823582922E-3</v>
      </c>
      <c r="I18939">
        <v>2.1553964823583E-3</v>
      </c>
    </row>
    <row r="18940" spans="1:9" x14ac:dyDescent="0.25">
      <c r="A18940">
        <v>583</v>
      </c>
      <c r="B18940" t="s">
        <v>4590</v>
      </c>
      <c r="C18940" t="s">
        <v>138</v>
      </c>
      <c r="D18940" t="s">
        <v>732</v>
      </c>
      <c r="E18940">
        <f t="shared" si="903"/>
        <v>5.1813471502590676E-3</v>
      </c>
      <c r="F18940">
        <v>4</v>
      </c>
      <c r="G18940">
        <f>LOG(382/(4+1))</f>
        <v>1.8830933585756899</v>
      </c>
      <c r="H18940">
        <f>0.00518134715025906*4.33598269617247</f>
        <v>2.2466231586385825E-2</v>
      </c>
      <c r="I18940">
        <v>2.2466231586385881E-2</v>
      </c>
    </row>
    <row r="18941" spans="1:9" x14ac:dyDescent="0.25">
      <c r="A18941">
        <v>583</v>
      </c>
      <c r="B18941" t="s">
        <v>4590</v>
      </c>
      <c r="C18941" t="s">
        <v>138</v>
      </c>
      <c r="D18941" t="s">
        <v>799</v>
      </c>
      <c r="E18941">
        <f t="shared" si="903"/>
        <v>5.1813471502590676E-3</v>
      </c>
      <c r="F18941">
        <v>8</v>
      </c>
      <c r="G18941">
        <f>LOG(382/(8+1))</f>
        <v>1.6278208534723839</v>
      </c>
      <c r="H18941">
        <f>0.00518134715025906*3.74819603127035</f>
        <v>1.9420704825234947E-2</v>
      </c>
      <c r="I18941">
        <v>1.9420704825235009E-2</v>
      </c>
    </row>
    <row r="18942" spans="1:9" x14ac:dyDescent="0.25">
      <c r="A18942">
        <v>583</v>
      </c>
      <c r="B18942" t="s">
        <v>4590</v>
      </c>
      <c r="C18942" t="s">
        <v>138</v>
      </c>
      <c r="D18942" t="s">
        <v>218</v>
      </c>
      <c r="E18942">
        <f t="shared" si="903"/>
        <v>5.1813471502590676E-3</v>
      </c>
      <c r="F18942">
        <v>35</v>
      </c>
      <c r="G18942">
        <f>LOG(382/(35+1))</f>
        <v>1.0257608621444214</v>
      </c>
      <c r="H18942">
        <f>0.00518134715025906*2.36190167015046</f>
        <v>1.22378324878262E-2</v>
      </c>
      <c r="I18942">
        <v>1.223783248782624E-2</v>
      </c>
    </row>
    <row r="18943" spans="1:9" x14ac:dyDescent="0.25">
      <c r="A18943">
        <v>583</v>
      </c>
      <c r="B18943" t="s">
        <v>4590</v>
      </c>
      <c r="C18943" t="s">
        <v>138</v>
      </c>
      <c r="D18943" t="s">
        <v>133</v>
      </c>
      <c r="E18943">
        <f t="shared" si="903"/>
        <v>5.1813471502590676E-3</v>
      </c>
      <c r="F18943">
        <v>142</v>
      </c>
      <c r="G18943">
        <f>LOG(382/(142+1))</f>
        <v>0.42672732544664693</v>
      </c>
      <c r="H18943">
        <f>0.00518134715025906*0.982575978346667</f>
        <v>5.0910672453195107E-3</v>
      </c>
      <c r="I18943">
        <v>5.0910672453195228E-3</v>
      </c>
    </row>
    <row r="18944" spans="1:9" x14ac:dyDescent="0.25">
      <c r="A18944">
        <v>583</v>
      </c>
      <c r="B18944" t="s">
        <v>4590</v>
      </c>
      <c r="C18944" t="s">
        <v>138</v>
      </c>
      <c r="D18944" t="s">
        <v>77</v>
      </c>
      <c r="E18944">
        <f t="shared" si="903"/>
        <v>5.1813471502590676E-3</v>
      </c>
      <c r="F18944">
        <v>148</v>
      </c>
      <c r="G18944">
        <f>LOG(382/(148+1))</f>
        <v>0.40887709449943471</v>
      </c>
      <c r="H18944">
        <f>0.00518134715025906*0.941474302661116</f>
        <v>4.8781051951353087E-3</v>
      </c>
      <c r="I18944">
        <v>4.8781051951353174E-3</v>
      </c>
    </row>
    <row r="18945" spans="1:9" x14ac:dyDescent="0.25">
      <c r="A18945">
        <v>583</v>
      </c>
      <c r="B18945" t="s">
        <v>4590</v>
      </c>
      <c r="C18945" t="s">
        <v>138</v>
      </c>
      <c r="D18945" t="s">
        <v>331</v>
      </c>
      <c r="E18945">
        <f>2/193</f>
        <v>1.0362694300518135E-2</v>
      </c>
      <c r="F18945">
        <v>130</v>
      </c>
      <c r="G18945">
        <f>LOG(382/(130+1))</f>
        <v>0.46479206725594452</v>
      </c>
      <c r="H18945">
        <f>0.0103626943005181*1.07022328540542</f>
        <v>1.1090396739952503E-2</v>
      </c>
      <c r="I18945">
        <v>1.1090396739952581E-2</v>
      </c>
    </row>
    <row r="18946" spans="1:9" x14ac:dyDescent="0.25">
      <c r="A18946">
        <v>583</v>
      </c>
      <c r="B18946" t="s">
        <v>4590</v>
      </c>
      <c r="C18946" t="s">
        <v>138</v>
      </c>
      <c r="D18946" t="s">
        <v>762</v>
      </c>
      <c r="E18946">
        <f>16/193</f>
        <v>8.2901554404145081E-2</v>
      </c>
      <c r="F18946">
        <v>29</v>
      </c>
      <c r="G18946">
        <f>LOG(382/(29+1))</f>
        <v>1.1049421081920463</v>
      </c>
      <c r="H18946">
        <f>0.082901554404145*2.54422322694442</f>
        <v>0.21092006026482216</v>
      </c>
      <c r="I18946">
        <v>0.21092006026482241</v>
      </c>
    </row>
    <row r="18947" spans="1:9" x14ac:dyDescent="0.25">
      <c r="A18947">
        <v>583</v>
      </c>
      <c r="B18947" t="s">
        <v>4590</v>
      </c>
      <c r="C18947" t="s">
        <v>138</v>
      </c>
      <c r="D18947" t="s">
        <v>931</v>
      </c>
      <c r="E18947">
        <f>5/193</f>
        <v>2.5906735751295335E-2</v>
      </c>
      <c r="F18947">
        <v>22</v>
      </c>
      <c r="G18947">
        <f>LOG(382/(22+1))</f>
        <v>1.2203355268941158</v>
      </c>
      <c r="H18947">
        <f>0.0259067357512953*2.80992639267742</f>
        <v>7.2796020535684347E-2</v>
      </c>
      <c r="I18947">
        <v>7.2796020535684597E-2</v>
      </c>
    </row>
    <row r="18948" spans="1:9" x14ac:dyDescent="0.25">
      <c r="A18948">
        <v>583</v>
      </c>
      <c r="B18948" t="s">
        <v>4590</v>
      </c>
      <c r="C18948" t="s">
        <v>138</v>
      </c>
      <c r="D18948" t="s">
        <v>1259</v>
      </c>
      <c r="E18948">
        <f t="shared" ref="E18948:E18957" si="904">1/193</f>
        <v>5.1813471502590676E-3</v>
      </c>
      <c r="F18948">
        <v>3</v>
      </c>
      <c r="G18948">
        <f>LOG(382/(3+1))</f>
        <v>1.9800033715837464</v>
      </c>
      <c r="H18948">
        <f>0.00518134715025906*4.55912624748668</f>
        <v>2.3622415790086389E-2</v>
      </c>
      <c r="I18948">
        <v>2.3622415790086448E-2</v>
      </c>
    </row>
    <row r="18949" spans="1:9" x14ac:dyDescent="0.25">
      <c r="A18949">
        <v>583</v>
      </c>
      <c r="B18949" t="s">
        <v>4590</v>
      </c>
      <c r="C18949" t="s">
        <v>138</v>
      </c>
      <c r="D18949" t="s">
        <v>3258</v>
      </c>
      <c r="E18949">
        <f t="shared" si="904"/>
        <v>5.1813471502590676E-3</v>
      </c>
      <c r="F18949">
        <v>3</v>
      </c>
      <c r="G18949">
        <f>LOG(382/(3+1))</f>
        <v>1.9800033715837464</v>
      </c>
      <c r="H18949">
        <f>0.00518134715025906*4.55912624748668</f>
        <v>2.3622415790086389E-2</v>
      </c>
      <c r="I18949">
        <v>2.3622415790086448E-2</v>
      </c>
    </row>
    <row r="18950" spans="1:9" x14ac:dyDescent="0.25">
      <c r="A18950">
        <v>583</v>
      </c>
      <c r="B18950" t="s">
        <v>4590</v>
      </c>
      <c r="C18950" t="s">
        <v>138</v>
      </c>
      <c r="D18950" t="s">
        <v>811</v>
      </c>
      <c r="E18950">
        <f t="shared" si="904"/>
        <v>5.1813471502590676E-3</v>
      </c>
      <c r="F18950">
        <v>27</v>
      </c>
      <c r="G18950">
        <f>LOG(382/(27+1))</f>
        <v>1.1349053315694895</v>
      </c>
      <c r="H18950">
        <f>0.00518134715025906*2.61321609843137</f>
        <v>1.3539979784618478E-2</v>
      </c>
      <c r="I18950">
        <v>1.3539979784618499E-2</v>
      </c>
    </row>
    <row r="18951" spans="1:9" x14ac:dyDescent="0.25">
      <c r="A18951">
        <v>583</v>
      </c>
      <c r="B18951" t="s">
        <v>4590</v>
      </c>
      <c r="C18951" t="s">
        <v>138</v>
      </c>
      <c r="D18951" t="s">
        <v>4591</v>
      </c>
      <c r="E18951">
        <f t="shared" si="904"/>
        <v>5.1813471502590676E-3</v>
      </c>
      <c r="F18951">
        <v>2</v>
      </c>
      <c r="G18951">
        <f>LOG(382/(2+1))</f>
        <v>2.1049421081920463</v>
      </c>
      <c r="H18951">
        <f>0.00518134715025906*4.84680831993846</f>
        <v>2.511299647636504E-2</v>
      </c>
      <c r="I18951">
        <v>2.5112996476365109E-2</v>
      </c>
    </row>
    <row r="18952" spans="1:9" x14ac:dyDescent="0.25">
      <c r="A18952">
        <v>583</v>
      </c>
      <c r="B18952" t="s">
        <v>4590</v>
      </c>
      <c r="C18952" t="s">
        <v>138</v>
      </c>
      <c r="D18952" t="s">
        <v>4276</v>
      </c>
      <c r="E18952">
        <f t="shared" si="904"/>
        <v>5.1813471502590676E-3</v>
      </c>
      <c r="F18952">
        <v>8</v>
      </c>
      <c r="G18952">
        <f>LOG(382/(8+1))</f>
        <v>1.6278208534723839</v>
      </c>
      <c r="H18952">
        <f>0.00518134715025906*3.74819603127035</f>
        <v>1.9420704825234947E-2</v>
      </c>
      <c r="I18952">
        <v>1.9420704825235009E-2</v>
      </c>
    </row>
    <row r="18953" spans="1:9" x14ac:dyDescent="0.25">
      <c r="A18953">
        <v>583</v>
      </c>
      <c r="B18953" t="s">
        <v>4590</v>
      </c>
      <c r="C18953" t="s">
        <v>138</v>
      </c>
      <c r="D18953" t="s">
        <v>142</v>
      </c>
      <c r="E18953">
        <f t="shared" si="904"/>
        <v>5.1813471502590676E-3</v>
      </c>
      <c r="F18953">
        <v>4</v>
      </c>
      <c r="G18953">
        <f>LOG(382/(4+1))</f>
        <v>1.8830933585756899</v>
      </c>
      <c r="H18953">
        <f>0.00518134715025906*4.33598269617247</f>
        <v>2.2466231586385825E-2</v>
      </c>
      <c r="I18953">
        <v>2.2466231586385881E-2</v>
      </c>
    </row>
    <row r="18954" spans="1:9" x14ac:dyDescent="0.25">
      <c r="A18954">
        <v>583</v>
      </c>
      <c r="B18954" t="s">
        <v>4590</v>
      </c>
      <c r="C18954" t="s">
        <v>138</v>
      </c>
      <c r="D18954" t="s">
        <v>1708</v>
      </c>
      <c r="E18954">
        <f t="shared" si="904"/>
        <v>5.1813471502590676E-3</v>
      </c>
      <c r="F18954">
        <v>7</v>
      </c>
      <c r="G18954">
        <f>LOG(382/(7+1))</f>
        <v>1.6789733759197651</v>
      </c>
      <c r="H18954">
        <f>0.00518134715025906*3.86597906692673</f>
        <v>2.0030979621381992E-2</v>
      </c>
      <c r="I18954">
        <v>2.0030979621382072E-2</v>
      </c>
    </row>
    <row r="18955" spans="1:9" x14ac:dyDescent="0.25">
      <c r="A18955">
        <v>583</v>
      </c>
      <c r="B18955" t="s">
        <v>4590</v>
      </c>
      <c r="C18955" t="s">
        <v>138</v>
      </c>
      <c r="D18955" t="s">
        <v>2823</v>
      </c>
      <c r="E18955">
        <f t="shared" si="904"/>
        <v>5.1813471502590676E-3</v>
      </c>
      <c r="F18955">
        <v>2</v>
      </c>
      <c r="G18955">
        <f>LOG(382/(2+1))</f>
        <v>2.1049421081920463</v>
      </c>
      <c r="H18955">
        <f>0.00518134715025906*4.84680831993846</f>
        <v>2.511299647636504E-2</v>
      </c>
      <c r="I18955">
        <v>2.5112996476365109E-2</v>
      </c>
    </row>
    <row r="18956" spans="1:9" x14ac:dyDescent="0.25">
      <c r="A18956">
        <v>583</v>
      </c>
      <c r="B18956" t="s">
        <v>4590</v>
      </c>
      <c r="C18956" t="s">
        <v>138</v>
      </c>
      <c r="D18956" t="s">
        <v>225</v>
      </c>
      <c r="E18956">
        <f t="shared" si="904"/>
        <v>5.1813471502590676E-3</v>
      </c>
      <c r="F18956">
        <v>30</v>
      </c>
      <c r="G18956">
        <f>LOG(382/(30+1))</f>
        <v>1.090701669077436</v>
      </c>
      <c r="H18956">
        <f>0.00518134715025906*2.51143340412142</f>
        <v>1.3012608311509929E-2</v>
      </c>
      <c r="I18956">
        <v>1.301260831151E-2</v>
      </c>
    </row>
    <row r="18957" spans="1:9" x14ac:dyDescent="0.25">
      <c r="A18957">
        <v>583</v>
      </c>
      <c r="B18957" t="s">
        <v>4590</v>
      </c>
      <c r="C18957" t="s">
        <v>138</v>
      </c>
      <c r="D18957" t="s">
        <v>1773</v>
      </c>
      <c r="E18957">
        <f t="shared" si="904"/>
        <v>5.1813471502590676E-3</v>
      </c>
      <c r="F18957">
        <v>24</v>
      </c>
      <c r="G18957">
        <f>LOG(382/(24+1))</f>
        <v>1.1841233542396712</v>
      </c>
      <c r="H18957">
        <f>0.00518134715025906*2.72654478373837</f>
        <v>1.4127175045276507E-2</v>
      </c>
      <c r="I18957">
        <v>1.412717504527655E-2</v>
      </c>
    </row>
    <row r="18958" spans="1:9" x14ac:dyDescent="0.25">
      <c r="A18958">
        <v>583</v>
      </c>
      <c r="B18958" t="s">
        <v>4590</v>
      </c>
      <c r="C18958" t="s">
        <v>138</v>
      </c>
      <c r="D18958" t="s">
        <v>447</v>
      </c>
      <c r="E18958">
        <f>2/193</f>
        <v>1.0362694300518135E-2</v>
      </c>
      <c r="F18958">
        <v>37</v>
      </c>
      <c r="G18958">
        <f>LOG(382/(37+1))</f>
        <v>1.0022797662948986</v>
      </c>
      <c r="H18958">
        <f>0.0103626943005181*2.30783444888018</f>
        <v>2.391538288994997E-2</v>
      </c>
      <c r="I18958">
        <v>2.3915382889950151E-2</v>
      </c>
    </row>
    <row r="18959" spans="1:9" x14ac:dyDescent="0.25">
      <c r="A18959">
        <v>583</v>
      </c>
      <c r="B18959" t="s">
        <v>4590</v>
      </c>
      <c r="C18959" t="s">
        <v>138</v>
      </c>
      <c r="D18959" t="s">
        <v>1149</v>
      </c>
      <c r="E18959">
        <f t="shared" ref="E18959:E18966" si="905">1/193</f>
        <v>5.1813471502590676E-3</v>
      </c>
      <c r="F18959">
        <v>3</v>
      </c>
      <c r="G18959">
        <f>LOG(382/(3+1))</f>
        <v>1.9800033715837464</v>
      </c>
      <c r="H18959">
        <f>0.00518134715025906*4.55912624748668</f>
        <v>2.3622415790086389E-2</v>
      </c>
      <c r="I18959">
        <v>2.3622415790086448E-2</v>
      </c>
    </row>
    <row r="18960" spans="1:9" x14ac:dyDescent="0.25">
      <c r="A18960">
        <v>583</v>
      </c>
      <c r="B18960" t="s">
        <v>4590</v>
      </c>
      <c r="C18960" t="s">
        <v>138</v>
      </c>
      <c r="D18960" t="s">
        <v>4592</v>
      </c>
      <c r="E18960">
        <f t="shared" si="905"/>
        <v>5.1813471502590676E-3</v>
      </c>
      <c r="F18960">
        <v>1</v>
      </c>
      <c r="G18960">
        <f>LOG(382/(1+1))</f>
        <v>2.2810333672477277</v>
      </c>
      <c r="H18960">
        <f>0.00518134715025906*5.25227342804663</f>
        <v>2.7213851958790787E-2</v>
      </c>
      <c r="I18960">
        <v>2.7213851958790829E-2</v>
      </c>
    </row>
    <row r="18961" spans="1:9" x14ac:dyDescent="0.25">
      <c r="A18961">
        <v>583</v>
      </c>
      <c r="B18961" t="s">
        <v>4590</v>
      </c>
      <c r="C18961" t="s">
        <v>138</v>
      </c>
      <c r="D18961" t="s">
        <v>726</v>
      </c>
      <c r="E18961">
        <f t="shared" si="905"/>
        <v>5.1813471502590676E-3</v>
      </c>
      <c r="F18961">
        <v>37</v>
      </c>
      <c r="G18961">
        <f>LOG(382/(37+1))</f>
        <v>1.0022797662948986</v>
      </c>
      <c r="H18961">
        <f>0.00518134715025906*2.30783444888018</f>
        <v>1.1957691444975008E-2</v>
      </c>
      <c r="I18961">
        <v>1.195769144497507E-2</v>
      </c>
    </row>
    <row r="18962" spans="1:9" x14ac:dyDescent="0.25">
      <c r="A18962">
        <v>583</v>
      </c>
      <c r="B18962" t="s">
        <v>4590</v>
      </c>
      <c r="C18962" t="s">
        <v>138</v>
      </c>
      <c r="D18962" t="s">
        <v>2586</v>
      </c>
      <c r="E18962">
        <f t="shared" si="905"/>
        <v>5.1813471502590676E-3</v>
      </c>
      <c r="F18962">
        <v>4</v>
      </c>
      <c r="G18962">
        <f>LOG(382/(4+1))</f>
        <v>1.8830933585756899</v>
      </c>
      <c r="H18962">
        <f>0.00518134715025906*4.33598269617247</f>
        <v>2.2466231586385825E-2</v>
      </c>
      <c r="I18962">
        <v>2.2466231586385881E-2</v>
      </c>
    </row>
    <row r="18963" spans="1:9" x14ac:dyDescent="0.25">
      <c r="A18963">
        <v>583</v>
      </c>
      <c r="B18963" t="s">
        <v>4590</v>
      </c>
      <c r="C18963" t="s">
        <v>138</v>
      </c>
      <c r="D18963" t="s">
        <v>79</v>
      </c>
      <c r="E18963">
        <f t="shared" si="905"/>
        <v>5.1813471502590676E-3</v>
      </c>
      <c r="F18963">
        <v>26</v>
      </c>
      <c r="G18963">
        <f>LOG(382/(26+1))</f>
        <v>1.1506995987527215</v>
      </c>
      <c r="H18963">
        <f>0.00518134715025906*2.64958374260224</f>
        <v>1.372841317410485E-2</v>
      </c>
      <c r="I18963">
        <v>1.3728413174104901E-2</v>
      </c>
    </row>
    <row r="18964" spans="1:9" x14ac:dyDescent="0.25">
      <c r="A18964">
        <v>583</v>
      </c>
      <c r="B18964" t="s">
        <v>4590</v>
      </c>
      <c r="C18964" t="s">
        <v>138</v>
      </c>
      <c r="D18964" t="s">
        <v>3071</v>
      </c>
      <c r="E18964">
        <f t="shared" si="905"/>
        <v>5.1813471502590676E-3</v>
      </c>
      <c r="F18964">
        <v>6</v>
      </c>
      <c r="G18964">
        <f>LOG(382/(6+1))</f>
        <v>1.736965322897452</v>
      </c>
      <c r="H18964">
        <f>0.00518134715025906*3.99951045955126</f>
        <v>2.0722852122027225E-2</v>
      </c>
      <c r="I18964">
        <v>2.072285212202726E-2</v>
      </c>
    </row>
    <row r="18965" spans="1:9" x14ac:dyDescent="0.25">
      <c r="A18965">
        <v>583</v>
      </c>
      <c r="B18965" t="s">
        <v>4590</v>
      </c>
      <c r="C18965" t="s">
        <v>138</v>
      </c>
      <c r="D18965" t="s">
        <v>309</v>
      </c>
      <c r="E18965">
        <f t="shared" si="905"/>
        <v>5.1813471502590676E-3</v>
      </c>
      <c r="F18965">
        <v>25</v>
      </c>
      <c r="G18965">
        <f>LOG(382/(25+1))</f>
        <v>1.1670900149408907</v>
      </c>
      <c r="H18965">
        <f>0.00518134715025906*2.68732407058509</f>
        <v>1.3923958914948633E-2</v>
      </c>
      <c r="I18965">
        <v>1.3923958914948671E-2</v>
      </c>
    </row>
    <row r="18966" spans="1:9" x14ac:dyDescent="0.25">
      <c r="A18966">
        <v>583</v>
      </c>
      <c r="B18966" t="s">
        <v>4590</v>
      </c>
      <c r="C18966" t="s">
        <v>138</v>
      </c>
      <c r="D18966" t="s">
        <v>4005</v>
      </c>
      <c r="E18966">
        <f t="shared" si="905"/>
        <v>5.1813471502590676E-3</v>
      </c>
      <c r="F18966">
        <v>5</v>
      </c>
      <c r="G18966">
        <f>LOG(382/(5+1))</f>
        <v>1.803912112528065</v>
      </c>
      <c r="H18966">
        <f>0.00518134715025906*4.15366113937852</f>
        <v>2.1521560307660694E-2</v>
      </c>
      <c r="I18966">
        <v>2.1521560307660729E-2</v>
      </c>
    </row>
    <row r="18967" spans="1:9" x14ac:dyDescent="0.25">
      <c r="A18967">
        <v>583</v>
      </c>
      <c r="B18967" t="s">
        <v>4590</v>
      </c>
      <c r="C18967" t="s">
        <v>138</v>
      </c>
      <c r="D18967" t="s">
        <v>852</v>
      </c>
      <c r="E18967">
        <f>10/193</f>
        <v>5.181347150259067E-2</v>
      </c>
      <c r="F18967">
        <v>10</v>
      </c>
      <c r="G18967">
        <f>LOG(382/(10+1))</f>
        <v>1.5406706777534838</v>
      </c>
      <c r="H18967">
        <f>0.0518134715025906*3.5475253358082</f>
        <v>0.18380960289161632</v>
      </c>
      <c r="I18967">
        <v>0.1838096028916168</v>
      </c>
    </row>
    <row r="18968" spans="1:9" x14ac:dyDescent="0.25">
      <c r="A18968">
        <v>583</v>
      </c>
      <c r="B18968" t="s">
        <v>4590</v>
      </c>
      <c r="C18968" t="s">
        <v>138</v>
      </c>
      <c r="D18968" t="s">
        <v>4219</v>
      </c>
      <c r="E18968">
        <f>1/193</f>
        <v>5.1813471502590676E-3</v>
      </c>
      <c r="F18968">
        <v>3</v>
      </c>
      <c r="G18968">
        <f>LOG(382/(3+1))</f>
        <v>1.9800033715837464</v>
      </c>
      <c r="H18968">
        <f>0.00518134715025906*4.55912624748668</f>
        <v>2.3622415790086389E-2</v>
      </c>
      <c r="I18968">
        <v>2.3622415790086448E-2</v>
      </c>
    </row>
    <row r="18969" spans="1:9" x14ac:dyDescent="0.25">
      <c r="A18969">
        <v>583</v>
      </c>
      <c r="B18969" t="s">
        <v>4590</v>
      </c>
      <c r="C18969" t="s">
        <v>138</v>
      </c>
      <c r="D18969" t="s">
        <v>4593</v>
      </c>
      <c r="E18969">
        <f>2/193</f>
        <v>1.0362694300518135E-2</v>
      </c>
      <c r="F18969">
        <v>1</v>
      </c>
      <c r="G18969">
        <f>LOG(382/(1+1))</f>
        <v>2.2810333672477277</v>
      </c>
      <c r="H18969">
        <f>0.0103626943005181*5.25227342804663</f>
        <v>5.4427703917581477E-2</v>
      </c>
      <c r="I18969">
        <v>5.4427703917581657E-2</v>
      </c>
    </row>
    <row r="18970" spans="1:9" x14ac:dyDescent="0.25">
      <c r="A18970">
        <v>583</v>
      </c>
      <c r="B18970" t="s">
        <v>4590</v>
      </c>
      <c r="C18970" t="s">
        <v>138</v>
      </c>
      <c r="D18970" t="s">
        <v>4594</v>
      </c>
      <c r="E18970">
        <f>7/193</f>
        <v>3.6269430051813469E-2</v>
      </c>
      <c r="F18970">
        <v>1</v>
      </c>
      <c r="G18970">
        <f>LOG(382/(1+1))</f>
        <v>2.2810333672477277</v>
      </c>
      <c r="H18970">
        <f>0.0362694300518134*5.25227342804663</f>
        <v>0.19049696371153541</v>
      </c>
      <c r="I18970">
        <v>0.19049696371153579</v>
      </c>
    </row>
    <row r="18971" spans="1:9" x14ac:dyDescent="0.25">
      <c r="A18971">
        <v>583</v>
      </c>
      <c r="B18971" t="s">
        <v>4590</v>
      </c>
      <c r="C18971" t="s">
        <v>138</v>
      </c>
      <c r="D18971" t="s">
        <v>4595</v>
      </c>
      <c r="E18971">
        <f>1/193</f>
        <v>5.1813471502590676E-3</v>
      </c>
      <c r="F18971">
        <v>1</v>
      </c>
      <c r="G18971">
        <f>LOG(382/(1+1))</f>
        <v>2.2810333672477277</v>
      </c>
      <c r="H18971">
        <f>0.00518134715025906*5.25227342804663</f>
        <v>2.7213851958790787E-2</v>
      </c>
      <c r="I18971">
        <v>2.7213851958790829E-2</v>
      </c>
    </row>
    <row r="18972" spans="1:9" x14ac:dyDescent="0.25">
      <c r="A18972">
        <v>583</v>
      </c>
      <c r="B18972" t="s">
        <v>4590</v>
      </c>
      <c r="C18972" t="s">
        <v>138</v>
      </c>
      <c r="D18972" t="s">
        <v>693</v>
      </c>
      <c r="E18972">
        <f>2/193</f>
        <v>1.0362694300518135E-2</v>
      </c>
      <c r="F18972">
        <v>25</v>
      </c>
      <c r="G18972">
        <f>LOG(382/(25+1))</f>
        <v>1.1670900149408907</v>
      </c>
      <c r="H18972">
        <f>0.0103626943005181*2.68732407058509</f>
        <v>2.7847917829897213E-2</v>
      </c>
      <c r="I18972">
        <v>2.7847917829897342E-2</v>
      </c>
    </row>
    <row r="18973" spans="1:9" x14ac:dyDescent="0.25">
      <c r="A18973">
        <v>583</v>
      </c>
      <c r="B18973" t="s">
        <v>4590</v>
      </c>
      <c r="C18973" t="s">
        <v>138</v>
      </c>
      <c r="D18973" t="s">
        <v>4596</v>
      </c>
      <c r="E18973">
        <f>1/193</f>
        <v>5.1813471502590676E-3</v>
      </c>
      <c r="F18973">
        <v>1</v>
      </c>
      <c r="G18973">
        <f>LOG(382/(1+1))</f>
        <v>2.2810333672477277</v>
      </c>
      <c r="H18973">
        <f>0.00518134715025906*5.25227342804663</f>
        <v>2.7213851958790787E-2</v>
      </c>
      <c r="I18973">
        <v>2.7213851958790829E-2</v>
      </c>
    </row>
    <row r="18974" spans="1:9" x14ac:dyDescent="0.25">
      <c r="A18974">
        <v>583</v>
      </c>
      <c r="B18974" t="s">
        <v>4590</v>
      </c>
      <c r="C18974" t="s">
        <v>138</v>
      </c>
      <c r="D18974" t="s">
        <v>1377</v>
      </c>
      <c r="E18974">
        <f>7/193</f>
        <v>3.6269430051813469E-2</v>
      </c>
      <c r="F18974">
        <v>5</v>
      </c>
      <c r="G18974">
        <f>LOG(382/(5+1))</f>
        <v>1.803912112528065</v>
      </c>
      <c r="H18974">
        <f>0.0362694300518134*4.15366113937852</f>
        <v>0.15065092215362477</v>
      </c>
      <c r="I18974">
        <v>0.15065092215362499</v>
      </c>
    </row>
    <row r="18975" spans="1:9" x14ac:dyDescent="0.25">
      <c r="A18975">
        <v>583</v>
      </c>
      <c r="B18975" t="s">
        <v>4590</v>
      </c>
      <c r="C18975" t="s">
        <v>138</v>
      </c>
      <c r="D18975" t="s">
        <v>1480</v>
      </c>
      <c r="E18975">
        <f>1/193</f>
        <v>5.1813471502590676E-3</v>
      </c>
      <c r="F18975">
        <v>11</v>
      </c>
      <c r="G18975">
        <f>LOG(382/(11+1))</f>
        <v>1.5028821168640838</v>
      </c>
      <c r="H18975">
        <f>0.00518134715025906*3.46051395881857</f>
        <v>1.7930124138956297E-2</v>
      </c>
      <c r="I18975">
        <v>1.7930124138956349E-2</v>
      </c>
    </row>
    <row r="18976" spans="1:9" x14ac:dyDescent="0.25">
      <c r="A18976">
        <v>583</v>
      </c>
      <c r="B18976" t="s">
        <v>4590</v>
      </c>
      <c r="C18976" t="s">
        <v>138</v>
      </c>
      <c r="D18976" t="s">
        <v>4597</v>
      </c>
      <c r="E18976">
        <f>1/193</f>
        <v>5.1813471502590676E-3</v>
      </c>
      <c r="F18976">
        <v>2</v>
      </c>
      <c r="G18976">
        <f>LOG(382/(2+1))</f>
        <v>2.1049421081920463</v>
      </c>
      <c r="H18976">
        <f>0.00518134715025906*4.84680831993846</f>
        <v>2.511299647636504E-2</v>
      </c>
      <c r="I18976">
        <v>2.5112996476365109E-2</v>
      </c>
    </row>
    <row r="18977" spans="1:9" x14ac:dyDescent="0.25">
      <c r="A18977">
        <v>583</v>
      </c>
      <c r="B18977" t="s">
        <v>4590</v>
      </c>
      <c r="C18977" t="s">
        <v>138</v>
      </c>
      <c r="D18977" t="s">
        <v>2538</v>
      </c>
      <c r="E18977">
        <f>7/193</f>
        <v>3.6269430051813469E-2</v>
      </c>
      <c r="F18977">
        <v>4</v>
      </c>
      <c r="G18977">
        <f>LOG(382/(4+1))</f>
        <v>1.8830933585756899</v>
      </c>
      <c r="H18977">
        <f>0.0362694300518134*4.33598269617247</f>
        <v>0.15726362110470068</v>
      </c>
      <c r="I18977">
        <v>0.15726362110470121</v>
      </c>
    </row>
    <row r="18978" spans="1:9" x14ac:dyDescent="0.25">
      <c r="A18978">
        <v>583</v>
      </c>
      <c r="B18978" t="s">
        <v>4590</v>
      </c>
      <c r="C18978" t="s">
        <v>138</v>
      </c>
      <c r="D18978" t="s">
        <v>4598</v>
      </c>
      <c r="E18978">
        <f>2/193</f>
        <v>1.0362694300518135E-2</v>
      </c>
      <c r="F18978">
        <v>1</v>
      </c>
      <c r="G18978">
        <f>LOG(382/(1+1))</f>
        <v>2.2810333672477277</v>
      </c>
      <c r="H18978">
        <f>0.0103626943005181*5.25227342804663</f>
        <v>5.4427703917581477E-2</v>
      </c>
      <c r="I18978">
        <v>5.4427703917581657E-2</v>
      </c>
    </row>
    <row r="18979" spans="1:9" x14ac:dyDescent="0.25">
      <c r="A18979">
        <v>583</v>
      </c>
      <c r="B18979" t="s">
        <v>4590</v>
      </c>
      <c r="C18979" t="s">
        <v>138</v>
      </c>
      <c r="D18979" t="s">
        <v>4217</v>
      </c>
      <c r="E18979">
        <f t="shared" ref="E18979:E18984" si="906">1/193</f>
        <v>5.1813471502590676E-3</v>
      </c>
      <c r="F18979">
        <v>3</v>
      </c>
      <c r="G18979">
        <f>LOG(382/(3+1))</f>
        <v>1.9800033715837464</v>
      </c>
      <c r="H18979">
        <f>0.00518134715025906*4.55912624748668</f>
        <v>2.3622415790086389E-2</v>
      </c>
      <c r="I18979">
        <v>2.3622415790086448E-2</v>
      </c>
    </row>
    <row r="18980" spans="1:9" x14ac:dyDescent="0.25">
      <c r="A18980">
        <v>583</v>
      </c>
      <c r="B18980" t="s">
        <v>4590</v>
      </c>
      <c r="C18980" t="s">
        <v>138</v>
      </c>
      <c r="D18980" t="s">
        <v>4599</v>
      </c>
      <c r="E18980">
        <f t="shared" si="906"/>
        <v>5.1813471502590676E-3</v>
      </c>
      <c r="F18980">
        <v>1</v>
      </c>
      <c r="G18980">
        <f>LOG(382/(1+1))</f>
        <v>2.2810333672477277</v>
      </c>
      <c r="H18980">
        <f>0.00518134715025906*5.25227342804663</f>
        <v>2.7213851958790787E-2</v>
      </c>
      <c r="I18980">
        <v>2.7213851958790829E-2</v>
      </c>
    </row>
    <row r="18981" spans="1:9" x14ac:dyDescent="0.25">
      <c r="A18981">
        <v>583</v>
      </c>
      <c r="B18981" t="s">
        <v>4590</v>
      </c>
      <c r="C18981" t="s">
        <v>138</v>
      </c>
      <c r="D18981" t="s">
        <v>4600</v>
      </c>
      <c r="E18981">
        <f t="shared" si="906"/>
        <v>5.1813471502590676E-3</v>
      </c>
      <c r="F18981">
        <v>1</v>
      </c>
      <c r="G18981">
        <f>LOG(382/(1+1))</f>
        <v>2.2810333672477277</v>
      </c>
      <c r="H18981">
        <f>0.00518134715025906*5.25227342804663</f>
        <v>2.7213851958790787E-2</v>
      </c>
      <c r="I18981">
        <v>2.7213851958790829E-2</v>
      </c>
    </row>
    <row r="18982" spans="1:9" x14ac:dyDescent="0.25">
      <c r="A18982">
        <v>583</v>
      </c>
      <c r="B18982" t="s">
        <v>4590</v>
      </c>
      <c r="C18982" t="s">
        <v>138</v>
      </c>
      <c r="D18982" t="s">
        <v>4601</v>
      </c>
      <c r="E18982">
        <f t="shared" si="906"/>
        <v>5.1813471502590676E-3</v>
      </c>
      <c r="F18982">
        <v>1</v>
      </c>
      <c r="G18982">
        <f>LOG(382/(1+1))</f>
        <v>2.2810333672477277</v>
      </c>
      <c r="H18982">
        <f>0.00518134715025906*5.25227342804663</f>
        <v>2.7213851958790787E-2</v>
      </c>
      <c r="I18982">
        <v>2.7213851958790829E-2</v>
      </c>
    </row>
    <row r="18983" spans="1:9" x14ac:dyDescent="0.25">
      <c r="A18983">
        <v>583</v>
      </c>
      <c r="B18983" t="s">
        <v>4590</v>
      </c>
      <c r="C18983" t="s">
        <v>138</v>
      </c>
      <c r="D18983" t="s">
        <v>1403</v>
      </c>
      <c r="E18983">
        <f t="shared" si="906"/>
        <v>5.1813471502590676E-3</v>
      </c>
      <c r="F18983">
        <v>10</v>
      </c>
      <c r="G18983">
        <f>LOG(382/(10+1))</f>
        <v>1.5406706777534838</v>
      </c>
      <c r="H18983">
        <f>0.00518134715025906*3.5475253358082</f>
        <v>1.838096028916163E-2</v>
      </c>
      <c r="I18983">
        <v>1.8380960289161679E-2</v>
      </c>
    </row>
    <row r="18984" spans="1:9" x14ac:dyDescent="0.25">
      <c r="A18984">
        <v>583</v>
      </c>
      <c r="B18984" t="s">
        <v>4590</v>
      </c>
      <c r="C18984" t="s">
        <v>138</v>
      </c>
      <c r="D18984" t="s">
        <v>4602</v>
      </c>
      <c r="E18984">
        <f t="shared" si="906"/>
        <v>5.1813471502590676E-3</v>
      </c>
      <c r="F18984">
        <v>1</v>
      </c>
      <c r="G18984">
        <f>LOG(382/(1+1))</f>
        <v>2.2810333672477277</v>
      </c>
      <c r="H18984">
        <f>0.00518134715025906*5.25227342804663</f>
        <v>2.7213851958790787E-2</v>
      </c>
      <c r="I18984">
        <v>2.7213851958790829E-2</v>
      </c>
    </row>
    <row r="18985" spans="1:9" x14ac:dyDescent="0.25">
      <c r="A18985">
        <v>583</v>
      </c>
      <c r="B18985" t="s">
        <v>4590</v>
      </c>
      <c r="C18985" t="s">
        <v>138</v>
      </c>
      <c r="D18985" t="s">
        <v>4603</v>
      </c>
      <c r="E18985">
        <f>3/193</f>
        <v>1.5544041450777202E-2</v>
      </c>
      <c r="F18985">
        <v>1</v>
      </c>
      <c r="G18985">
        <f>LOG(382/(1+1))</f>
        <v>2.2810333672477277</v>
      </c>
      <c r="H18985">
        <f>0.0155440414507772*5.25227342804663</f>
        <v>8.1641555876372479E-2</v>
      </c>
      <c r="I18985">
        <v>8.1641555876372479E-2</v>
      </c>
    </row>
    <row r="18986" spans="1:9" x14ac:dyDescent="0.25">
      <c r="A18986">
        <v>583</v>
      </c>
      <c r="B18986" t="s">
        <v>4590</v>
      </c>
      <c r="C18986" t="s">
        <v>138</v>
      </c>
      <c r="D18986" t="s">
        <v>4604</v>
      </c>
      <c r="E18986">
        <f>1/193</f>
        <v>5.1813471502590676E-3</v>
      </c>
      <c r="F18986">
        <v>1</v>
      </c>
      <c r="G18986">
        <f>LOG(382/(1+1))</f>
        <v>2.2810333672477277</v>
      </c>
      <c r="H18986">
        <f>0.00518134715025906*5.25227342804663</f>
        <v>2.7213851958790787E-2</v>
      </c>
      <c r="I18986">
        <v>2.7213851958790829E-2</v>
      </c>
    </row>
    <row r="18987" spans="1:9" x14ac:dyDescent="0.25">
      <c r="A18987">
        <v>583</v>
      </c>
      <c r="B18987" t="s">
        <v>4590</v>
      </c>
      <c r="C18987" t="s">
        <v>138</v>
      </c>
      <c r="D18987" t="s">
        <v>4605</v>
      </c>
      <c r="E18987">
        <f>1/193</f>
        <v>5.1813471502590676E-3</v>
      </c>
      <c r="F18987">
        <v>1</v>
      </c>
      <c r="G18987">
        <f>LOG(382/(1+1))</f>
        <v>2.2810333672477277</v>
      </c>
      <c r="H18987">
        <f>0.00518134715025906*5.25227342804663</f>
        <v>2.7213851958790787E-2</v>
      </c>
      <c r="I18987">
        <v>2.7213851958790829E-2</v>
      </c>
    </row>
    <row r="18988" spans="1:9" x14ac:dyDescent="0.25">
      <c r="A18988">
        <v>583</v>
      </c>
      <c r="B18988" t="s">
        <v>4590</v>
      </c>
      <c r="C18988" t="s">
        <v>138</v>
      </c>
      <c r="D18988" t="s">
        <v>4606</v>
      </c>
      <c r="E18988">
        <f>1/193</f>
        <v>5.1813471502590676E-3</v>
      </c>
      <c r="F18988">
        <v>1</v>
      </c>
      <c r="G18988">
        <f>LOG(382/(1+1))</f>
        <v>2.2810333672477277</v>
      </c>
      <c r="H18988">
        <f>0.00518134715025906*5.25227342804663</f>
        <v>2.7213851958790787E-2</v>
      </c>
      <c r="I18988">
        <v>2.7213851958790829E-2</v>
      </c>
    </row>
    <row r="18989" spans="1:9" x14ac:dyDescent="0.25">
      <c r="A18989">
        <v>583</v>
      </c>
      <c r="B18989" t="s">
        <v>4590</v>
      </c>
      <c r="C18989" t="s">
        <v>138</v>
      </c>
      <c r="D18989" t="s">
        <v>3330</v>
      </c>
      <c r="E18989">
        <f>5/193</f>
        <v>2.5906735751295335E-2</v>
      </c>
      <c r="F18989">
        <v>3</v>
      </c>
      <c r="G18989">
        <f>LOG(382/(3+1))</f>
        <v>1.9800033715837464</v>
      </c>
      <c r="H18989">
        <f>0.0259067357512953*4.55912624748668</f>
        <v>0.11811207895043196</v>
      </c>
      <c r="I18989">
        <v>0.1181120789504322</v>
      </c>
    </row>
    <row r="18990" spans="1:9" x14ac:dyDescent="0.25">
      <c r="A18990">
        <v>583</v>
      </c>
      <c r="B18990" t="s">
        <v>4590</v>
      </c>
      <c r="C18990" t="s">
        <v>138</v>
      </c>
      <c r="D18990" t="s">
        <v>4607</v>
      </c>
      <c r="E18990">
        <f>5/193</f>
        <v>2.5906735751295335E-2</v>
      </c>
      <c r="F18990">
        <v>1</v>
      </c>
      <c r="G18990">
        <f>LOG(382/(1+1))</f>
        <v>2.2810333672477277</v>
      </c>
      <c r="H18990">
        <f>0.0259067357512953*5.25227342804663</f>
        <v>0.13606925979395396</v>
      </c>
      <c r="I18990">
        <v>0.13606925979395409</v>
      </c>
    </row>
    <row r="18991" spans="1:9" x14ac:dyDescent="0.25">
      <c r="A18991">
        <v>583</v>
      </c>
      <c r="B18991" t="s">
        <v>4590</v>
      </c>
      <c r="C18991" t="s">
        <v>138</v>
      </c>
      <c r="D18991" t="s">
        <v>4608</v>
      </c>
      <c r="E18991">
        <f t="shared" ref="E18991:E18998" si="907">1/193</f>
        <v>5.1813471502590676E-3</v>
      </c>
      <c r="F18991">
        <v>1</v>
      </c>
      <c r="G18991">
        <f>LOG(382/(1+1))</f>
        <v>2.2810333672477277</v>
      </c>
      <c r="H18991">
        <f>0.00518134715025906*5.25227342804663</f>
        <v>2.7213851958790787E-2</v>
      </c>
      <c r="I18991">
        <v>2.7213851958790829E-2</v>
      </c>
    </row>
    <row r="18992" spans="1:9" x14ac:dyDescent="0.25">
      <c r="A18992">
        <v>583</v>
      </c>
      <c r="B18992" t="s">
        <v>4590</v>
      </c>
      <c r="C18992" t="s">
        <v>138</v>
      </c>
      <c r="D18992" t="s">
        <v>4609</v>
      </c>
      <c r="E18992">
        <f t="shared" si="907"/>
        <v>5.1813471502590676E-3</v>
      </c>
      <c r="F18992">
        <v>1</v>
      </c>
      <c r="G18992">
        <f>LOG(382/(1+1))</f>
        <v>2.2810333672477277</v>
      </c>
      <c r="H18992">
        <f>0.00518134715025906*5.25227342804663</f>
        <v>2.7213851958790787E-2</v>
      </c>
      <c r="I18992">
        <v>2.7213851958790829E-2</v>
      </c>
    </row>
    <row r="18993" spans="1:9" x14ac:dyDescent="0.25">
      <c r="A18993">
        <v>583</v>
      </c>
      <c r="B18993" t="s">
        <v>4590</v>
      </c>
      <c r="C18993" t="s">
        <v>138</v>
      </c>
      <c r="D18993" t="s">
        <v>4610</v>
      </c>
      <c r="E18993">
        <f t="shared" si="907"/>
        <v>5.1813471502590676E-3</v>
      </c>
      <c r="F18993">
        <v>1</v>
      </c>
      <c r="G18993">
        <f>LOG(382/(1+1))</f>
        <v>2.2810333672477277</v>
      </c>
      <c r="H18993">
        <f>0.00518134715025906*5.25227342804663</f>
        <v>2.7213851958790787E-2</v>
      </c>
      <c r="I18993">
        <v>2.7213851958790829E-2</v>
      </c>
    </row>
    <row r="18994" spans="1:9" x14ac:dyDescent="0.25">
      <c r="A18994">
        <v>583</v>
      </c>
      <c r="B18994" t="s">
        <v>4590</v>
      </c>
      <c r="C18994" t="s">
        <v>138</v>
      </c>
      <c r="D18994" t="s">
        <v>981</v>
      </c>
      <c r="E18994">
        <f t="shared" si="907"/>
        <v>5.1813471502590676E-3</v>
      </c>
      <c r="F18994">
        <v>4</v>
      </c>
      <c r="G18994">
        <f>LOG(382/(4+1))</f>
        <v>1.8830933585756899</v>
      </c>
      <c r="H18994">
        <f>0.00518134715025906*4.33598269617247</f>
        <v>2.2466231586385825E-2</v>
      </c>
      <c r="I18994">
        <v>2.2466231586385881E-2</v>
      </c>
    </row>
    <row r="18995" spans="1:9" x14ac:dyDescent="0.25">
      <c r="A18995">
        <v>583</v>
      </c>
      <c r="B18995" t="s">
        <v>4590</v>
      </c>
      <c r="C18995" t="s">
        <v>138</v>
      </c>
      <c r="D18995" t="s">
        <v>4611</v>
      </c>
      <c r="E18995">
        <f t="shared" si="907"/>
        <v>5.1813471502590676E-3</v>
      </c>
      <c r="F18995">
        <v>1</v>
      </c>
      <c r="G18995">
        <f>LOG(382/(1+1))</f>
        <v>2.2810333672477277</v>
      </c>
      <c r="H18995">
        <f>0.00518134715025906*5.25227342804663</f>
        <v>2.7213851958790787E-2</v>
      </c>
      <c r="I18995">
        <v>2.7213851958790829E-2</v>
      </c>
    </row>
    <row r="18996" spans="1:9" x14ac:dyDescent="0.25">
      <c r="A18996">
        <v>583</v>
      </c>
      <c r="B18996" t="s">
        <v>4590</v>
      </c>
      <c r="C18996" t="s">
        <v>138</v>
      </c>
      <c r="D18996" t="s">
        <v>4612</v>
      </c>
      <c r="E18996">
        <f t="shared" si="907"/>
        <v>5.1813471502590676E-3</v>
      </c>
      <c r="F18996">
        <v>1</v>
      </c>
      <c r="G18996">
        <f>LOG(382/(1+1))</f>
        <v>2.2810333672477277</v>
      </c>
      <c r="H18996">
        <f>0.00518134715025906*5.25227342804663</f>
        <v>2.7213851958790787E-2</v>
      </c>
      <c r="I18996">
        <v>2.7213851958790829E-2</v>
      </c>
    </row>
    <row r="18997" spans="1:9" x14ac:dyDescent="0.25">
      <c r="A18997">
        <v>583</v>
      </c>
      <c r="B18997" t="s">
        <v>4590</v>
      </c>
      <c r="C18997" t="s">
        <v>138</v>
      </c>
      <c r="D18997" t="s">
        <v>4613</v>
      </c>
      <c r="E18997">
        <f t="shared" si="907"/>
        <v>5.1813471502590676E-3</v>
      </c>
      <c r="F18997">
        <v>1</v>
      </c>
      <c r="G18997">
        <f>LOG(382/(1+1))</f>
        <v>2.2810333672477277</v>
      </c>
      <c r="H18997">
        <f>0.00518134715025906*5.25227342804663</f>
        <v>2.7213851958790787E-2</v>
      </c>
      <c r="I18997">
        <v>2.7213851958790829E-2</v>
      </c>
    </row>
    <row r="18998" spans="1:9" x14ac:dyDescent="0.25">
      <c r="A18998">
        <v>583</v>
      </c>
      <c r="B18998" t="s">
        <v>4590</v>
      </c>
      <c r="C18998" t="s">
        <v>138</v>
      </c>
      <c r="D18998" t="s">
        <v>4234</v>
      </c>
      <c r="E18998">
        <f t="shared" si="907"/>
        <v>5.1813471502590676E-3</v>
      </c>
      <c r="F18998">
        <v>2</v>
      </c>
      <c r="G18998">
        <f>LOG(382/(2+1))</f>
        <v>2.1049421081920463</v>
      </c>
      <c r="H18998">
        <f>0.00518134715025906*4.84680831993846</f>
        <v>2.511299647636504E-2</v>
      </c>
      <c r="I18998">
        <v>2.5112996476365109E-2</v>
      </c>
    </row>
    <row r="18999" spans="1:9" x14ac:dyDescent="0.25">
      <c r="A18999">
        <v>583</v>
      </c>
      <c r="B18999" t="s">
        <v>4590</v>
      </c>
      <c r="C18999" t="s">
        <v>138</v>
      </c>
      <c r="D18999" t="s">
        <v>4218</v>
      </c>
      <c r="E18999">
        <f>2/193</f>
        <v>1.0362694300518135E-2</v>
      </c>
      <c r="F18999">
        <v>4</v>
      </c>
      <c r="G18999">
        <f>LOG(382/(4+1))</f>
        <v>1.8830933585756899</v>
      </c>
      <c r="H18999">
        <f>0.0103626943005181*4.33598269617247</f>
        <v>4.4932463172771567E-2</v>
      </c>
      <c r="I18999">
        <v>4.4932463172771761E-2</v>
      </c>
    </row>
    <row r="19000" spans="1:9" x14ac:dyDescent="0.25">
      <c r="A19000">
        <v>583</v>
      </c>
      <c r="B19000" t="s">
        <v>4590</v>
      </c>
      <c r="C19000" t="s">
        <v>138</v>
      </c>
      <c r="D19000" t="s">
        <v>4614</v>
      </c>
      <c r="E19000">
        <f>1/193</f>
        <v>5.1813471502590676E-3</v>
      </c>
      <c r="F19000">
        <v>1</v>
      </c>
      <c r="G19000">
        <f>LOG(382/(1+1))</f>
        <v>2.2810333672477277</v>
      </c>
      <c r="H19000">
        <f>0.00518134715025906*5.25227342804663</f>
        <v>2.7213851958790787E-2</v>
      </c>
      <c r="I19000">
        <v>2.7213851958790829E-2</v>
      </c>
    </row>
    <row r="19001" spans="1:9" x14ac:dyDescent="0.25">
      <c r="A19001">
        <v>583</v>
      </c>
      <c r="B19001" t="s">
        <v>4590</v>
      </c>
      <c r="C19001" t="s">
        <v>138</v>
      </c>
      <c r="D19001" t="s">
        <v>4417</v>
      </c>
      <c r="E19001">
        <f>2/193</f>
        <v>1.0362694300518135E-2</v>
      </c>
      <c r="F19001">
        <v>3</v>
      </c>
      <c r="G19001">
        <f>LOG(382/(3+1))</f>
        <v>1.9800033715837464</v>
      </c>
      <c r="H19001">
        <f>0.0103626943005181*4.55912624748668</f>
        <v>4.7244831580172696E-2</v>
      </c>
      <c r="I19001">
        <v>4.7244831580172897E-2</v>
      </c>
    </row>
    <row r="19002" spans="1:9" x14ac:dyDescent="0.25">
      <c r="A19002">
        <v>583</v>
      </c>
      <c r="B19002" t="s">
        <v>4590</v>
      </c>
      <c r="C19002" t="s">
        <v>138</v>
      </c>
      <c r="D19002" t="s">
        <v>324</v>
      </c>
      <c r="E19002">
        <f>1/193</f>
        <v>5.1813471502590676E-3</v>
      </c>
      <c r="F19002">
        <v>82</v>
      </c>
      <c r="G19002">
        <f>LOG(382/(82+1))</f>
        <v>0.66298527053563483</v>
      </c>
      <c r="H19002">
        <f>0.00518134715025906*1.52658000080997</f>
        <v>7.9097409368392105E-3</v>
      </c>
      <c r="I19002">
        <v>7.9097409368392609E-3</v>
      </c>
    </row>
    <row r="19003" spans="1:9" x14ac:dyDescent="0.25">
      <c r="A19003">
        <v>583</v>
      </c>
      <c r="B19003" t="s">
        <v>4590</v>
      </c>
      <c r="C19003" t="s">
        <v>138</v>
      </c>
      <c r="D19003" t="s">
        <v>1453</v>
      </c>
      <c r="E19003">
        <f>1/193</f>
        <v>5.1813471502590676E-3</v>
      </c>
      <c r="F19003">
        <v>23</v>
      </c>
      <c r="G19003">
        <f>LOG(382/(23+1))</f>
        <v>1.2018521212001028</v>
      </c>
      <c r="H19003">
        <f>0.00518134715025906*2.76736677825862</f>
        <v>1.4338687970251897E-2</v>
      </c>
      <c r="I19003">
        <v>1.433868797025197E-2</v>
      </c>
    </row>
    <row r="19004" spans="1:9" x14ac:dyDescent="0.25">
      <c r="A19004">
        <v>583</v>
      </c>
      <c r="B19004" t="s">
        <v>4590</v>
      </c>
      <c r="C19004" t="s">
        <v>138</v>
      </c>
      <c r="D19004" t="s">
        <v>3033</v>
      </c>
      <c r="E19004">
        <f>2/193</f>
        <v>1.0362694300518135E-2</v>
      </c>
      <c r="F19004">
        <v>2</v>
      </c>
      <c r="G19004">
        <f>LOG(382/(2+1))</f>
        <v>2.1049421081920463</v>
      </c>
      <c r="H19004">
        <f>0.0103626943005181*4.84680831993846</f>
        <v>5.0225992952729989E-2</v>
      </c>
      <c r="I19004">
        <v>5.0225992952730211E-2</v>
      </c>
    </row>
    <row r="19005" spans="1:9" x14ac:dyDescent="0.25">
      <c r="A19005">
        <v>583</v>
      </c>
      <c r="B19005" t="s">
        <v>4590</v>
      </c>
      <c r="C19005" t="s">
        <v>138</v>
      </c>
      <c r="D19005" t="s">
        <v>4313</v>
      </c>
      <c r="E19005">
        <f t="shared" ref="E19005:E19028" si="908">1/193</f>
        <v>5.1813471502590676E-3</v>
      </c>
      <c r="F19005">
        <v>2</v>
      </c>
      <c r="G19005">
        <f>LOG(382/(2+1))</f>
        <v>2.1049421081920463</v>
      </c>
      <c r="H19005">
        <f>0.00518134715025906*4.84680831993846</f>
        <v>2.511299647636504E-2</v>
      </c>
      <c r="I19005">
        <v>2.5112996476365109E-2</v>
      </c>
    </row>
    <row r="19006" spans="1:9" x14ac:dyDescent="0.25">
      <c r="A19006">
        <v>583</v>
      </c>
      <c r="B19006" t="s">
        <v>4590</v>
      </c>
      <c r="C19006" t="s">
        <v>138</v>
      </c>
      <c r="D19006" t="s">
        <v>4235</v>
      </c>
      <c r="E19006">
        <f t="shared" si="908"/>
        <v>5.1813471502590676E-3</v>
      </c>
      <c r="F19006">
        <v>2</v>
      </c>
      <c r="G19006">
        <f>LOG(382/(2+1))</f>
        <v>2.1049421081920463</v>
      </c>
      <c r="H19006">
        <f>0.00518134715025906*4.84680831993846</f>
        <v>2.511299647636504E-2</v>
      </c>
      <c r="I19006">
        <v>2.5112996476365109E-2</v>
      </c>
    </row>
    <row r="19007" spans="1:9" x14ac:dyDescent="0.25">
      <c r="A19007">
        <v>583</v>
      </c>
      <c r="B19007" t="s">
        <v>4590</v>
      </c>
      <c r="C19007" t="s">
        <v>138</v>
      </c>
      <c r="D19007" t="s">
        <v>4615</v>
      </c>
      <c r="E19007">
        <f t="shared" si="908"/>
        <v>5.1813471502590676E-3</v>
      </c>
      <c r="F19007">
        <v>1</v>
      </c>
      <c r="G19007">
        <f>LOG(382/(1+1))</f>
        <v>2.2810333672477277</v>
      </c>
      <c r="H19007">
        <f>0.00518134715025906*5.25227342804663</f>
        <v>2.7213851958790787E-2</v>
      </c>
      <c r="I19007">
        <v>2.7213851958790829E-2</v>
      </c>
    </row>
    <row r="19008" spans="1:9" x14ac:dyDescent="0.25">
      <c r="A19008">
        <v>583</v>
      </c>
      <c r="B19008" t="s">
        <v>4590</v>
      </c>
      <c r="C19008" t="s">
        <v>138</v>
      </c>
      <c r="D19008" t="s">
        <v>243</v>
      </c>
      <c r="E19008">
        <f t="shared" si="908"/>
        <v>5.1813471502590676E-3</v>
      </c>
      <c r="F19008">
        <v>131</v>
      </c>
      <c r="G19008">
        <f>LOG(382/(131+1))</f>
        <v>0.46148943170585888</v>
      </c>
      <c r="H19008">
        <f>0.00518134715025906*1.0626186860202</f>
        <v>5.50579630062279E-3</v>
      </c>
      <c r="I19008">
        <v>5.5057963006228203E-3</v>
      </c>
    </row>
    <row r="19009" spans="1:9" x14ac:dyDescent="0.25">
      <c r="A19009">
        <v>583</v>
      </c>
      <c r="B19009" t="s">
        <v>4590</v>
      </c>
      <c r="C19009" t="s">
        <v>138</v>
      </c>
      <c r="D19009" t="s">
        <v>770</v>
      </c>
      <c r="E19009">
        <f t="shared" si="908"/>
        <v>5.1813471502590676E-3</v>
      </c>
      <c r="F19009">
        <v>47</v>
      </c>
      <c r="G19009">
        <f>LOG(382/(47+1))</f>
        <v>0.90082212553612151</v>
      </c>
      <c r="H19009">
        <f>0.00518134715025906*2.07421959769868</f>
        <v>1.074725180154755E-2</v>
      </c>
      <c r="I19009">
        <v>1.074725180154759E-2</v>
      </c>
    </row>
    <row r="19010" spans="1:9" x14ac:dyDescent="0.25">
      <c r="A19010">
        <v>583</v>
      </c>
      <c r="B19010" t="s">
        <v>4590</v>
      </c>
      <c r="C19010" t="s">
        <v>138</v>
      </c>
      <c r="D19010" t="s">
        <v>237</v>
      </c>
      <c r="E19010">
        <f t="shared" si="908"/>
        <v>5.1813471502590676E-3</v>
      </c>
      <c r="F19010">
        <v>138</v>
      </c>
      <c r="G19010">
        <f>LOG(382/(138+1))</f>
        <v>0.43904856265761361</v>
      </c>
      <c r="H19010">
        <f>0.00518134715025906*1.01094667547588</f>
        <v>5.2380656760408215E-3</v>
      </c>
      <c r="I19010">
        <v>5.2380656760408466E-3</v>
      </c>
    </row>
    <row r="19011" spans="1:9" x14ac:dyDescent="0.25">
      <c r="A19011">
        <v>583</v>
      </c>
      <c r="B19011" t="s">
        <v>4590</v>
      </c>
      <c r="C19011" t="s">
        <v>138</v>
      </c>
      <c r="D19011" t="s">
        <v>458</v>
      </c>
      <c r="E19011">
        <f t="shared" si="908"/>
        <v>5.1813471502590676E-3</v>
      </c>
      <c r="F19011">
        <v>34</v>
      </c>
      <c r="G19011">
        <f>LOG(382/(34+1))</f>
        <v>1.037995318561433</v>
      </c>
      <c r="H19011">
        <f>0.00518134715025906*2.39007254711716</f>
        <v>1.2383795580917909E-2</v>
      </c>
      <c r="I19011">
        <v>1.238379558091793E-2</v>
      </c>
    </row>
    <row r="19012" spans="1:9" x14ac:dyDescent="0.25">
      <c r="A19012">
        <v>583</v>
      </c>
      <c r="B19012" t="s">
        <v>4590</v>
      </c>
      <c r="C19012" t="s">
        <v>138</v>
      </c>
      <c r="D19012" t="s">
        <v>263</v>
      </c>
      <c r="E19012">
        <f t="shared" si="908"/>
        <v>5.1813471502590676E-3</v>
      </c>
      <c r="F19012">
        <v>41</v>
      </c>
      <c r="G19012">
        <f>LOG(382/(41+1))</f>
        <v>0.95881407251380824</v>
      </c>
      <c r="H19012">
        <f>0.00518134715025906*2.2077509903232</f>
        <v>1.1439124302192731E-2</v>
      </c>
      <c r="I19012">
        <v>1.143912430219278E-2</v>
      </c>
    </row>
    <row r="19013" spans="1:9" x14ac:dyDescent="0.25">
      <c r="A19013">
        <v>583</v>
      </c>
      <c r="B19013" t="s">
        <v>4590</v>
      </c>
      <c r="C19013" t="s">
        <v>138</v>
      </c>
      <c r="D19013" t="s">
        <v>1537</v>
      </c>
      <c r="E19013">
        <f t="shared" si="908"/>
        <v>5.1813471502590676E-3</v>
      </c>
      <c r="F19013">
        <v>80</v>
      </c>
      <c r="G19013">
        <f>LOG(382/(80+1))</f>
        <v>0.67357834403305894</v>
      </c>
      <c r="H19013">
        <f>0.00518134715025906*1.55097145393413</f>
        <v>8.036121522974754E-3</v>
      </c>
      <c r="I19013">
        <v>8.0361215229748009E-3</v>
      </c>
    </row>
    <row r="19014" spans="1:9" x14ac:dyDescent="0.25">
      <c r="A19014">
        <v>583</v>
      </c>
      <c r="B19014" t="s">
        <v>4590</v>
      </c>
      <c r="C19014" t="s">
        <v>138</v>
      </c>
      <c r="D19014" t="s">
        <v>2238</v>
      </c>
      <c r="E19014">
        <f t="shared" si="908"/>
        <v>5.1813471502590676E-3</v>
      </c>
      <c r="F19014">
        <v>68</v>
      </c>
      <c r="G19014">
        <f>LOG(382/(68+1))</f>
        <v>0.74321427217445335</v>
      </c>
      <c r="H19014">
        <f>0.00518134715025906*1.71131410400931</f>
        <v>8.8669124560067751E-3</v>
      </c>
      <c r="I19014">
        <v>8.8669124560068185E-3</v>
      </c>
    </row>
    <row r="19015" spans="1:9" x14ac:dyDescent="0.25">
      <c r="A19015">
        <v>583</v>
      </c>
      <c r="B19015" t="s">
        <v>4590</v>
      </c>
      <c r="C19015" t="s">
        <v>138</v>
      </c>
      <c r="D19015" t="s">
        <v>1250</v>
      </c>
      <c r="E19015">
        <f t="shared" si="908"/>
        <v>5.1813471502590676E-3</v>
      </c>
      <c r="F19015">
        <v>5</v>
      </c>
      <c r="G19015">
        <f>LOG(382/(5+1))</f>
        <v>1.803912112528065</v>
      </c>
      <c r="H19015">
        <f>0.00518134715025906*4.15366113937852</f>
        <v>2.1521560307660694E-2</v>
      </c>
      <c r="I19015">
        <v>2.1521560307660729E-2</v>
      </c>
    </row>
    <row r="19016" spans="1:9" x14ac:dyDescent="0.25">
      <c r="A19016">
        <v>583</v>
      </c>
      <c r="B19016" t="s">
        <v>4590</v>
      </c>
      <c r="C19016" t="s">
        <v>138</v>
      </c>
      <c r="D19016" t="s">
        <v>4616</v>
      </c>
      <c r="E19016">
        <f t="shared" si="908"/>
        <v>5.1813471502590676E-3</v>
      </c>
      <c r="F19016">
        <v>1</v>
      </c>
      <c r="G19016">
        <f>LOG(382/(1+1))</f>
        <v>2.2810333672477277</v>
      </c>
      <c r="H19016">
        <f>0.00518134715025906*5.25227342804663</f>
        <v>2.7213851958790787E-2</v>
      </c>
      <c r="I19016">
        <v>2.7213851958790829E-2</v>
      </c>
    </row>
    <row r="19017" spans="1:9" x14ac:dyDescent="0.25">
      <c r="A19017">
        <v>583</v>
      </c>
      <c r="B19017" t="s">
        <v>4590</v>
      </c>
      <c r="C19017" t="s">
        <v>138</v>
      </c>
      <c r="D19017" t="s">
        <v>4617</v>
      </c>
      <c r="E19017">
        <f t="shared" si="908"/>
        <v>5.1813471502590676E-3</v>
      </c>
      <c r="F19017">
        <v>1</v>
      </c>
      <c r="G19017">
        <f>LOG(382/(1+1))</f>
        <v>2.2810333672477277</v>
      </c>
      <c r="H19017">
        <f>0.00518134715025906*5.25227342804663</f>
        <v>2.7213851958790787E-2</v>
      </c>
      <c r="I19017">
        <v>2.7213851958790829E-2</v>
      </c>
    </row>
    <row r="19018" spans="1:9" x14ac:dyDescent="0.25">
      <c r="A19018">
        <v>583</v>
      </c>
      <c r="B19018" t="s">
        <v>4590</v>
      </c>
      <c r="C19018" t="s">
        <v>138</v>
      </c>
      <c r="D19018" t="s">
        <v>279</v>
      </c>
      <c r="E19018">
        <f t="shared" si="908"/>
        <v>5.1813471502590676E-3</v>
      </c>
      <c r="F19018">
        <v>22</v>
      </c>
      <c r="G19018">
        <f>LOG(382/(22+1))</f>
        <v>1.2203355268941158</v>
      </c>
      <c r="H19018">
        <f>0.00518134715025906*2.80992639267742</f>
        <v>1.455920410713687E-2</v>
      </c>
      <c r="I19018">
        <v>1.455920410713692E-2</v>
      </c>
    </row>
    <row r="19019" spans="1:9" x14ac:dyDescent="0.25">
      <c r="A19019">
        <v>583</v>
      </c>
      <c r="B19019" t="s">
        <v>4590</v>
      </c>
      <c r="C19019" t="s">
        <v>138</v>
      </c>
      <c r="D19019" t="s">
        <v>196</v>
      </c>
      <c r="E19019">
        <f t="shared" si="908"/>
        <v>5.1813471502590676E-3</v>
      </c>
      <c r="F19019">
        <v>33</v>
      </c>
      <c r="G19019">
        <f>LOG(382/(33+1))</f>
        <v>1.0505844458694535</v>
      </c>
      <c r="H19019">
        <f>0.00518134715025906*2.41906008399041</f>
        <v>1.2533990072489154E-2</v>
      </c>
      <c r="I19019">
        <v>1.253399007248919E-2</v>
      </c>
    </row>
    <row r="19020" spans="1:9" x14ac:dyDescent="0.25">
      <c r="A19020">
        <v>583</v>
      </c>
      <c r="B19020" t="s">
        <v>4590</v>
      </c>
      <c r="C19020" t="s">
        <v>138</v>
      </c>
      <c r="D19020" t="s">
        <v>4618</v>
      </c>
      <c r="E19020">
        <f t="shared" si="908"/>
        <v>5.1813471502590676E-3</v>
      </c>
      <c r="F19020">
        <v>1</v>
      </c>
      <c r="G19020">
        <f>LOG(382/(1+1))</f>
        <v>2.2810333672477277</v>
      </c>
      <c r="H19020">
        <f>0.00518134715025906*5.25227342804663</f>
        <v>2.7213851958790787E-2</v>
      </c>
      <c r="I19020">
        <v>2.7213851958790829E-2</v>
      </c>
    </row>
    <row r="19021" spans="1:9" x14ac:dyDescent="0.25">
      <c r="A19021">
        <v>583</v>
      </c>
      <c r="B19021" t="s">
        <v>4590</v>
      </c>
      <c r="C19021" t="s">
        <v>138</v>
      </c>
      <c r="D19021" t="s">
        <v>767</v>
      </c>
      <c r="E19021">
        <f t="shared" si="908"/>
        <v>5.1813471502590676E-3</v>
      </c>
      <c r="F19021">
        <v>47</v>
      </c>
      <c r="G19021">
        <f>LOG(382/(47+1))</f>
        <v>0.90082212553612151</v>
      </c>
      <c r="H19021">
        <f>0.00518134715025906*2.07421959769868</f>
        <v>1.074725180154755E-2</v>
      </c>
      <c r="I19021">
        <v>1.074725180154759E-2</v>
      </c>
    </row>
    <row r="19022" spans="1:9" x14ac:dyDescent="0.25">
      <c r="A19022">
        <v>583</v>
      </c>
      <c r="B19022" t="s">
        <v>4590</v>
      </c>
      <c r="C19022" t="s">
        <v>138</v>
      </c>
      <c r="D19022" t="s">
        <v>4282</v>
      </c>
      <c r="E19022">
        <f t="shared" si="908"/>
        <v>5.1813471502590676E-3</v>
      </c>
      <c r="F19022">
        <v>2</v>
      </c>
      <c r="G19022">
        <f>LOG(382/(2+1))</f>
        <v>2.1049421081920463</v>
      </c>
      <c r="H19022">
        <f>0.00518134715025906*4.84680831993846</f>
        <v>2.511299647636504E-2</v>
      </c>
      <c r="I19022">
        <v>2.5112996476365109E-2</v>
      </c>
    </row>
    <row r="19023" spans="1:9" x14ac:dyDescent="0.25">
      <c r="A19023">
        <v>583</v>
      </c>
      <c r="B19023" t="s">
        <v>4590</v>
      </c>
      <c r="C19023" t="s">
        <v>138</v>
      </c>
      <c r="D19023" t="s">
        <v>1222</v>
      </c>
      <c r="E19023">
        <f t="shared" si="908"/>
        <v>5.1813471502590676E-3</v>
      </c>
      <c r="F19023">
        <v>56</v>
      </c>
      <c r="G19023">
        <f>LOG(382/(56+1))</f>
        <v>0.82618850723921733</v>
      </c>
      <c r="H19023">
        <f>0.00518134715025906*1.90236934077202</f>
        <v>9.8568359625493106E-3</v>
      </c>
      <c r="I19023">
        <v>9.8568359625493523E-3</v>
      </c>
    </row>
    <row r="19024" spans="1:9" x14ac:dyDescent="0.25">
      <c r="A19024">
        <v>583</v>
      </c>
      <c r="B19024" t="s">
        <v>4590</v>
      </c>
      <c r="C19024" t="s">
        <v>138</v>
      </c>
      <c r="D19024" t="s">
        <v>204</v>
      </c>
      <c r="E19024">
        <f t="shared" si="908"/>
        <v>5.1813471502590676E-3</v>
      </c>
      <c r="F19024">
        <v>166</v>
      </c>
      <c r="G19024">
        <f>LOG(382/(166+1))</f>
        <v>0.35934689176412549</v>
      </c>
      <c r="H19024">
        <f>0.00518134715025906*0.82742679618982</f>
        <v>4.2871854724861073E-3</v>
      </c>
      <c r="I19024">
        <v>4.2871854724861143E-3</v>
      </c>
    </row>
    <row r="19025" spans="1:9" x14ac:dyDescent="0.25">
      <c r="A19025">
        <v>583</v>
      </c>
      <c r="B19025" t="s">
        <v>4590</v>
      </c>
      <c r="C19025" t="s">
        <v>138</v>
      </c>
      <c r="D19025" t="s">
        <v>123</v>
      </c>
      <c r="E19025">
        <f t="shared" si="908"/>
        <v>5.1813471502590676E-3</v>
      </c>
      <c r="F19025">
        <v>74</v>
      </c>
      <c r="G19025">
        <f>LOG(382/(74+1))</f>
        <v>0.7070020995200087</v>
      </c>
      <c r="H19025">
        <f>0.00518134715025906*1.62793249507026</f>
        <v>8.4348833941464123E-3</v>
      </c>
      <c r="I19025">
        <v>8.4348833941464488E-3</v>
      </c>
    </row>
    <row r="19026" spans="1:9" x14ac:dyDescent="0.25">
      <c r="A19026">
        <v>583</v>
      </c>
      <c r="B19026" t="s">
        <v>4590</v>
      </c>
      <c r="C19026" t="s">
        <v>138</v>
      </c>
      <c r="D19026" t="s">
        <v>132</v>
      </c>
      <c r="E19026">
        <f t="shared" si="908"/>
        <v>5.1813471502590676E-3</v>
      </c>
      <c r="F19026">
        <v>8</v>
      </c>
      <c r="G19026">
        <f>LOG(382/(8+1))</f>
        <v>1.6278208534723839</v>
      </c>
      <c r="H19026">
        <f>0.00518134715025906*3.74819603127035</f>
        <v>1.9420704825234947E-2</v>
      </c>
      <c r="I19026">
        <v>1.9420704825235009E-2</v>
      </c>
    </row>
    <row r="19027" spans="1:9" x14ac:dyDescent="0.25">
      <c r="A19027">
        <v>583</v>
      </c>
      <c r="B19027" t="s">
        <v>4590</v>
      </c>
      <c r="C19027" t="s">
        <v>138</v>
      </c>
      <c r="D19027" t="s">
        <v>1974</v>
      </c>
      <c r="E19027">
        <f t="shared" si="908"/>
        <v>5.1813471502590676E-3</v>
      </c>
      <c r="F19027">
        <v>9</v>
      </c>
      <c r="G19027">
        <f>LOG(382/(9+1))</f>
        <v>1.5820633629117087</v>
      </c>
      <c r="H19027">
        <f>0.00518134715025906*3.64283551561252</f>
        <v>1.8874795417681424E-2</v>
      </c>
      <c r="I19027">
        <v>1.88747954176815E-2</v>
      </c>
    </row>
    <row r="19028" spans="1:9" x14ac:dyDescent="0.25">
      <c r="A19028">
        <v>583</v>
      </c>
      <c r="B19028" t="s">
        <v>4590</v>
      </c>
      <c r="C19028" t="s">
        <v>138</v>
      </c>
      <c r="D19028" t="s">
        <v>4619</v>
      </c>
      <c r="E19028">
        <f t="shared" si="908"/>
        <v>5.1813471502590676E-3</v>
      </c>
      <c r="F19028">
        <v>1</v>
      </c>
      <c r="G19028">
        <f>LOG(382/(1+1))</f>
        <v>2.2810333672477277</v>
      </c>
      <c r="H19028">
        <f>0.00518134715025906*5.25227342804663</f>
        <v>2.7213851958790787E-2</v>
      </c>
      <c r="I19028">
        <v>2.7213851958790829E-2</v>
      </c>
    </row>
    <row r="19029" spans="1:9" x14ac:dyDescent="0.25">
      <c r="A19029">
        <v>584</v>
      </c>
      <c r="B19029" t="s">
        <v>4620</v>
      </c>
      <c r="C19029" t="s">
        <v>48</v>
      </c>
      <c r="D19029" t="s">
        <v>15</v>
      </c>
      <c r="E19029">
        <f>10/216</f>
        <v>4.6296296296296294E-2</v>
      </c>
      <c r="F19029">
        <v>112</v>
      </c>
      <c r="G19029">
        <f>LOG(382/(112+1))</f>
        <v>0.52898491942828896</v>
      </c>
      <c r="H19029">
        <f>0.0462962962962962*1.21803278989423</f>
        <v>5.6390406939547562E-2</v>
      </c>
      <c r="I19029">
        <v>5.6390406939547902E-2</v>
      </c>
    </row>
    <row r="19030" spans="1:9" x14ac:dyDescent="0.25">
      <c r="A19030">
        <v>584</v>
      </c>
      <c r="B19030" t="s">
        <v>4620</v>
      </c>
      <c r="C19030" t="s">
        <v>48</v>
      </c>
      <c r="D19030" t="s">
        <v>53</v>
      </c>
      <c r="E19030">
        <f>3/216</f>
        <v>1.3888888888888888E-2</v>
      </c>
      <c r="F19030">
        <v>57</v>
      </c>
      <c r="G19030">
        <f>LOG(382/(57+1))</f>
        <v>0.81863536934877146</v>
      </c>
      <c r="H19030">
        <f>0.0138888888888888*1.88497759806015</f>
        <v>2.6180244417501913E-2</v>
      </c>
      <c r="I19030">
        <v>2.618024441750216E-2</v>
      </c>
    </row>
    <row r="19031" spans="1:9" x14ac:dyDescent="0.25">
      <c r="A19031">
        <v>584</v>
      </c>
      <c r="B19031" t="s">
        <v>4620</v>
      </c>
      <c r="C19031" t="s">
        <v>48</v>
      </c>
      <c r="D19031" t="s">
        <v>4621</v>
      </c>
      <c r="E19031">
        <f>7/216</f>
        <v>3.2407407407407406E-2</v>
      </c>
      <c r="F19031">
        <v>1</v>
      </c>
      <c r="G19031">
        <f>LOG(382/(1+1))</f>
        <v>2.2810333672477277</v>
      </c>
      <c r="H19031">
        <f>0.0324074074074074*5.25227342804663</f>
        <v>0.17021256479780741</v>
      </c>
      <c r="I19031">
        <v>0.17021256479780739</v>
      </c>
    </row>
    <row r="19032" spans="1:9" x14ac:dyDescent="0.25">
      <c r="A19032">
        <v>584</v>
      </c>
      <c r="B19032" t="s">
        <v>4620</v>
      </c>
      <c r="C19032" t="s">
        <v>48</v>
      </c>
      <c r="D19032" t="s">
        <v>42</v>
      </c>
      <c r="E19032">
        <f>2/216</f>
        <v>9.2592592592592587E-3</v>
      </c>
      <c r="F19032">
        <v>251</v>
      </c>
      <c r="G19032">
        <f>LOG(382/(251+1))</f>
        <v>0.18066282213016463</v>
      </c>
      <c r="H19032">
        <f>0.00925925925925925*0.415991521095151</f>
        <v>3.8517733434736165E-3</v>
      </c>
      <c r="I19032">
        <v>3.8517733434736282E-3</v>
      </c>
    </row>
    <row r="19033" spans="1:9" x14ac:dyDescent="0.25">
      <c r="A19033">
        <v>584</v>
      </c>
      <c r="B19033" t="s">
        <v>4620</v>
      </c>
      <c r="C19033" t="s">
        <v>48</v>
      </c>
      <c r="D19033" t="s">
        <v>17</v>
      </c>
      <c r="E19033">
        <f>1/216</f>
        <v>4.6296296296296294E-3</v>
      </c>
      <c r="F19033">
        <v>169</v>
      </c>
      <c r="G19033">
        <f>LOG(382/(169+1))</f>
        <v>0.3516144415334348</v>
      </c>
      <c r="H19033">
        <f>0.00462962962962962*0.809622171556313</f>
        <v>3.7482507942421819E-3</v>
      </c>
      <c r="I19033">
        <v>3.7482507942421918E-3</v>
      </c>
    </row>
    <row r="19034" spans="1:9" x14ac:dyDescent="0.25">
      <c r="A19034">
        <v>584</v>
      </c>
      <c r="B19034" t="s">
        <v>4620</v>
      </c>
      <c r="C19034" t="s">
        <v>48</v>
      </c>
      <c r="D19034" t="s">
        <v>4090</v>
      </c>
      <c r="E19034">
        <f>1/216</f>
        <v>4.6296296296296294E-3</v>
      </c>
      <c r="F19034">
        <v>3</v>
      </c>
      <c r="G19034">
        <f>LOG(382/(3+1))</f>
        <v>1.9800033715837464</v>
      </c>
      <c r="H19034">
        <f>0.00462962962962962*4.55912624748668</f>
        <v>2.1107065960586438E-2</v>
      </c>
      <c r="I19034">
        <v>2.11070659605865E-2</v>
      </c>
    </row>
    <row r="19035" spans="1:9" x14ac:dyDescent="0.25">
      <c r="A19035">
        <v>584</v>
      </c>
      <c r="B19035" t="s">
        <v>4620</v>
      </c>
      <c r="C19035" t="s">
        <v>48</v>
      </c>
      <c r="D19035" t="s">
        <v>19</v>
      </c>
      <c r="E19035">
        <f>1/216</f>
        <v>4.6296296296296294E-3</v>
      </c>
      <c r="F19035">
        <v>220</v>
      </c>
      <c r="G19035">
        <f>LOG(382/(220+1))</f>
        <v>0.23767108922659805</v>
      </c>
      <c r="H19035">
        <f>0.00462962962962962*0.547257907088822</f>
        <v>2.5336014217075043E-3</v>
      </c>
      <c r="I19035">
        <v>2.5336014217075108E-3</v>
      </c>
    </row>
    <row r="19036" spans="1:9" x14ac:dyDescent="0.25">
      <c r="A19036">
        <v>584</v>
      </c>
      <c r="B19036" t="s">
        <v>4620</v>
      </c>
      <c r="C19036" t="s">
        <v>48</v>
      </c>
      <c r="D19036" t="s">
        <v>20</v>
      </c>
      <c r="E19036">
        <f>9/216</f>
        <v>4.1666666666666664E-2</v>
      </c>
      <c r="F19036">
        <v>19</v>
      </c>
      <c r="G19036">
        <f>LOG(382/(19+1))</f>
        <v>1.2810333672477277</v>
      </c>
      <c r="H19036">
        <f>0.0416666666666666*2.94968833505258</f>
        <v>0.12290368062719065</v>
      </c>
      <c r="I19036">
        <v>0.12290368062719099</v>
      </c>
    </row>
    <row r="19037" spans="1:9" x14ac:dyDescent="0.25">
      <c r="A19037">
        <v>584</v>
      </c>
      <c r="B19037" t="s">
        <v>4620</v>
      </c>
      <c r="C19037" t="s">
        <v>48</v>
      </c>
      <c r="D19037" t="s">
        <v>22</v>
      </c>
      <c r="E19037">
        <f>1/216</f>
        <v>4.6296296296296294E-3</v>
      </c>
      <c r="F19037">
        <v>259</v>
      </c>
      <c r="G19037">
        <f>LOG(382/(259+1))</f>
        <v>0.16709001494089079</v>
      </c>
      <c r="H19037">
        <f>0.00462962962962962*0.384738977591047</f>
        <v>1.7811989703289176E-3</v>
      </c>
      <c r="I19037">
        <v>1.7811989703289241E-3</v>
      </c>
    </row>
    <row r="19038" spans="1:9" x14ac:dyDescent="0.25">
      <c r="A19038">
        <v>584</v>
      </c>
      <c r="B19038" t="s">
        <v>4620</v>
      </c>
      <c r="C19038" t="s">
        <v>48</v>
      </c>
      <c r="D19038" t="s">
        <v>23</v>
      </c>
      <c r="E19038">
        <f>1/216</f>
        <v>4.6296296296296294E-3</v>
      </c>
      <c r="F19038">
        <v>275</v>
      </c>
      <c r="G19038">
        <f>LOG(382/(275+1))</f>
        <v>0.14115428084649101</v>
      </c>
      <c r="H19038">
        <f>0.00462962962962962*0.325019742889425</f>
        <v>1.5047210318954829E-3</v>
      </c>
      <c r="I19038">
        <v>1.504721031895487E-3</v>
      </c>
    </row>
    <row r="19039" spans="1:9" x14ac:dyDescent="0.25">
      <c r="A19039">
        <v>584</v>
      </c>
      <c r="B19039" t="s">
        <v>4620</v>
      </c>
      <c r="C19039" t="s">
        <v>48</v>
      </c>
      <c r="D19039" t="s">
        <v>247</v>
      </c>
      <c r="E19039">
        <f>1/216</f>
        <v>4.6296296296296294E-3</v>
      </c>
      <c r="F19039">
        <v>121</v>
      </c>
      <c r="G19039">
        <f>LOG(382/(121+1))</f>
        <v>0.49570353223696051</v>
      </c>
      <c r="H19039">
        <f>0.00462962962962962*1.14139956387331</f>
        <v>5.2842572401542026E-3</v>
      </c>
      <c r="I19039">
        <v>5.2842572401542529E-3</v>
      </c>
    </row>
    <row r="19040" spans="1:9" x14ac:dyDescent="0.25">
      <c r="A19040">
        <v>584</v>
      </c>
      <c r="B19040" t="s">
        <v>4620</v>
      </c>
      <c r="C19040" t="s">
        <v>48</v>
      </c>
      <c r="D19040" t="s">
        <v>39</v>
      </c>
      <c r="E19040">
        <f>3/216</f>
        <v>1.3888888888888888E-2</v>
      </c>
      <c r="F19040">
        <v>145</v>
      </c>
      <c r="G19040">
        <f>LOG(382/(145+1))</f>
        <v>0.41771050712727159</v>
      </c>
      <c r="H19040">
        <f>0.0138888888888888*0.961813986898238</f>
        <v>1.3358527595808776E-2</v>
      </c>
      <c r="I19040">
        <v>1.335852759580887E-2</v>
      </c>
    </row>
    <row r="19041" spans="1:9" x14ac:dyDescent="0.25">
      <c r="A19041">
        <v>584</v>
      </c>
      <c r="B19041" t="s">
        <v>4620</v>
      </c>
      <c r="C19041" t="s">
        <v>48</v>
      </c>
      <c r="D19041" t="s">
        <v>204</v>
      </c>
      <c r="E19041">
        <f>1/216</f>
        <v>4.6296296296296294E-3</v>
      </c>
      <c r="F19041">
        <v>166</v>
      </c>
      <c r="G19041">
        <f>LOG(382/(166+1))</f>
        <v>0.35934689176412549</v>
      </c>
      <c r="H19041">
        <f>0.00462962962962962*0.82742679618982</f>
        <v>3.8306796119898989E-3</v>
      </c>
      <c r="I19041">
        <v>3.830679611989908E-3</v>
      </c>
    </row>
    <row r="19042" spans="1:9" x14ac:dyDescent="0.25">
      <c r="A19042">
        <v>584</v>
      </c>
      <c r="B19042" t="s">
        <v>4620</v>
      </c>
      <c r="C19042" t="s">
        <v>48</v>
      </c>
      <c r="D19042" t="s">
        <v>331</v>
      </c>
      <c r="E19042">
        <f>1/216</f>
        <v>4.6296296296296294E-3</v>
      </c>
      <c r="F19042">
        <v>130</v>
      </c>
      <c r="G19042">
        <f>LOG(382/(130+1))</f>
        <v>0.46479206725594452</v>
      </c>
      <c r="H19042">
        <f>0.00462962962962962*1.07022328540542</f>
        <v>4.9547374324324898E-3</v>
      </c>
      <c r="I19042">
        <v>4.9547374324325167E-3</v>
      </c>
    </row>
    <row r="19043" spans="1:9" x14ac:dyDescent="0.25">
      <c r="A19043">
        <v>584</v>
      </c>
      <c r="B19043" t="s">
        <v>4620</v>
      </c>
      <c r="C19043" t="s">
        <v>48</v>
      </c>
      <c r="D19043" t="s">
        <v>241</v>
      </c>
      <c r="E19043">
        <f>2/216</f>
        <v>9.2592592592592587E-3</v>
      </c>
      <c r="F19043">
        <v>19</v>
      </c>
      <c r="G19043">
        <f>LOG(382/(19+1))</f>
        <v>1.2810333672477277</v>
      </c>
      <c r="H19043">
        <f>0.00925925925925925*2.94968833505258</f>
        <v>2.7311929028264601E-2</v>
      </c>
      <c r="I19043">
        <v>2.7311929028264671E-2</v>
      </c>
    </row>
    <row r="19044" spans="1:9" x14ac:dyDescent="0.25">
      <c r="A19044">
        <v>584</v>
      </c>
      <c r="B19044" t="s">
        <v>4620</v>
      </c>
      <c r="C19044" t="s">
        <v>48</v>
      </c>
      <c r="D19044" t="s">
        <v>406</v>
      </c>
      <c r="E19044">
        <f>1/216</f>
        <v>4.6296296296296294E-3</v>
      </c>
      <c r="F19044">
        <v>10</v>
      </c>
      <c r="G19044">
        <f>LOG(382/(10+1))</f>
        <v>1.5406706777534838</v>
      </c>
      <c r="H19044">
        <f>0.00462962962962962*3.5475253358082</f>
        <v>1.642372840651941E-2</v>
      </c>
      <c r="I19044">
        <v>1.6423728406519469E-2</v>
      </c>
    </row>
    <row r="19045" spans="1:9" x14ac:dyDescent="0.25">
      <c r="A19045">
        <v>584</v>
      </c>
      <c r="B19045" t="s">
        <v>4620</v>
      </c>
      <c r="C19045" t="s">
        <v>48</v>
      </c>
      <c r="D19045" t="s">
        <v>94</v>
      </c>
      <c r="E19045">
        <f>3/216</f>
        <v>1.3888888888888888E-2</v>
      </c>
      <c r="F19045">
        <v>12</v>
      </c>
      <c r="G19045">
        <f>LOG(382/(12+1))</f>
        <v>1.468120010604872</v>
      </c>
      <c r="H19045">
        <f>0.0138888888888888*3.38047125114503</f>
        <v>4.6950989599236229E-2</v>
      </c>
      <c r="I19045">
        <v>4.6950989599236638E-2</v>
      </c>
    </row>
    <row r="19046" spans="1:9" x14ac:dyDescent="0.25">
      <c r="A19046">
        <v>584</v>
      </c>
      <c r="B19046" t="s">
        <v>4620</v>
      </c>
      <c r="C19046" t="s">
        <v>48</v>
      </c>
      <c r="D19046" t="s">
        <v>105</v>
      </c>
      <c r="E19046">
        <f>1/216</f>
        <v>4.6296296296296294E-3</v>
      </c>
      <c r="F19046">
        <v>122</v>
      </c>
      <c r="G19046">
        <f>LOG(382/(122+1))</f>
        <v>0.49215825147231079</v>
      </c>
      <c r="H19046">
        <f>0.00462962962962962*1.13323625323415</f>
        <v>5.2464641353432758E-3</v>
      </c>
      <c r="I19046">
        <v>5.2464641353433218E-3</v>
      </c>
    </row>
    <row r="19047" spans="1:9" x14ac:dyDescent="0.25">
      <c r="A19047">
        <v>584</v>
      </c>
      <c r="B19047" t="s">
        <v>4620</v>
      </c>
      <c r="C19047" t="s">
        <v>48</v>
      </c>
      <c r="D19047" t="s">
        <v>112</v>
      </c>
      <c r="E19047">
        <f>9/216</f>
        <v>4.1666666666666664E-2</v>
      </c>
      <c r="F19047">
        <v>52</v>
      </c>
      <c r="G19047">
        <f>LOG(382/(52+1))</f>
        <v>0.85778749331091964</v>
      </c>
      <c r="H19047">
        <f>0.0416666666666666*1.97512869505445</f>
        <v>8.2297028960601953E-2</v>
      </c>
      <c r="I19047">
        <v>8.2297028960602217E-2</v>
      </c>
    </row>
    <row r="19048" spans="1:9" x14ac:dyDescent="0.25">
      <c r="A19048">
        <v>584</v>
      </c>
      <c r="B19048" t="s">
        <v>4620</v>
      </c>
      <c r="C19048" t="s">
        <v>48</v>
      </c>
      <c r="D19048" t="s">
        <v>54</v>
      </c>
      <c r="E19048">
        <f>8/216</f>
        <v>3.7037037037037035E-2</v>
      </c>
      <c r="F19048">
        <v>25</v>
      </c>
      <c r="G19048">
        <f>LOG(382/(25+1))</f>
        <v>1.1670900149408907</v>
      </c>
      <c r="H19048">
        <f>0.037037037037037*2.68732407058509</f>
        <v>9.9530521132781019E-2</v>
      </c>
      <c r="I19048">
        <v>9.9530521132781227E-2</v>
      </c>
    </row>
    <row r="19049" spans="1:9" x14ac:dyDescent="0.25">
      <c r="A19049">
        <v>584</v>
      </c>
      <c r="B19049" t="s">
        <v>4620</v>
      </c>
      <c r="C19049" t="s">
        <v>48</v>
      </c>
      <c r="D19049" t="s">
        <v>98</v>
      </c>
      <c r="E19049">
        <f>9/216</f>
        <v>4.1666666666666664E-2</v>
      </c>
      <c r="F19049">
        <v>56</v>
      </c>
      <c r="G19049">
        <f>LOG(382/(56+1))</f>
        <v>0.82618850723921733</v>
      </c>
      <c r="H19049">
        <f>0.0416666666666666*1.90236934077202</f>
        <v>7.9265389198834038E-2</v>
      </c>
      <c r="I19049">
        <v>7.9265389198834371E-2</v>
      </c>
    </row>
    <row r="19050" spans="1:9" x14ac:dyDescent="0.25">
      <c r="A19050">
        <v>584</v>
      </c>
      <c r="B19050" t="s">
        <v>4620</v>
      </c>
      <c r="C19050" t="s">
        <v>48</v>
      </c>
      <c r="D19050" t="s">
        <v>1135</v>
      </c>
      <c r="E19050">
        <f>1/216</f>
        <v>4.6296296296296294E-3</v>
      </c>
      <c r="F19050">
        <v>7</v>
      </c>
      <c r="G19050">
        <f>LOG(382/(7+1))</f>
        <v>1.6789733759197651</v>
      </c>
      <c r="H19050">
        <f>0.00462962962962962*3.86597906692673</f>
        <v>1.7898051235771862E-2</v>
      </c>
      <c r="I19050">
        <v>1.7898051235771938E-2</v>
      </c>
    </row>
    <row r="19051" spans="1:9" x14ac:dyDescent="0.25">
      <c r="A19051">
        <v>584</v>
      </c>
      <c r="B19051" t="s">
        <v>4620</v>
      </c>
      <c r="C19051" t="s">
        <v>48</v>
      </c>
      <c r="D19051" t="s">
        <v>4426</v>
      </c>
      <c r="E19051">
        <f>1/216</f>
        <v>4.6296296296296294E-3</v>
      </c>
      <c r="F19051">
        <v>2</v>
      </c>
      <c r="G19051">
        <f>LOG(382/(2+1))</f>
        <v>2.1049421081920463</v>
      </c>
      <c r="H19051">
        <f>0.00462962962962962*4.84680831993846</f>
        <v>2.2438927407122451E-2</v>
      </c>
      <c r="I19051">
        <v>2.2438927407122521E-2</v>
      </c>
    </row>
    <row r="19052" spans="1:9" x14ac:dyDescent="0.25">
      <c r="A19052">
        <v>584</v>
      </c>
      <c r="B19052" t="s">
        <v>4620</v>
      </c>
      <c r="C19052" t="s">
        <v>48</v>
      </c>
      <c r="D19052" t="s">
        <v>58</v>
      </c>
      <c r="E19052">
        <f>1/216</f>
        <v>4.6296296296296294E-3</v>
      </c>
      <c r="F19052">
        <v>18</v>
      </c>
      <c r="G19052">
        <f>LOG(382/(18+1))</f>
        <v>1.3033097619588798</v>
      </c>
      <c r="H19052">
        <f>0.00462962962962962*3.00098162944013</f>
        <v>1.3893433469630203E-2</v>
      </c>
      <c r="I19052">
        <v>1.389343346963025E-2</v>
      </c>
    </row>
    <row r="19053" spans="1:9" x14ac:dyDescent="0.25">
      <c r="A19053">
        <v>584</v>
      </c>
      <c r="B19053" t="s">
        <v>4620</v>
      </c>
      <c r="C19053" t="s">
        <v>48</v>
      </c>
      <c r="D19053" t="s">
        <v>4622</v>
      </c>
      <c r="E19053">
        <f>2/216</f>
        <v>9.2592592592592587E-3</v>
      </c>
      <c r="F19053">
        <v>1</v>
      </c>
      <c r="G19053">
        <f>LOG(382/(1+1))</f>
        <v>2.2810333672477277</v>
      </c>
      <c r="H19053">
        <f>0.00925925925925925*5.25227342804663</f>
        <v>4.8632161370802084E-2</v>
      </c>
      <c r="I19053">
        <v>4.8632161370802132E-2</v>
      </c>
    </row>
    <row r="19054" spans="1:9" x14ac:dyDescent="0.25">
      <c r="A19054">
        <v>584</v>
      </c>
      <c r="B19054" t="s">
        <v>4620</v>
      </c>
      <c r="C19054" t="s">
        <v>48</v>
      </c>
      <c r="D19054" t="s">
        <v>4623</v>
      </c>
      <c r="E19054">
        <f>2/216</f>
        <v>9.2592592592592587E-3</v>
      </c>
      <c r="F19054">
        <v>1</v>
      </c>
      <c r="G19054">
        <f>LOG(382/(1+1))</f>
        <v>2.2810333672477277</v>
      </c>
      <c r="H19054">
        <f>0.00925925925925925*5.25227342804663</f>
        <v>4.8632161370802084E-2</v>
      </c>
      <c r="I19054">
        <v>4.8632161370802132E-2</v>
      </c>
    </row>
    <row r="19055" spans="1:9" x14ac:dyDescent="0.25">
      <c r="A19055">
        <v>584</v>
      </c>
      <c r="B19055" t="s">
        <v>4620</v>
      </c>
      <c r="C19055" t="s">
        <v>48</v>
      </c>
      <c r="D19055" t="s">
        <v>846</v>
      </c>
      <c r="E19055">
        <f>2/216</f>
        <v>9.2592592592592587E-3</v>
      </c>
      <c r="F19055">
        <v>2</v>
      </c>
      <c r="G19055">
        <f>LOG(382/(2+1))</f>
        <v>2.1049421081920463</v>
      </c>
      <c r="H19055">
        <f>0.00925925925925925*4.84680831993846</f>
        <v>4.4877854814244958E-2</v>
      </c>
      <c r="I19055">
        <v>4.4877854814245048E-2</v>
      </c>
    </row>
    <row r="19056" spans="1:9" x14ac:dyDescent="0.25">
      <c r="A19056">
        <v>584</v>
      </c>
      <c r="B19056" t="s">
        <v>4620</v>
      </c>
      <c r="C19056" t="s">
        <v>48</v>
      </c>
      <c r="D19056" t="s">
        <v>38</v>
      </c>
      <c r="E19056">
        <f>1/216</f>
        <v>4.6296296296296294E-3</v>
      </c>
      <c r="F19056">
        <v>86</v>
      </c>
      <c r="G19056">
        <f>LOG(382/(86+1))</f>
        <v>0.64254411029309022</v>
      </c>
      <c r="H19056">
        <f>0.00462962962962962*1.47951248995199</f>
        <v>6.8495948608888286E-3</v>
      </c>
      <c r="I19056">
        <v>6.8495948608888486E-3</v>
      </c>
    </row>
    <row r="19057" spans="1:9" x14ac:dyDescent="0.25">
      <c r="A19057">
        <v>584</v>
      </c>
      <c r="B19057" t="s">
        <v>4620</v>
      </c>
      <c r="C19057" t="s">
        <v>48</v>
      </c>
      <c r="D19057" t="s">
        <v>215</v>
      </c>
      <c r="E19057">
        <f>1/216</f>
        <v>4.6296296296296294E-3</v>
      </c>
      <c r="F19057">
        <v>25</v>
      </c>
      <c r="G19057">
        <f>LOG(382/(25+1))</f>
        <v>1.1670900149408907</v>
      </c>
      <c r="H19057">
        <f>0.00462962962962962*2.68732407058509</f>
        <v>1.2441315141597614E-2</v>
      </c>
      <c r="I19057">
        <v>1.244131514159765E-2</v>
      </c>
    </row>
    <row r="19058" spans="1:9" x14ac:dyDescent="0.25">
      <c r="A19058">
        <v>584</v>
      </c>
      <c r="B19058" t="s">
        <v>4620</v>
      </c>
      <c r="C19058" t="s">
        <v>48</v>
      </c>
      <c r="D19058" t="s">
        <v>216</v>
      </c>
      <c r="E19058">
        <f>1/216</f>
        <v>4.6296296296296294E-3</v>
      </c>
      <c r="F19058">
        <v>63</v>
      </c>
      <c r="G19058">
        <f>LOG(382/(63+1))</f>
        <v>0.7758833889278216</v>
      </c>
      <c r="H19058">
        <f>0.00462962962962962*1.7865375252469</f>
        <v>8.2710070613282241E-3</v>
      </c>
      <c r="I19058">
        <v>8.2710070613282553E-3</v>
      </c>
    </row>
    <row r="19059" spans="1:9" x14ac:dyDescent="0.25">
      <c r="A19059">
        <v>584</v>
      </c>
      <c r="B19059" t="s">
        <v>4620</v>
      </c>
      <c r="C19059" t="s">
        <v>48</v>
      </c>
      <c r="D19059" t="s">
        <v>823</v>
      </c>
      <c r="E19059">
        <f>1/216</f>
        <v>4.6296296296296294E-3</v>
      </c>
      <c r="F19059">
        <v>45</v>
      </c>
      <c r="G19059">
        <f>LOG(382/(45+1))</f>
        <v>0.9193055312301347</v>
      </c>
      <c r="H19059">
        <f>0.00462962962962962*2.11677921211748</f>
        <v>9.7999037598031288E-3</v>
      </c>
      <c r="I19059">
        <v>9.7999037598031479E-3</v>
      </c>
    </row>
    <row r="19060" spans="1:9" x14ac:dyDescent="0.25">
      <c r="A19060">
        <v>584</v>
      </c>
      <c r="B19060" t="s">
        <v>4620</v>
      </c>
      <c r="C19060" t="s">
        <v>48</v>
      </c>
      <c r="E19060">
        <f>2/216</f>
        <v>9.2592592592592587E-3</v>
      </c>
      <c r="F19060">
        <v>20</v>
      </c>
      <c r="G19060">
        <f>LOG(382/(20+1))</f>
        <v>1.2598440681777894</v>
      </c>
      <c r="H19060">
        <f>0.00925925925925925*2.90089817088315</f>
        <v>2.6860168248918029E-2</v>
      </c>
      <c r="I19060">
        <v>2.686016824891807E-2</v>
      </c>
    </row>
    <row r="19061" spans="1:9" x14ac:dyDescent="0.25">
      <c r="A19061">
        <v>584</v>
      </c>
      <c r="B19061" t="s">
        <v>4620</v>
      </c>
      <c r="C19061" t="s">
        <v>48</v>
      </c>
      <c r="D19061" t="s">
        <v>500</v>
      </c>
      <c r="E19061">
        <f>1/216</f>
        <v>4.6296296296296294E-3</v>
      </c>
      <c r="F19061">
        <v>4</v>
      </c>
      <c r="G19061">
        <f>LOG(382/(4+1))</f>
        <v>1.8830933585756899</v>
      </c>
      <c r="H19061">
        <f>0.00462962962962962*4.33598269617247</f>
        <v>2.0073993963761395E-2</v>
      </c>
      <c r="I19061">
        <v>2.0073993963761461E-2</v>
      </c>
    </row>
    <row r="19062" spans="1:9" x14ac:dyDescent="0.25">
      <c r="A19062">
        <v>584</v>
      </c>
      <c r="B19062" t="s">
        <v>4620</v>
      </c>
      <c r="C19062" t="s">
        <v>48</v>
      </c>
      <c r="D19062" t="s">
        <v>25</v>
      </c>
      <c r="E19062">
        <f>3/216</f>
        <v>1.3888888888888888E-2</v>
      </c>
      <c r="F19062">
        <v>106</v>
      </c>
      <c r="G19062">
        <f>LOG(382/(106+1))</f>
        <v>0.55267958522649907</v>
      </c>
      <c r="H19062">
        <f>0.0138888888888888*1.27259177414466</f>
        <v>1.7674885752009054E-2</v>
      </c>
      <c r="I19062">
        <v>1.7674885752009289E-2</v>
      </c>
    </row>
    <row r="19063" spans="1:9" x14ac:dyDescent="0.25">
      <c r="A19063">
        <v>584</v>
      </c>
      <c r="B19063" t="s">
        <v>4620</v>
      </c>
      <c r="C19063" t="s">
        <v>48</v>
      </c>
      <c r="D19063" t="s">
        <v>4624</v>
      </c>
      <c r="E19063">
        <f>1/216</f>
        <v>4.6296296296296294E-3</v>
      </c>
      <c r="F19063">
        <v>1</v>
      </c>
      <c r="G19063">
        <f>LOG(382/(1+1))</f>
        <v>2.2810333672477277</v>
      </c>
      <c r="H19063">
        <f>0.00462962962962962*5.25227342804663</f>
        <v>2.4316080685401014E-2</v>
      </c>
      <c r="I19063">
        <v>2.4316080685401059E-2</v>
      </c>
    </row>
    <row r="19064" spans="1:9" x14ac:dyDescent="0.25">
      <c r="A19064">
        <v>584</v>
      </c>
      <c r="B19064" t="s">
        <v>4620</v>
      </c>
      <c r="C19064" t="s">
        <v>48</v>
      </c>
      <c r="D19064" t="s">
        <v>126</v>
      </c>
      <c r="E19064">
        <f>2/216</f>
        <v>9.2592592592592587E-3</v>
      </c>
      <c r="F19064">
        <v>79</v>
      </c>
      <c r="G19064">
        <f>LOG(382/(79+1))</f>
        <v>0.67897337591976514</v>
      </c>
      <c r="H19064">
        <f>0.00925925925925925*1.56339397393269</f>
        <v>1.4475870129006375E-2</v>
      </c>
      <c r="I19064">
        <v>1.447587012900642E-2</v>
      </c>
    </row>
    <row r="19065" spans="1:9" x14ac:dyDescent="0.25">
      <c r="A19065">
        <v>584</v>
      </c>
      <c r="B19065" t="s">
        <v>4620</v>
      </c>
      <c r="C19065" t="s">
        <v>48</v>
      </c>
      <c r="D19065" t="s">
        <v>831</v>
      </c>
      <c r="E19065">
        <f t="shared" ref="E19065:E19074" si="909">1/216</f>
        <v>4.6296296296296294E-3</v>
      </c>
      <c r="F19065">
        <v>4</v>
      </c>
      <c r="G19065">
        <f>LOG(382/(4+1))</f>
        <v>1.8830933585756899</v>
      </c>
      <c r="H19065">
        <f>0.00462962962962962*4.33598269617247</f>
        <v>2.0073993963761395E-2</v>
      </c>
      <c r="I19065">
        <v>2.0073993963761461E-2</v>
      </c>
    </row>
    <row r="19066" spans="1:9" x14ac:dyDescent="0.25">
      <c r="A19066">
        <v>584</v>
      </c>
      <c r="B19066" t="s">
        <v>4620</v>
      </c>
      <c r="C19066" t="s">
        <v>48</v>
      </c>
      <c r="D19066" t="s">
        <v>832</v>
      </c>
      <c r="E19066">
        <f t="shared" si="909"/>
        <v>4.6296296296296294E-3</v>
      </c>
      <c r="F19066">
        <v>2</v>
      </c>
      <c r="G19066">
        <f>LOG(382/(2+1))</f>
        <v>2.1049421081920463</v>
      </c>
      <c r="H19066">
        <f>0.00462962962962962*4.84680831993846</f>
        <v>2.2438927407122451E-2</v>
      </c>
      <c r="I19066">
        <v>2.2438927407122521E-2</v>
      </c>
    </row>
    <row r="19067" spans="1:9" x14ac:dyDescent="0.25">
      <c r="A19067">
        <v>584</v>
      </c>
      <c r="B19067" t="s">
        <v>4620</v>
      </c>
      <c r="C19067" t="s">
        <v>48</v>
      </c>
      <c r="D19067" t="s">
        <v>4625</v>
      </c>
      <c r="E19067">
        <f t="shared" si="909"/>
        <v>4.6296296296296294E-3</v>
      </c>
      <c r="F19067">
        <v>1</v>
      </c>
      <c r="G19067">
        <f>LOG(382/(1+1))</f>
        <v>2.2810333672477277</v>
      </c>
      <c r="H19067">
        <f>0.00462962962962962*5.25227342804663</f>
        <v>2.4316080685401014E-2</v>
      </c>
      <c r="I19067">
        <v>2.4316080685401059E-2</v>
      </c>
    </row>
    <row r="19068" spans="1:9" x14ac:dyDescent="0.25">
      <c r="A19068">
        <v>584</v>
      </c>
      <c r="B19068" t="s">
        <v>4620</v>
      </c>
      <c r="C19068" t="s">
        <v>48</v>
      </c>
      <c r="D19068" t="s">
        <v>4626</v>
      </c>
      <c r="E19068">
        <f t="shared" si="909"/>
        <v>4.6296296296296294E-3</v>
      </c>
      <c r="F19068">
        <v>1</v>
      </c>
      <c r="G19068">
        <f>LOG(382/(1+1))</f>
        <v>2.2810333672477277</v>
      </c>
      <c r="H19068">
        <f>0.00462962962962962*5.25227342804663</f>
        <v>2.4316080685401014E-2</v>
      </c>
      <c r="I19068">
        <v>2.4316080685401059E-2</v>
      </c>
    </row>
    <row r="19069" spans="1:9" x14ac:dyDescent="0.25">
      <c r="A19069">
        <v>584</v>
      </c>
      <c r="B19069" t="s">
        <v>4620</v>
      </c>
      <c r="C19069" t="s">
        <v>48</v>
      </c>
      <c r="D19069" t="s">
        <v>309</v>
      </c>
      <c r="E19069">
        <f t="shared" si="909"/>
        <v>4.6296296296296294E-3</v>
      </c>
      <c r="F19069">
        <v>25</v>
      </c>
      <c r="G19069">
        <f>LOG(382/(25+1))</f>
        <v>1.1670900149408907</v>
      </c>
      <c r="H19069">
        <f>0.00462962962962962*2.68732407058509</f>
        <v>1.2441315141597614E-2</v>
      </c>
      <c r="I19069">
        <v>1.244131514159765E-2</v>
      </c>
    </row>
    <row r="19070" spans="1:9" x14ac:dyDescent="0.25">
      <c r="A19070">
        <v>584</v>
      </c>
      <c r="B19070" t="s">
        <v>4620</v>
      </c>
      <c r="C19070" t="s">
        <v>48</v>
      </c>
      <c r="D19070" t="s">
        <v>4627</v>
      </c>
      <c r="E19070">
        <f t="shared" si="909"/>
        <v>4.6296296296296294E-3</v>
      </c>
      <c r="F19070">
        <v>1</v>
      </c>
      <c r="G19070">
        <f>LOG(382/(1+1))</f>
        <v>2.2810333672477277</v>
      </c>
      <c r="H19070">
        <f>0.00462962962962962*5.25227342804663</f>
        <v>2.4316080685401014E-2</v>
      </c>
      <c r="I19070">
        <v>2.4316080685401059E-2</v>
      </c>
    </row>
    <row r="19071" spans="1:9" x14ac:dyDescent="0.25">
      <c r="A19071">
        <v>584</v>
      </c>
      <c r="B19071" t="s">
        <v>4620</v>
      </c>
      <c r="C19071" t="s">
        <v>48</v>
      </c>
      <c r="D19071" t="s">
        <v>1199</v>
      </c>
      <c r="E19071">
        <f t="shared" si="909"/>
        <v>4.6296296296296294E-3</v>
      </c>
      <c r="F19071">
        <v>8</v>
      </c>
      <c r="G19071">
        <f>LOG(382/(8+1))</f>
        <v>1.6278208534723839</v>
      </c>
      <c r="H19071">
        <f>0.00462962962962962*3.74819603127035</f>
        <v>1.7352759404029361E-2</v>
      </c>
      <c r="I19071">
        <v>1.735275940402942E-2</v>
      </c>
    </row>
    <row r="19072" spans="1:9" x14ac:dyDescent="0.25">
      <c r="A19072">
        <v>584</v>
      </c>
      <c r="B19072" t="s">
        <v>4620</v>
      </c>
      <c r="C19072" t="s">
        <v>48</v>
      </c>
      <c r="D19072" t="s">
        <v>733</v>
      </c>
      <c r="E19072">
        <f t="shared" si="909"/>
        <v>4.6296296296296294E-3</v>
      </c>
      <c r="F19072">
        <v>6</v>
      </c>
      <c r="G19072">
        <f>LOG(382/(6+1))</f>
        <v>1.736965322897452</v>
      </c>
      <c r="H19072">
        <f>0.00462962962962962*3.99951045955126</f>
        <v>1.8516252127552091E-2</v>
      </c>
      <c r="I19072">
        <v>1.8516252127552139E-2</v>
      </c>
    </row>
    <row r="19073" spans="1:9" x14ac:dyDescent="0.25">
      <c r="A19073">
        <v>584</v>
      </c>
      <c r="B19073" t="s">
        <v>4620</v>
      </c>
      <c r="C19073" t="s">
        <v>48</v>
      </c>
      <c r="D19073" t="s">
        <v>56</v>
      </c>
      <c r="E19073">
        <f t="shared" si="909"/>
        <v>4.6296296296296294E-3</v>
      </c>
      <c r="F19073">
        <v>4</v>
      </c>
      <c r="G19073">
        <f>LOG(382/(4+1))</f>
        <v>1.8830933585756899</v>
      </c>
      <c r="H19073">
        <f>0.00462962962962962*4.33598269617247</f>
        <v>2.0073993963761395E-2</v>
      </c>
      <c r="I19073">
        <v>2.0073993963761461E-2</v>
      </c>
    </row>
    <row r="19074" spans="1:9" x14ac:dyDescent="0.25">
      <c r="A19074">
        <v>584</v>
      </c>
      <c r="B19074" t="s">
        <v>4620</v>
      </c>
      <c r="C19074" t="s">
        <v>48</v>
      </c>
      <c r="D19074" t="s">
        <v>927</v>
      </c>
      <c r="E19074">
        <f t="shared" si="909"/>
        <v>4.6296296296296294E-3</v>
      </c>
      <c r="F19074">
        <v>4</v>
      </c>
      <c r="G19074">
        <f>LOG(382/(4+1))</f>
        <v>1.8830933585756899</v>
      </c>
      <c r="H19074">
        <f>0.00462962962962962*4.33598269617247</f>
        <v>2.0073993963761395E-2</v>
      </c>
      <c r="I19074">
        <v>2.0073993963761461E-2</v>
      </c>
    </row>
    <row r="19075" spans="1:9" x14ac:dyDescent="0.25">
      <c r="A19075">
        <v>584</v>
      </c>
      <c r="B19075" t="s">
        <v>4620</v>
      </c>
      <c r="C19075" t="s">
        <v>48</v>
      </c>
      <c r="D19075" t="s">
        <v>765</v>
      </c>
      <c r="E19075">
        <f>3/216</f>
        <v>1.3888888888888888E-2</v>
      </c>
      <c r="F19075">
        <v>44</v>
      </c>
      <c r="G19075">
        <f>LOG(382/(44+1))</f>
        <v>0.92885084913636506</v>
      </c>
      <c r="H19075">
        <f>0.0138888888888888*2.13875811883625</f>
        <v>2.9704973872725502E-2</v>
      </c>
      <c r="I19075">
        <v>2.9704973872725769E-2</v>
      </c>
    </row>
    <row r="19076" spans="1:9" x14ac:dyDescent="0.25">
      <c r="A19076">
        <v>584</v>
      </c>
      <c r="B19076" t="s">
        <v>4620</v>
      </c>
      <c r="C19076" t="s">
        <v>48</v>
      </c>
      <c r="D19076" t="s">
        <v>3082</v>
      </c>
      <c r="E19076">
        <f>1/216</f>
        <v>4.6296296296296294E-3</v>
      </c>
      <c r="F19076">
        <v>2</v>
      </c>
      <c r="G19076">
        <f>LOG(382/(2+1))</f>
        <v>2.1049421081920463</v>
      </c>
      <c r="H19076">
        <f>0.00462962962962962*4.84680831993846</f>
        <v>2.2438927407122451E-2</v>
      </c>
      <c r="I19076">
        <v>2.2438927407122521E-2</v>
      </c>
    </row>
    <row r="19077" spans="1:9" x14ac:dyDescent="0.25">
      <c r="A19077">
        <v>584</v>
      </c>
      <c r="B19077" t="s">
        <v>4620</v>
      </c>
      <c r="C19077" t="s">
        <v>48</v>
      </c>
      <c r="D19077" t="s">
        <v>307</v>
      </c>
      <c r="E19077">
        <f>1/216</f>
        <v>4.6296296296296294E-3</v>
      </c>
      <c r="F19077">
        <v>67</v>
      </c>
      <c r="G19077">
        <f>LOG(382/(67+1))</f>
        <v>0.7495544502054724</v>
      </c>
      <c r="H19077">
        <f>0.00462962962962962*1.72591290343046</f>
        <v>7.9903375158817437E-3</v>
      </c>
      <c r="I19077">
        <v>7.9903375158817975E-3</v>
      </c>
    </row>
    <row r="19078" spans="1:9" x14ac:dyDescent="0.25">
      <c r="A19078">
        <v>584</v>
      </c>
      <c r="B19078" t="s">
        <v>4620</v>
      </c>
      <c r="C19078" t="s">
        <v>48</v>
      </c>
      <c r="D19078" t="s">
        <v>4628</v>
      </c>
      <c r="E19078">
        <f>1/216</f>
        <v>4.6296296296296294E-3</v>
      </c>
      <c r="F19078">
        <v>1</v>
      </c>
      <c r="G19078">
        <f>LOG(382/(1+1))</f>
        <v>2.2810333672477277</v>
      </c>
      <c r="H19078">
        <f>0.00462962962962962*5.25227342804663</f>
        <v>2.4316080685401014E-2</v>
      </c>
      <c r="I19078">
        <v>2.4316080685401059E-2</v>
      </c>
    </row>
    <row r="19079" spans="1:9" x14ac:dyDescent="0.25">
      <c r="A19079">
        <v>584</v>
      </c>
      <c r="B19079" t="s">
        <v>4620</v>
      </c>
      <c r="C19079" t="s">
        <v>48</v>
      </c>
      <c r="D19079" t="s">
        <v>60</v>
      </c>
      <c r="E19079">
        <f>3/216</f>
        <v>1.3888888888888888E-2</v>
      </c>
      <c r="F19079">
        <v>24</v>
      </c>
      <c r="G19079">
        <f>LOG(382/(24+1))</f>
        <v>1.1841233542396712</v>
      </c>
      <c r="H19079">
        <f>0.0138888888888888*2.72654478373837</f>
        <v>3.786867755192156E-2</v>
      </c>
      <c r="I19079">
        <v>3.7868677551921873E-2</v>
      </c>
    </row>
    <row r="19080" spans="1:9" x14ac:dyDescent="0.25">
      <c r="A19080">
        <v>584</v>
      </c>
      <c r="B19080" t="s">
        <v>4620</v>
      </c>
      <c r="C19080" t="s">
        <v>48</v>
      </c>
      <c r="D19080" t="s">
        <v>4629</v>
      </c>
      <c r="E19080">
        <f>2/216</f>
        <v>9.2592592592592587E-3</v>
      </c>
      <c r="F19080">
        <v>1</v>
      </c>
      <c r="G19080">
        <f>LOG(382/(1+1))</f>
        <v>2.2810333672477277</v>
      </c>
      <c r="H19080">
        <f>0.00925925925925925*5.25227342804663</f>
        <v>4.8632161370802084E-2</v>
      </c>
      <c r="I19080">
        <v>4.8632161370802132E-2</v>
      </c>
    </row>
    <row r="19081" spans="1:9" x14ac:dyDescent="0.25">
      <c r="A19081">
        <v>584</v>
      </c>
      <c r="B19081" t="s">
        <v>4620</v>
      </c>
      <c r="C19081" t="s">
        <v>48</v>
      </c>
      <c r="D19081" t="s">
        <v>739</v>
      </c>
      <c r="E19081">
        <f>2/216</f>
        <v>9.2592592592592587E-3</v>
      </c>
      <c r="F19081">
        <v>24</v>
      </c>
      <c r="G19081">
        <f>LOG(382/(24+1))</f>
        <v>1.1841233542396712</v>
      </c>
      <c r="H19081">
        <f>0.00925925925925925*2.72654478373837</f>
        <v>2.5245785034614509E-2</v>
      </c>
      <c r="I19081">
        <v>2.5245785034614571E-2</v>
      </c>
    </row>
    <row r="19082" spans="1:9" x14ac:dyDescent="0.25">
      <c r="A19082">
        <v>584</v>
      </c>
      <c r="B19082" t="s">
        <v>4620</v>
      </c>
      <c r="C19082" t="s">
        <v>48</v>
      </c>
      <c r="D19082" t="s">
        <v>131</v>
      </c>
      <c r="E19082">
        <f>2/216</f>
        <v>9.2592592592592587E-3</v>
      </c>
      <c r="F19082">
        <v>38</v>
      </c>
      <c r="G19082">
        <f>LOG(382/(38+1))</f>
        <v>0.99099875588520958</v>
      </c>
      <c r="H19082">
        <f>0.00925925925925925*2.28185896247692</f>
        <v>2.1128323726638129E-2</v>
      </c>
      <c r="I19082">
        <v>2.112832372663823E-2</v>
      </c>
    </row>
    <row r="19083" spans="1:9" x14ac:dyDescent="0.25">
      <c r="A19083">
        <v>584</v>
      </c>
      <c r="B19083" t="s">
        <v>4620</v>
      </c>
      <c r="C19083" t="s">
        <v>48</v>
      </c>
      <c r="D19083" t="s">
        <v>224</v>
      </c>
      <c r="E19083">
        <f>1/216</f>
        <v>4.6296296296296294E-3</v>
      </c>
      <c r="F19083">
        <v>16</v>
      </c>
      <c r="G19083">
        <f>LOG(382/(16+1))</f>
        <v>1.3516144415334348</v>
      </c>
      <c r="H19083">
        <f>0.00462962962962962*3.11220726455035</f>
        <v>1.4408366965510849E-2</v>
      </c>
      <c r="I19083">
        <v>1.440836696551092E-2</v>
      </c>
    </row>
    <row r="19084" spans="1:9" x14ac:dyDescent="0.25">
      <c r="A19084">
        <v>584</v>
      </c>
      <c r="B19084" t="s">
        <v>4620</v>
      </c>
      <c r="C19084" t="s">
        <v>48</v>
      </c>
      <c r="D19084" t="s">
        <v>4630</v>
      </c>
      <c r="E19084">
        <f>1/216</f>
        <v>4.6296296296296294E-3</v>
      </c>
      <c r="F19084">
        <v>1</v>
      </c>
      <c r="G19084">
        <f>LOG(382/(1+1))</f>
        <v>2.2810333672477277</v>
      </c>
      <c r="H19084">
        <f>0.00462962962962962*5.25227342804663</f>
        <v>2.4316080685401014E-2</v>
      </c>
      <c r="I19084">
        <v>2.4316080685401059E-2</v>
      </c>
    </row>
    <row r="19085" spans="1:9" x14ac:dyDescent="0.25">
      <c r="A19085">
        <v>584</v>
      </c>
      <c r="B19085" t="s">
        <v>4620</v>
      </c>
      <c r="C19085" t="s">
        <v>48</v>
      </c>
      <c r="D19085" t="s">
        <v>4631</v>
      </c>
      <c r="E19085">
        <f>1/216</f>
        <v>4.6296296296296294E-3</v>
      </c>
      <c r="F19085">
        <v>1</v>
      </c>
      <c r="G19085">
        <f>LOG(382/(1+1))</f>
        <v>2.2810333672477277</v>
      </c>
      <c r="H19085">
        <f>0.00462962962962962*5.25227342804663</f>
        <v>2.4316080685401014E-2</v>
      </c>
      <c r="I19085">
        <v>2.4316080685401059E-2</v>
      </c>
    </row>
    <row r="19086" spans="1:9" x14ac:dyDescent="0.25">
      <c r="A19086">
        <v>584</v>
      </c>
      <c r="B19086" t="s">
        <v>4620</v>
      </c>
      <c r="C19086" t="s">
        <v>48</v>
      </c>
      <c r="D19086" t="s">
        <v>92</v>
      </c>
      <c r="E19086">
        <f>2/216</f>
        <v>9.2592592592592587E-3</v>
      </c>
      <c r="F19086">
        <v>12</v>
      </c>
      <c r="G19086">
        <f>LOG(382/(12+1))</f>
        <v>1.468120010604872</v>
      </c>
      <c r="H19086">
        <f>0.00925925925925925*3.38047125114503</f>
        <v>3.1300659732824324E-2</v>
      </c>
      <c r="I19086">
        <v>3.1300659732824428E-2</v>
      </c>
    </row>
    <row r="19087" spans="1:9" x14ac:dyDescent="0.25">
      <c r="A19087">
        <v>584</v>
      </c>
      <c r="B19087" t="s">
        <v>4620</v>
      </c>
      <c r="C19087" t="s">
        <v>48</v>
      </c>
      <c r="D19087" t="s">
        <v>353</v>
      </c>
      <c r="E19087">
        <f t="shared" ref="E19087:E19092" si="910">1/216</f>
        <v>4.6296296296296294E-3</v>
      </c>
      <c r="F19087">
        <v>2</v>
      </c>
      <c r="G19087">
        <f>LOG(382/(2+1))</f>
        <v>2.1049421081920463</v>
      </c>
      <c r="H19087">
        <f>0.00462962962962962*4.84680831993846</f>
        <v>2.2438927407122451E-2</v>
      </c>
      <c r="I19087">
        <v>2.2438927407122521E-2</v>
      </c>
    </row>
    <row r="19088" spans="1:9" x14ac:dyDescent="0.25">
      <c r="A19088">
        <v>584</v>
      </c>
      <c r="B19088" t="s">
        <v>4620</v>
      </c>
      <c r="C19088" t="s">
        <v>48</v>
      </c>
      <c r="D19088" t="s">
        <v>4632</v>
      </c>
      <c r="E19088">
        <f t="shared" si="910"/>
        <v>4.6296296296296294E-3</v>
      </c>
      <c r="F19088">
        <v>1</v>
      </c>
      <c r="G19088">
        <f>LOG(382/(1+1))</f>
        <v>2.2810333672477277</v>
      </c>
      <c r="H19088">
        <f>0.00462962962962962*5.25227342804663</f>
        <v>2.4316080685401014E-2</v>
      </c>
      <c r="I19088">
        <v>2.4316080685401059E-2</v>
      </c>
    </row>
    <row r="19089" spans="1:9" x14ac:dyDescent="0.25">
      <c r="A19089">
        <v>584</v>
      </c>
      <c r="B19089" t="s">
        <v>4620</v>
      </c>
      <c r="C19089" t="s">
        <v>48</v>
      </c>
      <c r="D19089" t="s">
        <v>188</v>
      </c>
      <c r="E19089">
        <f t="shared" si="910"/>
        <v>4.6296296296296294E-3</v>
      </c>
      <c r="F19089">
        <v>19</v>
      </c>
      <c r="G19089">
        <f>LOG(382/(19+1))</f>
        <v>1.2810333672477277</v>
      </c>
      <c r="H19089">
        <f>0.00462962962962962*2.94968833505258</f>
        <v>1.3655964514132287E-2</v>
      </c>
      <c r="I19089">
        <v>1.365596451413234E-2</v>
      </c>
    </row>
    <row r="19090" spans="1:9" x14ac:dyDescent="0.25">
      <c r="A19090">
        <v>584</v>
      </c>
      <c r="B19090" t="s">
        <v>4620</v>
      </c>
      <c r="C19090" t="s">
        <v>48</v>
      </c>
      <c r="D19090" t="s">
        <v>618</v>
      </c>
      <c r="E19090">
        <f t="shared" si="910"/>
        <v>4.6296296296296294E-3</v>
      </c>
      <c r="F19090">
        <v>4</v>
      </c>
      <c r="G19090">
        <f>LOG(382/(4+1))</f>
        <v>1.8830933585756899</v>
      </c>
      <c r="H19090">
        <f>0.00462962962962962*4.33598269617247</f>
        <v>2.0073993963761395E-2</v>
      </c>
      <c r="I19090">
        <v>2.0073993963761461E-2</v>
      </c>
    </row>
    <row r="19091" spans="1:9" x14ac:dyDescent="0.25">
      <c r="A19091">
        <v>584</v>
      </c>
      <c r="B19091" t="s">
        <v>4620</v>
      </c>
      <c r="C19091" t="s">
        <v>48</v>
      </c>
      <c r="D19091" t="s">
        <v>812</v>
      </c>
      <c r="E19091">
        <f t="shared" si="910"/>
        <v>4.6296296296296294E-3</v>
      </c>
      <c r="F19091">
        <v>11</v>
      </c>
      <c r="G19091">
        <f>LOG(382/(11+1))</f>
        <v>1.5028821168640838</v>
      </c>
      <c r="H19091">
        <f>0.00462962962962962*3.46051395881857</f>
        <v>1.6020897957493344E-2</v>
      </c>
      <c r="I19091">
        <v>1.60208979574934E-2</v>
      </c>
    </row>
    <row r="19092" spans="1:9" x14ac:dyDescent="0.25">
      <c r="A19092">
        <v>584</v>
      </c>
      <c r="B19092" t="s">
        <v>4620</v>
      </c>
      <c r="C19092" t="s">
        <v>48</v>
      </c>
      <c r="D19092" t="s">
        <v>3660</v>
      </c>
      <c r="E19092">
        <f t="shared" si="910"/>
        <v>4.6296296296296294E-3</v>
      </c>
      <c r="F19092">
        <v>2</v>
      </c>
      <c r="G19092">
        <f>LOG(382/(2+1))</f>
        <v>2.1049421081920463</v>
      </c>
      <c r="H19092">
        <f>0.00462962962962962*4.84680831993846</f>
        <v>2.2438927407122451E-2</v>
      </c>
      <c r="I19092">
        <v>2.2438927407122521E-2</v>
      </c>
    </row>
    <row r="19093" spans="1:9" x14ac:dyDescent="0.25">
      <c r="A19093">
        <v>584</v>
      </c>
      <c r="B19093" t="s">
        <v>4620</v>
      </c>
      <c r="C19093" t="s">
        <v>48</v>
      </c>
      <c r="D19093" t="s">
        <v>2103</v>
      </c>
      <c r="E19093">
        <f>2/216</f>
        <v>9.2592592592592587E-3</v>
      </c>
      <c r="F19093">
        <v>2</v>
      </c>
      <c r="G19093">
        <f>LOG(382/(2+1))</f>
        <v>2.1049421081920463</v>
      </c>
      <c r="H19093">
        <f>0.00925925925925925*4.84680831993846</f>
        <v>4.4877854814244958E-2</v>
      </c>
      <c r="I19093">
        <v>4.4877854814245048E-2</v>
      </c>
    </row>
    <row r="19094" spans="1:9" x14ac:dyDescent="0.25">
      <c r="A19094">
        <v>584</v>
      </c>
      <c r="B19094" t="s">
        <v>4620</v>
      </c>
      <c r="C19094" t="s">
        <v>48</v>
      </c>
      <c r="D19094" t="s">
        <v>2218</v>
      </c>
      <c r="E19094">
        <f t="shared" ref="E19094:E19100" si="911">1/216</f>
        <v>4.6296296296296294E-3</v>
      </c>
      <c r="F19094">
        <v>3</v>
      </c>
      <c r="G19094">
        <f>LOG(382/(3+1))</f>
        <v>1.9800033715837464</v>
      </c>
      <c r="H19094">
        <f>0.00462962962962962*4.55912624748668</f>
        <v>2.1107065960586438E-2</v>
      </c>
      <c r="I19094">
        <v>2.11070659605865E-2</v>
      </c>
    </row>
    <row r="19095" spans="1:9" x14ac:dyDescent="0.25">
      <c r="A19095">
        <v>584</v>
      </c>
      <c r="B19095" t="s">
        <v>4620</v>
      </c>
      <c r="C19095" t="s">
        <v>48</v>
      </c>
      <c r="D19095" t="s">
        <v>4633</v>
      </c>
      <c r="E19095">
        <f t="shared" si="911"/>
        <v>4.6296296296296294E-3</v>
      </c>
      <c r="F19095">
        <v>3</v>
      </c>
      <c r="G19095">
        <f>LOG(382/(3+1))</f>
        <v>1.9800033715837464</v>
      </c>
      <c r="H19095">
        <f>0.00462962962962962*4.55912624748668</f>
        <v>2.1107065960586438E-2</v>
      </c>
      <c r="I19095">
        <v>2.11070659605865E-2</v>
      </c>
    </row>
    <row r="19096" spans="1:9" x14ac:dyDescent="0.25">
      <c r="A19096">
        <v>584</v>
      </c>
      <c r="B19096" t="s">
        <v>4620</v>
      </c>
      <c r="C19096" t="s">
        <v>48</v>
      </c>
      <c r="D19096" t="s">
        <v>4634</v>
      </c>
      <c r="E19096">
        <f t="shared" si="911"/>
        <v>4.6296296296296294E-3</v>
      </c>
      <c r="F19096">
        <v>1</v>
      </c>
      <c r="G19096">
        <f>LOG(382/(1+1))</f>
        <v>2.2810333672477277</v>
      </c>
      <c r="H19096">
        <f>0.00462962962962962*5.25227342804663</f>
        <v>2.4316080685401014E-2</v>
      </c>
      <c r="I19096">
        <v>2.4316080685401059E-2</v>
      </c>
    </row>
    <row r="19097" spans="1:9" x14ac:dyDescent="0.25">
      <c r="A19097">
        <v>584</v>
      </c>
      <c r="B19097" t="s">
        <v>4620</v>
      </c>
      <c r="C19097" t="s">
        <v>48</v>
      </c>
      <c r="D19097" t="s">
        <v>49</v>
      </c>
      <c r="E19097">
        <f t="shared" si="911"/>
        <v>4.6296296296296294E-3</v>
      </c>
      <c r="F19097">
        <v>13</v>
      </c>
      <c r="G19097">
        <f>LOG(382/(13+1))</f>
        <v>1.4359353272334707</v>
      </c>
      <c r="H19097">
        <f>0.00462962962962962*3.30636327899131</f>
        <v>1.5307237402737515E-2</v>
      </c>
      <c r="I19097">
        <v>1.5307237402737581E-2</v>
      </c>
    </row>
    <row r="19098" spans="1:9" x14ac:dyDescent="0.25">
      <c r="A19098">
        <v>584</v>
      </c>
      <c r="B19098" t="s">
        <v>4620</v>
      </c>
      <c r="C19098" t="s">
        <v>48</v>
      </c>
      <c r="D19098" t="s">
        <v>489</v>
      </c>
      <c r="E19098">
        <f t="shared" si="911"/>
        <v>4.6296296296296294E-3</v>
      </c>
      <c r="F19098">
        <v>6</v>
      </c>
      <c r="G19098">
        <f>LOG(382/(6+1))</f>
        <v>1.736965322897452</v>
      </c>
      <c r="H19098">
        <f>0.00462962962962962*3.99951045955126</f>
        <v>1.8516252127552091E-2</v>
      </c>
      <c r="I19098">
        <v>1.8516252127552139E-2</v>
      </c>
    </row>
    <row r="19099" spans="1:9" x14ac:dyDescent="0.25">
      <c r="A19099">
        <v>584</v>
      </c>
      <c r="B19099" t="s">
        <v>4620</v>
      </c>
      <c r="C19099" t="s">
        <v>48</v>
      </c>
      <c r="D19099" t="s">
        <v>1623</v>
      </c>
      <c r="E19099">
        <f t="shared" si="911"/>
        <v>4.6296296296296294E-3</v>
      </c>
      <c r="F19099">
        <v>3</v>
      </c>
      <c r="G19099">
        <f>LOG(382/(3+1))</f>
        <v>1.9800033715837464</v>
      </c>
      <c r="H19099">
        <f>0.00462962962962962*4.55912624748668</f>
        <v>2.1107065960586438E-2</v>
      </c>
      <c r="I19099">
        <v>2.11070659605865E-2</v>
      </c>
    </row>
    <row r="19100" spans="1:9" x14ac:dyDescent="0.25">
      <c r="A19100">
        <v>584</v>
      </c>
      <c r="B19100" t="s">
        <v>4620</v>
      </c>
      <c r="C19100" t="s">
        <v>48</v>
      </c>
      <c r="D19100" t="s">
        <v>339</v>
      </c>
      <c r="E19100">
        <f t="shared" si="911"/>
        <v>4.6296296296296294E-3</v>
      </c>
      <c r="F19100">
        <v>66</v>
      </c>
      <c r="G19100">
        <f>LOG(382/(66+1))</f>
        <v>0.75598856021088234</v>
      </c>
      <c r="H19100">
        <f>0.00462962962962962*1.7407279892156</f>
        <v>8.0589258759981314E-3</v>
      </c>
      <c r="I19100">
        <v>8.0589258759981904E-3</v>
      </c>
    </row>
    <row r="19101" spans="1:9" x14ac:dyDescent="0.25">
      <c r="A19101">
        <v>584</v>
      </c>
      <c r="B19101" t="s">
        <v>4620</v>
      </c>
      <c r="C19101" t="s">
        <v>48</v>
      </c>
      <c r="D19101" t="s">
        <v>322</v>
      </c>
      <c r="E19101">
        <f>2/216</f>
        <v>9.2592592592592587E-3</v>
      </c>
      <c r="F19101">
        <v>128</v>
      </c>
      <c r="G19101">
        <f>LOG(382/(128+1))</f>
        <v>0.47147365261245977</v>
      </c>
      <c r="H19101">
        <f>0.00925925925925925*1.0856082042449</f>
        <v>1.0051927817082397E-2</v>
      </c>
      <c r="I19101">
        <v>1.005192781708244E-2</v>
      </c>
    </row>
    <row r="19102" spans="1:9" x14ac:dyDescent="0.25">
      <c r="A19102">
        <v>584</v>
      </c>
      <c r="B19102" t="s">
        <v>4620</v>
      </c>
      <c r="C19102" t="s">
        <v>48</v>
      </c>
      <c r="D19102" t="s">
        <v>1942</v>
      </c>
      <c r="E19102">
        <f>1/216</f>
        <v>4.6296296296296294E-3</v>
      </c>
      <c r="F19102">
        <v>3</v>
      </c>
      <c r="G19102">
        <f>LOG(382/(3+1))</f>
        <v>1.9800033715837464</v>
      </c>
      <c r="H19102">
        <f>0.00462962962962962*4.55912624748668</f>
        <v>2.1107065960586438E-2</v>
      </c>
      <c r="I19102">
        <v>2.11070659605865E-2</v>
      </c>
    </row>
    <row r="19103" spans="1:9" x14ac:dyDescent="0.25">
      <c r="A19103">
        <v>584</v>
      </c>
      <c r="B19103" t="s">
        <v>4620</v>
      </c>
      <c r="C19103" t="s">
        <v>48</v>
      </c>
      <c r="D19103" t="s">
        <v>779</v>
      </c>
      <c r="E19103">
        <f>2/216</f>
        <v>9.2592592592592587E-3</v>
      </c>
      <c r="F19103">
        <v>25</v>
      </c>
      <c r="G19103">
        <f>LOG(382/(25+1))</f>
        <v>1.1670900149408907</v>
      </c>
      <c r="H19103">
        <f>0.00925925925925925*2.68732407058509</f>
        <v>2.4882630283195255E-2</v>
      </c>
      <c r="I19103">
        <v>2.488263028319531E-2</v>
      </c>
    </row>
    <row r="19104" spans="1:9" x14ac:dyDescent="0.25">
      <c r="A19104">
        <v>584</v>
      </c>
      <c r="B19104" t="s">
        <v>4620</v>
      </c>
      <c r="C19104" t="s">
        <v>48</v>
      </c>
      <c r="D19104" t="s">
        <v>4635</v>
      </c>
      <c r="E19104">
        <f>1/216</f>
        <v>4.6296296296296294E-3</v>
      </c>
      <c r="F19104">
        <v>1</v>
      </c>
      <c r="G19104">
        <f>LOG(382/(1+1))</f>
        <v>2.2810333672477277</v>
      </c>
      <c r="H19104">
        <f>0.00462962962962962*5.25227342804663</f>
        <v>2.4316080685401014E-2</v>
      </c>
      <c r="I19104">
        <v>2.4316080685401059E-2</v>
      </c>
    </row>
    <row r="19105" spans="1:9" x14ac:dyDescent="0.25">
      <c r="A19105">
        <v>584</v>
      </c>
      <c r="B19105" t="s">
        <v>4620</v>
      </c>
      <c r="C19105" t="s">
        <v>48</v>
      </c>
      <c r="D19105" t="s">
        <v>830</v>
      </c>
      <c r="E19105">
        <f>1/216</f>
        <v>4.6296296296296294E-3</v>
      </c>
      <c r="F19105">
        <v>19</v>
      </c>
      <c r="G19105">
        <f>LOG(382/(19+1))</f>
        <v>1.2810333672477277</v>
      </c>
      <c r="H19105">
        <f>0.00462962962962962*2.94968833505258</f>
        <v>1.3655964514132287E-2</v>
      </c>
      <c r="I19105">
        <v>1.365596451413234E-2</v>
      </c>
    </row>
    <row r="19106" spans="1:9" x14ac:dyDescent="0.25">
      <c r="A19106">
        <v>584</v>
      </c>
      <c r="B19106" t="s">
        <v>4620</v>
      </c>
      <c r="C19106" t="s">
        <v>48</v>
      </c>
      <c r="D19106" t="s">
        <v>432</v>
      </c>
      <c r="E19106">
        <f>1/216</f>
        <v>4.6296296296296294E-3</v>
      </c>
      <c r="F19106">
        <v>67</v>
      </c>
      <c r="G19106">
        <f>LOG(382/(67+1))</f>
        <v>0.7495544502054724</v>
      </c>
      <c r="H19106">
        <f>0.00462962962962962*1.72591290343046</f>
        <v>7.9903375158817437E-3</v>
      </c>
      <c r="I19106">
        <v>7.9903375158817975E-3</v>
      </c>
    </row>
    <row r="19107" spans="1:9" x14ac:dyDescent="0.25">
      <c r="A19107">
        <v>584</v>
      </c>
      <c r="B19107" t="s">
        <v>4620</v>
      </c>
      <c r="C19107" t="s">
        <v>48</v>
      </c>
      <c r="D19107" t="s">
        <v>3848</v>
      </c>
      <c r="E19107">
        <f>1/216</f>
        <v>4.6296296296296294E-3</v>
      </c>
      <c r="F19107">
        <v>2</v>
      </c>
      <c r="G19107">
        <f>LOG(382/(2+1))</f>
        <v>2.1049421081920463</v>
      </c>
      <c r="H19107">
        <f>0.00462962962962962*4.84680831993846</f>
        <v>2.2438927407122451E-2</v>
      </c>
      <c r="I19107">
        <v>2.2438927407122521E-2</v>
      </c>
    </row>
    <row r="19108" spans="1:9" x14ac:dyDescent="0.25">
      <c r="A19108">
        <v>584</v>
      </c>
      <c r="B19108" t="s">
        <v>4620</v>
      </c>
      <c r="C19108" t="s">
        <v>48</v>
      </c>
      <c r="D19108" t="s">
        <v>542</v>
      </c>
      <c r="E19108">
        <f>1/216</f>
        <v>4.6296296296296294E-3</v>
      </c>
      <c r="F19108">
        <v>42</v>
      </c>
      <c r="G19108">
        <f>LOG(382/(42+1))</f>
        <v>0.94859490733212215</v>
      </c>
      <c r="H19108">
        <f>0.00462962962962962*2.18422049291301</f>
        <v>1.0112131911634284E-2</v>
      </c>
      <c r="I19108">
        <v>1.011213191163432E-2</v>
      </c>
    </row>
    <row r="19109" spans="1:9" x14ac:dyDescent="0.25">
      <c r="A19109">
        <v>584</v>
      </c>
      <c r="B19109" t="s">
        <v>4620</v>
      </c>
      <c r="C19109" t="s">
        <v>48</v>
      </c>
      <c r="D19109" t="s">
        <v>237</v>
      </c>
      <c r="E19109">
        <f>4/216</f>
        <v>1.8518518518518517E-2</v>
      </c>
      <c r="F19109">
        <v>138</v>
      </c>
      <c r="G19109">
        <f>LOG(382/(138+1))</f>
        <v>0.43904856265761361</v>
      </c>
      <c r="H19109">
        <f>0.0185185185185185*1.01094667547588</f>
        <v>1.8721234731034795E-2</v>
      </c>
      <c r="I19109">
        <v>1.8721234731034871E-2</v>
      </c>
    </row>
    <row r="19110" spans="1:9" x14ac:dyDescent="0.25">
      <c r="A19110">
        <v>584</v>
      </c>
      <c r="B19110" t="s">
        <v>4620</v>
      </c>
      <c r="C19110" t="s">
        <v>48</v>
      </c>
      <c r="D19110" t="s">
        <v>596</v>
      </c>
      <c r="E19110">
        <f>1/216</f>
        <v>4.6296296296296294E-3</v>
      </c>
      <c r="F19110">
        <v>60</v>
      </c>
      <c r="G19110">
        <f>LOG(382/(60+1))</f>
        <v>0.79673352790094176</v>
      </c>
      <c r="H19110">
        <f>0.00462962962962962*1.83454674443326</f>
        <v>8.4932719649687786E-3</v>
      </c>
      <c r="I19110">
        <v>8.4932719649688133E-3</v>
      </c>
    </row>
    <row r="19111" spans="1:9" x14ac:dyDescent="0.25">
      <c r="A19111">
        <v>584</v>
      </c>
      <c r="B19111" t="s">
        <v>4620</v>
      </c>
      <c r="C19111" t="s">
        <v>48</v>
      </c>
      <c r="D19111" t="s">
        <v>597</v>
      </c>
      <c r="E19111">
        <f>1/216</f>
        <v>4.6296296296296294E-3</v>
      </c>
      <c r="F19111">
        <v>51</v>
      </c>
      <c r="G19111">
        <f>LOG(382/(51+1))</f>
        <v>0.86606001927690957</v>
      </c>
      <c r="H19111">
        <f>0.00462962962962962*1.99417689002514</f>
        <v>9.2323004167830357E-3</v>
      </c>
      <c r="I19111">
        <v>9.2323004167830913E-3</v>
      </c>
    </row>
    <row r="19112" spans="1:9" x14ac:dyDescent="0.25">
      <c r="A19112">
        <v>584</v>
      </c>
      <c r="B19112" t="s">
        <v>4620</v>
      </c>
      <c r="C19112" t="s">
        <v>48</v>
      </c>
      <c r="D19112" t="s">
        <v>805</v>
      </c>
      <c r="E19112">
        <f>1/216</f>
        <v>4.6296296296296294E-3</v>
      </c>
      <c r="F19112">
        <v>19</v>
      </c>
      <c r="G19112">
        <f>LOG(382/(19+1))</f>
        <v>1.2810333672477277</v>
      </c>
      <c r="H19112">
        <f>0.00462962962962962*2.94968833505258</f>
        <v>1.3655964514132287E-2</v>
      </c>
      <c r="I19112">
        <v>1.365596451413234E-2</v>
      </c>
    </row>
    <row r="19113" spans="1:9" x14ac:dyDescent="0.25">
      <c r="A19113">
        <v>584</v>
      </c>
      <c r="B19113" t="s">
        <v>4620</v>
      </c>
      <c r="C19113" t="s">
        <v>48</v>
      </c>
      <c r="D19113" t="s">
        <v>81</v>
      </c>
      <c r="E19113">
        <f>3/216</f>
        <v>1.3888888888888888E-2</v>
      </c>
      <c r="F19113">
        <v>114</v>
      </c>
      <c r="G19113">
        <f>LOG(382/(114+1))</f>
        <v>0.52136552255809698</v>
      </c>
      <c r="H19113">
        <f>0.0138888888888888*1.20048848024332</f>
        <v>1.6673451114490447E-2</v>
      </c>
      <c r="I19113">
        <v>1.6673451114490621E-2</v>
      </c>
    </row>
    <row r="19114" spans="1:9" x14ac:dyDescent="0.25">
      <c r="A19114">
        <v>584</v>
      </c>
      <c r="B19114" t="s">
        <v>4620</v>
      </c>
      <c r="C19114" t="s">
        <v>48</v>
      </c>
      <c r="D19114" t="s">
        <v>324</v>
      </c>
      <c r="E19114">
        <f>2/216</f>
        <v>9.2592592592592587E-3</v>
      </c>
      <c r="F19114">
        <v>82</v>
      </c>
      <c r="G19114">
        <f>LOG(382/(82+1))</f>
        <v>0.66298527053563483</v>
      </c>
      <c r="H19114">
        <f>0.00925925925925925*1.52658000080997</f>
        <v>1.4135000007499707E-2</v>
      </c>
      <c r="I19114">
        <v>1.4135000007499791E-2</v>
      </c>
    </row>
    <row r="19115" spans="1:9" x14ac:dyDescent="0.25">
      <c r="A19115">
        <v>584</v>
      </c>
      <c r="B19115" t="s">
        <v>4620</v>
      </c>
      <c r="C19115" t="s">
        <v>48</v>
      </c>
      <c r="D19115" t="s">
        <v>2175</v>
      </c>
      <c r="E19115">
        <f>1/216</f>
        <v>4.6296296296296294E-3</v>
      </c>
      <c r="F19115">
        <v>2</v>
      </c>
      <c r="G19115">
        <f>LOG(382/(2+1))</f>
        <v>2.1049421081920463</v>
      </c>
      <c r="H19115">
        <f>0.00462962962962962*4.84680831993846</f>
        <v>2.2438927407122451E-2</v>
      </c>
      <c r="I19115">
        <v>2.2438927407122521E-2</v>
      </c>
    </row>
    <row r="19116" spans="1:9" x14ac:dyDescent="0.25">
      <c r="A19116">
        <v>584</v>
      </c>
      <c r="B19116" t="s">
        <v>4620</v>
      </c>
      <c r="C19116" t="s">
        <v>48</v>
      </c>
      <c r="D19116" t="s">
        <v>1222</v>
      </c>
      <c r="E19116">
        <f>1/216</f>
        <v>4.6296296296296294E-3</v>
      </c>
      <c r="F19116">
        <v>56</v>
      </c>
      <c r="G19116">
        <f>LOG(382/(56+1))</f>
        <v>0.82618850723921733</v>
      </c>
      <c r="H19116">
        <f>0.00462962962962962*1.90236934077202</f>
        <v>8.8072654665371109E-3</v>
      </c>
      <c r="I19116">
        <v>8.8072654665371525E-3</v>
      </c>
    </row>
    <row r="19117" spans="1:9" x14ac:dyDescent="0.25">
      <c r="A19117">
        <v>584</v>
      </c>
      <c r="B19117" t="s">
        <v>4620</v>
      </c>
      <c r="C19117" t="s">
        <v>48</v>
      </c>
      <c r="D19117" t="s">
        <v>840</v>
      </c>
      <c r="E19117">
        <f>1/216</f>
        <v>4.6296296296296294E-3</v>
      </c>
      <c r="F19117">
        <v>3</v>
      </c>
      <c r="G19117">
        <f>LOG(382/(3+1))</f>
        <v>1.9800033715837464</v>
      </c>
      <c r="H19117">
        <f>0.00462962962962962*4.55912624748668</f>
        <v>2.1107065960586438E-2</v>
      </c>
      <c r="I19117">
        <v>2.11070659605865E-2</v>
      </c>
    </row>
    <row r="19118" spans="1:9" x14ac:dyDescent="0.25">
      <c r="A19118">
        <v>584</v>
      </c>
      <c r="B19118" t="s">
        <v>4620</v>
      </c>
      <c r="C19118" t="s">
        <v>48</v>
      </c>
      <c r="D19118" t="s">
        <v>4636</v>
      </c>
      <c r="E19118">
        <f>2/216</f>
        <v>9.2592592592592587E-3</v>
      </c>
      <c r="F19118">
        <v>1</v>
      </c>
      <c r="G19118">
        <f>LOG(382/(1+1))</f>
        <v>2.2810333672477277</v>
      </c>
      <c r="H19118">
        <f>0.00925925925925925*5.25227342804663</f>
        <v>4.8632161370802084E-2</v>
      </c>
      <c r="I19118">
        <v>4.8632161370802132E-2</v>
      </c>
    </row>
    <row r="19119" spans="1:9" x14ac:dyDescent="0.25">
      <c r="A19119">
        <v>584</v>
      </c>
      <c r="B19119" t="s">
        <v>4620</v>
      </c>
      <c r="C19119" t="s">
        <v>48</v>
      </c>
      <c r="D19119" t="s">
        <v>762</v>
      </c>
      <c r="E19119">
        <f>1/216</f>
        <v>4.6296296296296294E-3</v>
      </c>
      <c r="F19119">
        <v>29</v>
      </c>
      <c r="G19119">
        <f>LOG(382/(29+1))</f>
        <v>1.1049421081920463</v>
      </c>
      <c r="H19119">
        <f>0.00462962962962962*2.54422322694442</f>
        <v>1.1778811235853771E-2</v>
      </c>
      <c r="I19119">
        <v>1.177881123585379E-2</v>
      </c>
    </row>
    <row r="19120" spans="1:9" x14ac:dyDescent="0.25">
      <c r="A19120">
        <v>584</v>
      </c>
      <c r="B19120" t="s">
        <v>4620</v>
      </c>
      <c r="C19120" t="s">
        <v>48</v>
      </c>
      <c r="D19120" t="s">
        <v>931</v>
      </c>
      <c r="E19120">
        <f>1/216</f>
        <v>4.6296296296296294E-3</v>
      </c>
      <c r="F19120">
        <v>22</v>
      </c>
      <c r="G19120">
        <f>LOG(382/(22+1))</f>
        <v>1.2203355268941158</v>
      </c>
      <c r="H19120">
        <f>0.00462962962962962*2.80992639267742</f>
        <v>1.3008918484617656E-2</v>
      </c>
      <c r="I19120">
        <v>1.300891848461771E-2</v>
      </c>
    </row>
    <row r="19121" spans="1:9" x14ac:dyDescent="0.25">
      <c r="A19121">
        <v>584</v>
      </c>
      <c r="B19121" t="s">
        <v>4620</v>
      </c>
      <c r="C19121" t="s">
        <v>48</v>
      </c>
      <c r="D19121" t="s">
        <v>1616</v>
      </c>
      <c r="E19121">
        <f>2/216</f>
        <v>9.2592592592592587E-3</v>
      </c>
      <c r="F19121">
        <v>4</v>
      </c>
      <c r="G19121">
        <f>LOG(382/(4+1))</f>
        <v>1.8830933585756899</v>
      </c>
      <c r="H19121">
        <f>0.00925925925925925*4.33598269617247</f>
        <v>4.0147987927522832E-2</v>
      </c>
      <c r="I19121">
        <v>4.0147987927522923E-2</v>
      </c>
    </row>
    <row r="19122" spans="1:9" x14ac:dyDescent="0.25">
      <c r="A19122">
        <v>584</v>
      </c>
      <c r="B19122" t="s">
        <v>4620</v>
      </c>
      <c r="C19122" t="s">
        <v>48</v>
      </c>
      <c r="D19122" t="s">
        <v>878</v>
      </c>
      <c r="E19122">
        <f>1/216</f>
        <v>4.6296296296296294E-3</v>
      </c>
      <c r="F19122">
        <v>9</v>
      </c>
      <c r="G19122">
        <f>LOG(382/(9+1))</f>
        <v>1.5820633629117087</v>
      </c>
      <c r="H19122">
        <f>0.00462962962962962*3.64283551561252</f>
        <v>1.6864979238946816E-2</v>
      </c>
      <c r="I19122">
        <v>1.6864979238946899E-2</v>
      </c>
    </row>
    <row r="19123" spans="1:9" x14ac:dyDescent="0.25">
      <c r="A19123">
        <v>584</v>
      </c>
      <c r="B19123" t="s">
        <v>4620</v>
      </c>
      <c r="C19123" t="s">
        <v>48</v>
      </c>
      <c r="D19123" t="s">
        <v>1934</v>
      </c>
      <c r="E19123">
        <f>1/216</f>
        <v>4.6296296296296294E-3</v>
      </c>
      <c r="F19123">
        <v>3</v>
      </c>
      <c r="G19123">
        <f>LOG(382/(3+1))</f>
        <v>1.9800033715837464</v>
      </c>
      <c r="H19123">
        <f>0.00462962962962962*4.55912624748668</f>
        <v>2.1107065960586438E-2</v>
      </c>
      <c r="I19123">
        <v>2.11070659605865E-2</v>
      </c>
    </row>
    <row r="19124" spans="1:9" x14ac:dyDescent="0.25">
      <c r="A19124">
        <v>584</v>
      </c>
      <c r="B19124" t="s">
        <v>4620</v>
      </c>
      <c r="C19124" t="s">
        <v>48</v>
      </c>
      <c r="D19124" t="s">
        <v>222</v>
      </c>
      <c r="E19124">
        <f>2/216</f>
        <v>9.2592592592592587E-3</v>
      </c>
      <c r="F19124">
        <v>22</v>
      </c>
      <c r="G19124">
        <f>LOG(382/(22+1))</f>
        <v>1.2203355268941158</v>
      </c>
      <c r="H19124">
        <f>0.00925925925925925*2.80992639267742</f>
        <v>2.6017836969235344E-2</v>
      </c>
      <c r="I19124">
        <v>2.601783696923542E-2</v>
      </c>
    </row>
    <row r="19125" spans="1:9" x14ac:dyDescent="0.25">
      <c r="A19125">
        <v>584</v>
      </c>
      <c r="B19125" t="s">
        <v>4620</v>
      </c>
      <c r="C19125" t="s">
        <v>48</v>
      </c>
      <c r="D19125" t="s">
        <v>133</v>
      </c>
      <c r="E19125">
        <f>1/216</f>
        <v>4.6296296296296294E-3</v>
      </c>
      <c r="F19125">
        <v>142</v>
      </c>
      <c r="G19125">
        <f>LOG(382/(142+1))</f>
        <v>0.42672732544664693</v>
      </c>
      <c r="H19125">
        <f>0.00462962962962962*0.982575978346667</f>
        <v>4.5489628627160411E-3</v>
      </c>
      <c r="I19125">
        <v>4.548962862716055E-3</v>
      </c>
    </row>
    <row r="19126" spans="1:9" x14ac:dyDescent="0.25">
      <c r="A19126">
        <v>584</v>
      </c>
      <c r="B19126" t="s">
        <v>4620</v>
      </c>
      <c r="C19126" t="s">
        <v>48</v>
      </c>
      <c r="D19126" t="s">
        <v>4637</v>
      </c>
      <c r="E19126">
        <f>1/216</f>
        <v>4.6296296296296294E-3</v>
      </c>
      <c r="F19126">
        <v>1</v>
      </c>
      <c r="G19126">
        <f>LOG(382/(1+1))</f>
        <v>2.2810333672477277</v>
      </c>
      <c r="H19126">
        <f>0.00462962962962962*5.25227342804663</f>
        <v>2.4316080685401014E-2</v>
      </c>
      <c r="I19126">
        <v>2.4316080685401059E-2</v>
      </c>
    </row>
    <row r="19127" spans="1:9" x14ac:dyDescent="0.25">
      <c r="A19127">
        <v>584</v>
      </c>
      <c r="B19127" t="s">
        <v>4620</v>
      </c>
      <c r="C19127" t="s">
        <v>48</v>
      </c>
      <c r="D19127" t="s">
        <v>405</v>
      </c>
      <c r="E19127">
        <f>1/216</f>
        <v>4.6296296296296294E-3</v>
      </c>
      <c r="F19127">
        <v>10</v>
      </c>
      <c r="G19127">
        <f>LOG(382/(10+1))</f>
        <v>1.5406706777534838</v>
      </c>
      <c r="H19127">
        <f>0.00462962962962962*3.5475253358082</f>
        <v>1.642372840651941E-2</v>
      </c>
      <c r="I19127">
        <v>1.6423728406519469E-2</v>
      </c>
    </row>
    <row r="19128" spans="1:9" x14ac:dyDescent="0.25">
      <c r="A19128">
        <v>584</v>
      </c>
      <c r="B19128" t="s">
        <v>4620</v>
      </c>
      <c r="C19128" t="s">
        <v>48</v>
      </c>
      <c r="D19128" t="s">
        <v>1127</v>
      </c>
      <c r="E19128">
        <f>1/216</f>
        <v>4.6296296296296294E-3</v>
      </c>
      <c r="F19128">
        <v>18</v>
      </c>
      <c r="G19128">
        <f>LOG(382/(18+1))</f>
        <v>1.3033097619588798</v>
      </c>
      <c r="H19128">
        <f>0.00462962962962962*3.00098162944013</f>
        <v>1.3893433469630203E-2</v>
      </c>
      <c r="I19128">
        <v>1.389343346963025E-2</v>
      </c>
    </row>
    <row r="19129" spans="1:9" x14ac:dyDescent="0.25">
      <c r="A19129">
        <v>584</v>
      </c>
      <c r="B19129" t="s">
        <v>4620</v>
      </c>
      <c r="C19129" t="s">
        <v>48</v>
      </c>
      <c r="D19129" t="s">
        <v>424</v>
      </c>
      <c r="E19129">
        <f>1/216</f>
        <v>4.6296296296296294E-3</v>
      </c>
      <c r="F19129">
        <v>3</v>
      </c>
      <c r="G19129">
        <f>LOG(382/(3+1))</f>
        <v>1.9800033715837464</v>
      </c>
      <c r="H19129">
        <f>0.00462962962962962*4.55912624748668</f>
        <v>2.1107065960586438E-2</v>
      </c>
      <c r="I19129">
        <v>2.11070659605865E-2</v>
      </c>
    </row>
    <row r="19130" spans="1:9" x14ac:dyDescent="0.25">
      <c r="A19130">
        <v>584</v>
      </c>
      <c r="B19130" t="s">
        <v>4620</v>
      </c>
      <c r="C19130" t="s">
        <v>48</v>
      </c>
      <c r="D19130" t="s">
        <v>193</v>
      </c>
      <c r="E19130">
        <f>2/216</f>
        <v>9.2592592592592587E-3</v>
      </c>
      <c r="F19130">
        <v>10</v>
      </c>
      <c r="G19130">
        <f>LOG(382/(10+1))</f>
        <v>1.5406706777534838</v>
      </c>
      <c r="H19130">
        <f>0.00925925925925925*3.5475253358082</f>
        <v>3.2847456813038856E-2</v>
      </c>
      <c r="I19130">
        <v>3.2847456813038932E-2</v>
      </c>
    </row>
    <row r="19131" spans="1:9" x14ac:dyDescent="0.25">
      <c r="A19131">
        <v>584</v>
      </c>
      <c r="B19131" t="s">
        <v>4620</v>
      </c>
      <c r="C19131" t="s">
        <v>48</v>
      </c>
      <c r="D19131" t="s">
        <v>426</v>
      </c>
      <c r="E19131">
        <f>1/216</f>
        <v>4.6296296296296294E-3</v>
      </c>
      <c r="F19131">
        <v>10</v>
      </c>
      <c r="G19131">
        <f>LOG(382/(10+1))</f>
        <v>1.5406706777534838</v>
      </c>
      <c r="H19131">
        <f>0.00462962962962962*3.5475253358082</f>
        <v>1.642372840651941E-2</v>
      </c>
      <c r="I19131">
        <v>1.6423728406519469E-2</v>
      </c>
    </row>
    <row r="19132" spans="1:9" x14ac:dyDescent="0.25">
      <c r="A19132">
        <v>584</v>
      </c>
      <c r="B19132" t="s">
        <v>4620</v>
      </c>
      <c r="C19132" t="s">
        <v>48</v>
      </c>
      <c r="D19132" t="s">
        <v>129</v>
      </c>
      <c r="E19132">
        <f>1/216</f>
        <v>4.6296296296296294E-3</v>
      </c>
      <c r="F19132">
        <v>7</v>
      </c>
      <c r="G19132">
        <f>LOG(382/(7+1))</f>
        <v>1.6789733759197651</v>
      </c>
      <c r="H19132">
        <f>0.00462962962962962*3.86597906692673</f>
        <v>1.7898051235771862E-2</v>
      </c>
      <c r="I19132">
        <v>1.7898051235771938E-2</v>
      </c>
    </row>
    <row r="19133" spans="1:9" x14ac:dyDescent="0.25">
      <c r="A19133">
        <v>584</v>
      </c>
      <c r="B19133" t="s">
        <v>4620</v>
      </c>
      <c r="C19133" t="s">
        <v>48</v>
      </c>
      <c r="D19133" t="s">
        <v>130</v>
      </c>
      <c r="E19133">
        <f>1/216</f>
        <v>4.6296296296296294E-3</v>
      </c>
      <c r="F19133">
        <v>4</v>
      </c>
      <c r="G19133">
        <f>LOG(382/(4+1))</f>
        <v>1.8830933585756899</v>
      </c>
      <c r="H19133">
        <f>0.00462962962962962*4.33598269617247</f>
        <v>2.0073993963761395E-2</v>
      </c>
      <c r="I19133">
        <v>2.0073993963761461E-2</v>
      </c>
    </row>
    <row r="19134" spans="1:9" x14ac:dyDescent="0.25">
      <c r="A19134">
        <v>584</v>
      </c>
      <c r="B19134" t="s">
        <v>4620</v>
      </c>
      <c r="C19134" t="s">
        <v>48</v>
      </c>
      <c r="D19134" t="s">
        <v>121</v>
      </c>
      <c r="E19134">
        <f>2/216</f>
        <v>9.2592592592592587E-3</v>
      </c>
      <c r="F19134">
        <v>22</v>
      </c>
      <c r="G19134">
        <f>LOG(382/(22+1))</f>
        <v>1.2203355268941158</v>
      </c>
      <c r="H19134">
        <f>0.00925925925925925*2.80992639267742</f>
        <v>2.6017836969235344E-2</v>
      </c>
      <c r="I19134">
        <v>2.601783696923542E-2</v>
      </c>
    </row>
    <row r="19135" spans="1:9" x14ac:dyDescent="0.25">
      <c r="A19135">
        <v>584</v>
      </c>
      <c r="B19135" t="s">
        <v>4620</v>
      </c>
      <c r="C19135" t="s">
        <v>48</v>
      </c>
      <c r="D19135" t="s">
        <v>120</v>
      </c>
      <c r="E19135">
        <f t="shared" ref="E19135:E19142" si="912">1/216</f>
        <v>4.6296296296296294E-3</v>
      </c>
      <c r="F19135">
        <v>8</v>
      </c>
      <c r="G19135">
        <f>LOG(382/(8+1))</f>
        <v>1.6278208534723839</v>
      </c>
      <c r="H19135">
        <f>0.00462962962962962*3.74819603127035</f>
        <v>1.7352759404029361E-2</v>
      </c>
      <c r="I19135">
        <v>1.735275940402942E-2</v>
      </c>
    </row>
    <row r="19136" spans="1:9" x14ac:dyDescent="0.25">
      <c r="A19136">
        <v>584</v>
      </c>
      <c r="B19136" t="s">
        <v>4620</v>
      </c>
      <c r="C19136" t="s">
        <v>48</v>
      </c>
      <c r="D19136" t="s">
        <v>87</v>
      </c>
      <c r="E19136">
        <f t="shared" si="912"/>
        <v>4.6296296296296294E-3</v>
      </c>
      <c r="F19136">
        <v>12</v>
      </c>
      <c r="G19136">
        <f>LOG(382/(12+1))</f>
        <v>1.468120010604872</v>
      </c>
      <c r="H19136">
        <f>0.00462962962962962*3.38047125114503</f>
        <v>1.5650329866412144E-2</v>
      </c>
      <c r="I19136">
        <v>1.565032986641221E-2</v>
      </c>
    </row>
    <row r="19137" spans="1:9" x14ac:dyDescent="0.25">
      <c r="A19137">
        <v>584</v>
      </c>
      <c r="B19137" t="s">
        <v>4620</v>
      </c>
      <c r="C19137" t="s">
        <v>48</v>
      </c>
      <c r="D19137" t="s">
        <v>88</v>
      </c>
      <c r="E19137">
        <f t="shared" si="912"/>
        <v>4.6296296296296294E-3</v>
      </c>
      <c r="F19137">
        <v>13</v>
      </c>
      <c r="G19137">
        <f>LOG(382/(13+1))</f>
        <v>1.4359353272334707</v>
      </c>
      <c r="H19137">
        <f>0.00462962962962962*3.30636327899131</f>
        <v>1.5307237402737515E-2</v>
      </c>
      <c r="I19137">
        <v>1.5307237402737581E-2</v>
      </c>
    </row>
    <row r="19138" spans="1:9" x14ac:dyDescent="0.25">
      <c r="A19138">
        <v>584</v>
      </c>
      <c r="B19138" t="s">
        <v>4620</v>
      </c>
      <c r="C19138" t="s">
        <v>48</v>
      </c>
      <c r="D19138" t="s">
        <v>89</v>
      </c>
      <c r="E19138">
        <f t="shared" si="912"/>
        <v>4.6296296296296294E-3</v>
      </c>
      <c r="F19138">
        <v>40</v>
      </c>
      <c r="G19138">
        <f>LOG(382/(40+1))</f>
        <v>0.96927950619197323</v>
      </c>
      <c r="H19138">
        <f>0.00462962962962962*2.23184854190226</f>
        <v>1.0332632138436366E-2</v>
      </c>
      <c r="I19138">
        <v>1.033263213843642E-2</v>
      </c>
    </row>
    <row r="19139" spans="1:9" x14ac:dyDescent="0.25">
      <c r="A19139">
        <v>584</v>
      </c>
      <c r="B19139" t="s">
        <v>4620</v>
      </c>
      <c r="C19139" t="s">
        <v>48</v>
      </c>
      <c r="D19139" t="s">
        <v>125</v>
      </c>
      <c r="E19139">
        <f t="shared" si="912"/>
        <v>4.6296296296296294E-3</v>
      </c>
      <c r="F19139">
        <v>9</v>
      </c>
      <c r="G19139">
        <f>LOG(382/(9+1))</f>
        <v>1.5820633629117087</v>
      </c>
      <c r="H19139">
        <f>0.00462962962962962*3.64283551561252</f>
        <v>1.6864979238946816E-2</v>
      </c>
      <c r="I19139">
        <v>1.6864979238946899E-2</v>
      </c>
    </row>
    <row r="19140" spans="1:9" x14ac:dyDescent="0.25">
      <c r="A19140">
        <v>584</v>
      </c>
      <c r="B19140" t="s">
        <v>4620</v>
      </c>
      <c r="C19140" t="s">
        <v>48</v>
      </c>
      <c r="D19140" t="s">
        <v>1762</v>
      </c>
      <c r="E19140">
        <f t="shared" si="912"/>
        <v>4.6296296296296294E-3</v>
      </c>
      <c r="F19140">
        <v>60</v>
      </c>
      <c r="G19140">
        <f>LOG(382/(60+1))</f>
        <v>0.79673352790094176</v>
      </c>
      <c r="H19140">
        <f>0.00462962962962962*1.83454674443326</f>
        <v>8.4932719649687786E-3</v>
      </c>
      <c r="I19140">
        <v>8.4932719649688133E-3</v>
      </c>
    </row>
    <row r="19141" spans="1:9" x14ac:dyDescent="0.25">
      <c r="A19141">
        <v>584</v>
      </c>
      <c r="B19141" t="s">
        <v>4620</v>
      </c>
      <c r="C19141" t="s">
        <v>48</v>
      </c>
      <c r="D19141" t="s">
        <v>1626</v>
      </c>
      <c r="E19141">
        <f t="shared" si="912"/>
        <v>4.6296296296296294E-3</v>
      </c>
      <c r="F19141">
        <v>32</v>
      </c>
      <c r="G19141">
        <f>LOG(382/(32+1))</f>
        <v>1.0635494230338212</v>
      </c>
      <c r="H19141">
        <f>0.00462962962962962*2.44891304714009</f>
        <v>1.133756040342632E-2</v>
      </c>
      <c r="I19141">
        <v>1.133756040342637E-2</v>
      </c>
    </row>
    <row r="19142" spans="1:9" x14ac:dyDescent="0.25">
      <c r="A19142">
        <v>584</v>
      </c>
      <c r="B19142" t="s">
        <v>4620</v>
      </c>
      <c r="C19142" t="s">
        <v>48</v>
      </c>
      <c r="D19142" t="s">
        <v>236</v>
      </c>
      <c r="E19142">
        <f t="shared" si="912"/>
        <v>4.6296296296296294E-3</v>
      </c>
      <c r="F19142">
        <v>87</v>
      </c>
      <c r="G19142">
        <f>LOG(382/(87+1))</f>
        <v>0.63758069076154011</v>
      </c>
      <c r="H19142">
        <f>0.00462962962962962*1.46808379412836</f>
        <v>6.7966842320757266E-3</v>
      </c>
      <c r="I19142">
        <v>6.7966842320757804E-3</v>
      </c>
    </row>
    <row r="19143" spans="1:9" x14ac:dyDescent="0.25">
      <c r="A19143">
        <v>584</v>
      </c>
      <c r="B19143" t="s">
        <v>4620</v>
      </c>
      <c r="C19143" t="s">
        <v>48</v>
      </c>
      <c r="D19143" t="s">
        <v>283</v>
      </c>
      <c r="E19143">
        <f>2/216</f>
        <v>9.2592592592592587E-3</v>
      </c>
      <c r="F19143">
        <v>16</v>
      </c>
      <c r="G19143">
        <f>LOG(382/(16+1))</f>
        <v>1.3516144415334348</v>
      </c>
      <c r="H19143">
        <f>0.00925925925925925*3.11220726455035</f>
        <v>2.8816733931021729E-2</v>
      </c>
      <c r="I19143">
        <v>2.881673393102184E-2</v>
      </c>
    </row>
    <row r="19144" spans="1:9" x14ac:dyDescent="0.25">
      <c r="A19144">
        <v>584</v>
      </c>
      <c r="B19144" t="s">
        <v>4620</v>
      </c>
      <c r="C19144" t="s">
        <v>48</v>
      </c>
      <c r="D19144" t="s">
        <v>1176</v>
      </c>
      <c r="E19144">
        <f>1/216</f>
        <v>4.6296296296296294E-3</v>
      </c>
      <c r="F19144">
        <v>15</v>
      </c>
      <c r="G19144">
        <f>LOG(382/(15+1))</f>
        <v>1.3779433802557839</v>
      </c>
      <c r="H19144">
        <f>0.00462962962962962*3.17283188636679</f>
        <v>1.4689036510957331E-2</v>
      </c>
      <c r="I19144">
        <v>1.468903651095738E-2</v>
      </c>
    </row>
    <row r="19145" spans="1:9" x14ac:dyDescent="0.25">
      <c r="A19145">
        <v>584</v>
      </c>
      <c r="B19145" t="s">
        <v>4620</v>
      </c>
      <c r="C19145" t="s">
        <v>48</v>
      </c>
      <c r="D19145" t="s">
        <v>1150</v>
      </c>
      <c r="E19145">
        <f>2/216</f>
        <v>9.2592592592592587E-3</v>
      </c>
      <c r="F19145">
        <v>2</v>
      </c>
      <c r="G19145">
        <f>LOG(382/(2+1))</f>
        <v>2.1049421081920463</v>
      </c>
      <c r="H19145">
        <f>0.00925925925925925*4.84680831993846</f>
        <v>4.4877854814244958E-2</v>
      </c>
      <c r="I19145">
        <v>4.4877854814245048E-2</v>
      </c>
    </row>
    <row r="19146" spans="1:9" x14ac:dyDescent="0.25">
      <c r="A19146">
        <v>584</v>
      </c>
      <c r="B19146" t="s">
        <v>4620</v>
      </c>
      <c r="C19146" t="s">
        <v>48</v>
      </c>
      <c r="D19146" t="s">
        <v>754</v>
      </c>
      <c r="E19146">
        <f>1/216</f>
        <v>4.6296296296296294E-3</v>
      </c>
      <c r="F19146">
        <v>111</v>
      </c>
      <c r="G19146">
        <f>LOG(382/(111+1))</f>
        <v>0.53284534024152708</v>
      </c>
      <c r="H19146">
        <f>0.00462962962962962*1.22692173731148</f>
        <v>5.6801932282938769E-3</v>
      </c>
      <c r="I19146">
        <v>5.6801932282938917E-3</v>
      </c>
    </row>
    <row r="19147" spans="1:9" x14ac:dyDescent="0.25">
      <c r="A19147">
        <v>584</v>
      </c>
      <c r="B19147" t="s">
        <v>4620</v>
      </c>
      <c r="C19147" t="s">
        <v>48</v>
      </c>
      <c r="D19147" t="s">
        <v>2857</v>
      </c>
      <c r="E19147">
        <f>2/216</f>
        <v>9.2592592592592587E-3</v>
      </c>
      <c r="F19147">
        <v>3</v>
      </c>
      <c r="G19147">
        <f>LOG(382/(3+1))</f>
        <v>1.9800033715837464</v>
      </c>
      <c r="H19147">
        <f>0.00925925925925925*4.55912624748668</f>
        <v>4.2214131921172925E-2</v>
      </c>
      <c r="I19147">
        <v>4.2214131921173001E-2</v>
      </c>
    </row>
    <row r="19148" spans="1:9" x14ac:dyDescent="0.25">
      <c r="A19148">
        <v>584</v>
      </c>
      <c r="B19148" t="s">
        <v>4620</v>
      </c>
      <c r="C19148" t="s">
        <v>48</v>
      </c>
      <c r="D19148" t="s">
        <v>388</v>
      </c>
      <c r="E19148">
        <f>1/216</f>
        <v>4.6296296296296294E-3</v>
      </c>
      <c r="F19148">
        <v>44</v>
      </c>
      <c r="G19148">
        <f>LOG(382/(44+1))</f>
        <v>0.92885084913636506</v>
      </c>
      <c r="H19148">
        <f>0.00462962962962962*2.13875811883625</f>
        <v>9.9016579575752096E-3</v>
      </c>
      <c r="I19148">
        <v>9.9016579575752547E-3</v>
      </c>
    </row>
    <row r="19149" spans="1:9" x14ac:dyDescent="0.25">
      <c r="A19149">
        <v>584</v>
      </c>
      <c r="B19149" t="s">
        <v>4620</v>
      </c>
      <c r="C19149" t="s">
        <v>48</v>
      </c>
      <c r="D19149" t="s">
        <v>1303</v>
      </c>
      <c r="E19149">
        <f>1/216</f>
        <v>4.6296296296296294E-3</v>
      </c>
      <c r="F19149">
        <v>17</v>
      </c>
      <c r="G19149">
        <f>LOG(382/(17+1))</f>
        <v>1.3267908578084027</v>
      </c>
      <c r="H19149">
        <f>0.00462962962962962*3.05504885071041</f>
        <v>1.414374467921483E-2</v>
      </c>
      <c r="I19149">
        <v>1.4143744679214859E-2</v>
      </c>
    </row>
    <row r="19150" spans="1:9" x14ac:dyDescent="0.25">
      <c r="A19150">
        <v>584</v>
      </c>
      <c r="B19150" t="s">
        <v>4620</v>
      </c>
      <c r="C19150" t="s">
        <v>48</v>
      </c>
      <c r="D19150" t="s">
        <v>1012</v>
      </c>
      <c r="E19150">
        <f>1/216</f>
        <v>4.6296296296296294E-3</v>
      </c>
      <c r="F19150">
        <v>17</v>
      </c>
      <c r="G19150">
        <f>LOG(382/(17+1))</f>
        <v>1.3267908578084027</v>
      </c>
      <c r="H19150">
        <f>0.00462962962962962*3.05504885071041</f>
        <v>1.414374467921483E-2</v>
      </c>
      <c r="I19150">
        <v>1.4143744679214859E-2</v>
      </c>
    </row>
    <row r="19151" spans="1:9" x14ac:dyDescent="0.25">
      <c r="A19151">
        <v>584</v>
      </c>
      <c r="B19151" t="s">
        <v>4620</v>
      </c>
      <c r="C19151" t="s">
        <v>48</v>
      </c>
      <c r="D19151" t="s">
        <v>77</v>
      </c>
      <c r="E19151">
        <f>1/216</f>
        <v>4.6296296296296294E-3</v>
      </c>
      <c r="F19151">
        <v>148</v>
      </c>
      <c r="G19151">
        <f>LOG(382/(148+1))</f>
        <v>0.40887709449943471</v>
      </c>
      <c r="H19151">
        <f>0.00462962962962962*0.941474302661116</f>
        <v>4.3586773271347872E-3</v>
      </c>
      <c r="I19151">
        <v>4.3586773271347967E-3</v>
      </c>
    </row>
    <row r="19152" spans="1:9" x14ac:dyDescent="0.25">
      <c r="A19152">
        <v>584</v>
      </c>
      <c r="B19152" t="s">
        <v>4620</v>
      </c>
      <c r="C19152" t="s">
        <v>48</v>
      </c>
      <c r="D19152" t="s">
        <v>1452</v>
      </c>
      <c r="E19152">
        <f>2/216</f>
        <v>9.2592592592592587E-3</v>
      </c>
      <c r="F19152">
        <v>8</v>
      </c>
      <c r="G19152">
        <f>LOG(382/(8+1))</f>
        <v>1.6278208534723839</v>
      </c>
      <c r="H19152">
        <f>0.00925925925925925*3.74819603127035</f>
        <v>3.4705518808058763E-2</v>
      </c>
      <c r="I19152">
        <v>3.4705518808058847E-2</v>
      </c>
    </row>
    <row r="19153" spans="1:9" x14ac:dyDescent="0.25">
      <c r="A19153">
        <v>584</v>
      </c>
      <c r="B19153" t="s">
        <v>4620</v>
      </c>
      <c r="C19153" t="s">
        <v>48</v>
      </c>
      <c r="D19153" t="s">
        <v>650</v>
      </c>
      <c r="E19153">
        <f>1/216</f>
        <v>4.6296296296296294E-3</v>
      </c>
      <c r="F19153">
        <v>9</v>
      </c>
      <c r="G19153">
        <f>LOG(382/(9+1))</f>
        <v>1.5820633629117087</v>
      </c>
      <c r="H19153">
        <f>0.00462962962962962*3.64283551561252</f>
        <v>1.6864979238946816E-2</v>
      </c>
      <c r="I19153">
        <v>1.6864979238946899E-2</v>
      </c>
    </row>
    <row r="19154" spans="1:9" x14ac:dyDescent="0.25">
      <c r="A19154">
        <v>584</v>
      </c>
      <c r="B19154" t="s">
        <v>4620</v>
      </c>
      <c r="C19154" t="s">
        <v>48</v>
      </c>
      <c r="D19154" t="s">
        <v>4638</v>
      </c>
      <c r="E19154">
        <f>1/216</f>
        <v>4.6296296296296294E-3</v>
      </c>
      <c r="F19154">
        <v>1</v>
      </c>
      <c r="G19154">
        <f>LOG(382/(1+1))</f>
        <v>2.2810333672477277</v>
      </c>
      <c r="H19154">
        <f>0.00462962962962962*5.25227342804663</f>
        <v>2.4316080685401014E-2</v>
      </c>
      <c r="I19154">
        <v>2.4316080685401059E-2</v>
      </c>
    </row>
    <row r="19155" spans="1:9" x14ac:dyDescent="0.25">
      <c r="A19155">
        <v>584</v>
      </c>
      <c r="B19155" t="s">
        <v>4620</v>
      </c>
      <c r="C19155" t="s">
        <v>48</v>
      </c>
      <c r="D19155" t="s">
        <v>1453</v>
      </c>
      <c r="E19155">
        <f>1/216</f>
        <v>4.6296296296296294E-3</v>
      </c>
      <c r="F19155">
        <v>23</v>
      </c>
      <c r="G19155">
        <f>LOG(382/(23+1))</f>
        <v>1.2018521212001028</v>
      </c>
      <c r="H19155">
        <f>0.00462962962962962*2.76736677825862</f>
        <v>1.281188323267877E-2</v>
      </c>
      <c r="I19155">
        <v>1.2811883232678839E-2</v>
      </c>
    </row>
    <row r="19156" spans="1:9" x14ac:dyDescent="0.25">
      <c r="A19156">
        <v>584</v>
      </c>
      <c r="B19156" t="s">
        <v>4620</v>
      </c>
      <c r="C19156" t="s">
        <v>48</v>
      </c>
      <c r="D19156" t="s">
        <v>201</v>
      </c>
      <c r="E19156">
        <f>1/216</f>
        <v>4.6296296296296294E-3</v>
      </c>
      <c r="F19156">
        <v>72</v>
      </c>
      <c r="G19156">
        <f>LOG(382/(72+1))</f>
        <v>0.71874050279125279</v>
      </c>
      <c r="H19156">
        <f>0.00462962962962962*1.65496116745818</f>
        <v>7.661857256750817E-3</v>
      </c>
      <c r="I19156">
        <v>7.6618572567508508E-3</v>
      </c>
    </row>
    <row r="19157" spans="1:9" x14ac:dyDescent="0.25">
      <c r="A19157">
        <v>584</v>
      </c>
      <c r="B19157" t="s">
        <v>4620</v>
      </c>
      <c r="C19157" t="s">
        <v>48</v>
      </c>
      <c r="D19157" t="s">
        <v>1152</v>
      </c>
      <c r="E19157">
        <f>1/216</f>
        <v>4.6296296296296294E-3</v>
      </c>
      <c r="F19157">
        <v>6</v>
      </c>
      <c r="G19157">
        <f>LOG(382/(6+1))</f>
        <v>1.736965322897452</v>
      </c>
      <c r="H19157">
        <f>0.00462962962962962*3.99951045955126</f>
        <v>1.8516252127552091E-2</v>
      </c>
      <c r="I19157">
        <v>1.8516252127552139E-2</v>
      </c>
    </row>
    <row r="19158" spans="1:9" x14ac:dyDescent="0.25">
      <c r="A19158">
        <v>585</v>
      </c>
      <c r="B19158" t="s">
        <v>4639</v>
      </c>
      <c r="C19158" t="s">
        <v>10</v>
      </c>
      <c r="D19158" t="s">
        <v>4640</v>
      </c>
      <c r="E19158">
        <f>9/154</f>
        <v>5.844155844155844E-2</v>
      </c>
      <c r="F19158">
        <v>2</v>
      </c>
      <c r="G19158">
        <f>LOG(382/(2+1))</f>
        <v>2.1049421081920463</v>
      </c>
      <c r="H19158">
        <f>0.0584415584415584*4.84680831993846</f>
        <v>0.283255031684715</v>
      </c>
      <c r="I19158">
        <v>0.2832550316847155</v>
      </c>
    </row>
    <row r="19159" spans="1:9" x14ac:dyDescent="0.25">
      <c r="A19159">
        <v>585</v>
      </c>
      <c r="B19159" t="s">
        <v>4639</v>
      </c>
      <c r="C19159" t="s">
        <v>10</v>
      </c>
      <c r="D19159" t="s">
        <v>4641</v>
      </c>
      <c r="E19159">
        <f>8/154</f>
        <v>5.1948051948051951E-2</v>
      </c>
      <c r="F19159">
        <v>1</v>
      </c>
      <c r="G19159">
        <f>LOG(382/(1+1))</f>
        <v>2.2810333672477277</v>
      </c>
      <c r="H19159">
        <f>0.0519480519480519*5.25227342804663</f>
        <v>0.27284537288553895</v>
      </c>
      <c r="I19159">
        <v>0.27284537288553917</v>
      </c>
    </row>
    <row r="19160" spans="1:9" x14ac:dyDescent="0.25">
      <c r="A19160">
        <v>585</v>
      </c>
      <c r="B19160" t="s">
        <v>4639</v>
      </c>
      <c r="C19160" t="s">
        <v>10</v>
      </c>
      <c r="D19160" t="s">
        <v>570</v>
      </c>
      <c r="E19160">
        <f>1/154</f>
        <v>6.4935064935064939E-3</v>
      </c>
      <c r="F19160">
        <v>27</v>
      </c>
      <c r="G19160">
        <f>LOG(382/(27+1))</f>
        <v>1.1349053315694895</v>
      </c>
      <c r="H19160">
        <f>0.00649350649350649*2.61321609843137</f>
        <v>1.6968935704099797E-2</v>
      </c>
      <c r="I19160">
        <v>1.6968935704099811E-2</v>
      </c>
    </row>
    <row r="19161" spans="1:9" x14ac:dyDescent="0.25">
      <c r="A19161">
        <v>585</v>
      </c>
      <c r="B19161" t="s">
        <v>4639</v>
      </c>
      <c r="C19161" t="s">
        <v>10</v>
      </c>
      <c r="D19161" t="s">
        <v>3962</v>
      </c>
      <c r="E19161">
        <f>1/154</f>
        <v>6.4935064935064939E-3</v>
      </c>
      <c r="F19161">
        <v>5</v>
      </c>
      <c r="G19161">
        <f>LOG(382/(5+1))</f>
        <v>1.803912112528065</v>
      </c>
      <c r="H19161">
        <f>0.00649350649350649*4.15366113937852</f>
        <v>2.6971825580379982E-2</v>
      </c>
      <c r="I19161">
        <v>2.6971825580379999E-2</v>
      </c>
    </row>
    <row r="19162" spans="1:9" x14ac:dyDescent="0.25">
      <c r="A19162">
        <v>585</v>
      </c>
      <c r="B19162" t="s">
        <v>4639</v>
      </c>
      <c r="C19162" t="s">
        <v>10</v>
      </c>
      <c r="D19162" t="s">
        <v>765</v>
      </c>
      <c r="E19162">
        <f>1/154</f>
        <v>6.4935064935064939E-3</v>
      </c>
      <c r="F19162">
        <v>44</v>
      </c>
      <c r="G19162">
        <f>LOG(382/(44+1))</f>
        <v>0.92885084913636506</v>
      </c>
      <c r="H19162">
        <f>0.00649350649350649*2.13875811883625</f>
        <v>1.3888039732702914E-2</v>
      </c>
      <c r="I19162">
        <v>1.388803973270296E-2</v>
      </c>
    </row>
    <row r="19163" spans="1:9" x14ac:dyDescent="0.25">
      <c r="A19163">
        <v>585</v>
      </c>
      <c r="B19163" t="s">
        <v>4639</v>
      </c>
      <c r="C19163" t="s">
        <v>10</v>
      </c>
      <c r="D19163" t="s">
        <v>22</v>
      </c>
      <c r="E19163">
        <f>3/154</f>
        <v>1.948051948051948E-2</v>
      </c>
      <c r="F19163">
        <v>259</v>
      </c>
      <c r="G19163">
        <f>LOG(382/(259+1))</f>
        <v>0.16709001494089079</v>
      </c>
      <c r="H19163">
        <f>0.0194805194805194*0.384738977591047</f>
        <v>7.4949151478775084E-3</v>
      </c>
      <c r="I19163">
        <v>7.4949151478775492E-3</v>
      </c>
    </row>
    <row r="19164" spans="1:9" x14ac:dyDescent="0.25">
      <c r="A19164">
        <v>585</v>
      </c>
      <c r="B19164" t="s">
        <v>4639</v>
      </c>
      <c r="C19164" t="s">
        <v>10</v>
      </c>
      <c r="D19164" t="s">
        <v>23</v>
      </c>
      <c r="E19164">
        <f>3/154</f>
        <v>1.948051948051948E-2</v>
      </c>
      <c r="F19164">
        <v>275</v>
      </c>
      <c r="G19164">
        <f>LOG(382/(275+1))</f>
        <v>0.14115428084649101</v>
      </c>
      <c r="H19164">
        <f>0.0194805194805194*0.325019742889425</f>
        <v>6.3315534329108497E-3</v>
      </c>
      <c r="I19164">
        <v>6.3315534329108792E-3</v>
      </c>
    </row>
    <row r="19165" spans="1:9" x14ac:dyDescent="0.25">
      <c r="A19165">
        <v>585</v>
      </c>
      <c r="B19165" t="s">
        <v>4639</v>
      </c>
      <c r="C19165" t="s">
        <v>10</v>
      </c>
      <c r="D19165" t="s">
        <v>204</v>
      </c>
      <c r="E19165">
        <f>2/154</f>
        <v>1.2987012987012988E-2</v>
      </c>
      <c r="F19165">
        <v>166</v>
      </c>
      <c r="G19165">
        <f>LOG(382/(166+1))</f>
        <v>0.35934689176412549</v>
      </c>
      <c r="H19165">
        <f>0.0129870129870129*0.82742679618982</f>
        <v>1.0745802547919667E-2</v>
      </c>
      <c r="I19165">
        <v>1.074580254791974E-2</v>
      </c>
    </row>
    <row r="19166" spans="1:9" x14ac:dyDescent="0.25">
      <c r="A19166">
        <v>585</v>
      </c>
      <c r="B19166" t="s">
        <v>4639</v>
      </c>
      <c r="C19166" t="s">
        <v>10</v>
      </c>
      <c r="D19166" t="s">
        <v>3200</v>
      </c>
      <c r="E19166">
        <f>1/154</f>
        <v>6.4935064935064939E-3</v>
      </c>
      <c r="F19166">
        <v>2</v>
      </c>
      <c r="G19166">
        <f>LOG(382/(2+1))</f>
        <v>2.1049421081920463</v>
      </c>
      <c r="H19166">
        <f>0.00649350649350649*4.84680831993846</f>
        <v>3.1472781298301666E-2</v>
      </c>
      <c r="I19166">
        <v>3.1472781298301722E-2</v>
      </c>
    </row>
    <row r="19167" spans="1:9" x14ac:dyDescent="0.25">
      <c r="A19167">
        <v>585</v>
      </c>
      <c r="B19167" t="s">
        <v>4639</v>
      </c>
      <c r="C19167" t="s">
        <v>10</v>
      </c>
      <c r="D19167" t="s">
        <v>1536</v>
      </c>
      <c r="E19167">
        <f>10/154</f>
        <v>6.4935064935064929E-2</v>
      </c>
      <c r="F19167">
        <v>5</v>
      </c>
      <c r="G19167">
        <f>LOG(382/(5+1))</f>
        <v>1.803912112528065</v>
      </c>
      <c r="H19167">
        <f>0.0649350649350649*4.15366113937852</f>
        <v>0.26971825580379988</v>
      </c>
      <c r="I19167">
        <v>0.26971825580379999</v>
      </c>
    </row>
    <row r="19168" spans="1:9" x14ac:dyDescent="0.25">
      <c r="A19168">
        <v>585</v>
      </c>
      <c r="B19168" t="s">
        <v>4639</v>
      </c>
      <c r="C19168" t="s">
        <v>10</v>
      </c>
      <c r="D19168" t="s">
        <v>216</v>
      </c>
      <c r="E19168">
        <f>1/154</f>
        <v>6.4935064935064939E-3</v>
      </c>
      <c r="F19168">
        <v>63</v>
      </c>
      <c r="G19168">
        <f>LOG(382/(63+1))</f>
        <v>0.7758833889278216</v>
      </c>
      <c r="H19168">
        <f>0.00649350649350649*1.7865375252469</f>
        <v>1.1600893021083759E-2</v>
      </c>
      <c r="I19168">
        <v>1.160089302108379E-2</v>
      </c>
    </row>
    <row r="19169" spans="1:9" x14ac:dyDescent="0.25">
      <c r="A19169">
        <v>585</v>
      </c>
      <c r="B19169" t="s">
        <v>4639</v>
      </c>
      <c r="C19169" t="s">
        <v>10</v>
      </c>
      <c r="D19169" t="s">
        <v>133</v>
      </c>
      <c r="E19169">
        <f>2/154</f>
        <v>1.2987012987012988E-2</v>
      </c>
      <c r="F19169">
        <v>142</v>
      </c>
      <c r="G19169">
        <f>LOG(382/(142+1))</f>
        <v>0.42672732544664693</v>
      </c>
      <c r="H19169">
        <f>0.0129870129870129*0.982575978346667</f>
        <v>1.276072699151507E-2</v>
      </c>
      <c r="I19169">
        <v>1.276072699151517E-2</v>
      </c>
    </row>
    <row r="19170" spans="1:9" x14ac:dyDescent="0.25">
      <c r="A19170">
        <v>585</v>
      </c>
      <c r="B19170" t="s">
        <v>4639</v>
      </c>
      <c r="C19170" t="s">
        <v>10</v>
      </c>
      <c r="D19170" t="s">
        <v>573</v>
      </c>
      <c r="E19170">
        <f>1/154</f>
        <v>6.4935064935064939E-3</v>
      </c>
      <c r="F19170">
        <v>14</v>
      </c>
      <c r="G19170">
        <f>LOG(382/(14+1))</f>
        <v>1.4059721038560276</v>
      </c>
      <c r="H19170">
        <f>0.00649350649350649*3.23737040750436</f>
        <v>2.1021885763015311E-2</v>
      </c>
      <c r="I19170">
        <v>2.102188576301536E-2</v>
      </c>
    </row>
    <row r="19171" spans="1:9" x14ac:dyDescent="0.25">
      <c r="A19171">
        <v>585</v>
      </c>
      <c r="B19171" t="s">
        <v>4639</v>
      </c>
      <c r="C19171" t="s">
        <v>10</v>
      </c>
      <c r="D19171" t="s">
        <v>444</v>
      </c>
      <c r="E19171">
        <f>3/154</f>
        <v>1.948051948051948E-2</v>
      </c>
      <c r="F19171">
        <v>28</v>
      </c>
      <c r="G19171">
        <f>LOG(382/(28+1))</f>
        <v>1.1196653650127526</v>
      </c>
      <c r="H19171">
        <f>0.0194805194805194*2.5781247786201</f>
        <v>5.0223209973118618E-2</v>
      </c>
      <c r="I19171">
        <v>5.0223209973118847E-2</v>
      </c>
    </row>
    <row r="19172" spans="1:9" x14ac:dyDescent="0.25">
      <c r="A19172">
        <v>585</v>
      </c>
      <c r="B19172" t="s">
        <v>4639</v>
      </c>
      <c r="C19172" t="s">
        <v>10</v>
      </c>
      <c r="D19172" t="s">
        <v>144</v>
      </c>
      <c r="E19172">
        <f>2/154</f>
        <v>1.2987012987012988E-2</v>
      </c>
      <c r="F19172">
        <v>105</v>
      </c>
      <c r="G19172">
        <f>LOG(382/(105+1))</f>
        <v>0.55675749764693849</v>
      </c>
      <c r="H19172">
        <f>0.0129870129870129*1.2819815144945</f>
        <v>1.6649110577850536E-2</v>
      </c>
      <c r="I19172">
        <v>1.6649110577850759E-2</v>
      </c>
    </row>
    <row r="19173" spans="1:9" x14ac:dyDescent="0.25">
      <c r="A19173">
        <v>585</v>
      </c>
      <c r="B19173" t="s">
        <v>4639</v>
      </c>
      <c r="C19173" t="s">
        <v>10</v>
      </c>
      <c r="D19173" t="s">
        <v>361</v>
      </c>
      <c r="E19173">
        <f>1/154</f>
        <v>6.4935064935064939E-3</v>
      </c>
      <c r="F19173">
        <v>118</v>
      </c>
      <c r="G19173">
        <f>LOG(382/(118+1))</f>
        <v>0.50651640151917798</v>
      </c>
      <c r="H19173">
        <f>0.00649350649350649*1.16629711549504</f>
        <v>7.5733578928249296E-3</v>
      </c>
      <c r="I19173">
        <v>7.5733578928249739E-3</v>
      </c>
    </row>
    <row r="19174" spans="1:9" x14ac:dyDescent="0.25">
      <c r="A19174">
        <v>585</v>
      </c>
      <c r="B19174" t="s">
        <v>4639</v>
      </c>
      <c r="C19174" t="s">
        <v>10</v>
      </c>
      <c r="D19174" t="s">
        <v>434</v>
      </c>
      <c r="E19174">
        <f>1/154</f>
        <v>6.4935064935064939E-3</v>
      </c>
      <c r="F19174">
        <v>97</v>
      </c>
      <c r="G19174">
        <f>LOG(382/(97+1))</f>
        <v>0.59083728721921391</v>
      </c>
      <c r="H19174">
        <f>0.00649350649350649*1.360453129936</f>
        <v>8.8341112333506448E-3</v>
      </c>
      <c r="I19174">
        <v>8.8341112333506708E-3</v>
      </c>
    </row>
    <row r="19175" spans="1:9" x14ac:dyDescent="0.25">
      <c r="A19175">
        <v>585</v>
      </c>
      <c r="B19175" t="s">
        <v>4639</v>
      </c>
      <c r="C19175" t="s">
        <v>10</v>
      </c>
      <c r="D19175" t="s">
        <v>42</v>
      </c>
      <c r="E19175">
        <f>2/154</f>
        <v>1.2987012987012988E-2</v>
      </c>
      <c r="F19175">
        <v>251</v>
      </c>
      <c r="G19175">
        <f>LOG(382/(251+1))</f>
        <v>0.18066282213016463</v>
      </c>
      <c r="H19175">
        <f>0.0129870129870129*0.415991521095151</f>
        <v>5.402487286949976E-3</v>
      </c>
      <c r="I19175">
        <v>5.4024872869500246E-3</v>
      </c>
    </row>
    <row r="19176" spans="1:9" x14ac:dyDescent="0.25">
      <c r="A19176">
        <v>585</v>
      </c>
      <c r="B19176" t="s">
        <v>4639</v>
      </c>
      <c r="C19176" t="s">
        <v>10</v>
      </c>
      <c r="D19176" t="s">
        <v>600</v>
      </c>
      <c r="E19176">
        <f>2/154</f>
        <v>1.2987012987012988E-2</v>
      </c>
      <c r="F19176">
        <v>102</v>
      </c>
      <c r="G19176">
        <f>LOG(382/(102+1))</f>
        <v>0.56922613820653656</v>
      </c>
      <c r="H19176">
        <f>0.0129870129870129*1.31069162037693</f>
        <v>1.7021969095804172E-2</v>
      </c>
      <c r="I19176">
        <v>1.7021969095804411E-2</v>
      </c>
    </row>
    <row r="19177" spans="1:9" x14ac:dyDescent="0.25">
      <c r="A19177">
        <v>585</v>
      </c>
      <c r="B19177" t="s">
        <v>4639</v>
      </c>
      <c r="C19177" t="s">
        <v>10</v>
      </c>
      <c r="D19177" t="s">
        <v>4642</v>
      </c>
      <c r="E19177">
        <f>1/154</f>
        <v>6.4935064935064939E-3</v>
      </c>
      <c r="F19177">
        <v>2</v>
      </c>
      <c r="G19177">
        <f>LOG(382/(2+1))</f>
        <v>2.1049421081920463</v>
      </c>
      <c r="H19177">
        <f>0.00649350649350649*4.84680831993846</f>
        <v>3.1472781298301666E-2</v>
      </c>
      <c r="I19177">
        <v>3.1472781298301722E-2</v>
      </c>
    </row>
    <row r="19178" spans="1:9" x14ac:dyDescent="0.25">
      <c r="A19178">
        <v>585</v>
      </c>
      <c r="B19178" t="s">
        <v>4639</v>
      </c>
      <c r="C19178" t="s">
        <v>10</v>
      </c>
      <c r="D19178" t="s">
        <v>3662</v>
      </c>
      <c r="E19178">
        <f>1/154</f>
        <v>6.4935064935064939E-3</v>
      </c>
      <c r="F19178">
        <v>3</v>
      </c>
      <c r="G19178">
        <f>LOG(382/(3+1))</f>
        <v>1.9800033715837464</v>
      </c>
      <c r="H19178">
        <f>0.00649350649350649*4.55912624748668</f>
        <v>2.9604715892770632E-2</v>
      </c>
      <c r="I19178">
        <v>2.960471589277068E-2</v>
      </c>
    </row>
    <row r="19179" spans="1:9" x14ac:dyDescent="0.25">
      <c r="A19179">
        <v>585</v>
      </c>
      <c r="B19179" t="s">
        <v>4639</v>
      </c>
      <c r="C19179" t="s">
        <v>10</v>
      </c>
      <c r="D19179" t="s">
        <v>4586</v>
      </c>
      <c r="E19179">
        <f>1/154</f>
        <v>6.4935064935064939E-3</v>
      </c>
      <c r="F19179">
        <v>3</v>
      </c>
      <c r="G19179">
        <f>LOG(382/(3+1))</f>
        <v>1.9800033715837464</v>
      </c>
      <c r="H19179">
        <f>0.00649350649350649*4.55912624748668</f>
        <v>2.9604715892770632E-2</v>
      </c>
      <c r="I19179">
        <v>2.960471589277068E-2</v>
      </c>
    </row>
    <row r="19180" spans="1:9" x14ac:dyDescent="0.25">
      <c r="A19180">
        <v>585</v>
      </c>
      <c r="B19180" t="s">
        <v>4639</v>
      </c>
      <c r="C19180" t="s">
        <v>10</v>
      </c>
      <c r="D19180" t="s">
        <v>4643</v>
      </c>
      <c r="E19180">
        <f>1/154</f>
        <v>6.4935064935064939E-3</v>
      </c>
      <c r="F19180">
        <v>1</v>
      </c>
      <c r="G19180">
        <f>LOG(382/(1+1))</f>
        <v>2.2810333672477277</v>
      </c>
      <c r="H19180">
        <f>0.00649350649350649*5.25227342804663</f>
        <v>3.4105671610692383E-2</v>
      </c>
      <c r="I19180">
        <v>3.4105671610692397E-2</v>
      </c>
    </row>
    <row r="19181" spans="1:9" x14ac:dyDescent="0.25">
      <c r="A19181">
        <v>585</v>
      </c>
      <c r="B19181" t="s">
        <v>4639</v>
      </c>
      <c r="C19181" t="s">
        <v>10</v>
      </c>
      <c r="D19181" t="s">
        <v>2267</v>
      </c>
      <c r="E19181">
        <f>2/154</f>
        <v>1.2987012987012988E-2</v>
      </c>
      <c r="F19181">
        <v>9</v>
      </c>
      <c r="G19181">
        <f>LOG(382/(9+1))</f>
        <v>1.5820633629117087</v>
      </c>
      <c r="H19181">
        <f>0.0129870129870129*3.64283551561252</f>
        <v>4.7309552150811632E-2</v>
      </c>
      <c r="I19181">
        <v>4.7309552150812083E-2</v>
      </c>
    </row>
    <row r="19182" spans="1:9" x14ac:dyDescent="0.25">
      <c r="A19182">
        <v>585</v>
      </c>
      <c r="B19182" t="s">
        <v>4639</v>
      </c>
      <c r="C19182" t="s">
        <v>10</v>
      </c>
      <c r="D19182" t="s">
        <v>19</v>
      </c>
      <c r="E19182">
        <f t="shared" ref="E19182:E19190" si="913">1/154</f>
        <v>6.4935064935064939E-3</v>
      </c>
      <c r="F19182">
        <v>220</v>
      </c>
      <c r="G19182">
        <f>LOG(382/(220+1))</f>
        <v>0.23767108922659805</v>
      </c>
      <c r="H19182">
        <f>0.00649350649350649*0.547257907088822</f>
        <v>3.5536227733040373E-3</v>
      </c>
      <c r="I19182">
        <v>3.5536227733040421E-3</v>
      </c>
    </row>
    <row r="19183" spans="1:9" x14ac:dyDescent="0.25">
      <c r="A19183">
        <v>585</v>
      </c>
      <c r="B19183" t="s">
        <v>4639</v>
      </c>
      <c r="C19183" t="s">
        <v>10</v>
      </c>
      <c r="D19183" t="s">
        <v>20</v>
      </c>
      <c r="E19183">
        <f t="shared" si="913"/>
        <v>6.4935064935064939E-3</v>
      </c>
      <c r="F19183">
        <v>19</v>
      </c>
      <c r="G19183">
        <f>LOG(382/(19+1))</f>
        <v>1.2810333672477277</v>
      </c>
      <c r="H19183">
        <f>0.00649350649350649*2.94968833505258</f>
        <v>1.9153820357484273E-2</v>
      </c>
      <c r="I19183">
        <v>1.9153820357484311E-2</v>
      </c>
    </row>
    <row r="19184" spans="1:9" x14ac:dyDescent="0.25">
      <c r="A19184">
        <v>585</v>
      </c>
      <c r="B19184" t="s">
        <v>4639</v>
      </c>
      <c r="C19184" t="s">
        <v>10</v>
      </c>
      <c r="D19184" t="s">
        <v>4644</v>
      </c>
      <c r="E19184">
        <f t="shared" si="913"/>
        <v>6.4935064935064939E-3</v>
      </c>
      <c r="F19184">
        <v>1</v>
      </c>
      <c r="G19184">
        <f>LOG(382/(1+1))</f>
        <v>2.2810333672477277</v>
      </c>
      <c r="H19184">
        <f>0.00649350649350649*5.25227342804663</f>
        <v>3.4105671610692383E-2</v>
      </c>
      <c r="I19184">
        <v>3.4105671610692397E-2</v>
      </c>
    </row>
    <row r="19185" spans="1:9" x14ac:dyDescent="0.25">
      <c r="A19185">
        <v>585</v>
      </c>
      <c r="B19185" t="s">
        <v>4639</v>
      </c>
      <c r="C19185" t="s">
        <v>10</v>
      </c>
      <c r="D19185" t="s">
        <v>671</v>
      </c>
      <c r="E19185">
        <f t="shared" si="913"/>
        <v>6.4935064935064939E-3</v>
      </c>
      <c r="F19185">
        <v>10</v>
      </c>
      <c r="G19185">
        <f>LOG(382/(10+1))</f>
        <v>1.5406706777534838</v>
      </c>
      <c r="H19185">
        <f>0.00649350649350649*3.5475253358082</f>
        <v>2.3035878803949337E-2</v>
      </c>
      <c r="I19185">
        <v>2.3035878803949379E-2</v>
      </c>
    </row>
    <row r="19186" spans="1:9" x14ac:dyDescent="0.25">
      <c r="A19186">
        <v>585</v>
      </c>
      <c r="B19186" t="s">
        <v>4639</v>
      </c>
      <c r="C19186" t="s">
        <v>10</v>
      </c>
      <c r="D19186" t="s">
        <v>4268</v>
      </c>
      <c r="E19186">
        <f t="shared" si="913"/>
        <v>6.4935064935064939E-3</v>
      </c>
      <c r="F19186">
        <v>2</v>
      </c>
      <c r="G19186">
        <f>LOG(382/(2+1))</f>
        <v>2.1049421081920463</v>
      </c>
      <c r="H19186">
        <f>0.00649350649350649*4.84680831993846</f>
        <v>3.1472781298301666E-2</v>
      </c>
      <c r="I19186">
        <v>3.1472781298301722E-2</v>
      </c>
    </row>
    <row r="19187" spans="1:9" x14ac:dyDescent="0.25">
      <c r="A19187">
        <v>585</v>
      </c>
      <c r="B19187" t="s">
        <v>4639</v>
      </c>
      <c r="C19187" t="s">
        <v>10</v>
      </c>
      <c r="D19187" t="s">
        <v>851</v>
      </c>
      <c r="E19187">
        <f t="shared" si="913"/>
        <v>6.4935064935064939E-3</v>
      </c>
      <c r="F19187">
        <v>8</v>
      </c>
      <c r="G19187">
        <f>LOG(382/(8+1))</f>
        <v>1.6278208534723839</v>
      </c>
      <c r="H19187">
        <f>0.00649350649350649*3.74819603127035</f>
        <v>2.4338935267989272E-2</v>
      </c>
      <c r="I19187">
        <v>2.4338935267989321E-2</v>
      </c>
    </row>
    <row r="19188" spans="1:9" x14ac:dyDescent="0.25">
      <c r="A19188">
        <v>585</v>
      </c>
      <c r="B19188" t="s">
        <v>4639</v>
      </c>
      <c r="C19188" t="s">
        <v>10</v>
      </c>
      <c r="D19188" t="s">
        <v>214</v>
      </c>
      <c r="E19188">
        <f t="shared" si="913"/>
        <v>6.4935064935064939E-3</v>
      </c>
      <c r="F19188">
        <v>68</v>
      </c>
      <c r="G19188">
        <f>LOG(382/(68+1))</f>
        <v>0.74321427217445335</v>
      </c>
      <c r="H19188">
        <f>0.00649350649350649*1.71131410400931</f>
        <v>1.1112429246813695E-2</v>
      </c>
      <c r="I19188">
        <v>1.111242924681374E-2</v>
      </c>
    </row>
    <row r="19189" spans="1:9" x14ac:dyDescent="0.25">
      <c r="A19189">
        <v>585</v>
      </c>
      <c r="B19189" t="s">
        <v>4639</v>
      </c>
      <c r="C19189" t="s">
        <v>10</v>
      </c>
      <c r="D19189" t="s">
        <v>1079</v>
      </c>
      <c r="E19189">
        <f t="shared" si="913"/>
        <v>6.4935064935064939E-3</v>
      </c>
      <c r="F19189">
        <v>34</v>
      </c>
      <c r="G19189">
        <f>LOG(382/(34+1))</f>
        <v>1.037995318561433</v>
      </c>
      <c r="H19189">
        <f>0.00649350649350649*2.39007254711716</f>
        <v>1.5519951604656874E-2</v>
      </c>
      <c r="I19189">
        <v>1.5519951604656889E-2</v>
      </c>
    </row>
    <row r="19190" spans="1:9" x14ac:dyDescent="0.25">
      <c r="A19190">
        <v>585</v>
      </c>
      <c r="B19190" t="s">
        <v>4639</v>
      </c>
      <c r="C19190" t="s">
        <v>10</v>
      </c>
      <c r="D19190" t="s">
        <v>4645</v>
      </c>
      <c r="E19190">
        <f t="shared" si="913"/>
        <v>6.4935064935064939E-3</v>
      </c>
      <c r="F19190">
        <v>2</v>
      </c>
      <c r="G19190">
        <f>LOG(382/(2+1))</f>
        <v>2.1049421081920463</v>
      </c>
      <c r="H19190">
        <f>0.00649350649350649*4.84680831993846</f>
        <v>3.1472781298301666E-2</v>
      </c>
      <c r="I19190">
        <v>3.1472781298301722E-2</v>
      </c>
    </row>
    <row r="19191" spans="1:9" x14ac:dyDescent="0.25">
      <c r="A19191">
        <v>585</v>
      </c>
      <c r="B19191" t="s">
        <v>4639</v>
      </c>
      <c r="C19191" t="s">
        <v>10</v>
      </c>
      <c r="D19191" t="s">
        <v>737</v>
      </c>
      <c r="E19191">
        <f>2/154</f>
        <v>1.2987012987012988E-2</v>
      </c>
      <c r="F19191">
        <v>11</v>
      </c>
      <c r="G19191">
        <f>LOG(382/(11+1))</f>
        <v>1.5028821168640838</v>
      </c>
      <c r="H19191">
        <f>0.0129870129870129*3.46051395881857</f>
        <v>4.4941739724916191E-2</v>
      </c>
      <c r="I19191">
        <v>4.4941739724916559E-2</v>
      </c>
    </row>
    <row r="19192" spans="1:9" x14ac:dyDescent="0.25">
      <c r="A19192">
        <v>585</v>
      </c>
      <c r="B19192" t="s">
        <v>4639</v>
      </c>
      <c r="C19192" t="s">
        <v>10</v>
      </c>
      <c r="D19192" t="s">
        <v>1951</v>
      </c>
      <c r="E19192">
        <f>2/154</f>
        <v>1.2987012987012988E-2</v>
      </c>
      <c r="F19192">
        <v>6</v>
      </c>
      <c r="G19192">
        <f>LOG(382/(6+1))</f>
        <v>1.736965322897452</v>
      </c>
      <c r="H19192">
        <f>0.0129870129870129*3.99951045955126</f>
        <v>5.1941694279886146E-2</v>
      </c>
      <c r="I19192">
        <v>5.194169427988652E-2</v>
      </c>
    </row>
    <row r="19193" spans="1:9" x14ac:dyDescent="0.25">
      <c r="A19193">
        <v>585</v>
      </c>
      <c r="B19193" t="s">
        <v>4639</v>
      </c>
      <c r="C19193" t="s">
        <v>10</v>
      </c>
      <c r="D19193" t="s">
        <v>4646</v>
      </c>
      <c r="E19193">
        <f>1/154</f>
        <v>6.4935064935064939E-3</v>
      </c>
      <c r="F19193">
        <v>1</v>
      </c>
      <c r="G19193">
        <f>LOG(382/(1+1))</f>
        <v>2.2810333672477277</v>
      </c>
      <c r="H19193">
        <f>0.00649350649350649*5.25227342804663</f>
        <v>3.4105671610692383E-2</v>
      </c>
      <c r="I19193">
        <v>3.4105671610692397E-2</v>
      </c>
    </row>
    <row r="19194" spans="1:9" x14ac:dyDescent="0.25">
      <c r="A19194">
        <v>585</v>
      </c>
      <c r="B19194" t="s">
        <v>4639</v>
      </c>
      <c r="C19194" t="s">
        <v>10</v>
      </c>
      <c r="D19194" t="s">
        <v>4647</v>
      </c>
      <c r="E19194">
        <f>2/154</f>
        <v>1.2987012987012988E-2</v>
      </c>
      <c r="F19194">
        <v>1</v>
      </c>
      <c r="G19194">
        <f>LOG(382/(1+1))</f>
        <v>2.2810333672477277</v>
      </c>
      <c r="H19194">
        <f>0.0129870129870129*5.25227342804663</f>
        <v>6.8211343221384349E-2</v>
      </c>
      <c r="I19194">
        <v>6.8211343221384807E-2</v>
      </c>
    </row>
    <row r="19195" spans="1:9" x14ac:dyDescent="0.25">
      <c r="A19195">
        <v>585</v>
      </c>
      <c r="B19195" t="s">
        <v>4639</v>
      </c>
      <c r="C19195" t="s">
        <v>10</v>
      </c>
      <c r="D19195" t="s">
        <v>4648</v>
      </c>
      <c r="E19195">
        <f>3/154</f>
        <v>1.948051948051948E-2</v>
      </c>
      <c r="F19195">
        <v>1</v>
      </c>
      <c r="G19195">
        <f>LOG(382/(1+1))</f>
        <v>2.2810333672477277</v>
      </c>
      <c r="H19195">
        <f>0.0194805194805194*5.25227342804663</f>
        <v>0.10231701483207678</v>
      </c>
      <c r="I19195">
        <v>0.1023170148320772</v>
      </c>
    </row>
    <row r="19196" spans="1:9" x14ac:dyDescent="0.25">
      <c r="A19196">
        <v>585</v>
      </c>
      <c r="B19196" t="s">
        <v>4639</v>
      </c>
      <c r="C19196" t="s">
        <v>10</v>
      </c>
      <c r="D19196" t="s">
        <v>4468</v>
      </c>
      <c r="E19196">
        <f>2/154</f>
        <v>1.2987012987012988E-2</v>
      </c>
      <c r="F19196">
        <v>2</v>
      </c>
      <c r="G19196">
        <f>LOG(382/(2+1))</f>
        <v>2.1049421081920463</v>
      </c>
      <c r="H19196">
        <f>0.0129870129870129*4.84680831993846</f>
        <v>6.2945562596602958E-2</v>
      </c>
      <c r="I19196">
        <v>6.2945562596603444E-2</v>
      </c>
    </row>
    <row r="19197" spans="1:9" x14ac:dyDescent="0.25">
      <c r="A19197">
        <v>585</v>
      </c>
      <c r="B19197" t="s">
        <v>4639</v>
      </c>
      <c r="C19197" t="s">
        <v>10</v>
      </c>
      <c r="D19197" t="s">
        <v>2383</v>
      </c>
      <c r="E19197">
        <f>1/154</f>
        <v>6.4935064935064939E-3</v>
      </c>
      <c r="F19197">
        <v>3</v>
      </c>
      <c r="G19197">
        <f>LOG(382/(3+1))</f>
        <v>1.9800033715837464</v>
      </c>
      <c r="H19197">
        <f>0.00649350649350649*4.55912624748668</f>
        <v>2.9604715892770632E-2</v>
      </c>
      <c r="I19197">
        <v>2.960471589277068E-2</v>
      </c>
    </row>
    <row r="19198" spans="1:9" x14ac:dyDescent="0.25">
      <c r="A19198">
        <v>585</v>
      </c>
      <c r="B19198" t="s">
        <v>4639</v>
      </c>
      <c r="C19198" t="s">
        <v>10</v>
      </c>
      <c r="D19198" t="s">
        <v>1106</v>
      </c>
      <c r="E19198">
        <f>2/154</f>
        <v>1.2987012987012988E-2</v>
      </c>
      <c r="F19198">
        <v>7</v>
      </c>
      <c r="G19198">
        <f>LOG(382/(7+1))</f>
        <v>1.6789733759197651</v>
      </c>
      <c r="H19198">
        <f>0.0129870129870129*3.86597906692673</f>
        <v>5.0207520349697457E-2</v>
      </c>
      <c r="I19198">
        <v>5.0207520349697908E-2</v>
      </c>
    </row>
    <row r="19199" spans="1:9" x14ac:dyDescent="0.25">
      <c r="A19199">
        <v>585</v>
      </c>
      <c r="B19199" t="s">
        <v>4639</v>
      </c>
      <c r="C19199" t="s">
        <v>10</v>
      </c>
      <c r="D19199" t="s">
        <v>4649</v>
      </c>
      <c r="E19199">
        <f t="shared" ref="E19199:E19205" si="914">1/154</f>
        <v>6.4935064935064939E-3</v>
      </c>
      <c r="F19199">
        <v>1</v>
      </c>
      <c r="G19199">
        <f>LOG(382/(1+1))</f>
        <v>2.2810333672477277</v>
      </c>
      <c r="H19199">
        <f>0.00649350649350649*5.25227342804663</f>
        <v>3.4105671610692383E-2</v>
      </c>
      <c r="I19199">
        <v>3.4105671610692397E-2</v>
      </c>
    </row>
    <row r="19200" spans="1:9" x14ac:dyDescent="0.25">
      <c r="A19200">
        <v>585</v>
      </c>
      <c r="B19200" t="s">
        <v>4639</v>
      </c>
      <c r="C19200" t="s">
        <v>10</v>
      </c>
      <c r="D19200" t="s">
        <v>11</v>
      </c>
      <c r="E19200">
        <f t="shared" si="914"/>
        <v>6.4935064935064939E-3</v>
      </c>
      <c r="F19200">
        <v>83</v>
      </c>
      <c r="G19200">
        <f>LOG(382/(83+1))</f>
        <v>0.65778407684982709</v>
      </c>
      <c r="H19200">
        <f>0.00649350649350649*1.51460380976326</f>
        <v>9.8350896737873957E-3</v>
      </c>
      <c r="I19200">
        <v>9.835089673787413E-3</v>
      </c>
    </row>
    <row r="19201" spans="1:9" x14ac:dyDescent="0.25">
      <c r="A19201">
        <v>585</v>
      </c>
      <c r="B19201" t="s">
        <v>4639</v>
      </c>
      <c r="C19201" t="s">
        <v>10</v>
      </c>
      <c r="D19201" t="s">
        <v>937</v>
      </c>
      <c r="E19201">
        <f t="shared" si="914"/>
        <v>6.4935064935064939E-3</v>
      </c>
      <c r="F19201">
        <v>41</v>
      </c>
      <c r="G19201">
        <f>LOG(382/(41+1))</f>
        <v>0.95881407251380824</v>
      </c>
      <c r="H19201">
        <f>0.00649350649350649*2.2077509903232</f>
        <v>1.4336045391709084E-2</v>
      </c>
      <c r="I19201">
        <v>1.4336045391709139E-2</v>
      </c>
    </row>
    <row r="19202" spans="1:9" x14ac:dyDescent="0.25">
      <c r="A19202">
        <v>585</v>
      </c>
      <c r="B19202" t="s">
        <v>4639</v>
      </c>
      <c r="C19202" t="s">
        <v>10</v>
      </c>
      <c r="D19202" t="s">
        <v>4650</v>
      </c>
      <c r="E19202">
        <f t="shared" si="914"/>
        <v>6.4935064935064939E-3</v>
      </c>
      <c r="F19202">
        <v>1</v>
      </c>
      <c r="G19202">
        <f>LOG(382/(1+1))</f>
        <v>2.2810333672477277</v>
      </c>
      <c r="H19202">
        <f>0.00649350649350649*5.25227342804663</f>
        <v>3.4105671610692383E-2</v>
      </c>
      <c r="I19202">
        <v>3.4105671610692397E-2</v>
      </c>
    </row>
    <row r="19203" spans="1:9" x14ac:dyDescent="0.25">
      <c r="A19203">
        <v>585</v>
      </c>
      <c r="B19203" t="s">
        <v>4639</v>
      </c>
      <c r="C19203" t="s">
        <v>10</v>
      </c>
      <c r="D19203" t="s">
        <v>4325</v>
      </c>
      <c r="E19203">
        <f t="shared" si="914"/>
        <v>6.4935064935064939E-3</v>
      </c>
      <c r="F19203">
        <v>2</v>
      </c>
      <c r="G19203">
        <f>LOG(382/(2+1))</f>
        <v>2.1049421081920463</v>
      </c>
      <c r="H19203">
        <f>0.00649350649350649*4.84680831993846</f>
        <v>3.1472781298301666E-2</v>
      </c>
      <c r="I19203">
        <v>3.1472781298301722E-2</v>
      </c>
    </row>
    <row r="19204" spans="1:9" x14ac:dyDescent="0.25">
      <c r="A19204">
        <v>585</v>
      </c>
      <c r="B19204" t="s">
        <v>4639</v>
      </c>
      <c r="C19204" t="s">
        <v>10</v>
      </c>
      <c r="D19204" t="s">
        <v>324</v>
      </c>
      <c r="E19204">
        <f t="shared" si="914"/>
        <v>6.4935064935064939E-3</v>
      </c>
      <c r="F19204">
        <v>82</v>
      </c>
      <c r="G19204">
        <f>LOG(382/(82+1))</f>
        <v>0.66298527053563483</v>
      </c>
      <c r="H19204">
        <f>0.00649350649350649*1.52658000080997</f>
        <v>9.912857148116681E-3</v>
      </c>
      <c r="I19204">
        <v>9.9128571481167365E-3</v>
      </c>
    </row>
    <row r="19205" spans="1:9" x14ac:dyDescent="0.25">
      <c r="A19205">
        <v>585</v>
      </c>
      <c r="B19205" t="s">
        <v>4639</v>
      </c>
      <c r="C19205" t="s">
        <v>10</v>
      </c>
      <c r="D19205" t="s">
        <v>4651</v>
      </c>
      <c r="E19205">
        <f t="shared" si="914"/>
        <v>6.4935064935064939E-3</v>
      </c>
      <c r="F19205">
        <v>1</v>
      </c>
      <c r="G19205">
        <f>LOG(382/(1+1))</f>
        <v>2.2810333672477277</v>
      </c>
      <c r="H19205">
        <f>0.00649350649350649*5.25227342804663</f>
        <v>3.4105671610692383E-2</v>
      </c>
      <c r="I19205">
        <v>3.4105671610692397E-2</v>
      </c>
    </row>
    <row r="19206" spans="1:9" x14ac:dyDescent="0.25">
      <c r="A19206">
        <v>585</v>
      </c>
      <c r="B19206" t="s">
        <v>4639</v>
      </c>
      <c r="C19206" t="s">
        <v>10</v>
      </c>
      <c r="D19206" t="s">
        <v>4652</v>
      </c>
      <c r="E19206">
        <f>2/154</f>
        <v>1.2987012987012988E-2</v>
      </c>
      <c r="F19206">
        <v>1</v>
      </c>
      <c r="G19206">
        <f>LOG(382/(1+1))</f>
        <v>2.2810333672477277</v>
      </c>
      <c r="H19206">
        <f>0.0129870129870129*5.25227342804663</f>
        <v>6.8211343221384349E-2</v>
      </c>
      <c r="I19206">
        <v>6.8211343221384807E-2</v>
      </c>
    </row>
    <row r="19207" spans="1:9" x14ac:dyDescent="0.25">
      <c r="A19207">
        <v>585</v>
      </c>
      <c r="B19207" t="s">
        <v>4639</v>
      </c>
      <c r="C19207" t="s">
        <v>10</v>
      </c>
      <c r="D19207" t="s">
        <v>929</v>
      </c>
      <c r="E19207">
        <f>3/154</f>
        <v>1.948051948051948E-2</v>
      </c>
      <c r="F19207">
        <v>32</v>
      </c>
      <c r="G19207">
        <f>LOG(382/(32+1))</f>
        <v>1.0635494230338212</v>
      </c>
      <c r="H19207">
        <f>0.0194805194805194*2.44891304714009</f>
        <v>4.7706098320910648E-2</v>
      </c>
      <c r="I19207">
        <v>4.7706098320910939E-2</v>
      </c>
    </row>
    <row r="19208" spans="1:9" x14ac:dyDescent="0.25">
      <c r="A19208">
        <v>585</v>
      </c>
      <c r="B19208" t="s">
        <v>4639</v>
      </c>
      <c r="C19208" t="s">
        <v>10</v>
      </c>
      <c r="D19208" t="s">
        <v>4653</v>
      </c>
      <c r="E19208">
        <f>2/154</f>
        <v>1.2987012987012988E-2</v>
      </c>
      <c r="F19208">
        <v>1</v>
      </c>
      <c r="G19208">
        <f t="shared" ref="G19208:G19214" si="915">LOG(382/(1+1))</f>
        <v>2.2810333672477277</v>
      </c>
      <c r="H19208">
        <f>0.0129870129870129*5.25227342804663</f>
        <v>6.8211343221384349E-2</v>
      </c>
      <c r="I19208">
        <v>6.8211343221384807E-2</v>
      </c>
    </row>
    <row r="19209" spans="1:9" x14ac:dyDescent="0.25">
      <c r="A19209">
        <v>585</v>
      </c>
      <c r="B19209" t="s">
        <v>4639</v>
      </c>
      <c r="C19209" t="s">
        <v>10</v>
      </c>
      <c r="D19209" t="s">
        <v>4654</v>
      </c>
      <c r="E19209">
        <f>1/154</f>
        <v>6.4935064935064939E-3</v>
      </c>
      <c r="F19209">
        <v>1</v>
      </c>
      <c r="G19209">
        <f t="shared" si="915"/>
        <v>2.2810333672477277</v>
      </c>
      <c r="H19209">
        <f>0.00649350649350649*5.25227342804663</f>
        <v>3.4105671610692383E-2</v>
      </c>
      <c r="I19209">
        <v>3.4105671610692397E-2</v>
      </c>
    </row>
    <row r="19210" spans="1:9" x14ac:dyDescent="0.25">
      <c r="A19210">
        <v>585</v>
      </c>
      <c r="B19210" t="s">
        <v>4639</v>
      </c>
      <c r="C19210" t="s">
        <v>10</v>
      </c>
      <c r="D19210" t="s">
        <v>4655</v>
      </c>
      <c r="E19210">
        <f>1/154</f>
        <v>6.4935064935064939E-3</v>
      </c>
      <c r="F19210">
        <v>1</v>
      </c>
      <c r="G19210">
        <f t="shared" si="915"/>
        <v>2.2810333672477277</v>
      </c>
      <c r="H19210">
        <f>0.00649350649350649*5.25227342804663</f>
        <v>3.4105671610692383E-2</v>
      </c>
      <c r="I19210">
        <v>3.4105671610692397E-2</v>
      </c>
    </row>
    <row r="19211" spans="1:9" x14ac:dyDescent="0.25">
      <c r="A19211">
        <v>585</v>
      </c>
      <c r="B19211" t="s">
        <v>4639</v>
      </c>
      <c r="C19211" t="s">
        <v>10</v>
      </c>
      <c r="D19211" t="s">
        <v>4656</v>
      </c>
      <c r="E19211">
        <f>1/154</f>
        <v>6.4935064935064939E-3</v>
      </c>
      <c r="F19211">
        <v>1</v>
      </c>
      <c r="G19211">
        <f t="shared" si="915"/>
        <v>2.2810333672477277</v>
      </c>
      <c r="H19211">
        <f>0.00649350649350649*5.25227342804663</f>
        <v>3.4105671610692383E-2</v>
      </c>
      <c r="I19211">
        <v>3.4105671610692397E-2</v>
      </c>
    </row>
    <row r="19212" spans="1:9" x14ac:dyDescent="0.25">
      <c r="A19212">
        <v>585</v>
      </c>
      <c r="B19212" t="s">
        <v>4639</v>
      </c>
      <c r="C19212" t="s">
        <v>10</v>
      </c>
      <c r="D19212" t="s">
        <v>4657</v>
      </c>
      <c r="E19212">
        <f>1/154</f>
        <v>6.4935064935064939E-3</v>
      </c>
      <c r="F19212">
        <v>1</v>
      </c>
      <c r="G19212">
        <f t="shared" si="915"/>
        <v>2.2810333672477277</v>
      </c>
      <c r="H19212">
        <f>0.00649350649350649*5.25227342804663</f>
        <v>3.4105671610692383E-2</v>
      </c>
      <c r="I19212">
        <v>3.4105671610692397E-2</v>
      </c>
    </row>
    <row r="19213" spans="1:9" x14ac:dyDescent="0.25">
      <c r="A19213">
        <v>585</v>
      </c>
      <c r="B19213" t="s">
        <v>4639</v>
      </c>
      <c r="C19213" t="s">
        <v>10</v>
      </c>
      <c r="D19213" t="s">
        <v>4658</v>
      </c>
      <c r="E19213">
        <f>2/154</f>
        <v>1.2987012987012988E-2</v>
      </c>
      <c r="F19213">
        <v>1</v>
      </c>
      <c r="G19213">
        <f t="shared" si="915"/>
        <v>2.2810333672477277</v>
      </c>
      <c r="H19213">
        <f>0.0129870129870129*5.25227342804663</f>
        <v>6.8211343221384349E-2</v>
      </c>
      <c r="I19213">
        <v>6.8211343221384807E-2</v>
      </c>
    </row>
    <row r="19214" spans="1:9" x14ac:dyDescent="0.25">
      <c r="A19214">
        <v>585</v>
      </c>
      <c r="B19214" t="s">
        <v>4639</v>
      </c>
      <c r="C19214" t="s">
        <v>10</v>
      </c>
      <c r="D19214" t="s">
        <v>4659</v>
      </c>
      <c r="E19214">
        <f t="shared" ref="E19214:E19222" si="916">1/154</f>
        <v>6.4935064935064939E-3</v>
      </c>
      <c r="F19214">
        <v>1</v>
      </c>
      <c r="G19214">
        <f t="shared" si="915"/>
        <v>2.2810333672477277</v>
      </c>
      <c r="H19214">
        <f>0.00649350649350649*5.25227342804663</f>
        <v>3.4105671610692383E-2</v>
      </c>
      <c r="I19214">
        <v>3.4105671610692397E-2</v>
      </c>
    </row>
    <row r="19215" spans="1:9" x14ac:dyDescent="0.25">
      <c r="A19215">
        <v>585</v>
      </c>
      <c r="B19215" t="s">
        <v>4639</v>
      </c>
      <c r="C19215" t="s">
        <v>10</v>
      </c>
      <c r="D19215" t="s">
        <v>1539</v>
      </c>
      <c r="E19215">
        <f t="shared" si="916"/>
        <v>6.4935064935064939E-3</v>
      </c>
      <c r="F19215">
        <v>6</v>
      </c>
      <c r="G19215">
        <f>LOG(382/(6+1))</f>
        <v>1.736965322897452</v>
      </c>
      <c r="H19215">
        <f>0.00649350649350649*3.99951045955126</f>
        <v>2.5970847139943232E-2</v>
      </c>
      <c r="I19215">
        <v>2.597084713994326E-2</v>
      </c>
    </row>
    <row r="19216" spans="1:9" x14ac:dyDescent="0.25">
      <c r="A19216">
        <v>585</v>
      </c>
      <c r="B19216" t="s">
        <v>4639</v>
      </c>
      <c r="C19216" t="s">
        <v>10</v>
      </c>
      <c r="D19216" t="s">
        <v>4660</v>
      </c>
      <c r="E19216">
        <f t="shared" si="916"/>
        <v>6.4935064935064939E-3</v>
      </c>
      <c r="F19216">
        <v>1</v>
      </c>
      <c r="G19216">
        <f>LOG(382/(1+1))</f>
        <v>2.2810333672477277</v>
      </c>
      <c r="H19216">
        <f>0.00649350649350649*5.25227342804663</f>
        <v>3.4105671610692383E-2</v>
      </c>
      <c r="I19216">
        <v>3.4105671610692397E-2</v>
      </c>
    </row>
    <row r="19217" spans="1:9" x14ac:dyDescent="0.25">
      <c r="A19217">
        <v>585</v>
      </c>
      <c r="B19217" t="s">
        <v>4639</v>
      </c>
      <c r="C19217" t="s">
        <v>10</v>
      </c>
      <c r="D19217" t="s">
        <v>4661</v>
      </c>
      <c r="E19217">
        <f t="shared" si="916"/>
        <v>6.4935064935064939E-3</v>
      </c>
      <c r="F19217">
        <v>1</v>
      </c>
      <c r="G19217">
        <f>LOG(382/(1+1))</f>
        <v>2.2810333672477277</v>
      </c>
      <c r="H19217">
        <f>0.00649350649350649*5.25227342804663</f>
        <v>3.4105671610692383E-2</v>
      </c>
      <c r="I19217">
        <v>3.4105671610692397E-2</v>
      </c>
    </row>
    <row r="19218" spans="1:9" x14ac:dyDescent="0.25">
      <c r="A19218">
        <v>585</v>
      </c>
      <c r="B19218" t="s">
        <v>4639</v>
      </c>
      <c r="C19218" t="s">
        <v>10</v>
      </c>
      <c r="D19218" t="s">
        <v>4662</v>
      </c>
      <c r="E19218">
        <f t="shared" si="916"/>
        <v>6.4935064935064939E-3</v>
      </c>
      <c r="F19218">
        <v>1</v>
      </c>
      <c r="G19218">
        <f>LOG(382/(1+1))</f>
        <v>2.2810333672477277</v>
      </c>
      <c r="H19218">
        <f>0.00649350649350649*5.25227342804663</f>
        <v>3.4105671610692383E-2</v>
      </c>
      <c r="I19218">
        <v>3.4105671610692397E-2</v>
      </c>
    </row>
    <row r="19219" spans="1:9" x14ac:dyDescent="0.25">
      <c r="A19219">
        <v>585</v>
      </c>
      <c r="B19219" t="s">
        <v>4639</v>
      </c>
      <c r="C19219" t="s">
        <v>10</v>
      </c>
      <c r="D19219" t="s">
        <v>269</v>
      </c>
      <c r="E19219">
        <f t="shared" si="916"/>
        <v>6.4935064935064939E-3</v>
      </c>
      <c r="F19219">
        <v>4</v>
      </c>
      <c r="G19219">
        <f>LOG(382/(4+1))</f>
        <v>1.8830933585756899</v>
      </c>
      <c r="H19219">
        <f>0.00649350649350649*4.33598269617247</f>
        <v>2.8155731793327712E-2</v>
      </c>
      <c r="I19219">
        <v>2.8155731793327761E-2</v>
      </c>
    </row>
    <row r="19220" spans="1:9" x14ac:dyDescent="0.25">
      <c r="A19220">
        <v>585</v>
      </c>
      <c r="B19220" t="s">
        <v>4639</v>
      </c>
      <c r="C19220" t="s">
        <v>10</v>
      </c>
      <c r="D19220" t="s">
        <v>4663</v>
      </c>
      <c r="E19220">
        <f t="shared" si="916"/>
        <v>6.4935064935064939E-3</v>
      </c>
      <c r="F19220">
        <v>1</v>
      </c>
      <c r="G19220">
        <f>LOG(382/(1+1))</f>
        <v>2.2810333672477277</v>
      </c>
      <c r="H19220">
        <f>0.00649350649350649*5.25227342804663</f>
        <v>3.4105671610692383E-2</v>
      </c>
      <c r="I19220">
        <v>3.4105671610692397E-2</v>
      </c>
    </row>
    <row r="19221" spans="1:9" x14ac:dyDescent="0.25">
      <c r="A19221">
        <v>585</v>
      </c>
      <c r="B19221" t="s">
        <v>4639</v>
      </c>
      <c r="C19221" t="s">
        <v>10</v>
      </c>
      <c r="D19221" t="s">
        <v>1834</v>
      </c>
      <c r="E19221">
        <f t="shared" si="916"/>
        <v>6.4935064935064939E-3</v>
      </c>
      <c r="F19221">
        <v>12</v>
      </c>
      <c r="G19221">
        <f>LOG(382/(12+1))</f>
        <v>1.468120010604872</v>
      </c>
      <c r="H19221">
        <f>0.00649350649350649*3.38047125114503</f>
        <v>2.1951112020422259E-2</v>
      </c>
      <c r="I19221">
        <v>2.1951112020422329E-2</v>
      </c>
    </row>
    <row r="19222" spans="1:9" x14ac:dyDescent="0.25">
      <c r="A19222">
        <v>585</v>
      </c>
      <c r="B19222" t="s">
        <v>4639</v>
      </c>
      <c r="C19222" t="s">
        <v>10</v>
      </c>
      <c r="D19222" t="s">
        <v>898</v>
      </c>
      <c r="E19222">
        <f t="shared" si="916"/>
        <v>6.4935064935064939E-3</v>
      </c>
      <c r="F19222">
        <v>22</v>
      </c>
      <c r="G19222">
        <f>LOG(382/(22+1))</f>
        <v>1.2203355268941158</v>
      </c>
      <c r="H19222">
        <f>0.00649350649350649*2.80992639267742</f>
        <v>1.8246275277126092E-2</v>
      </c>
      <c r="I19222">
        <v>1.8246275277126141E-2</v>
      </c>
    </row>
    <row r="19223" spans="1:9" x14ac:dyDescent="0.25">
      <c r="A19223">
        <v>585</v>
      </c>
      <c r="B19223" t="s">
        <v>4639</v>
      </c>
      <c r="C19223" t="s">
        <v>10</v>
      </c>
      <c r="D19223" t="s">
        <v>243</v>
      </c>
      <c r="E19223">
        <f>2/154</f>
        <v>1.2987012987012988E-2</v>
      </c>
      <c r="F19223">
        <v>131</v>
      </c>
      <c r="G19223">
        <f>LOG(382/(131+1))</f>
        <v>0.46148943170585888</v>
      </c>
      <c r="H19223">
        <f>0.0129870129870129*1.0626186860202</f>
        <v>1.380024267558692E-2</v>
      </c>
      <c r="I19223">
        <v>1.380024267558707E-2</v>
      </c>
    </row>
    <row r="19224" spans="1:9" x14ac:dyDescent="0.25">
      <c r="A19224">
        <v>585</v>
      </c>
      <c r="B19224" t="s">
        <v>4639</v>
      </c>
      <c r="C19224" t="s">
        <v>10</v>
      </c>
      <c r="D19224" t="s">
        <v>338</v>
      </c>
      <c r="E19224">
        <f>1/154</f>
        <v>6.4935064935064939E-3</v>
      </c>
      <c r="F19224">
        <v>54</v>
      </c>
      <c r="G19224">
        <f>LOG(382/(54+1))</f>
        <v>0.84170067341746491</v>
      </c>
      <c r="H19224">
        <f>0.00649350649350649*1.9380874233741</f>
        <v>1.2584983268662978E-2</v>
      </c>
      <c r="I19224">
        <v>1.258498326866302E-2</v>
      </c>
    </row>
    <row r="19225" spans="1:9" x14ac:dyDescent="0.25">
      <c r="A19225">
        <v>585</v>
      </c>
      <c r="B19225" t="s">
        <v>4639</v>
      </c>
      <c r="C19225" t="s">
        <v>10</v>
      </c>
      <c r="D19225" t="s">
        <v>237</v>
      </c>
      <c r="E19225">
        <f>2/154</f>
        <v>1.2987012987012988E-2</v>
      </c>
      <c r="F19225">
        <v>138</v>
      </c>
      <c r="G19225">
        <f>LOG(382/(138+1))</f>
        <v>0.43904856265761361</v>
      </c>
      <c r="H19225">
        <f>0.0129870129870129*1.01094667547588</f>
        <v>1.3129177603582769E-2</v>
      </c>
      <c r="I19225">
        <v>1.3129177603582899E-2</v>
      </c>
    </row>
    <row r="19226" spans="1:9" x14ac:dyDescent="0.25">
      <c r="A19226">
        <v>585</v>
      </c>
      <c r="B19226" t="s">
        <v>4639</v>
      </c>
      <c r="C19226" t="s">
        <v>10</v>
      </c>
      <c r="D19226" t="s">
        <v>881</v>
      </c>
      <c r="E19226">
        <f>2/154</f>
        <v>1.2987012987012988E-2</v>
      </c>
      <c r="F19226">
        <v>15</v>
      </c>
      <c r="G19226">
        <f>LOG(382/(15+1))</f>
        <v>1.3779433802557839</v>
      </c>
      <c r="H19226">
        <f>0.0129870129870129*3.17283188636679</f>
        <v>4.1205608913854143E-2</v>
      </c>
      <c r="I19226">
        <v>4.1205608913854469E-2</v>
      </c>
    </row>
    <row r="19227" spans="1:9" x14ac:dyDescent="0.25">
      <c r="A19227">
        <v>585</v>
      </c>
      <c r="B19227" t="s">
        <v>4639</v>
      </c>
      <c r="C19227" t="s">
        <v>10</v>
      </c>
      <c r="D19227" t="s">
        <v>4664</v>
      </c>
      <c r="E19227">
        <f>1/154</f>
        <v>6.4935064935064939E-3</v>
      </c>
      <c r="F19227">
        <v>1</v>
      </c>
      <c r="G19227">
        <f>LOG(382/(1+1))</f>
        <v>2.2810333672477277</v>
      </c>
      <c r="H19227">
        <f>0.00649350649350649*5.25227342804663</f>
        <v>3.4105671610692383E-2</v>
      </c>
      <c r="I19227">
        <v>3.4105671610692397E-2</v>
      </c>
    </row>
    <row r="19228" spans="1:9" x14ac:dyDescent="0.25">
      <c r="A19228">
        <v>585</v>
      </c>
      <c r="B19228" t="s">
        <v>4639</v>
      </c>
      <c r="C19228" t="s">
        <v>10</v>
      </c>
      <c r="D19228" t="s">
        <v>322</v>
      </c>
      <c r="E19228">
        <f>3/154</f>
        <v>1.948051948051948E-2</v>
      </c>
      <c r="F19228">
        <v>128</v>
      </c>
      <c r="G19228">
        <f>LOG(382/(128+1))</f>
        <v>0.47147365261245977</v>
      </c>
      <c r="H19228">
        <f>0.0194805194805194*1.0856082042449</f>
        <v>2.1148211771004458E-2</v>
      </c>
      <c r="I19228">
        <v>2.1148211771004601E-2</v>
      </c>
    </row>
    <row r="19229" spans="1:9" x14ac:dyDescent="0.25">
      <c r="A19229">
        <v>585</v>
      </c>
      <c r="B19229" t="s">
        <v>4639</v>
      </c>
      <c r="C19229" t="s">
        <v>10</v>
      </c>
      <c r="D19229" t="s">
        <v>81</v>
      </c>
      <c r="E19229">
        <f t="shared" ref="E19229:E19241" si="917">1/154</f>
        <v>6.4935064935064939E-3</v>
      </c>
      <c r="F19229">
        <v>114</v>
      </c>
      <c r="G19229">
        <f>LOG(382/(114+1))</f>
        <v>0.52136552255809698</v>
      </c>
      <c r="H19229">
        <f>0.00649350649350649*1.20048848024332</f>
        <v>7.7953797418397353E-3</v>
      </c>
      <c r="I19229">
        <v>7.7953797418397744E-3</v>
      </c>
    </row>
    <row r="19230" spans="1:9" x14ac:dyDescent="0.25">
      <c r="A19230">
        <v>585</v>
      </c>
      <c r="B19230" t="s">
        <v>4639</v>
      </c>
      <c r="C19230" t="s">
        <v>10</v>
      </c>
      <c r="D19230" t="s">
        <v>754</v>
      </c>
      <c r="E19230">
        <f t="shared" si="917"/>
        <v>6.4935064935064939E-3</v>
      </c>
      <c r="F19230">
        <v>111</v>
      </c>
      <c r="G19230">
        <f>LOG(382/(111+1))</f>
        <v>0.53284534024152708</v>
      </c>
      <c r="H19230">
        <f>0.00649350649350649*1.22692173731148</f>
        <v>7.9670242682563595E-3</v>
      </c>
      <c r="I19230">
        <v>7.9670242682563681E-3</v>
      </c>
    </row>
    <row r="19231" spans="1:9" x14ac:dyDescent="0.25">
      <c r="A19231">
        <v>585</v>
      </c>
      <c r="B19231" t="s">
        <v>4639</v>
      </c>
      <c r="C19231" t="s">
        <v>10</v>
      </c>
      <c r="D19231" t="s">
        <v>1540</v>
      </c>
      <c r="E19231">
        <f t="shared" si="917"/>
        <v>6.4935064935064939E-3</v>
      </c>
      <c r="F19231">
        <v>12</v>
      </c>
      <c r="G19231">
        <f>LOG(382/(12+1))</f>
        <v>1.468120010604872</v>
      </c>
      <c r="H19231">
        <f>0.00649350649350649*3.38047125114503</f>
        <v>2.1951112020422259E-2</v>
      </c>
      <c r="I19231">
        <v>2.1951112020422329E-2</v>
      </c>
    </row>
    <row r="19232" spans="1:9" x14ac:dyDescent="0.25">
      <c r="A19232">
        <v>585</v>
      </c>
      <c r="B19232" t="s">
        <v>4639</v>
      </c>
      <c r="C19232" t="s">
        <v>10</v>
      </c>
      <c r="D19232" t="s">
        <v>4665</v>
      </c>
      <c r="E19232">
        <f t="shared" si="917"/>
        <v>6.4935064935064939E-3</v>
      </c>
      <c r="F19232">
        <v>1</v>
      </c>
      <c r="G19232">
        <f>LOG(382/(1+1))</f>
        <v>2.2810333672477277</v>
      </c>
      <c r="H19232">
        <f>0.00649350649350649*5.25227342804663</f>
        <v>3.4105671610692383E-2</v>
      </c>
      <c r="I19232">
        <v>3.4105671610692397E-2</v>
      </c>
    </row>
    <row r="19233" spans="1:9" x14ac:dyDescent="0.25">
      <c r="A19233">
        <v>585</v>
      </c>
      <c r="B19233" t="s">
        <v>4639</v>
      </c>
      <c r="C19233" t="s">
        <v>10</v>
      </c>
      <c r="D19233" t="s">
        <v>4666</v>
      </c>
      <c r="E19233">
        <f t="shared" si="917"/>
        <v>6.4935064935064939E-3</v>
      </c>
      <c r="F19233">
        <v>1</v>
      </c>
      <c r="G19233">
        <f>LOG(382/(1+1))</f>
        <v>2.2810333672477277</v>
      </c>
      <c r="H19233">
        <f>0.00649350649350649*5.25227342804663</f>
        <v>3.4105671610692383E-2</v>
      </c>
      <c r="I19233">
        <v>3.4105671610692397E-2</v>
      </c>
    </row>
    <row r="19234" spans="1:9" x14ac:dyDescent="0.25">
      <c r="A19234">
        <v>585</v>
      </c>
      <c r="B19234" t="s">
        <v>4639</v>
      </c>
      <c r="C19234" t="s">
        <v>10</v>
      </c>
      <c r="D19234" t="s">
        <v>1474</v>
      </c>
      <c r="E19234">
        <f t="shared" si="917"/>
        <v>6.4935064935064939E-3</v>
      </c>
      <c r="F19234">
        <v>6</v>
      </c>
      <c r="G19234">
        <f>LOG(382/(6+1))</f>
        <v>1.736965322897452</v>
      </c>
      <c r="H19234">
        <f>0.00649350649350649*3.99951045955126</f>
        <v>2.5970847139943232E-2</v>
      </c>
      <c r="I19234">
        <v>2.597084713994326E-2</v>
      </c>
    </row>
    <row r="19235" spans="1:9" x14ac:dyDescent="0.25">
      <c r="A19235">
        <v>585</v>
      </c>
      <c r="B19235" t="s">
        <v>4639</v>
      </c>
      <c r="C19235" t="s">
        <v>10</v>
      </c>
      <c r="D19235" t="s">
        <v>4667</v>
      </c>
      <c r="E19235">
        <f t="shared" si="917"/>
        <v>6.4935064935064939E-3</v>
      </c>
      <c r="F19235">
        <v>2</v>
      </c>
      <c r="G19235">
        <f>LOG(382/(2+1))</f>
        <v>2.1049421081920463</v>
      </c>
      <c r="H19235">
        <f>0.00649350649350649*4.84680831993846</f>
        <v>3.1472781298301666E-2</v>
      </c>
      <c r="I19235">
        <v>3.1472781298301722E-2</v>
      </c>
    </row>
    <row r="19236" spans="1:9" x14ac:dyDescent="0.25">
      <c r="A19236">
        <v>585</v>
      </c>
      <c r="B19236" t="s">
        <v>4639</v>
      </c>
      <c r="C19236" t="s">
        <v>10</v>
      </c>
      <c r="D19236" t="s">
        <v>339</v>
      </c>
      <c r="E19236">
        <f t="shared" si="917"/>
        <v>6.4935064935064939E-3</v>
      </c>
      <c r="F19236">
        <v>66</v>
      </c>
      <c r="G19236">
        <f>LOG(382/(66+1))</f>
        <v>0.75598856021088234</v>
      </c>
      <c r="H19236">
        <f>0.00649350649350649*1.7407279892156</f>
        <v>1.1303428501399993E-2</v>
      </c>
      <c r="I19236">
        <v>1.1303428501400059E-2</v>
      </c>
    </row>
    <row r="19237" spans="1:9" x14ac:dyDescent="0.25">
      <c r="A19237">
        <v>585</v>
      </c>
      <c r="B19237" t="s">
        <v>4639</v>
      </c>
      <c r="C19237" t="s">
        <v>10</v>
      </c>
      <c r="D19237" t="s">
        <v>3186</v>
      </c>
      <c r="E19237">
        <f t="shared" si="917"/>
        <v>6.4935064935064939E-3</v>
      </c>
      <c r="F19237">
        <v>3</v>
      </c>
      <c r="G19237">
        <f>LOG(382/(3+1))</f>
        <v>1.9800033715837464</v>
      </c>
      <c r="H19237">
        <f>0.00649350649350649*4.55912624748668</f>
        <v>2.9604715892770632E-2</v>
      </c>
      <c r="I19237">
        <v>2.960471589277068E-2</v>
      </c>
    </row>
    <row r="19238" spans="1:9" x14ac:dyDescent="0.25">
      <c r="A19238">
        <v>585</v>
      </c>
      <c r="B19238" t="s">
        <v>4639</v>
      </c>
      <c r="C19238" t="s">
        <v>10</v>
      </c>
      <c r="D19238" t="s">
        <v>670</v>
      </c>
      <c r="E19238">
        <f t="shared" si="917"/>
        <v>6.4935064935064939E-3</v>
      </c>
      <c r="F19238">
        <v>6</v>
      </c>
      <c r="G19238">
        <f>LOG(382/(6+1))</f>
        <v>1.736965322897452</v>
      </c>
      <c r="H19238">
        <f>0.00649350649350649*3.99951045955126</f>
        <v>2.5970847139943232E-2</v>
      </c>
      <c r="I19238">
        <v>2.597084713994326E-2</v>
      </c>
    </row>
    <row r="19239" spans="1:9" x14ac:dyDescent="0.25">
      <c r="A19239">
        <v>585</v>
      </c>
      <c r="B19239" t="s">
        <v>4639</v>
      </c>
      <c r="C19239" t="s">
        <v>10</v>
      </c>
      <c r="D19239" t="s">
        <v>4347</v>
      </c>
      <c r="E19239">
        <f t="shared" si="917"/>
        <v>6.4935064935064939E-3</v>
      </c>
      <c r="F19239">
        <v>2</v>
      </c>
      <c r="G19239">
        <f>LOG(382/(2+1))</f>
        <v>2.1049421081920463</v>
      </c>
      <c r="H19239">
        <f>0.00649350649350649*4.84680831993846</f>
        <v>3.1472781298301666E-2</v>
      </c>
      <c r="I19239">
        <v>3.1472781298301722E-2</v>
      </c>
    </row>
    <row r="19240" spans="1:9" x14ac:dyDescent="0.25">
      <c r="A19240">
        <v>585</v>
      </c>
      <c r="B19240" t="s">
        <v>4639</v>
      </c>
      <c r="C19240" t="s">
        <v>10</v>
      </c>
      <c r="D19240" t="s">
        <v>739</v>
      </c>
      <c r="E19240">
        <f t="shared" si="917"/>
        <v>6.4935064935064939E-3</v>
      </c>
      <c r="F19240">
        <v>24</v>
      </c>
      <c r="G19240">
        <f>LOG(382/(24+1))</f>
        <v>1.1841233542396712</v>
      </c>
      <c r="H19240">
        <f>0.00649350649350649*2.72654478373837</f>
        <v>1.770483625804135E-2</v>
      </c>
      <c r="I19240">
        <v>1.7704836258041388E-2</v>
      </c>
    </row>
    <row r="19241" spans="1:9" x14ac:dyDescent="0.25">
      <c r="A19241">
        <v>585</v>
      </c>
      <c r="B19241" t="s">
        <v>4639</v>
      </c>
      <c r="C19241" t="s">
        <v>10</v>
      </c>
      <c r="D19241" t="s">
        <v>4668</v>
      </c>
      <c r="E19241">
        <f t="shared" si="917"/>
        <v>6.4935064935064939E-3</v>
      </c>
      <c r="F19241">
        <v>1</v>
      </c>
      <c r="G19241">
        <f>LOG(382/(1+1))</f>
        <v>2.2810333672477277</v>
      </c>
      <c r="H19241">
        <f>0.00649350649350649*5.25227342804663</f>
        <v>3.4105671610692383E-2</v>
      </c>
      <c r="I19241">
        <v>3.4105671610692397E-2</v>
      </c>
    </row>
    <row r="19242" spans="1:9" x14ac:dyDescent="0.25">
      <c r="A19242">
        <v>585</v>
      </c>
      <c r="B19242" t="s">
        <v>4639</v>
      </c>
      <c r="C19242" t="s">
        <v>10</v>
      </c>
      <c r="D19242" t="s">
        <v>239</v>
      </c>
      <c r="E19242">
        <f>2/154</f>
        <v>1.2987012987012988E-2</v>
      </c>
      <c r="F19242">
        <v>40</v>
      </c>
      <c r="G19242">
        <f>LOG(382/(40+1))</f>
        <v>0.96927950619197323</v>
      </c>
      <c r="H19242">
        <f>0.0129870129870129*2.23184854190226</f>
        <v>2.898504599873045E-2</v>
      </c>
      <c r="I19242">
        <v>2.8985045998730741E-2</v>
      </c>
    </row>
    <row r="19243" spans="1:9" x14ac:dyDescent="0.25">
      <c r="A19243">
        <v>585</v>
      </c>
      <c r="B19243" t="s">
        <v>4639</v>
      </c>
      <c r="C19243" t="s">
        <v>10</v>
      </c>
      <c r="D19243" t="s">
        <v>445</v>
      </c>
      <c r="E19243">
        <f t="shared" ref="E19243:E19257" si="918">1/154</f>
        <v>6.4935064935064939E-3</v>
      </c>
      <c r="F19243">
        <v>35</v>
      </c>
      <c r="G19243">
        <f>LOG(382/(35+1))</f>
        <v>1.0257608621444214</v>
      </c>
      <c r="H19243">
        <f>0.00649350649350649*2.36190167015046</f>
        <v>1.5337023832145835E-2</v>
      </c>
      <c r="I19243">
        <v>1.533702383214588E-2</v>
      </c>
    </row>
    <row r="19244" spans="1:9" x14ac:dyDescent="0.25">
      <c r="A19244">
        <v>585</v>
      </c>
      <c r="B19244" t="s">
        <v>4639</v>
      </c>
      <c r="C19244" t="s">
        <v>10</v>
      </c>
      <c r="D19244" t="s">
        <v>4669</v>
      </c>
      <c r="E19244">
        <f t="shared" si="918"/>
        <v>6.4935064935064939E-3</v>
      </c>
      <c r="F19244">
        <v>1</v>
      </c>
      <c r="G19244">
        <f>LOG(382/(1+1))</f>
        <v>2.2810333672477277</v>
      </c>
      <c r="H19244">
        <f>0.00649350649350649*5.25227342804663</f>
        <v>3.4105671610692383E-2</v>
      </c>
      <c r="I19244">
        <v>3.4105671610692397E-2</v>
      </c>
    </row>
    <row r="19245" spans="1:9" x14ac:dyDescent="0.25">
      <c r="A19245">
        <v>585</v>
      </c>
      <c r="B19245" t="s">
        <v>4639</v>
      </c>
      <c r="C19245" t="s">
        <v>10</v>
      </c>
      <c r="D19245" t="s">
        <v>490</v>
      </c>
      <c r="E19245">
        <f t="shared" si="918"/>
        <v>6.4935064935064939E-3</v>
      </c>
      <c r="F19245">
        <v>31</v>
      </c>
      <c r="G19245">
        <f>LOG(382/(31+1))</f>
        <v>1.0769133845918029</v>
      </c>
      <c r="H19245">
        <f>0.00649350649350649*2.47968470580684</f>
        <v>1.6101848739005446E-2</v>
      </c>
      <c r="I19245">
        <v>1.6101848739005512E-2</v>
      </c>
    </row>
    <row r="19246" spans="1:9" x14ac:dyDescent="0.25">
      <c r="A19246">
        <v>585</v>
      </c>
      <c r="B19246" t="s">
        <v>4639</v>
      </c>
      <c r="C19246" t="s">
        <v>10</v>
      </c>
      <c r="D19246" t="s">
        <v>4670</v>
      </c>
      <c r="E19246">
        <f t="shared" si="918"/>
        <v>6.4935064935064939E-3</v>
      </c>
      <c r="F19246">
        <v>1</v>
      </c>
      <c r="G19246">
        <f>LOG(382/(1+1))</f>
        <v>2.2810333672477277</v>
      </c>
      <c r="H19246">
        <f>0.00649350649350649*5.25227342804663</f>
        <v>3.4105671610692383E-2</v>
      </c>
      <c r="I19246">
        <v>3.4105671610692397E-2</v>
      </c>
    </row>
    <row r="19247" spans="1:9" x14ac:dyDescent="0.25">
      <c r="A19247">
        <v>585</v>
      </c>
      <c r="B19247" t="s">
        <v>4639</v>
      </c>
      <c r="C19247" t="s">
        <v>10</v>
      </c>
      <c r="D19247" t="s">
        <v>1446</v>
      </c>
      <c r="E19247">
        <f t="shared" si="918"/>
        <v>6.4935064935064939E-3</v>
      </c>
      <c r="F19247">
        <v>8</v>
      </c>
      <c r="G19247">
        <f>LOG(382/(8+1))</f>
        <v>1.6278208534723839</v>
      </c>
      <c r="H19247">
        <f>0.00649350649350649*3.74819603127035</f>
        <v>2.4338935267989272E-2</v>
      </c>
      <c r="I19247">
        <v>2.4338935267989321E-2</v>
      </c>
    </row>
    <row r="19248" spans="1:9" x14ac:dyDescent="0.25">
      <c r="A19248">
        <v>585</v>
      </c>
      <c r="B19248" t="s">
        <v>4639</v>
      </c>
      <c r="C19248" t="s">
        <v>10</v>
      </c>
      <c r="D19248" t="s">
        <v>1633</v>
      </c>
      <c r="E19248">
        <f t="shared" si="918"/>
        <v>6.4935064935064939E-3</v>
      </c>
      <c r="F19248">
        <v>18</v>
      </c>
      <c r="G19248">
        <f>LOG(382/(18+1))</f>
        <v>1.3033097619588798</v>
      </c>
      <c r="H19248">
        <f>0.00649350649350649*3.00098162944013</f>
        <v>1.9486893697663172E-2</v>
      </c>
      <c r="I19248">
        <v>1.948689369766321E-2</v>
      </c>
    </row>
    <row r="19249" spans="1:9" x14ac:dyDescent="0.25">
      <c r="A19249">
        <v>585</v>
      </c>
      <c r="B19249" t="s">
        <v>4639</v>
      </c>
      <c r="C19249" t="s">
        <v>10</v>
      </c>
      <c r="D19249" t="s">
        <v>1779</v>
      </c>
      <c r="E19249">
        <f t="shared" si="918"/>
        <v>6.4935064935064939E-3</v>
      </c>
      <c r="F19249">
        <v>41</v>
      </c>
      <c r="G19249">
        <f>LOG(382/(41+1))</f>
        <v>0.95881407251380824</v>
      </c>
      <c r="H19249">
        <f>0.00649350649350649*2.2077509903232</f>
        <v>1.4336045391709084E-2</v>
      </c>
      <c r="I19249">
        <v>1.4336045391709139E-2</v>
      </c>
    </row>
    <row r="19250" spans="1:9" x14ac:dyDescent="0.25">
      <c r="A19250">
        <v>585</v>
      </c>
      <c r="B19250" t="s">
        <v>4639</v>
      </c>
      <c r="C19250" t="s">
        <v>10</v>
      </c>
      <c r="D19250" t="s">
        <v>779</v>
      </c>
      <c r="E19250">
        <f t="shared" si="918"/>
        <v>6.4935064935064939E-3</v>
      </c>
      <c r="F19250">
        <v>25</v>
      </c>
      <c r="G19250">
        <f>LOG(382/(25+1))</f>
        <v>1.1670900149408907</v>
      </c>
      <c r="H19250">
        <f>0.00649350649350649*2.68732407058509</f>
        <v>1.7450156302500575E-2</v>
      </c>
      <c r="I19250">
        <v>1.7450156302500609E-2</v>
      </c>
    </row>
    <row r="19251" spans="1:9" x14ac:dyDescent="0.25">
      <c r="A19251">
        <v>585</v>
      </c>
      <c r="B19251" t="s">
        <v>4639</v>
      </c>
      <c r="C19251" t="s">
        <v>10</v>
      </c>
      <c r="D19251" t="s">
        <v>1473</v>
      </c>
      <c r="E19251">
        <f t="shared" si="918"/>
        <v>6.4935064935064939E-3</v>
      </c>
      <c r="F19251">
        <v>39</v>
      </c>
      <c r="G19251">
        <f>LOG(382/(39+1))</f>
        <v>0.9800033715837464</v>
      </c>
      <c r="H19251">
        <f>0.00649350649350649*2.25654115449263</f>
        <v>1.4652864639562524E-2</v>
      </c>
      <c r="I19251">
        <v>1.465286463956259E-2</v>
      </c>
    </row>
    <row r="19252" spans="1:9" x14ac:dyDescent="0.25">
      <c r="A19252">
        <v>585</v>
      </c>
      <c r="B19252" t="s">
        <v>4639</v>
      </c>
      <c r="C19252" t="s">
        <v>10</v>
      </c>
      <c r="D19252" t="s">
        <v>432</v>
      </c>
      <c r="E19252">
        <f t="shared" si="918"/>
        <v>6.4935064935064939E-3</v>
      </c>
      <c r="F19252">
        <v>67</v>
      </c>
      <c r="G19252">
        <f>LOG(382/(67+1))</f>
        <v>0.7495544502054724</v>
      </c>
      <c r="H19252">
        <f>0.00649350649350649*1.72591290343046</f>
        <v>1.1207226645652331E-2</v>
      </c>
      <c r="I19252">
        <v>1.120722664565239E-2</v>
      </c>
    </row>
    <row r="19253" spans="1:9" x14ac:dyDescent="0.25">
      <c r="A19253">
        <v>585</v>
      </c>
      <c r="B19253" t="s">
        <v>4639</v>
      </c>
      <c r="C19253" t="s">
        <v>10</v>
      </c>
      <c r="D19253" t="s">
        <v>542</v>
      </c>
      <c r="E19253">
        <f t="shared" si="918"/>
        <v>6.4935064935064939E-3</v>
      </c>
      <c r="F19253">
        <v>42</v>
      </c>
      <c r="G19253">
        <f>LOG(382/(42+1))</f>
        <v>0.94859490733212215</v>
      </c>
      <c r="H19253">
        <f>0.00649350649350649*2.18422049291301</f>
        <v>1.4183249953980575E-2</v>
      </c>
      <c r="I19253">
        <v>1.41832499539806E-2</v>
      </c>
    </row>
    <row r="19254" spans="1:9" x14ac:dyDescent="0.25">
      <c r="A19254">
        <v>585</v>
      </c>
      <c r="B19254" t="s">
        <v>4639</v>
      </c>
      <c r="C19254" t="s">
        <v>10</v>
      </c>
      <c r="D19254" t="s">
        <v>596</v>
      </c>
      <c r="E19254">
        <f t="shared" si="918"/>
        <v>6.4935064935064939E-3</v>
      </c>
      <c r="F19254">
        <v>60</v>
      </c>
      <c r="G19254">
        <f>LOG(382/(60+1))</f>
        <v>0.79673352790094176</v>
      </c>
      <c r="H19254">
        <f>0.00649350649350649*1.83454674443326</f>
        <v>1.1912641197618564E-2</v>
      </c>
      <c r="I19254">
        <v>1.19126411976186E-2</v>
      </c>
    </row>
    <row r="19255" spans="1:9" x14ac:dyDescent="0.25">
      <c r="A19255">
        <v>585</v>
      </c>
      <c r="B19255" t="s">
        <v>4639</v>
      </c>
      <c r="C19255" t="s">
        <v>10</v>
      </c>
      <c r="D19255" t="s">
        <v>597</v>
      </c>
      <c r="E19255">
        <f t="shared" si="918"/>
        <v>6.4935064935064939E-3</v>
      </c>
      <c r="F19255">
        <v>51</v>
      </c>
      <c r="G19255">
        <f>LOG(382/(51+1))</f>
        <v>0.86606001927690957</v>
      </c>
      <c r="H19255">
        <f>0.00649350649350649*1.99417689002514</f>
        <v>1.2949200584578824E-2</v>
      </c>
      <c r="I19255">
        <v>1.2949200584578879E-2</v>
      </c>
    </row>
    <row r="19256" spans="1:9" x14ac:dyDescent="0.25">
      <c r="A19256">
        <v>585</v>
      </c>
      <c r="B19256" t="s">
        <v>4639</v>
      </c>
      <c r="C19256" t="s">
        <v>10</v>
      </c>
      <c r="D19256" t="s">
        <v>805</v>
      </c>
      <c r="E19256">
        <f t="shared" si="918"/>
        <v>6.4935064935064939E-3</v>
      </c>
      <c r="F19256">
        <v>19</v>
      </c>
      <c r="G19256">
        <f>LOG(382/(19+1))</f>
        <v>1.2810333672477277</v>
      </c>
      <c r="H19256">
        <f>0.00649350649350649*2.94968833505258</f>
        <v>1.9153820357484273E-2</v>
      </c>
      <c r="I19256">
        <v>1.9153820357484311E-2</v>
      </c>
    </row>
    <row r="19257" spans="1:9" x14ac:dyDescent="0.25">
      <c r="A19257">
        <v>585</v>
      </c>
      <c r="B19257" t="s">
        <v>4639</v>
      </c>
      <c r="C19257" t="s">
        <v>10</v>
      </c>
      <c r="D19257" t="s">
        <v>599</v>
      </c>
      <c r="E19257">
        <f t="shared" si="918"/>
        <v>6.4935064935064939E-3</v>
      </c>
      <c r="F19257">
        <v>28</v>
      </c>
      <c r="G19257">
        <f>LOG(382/(28+1))</f>
        <v>1.1196653650127526</v>
      </c>
      <c r="H19257">
        <f>0.00649350649350649*2.5781247786201</f>
        <v>1.6741069991039598E-2</v>
      </c>
      <c r="I19257">
        <v>1.6741069991039619E-2</v>
      </c>
    </row>
    <row r="19258" spans="1:9" x14ac:dyDescent="0.25">
      <c r="A19258">
        <v>586</v>
      </c>
      <c r="B19258" t="s">
        <v>4671</v>
      </c>
      <c r="C19258" t="s">
        <v>138</v>
      </c>
      <c r="D19258" t="s">
        <v>4640</v>
      </c>
      <c r="E19258">
        <f>4/164</f>
        <v>2.4390243902439025E-2</v>
      </c>
      <c r="F19258">
        <v>2</v>
      </c>
      <c r="G19258">
        <f>LOG(382/(2+1))</f>
        <v>2.1049421081920463</v>
      </c>
      <c r="H19258">
        <f>0.024390243902439*4.84680831993846</f>
        <v>0.11821483707166965</v>
      </c>
      <c r="I19258">
        <v>0.1182148370716699</v>
      </c>
    </row>
    <row r="19259" spans="1:9" x14ac:dyDescent="0.25">
      <c r="A19259">
        <v>586</v>
      </c>
      <c r="B19259" t="s">
        <v>4671</v>
      </c>
      <c r="C19259" t="s">
        <v>138</v>
      </c>
      <c r="D19259" t="s">
        <v>4672</v>
      </c>
      <c r="E19259">
        <f>3/164</f>
        <v>1.8292682926829267E-2</v>
      </c>
      <c r="F19259">
        <v>1</v>
      </c>
      <c r="G19259">
        <f>LOG(382/(1+1))</f>
        <v>2.2810333672477277</v>
      </c>
      <c r="H19259">
        <f>0.0182926829268292*5.25227342804663</f>
        <v>9.6078172464267267E-2</v>
      </c>
      <c r="I19259">
        <v>9.6078172464267614E-2</v>
      </c>
    </row>
    <row r="19260" spans="1:9" x14ac:dyDescent="0.25">
      <c r="A19260">
        <v>586</v>
      </c>
      <c r="B19260" t="s">
        <v>4671</v>
      </c>
      <c r="C19260" t="s">
        <v>138</v>
      </c>
      <c r="D19260" t="s">
        <v>750</v>
      </c>
      <c r="E19260">
        <f>3/164</f>
        <v>1.8292682926829267E-2</v>
      </c>
      <c r="F19260">
        <v>9</v>
      </c>
      <c r="G19260">
        <f>LOG(382/(9+1))</f>
        <v>1.5820633629117087</v>
      </c>
      <c r="H19260">
        <f>0.0182926829268292*3.64283551561252</f>
        <v>6.6637235041692194E-2</v>
      </c>
      <c r="I19260">
        <v>6.6637235041692611E-2</v>
      </c>
    </row>
    <row r="19261" spans="1:9" x14ac:dyDescent="0.25">
      <c r="A19261">
        <v>586</v>
      </c>
      <c r="B19261" t="s">
        <v>4671</v>
      </c>
      <c r="C19261" t="s">
        <v>138</v>
      </c>
      <c r="D19261" t="s">
        <v>744</v>
      </c>
      <c r="E19261">
        <f>8/164</f>
        <v>4.878048780487805E-2</v>
      </c>
      <c r="F19261">
        <v>28</v>
      </c>
      <c r="G19261">
        <f>LOG(382/(28+1))</f>
        <v>1.1196653650127526</v>
      </c>
      <c r="H19261">
        <f>0.048780487804878*2.5781247786201</f>
        <v>0.12576218432293157</v>
      </c>
      <c r="I19261">
        <v>0.12576218432293179</v>
      </c>
    </row>
    <row r="19262" spans="1:9" x14ac:dyDescent="0.25">
      <c r="A19262">
        <v>586</v>
      </c>
      <c r="B19262" t="s">
        <v>4671</v>
      </c>
      <c r="C19262" t="s">
        <v>138</v>
      </c>
      <c r="D19262" t="s">
        <v>2189</v>
      </c>
      <c r="E19262">
        <f>1/164</f>
        <v>6.0975609756097563E-3</v>
      </c>
      <c r="F19262">
        <v>12</v>
      </c>
      <c r="G19262">
        <f>LOG(382/(12+1))</f>
        <v>1.468120010604872</v>
      </c>
      <c r="H19262">
        <f>0.00609756097560975*3.38047125114503</f>
        <v>2.0612629580152603E-2</v>
      </c>
      <c r="I19262">
        <v>2.061262958015268E-2</v>
      </c>
    </row>
    <row r="19263" spans="1:9" x14ac:dyDescent="0.25">
      <c r="A19263">
        <v>586</v>
      </c>
      <c r="B19263" t="s">
        <v>4671</v>
      </c>
      <c r="C19263" t="s">
        <v>138</v>
      </c>
      <c r="D19263" t="s">
        <v>863</v>
      </c>
      <c r="E19263">
        <f>1/164</f>
        <v>6.0975609756097563E-3</v>
      </c>
      <c r="F19263">
        <v>14</v>
      </c>
      <c r="G19263">
        <f>LOG(382/(14+1))</f>
        <v>1.4059721038560276</v>
      </c>
      <c r="H19263">
        <f>0.00609756097560975*3.23737040750436</f>
        <v>1.9740063460392421E-2</v>
      </c>
      <c r="I19263">
        <v>1.9740063460392469E-2</v>
      </c>
    </row>
    <row r="19264" spans="1:9" x14ac:dyDescent="0.25">
      <c r="A19264">
        <v>586</v>
      </c>
      <c r="B19264" t="s">
        <v>4671</v>
      </c>
      <c r="C19264" t="s">
        <v>138</v>
      </c>
      <c r="D19264" t="s">
        <v>42</v>
      </c>
      <c r="E19264">
        <f>3/164</f>
        <v>1.8292682926829267E-2</v>
      </c>
      <c r="F19264">
        <v>251</v>
      </c>
      <c r="G19264">
        <f>LOG(382/(251+1))</f>
        <v>0.18066282213016463</v>
      </c>
      <c r="H19264">
        <f>0.0182926829268292*0.415991521095151</f>
        <v>7.609600995642978E-3</v>
      </c>
      <c r="I19264">
        <v>7.6096009956430214E-3</v>
      </c>
    </row>
    <row r="19265" spans="1:9" x14ac:dyDescent="0.25">
      <c r="A19265">
        <v>586</v>
      </c>
      <c r="B19265" t="s">
        <v>4671</v>
      </c>
      <c r="C19265" t="s">
        <v>138</v>
      </c>
      <c r="D19265" t="s">
        <v>2267</v>
      </c>
      <c r="E19265">
        <f>2/164</f>
        <v>1.2195121951219513E-2</v>
      </c>
      <c r="F19265">
        <v>9</v>
      </c>
      <c r="G19265">
        <f>LOG(382/(9+1))</f>
        <v>1.5820633629117087</v>
      </c>
      <c r="H19265">
        <f>0.0121951219512195*3.64283551561252</f>
        <v>4.4424823361128248E-2</v>
      </c>
      <c r="I19265">
        <v>4.4424823361128407E-2</v>
      </c>
    </row>
    <row r="19266" spans="1:9" x14ac:dyDescent="0.25">
      <c r="A19266">
        <v>586</v>
      </c>
      <c r="B19266" t="s">
        <v>4671</v>
      </c>
      <c r="C19266" t="s">
        <v>138</v>
      </c>
      <c r="D19266" t="s">
        <v>22</v>
      </c>
      <c r="E19266">
        <f>3/164</f>
        <v>1.8292682926829267E-2</v>
      </c>
      <c r="F19266">
        <v>259</v>
      </c>
      <c r="G19266">
        <f>LOG(382/(259+1))</f>
        <v>0.16709001494089079</v>
      </c>
      <c r="H19266">
        <f>0.0182926829268292*0.384738977591047</f>
        <v>7.0379081266654687E-3</v>
      </c>
      <c r="I19266">
        <v>7.0379081266655026E-3</v>
      </c>
    </row>
    <row r="19267" spans="1:9" x14ac:dyDescent="0.25">
      <c r="A19267">
        <v>586</v>
      </c>
      <c r="B19267" t="s">
        <v>4671</v>
      </c>
      <c r="C19267" t="s">
        <v>138</v>
      </c>
      <c r="D19267" t="s">
        <v>23</v>
      </c>
      <c r="E19267">
        <f>3/164</f>
        <v>1.8292682926829267E-2</v>
      </c>
      <c r="F19267">
        <v>275</v>
      </c>
      <c r="G19267">
        <f>LOG(382/(275+1))</f>
        <v>0.14115428084649101</v>
      </c>
      <c r="H19267">
        <f>0.0182926829268292*0.325019742889425</f>
        <v>5.945483101635801E-3</v>
      </c>
      <c r="I19267">
        <v>5.9454831016358253E-3</v>
      </c>
    </row>
    <row r="19268" spans="1:9" x14ac:dyDescent="0.25">
      <c r="A19268">
        <v>586</v>
      </c>
      <c r="B19268" t="s">
        <v>4671</v>
      </c>
      <c r="C19268" t="s">
        <v>138</v>
      </c>
      <c r="D19268" t="s">
        <v>204</v>
      </c>
      <c r="E19268">
        <f>5/164</f>
        <v>3.048780487804878E-2</v>
      </c>
      <c r="F19268">
        <v>166</v>
      </c>
      <c r="G19268">
        <f>LOG(382/(166+1))</f>
        <v>0.35934689176412549</v>
      </c>
      <c r="H19268">
        <f>0.0304878048780487*0.82742679618982</f>
        <v>2.52264267131042E-2</v>
      </c>
      <c r="I19268">
        <v>2.522642671310427E-2</v>
      </c>
    </row>
    <row r="19269" spans="1:9" x14ac:dyDescent="0.25">
      <c r="A19269">
        <v>586</v>
      </c>
      <c r="B19269" t="s">
        <v>4671</v>
      </c>
      <c r="C19269" t="s">
        <v>138</v>
      </c>
      <c r="D19269" t="s">
        <v>322</v>
      </c>
      <c r="E19269">
        <f>7/164</f>
        <v>4.2682926829268296E-2</v>
      </c>
      <c r="F19269">
        <v>128</v>
      </c>
      <c r="G19269">
        <f>LOG(382/(128+1))</f>
        <v>0.47147365261245977</v>
      </c>
      <c r="H19269">
        <f>0.0426829268292682*1.0856082042449</f>
        <v>4.6336935547038313E-2</v>
      </c>
      <c r="I19269">
        <v>4.6336935547038549E-2</v>
      </c>
    </row>
    <row r="19270" spans="1:9" x14ac:dyDescent="0.25">
      <c r="A19270">
        <v>586</v>
      </c>
      <c r="B19270" t="s">
        <v>4671</v>
      </c>
      <c r="C19270" t="s">
        <v>138</v>
      </c>
      <c r="D19270" t="s">
        <v>767</v>
      </c>
      <c r="E19270">
        <f>3/164</f>
        <v>1.8292682926829267E-2</v>
      </c>
      <c r="F19270">
        <v>47</v>
      </c>
      <c r="G19270">
        <f>LOG(382/(47+1))</f>
        <v>0.90082212553612151</v>
      </c>
      <c r="H19270">
        <f>0.0182926829268292*2.07421959769868</f>
        <v>3.7943041421317179E-2</v>
      </c>
      <c r="I19270">
        <v>3.7943041421317387E-2</v>
      </c>
    </row>
    <row r="19271" spans="1:9" x14ac:dyDescent="0.25">
      <c r="A19271">
        <v>586</v>
      </c>
      <c r="B19271" t="s">
        <v>4671</v>
      </c>
      <c r="C19271" t="s">
        <v>138</v>
      </c>
      <c r="D19271" t="s">
        <v>754</v>
      </c>
      <c r="E19271">
        <f>3/164</f>
        <v>1.8292682926829267E-2</v>
      </c>
      <c r="F19271">
        <v>111</v>
      </c>
      <c r="G19271">
        <f>LOG(382/(111+1))</f>
        <v>0.53284534024152708</v>
      </c>
      <c r="H19271">
        <f>0.0182926829268292*1.22692173731148</f>
        <v>2.2443690316673332E-2</v>
      </c>
      <c r="I19271">
        <v>2.2443690316673429E-2</v>
      </c>
    </row>
    <row r="19272" spans="1:9" x14ac:dyDescent="0.25">
      <c r="A19272">
        <v>586</v>
      </c>
      <c r="B19272" t="s">
        <v>4671</v>
      </c>
      <c r="C19272" t="s">
        <v>138</v>
      </c>
      <c r="D19272" t="s">
        <v>649</v>
      </c>
      <c r="E19272">
        <f>2/164</f>
        <v>1.2195121951219513E-2</v>
      </c>
      <c r="F19272">
        <v>25</v>
      </c>
      <c r="G19272">
        <f>LOG(382/(25+1))</f>
        <v>1.1670900149408907</v>
      </c>
      <c r="H19272">
        <f>0.0121951219512195*2.68732407058509</f>
        <v>3.2772244763232775E-2</v>
      </c>
      <c r="I19272">
        <v>3.2772244763232837E-2</v>
      </c>
    </row>
    <row r="19273" spans="1:9" x14ac:dyDescent="0.25">
      <c r="A19273">
        <v>586</v>
      </c>
      <c r="B19273" t="s">
        <v>4671</v>
      </c>
      <c r="C19273" t="s">
        <v>138</v>
      </c>
      <c r="D19273" t="s">
        <v>755</v>
      </c>
      <c r="E19273">
        <f>1/164</f>
        <v>6.0975609756097563E-3</v>
      </c>
      <c r="F19273">
        <v>19</v>
      </c>
      <c r="G19273">
        <f>LOG(382/(19+1))</f>
        <v>1.2810333672477277</v>
      </c>
      <c r="H19273">
        <f>0.00609756097560975*2.94968833505258</f>
        <v>1.7985904482027911E-2</v>
      </c>
      <c r="I19273">
        <v>1.7985904482027949E-2</v>
      </c>
    </row>
    <row r="19274" spans="1:9" x14ac:dyDescent="0.25">
      <c r="A19274">
        <v>586</v>
      </c>
      <c r="B19274" t="s">
        <v>4671</v>
      </c>
      <c r="C19274" t="s">
        <v>138</v>
      </c>
      <c r="D19274" t="s">
        <v>823</v>
      </c>
      <c r="E19274">
        <f>1/164</f>
        <v>6.0975609756097563E-3</v>
      </c>
      <c r="F19274">
        <v>45</v>
      </c>
      <c r="G19274">
        <f>LOG(382/(45+1))</f>
        <v>0.9193055312301347</v>
      </c>
      <c r="H19274">
        <f>0.00609756097560975*2.11677921211748</f>
        <v>1.29071903177895E-2</v>
      </c>
      <c r="I19274">
        <v>1.2907190317789511E-2</v>
      </c>
    </row>
    <row r="19275" spans="1:9" x14ac:dyDescent="0.25">
      <c r="A19275">
        <v>586</v>
      </c>
      <c r="B19275" t="s">
        <v>4671</v>
      </c>
      <c r="C19275" t="s">
        <v>138</v>
      </c>
      <c r="D19275" t="s">
        <v>762</v>
      </c>
      <c r="E19275">
        <f>6/164</f>
        <v>3.6585365853658534E-2</v>
      </c>
      <c r="F19275">
        <v>29</v>
      </c>
      <c r="G19275">
        <f>LOG(382/(29+1))</f>
        <v>1.1049421081920463</v>
      </c>
      <c r="H19275">
        <f>0.0365853658536585*2.54422322694442</f>
        <v>9.3081337571137221E-2</v>
      </c>
      <c r="I19275">
        <v>9.3081337571137304E-2</v>
      </c>
    </row>
    <row r="19276" spans="1:9" x14ac:dyDescent="0.25">
      <c r="A19276">
        <v>586</v>
      </c>
      <c r="B19276" t="s">
        <v>4671</v>
      </c>
      <c r="C19276" t="s">
        <v>138</v>
      </c>
      <c r="D19276" t="s">
        <v>25</v>
      </c>
      <c r="E19276">
        <f>3/164</f>
        <v>1.8292682926829267E-2</v>
      </c>
      <c r="F19276">
        <v>106</v>
      </c>
      <c r="G19276">
        <f>LOG(382/(106+1))</f>
        <v>0.55267958522649907</v>
      </c>
      <c r="H19276">
        <f>0.0182926829268292*1.27259177414466</f>
        <v>2.3279117819719305E-2</v>
      </c>
      <c r="I19276">
        <v>2.3279117819719551E-2</v>
      </c>
    </row>
    <row r="19277" spans="1:9" x14ac:dyDescent="0.25">
      <c r="A19277">
        <v>586</v>
      </c>
      <c r="B19277" t="s">
        <v>4671</v>
      </c>
      <c r="C19277" t="s">
        <v>138</v>
      </c>
      <c r="D19277" t="s">
        <v>4673</v>
      </c>
      <c r="E19277">
        <f t="shared" ref="E19277:E19282" si="919">1/164</f>
        <v>6.0975609756097563E-3</v>
      </c>
      <c r="F19277">
        <v>1</v>
      </c>
      <c r="G19277">
        <f>LOG(382/(1+1))</f>
        <v>2.2810333672477277</v>
      </c>
      <c r="H19277">
        <f>0.00609756097560975*5.25227342804663</f>
        <v>3.2026057488089177E-2</v>
      </c>
      <c r="I19277">
        <v>3.2026057488089198E-2</v>
      </c>
    </row>
    <row r="19278" spans="1:9" x14ac:dyDescent="0.25">
      <c r="A19278">
        <v>586</v>
      </c>
      <c r="B19278" t="s">
        <v>4671</v>
      </c>
      <c r="C19278" t="s">
        <v>138</v>
      </c>
      <c r="D19278" t="s">
        <v>4597</v>
      </c>
      <c r="E19278">
        <f t="shared" si="919"/>
        <v>6.0975609756097563E-3</v>
      </c>
      <c r="F19278">
        <v>2</v>
      </c>
      <c r="G19278">
        <f>LOG(382/(2+1))</f>
        <v>2.1049421081920463</v>
      </c>
      <c r="H19278">
        <f>0.00609756097560975*4.84680831993846</f>
        <v>2.9553709267917411E-2</v>
      </c>
      <c r="I19278">
        <v>2.955370926791747E-2</v>
      </c>
    </row>
    <row r="19279" spans="1:9" x14ac:dyDescent="0.25">
      <c r="A19279">
        <v>586</v>
      </c>
      <c r="B19279" t="s">
        <v>4671</v>
      </c>
      <c r="C19279" t="s">
        <v>138</v>
      </c>
      <c r="D19279" t="s">
        <v>759</v>
      </c>
      <c r="E19279">
        <f t="shared" si="919"/>
        <v>6.0975609756097563E-3</v>
      </c>
      <c r="F19279">
        <v>4</v>
      </c>
      <c r="G19279">
        <f>LOG(382/(4+1))</f>
        <v>1.8830933585756899</v>
      </c>
      <c r="H19279">
        <f>0.00609756097560975*4.33598269617247</f>
        <v>2.6438918879100402E-2</v>
      </c>
      <c r="I19279">
        <v>2.6438918879100461E-2</v>
      </c>
    </row>
    <row r="19280" spans="1:9" x14ac:dyDescent="0.25">
      <c r="A19280">
        <v>586</v>
      </c>
      <c r="B19280" t="s">
        <v>4671</v>
      </c>
      <c r="C19280" t="s">
        <v>138</v>
      </c>
      <c r="D19280" t="s">
        <v>1094</v>
      </c>
      <c r="E19280">
        <f t="shared" si="919"/>
        <v>6.0975609756097563E-3</v>
      </c>
      <c r="F19280">
        <v>7</v>
      </c>
      <c r="G19280">
        <f>LOG(382/(7+1))</f>
        <v>1.6789733759197651</v>
      </c>
      <c r="H19280">
        <f>0.00609756097560975*3.86597906692673</f>
        <v>2.3573043091016627E-2</v>
      </c>
      <c r="I19280">
        <v>2.35730430910167E-2</v>
      </c>
    </row>
    <row r="19281" spans="1:9" x14ac:dyDescent="0.25">
      <c r="A19281">
        <v>586</v>
      </c>
      <c r="B19281" t="s">
        <v>4671</v>
      </c>
      <c r="C19281" t="s">
        <v>138</v>
      </c>
      <c r="D19281" t="s">
        <v>1639</v>
      </c>
      <c r="E19281">
        <f t="shared" si="919"/>
        <v>6.0975609756097563E-3</v>
      </c>
      <c r="F19281">
        <v>10</v>
      </c>
      <c r="G19281">
        <f>LOG(382/(10+1))</f>
        <v>1.5406706777534838</v>
      </c>
      <c r="H19281">
        <f>0.00609756097560975*3.5475253358082</f>
        <v>2.1631252047610957E-2</v>
      </c>
      <c r="I19281">
        <v>2.1631252047611009E-2</v>
      </c>
    </row>
    <row r="19282" spans="1:9" x14ac:dyDescent="0.25">
      <c r="A19282">
        <v>586</v>
      </c>
      <c r="B19282" t="s">
        <v>4671</v>
      </c>
      <c r="C19282" t="s">
        <v>138</v>
      </c>
      <c r="D19282" t="s">
        <v>4674</v>
      </c>
      <c r="E19282">
        <f t="shared" si="919"/>
        <v>6.0975609756097563E-3</v>
      </c>
      <c r="F19282">
        <v>1</v>
      </c>
      <c r="G19282">
        <f>LOG(382/(1+1))</f>
        <v>2.2810333672477277</v>
      </c>
      <c r="H19282">
        <f>0.00609756097560975*5.25227342804663</f>
        <v>3.2026057488089177E-2</v>
      </c>
      <c r="I19282">
        <v>3.2026057488089198E-2</v>
      </c>
    </row>
    <row r="19283" spans="1:9" x14ac:dyDescent="0.25">
      <c r="A19283">
        <v>586</v>
      </c>
      <c r="B19283" t="s">
        <v>4671</v>
      </c>
      <c r="C19283" t="s">
        <v>138</v>
      </c>
      <c r="D19283" t="s">
        <v>338</v>
      </c>
      <c r="E19283">
        <f>2/164</f>
        <v>1.2195121951219513E-2</v>
      </c>
      <c r="F19283">
        <v>54</v>
      </c>
      <c r="G19283">
        <f>LOG(382/(54+1))</f>
        <v>0.84170067341746491</v>
      </c>
      <c r="H19283">
        <f>0.0121951219512195*1.9380874233741</f>
        <v>2.3635212480171926E-2</v>
      </c>
      <c r="I19283">
        <v>2.3635212480172009E-2</v>
      </c>
    </row>
    <row r="19284" spans="1:9" x14ac:dyDescent="0.25">
      <c r="A19284">
        <v>586</v>
      </c>
      <c r="B19284" t="s">
        <v>4671</v>
      </c>
      <c r="C19284" t="s">
        <v>138</v>
      </c>
      <c r="D19284" t="s">
        <v>3015</v>
      </c>
      <c r="E19284">
        <f>2/164</f>
        <v>1.2195121951219513E-2</v>
      </c>
      <c r="F19284">
        <v>9</v>
      </c>
      <c r="G19284">
        <f>LOG(382/(9+1))</f>
        <v>1.5820633629117087</v>
      </c>
      <c r="H19284">
        <f>0.0121951219512195*3.64283551561252</f>
        <v>4.4424823361128248E-2</v>
      </c>
      <c r="I19284">
        <v>4.4424823361128407E-2</v>
      </c>
    </row>
    <row r="19285" spans="1:9" x14ac:dyDescent="0.25">
      <c r="A19285">
        <v>586</v>
      </c>
      <c r="B19285" t="s">
        <v>4671</v>
      </c>
      <c r="C19285" t="s">
        <v>138</v>
      </c>
      <c r="D19285" t="s">
        <v>4276</v>
      </c>
      <c r="E19285">
        <f t="shared" ref="E19285:E19294" si="920">1/164</f>
        <v>6.0975609756097563E-3</v>
      </c>
      <c r="F19285">
        <v>8</v>
      </c>
      <c r="G19285">
        <f>LOG(382/(8+1))</f>
        <v>1.6278208534723839</v>
      </c>
      <c r="H19285">
        <f>0.00609756097560975*3.74819603127035</f>
        <v>2.285485384920943E-2</v>
      </c>
      <c r="I19285">
        <v>2.2854853849209489E-2</v>
      </c>
    </row>
    <row r="19286" spans="1:9" x14ac:dyDescent="0.25">
      <c r="A19286">
        <v>586</v>
      </c>
      <c r="B19286" t="s">
        <v>4671</v>
      </c>
      <c r="C19286" t="s">
        <v>138</v>
      </c>
      <c r="D19286" t="s">
        <v>4675</v>
      </c>
      <c r="E19286">
        <f t="shared" si="920"/>
        <v>6.0975609756097563E-3</v>
      </c>
      <c r="F19286">
        <v>1</v>
      </c>
      <c r="G19286">
        <f>LOG(382/(1+1))</f>
        <v>2.2810333672477277</v>
      </c>
      <c r="H19286">
        <f>0.00609756097560975*5.25227342804663</f>
        <v>3.2026057488089177E-2</v>
      </c>
      <c r="I19286">
        <v>3.2026057488089198E-2</v>
      </c>
    </row>
    <row r="19287" spans="1:9" x14ac:dyDescent="0.25">
      <c r="A19287">
        <v>586</v>
      </c>
      <c r="B19287" t="s">
        <v>4671</v>
      </c>
      <c r="C19287" t="s">
        <v>138</v>
      </c>
      <c r="D19287" t="s">
        <v>811</v>
      </c>
      <c r="E19287">
        <f t="shared" si="920"/>
        <v>6.0975609756097563E-3</v>
      </c>
      <c r="F19287">
        <v>27</v>
      </c>
      <c r="G19287">
        <f>LOG(382/(27+1))</f>
        <v>1.1349053315694895</v>
      </c>
      <c r="H19287">
        <f>0.00609756097560975*2.61321609843137</f>
        <v>1.5934244502630292E-2</v>
      </c>
      <c r="I19287">
        <v>1.5934244502630309E-2</v>
      </c>
    </row>
    <row r="19288" spans="1:9" x14ac:dyDescent="0.25">
      <c r="A19288">
        <v>586</v>
      </c>
      <c r="B19288" t="s">
        <v>4671</v>
      </c>
      <c r="C19288" t="s">
        <v>138</v>
      </c>
      <c r="D19288" t="s">
        <v>4591</v>
      </c>
      <c r="E19288">
        <f t="shared" si="920"/>
        <v>6.0975609756097563E-3</v>
      </c>
      <c r="F19288">
        <v>2</v>
      </c>
      <c r="G19288">
        <f>LOG(382/(2+1))</f>
        <v>2.1049421081920463</v>
      </c>
      <c r="H19288">
        <f>0.00609756097560975*4.84680831993846</f>
        <v>2.9553709267917411E-2</v>
      </c>
      <c r="I19288">
        <v>2.955370926791747E-2</v>
      </c>
    </row>
    <row r="19289" spans="1:9" x14ac:dyDescent="0.25">
      <c r="A19289">
        <v>586</v>
      </c>
      <c r="B19289" t="s">
        <v>4671</v>
      </c>
      <c r="C19289" t="s">
        <v>138</v>
      </c>
      <c r="D19289" t="s">
        <v>339</v>
      </c>
      <c r="E19289">
        <f t="shared" si="920"/>
        <v>6.0975609756097563E-3</v>
      </c>
      <c r="F19289">
        <v>66</v>
      </c>
      <c r="G19289">
        <f>LOG(382/(66+1))</f>
        <v>0.75598856021088234</v>
      </c>
      <c r="H19289">
        <f>0.00609756097560975*1.7407279892156</f>
        <v>1.0614195056192674E-2</v>
      </c>
      <c r="I19289">
        <v>1.061419505619274E-2</v>
      </c>
    </row>
    <row r="19290" spans="1:9" x14ac:dyDescent="0.25">
      <c r="A19290">
        <v>586</v>
      </c>
      <c r="B19290" t="s">
        <v>4671</v>
      </c>
      <c r="C19290" t="s">
        <v>138</v>
      </c>
      <c r="D19290" t="s">
        <v>1773</v>
      </c>
      <c r="E19290">
        <f t="shared" si="920"/>
        <v>6.0975609756097563E-3</v>
      </c>
      <c r="F19290">
        <v>24</v>
      </c>
      <c r="G19290">
        <f>LOG(382/(24+1))</f>
        <v>1.1841233542396712</v>
      </c>
      <c r="H19290">
        <f>0.00609756097560975*2.72654478373837</f>
        <v>1.6625273071575408E-2</v>
      </c>
      <c r="I19290">
        <v>1.662527307157545E-2</v>
      </c>
    </row>
    <row r="19291" spans="1:9" x14ac:dyDescent="0.25">
      <c r="A19291">
        <v>586</v>
      </c>
      <c r="B19291" t="s">
        <v>4671</v>
      </c>
      <c r="C19291" t="s">
        <v>138</v>
      </c>
      <c r="D19291" t="s">
        <v>447</v>
      </c>
      <c r="E19291">
        <f t="shared" si="920"/>
        <v>6.0975609756097563E-3</v>
      </c>
      <c r="F19291">
        <v>37</v>
      </c>
      <c r="G19291">
        <f>LOG(382/(37+1))</f>
        <v>1.0022797662948986</v>
      </c>
      <c r="H19291">
        <f>0.00609756097560975*2.30783444888018</f>
        <v>1.4072161273659619E-2</v>
      </c>
      <c r="I19291">
        <v>1.407216127365969E-2</v>
      </c>
    </row>
    <row r="19292" spans="1:9" x14ac:dyDescent="0.25">
      <c r="A19292">
        <v>586</v>
      </c>
      <c r="B19292" t="s">
        <v>4671</v>
      </c>
      <c r="C19292" t="s">
        <v>138</v>
      </c>
      <c r="D19292" t="s">
        <v>4005</v>
      </c>
      <c r="E19292">
        <f t="shared" si="920"/>
        <v>6.0975609756097563E-3</v>
      </c>
      <c r="F19292">
        <v>5</v>
      </c>
      <c r="G19292">
        <f>LOG(382/(5+1))</f>
        <v>1.803912112528065</v>
      </c>
      <c r="H19292">
        <f>0.00609756097560975*4.15366113937852</f>
        <v>2.5327202069381195E-2</v>
      </c>
      <c r="I19292">
        <v>2.532720206938122E-2</v>
      </c>
    </row>
    <row r="19293" spans="1:9" x14ac:dyDescent="0.25">
      <c r="A19293">
        <v>586</v>
      </c>
      <c r="B19293" t="s">
        <v>4671</v>
      </c>
      <c r="C19293" t="s">
        <v>138</v>
      </c>
      <c r="D19293" t="s">
        <v>4280</v>
      </c>
      <c r="E19293">
        <f t="shared" si="920"/>
        <v>6.0975609756097563E-3</v>
      </c>
      <c r="F19293">
        <v>3</v>
      </c>
      <c r="G19293">
        <f>LOG(382/(3+1))</f>
        <v>1.9800033715837464</v>
      </c>
      <c r="H19293">
        <f>0.00609756097560975*4.55912624748668</f>
        <v>2.7799550289552902E-2</v>
      </c>
      <c r="I19293">
        <v>2.779955028955295E-2</v>
      </c>
    </row>
    <row r="19294" spans="1:9" x14ac:dyDescent="0.25">
      <c r="A19294">
        <v>586</v>
      </c>
      <c r="B19294" t="s">
        <v>4671</v>
      </c>
      <c r="C19294" t="s">
        <v>138</v>
      </c>
      <c r="D19294" t="s">
        <v>597</v>
      </c>
      <c r="E19294">
        <f t="shared" si="920"/>
        <v>6.0975609756097563E-3</v>
      </c>
      <c r="F19294">
        <v>51</v>
      </c>
      <c r="G19294">
        <f>LOG(382/(51+1))</f>
        <v>0.86606001927690957</v>
      </c>
      <c r="H19294">
        <f>0.00609756097560975*1.99417689002514</f>
        <v>1.215961518308011E-2</v>
      </c>
      <c r="I19294">
        <v>1.2159615183080169E-2</v>
      </c>
    </row>
    <row r="19295" spans="1:9" x14ac:dyDescent="0.25">
      <c r="A19295">
        <v>586</v>
      </c>
      <c r="B19295" t="s">
        <v>4671</v>
      </c>
      <c r="C19295" t="s">
        <v>138</v>
      </c>
      <c r="D19295" t="s">
        <v>76</v>
      </c>
      <c r="E19295">
        <f>2/164</f>
        <v>1.2195121951219513E-2</v>
      </c>
      <c r="F19295">
        <v>140</v>
      </c>
      <c r="G19295">
        <f>LOG(382/(140+1))</f>
        <v>0.43284425025632883</v>
      </c>
      <c r="H19295">
        <f>0.0121951219512195*0.996660718228407</f>
        <v>1.2154399002785438E-2</v>
      </c>
      <c r="I19295">
        <v>1.215439900278545E-2</v>
      </c>
    </row>
    <row r="19296" spans="1:9" x14ac:dyDescent="0.25">
      <c r="A19296">
        <v>586</v>
      </c>
      <c r="B19296" t="s">
        <v>4671</v>
      </c>
      <c r="C19296" t="s">
        <v>138</v>
      </c>
      <c r="D19296" t="s">
        <v>570</v>
      </c>
      <c r="E19296">
        <f>1/164</f>
        <v>6.0975609756097563E-3</v>
      </c>
      <c r="F19296">
        <v>27</v>
      </c>
      <c r="G19296">
        <f>LOG(382/(27+1))</f>
        <v>1.1349053315694895</v>
      </c>
      <c r="H19296">
        <f>0.00609756097560975*2.61321609843137</f>
        <v>1.5934244502630292E-2</v>
      </c>
      <c r="I19296">
        <v>1.5934244502630309E-2</v>
      </c>
    </row>
    <row r="19297" spans="1:9" x14ac:dyDescent="0.25">
      <c r="A19297">
        <v>586</v>
      </c>
      <c r="B19297" t="s">
        <v>4671</v>
      </c>
      <c r="C19297" t="s">
        <v>138</v>
      </c>
      <c r="D19297" t="s">
        <v>1532</v>
      </c>
      <c r="E19297">
        <f>2/164</f>
        <v>1.2195121951219513E-2</v>
      </c>
      <c r="F19297">
        <v>28</v>
      </c>
      <c r="G19297">
        <f>LOG(382/(28+1))</f>
        <v>1.1196653650127526</v>
      </c>
      <c r="H19297">
        <f>0.0121951219512195*2.5781247786201</f>
        <v>3.1440546080732892E-2</v>
      </c>
      <c r="I19297">
        <v>3.1440546080732941E-2</v>
      </c>
    </row>
    <row r="19298" spans="1:9" x14ac:dyDescent="0.25">
      <c r="A19298">
        <v>586</v>
      </c>
      <c r="B19298" t="s">
        <v>4671</v>
      </c>
      <c r="C19298" t="s">
        <v>138</v>
      </c>
      <c r="D19298" t="s">
        <v>1533</v>
      </c>
      <c r="E19298">
        <f>2/164</f>
        <v>1.2195121951219513E-2</v>
      </c>
      <c r="F19298">
        <v>33</v>
      </c>
      <c r="G19298">
        <f>LOG(382/(33+1))</f>
        <v>1.0505844458694535</v>
      </c>
      <c r="H19298">
        <f>0.0121951219512195*2.41906008399041</f>
        <v>2.9500732731590339E-2</v>
      </c>
      <c r="I19298">
        <v>2.9500732731590412E-2</v>
      </c>
    </row>
    <row r="19299" spans="1:9" x14ac:dyDescent="0.25">
      <c r="A19299">
        <v>586</v>
      </c>
      <c r="B19299" t="s">
        <v>4671</v>
      </c>
      <c r="C19299" t="s">
        <v>138</v>
      </c>
      <c r="D19299" t="s">
        <v>1537</v>
      </c>
      <c r="E19299">
        <f>2/164</f>
        <v>1.2195121951219513E-2</v>
      </c>
      <c r="F19299">
        <v>80</v>
      </c>
      <c r="G19299">
        <f>LOG(382/(80+1))</f>
        <v>0.67357834403305894</v>
      </c>
      <c r="H19299">
        <f>0.0121951219512195*1.55097145393413</f>
        <v>1.8914286023586933E-2</v>
      </c>
      <c r="I19299">
        <v>1.8914286023587031E-2</v>
      </c>
    </row>
    <row r="19300" spans="1:9" x14ac:dyDescent="0.25">
      <c r="A19300">
        <v>586</v>
      </c>
      <c r="B19300" t="s">
        <v>4671</v>
      </c>
      <c r="C19300" t="s">
        <v>138</v>
      </c>
      <c r="D19300" t="s">
        <v>4676</v>
      </c>
      <c r="E19300">
        <f>2/164</f>
        <v>1.2195121951219513E-2</v>
      </c>
      <c r="F19300">
        <v>1</v>
      </c>
      <c r="G19300">
        <f>LOG(382/(1+1))</f>
        <v>2.2810333672477277</v>
      </c>
      <c r="H19300">
        <f>0.0121951219512195*5.25227342804663</f>
        <v>6.4052114976178354E-2</v>
      </c>
      <c r="I19300">
        <v>6.4052114976178409E-2</v>
      </c>
    </row>
    <row r="19301" spans="1:9" x14ac:dyDescent="0.25">
      <c r="A19301">
        <v>586</v>
      </c>
      <c r="B19301" t="s">
        <v>4671</v>
      </c>
      <c r="C19301" t="s">
        <v>138</v>
      </c>
      <c r="D19301" t="s">
        <v>2231</v>
      </c>
      <c r="E19301">
        <f>2/164</f>
        <v>1.2195121951219513E-2</v>
      </c>
      <c r="F19301">
        <v>23</v>
      </c>
      <c r="G19301">
        <f>LOG(382/(23+1))</f>
        <v>1.2018521212001028</v>
      </c>
      <c r="H19301">
        <f>0.0121951219512195*2.76736677825862</f>
        <v>3.374837534461729E-2</v>
      </c>
      <c r="I19301">
        <v>3.3748375344617443E-2</v>
      </c>
    </row>
    <row r="19302" spans="1:9" x14ac:dyDescent="0.25">
      <c r="A19302">
        <v>586</v>
      </c>
      <c r="B19302" t="s">
        <v>4671</v>
      </c>
      <c r="C19302" t="s">
        <v>138</v>
      </c>
      <c r="D19302" t="s">
        <v>362</v>
      </c>
      <c r="E19302">
        <f>1/164</f>
        <v>6.0975609756097563E-3</v>
      </c>
      <c r="F19302">
        <v>81</v>
      </c>
      <c r="G19302">
        <f>LOG(382/(81+1))</f>
        <v>0.66824951052799197</v>
      </c>
      <c r="H19302">
        <f>0.00609756097560975*1.53870136134232</f>
        <v>9.382325374038528E-3</v>
      </c>
      <c r="I19302">
        <v>9.3823253740385488E-3</v>
      </c>
    </row>
    <row r="19303" spans="1:9" x14ac:dyDescent="0.25">
      <c r="A19303">
        <v>586</v>
      </c>
      <c r="B19303" t="s">
        <v>4671</v>
      </c>
      <c r="C19303" t="s">
        <v>138</v>
      </c>
      <c r="D19303" t="s">
        <v>1762</v>
      </c>
      <c r="E19303">
        <f>1/164</f>
        <v>6.0975609756097563E-3</v>
      </c>
      <c r="F19303">
        <v>60</v>
      </c>
      <c r="G19303">
        <f>LOG(382/(60+1))</f>
        <v>0.79673352790094176</v>
      </c>
      <c r="H19303">
        <f>0.00609756097560975*1.83454674443326</f>
        <v>1.118626063678816E-2</v>
      </c>
      <c r="I19303">
        <v>1.11862606367882E-2</v>
      </c>
    </row>
    <row r="19304" spans="1:9" x14ac:dyDescent="0.25">
      <c r="A19304">
        <v>586</v>
      </c>
      <c r="B19304" t="s">
        <v>4671</v>
      </c>
      <c r="C19304" t="s">
        <v>138</v>
      </c>
      <c r="D19304" t="s">
        <v>4677</v>
      </c>
      <c r="E19304">
        <f>1/164</f>
        <v>6.0975609756097563E-3</v>
      </c>
      <c r="F19304">
        <v>1</v>
      </c>
      <c r="G19304">
        <f>LOG(382/(1+1))</f>
        <v>2.2810333672477277</v>
      </c>
      <c r="H19304">
        <f>0.00609756097560975*5.25227342804663</f>
        <v>3.2026057488089177E-2</v>
      </c>
      <c r="I19304">
        <v>3.2026057488089198E-2</v>
      </c>
    </row>
    <row r="19305" spans="1:9" x14ac:dyDescent="0.25">
      <c r="A19305">
        <v>586</v>
      </c>
      <c r="B19305" t="s">
        <v>4671</v>
      </c>
      <c r="C19305" t="s">
        <v>138</v>
      </c>
      <c r="D19305" t="s">
        <v>1827</v>
      </c>
      <c r="E19305">
        <f>1/164</f>
        <v>6.0975609756097563E-3</v>
      </c>
      <c r="F19305">
        <v>9</v>
      </c>
      <c r="G19305">
        <f>LOG(382/(9+1))</f>
        <v>1.5820633629117087</v>
      </c>
      <c r="H19305">
        <f>0.00609756097560975*3.64283551561252</f>
        <v>2.2212411680564124E-2</v>
      </c>
      <c r="I19305">
        <v>2.22124116805642E-2</v>
      </c>
    </row>
    <row r="19306" spans="1:9" x14ac:dyDescent="0.25">
      <c r="A19306">
        <v>586</v>
      </c>
      <c r="B19306" t="s">
        <v>4671</v>
      </c>
      <c r="C19306" t="s">
        <v>138</v>
      </c>
      <c r="D19306" t="s">
        <v>24</v>
      </c>
      <c r="E19306">
        <f>2/164</f>
        <v>1.2195121951219513E-2</v>
      </c>
      <c r="F19306">
        <v>59</v>
      </c>
      <c r="G19306">
        <f>LOG(382/(59+1))</f>
        <v>0.80391211252806505</v>
      </c>
      <c r="H19306">
        <f>0.0121951219512195*1.85107604638447</f>
        <v>2.2574098126639856E-2</v>
      </c>
      <c r="I19306">
        <v>2.2574098126639928E-2</v>
      </c>
    </row>
    <row r="19307" spans="1:9" x14ac:dyDescent="0.25">
      <c r="A19307">
        <v>586</v>
      </c>
      <c r="B19307" t="s">
        <v>4671</v>
      </c>
      <c r="C19307" t="s">
        <v>138</v>
      </c>
      <c r="D19307" t="s">
        <v>3290</v>
      </c>
      <c r="E19307">
        <f t="shared" ref="E19307:E19326" si="921">1/164</f>
        <v>6.0975609756097563E-3</v>
      </c>
      <c r="F19307">
        <v>12</v>
      </c>
      <c r="G19307">
        <f>LOG(382/(12+1))</f>
        <v>1.468120010604872</v>
      </c>
      <c r="H19307">
        <f>0.00609756097560975*3.38047125114503</f>
        <v>2.0612629580152603E-2</v>
      </c>
      <c r="I19307">
        <v>2.061262958015268E-2</v>
      </c>
    </row>
    <row r="19308" spans="1:9" x14ac:dyDescent="0.25">
      <c r="A19308">
        <v>586</v>
      </c>
      <c r="B19308" t="s">
        <v>4671</v>
      </c>
      <c r="C19308" t="s">
        <v>138</v>
      </c>
      <c r="D19308" t="s">
        <v>4195</v>
      </c>
      <c r="E19308">
        <f t="shared" si="921"/>
        <v>6.0975609756097563E-3</v>
      </c>
      <c r="F19308">
        <v>2</v>
      </c>
      <c r="G19308">
        <f>LOG(382/(2+1))</f>
        <v>2.1049421081920463</v>
      </c>
      <c r="H19308">
        <f>0.00609756097560975*4.84680831993846</f>
        <v>2.9553709267917411E-2</v>
      </c>
      <c r="I19308">
        <v>2.955370926791747E-2</v>
      </c>
    </row>
    <row r="19309" spans="1:9" x14ac:dyDescent="0.25">
      <c r="A19309">
        <v>586</v>
      </c>
      <c r="B19309" t="s">
        <v>4671</v>
      </c>
      <c r="C19309" t="s">
        <v>138</v>
      </c>
      <c r="D19309" t="s">
        <v>1125</v>
      </c>
      <c r="E19309">
        <f t="shared" si="921"/>
        <v>6.0975609756097563E-3</v>
      </c>
      <c r="F19309">
        <v>19</v>
      </c>
      <c r="G19309">
        <f>LOG(382/(19+1))</f>
        <v>1.2810333672477277</v>
      </c>
      <c r="H19309">
        <f>0.00609756097560975*2.94968833505258</f>
        <v>1.7985904482027911E-2</v>
      </c>
      <c r="I19309">
        <v>1.7985904482027949E-2</v>
      </c>
    </row>
    <row r="19310" spans="1:9" x14ac:dyDescent="0.25">
      <c r="A19310">
        <v>586</v>
      </c>
      <c r="B19310" t="s">
        <v>4671</v>
      </c>
      <c r="C19310" t="s">
        <v>138</v>
      </c>
      <c r="D19310" t="s">
        <v>746</v>
      </c>
      <c r="E19310">
        <f t="shared" si="921"/>
        <v>6.0975609756097563E-3</v>
      </c>
      <c r="F19310">
        <v>58</v>
      </c>
      <c r="G19310">
        <f>LOG(382/(58+1))</f>
        <v>0.81121135126956456</v>
      </c>
      <c r="H19310">
        <f>0.00609756097560975*1.86788316470085</f>
        <v>1.1389531492078343E-2</v>
      </c>
      <c r="I19310">
        <v>1.138953149207839E-2</v>
      </c>
    </row>
    <row r="19311" spans="1:9" x14ac:dyDescent="0.25">
      <c r="A19311">
        <v>586</v>
      </c>
      <c r="B19311" t="s">
        <v>4671</v>
      </c>
      <c r="C19311" t="s">
        <v>138</v>
      </c>
      <c r="D19311" t="s">
        <v>2238</v>
      </c>
      <c r="E19311">
        <f t="shared" si="921"/>
        <v>6.0975609756097563E-3</v>
      </c>
      <c r="F19311">
        <v>68</v>
      </c>
      <c r="G19311">
        <f>LOG(382/(68+1))</f>
        <v>0.74321427217445335</v>
      </c>
      <c r="H19311">
        <f>0.00609756097560975*1.71131410400931</f>
        <v>1.0434842097617735E-2</v>
      </c>
      <c r="I19311">
        <v>1.043484209761778E-2</v>
      </c>
    </row>
    <row r="19312" spans="1:9" x14ac:dyDescent="0.25">
      <c r="A19312">
        <v>586</v>
      </c>
      <c r="B19312" t="s">
        <v>4671</v>
      </c>
      <c r="C19312" t="s">
        <v>138</v>
      </c>
      <c r="E19312">
        <f t="shared" si="921"/>
        <v>6.0975609756097563E-3</v>
      </c>
      <c r="F19312">
        <v>20</v>
      </c>
      <c r="G19312">
        <f>LOG(382/(20+1))</f>
        <v>1.2598440681777894</v>
      </c>
      <c r="H19312">
        <f>0.00609756097560975*2.90089817088315</f>
        <v>1.7688403480994801E-2</v>
      </c>
      <c r="I19312">
        <v>1.7688403480994829E-2</v>
      </c>
    </row>
    <row r="19313" spans="1:9" x14ac:dyDescent="0.25">
      <c r="A19313">
        <v>586</v>
      </c>
      <c r="B19313" t="s">
        <v>4671</v>
      </c>
      <c r="C19313" t="s">
        <v>138</v>
      </c>
      <c r="D19313" t="s">
        <v>2922</v>
      </c>
      <c r="E19313">
        <f t="shared" si="921"/>
        <v>6.0975609756097563E-3</v>
      </c>
      <c r="F19313">
        <v>2</v>
      </c>
      <c r="G19313">
        <f>LOG(382/(2+1))</f>
        <v>2.1049421081920463</v>
      </c>
      <c r="H19313">
        <f>0.00609756097560975*4.84680831993846</f>
        <v>2.9553709267917411E-2</v>
      </c>
      <c r="I19313">
        <v>2.955370926791747E-2</v>
      </c>
    </row>
    <row r="19314" spans="1:9" x14ac:dyDescent="0.25">
      <c r="A19314">
        <v>586</v>
      </c>
      <c r="B19314" t="s">
        <v>4671</v>
      </c>
      <c r="C19314" t="s">
        <v>138</v>
      </c>
      <c r="D19314" t="s">
        <v>4678</v>
      </c>
      <c r="E19314">
        <f t="shared" si="921"/>
        <v>6.0975609756097563E-3</v>
      </c>
      <c r="F19314">
        <v>1</v>
      </c>
      <c r="G19314">
        <f>LOG(382/(1+1))</f>
        <v>2.2810333672477277</v>
      </c>
      <c r="H19314">
        <f>0.00609756097560975*5.25227342804663</f>
        <v>3.2026057488089177E-2</v>
      </c>
      <c r="I19314">
        <v>3.2026057488089198E-2</v>
      </c>
    </row>
    <row r="19315" spans="1:9" x14ac:dyDescent="0.25">
      <c r="A19315">
        <v>586</v>
      </c>
      <c r="B19315" t="s">
        <v>4671</v>
      </c>
      <c r="C19315" t="s">
        <v>138</v>
      </c>
      <c r="D19315" t="s">
        <v>2702</v>
      </c>
      <c r="E19315">
        <f t="shared" si="921"/>
        <v>6.0975609756097563E-3</v>
      </c>
      <c r="F19315">
        <v>3</v>
      </c>
      <c r="G19315">
        <f>LOG(382/(3+1))</f>
        <v>1.9800033715837464</v>
      </c>
      <c r="H19315">
        <f>0.00609756097560975*4.55912624748668</f>
        <v>2.7799550289552902E-2</v>
      </c>
      <c r="I19315">
        <v>2.779955028955295E-2</v>
      </c>
    </row>
    <row r="19316" spans="1:9" x14ac:dyDescent="0.25">
      <c r="A19316">
        <v>586</v>
      </c>
      <c r="B19316" t="s">
        <v>4671</v>
      </c>
      <c r="C19316" t="s">
        <v>138</v>
      </c>
      <c r="D19316" t="s">
        <v>399</v>
      </c>
      <c r="E19316">
        <f t="shared" si="921"/>
        <v>6.0975609756097563E-3</v>
      </c>
      <c r="F19316">
        <v>27</v>
      </c>
      <c r="G19316">
        <f>LOG(382/(27+1))</f>
        <v>1.1349053315694895</v>
      </c>
      <c r="H19316">
        <f>0.00609756097560975*2.61321609843137</f>
        <v>1.5934244502630292E-2</v>
      </c>
      <c r="I19316">
        <v>1.5934244502630309E-2</v>
      </c>
    </row>
    <row r="19317" spans="1:9" x14ac:dyDescent="0.25">
      <c r="A19317">
        <v>586</v>
      </c>
      <c r="B19317" t="s">
        <v>4671</v>
      </c>
      <c r="C19317" t="s">
        <v>138</v>
      </c>
      <c r="D19317" t="s">
        <v>4576</v>
      </c>
      <c r="E19317">
        <f t="shared" si="921"/>
        <v>6.0975609756097563E-3</v>
      </c>
      <c r="F19317">
        <v>2</v>
      </c>
      <c r="G19317">
        <f>LOG(382/(2+1))</f>
        <v>2.1049421081920463</v>
      </c>
      <c r="H19317">
        <f>0.00609756097560975*4.84680831993846</f>
        <v>2.9553709267917411E-2</v>
      </c>
      <c r="I19317">
        <v>2.955370926791747E-2</v>
      </c>
    </row>
    <row r="19318" spans="1:9" x14ac:dyDescent="0.25">
      <c r="A19318">
        <v>586</v>
      </c>
      <c r="B19318" t="s">
        <v>4671</v>
      </c>
      <c r="C19318" t="s">
        <v>138</v>
      </c>
      <c r="D19318" t="s">
        <v>1329</v>
      </c>
      <c r="E19318">
        <f t="shared" si="921"/>
        <v>6.0975609756097563E-3</v>
      </c>
      <c r="F19318">
        <v>4</v>
      </c>
      <c r="G19318">
        <f>LOG(382/(4+1))</f>
        <v>1.8830933585756899</v>
      </c>
      <c r="H19318">
        <f>0.00609756097560975*4.33598269617247</f>
        <v>2.6438918879100402E-2</v>
      </c>
      <c r="I19318">
        <v>2.6438918879100461E-2</v>
      </c>
    </row>
    <row r="19319" spans="1:9" x14ac:dyDescent="0.25">
      <c r="A19319">
        <v>586</v>
      </c>
      <c r="B19319" t="s">
        <v>4671</v>
      </c>
      <c r="C19319" t="s">
        <v>138</v>
      </c>
      <c r="D19319" t="s">
        <v>490</v>
      </c>
      <c r="E19319">
        <f t="shared" si="921"/>
        <v>6.0975609756097563E-3</v>
      </c>
      <c r="F19319">
        <v>31</v>
      </c>
      <c r="G19319">
        <f>LOG(382/(31+1))</f>
        <v>1.0769133845918029</v>
      </c>
      <c r="H19319">
        <f>0.00609756097560975*2.47968470580684</f>
        <v>1.512002869394413E-2</v>
      </c>
      <c r="I19319">
        <v>1.51200286939442E-2</v>
      </c>
    </row>
    <row r="19320" spans="1:9" x14ac:dyDescent="0.25">
      <c r="A19320">
        <v>586</v>
      </c>
      <c r="B19320" t="s">
        <v>4671</v>
      </c>
      <c r="C19320" t="s">
        <v>138</v>
      </c>
      <c r="D19320" t="s">
        <v>4679</v>
      </c>
      <c r="E19320">
        <f t="shared" si="921"/>
        <v>6.0975609756097563E-3</v>
      </c>
      <c r="F19320">
        <v>1</v>
      </c>
      <c r="G19320">
        <f>LOG(382/(1+1))</f>
        <v>2.2810333672477277</v>
      </c>
      <c r="H19320">
        <f>0.00609756097560975*5.25227342804663</f>
        <v>3.2026057488089177E-2</v>
      </c>
      <c r="I19320">
        <v>3.2026057488089198E-2</v>
      </c>
    </row>
    <row r="19321" spans="1:9" x14ac:dyDescent="0.25">
      <c r="A19321">
        <v>586</v>
      </c>
      <c r="B19321" t="s">
        <v>4671</v>
      </c>
      <c r="C19321" t="s">
        <v>138</v>
      </c>
      <c r="D19321" t="s">
        <v>726</v>
      </c>
      <c r="E19321">
        <f t="shared" si="921"/>
        <v>6.0975609756097563E-3</v>
      </c>
      <c r="F19321">
        <v>37</v>
      </c>
      <c r="G19321">
        <f>LOG(382/(37+1))</f>
        <v>1.0022797662948986</v>
      </c>
      <c r="H19321">
        <f>0.00609756097560975*2.30783444888018</f>
        <v>1.4072161273659619E-2</v>
      </c>
      <c r="I19321">
        <v>1.407216127365969E-2</v>
      </c>
    </row>
    <row r="19322" spans="1:9" x14ac:dyDescent="0.25">
      <c r="A19322">
        <v>586</v>
      </c>
      <c r="B19322" t="s">
        <v>4671</v>
      </c>
      <c r="C19322" t="s">
        <v>138</v>
      </c>
      <c r="D19322" t="s">
        <v>1030</v>
      </c>
      <c r="E19322">
        <f t="shared" si="921"/>
        <v>6.0975609756097563E-3</v>
      </c>
      <c r="F19322">
        <v>6</v>
      </c>
      <c r="G19322">
        <f>LOG(382/(6+1))</f>
        <v>1.736965322897452</v>
      </c>
      <c r="H19322">
        <f>0.00609756097560975*3.99951045955126</f>
        <v>2.4387258899702783E-2</v>
      </c>
      <c r="I19322">
        <v>2.4387258899702821E-2</v>
      </c>
    </row>
    <row r="19323" spans="1:9" x14ac:dyDescent="0.25">
      <c r="A19323">
        <v>586</v>
      </c>
      <c r="B19323" t="s">
        <v>4671</v>
      </c>
      <c r="C19323" t="s">
        <v>138</v>
      </c>
      <c r="D19323" t="s">
        <v>2505</v>
      </c>
      <c r="E19323">
        <f t="shared" si="921"/>
        <v>6.0975609756097563E-3</v>
      </c>
      <c r="F19323">
        <v>9</v>
      </c>
      <c r="G19323">
        <f>LOG(382/(9+1))</f>
        <v>1.5820633629117087</v>
      </c>
      <c r="H19323">
        <f>0.00609756097560975*3.64283551561252</f>
        <v>2.2212411680564124E-2</v>
      </c>
      <c r="I19323">
        <v>2.22124116805642E-2</v>
      </c>
    </row>
    <row r="19324" spans="1:9" x14ac:dyDescent="0.25">
      <c r="A19324">
        <v>586</v>
      </c>
      <c r="B19324" t="s">
        <v>4671</v>
      </c>
      <c r="C19324" t="s">
        <v>138</v>
      </c>
      <c r="D19324" t="s">
        <v>2424</v>
      </c>
      <c r="E19324">
        <f t="shared" si="921"/>
        <v>6.0975609756097563E-3</v>
      </c>
      <c r="F19324">
        <v>9</v>
      </c>
      <c r="G19324">
        <f>LOG(382/(9+1))</f>
        <v>1.5820633629117087</v>
      </c>
      <c r="H19324">
        <f>0.00609756097560975*3.64283551561252</f>
        <v>2.2212411680564124E-2</v>
      </c>
      <c r="I19324">
        <v>2.22124116805642E-2</v>
      </c>
    </row>
    <row r="19325" spans="1:9" x14ac:dyDescent="0.25">
      <c r="A19325">
        <v>586</v>
      </c>
      <c r="B19325" t="s">
        <v>4671</v>
      </c>
      <c r="C19325" t="s">
        <v>138</v>
      </c>
      <c r="D19325" t="s">
        <v>485</v>
      </c>
      <c r="E19325">
        <f t="shared" si="921"/>
        <v>6.0975609756097563E-3</v>
      </c>
      <c r="F19325">
        <v>74</v>
      </c>
      <c r="G19325">
        <f>LOG(382/(74+1))</f>
        <v>0.7070020995200087</v>
      </c>
      <c r="H19325">
        <f>0.00609756097560975*1.62793249507026</f>
        <v>9.9264176528674301E-3</v>
      </c>
      <c r="I19325">
        <v>9.9264176528674683E-3</v>
      </c>
    </row>
    <row r="19326" spans="1:9" x14ac:dyDescent="0.25">
      <c r="A19326">
        <v>586</v>
      </c>
      <c r="B19326" t="s">
        <v>4671</v>
      </c>
      <c r="C19326" t="s">
        <v>138</v>
      </c>
      <c r="D19326" t="s">
        <v>324</v>
      </c>
      <c r="E19326">
        <f t="shared" si="921"/>
        <v>6.0975609756097563E-3</v>
      </c>
      <c r="F19326">
        <v>82</v>
      </c>
      <c r="G19326">
        <f>LOG(382/(82+1))</f>
        <v>0.66298527053563483</v>
      </c>
      <c r="H19326">
        <f>0.00609756097560975*1.52658000080997</f>
        <v>9.3084146390851729E-3</v>
      </c>
      <c r="I19326">
        <v>9.3084146390852267E-3</v>
      </c>
    </row>
    <row r="19327" spans="1:9" x14ac:dyDescent="0.25">
      <c r="A19327">
        <v>586</v>
      </c>
      <c r="B19327" t="s">
        <v>4671</v>
      </c>
      <c r="C19327" t="s">
        <v>138</v>
      </c>
      <c r="D19327" t="s">
        <v>97</v>
      </c>
      <c r="E19327">
        <f>2/164</f>
        <v>1.2195121951219513E-2</v>
      </c>
      <c r="F19327">
        <v>19</v>
      </c>
      <c r="G19327">
        <f>LOG(382/(19+1))</f>
        <v>1.2810333672477277</v>
      </c>
      <c r="H19327">
        <f>0.0121951219512195*2.94968833505258</f>
        <v>3.5971808964055822E-2</v>
      </c>
      <c r="I19327">
        <v>3.5971808964055912E-2</v>
      </c>
    </row>
    <row r="19328" spans="1:9" x14ac:dyDescent="0.25">
      <c r="A19328">
        <v>586</v>
      </c>
      <c r="B19328" t="s">
        <v>4671</v>
      </c>
      <c r="C19328" t="s">
        <v>138</v>
      </c>
      <c r="D19328" t="s">
        <v>279</v>
      </c>
      <c r="E19328">
        <f>1/164</f>
        <v>6.0975609756097563E-3</v>
      </c>
      <c r="F19328">
        <v>22</v>
      </c>
      <c r="G19328">
        <f>LOG(382/(22+1))</f>
        <v>1.2203355268941158</v>
      </c>
      <c r="H19328">
        <f>0.00609756097560975*2.80992639267742</f>
        <v>1.7133697516325715E-2</v>
      </c>
      <c r="I19328">
        <v>1.713369751632577E-2</v>
      </c>
    </row>
    <row r="19329" spans="1:9" x14ac:dyDescent="0.25">
      <c r="A19329">
        <v>586</v>
      </c>
      <c r="B19329" t="s">
        <v>4671</v>
      </c>
      <c r="C19329" t="s">
        <v>138</v>
      </c>
      <c r="D19329" t="s">
        <v>2468</v>
      </c>
      <c r="E19329">
        <f>1/164</f>
        <v>6.0975609756097563E-3</v>
      </c>
      <c r="F19329">
        <v>7</v>
      </c>
      <c r="G19329">
        <f>LOG(382/(7+1))</f>
        <v>1.6789733759197651</v>
      </c>
      <c r="H19329">
        <f>0.00609756097560975*3.86597906692673</f>
        <v>2.3573043091016627E-2</v>
      </c>
      <c r="I19329">
        <v>2.35730430910167E-2</v>
      </c>
    </row>
    <row r="19330" spans="1:9" x14ac:dyDescent="0.25">
      <c r="A19330">
        <v>586</v>
      </c>
      <c r="B19330" t="s">
        <v>4671</v>
      </c>
      <c r="C19330" t="s">
        <v>138</v>
      </c>
      <c r="D19330" t="s">
        <v>4680</v>
      </c>
      <c r="E19330">
        <f>1/164</f>
        <v>6.0975609756097563E-3</v>
      </c>
      <c r="F19330">
        <v>1</v>
      </c>
      <c r="G19330">
        <f>LOG(382/(1+1))</f>
        <v>2.2810333672477277</v>
      </c>
      <c r="H19330">
        <f>0.00609756097560975*5.25227342804663</f>
        <v>3.2026057488089177E-2</v>
      </c>
      <c r="I19330">
        <v>3.2026057488089198E-2</v>
      </c>
    </row>
    <row r="19331" spans="1:9" x14ac:dyDescent="0.25">
      <c r="A19331">
        <v>586</v>
      </c>
      <c r="B19331" t="s">
        <v>4671</v>
      </c>
      <c r="C19331" t="s">
        <v>138</v>
      </c>
      <c r="D19331" t="s">
        <v>3962</v>
      </c>
      <c r="E19331">
        <f>1/164</f>
        <v>6.0975609756097563E-3</v>
      </c>
      <c r="F19331">
        <v>5</v>
      </c>
      <c r="G19331">
        <f>LOG(382/(5+1))</f>
        <v>1.803912112528065</v>
      </c>
      <c r="H19331">
        <f>0.00609756097560975*4.15366113937852</f>
        <v>2.5327202069381195E-2</v>
      </c>
      <c r="I19331">
        <v>2.532720206938122E-2</v>
      </c>
    </row>
    <row r="19332" spans="1:9" x14ac:dyDescent="0.25">
      <c r="A19332">
        <v>586</v>
      </c>
      <c r="B19332" t="s">
        <v>4671</v>
      </c>
      <c r="C19332" t="s">
        <v>138</v>
      </c>
      <c r="D19332" t="s">
        <v>765</v>
      </c>
      <c r="E19332">
        <f>1/164</f>
        <v>6.0975609756097563E-3</v>
      </c>
      <c r="F19332">
        <v>44</v>
      </c>
      <c r="G19332">
        <f>LOG(382/(44+1))</f>
        <v>0.92885084913636506</v>
      </c>
      <c r="H19332">
        <f>0.00609756097560975*2.13875811883625</f>
        <v>1.3041208041684437E-2</v>
      </c>
      <c r="I19332">
        <v>1.3041208041684481E-2</v>
      </c>
    </row>
    <row r="19333" spans="1:9" x14ac:dyDescent="0.25">
      <c r="A19333">
        <v>586</v>
      </c>
      <c r="B19333" t="s">
        <v>4671</v>
      </c>
      <c r="C19333" t="s">
        <v>138</v>
      </c>
      <c r="D19333" t="s">
        <v>81</v>
      </c>
      <c r="E19333">
        <f>3/164</f>
        <v>1.8292682926829267E-2</v>
      </c>
      <c r="F19333">
        <v>114</v>
      </c>
      <c r="G19333">
        <f>LOG(382/(114+1))</f>
        <v>0.52136552255809698</v>
      </c>
      <c r="H19333">
        <f>0.0182926829268292*1.20048848024332</f>
        <v>2.1960155126402113E-2</v>
      </c>
      <c r="I19333">
        <v>2.196015512640229E-2</v>
      </c>
    </row>
    <row r="19334" spans="1:9" x14ac:dyDescent="0.25">
      <c r="A19334">
        <v>586</v>
      </c>
      <c r="B19334" t="s">
        <v>4671</v>
      </c>
      <c r="C19334" t="s">
        <v>138</v>
      </c>
      <c r="D19334" t="s">
        <v>4681</v>
      </c>
      <c r="E19334">
        <f>1/164</f>
        <v>6.0975609756097563E-3</v>
      </c>
      <c r="F19334">
        <v>1</v>
      </c>
      <c r="G19334">
        <f>LOG(382/(1+1))</f>
        <v>2.2810333672477277</v>
      </c>
      <c r="H19334">
        <f>0.00609756097560975*5.25227342804663</f>
        <v>3.2026057488089177E-2</v>
      </c>
      <c r="I19334">
        <v>3.2026057488089198E-2</v>
      </c>
    </row>
    <row r="19335" spans="1:9" x14ac:dyDescent="0.25">
      <c r="A19335">
        <v>586</v>
      </c>
      <c r="B19335" t="s">
        <v>4671</v>
      </c>
      <c r="C19335" t="s">
        <v>138</v>
      </c>
      <c r="D19335" t="s">
        <v>4682</v>
      </c>
      <c r="E19335">
        <f>1/164</f>
        <v>6.0975609756097563E-3</v>
      </c>
      <c r="F19335">
        <v>1</v>
      </c>
      <c r="G19335">
        <f>LOG(382/(1+1))</f>
        <v>2.2810333672477277</v>
      </c>
      <c r="H19335">
        <f>0.00609756097560975*5.25227342804663</f>
        <v>3.2026057488089177E-2</v>
      </c>
      <c r="I19335">
        <v>3.2026057488089198E-2</v>
      </c>
    </row>
    <row r="19336" spans="1:9" x14ac:dyDescent="0.25">
      <c r="A19336">
        <v>586</v>
      </c>
      <c r="B19336" t="s">
        <v>4671</v>
      </c>
      <c r="C19336" t="s">
        <v>138</v>
      </c>
      <c r="D19336" t="s">
        <v>4683</v>
      </c>
      <c r="E19336">
        <f>1/164</f>
        <v>6.0975609756097563E-3</v>
      </c>
      <c r="F19336">
        <v>1</v>
      </c>
      <c r="G19336">
        <f>LOG(382/(1+1))</f>
        <v>2.2810333672477277</v>
      </c>
      <c r="H19336">
        <f>0.00609756097560975*5.25227342804663</f>
        <v>3.2026057488089177E-2</v>
      </c>
      <c r="I19336">
        <v>3.2026057488089198E-2</v>
      </c>
    </row>
    <row r="19337" spans="1:9" x14ac:dyDescent="0.25">
      <c r="A19337">
        <v>586</v>
      </c>
      <c r="B19337" t="s">
        <v>4671</v>
      </c>
      <c r="C19337" t="s">
        <v>138</v>
      </c>
      <c r="D19337" t="s">
        <v>4684</v>
      </c>
      <c r="E19337">
        <f>1/164</f>
        <v>6.0975609756097563E-3</v>
      </c>
      <c r="F19337">
        <v>1</v>
      </c>
      <c r="G19337">
        <f>LOG(382/(1+1))</f>
        <v>2.2810333672477277</v>
      </c>
      <c r="H19337">
        <f>0.00609756097560975*5.25227342804663</f>
        <v>3.2026057488089177E-2</v>
      </c>
      <c r="I19337">
        <v>3.2026057488089198E-2</v>
      </c>
    </row>
    <row r="19338" spans="1:9" x14ac:dyDescent="0.25">
      <c r="A19338">
        <v>586</v>
      </c>
      <c r="B19338" t="s">
        <v>4671</v>
      </c>
      <c r="C19338" t="s">
        <v>138</v>
      </c>
      <c r="D19338" t="s">
        <v>3145</v>
      </c>
      <c r="E19338">
        <f>2/164</f>
        <v>1.2195121951219513E-2</v>
      </c>
      <c r="F19338">
        <v>3</v>
      </c>
      <c r="G19338">
        <f>LOG(382/(3+1))</f>
        <v>1.9800033715837464</v>
      </c>
      <c r="H19338">
        <f>0.0121951219512195*4.55912624748668</f>
        <v>5.5599100579105803E-2</v>
      </c>
      <c r="I19338">
        <v>5.5599100579105908E-2</v>
      </c>
    </row>
    <row r="19339" spans="1:9" x14ac:dyDescent="0.25">
      <c r="A19339">
        <v>586</v>
      </c>
      <c r="B19339" t="s">
        <v>4671</v>
      </c>
      <c r="C19339" t="s">
        <v>138</v>
      </c>
      <c r="D19339" t="s">
        <v>309</v>
      </c>
      <c r="E19339">
        <f t="shared" ref="E19339:E19345" si="922">1/164</f>
        <v>6.0975609756097563E-3</v>
      </c>
      <c r="F19339">
        <v>25</v>
      </c>
      <c r="G19339">
        <f>LOG(382/(25+1))</f>
        <v>1.1670900149408907</v>
      </c>
      <c r="H19339">
        <f>0.00609756097560975*2.68732407058509</f>
        <v>1.6386122381616387E-2</v>
      </c>
      <c r="I19339">
        <v>1.6386122381616419E-2</v>
      </c>
    </row>
    <row r="19340" spans="1:9" x14ac:dyDescent="0.25">
      <c r="A19340">
        <v>586</v>
      </c>
      <c r="B19340" t="s">
        <v>4671</v>
      </c>
      <c r="C19340" t="s">
        <v>138</v>
      </c>
      <c r="D19340" t="s">
        <v>739</v>
      </c>
      <c r="E19340">
        <f t="shared" si="922"/>
        <v>6.0975609756097563E-3</v>
      </c>
      <c r="F19340">
        <v>24</v>
      </c>
      <c r="G19340">
        <f>LOG(382/(24+1))</f>
        <v>1.1841233542396712</v>
      </c>
      <c r="H19340">
        <f>0.00609756097560975*2.72654478373837</f>
        <v>1.6625273071575408E-2</v>
      </c>
      <c r="I19340">
        <v>1.662527307157545E-2</v>
      </c>
    </row>
    <row r="19341" spans="1:9" x14ac:dyDescent="0.25">
      <c r="A19341">
        <v>586</v>
      </c>
      <c r="B19341" t="s">
        <v>4671</v>
      </c>
      <c r="C19341" t="s">
        <v>138</v>
      </c>
      <c r="D19341" t="s">
        <v>4685</v>
      </c>
      <c r="E19341">
        <f t="shared" si="922"/>
        <v>6.0975609756097563E-3</v>
      </c>
      <c r="F19341">
        <v>1</v>
      </c>
      <c r="G19341">
        <f>LOG(382/(1+1))</f>
        <v>2.2810333672477277</v>
      </c>
      <c r="H19341">
        <f>0.00609756097560975*5.25227342804663</f>
        <v>3.2026057488089177E-2</v>
      </c>
      <c r="I19341">
        <v>3.2026057488089198E-2</v>
      </c>
    </row>
    <row r="19342" spans="1:9" x14ac:dyDescent="0.25">
      <c r="A19342">
        <v>586</v>
      </c>
      <c r="B19342" t="s">
        <v>4671</v>
      </c>
      <c r="C19342" t="s">
        <v>138</v>
      </c>
      <c r="D19342" t="s">
        <v>4686</v>
      </c>
      <c r="E19342">
        <f t="shared" si="922"/>
        <v>6.0975609756097563E-3</v>
      </c>
      <c r="F19342">
        <v>1</v>
      </c>
      <c r="G19342">
        <f>LOG(382/(1+1))</f>
        <v>2.2810333672477277</v>
      </c>
      <c r="H19342">
        <f>0.00609756097560975*5.25227342804663</f>
        <v>3.2026057488089177E-2</v>
      </c>
      <c r="I19342">
        <v>3.2026057488089198E-2</v>
      </c>
    </row>
    <row r="19343" spans="1:9" x14ac:dyDescent="0.25">
      <c r="A19343">
        <v>586</v>
      </c>
      <c r="B19343" t="s">
        <v>4671</v>
      </c>
      <c r="C19343" t="s">
        <v>138</v>
      </c>
      <c r="D19343" t="s">
        <v>733</v>
      </c>
      <c r="E19343">
        <f t="shared" si="922"/>
        <v>6.0975609756097563E-3</v>
      </c>
      <c r="F19343">
        <v>6</v>
      </c>
      <c r="G19343">
        <f>LOG(382/(6+1))</f>
        <v>1.736965322897452</v>
      </c>
      <c r="H19343">
        <f>0.00609756097560975*3.99951045955126</f>
        <v>2.4387258899702783E-2</v>
      </c>
      <c r="I19343">
        <v>2.4387258899702821E-2</v>
      </c>
    </row>
    <row r="19344" spans="1:9" x14ac:dyDescent="0.25">
      <c r="A19344">
        <v>586</v>
      </c>
      <c r="B19344" t="s">
        <v>4671</v>
      </c>
      <c r="C19344" t="s">
        <v>138</v>
      </c>
      <c r="D19344" t="s">
        <v>224</v>
      </c>
      <c r="E19344">
        <f t="shared" si="922"/>
        <v>6.0975609756097563E-3</v>
      </c>
      <c r="F19344">
        <v>16</v>
      </c>
      <c r="G19344">
        <f>LOG(382/(16+1))</f>
        <v>1.3516144415334348</v>
      </c>
      <c r="H19344">
        <f>0.00609756097560975*3.11220726455035</f>
        <v>1.8976873564331382E-2</v>
      </c>
      <c r="I19344">
        <v>1.8976873564331458E-2</v>
      </c>
    </row>
    <row r="19345" spans="1:9" x14ac:dyDescent="0.25">
      <c r="A19345">
        <v>586</v>
      </c>
      <c r="B19345" t="s">
        <v>4671</v>
      </c>
      <c r="C19345" t="s">
        <v>138</v>
      </c>
      <c r="D19345" t="s">
        <v>2035</v>
      </c>
      <c r="E19345">
        <f t="shared" si="922"/>
        <v>6.0975609756097563E-3</v>
      </c>
      <c r="F19345">
        <v>13</v>
      </c>
      <c r="G19345">
        <f>LOG(382/(13+1))</f>
        <v>1.4359353272334707</v>
      </c>
      <c r="H19345">
        <f>0.00609756097560975*3.30636327899131</f>
        <v>2.0160751701166508E-2</v>
      </c>
      <c r="I19345">
        <v>2.016075170116656E-2</v>
      </c>
    </row>
    <row r="19346" spans="1:9" x14ac:dyDescent="0.25">
      <c r="A19346">
        <v>586</v>
      </c>
      <c r="B19346" t="s">
        <v>4671</v>
      </c>
      <c r="C19346" t="s">
        <v>138</v>
      </c>
      <c r="D19346" t="s">
        <v>361</v>
      </c>
      <c r="E19346">
        <f>2/164</f>
        <v>1.2195121951219513E-2</v>
      </c>
      <c r="F19346">
        <v>118</v>
      </c>
      <c r="G19346">
        <f>LOG(382/(118+1))</f>
        <v>0.50651640151917798</v>
      </c>
      <c r="H19346">
        <f>0.0121951219512195*1.16629711549504</f>
        <v>1.4223135554817546E-2</v>
      </c>
      <c r="I19346">
        <v>1.4223135554817631E-2</v>
      </c>
    </row>
    <row r="19347" spans="1:9" x14ac:dyDescent="0.25">
      <c r="A19347">
        <v>586</v>
      </c>
      <c r="B19347" t="s">
        <v>4671</v>
      </c>
      <c r="C19347" t="s">
        <v>138</v>
      </c>
      <c r="D19347" t="s">
        <v>3970</v>
      </c>
      <c r="E19347">
        <f>1/164</f>
        <v>6.0975609756097563E-3</v>
      </c>
      <c r="F19347">
        <v>3</v>
      </c>
      <c r="G19347">
        <f>LOG(382/(3+1))</f>
        <v>1.9800033715837464</v>
      </c>
      <c r="H19347">
        <f>0.00609756097560975*4.55912624748668</f>
        <v>2.7799550289552902E-2</v>
      </c>
      <c r="I19347">
        <v>2.779955028955295E-2</v>
      </c>
    </row>
    <row r="19348" spans="1:9" x14ac:dyDescent="0.25">
      <c r="A19348">
        <v>586</v>
      </c>
      <c r="B19348" t="s">
        <v>4671</v>
      </c>
      <c r="C19348" t="s">
        <v>138</v>
      </c>
      <c r="D19348" t="s">
        <v>4687</v>
      </c>
      <c r="E19348">
        <f>1/164</f>
        <v>6.0975609756097563E-3</v>
      </c>
      <c r="F19348">
        <v>1</v>
      </c>
      <c r="G19348">
        <f>LOG(382/(1+1))</f>
        <v>2.2810333672477277</v>
      </c>
      <c r="H19348">
        <f>0.00609756097560975*5.25227342804663</f>
        <v>3.2026057488089177E-2</v>
      </c>
      <c r="I19348">
        <v>3.2026057488089198E-2</v>
      </c>
    </row>
    <row r="19349" spans="1:9" x14ac:dyDescent="0.25">
      <c r="A19349">
        <v>586</v>
      </c>
      <c r="B19349" t="s">
        <v>4671</v>
      </c>
      <c r="C19349" t="s">
        <v>138</v>
      </c>
      <c r="D19349" t="s">
        <v>144</v>
      </c>
      <c r="E19349">
        <f>1/164</f>
        <v>6.0975609756097563E-3</v>
      </c>
      <c r="F19349">
        <v>105</v>
      </c>
      <c r="G19349">
        <f>LOG(382/(105+1))</f>
        <v>0.55675749764693849</v>
      </c>
      <c r="H19349">
        <f>0.00609756097560975*1.2819815144945</f>
        <v>7.8169604542347483E-3</v>
      </c>
      <c r="I19349">
        <v>7.8169604542348038E-3</v>
      </c>
    </row>
    <row r="19350" spans="1:9" x14ac:dyDescent="0.25">
      <c r="A19350">
        <v>586</v>
      </c>
      <c r="B19350" t="s">
        <v>4671</v>
      </c>
      <c r="C19350" t="s">
        <v>138</v>
      </c>
      <c r="D19350" t="s">
        <v>600</v>
      </c>
      <c r="E19350">
        <f>2/164</f>
        <v>1.2195121951219513E-2</v>
      </c>
      <c r="F19350">
        <v>102</v>
      </c>
      <c r="G19350">
        <f>LOG(382/(102+1))</f>
        <v>0.56922613820653656</v>
      </c>
      <c r="H19350">
        <f>0.0121951219512195*1.31069162037693</f>
        <v>1.5984044150938157E-2</v>
      </c>
      <c r="I19350">
        <v>1.5984044150938289E-2</v>
      </c>
    </row>
    <row r="19351" spans="1:9" x14ac:dyDescent="0.25">
      <c r="A19351">
        <v>586</v>
      </c>
      <c r="B19351" t="s">
        <v>4671</v>
      </c>
      <c r="C19351" t="s">
        <v>138</v>
      </c>
      <c r="D19351" t="s">
        <v>4642</v>
      </c>
      <c r="E19351">
        <f t="shared" ref="E19351:E19363" si="923">1/164</f>
        <v>6.0975609756097563E-3</v>
      </c>
      <c r="F19351">
        <v>2</v>
      </c>
      <c r="G19351">
        <f>LOG(382/(2+1))</f>
        <v>2.1049421081920463</v>
      </c>
      <c r="H19351">
        <f>0.00609756097560975*4.84680831993846</f>
        <v>2.9553709267917411E-2</v>
      </c>
      <c r="I19351">
        <v>2.955370926791747E-2</v>
      </c>
    </row>
    <row r="19352" spans="1:9" x14ac:dyDescent="0.25">
      <c r="A19352">
        <v>586</v>
      </c>
      <c r="B19352" t="s">
        <v>4671</v>
      </c>
      <c r="C19352" t="s">
        <v>138</v>
      </c>
      <c r="D19352" t="s">
        <v>3662</v>
      </c>
      <c r="E19352">
        <f t="shared" si="923"/>
        <v>6.0975609756097563E-3</v>
      </c>
      <c r="F19352">
        <v>3</v>
      </c>
      <c r="G19352">
        <f>LOG(382/(3+1))</f>
        <v>1.9800033715837464</v>
      </c>
      <c r="H19352">
        <f>0.00609756097560975*4.55912624748668</f>
        <v>2.7799550289552902E-2</v>
      </c>
      <c r="I19352">
        <v>2.779955028955295E-2</v>
      </c>
    </row>
    <row r="19353" spans="1:9" x14ac:dyDescent="0.25">
      <c r="A19353">
        <v>586</v>
      </c>
      <c r="B19353" t="s">
        <v>4671</v>
      </c>
      <c r="C19353" t="s">
        <v>138</v>
      </c>
      <c r="D19353" t="s">
        <v>4586</v>
      </c>
      <c r="E19353">
        <f t="shared" si="923"/>
        <v>6.0975609756097563E-3</v>
      </c>
      <c r="F19353">
        <v>3</v>
      </c>
      <c r="G19353">
        <f>LOG(382/(3+1))</f>
        <v>1.9800033715837464</v>
      </c>
      <c r="H19353">
        <f>0.00609756097560975*4.55912624748668</f>
        <v>2.7799550289552902E-2</v>
      </c>
      <c r="I19353">
        <v>2.779955028955295E-2</v>
      </c>
    </row>
    <row r="19354" spans="1:9" x14ac:dyDescent="0.25">
      <c r="A19354">
        <v>586</v>
      </c>
      <c r="B19354" t="s">
        <v>4671</v>
      </c>
      <c r="C19354" t="s">
        <v>138</v>
      </c>
      <c r="D19354" t="s">
        <v>20</v>
      </c>
      <c r="E19354">
        <f t="shared" si="923"/>
        <v>6.0975609756097563E-3</v>
      </c>
      <c r="F19354">
        <v>19</v>
      </c>
      <c r="G19354">
        <f>LOG(382/(19+1))</f>
        <v>1.2810333672477277</v>
      </c>
      <c r="H19354">
        <f>0.00609756097560975*2.94968833505258</f>
        <v>1.7985904482027911E-2</v>
      </c>
      <c r="I19354">
        <v>1.7985904482027949E-2</v>
      </c>
    </row>
    <row r="19355" spans="1:9" x14ac:dyDescent="0.25">
      <c r="A19355">
        <v>586</v>
      </c>
      <c r="B19355" t="s">
        <v>4671</v>
      </c>
      <c r="C19355" t="s">
        <v>138</v>
      </c>
      <c r="D19355" t="s">
        <v>1478</v>
      </c>
      <c r="E19355">
        <f t="shared" si="923"/>
        <v>6.0975609756097563E-3</v>
      </c>
      <c r="F19355">
        <v>17</v>
      </c>
      <c r="G19355">
        <f>LOG(382/(17+1))</f>
        <v>1.3267908578084027</v>
      </c>
      <c r="H19355">
        <f>0.00609756097560975*3.05504885071041</f>
        <v>1.8628346650673214E-2</v>
      </c>
      <c r="I19355">
        <v>1.8628346650673231E-2</v>
      </c>
    </row>
    <row r="19356" spans="1:9" x14ac:dyDescent="0.25">
      <c r="A19356">
        <v>586</v>
      </c>
      <c r="B19356" t="s">
        <v>4671</v>
      </c>
      <c r="C19356" t="s">
        <v>138</v>
      </c>
      <c r="D19356" t="s">
        <v>1779</v>
      </c>
      <c r="E19356">
        <f t="shared" si="923"/>
        <v>6.0975609756097563E-3</v>
      </c>
      <c r="F19356">
        <v>41</v>
      </c>
      <c r="G19356">
        <f>LOG(382/(41+1))</f>
        <v>0.95881407251380824</v>
      </c>
      <c r="H19356">
        <f>0.00609756097560975*2.2077509903232</f>
        <v>1.3461896282458525E-2</v>
      </c>
      <c r="I19356">
        <v>1.346189628245858E-2</v>
      </c>
    </row>
    <row r="19357" spans="1:9" x14ac:dyDescent="0.25">
      <c r="A19357">
        <v>586</v>
      </c>
      <c r="B19357" t="s">
        <v>4671</v>
      </c>
      <c r="C19357" t="s">
        <v>138</v>
      </c>
      <c r="D19357" t="s">
        <v>779</v>
      </c>
      <c r="E19357">
        <f t="shared" si="923"/>
        <v>6.0975609756097563E-3</v>
      </c>
      <c r="F19357">
        <v>25</v>
      </c>
      <c r="G19357">
        <f>LOG(382/(25+1))</f>
        <v>1.1670900149408907</v>
      </c>
      <c r="H19357">
        <f>0.00609756097560975*2.68732407058509</f>
        <v>1.6386122381616387E-2</v>
      </c>
      <c r="I19357">
        <v>1.6386122381616419E-2</v>
      </c>
    </row>
    <row r="19358" spans="1:9" x14ac:dyDescent="0.25">
      <c r="A19358">
        <v>586</v>
      </c>
      <c r="B19358" t="s">
        <v>4671</v>
      </c>
      <c r="C19358" t="s">
        <v>138</v>
      </c>
      <c r="D19358" t="s">
        <v>1473</v>
      </c>
      <c r="E19358">
        <f t="shared" si="923"/>
        <v>6.0975609756097563E-3</v>
      </c>
      <c r="F19358">
        <v>39</v>
      </c>
      <c r="G19358">
        <f>LOG(382/(39+1))</f>
        <v>0.9800033715837464</v>
      </c>
      <c r="H19358">
        <f>0.00609756097560975*2.25654115449263</f>
        <v>1.3759397283491634E-2</v>
      </c>
      <c r="I19358">
        <v>1.37593972834917E-2</v>
      </c>
    </row>
    <row r="19359" spans="1:9" x14ac:dyDescent="0.25">
      <c r="A19359">
        <v>586</v>
      </c>
      <c r="B19359" t="s">
        <v>4671</v>
      </c>
      <c r="C19359" t="s">
        <v>138</v>
      </c>
      <c r="D19359" t="s">
        <v>432</v>
      </c>
      <c r="E19359">
        <f t="shared" si="923"/>
        <v>6.0975609756097563E-3</v>
      </c>
      <c r="F19359">
        <v>67</v>
      </c>
      <c r="G19359">
        <f>LOG(382/(67+1))</f>
        <v>0.7495544502054724</v>
      </c>
      <c r="H19359">
        <f>0.00609756097560975*1.72591290343046</f>
        <v>1.0523859167258892E-2</v>
      </c>
      <c r="I19359">
        <v>1.052385916725895E-2</v>
      </c>
    </row>
    <row r="19360" spans="1:9" x14ac:dyDescent="0.25">
      <c r="A19360">
        <v>586</v>
      </c>
      <c r="B19360" t="s">
        <v>4671</v>
      </c>
      <c r="C19360" t="s">
        <v>138</v>
      </c>
      <c r="D19360" t="s">
        <v>542</v>
      </c>
      <c r="E19360">
        <f t="shared" si="923"/>
        <v>6.0975609756097563E-3</v>
      </c>
      <c r="F19360">
        <v>42</v>
      </c>
      <c r="G19360">
        <f>LOG(382/(42+1))</f>
        <v>0.94859490733212215</v>
      </c>
      <c r="H19360">
        <f>0.00609756097560975*2.18422049291301</f>
        <v>1.3318417639713462E-2</v>
      </c>
      <c r="I19360">
        <v>1.331841763971349E-2</v>
      </c>
    </row>
    <row r="19361" spans="1:9" x14ac:dyDescent="0.25">
      <c r="A19361">
        <v>586</v>
      </c>
      <c r="B19361" t="s">
        <v>4671</v>
      </c>
      <c r="C19361" t="s">
        <v>138</v>
      </c>
      <c r="D19361" t="s">
        <v>72</v>
      </c>
      <c r="E19361">
        <f t="shared" si="923"/>
        <v>6.0975609756097563E-3</v>
      </c>
      <c r="F19361">
        <v>13</v>
      </c>
      <c r="G19361">
        <f>LOG(382/(13+1))</f>
        <v>1.4359353272334707</v>
      </c>
      <c r="H19361">
        <f>0.00609756097560975*3.30636327899131</f>
        <v>2.0160751701166508E-2</v>
      </c>
      <c r="I19361">
        <v>2.016075170116656E-2</v>
      </c>
    </row>
    <row r="19362" spans="1:9" x14ac:dyDescent="0.25">
      <c r="A19362">
        <v>586</v>
      </c>
      <c r="B19362" t="s">
        <v>4671</v>
      </c>
      <c r="C19362" t="s">
        <v>138</v>
      </c>
      <c r="D19362" t="s">
        <v>1465</v>
      </c>
      <c r="E19362">
        <f t="shared" si="923"/>
        <v>6.0975609756097563E-3</v>
      </c>
      <c r="F19362">
        <v>5</v>
      </c>
      <c r="G19362">
        <f>LOG(382/(5+1))</f>
        <v>1.803912112528065</v>
      </c>
      <c r="H19362">
        <f>0.00609756097560975*4.15366113937852</f>
        <v>2.5327202069381195E-2</v>
      </c>
      <c r="I19362">
        <v>2.532720206938122E-2</v>
      </c>
    </row>
    <row r="19363" spans="1:9" x14ac:dyDescent="0.25">
      <c r="A19363">
        <v>586</v>
      </c>
      <c r="B19363" t="s">
        <v>4671</v>
      </c>
      <c r="C19363" t="s">
        <v>138</v>
      </c>
      <c r="D19363" t="s">
        <v>4688</v>
      </c>
      <c r="E19363">
        <f t="shared" si="923"/>
        <v>6.0975609756097563E-3</v>
      </c>
      <c r="F19363">
        <v>1</v>
      </c>
      <c r="G19363">
        <f>LOG(382/(1+1))</f>
        <v>2.2810333672477277</v>
      </c>
      <c r="H19363">
        <f>0.00609756097560975*5.25227342804663</f>
        <v>3.2026057488089177E-2</v>
      </c>
      <c r="I19363">
        <v>3.2026057488089198E-2</v>
      </c>
    </row>
    <row r="19364" spans="1:9" x14ac:dyDescent="0.25">
      <c r="A19364">
        <v>587</v>
      </c>
      <c r="B19364" t="s">
        <v>4689</v>
      </c>
      <c r="C19364" t="s">
        <v>138</v>
      </c>
      <c r="D19364" t="s">
        <v>36</v>
      </c>
      <c r="E19364">
        <f>2/36</f>
        <v>5.5555555555555552E-2</v>
      </c>
      <c r="F19364">
        <v>58</v>
      </c>
      <c r="G19364">
        <f>LOG(382/(58+1))</f>
        <v>0.81121135126956456</v>
      </c>
      <c r="H19364">
        <f>0.0555555555555555*1.86788316470085</f>
        <v>0.10377128692782489</v>
      </c>
      <c r="I19364">
        <v>0.10377128692782529</v>
      </c>
    </row>
    <row r="19365" spans="1:9" x14ac:dyDescent="0.25">
      <c r="A19365">
        <v>587</v>
      </c>
      <c r="B19365" t="s">
        <v>4689</v>
      </c>
      <c r="C19365" t="s">
        <v>138</v>
      </c>
      <c r="D19365" t="s">
        <v>4690</v>
      </c>
      <c r="E19365">
        <f>2/36</f>
        <v>5.5555555555555552E-2</v>
      </c>
      <c r="F19365">
        <v>1</v>
      </c>
      <c r="G19365">
        <f>LOG(382/(1+1))</f>
        <v>2.2810333672477277</v>
      </c>
      <c r="H19365">
        <f>0.0555555555555555*5.25227342804663</f>
        <v>0.29179296822481249</v>
      </c>
      <c r="I19365">
        <v>0.29179296822481282</v>
      </c>
    </row>
    <row r="19366" spans="1:9" x14ac:dyDescent="0.25">
      <c r="A19366">
        <v>587</v>
      </c>
      <c r="B19366" t="s">
        <v>4689</v>
      </c>
      <c r="C19366" t="s">
        <v>138</v>
      </c>
      <c r="D19366" t="s">
        <v>744</v>
      </c>
      <c r="E19366">
        <f>4/36</f>
        <v>0.1111111111111111</v>
      </c>
      <c r="F19366">
        <v>28</v>
      </c>
      <c r="G19366">
        <f>LOG(382/(28+1))</f>
        <v>1.1196653650127526</v>
      </c>
      <c r="H19366">
        <f>0.111111111111111*2.5781247786201</f>
        <v>0.28645830873556632</v>
      </c>
      <c r="I19366">
        <v>0.28645830873556682</v>
      </c>
    </row>
    <row r="19367" spans="1:9" x14ac:dyDescent="0.25">
      <c r="A19367">
        <v>587</v>
      </c>
      <c r="B19367" t="s">
        <v>4689</v>
      </c>
      <c r="C19367" t="s">
        <v>138</v>
      </c>
      <c r="D19367" t="s">
        <v>2267</v>
      </c>
      <c r="E19367">
        <f t="shared" ref="E19367:E19372" si="924">1/36</f>
        <v>2.7777777777777776E-2</v>
      </c>
      <c r="F19367">
        <v>9</v>
      </c>
      <c r="G19367">
        <f>LOG(382/(9+1))</f>
        <v>1.5820633629117087</v>
      </c>
      <c r="H19367">
        <f>0.0277777777777777*3.64283551561252</f>
        <v>0.10118987543368083</v>
      </c>
      <c r="I19367">
        <v>0.10118987543368139</v>
      </c>
    </row>
    <row r="19368" spans="1:9" x14ac:dyDescent="0.25">
      <c r="A19368">
        <v>587</v>
      </c>
      <c r="B19368" t="s">
        <v>4689</v>
      </c>
      <c r="C19368" t="s">
        <v>138</v>
      </c>
      <c r="D19368" t="s">
        <v>22</v>
      </c>
      <c r="E19368">
        <f t="shared" si="924"/>
        <v>2.7777777777777776E-2</v>
      </c>
      <c r="F19368">
        <v>259</v>
      </c>
      <c r="G19368">
        <f>LOG(382/(259+1))</f>
        <v>0.16709001494089079</v>
      </c>
      <c r="H19368">
        <f>0.0277777777777777*0.384738977591047</f>
        <v>1.0687193821973499E-2</v>
      </c>
      <c r="I19368">
        <v>1.0687193821973541E-2</v>
      </c>
    </row>
    <row r="19369" spans="1:9" x14ac:dyDescent="0.25">
      <c r="A19369">
        <v>587</v>
      </c>
      <c r="B19369" t="s">
        <v>4689</v>
      </c>
      <c r="C19369" t="s">
        <v>138</v>
      </c>
      <c r="D19369" t="s">
        <v>23</v>
      </c>
      <c r="E19369">
        <f t="shared" si="924"/>
        <v>2.7777777777777776E-2</v>
      </c>
      <c r="F19369">
        <v>275</v>
      </c>
      <c r="G19369">
        <f>LOG(382/(275+1))</f>
        <v>0.14115428084649101</v>
      </c>
      <c r="H19369">
        <f>0.0277777777777777*0.325019742889425</f>
        <v>9.0283261913728912E-3</v>
      </c>
      <c r="I19369">
        <v>9.0283261913729207E-3</v>
      </c>
    </row>
    <row r="19370" spans="1:9" x14ac:dyDescent="0.25">
      <c r="A19370">
        <v>587</v>
      </c>
      <c r="B19370" t="s">
        <v>4689</v>
      </c>
      <c r="C19370" t="s">
        <v>138</v>
      </c>
      <c r="D19370" t="s">
        <v>247</v>
      </c>
      <c r="E19370">
        <f t="shared" si="924"/>
        <v>2.7777777777777776E-2</v>
      </c>
      <c r="F19370">
        <v>121</v>
      </c>
      <c r="G19370">
        <f>LOG(382/(121+1))</f>
        <v>0.49570353223696051</v>
      </c>
      <c r="H19370">
        <f>0.0277777777777777*1.14139956387331</f>
        <v>3.1705543440925195E-2</v>
      </c>
      <c r="I19370">
        <v>3.1705543440925521E-2</v>
      </c>
    </row>
    <row r="19371" spans="1:9" x14ac:dyDescent="0.25">
      <c r="A19371">
        <v>587</v>
      </c>
      <c r="B19371" t="s">
        <v>4689</v>
      </c>
      <c r="C19371" t="s">
        <v>138</v>
      </c>
      <c r="D19371" t="s">
        <v>39</v>
      </c>
      <c r="E19371">
        <f t="shared" si="924"/>
        <v>2.7777777777777776E-2</v>
      </c>
      <c r="F19371">
        <v>145</v>
      </c>
      <c r="G19371">
        <f>LOG(382/(145+1))</f>
        <v>0.41771050712727159</v>
      </c>
      <c r="H19371">
        <f>0.0277777777777777*0.961813986898238</f>
        <v>2.6717055191617649E-2</v>
      </c>
      <c r="I19371">
        <v>2.6717055191617739E-2</v>
      </c>
    </row>
    <row r="19372" spans="1:9" x14ac:dyDescent="0.25">
      <c r="A19372">
        <v>587</v>
      </c>
      <c r="B19372" t="s">
        <v>4689</v>
      </c>
      <c r="C19372" t="s">
        <v>138</v>
      </c>
      <c r="D19372" t="s">
        <v>204</v>
      </c>
      <c r="E19372">
        <f t="shared" si="924"/>
        <v>2.7777777777777776E-2</v>
      </c>
      <c r="F19372">
        <v>166</v>
      </c>
      <c r="G19372">
        <f>LOG(382/(166+1))</f>
        <v>0.35934689176412549</v>
      </c>
      <c r="H19372">
        <f>0.0277777777777777*0.82742679618982</f>
        <v>2.2984077671939378E-2</v>
      </c>
      <c r="I19372">
        <v>2.298407767193944E-2</v>
      </c>
    </row>
    <row r="19373" spans="1:9" x14ac:dyDescent="0.25">
      <c r="A19373">
        <v>587</v>
      </c>
      <c r="B19373" t="s">
        <v>4689</v>
      </c>
      <c r="C19373" t="s">
        <v>138</v>
      </c>
      <c r="D19373" t="s">
        <v>331</v>
      </c>
      <c r="E19373">
        <f>2/36</f>
        <v>5.5555555555555552E-2</v>
      </c>
      <c r="F19373">
        <v>130</v>
      </c>
      <c r="G19373">
        <f>LOG(382/(130+1))</f>
        <v>0.46479206725594452</v>
      </c>
      <c r="H19373">
        <f>0.0555555555555555*1.07022328540542</f>
        <v>5.9456849189189941E-2</v>
      </c>
      <c r="I19373">
        <v>5.9456849189190197E-2</v>
      </c>
    </row>
    <row r="19374" spans="1:9" x14ac:dyDescent="0.25">
      <c r="A19374">
        <v>587</v>
      </c>
      <c r="B19374" t="s">
        <v>4689</v>
      </c>
      <c r="C19374" t="s">
        <v>138</v>
      </c>
      <c r="D19374" t="s">
        <v>363</v>
      </c>
      <c r="E19374">
        <f t="shared" ref="E19374:E19393" si="925">1/36</f>
        <v>2.7777777777777776E-2</v>
      </c>
      <c r="F19374">
        <v>36</v>
      </c>
      <c r="G19374">
        <f>LOG(382/(36+1))</f>
        <v>1.0138616388447137</v>
      </c>
      <c r="H19374">
        <f>0.0277777777777777*2.33450269596235</f>
        <v>6.4847297110065094E-2</v>
      </c>
      <c r="I19374">
        <v>6.4847297110065302E-2</v>
      </c>
    </row>
    <row r="19375" spans="1:9" x14ac:dyDescent="0.25">
      <c r="A19375">
        <v>587</v>
      </c>
      <c r="B19375" t="s">
        <v>4689</v>
      </c>
      <c r="C19375" t="s">
        <v>138</v>
      </c>
      <c r="D19375" t="s">
        <v>2448</v>
      </c>
      <c r="E19375">
        <f t="shared" si="925"/>
        <v>2.7777777777777776E-2</v>
      </c>
      <c r="F19375">
        <v>4</v>
      </c>
      <c r="G19375">
        <f>LOG(382/(4+1))</f>
        <v>1.8830933585756899</v>
      </c>
      <c r="H19375">
        <f>0.0277777777777777*4.33598269617247</f>
        <v>0.12044396378256829</v>
      </c>
      <c r="I19375">
        <v>0.12044396378256871</v>
      </c>
    </row>
    <row r="19376" spans="1:9" x14ac:dyDescent="0.25">
      <c r="A19376">
        <v>587</v>
      </c>
      <c r="B19376" t="s">
        <v>4689</v>
      </c>
      <c r="C19376" t="s">
        <v>138</v>
      </c>
      <c r="D19376" t="s">
        <v>52</v>
      </c>
      <c r="E19376">
        <f t="shared" si="925"/>
        <v>2.7777777777777776E-2</v>
      </c>
      <c r="F19376">
        <v>35</v>
      </c>
      <c r="G19376">
        <f>LOG(382/(35+1))</f>
        <v>1.0257608621444214</v>
      </c>
      <c r="H19376">
        <f>0.0277777777777777*2.36190167015046</f>
        <v>6.5608379726401489E-2</v>
      </c>
      <c r="I19376">
        <v>6.5608379726401794E-2</v>
      </c>
    </row>
    <row r="19377" spans="1:9" x14ac:dyDescent="0.25">
      <c r="A19377">
        <v>587</v>
      </c>
      <c r="B19377" t="s">
        <v>4689</v>
      </c>
      <c r="C19377" t="s">
        <v>138</v>
      </c>
      <c r="D19377" t="s">
        <v>77</v>
      </c>
      <c r="E19377">
        <f t="shared" si="925"/>
        <v>2.7777777777777776E-2</v>
      </c>
      <c r="F19377">
        <v>148</v>
      </c>
      <c r="G19377">
        <f>LOG(382/(148+1))</f>
        <v>0.40887709449943471</v>
      </c>
      <c r="H19377">
        <f>0.0277777777777777*0.941474302661116</f>
        <v>2.6152063962808704E-2</v>
      </c>
      <c r="I19377">
        <v>2.615206396280878E-2</v>
      </c>
    </row>
    <row r="19378" spans="1:9" x14ac:dyDescent="0.25">
      <c r="A19378">
        <v>587</v>
      </c>
      <c r="B19378" t="s">
        <v>4689</v>
      </c>
      <c r="C19378" t="s">
        <v>138</v>
      </c>
      <c r="D19378" t="s">
        <v>58</v>
      </c>
      <c r="E19378">
        <f t="shared" si="925"/>
        <v>2.7777777777777776E-2</v>
      </c>
      <c r="F19378">
        <v>18</v>
      </c>
      <c r="G19378">
        <f>LOG(382/(18+1))</f>
        <v>1.3033097619588798</v>
      </c>
      <c r="H19378">
        <f>0.0277777777777777*3.00098162944013</f>
        <v>8.3360600817781155E-2</v>
      </c>
      <c r="I19378">
        <v>8.3360600817781516E-2</v>
      </c>
    </row>
    <row r="19379" spans="1:9" x14ac:dyDescent="0.25">
      <c r="A19379">
        <v>587</v>
      </c>
      <c r="B19379" t="s">
        <v>4689</v>
      </c>
      <c r="C19379" t="s">
        <v>138</v>
      </c>
      <c r="D19379" t="s">
        <v>4691</v>
      </c>
      <c r="E19379">
        <f t="shared" si="925"/>
        <v>2.7777777777777776E-2</v>
      </c>
      <c r="F19379">
        <v>1</v>
      </c>
      <c r="G19379">
        <f>LOG(382/(1+1))</f>
        <v>2.2810333672477277</v>
      </c>
      <c r="H19379">
        <f>0.0277777777777777*5.25227342804663</f>
        <v>0.14589648411240597</v>
      </c>
      <c r="I19379">
        <v>0.14589648411240641</v>
      </c>
    </row>
    <row r="19380" spans="1:9" x14ac:dyDescent="0.25">
      <c r="A19380">
        <v>587</v>
      </c>
      <c r="B19380" t="s">
        <v>4689</v>
      </c>
      <c r="C19380" t="s">
        <v>138</v>
      </c>
      <c r="D19380" t="s">
        <v>1349</v>
      </c>
      <c r="E19380">
        <f t="shared" si="925"/>
        <v>2.7777777777777776E-2</v>
      </c>
      <c r="F19380">
        <v>7</v>
      </c>
      <c r="G19380">
        <f>LOG(382/(7+1))</f>
        <v>1.6789733759197651</v>
      </c>
      <c r="H19380">
        <f>0.0277777777777777*3.86597906692673</f>
        <v>0.1073883074146311</v>
      </c>
      <c r="I19380">
        <v>0.1073883074146316</v>
      </c>
    </row>
    <row r="19381" spans="1:9" x14ac:dyDescent="0.25">
      <c r="A19381">
        <v>587</v>
      </c>
      <c r="B19381" t="s">
        <v>4689</v>
      </c>
      <c r="C19381" t="s">
        <v>138</v>
      </c>
      <c r="D19381" t="s">
        <v>1289</v>
      </c>
      <c r="E19381">
        <f t="shared" si="925"/>
        <v>2.7777777777777776E-2</v>
      </c>
      <c r="F19381">
        <v>8</v>
      </c>
      <c r="G19381">
        <f>LOG(382/(8+1))</f>
        <v>1.6278208534723839</v>
      </c>
      <c r="H19381">
        <f>0.0277777777777777*3.74819603127035</f>
        <v>0.1041165564241761</v>
      </c>
      <c r="I19381">
        <v>0.1041165564241765</v>
      </c>
    </row>
    <row r="19382" spans="1:9" x14ac:dyDescent="0.25">
      <c r="A19382">
        <v>587</v>
      </c>
      <c r="B19382" t="s">
        <v>4689</v>
      </c>
      <c r="C19382" t="s">
        <v>138</v>
      </c>
      <c r="D19382" t="s">
        <v>1251</v>
      </c>
      <c r="E19382">
        <f t="shared" si="925"/>
        <v>2.7777777777777776E-2</v>
      </c>
      <c r="F19382">
        <v>2</v>
      </c>
      <c r="G19382">
        <f>LOG(382/(2+1))</f>
        <v>2.1049421081920463</v>
      </c>
      <c r="H19382">
        <f>0.0277777777777777*4.84680831993846</f>
        <v>0.13463356444273461</v>
      </c>
      <c r="I19382">
        <v>0.13463356444273511</v>
      </c>
    </row>
    <row r="19383" spans="1:9" x14ac:dyDescent="0.25">
      <c r="A19383">
        <v>587</v>
      </c>
      <c r="B19383" t="s">
        <v>4689</v>
      </c>
      <c r="C19383" t="s">
        <v>138</v>
      </c>
      <c r="D19383" t="s">
        <v>38</v>
      </c>
      <c r="E19383">
        <f t="shared" si="925"/>
        <v>2.7777777777777776E-2</v>
      </c>
      <c r="F19383">
        <v>86</v>
      </c>
      <c r="G19383">
        <f>LOG(382/(86+1))</f>
        <v>0.64254411029309022</v>
      </c>
      <c r="H19383">
        <f>0.0277777777777777*1.47951248995199</f>
        <v>4.1097569165332942E-2</v>
      </c>
      <c r="I19383">
        <v>4.1097569165333088E-2</v>
      </c>
    </row>
    <row r="19384" spans="1:9" x14ac:dyDescent="0.25">
      <c r="A19384">
        <v>587</v>
      </c>
      <c r="B19384" t="s">
        <v>4689</v>
      </c>
      <c r="C19384" t="s">
        <v>138</v>
      </c>
      <c r="D19384" t="s">
        <v>113</v>
      </c>
      <c r="E19384">
        <f t="shared" si="925"/>
        <v>2.7777777777777776E-2</v>
      </c>
      <c r="F19384">
        <v>8</v>
      </c>
      <c r="G19384">
        <f>LOG(382/(8+1))</f>
        <v>1.6278208534723839</v>
      </c>
      <c r="H19384">
        <f>0.0277777777777777*3.74819603127035</f>
        <v>0.1041165564241761</v>
      </c>
      <c r="I19384">
        <v>0.1041165564241765</v>
      </c>
    </row>
    <row r="19385" spans="1:9" x14ac:dyDescent="0.25">
      <c r="A19385">
        <v>587</v>
      </c>
      <c r="B19385" t="s">
        <v>4689</v>
      </c>
      <c r="C19385" t="s">
        <v>138</v>
      </c>
      <c r="D19385" t="s">
        <v>19</v>
      </c>
      <c r="E19385">
        <f t="shared" si="925"/>
        <v>2.7777777777777776E-2</v>
      </c>
      <c r="F19385">
        <v>220</v>
      </c>
      <c r="G19385">
        <f>LOG(382/(220+1))</f>
        <v>0.23767108922659805</v>
      </c>
      <c r="H19385">
        <f>0.0277777777777777*0.547257907088822</f>
        <v>1.5201608530245015E-2</v>
      </c>
      <c r="I19385">
        <v>1.520160853024507E-2</v>
      </c>
    </row>
    <row r="19386" spans="1:9" x14ac:dyDescent="0.25">
      <c r="A19386">
        <v>587</v>
      </c>
      <c r="B19386" t="s">
        <v>4689</v>
      </c>
      <c r="C19386" t="s">
        <v>138</v>
      </c>
      <c r="D19386" t="s">
        <v>20</v>
      </c>
      <c r="E19386">
        <f t="shared" si="925"/>
        <v>2.7777777777777776E-2</v>
      </c>
      <c r="F19386">
        <v>19</v>
      </c>
      <c r="G19386">
        <f>LOG(382/(19+1))</f>
        <v>1.2810333672477277</v>
      </c>
      <c r="H19386">
        <f>0.0277777777777777*2.94968833505258</f>
        <v>8.1935787084793654E-2</v>
      </c>
      <c r="I19386">
        <v>8.1935787084794001E-2</v>
      </c>
    </row>
    <row r="19387" spans="1:9" x14ac:dyDescent="0.25">
      <c r="A19387">
        <v>587</v>
      </c>
      <c r="B19387" t="s">
        <v>4689</v>
      </c>
      <c r="C19387" t="s">
        <v>138</v>
      </c>
      <c r="D19387" t="s">
        <v>857</v>
      </c>
      <c r="E19387">
        <f t="shared" si="925"/>
        <v>2.7777777777777776E-2</v>
      </c>
      <c r="F19387">
        <v>5</v>
      </c>
      <c r="G19387">
        <f>LOG(382/(5+1))</f>
        <v>1.803912112528065</v>
      </c>
      <c r="H19387">
        <f>0.0277777777777777*4.15366113937852</f>
        <v>0.11537947609384745</v>
      </c>
      <c r="I19387">
        <v>0.1153794760938478</v>
      </c>
    </row>
    <row r="19388" spans="1:9" x14ac:dyDescent="0.25">
      <c r="A19388">
        <v>587</v>
      </c>
      <c r="B19388" t="s">
        <v>4689</v>
      </c>
      <c r="C19388" t="s">
        <v>138</v>
      </c>
      <c r="D19388" t="s">
        <v>3292</v>
      </c>
      <c r="E19388">
        <f t="shared" si="925"/>
        <v>2.7777777777777776E-2</v>
      </c>
      <c r="F19388">
        <v>5</v>
      </c>
      <c r="G19388">
        <f>LOG(382/(5+1))</f>
        <v>1.803912112528065</v>
      </c>
      <c r="H19388">
        <f>0.0277777777777777*4.15366113937852</f>
        <v>0.11537947609384745</v>
      </c>
      <c r="I19388">
        <v>0.1153794760938478</v>
      </c>
    </row>
    <row r="19389" spans="1:9" x14ac:dyDescent="0.25">
      <c r="A19389">
        <v>587</v>
      </c>
      <c r="B19389" t="s">
        <v>4689</v>
      </c>
      <c r="C19389" t="s">
        <v>138</v>
      </c>
      <c r="D19389" t="s">
        <v>3051</v>
      </c>
      <c r="E19389">
        <f t="shared" si="925"/>
        <v>2.7777777777777776E-2</v>
      </c>
      <c r="F19389">
        <v>2</v>
      </c>
      <c r="G19389">
        <f>LOG(382/(2+1))</f>
        <v>2.1049421081920463</v>
      </c>
      <c r="H19389">
        <f>0.0277777777777777*4.84680831993846</f>
        <v>0.13463356444273461</v>
      </c>
      <c r="I19389">
        <v>0.13463356444273511</v>
      </c>
    </row>
    <row r="19390" spans="1:9" x14ac:dyDescent="0.25">
      <c r="A19390">
        <v>587</v>
      </c>
      <c r="B19390" t="s">
        <v>4689</v>
      </c>
      <c r="C19390" t="s">
        <v>138</v>
      </c>
      <c r="D19390" t="s">
        <v>1831</v>
      </c>
      <c r="E19390">
        <f t="shared" si="925"/>
        <v>2.7777777777777776E-2</v>
      </c>
      <c r="F19390">
        <v>28</v>
      </c>
      <c r="G19390">
        <f>LOG(382/(28+1))</f>
        <v>1.1196653650127526</v>
      </c>
      <c r="H19390">
        <f>0.0277777777777777*2.5781247786201</f>
        <v>7.1614577183891456E-2</v>
      </c>
      <c r="I19390">
        <v>7.1614577183891692E-2</v>
      </c>
    </row>
    <row r="19391" spans="1:9" x14ac:dyDescent="0.25">
      <c r="A19391">
        <v>587</v>
      </c>
      <c r="B19391" t="s">
        <v>4689</v>
      </c>
      <c r="C19391" t="s">
        <v>138</v>
      </c>
      <c r="D19391" t="s">
        <v>1806</v>
      </c>
      <c r="E19391">
        <f t="shared" si="925"/>
        <v>2.7777777777777776E-2</v>
      </c>
      <c r="F19391">
        <v>3</v>
      </c>
      <c r="G19391">
        <f>LOG(382/(3+1))</f>
        <v>1.9800033715837464</v>
      </c>
      <c r="H19391">
        <f>0.0277777777777777*4.55912624748668</f>
        <v>0.12664239576351854</v>
      </c>
      <c r="I19391">
        <v>0.12664239576351899</v>
      </c>
    </row>
    <row r="19392" spans="1:9" x14ac:dyDescent="0.25">
      <c r="A19392">
        <v>587</v>
      </c>
      <c r="B19392" t="s">
        <v>4689</v>
      </c>
      <c r="C19392" t="s">
        <v>138</v>
      </c>
      <c r="D19392" t="s">
        <v>4692</v>
      </c>
      <c r="E19392">
        <f t="shared" si="925"/>
        <v>2.7777777777777776E-2</v>
      </c>
      <c r="F19392">
        <v>1</v>
      </c>
      <c r="G19392">
        <f>LOG(382/(1+1))</f>
        <v>2.2810333672477277</v>
      </c>
      <c r="H19392">
        <f>0.0277777777777777*5.25227342804663</f>
        <v>0.14589648411240597</v>
      </c>
      <c r="I19392">
        <v>0.14589648411240641</v>
      </c>
    </row>
    <row r="19393" spans="1:9" x14ac:dyDescent="0.25">
      <c r="A19393">
        <v>587</v>
      </c>
      <c r="B19393" t="s">
        <v>4689</v>
      </c>
      <c r="C19393" t="s">
        <v>138</v>
      </c>
      <c r="D19393" t="s">
        <v>628</v>
      </c>
      <c r="E19393">
        <f t="shared" si="925"/>
        <v>2.7777777777777776E-2</v>
      </c>
      <c r="F19393">
        <v>2</v>
      </c>
      <c r="G19393">
        <f>LOG(382/(2+1))</f>
        <v>2.1049421081920463</v>
      </c>
      <c r="H19393">
        <f>0.0277777777777777*4.84680831993846</f>
        <v>0.13463356444273461</v>
      </c>
      <c r="I19393">
        <v>0.13463356444273511</v>
      </c>
    </row>
    <row r="19394" spans="1:9" x14ac:dyDescent="0.25">
      <c r="A19394">
        <v>588</v>
      </c>
      <c r="B19394" t="s">
        <v>4693</v>
      </c>
      <c r="C19394" t="s">
        <v>10</v>
      </c>
      <c r="D19394" t="s">
        <v>580</v>
      </c>
      <c r="E19394">
        <f>8/129</f>
        <v>6.2015503875968991E-2</v>
      </c>
      <c r="F19394">
        <v>17</v>
      </c>
      <c r="G19394">
        <f>LOG(382/(17+1))</f>
        <v>1.3267908578084027</v>
      </c>
      <c r="H19394">
        <f>0.0620155038759689*3.05504885071041</f>
        <v>0.18946039384250576</v>
      </c>
      <c r="I19394">
        <v>0.1894603938425061</v>
      </c>
    </row>
    <row r="19395" spans="1:9" x14ac:dyDescent="0.25">
      <c r="A19395">
        <v>588</v>
      </c>
      <c r="B19395" t="s">
        <v>4693</v>
      </c>
      <c r="C19395" t="s">
        <v>10</v>
      </c>
      <c r="D19395" t="s">
        <v>4694</v>
      </c>
      <c r="E19395">
        <f>5/129</f>
        <v>3.875968992248062E-2</v>
      </c>
      <c r="F19395">
        <v>1</v>
      </c>
      <c r="G19395">
        <f>LOG(382/(1+1))</f>
        <v>2.2810333672477277</v>
      </c>
      <c r="H19395">
        <f>0.0387596899224806*5.25227342804663</f>
        <v>0.20357648945917159</v>
      </c>
      <c r="I19395">
        <v>0.2035764894591717</v>
      </c>
    </row>
    <row r="19396" spans="1:9" x14ac:dyDescent="0.25">
      <c r="A19396">
        <v>588</v>
      </c>
      <c r="B19396" t="s">
        <v>4693</v>
      </c>
      <c r="C19396" t="s">
        <v>10</v>
      </c>
      <c r="D19396" t="s">
        <v>19</v>
      </c>
      <c r="E19396">
        <f>2/129</f>
        <v>1.5503875968992248E-2</v>
      </c>
      <c r="F19396">
        <v>220</v>
      </c>
      <c r="G19396">
        <f>LOG(382/(220+1))</f>
        <v>0.23767108922659805</v>
      </c>
      <c r="H19396">
        <f>0.0155038759689922*0.547257907088822</f>
        <v>8.4846187145553534E-3</v>
      </c>
      <c r="I19396">
        <v>8.4846187145553864E-3</v>
      </c>
    </row>
    <row r="19397" spans="1:9" x14ac:dyDescent="0.25">
      <c r="A19397">
        <v>588</v>
      </c>
      <c r="B19397" t="s">
        <v>4693</v>
      </c>
      <c r="C19397" t="s">
        <v>10</v>
      </c>
      <c r="D19397" t="s">
        <v>370</v>
      </c>
      <c r="E19397">
        <f>3/129</f>
        <v>2.3255813953488372E-2</v>
      </c>
      <c r="F19397">
        <v>14</v>
      </c>
      <c r="G19397">
        <f>LOG(382/(14+1))</f>
        <v>1.4059721038560276</v>
      </c>
      <c r="H19397">
        <f>0.0232558139534883*3.23737040750436</f>
        <v>7.528768389545E-2</v>
      </c>
      <c r="I19397">
        <v>7.5287683895450347E-2</v>
      </c>
    </row>
    <row r="19398" spans="1:9" x14ac:dyDescent="0.25">
      <c r="A19398">
        <v>588</v>
      </c>
      <c r="B19398" t="s">
        <v>4693</v>
      </c>
      <c r="C19398" t="s">
        <v>10</v>
      </c>
      <c r="D19398" t="s">
        <v>22</v>
      </c>
      <c r="E19398">
        <f>2/129</f>
        <v>1.5503875968992248E-2</v>
      </c>
      <c r="F19398">
        <v>259</v>
      </c>
      <c r="G19398">
        <f>LOG(382/(259+1))</f>
        <v>0.16709001494089079</v>
      </c>
      <c r="H19398">
        <f>0.0155038759689922*0.384738977591047</f>
        <v>5.9649453890084619E-3</v>
      </c>
      <c r="I19398">
        <v>5.9649453890084888E-3</v>
      </c>
    </row>
    <row r="19399" spans="1:9" x14ac:dyDescent="0.25">
      <c r="A19399">
        <v>588</v>
      </c>
      <c r="B19399" t="s">
        <v>4693</v>
      </c>
      <c r="C19399" t="s">
        <v>10</v>
      </c>
      <c r="D19399" t="s">
        <v>23</v>
      </c>
      <c r="E19399">
        <f>2/129</f>
        <v>1.5503875968992248E-2</v>
      </c>
      <c r="F19399">
        <v>275</v>
      </c>
      <c r="G19399">
        <f>LOG(382/(275+1))</f>
        <v>0.14115428084649101</v>
      </c>
      <c r="H19399">
        <f>0.0155038759689922*0.325019742889425</f>
        <v>5.0390657812313788E-3</v>
      </c>
      <c r="I19399">
        <v>5.0390657812313978E-3</v>
      </c>
    </row>
    <row r="19400" spans="1:9" x14ac:dyDescent="0.25">
      <c r="A19400">
        <v>588</v>
      </c>
      <c r="B19400" t="s">
        <v>4693</v>
      </c>
      <c r="C19400" t="s">
        <v>10</v>
      </c>
      <c r="D19400" t="s">
        <v>247</v>
      </c>
      <c r="E19400">
        <f>1/129</f>
        <v>7.7519379844961239E-3</v>
      </c>
      <c r="F19400">
        <v>121</v>
      </c>
      <c r="G19400">
        <f>LOG(382/(121+1))</f>
        <v>0.49570353223696051</v>
      </c>
      <c r="H19400">
        <f>0.00775193798449612*1.14139956387331</f>
        <v>8.848058634676817E-3</v>
      </c>
      <c r="I19400">
        <v>8.8480586346768898E-3</v>
      </c>
    </row>
    <row r="19401" spans="1:9" x14ac:dyDescent="0.25">
      <c r="A19401">
        <v>588</v>
      </c>
      <c r="B19401" t="s">
        <v>4693</v>
      </c>
      <c r="C19401" t="s">
        <v>10</v>
      </c>
      <c r="D19401" t="s">
        <v>39</v>
      </c>
      <c r="E19401">
        <f>2/129</f>
        <v>1.5503875968992248E-2</v>
      </c>
      <c r="F19401">
        <v>145</v>
      </c>
      <c r="G19401">
        <f>LOG(382/(145+1))</f>
        <v>0.41771050712727159</v>
      </c>
      <c r="H19401">
        <f>0.0155038759689922*0.961813986898238</f>
        <v>1.4911844758112171E-2</v>
      </c>
      <c r="I19401">
        <v>1.491184475811223E-2</v>
      </c>
    </row>
    <row r="19402" spans="1:9" x14ac:dyDescent="0.25">
      <c r="A19402">
        <v>588</v>
      </c>
      <c r="B19402" t="s">
        <v>4693</v>
      </c>
      <c r="C19402" t="s">
        <v>10</v>
      </c>
      <c r="D19402" t="s">
        <v>204</v>
      </c>
      <c r="E19402">
        <f>1/129</f>
        <v>7.7519379844961239E-3</v>
      </c>
      <c r="F19402">
        <v>166</v>
      </c>
      <c r="G19402">
        <f>LOG(382/(166+1))</f>
        <v>0.35934689176412549</v>
      </c>
      <c r="H19402">
        <f>0.00775193798449612*0.82742679618982</f>
        <v>6.4141612107737941E-3</v>
      </c>
      <c r="I19402">
        <v>6.4141612107737993E-3</v>
      </c>
    </row>
    <row r="19403" spans="1:9" x14ac:dyDescent="0.25">
      <c r="A19403">
        <v>588</v>
      </c>
      <c r="B19403" t="s">
        <v>4693</v>
      </c>
      <c r="C19403" t="s">
        <v>10</v>
      </c>
      <c r="D19403" t="s">
        <v>76</v>
      </c>
      <c r="E19403">
        <f>2/129</f>
        <v>1.5503875968992248E-2</v>
      </c>
      <c r="F19403">
        <v>140</v>
      </c>
      <c r="G19403">
        <f>LOG(382/(140+1))</f>
        <v>0.43284425025632883</v>
      </c>
      <c r="H19403">
        <f>0.0155038759689922*0.996660718228407</f>
        <v>1.5452104158579904E-2</v>
      </c>
      <c r="I19403">
        <v>1.5452104158579951E-2</v>
      </c>
    </row>
    <row r="19404" spans="1:9" x14ac:dyDescent="0.25">
      <c r="A19404">
        <v>588</v>
      </c>
      <c r="B19404" t="s">
        <v>4693</v>
      </c>
      <c r="C19404" t="s">
        <v>10</v>
      </c>
      <c r="D19404" t="s">
        <v>331</v>
      </c>
      <c r="E19404">
        <f>3/129</f>
        <v>2.3255813953488372E-2</v>
      </c>
      <c r="F19404">
        <v>130</v>
      </c>
      <c r="G19404">
        <f>LOG(382/(130+1))</f>
        <v>0.46479206725594452</v>
      </c>
      <c r="H19404">
        <f>0.0232558139534883*1.07022328540542</f>
        <v>2.488891361407946E-2</v>
      </c>
      <c r="I19404">
        <v>2.4888913614079619E-2</v>
      </c>
    </row>
    <row r="19405" spans="1:9" x14ac:dyDescent="0.25">
      <c r="A19405">
        <v>588</v>
      </c>
      <c r="B19405" t="s">
        <v>4693</v>
      </c>
      <c r="C19405" t="s">
        <v>10</v>
      </c>
      <c r="D19405" t="s">
        <v>939</v>
      </c>
      <c r="E19405">
        <f>1/129</f>
        <v>7.7519379844961239E-3</v>
      </c>
      <c r="F19405">
        <v>35</v>
      </c>
      <c r="G19405">
        <f>LOG(382/(35+1))</f>
        <v>1.0257608621444214</v>
      </c>
      <c r="H19405">
        <f>0.00775193798449612*2.36190167015046</f>
        <v>1.8309315272484177E-2</v>
      </c>
      <c r="I19405">
        <v>1.8309315272484219E-2</v>
      </c>
    </row>
    <row r="19406" spans="1:9" x14ac:dyDescent="0.25">
      <c r="A19406">
        <v>588</v>
      </c>
      <c r="B19406" t="s">
        <v>4693</v>
      </c>
      <c r="C19406" t="s">
        <v>10</v>
      </c>
      <c r="D19406" t="s">
        <v>78</v>
      </c>
      <c r="E19406">
        <f>1/129</f>
        <v>7.7519379844961239E-3</v>
      </c>
      <c r="F19406">
        <v>122</v>
      </c>
      <c r="G19406">
        <f>LOG(382/(122+1))</f>
        <v>0.49215825147231079</v>
      </c>
      <c r="H19406">
        <f>0.00775193798449612*1.13323625323415</f>
        <v>8.7847771568538707E-3</v>
      </c>
      <c r="I19406">
        <v>8.7847771568539349E-3</v>
      </c>
    </row>
    <row r="19407" spans="1:9" x14ac:dyDescent="0.25">
      <c r="A19407">
        <v>588</v>
      </c>
      <c r="B19407" t="s">
        <v>4693</v>
      </c>
      <c r="C19407" t="s">
        <v>10</v>
      </c>
      <c r="D19407" t="s">
        <v>483</v>
      </c>
      <c r="E19407">
        <f>1/129</f>
        <v>7.7519379844961239E-3</v>
      </c>
      <c r="F19407">
        <v>61</v>
      </c>
      <c r="G19407">
        <f>LOG(382/(61+1))</f>
        <v>0.7896716734134549</v>
      </c>
      <c r="H19407">
        <f>0.00775193798449612*1.81828622356148</f>
        <v>1.409524204311224E-2</v>
      </c>
      <c r="I19407">
        <v>1.409524204311228E-2</v>
      </c>
    </row>
    <row r="19408" spans="1:9" x14ac:dyDescent="0.25">
      <c r="A19408">
        <v>588</v>
      </c>
      <c r="B19408" t="s">
        <v>4693</v>
      </c>
      <c r="C19408" t="s">
        <v>10</v>
      </c>
      <c r="D19408" t="s">
        <v>42</v>
      </c>
      <c r="E19408">
        <f>2/129</f>
        <v>1.5503875968992248E-2</v>
      </c>
      <c r="F19408">
        <v>251</v>
      </c>
      <c r="G19408">
        <f>LOG(382/(251+1))</f>
        <v>0.18066282213016463</v>
      </c>
      <c r="H19408">
        <f>0.0155038759689922*0.415991521095151</f>
        <v>6.449480947211623E-3</v>
      </c>
      <c r="I19408">
        <v>6.4494809472116568E-3</v>
      </c>
    </row>
    <row r="19409" spans="1:9" x14ac:dyDescent="0.25">
      <c r="A19409">
        <v>588</v>
      </c>
      <c r="B19409" t="s">
        <v>4693</v>
      </c>
      <c r="C19409" t="s">
        <v>10</v>
      </c>
      <c r="D19409" t="s">
        <v>17</v>
      </c>
      <c r="E19409">
        <f>2/129</f>
        <v>1.5503875968992248E-2</v>
      </c>
      <c r="F19409">
        <v>169</v>
      </c>
      <c r="G19409">
        <f>LOG(382/(169+1))</f>
        <v>0.3516144415334348</v>
      </c>
      <c r="H19409">
        <f>0.0155038759689922*0.809622171556313</f>
        <v>1.2552281729555201E-2</v>
      </c>
      <c r="I19409">
        <v>1.255228172955525E-2</v>
      </c>
    </row>
    <row r="19410" spans="1:9" x14ac:dyDescent="0.25">
      <c r="A19410">
        <v>588</v>
      </c>
      <c r="B19410" t="s">
        <v>4693</v>
      </c>
      <c r="C19410" t="s">
        <v>10</v>
      </c>
      <c r="D19410" t="s">
        <v>1741</v>
      </c>
      <c r="E19410">
        <f>2/129</f>
        <v>1.5503875968992248E-2</v>
      </c>
      <c r="F19410">
        <v>6</v>
      </c>
      <c r="G19410">
        <f>LOG(382/(6+1))</f>
        <v>1.736965322897452</v>
      </c>
      <c r="H19410">
        <f>0.0155038759689922*3.99951045955126</f>
        <v>6.2007914101569729E-2</v>
      </c>
      <c r="I19410">
        <v>6.2007914101569951E-2</v>
      </c>
    </row>
    <row r="19411" spans="1:9" x14ac:dyDescent="0.25">
      <c r="A19411">
        <v>588</v>
      </c>
      <c r="B19411" t="s">
        <v>4693</v>
      </c>
      <c r="C19411" t="s">
        <v>10</v>
      </c>
      <c r="D19411" t="s">
        <v>474</v>
      </c>
      <c r="E19411">
        <f>1/129</f>
        <v>7.7519379844961239E-3</v>
      </c>
      <c r="F19411">
        <v>25</v>
      </c>
      <c r="G19411">
        <f>LOG(382/(25+1))</f>
        <v>1.1670900149408907</v>
      </c>
      <c r="H19411">
        <f>0.00775193798449612*2.68732407058509</f>
        <v>2.0831969539419289E-2</v>
      </c>
      <c r="I19411">
        <v>2.0831969539419331E-2</v>
      </c>
    </row>
    <row r="19412" spans="1:9" x14ac:dyDescent="0.25">
      <c r="A19412">
        <v>588</v>
      </c>
      <c r="B19412" t="s">
        <v>4693</v>
      </c>
      <c r="C19412" t="s">
        <v>10</v>
      </c>
      <c r="D19412" t="s">
        <v>119</v>
      </c>
      <c r="E19412">
        <f>1/129</f>
        <v>7.7519379844961239E-3</v>
      </c>
      <c r="F19412">
        <v>79</v>
      </c>
      <c r="G19412">
        <f>LOG(382/(79+1))</f>
        <v>0.67897337591976514</v>
      </c>
      <c r="H19412">
        <f>0.00775193798449612*1.56339397393269</f>
        <v>1.2119333131261156E-2</v>
      </c>
      <c r="I19412">
        <v>1.2119333131261191E-2</v>
      </c>
    </row>
    <row r="19413" spans="1:9" x14ac:dyDescent="0.25">
      <c r="A19413">
        <v>588</v>
      </c>
      <c r="B19413" t="s">
        <v>4693</v>
      </c>
      <c r="C19413" t="s">
        <v>10</v>
      </c>
      <c r="D19413" t="s">
        <v>133</v>
      </c>
      <c r="E19413">
        <f>3/129</f>
        <v>2.3255813953488372E-2</v>
      </c>
      <c r="F19413">
        <v>142</v>
      </c>
      <c r="G19413">
        <f>LOG(382/(142+1))</f>
        <v>0.42672732544664693</v>
      </c>
      <c r="H19413">
        <f>0.0232558139534883*0.982575978346667</f>
        <v>2.2850604147596834E-2</v>
      </c>
      <c r="I19413">
        <v>2.2850604147596931E-2</v>
      </c>
    </row>
    <row r="19414" spans="1:9" x14ac:dyDescent="0.25">
      <c r="A19414">
        <v>588</v>
      </c>
      <c r="B19414" t="s">
        <v>4693</v>
      </c>
      <c r="C19414" t="s">
        <v>10</v>
      </c>
      <c r="D19414" t="s">
        <v>77</v>
      </c>
      <c r="E19414">
        <f>2/129</f>
        <v>1.5503875968992248E-2</v>
      </c>
      <c r="F19414">
        <v>148</v>
      </c>
      <c r="G19414">
        <f>LOG(382/(148+1))</f>
        <v>0.40887709449943471</v>
      </c>
      <c r="H19414">
        <f>0.0155038759689922*0.941474302661116</f>
        <v>1.4596500816451365E-2</v>
      </c>
      <c r="I19414">
        <v>1.459650081645141E-2</v>
      </c>
    </row>
    <row r="19415" spans="1:9" x14ac:dyDescent="0.25">
      <c r="A19415">
        <v>588</v>
      </c>
      <c r="B19415" t="s">
        <v>4693</v>
      </c>
      <c r="C19415" t="s">
        <v>10</v>
      </c>
      <c r="D19415" t="s">
        <v>1083</v>
      </c>
      <c r="E19415">
        <f>1/129</f>
        <v>7.7519379844961239E-3</v>
      </c>
      <c r="F19415">
        <v>51</v>
      </c>
      <c r="G19415">
        <f>LOG(382/(51+1))</f>
        <v>0.86606001927690957</v>
      </c>
      <c r="H19415">
        <f>0.00775193798449612*1.99417689002514</f>
        <v>1.5458735581590223E-2</v>
      </c>
      <c r="I19415">
        <v>1.5458735581590289E-2</v>
      </c>
    </row>
    <row r="19416" spans="1:9" x14ac:dyDescent="0.25">
      <c r="A19416">
        <v>588</v>
      </c>
      <c r="B19416" t="s">
        <v>4693</v>
      </c>
      <c r="C19416" t="s">
        <v>10</v>
      </c>
      <c r="D19416" t="s">
        <v>322</v>
      </c>
      <c r="E19416">
        <f>1/129</f>
        <v>7.7519379844961239E-3</v>
      </c>
      <c r="F19416">
        <v>128</v>
      </c>
      <c r="G19416">
        <f>LOG(382/(128+1))</f>
        <v>0.47147365261245977</v>
      </c>
      <c r="H19416">
        <f>0.00775193798449612*1.0856082042449</f>
        <v>8.4155674747666623E-3</v>
      </c>
      <c r="I19416">
        <v>8.41556747476669E-3</v>
      </c>
    </row>
    <row r="19417" spans="1:9" x14ac:dyDescent="0.25">
      <c r="A19417">
        <v>588</v>
      </c>
      <c r="B19417" t="s">
        <v>4693</v>
      </c>
      <c r="C19417" t="s">
        <v>10</v>
      </c>
      <c r="D19417" t="s">
        <v>123</v>
      </c>
      <c r="E19417">
        <f>1/129</f>
        <v>7.7519379844961239E-3</v>
      </c>
      <c r="F19417">
        <v>74</v>
      </c>
      <c r="G19417">
        <f>LOG(382/(74+1))</f>
        <v>0.7070020995200087</v>
      </c>
      <c r="H19417">
        <f>0.00775193798449612*1.62793249507026</f>
        <v>1.2619631744730691E-2</v>
      </c>
      <c r="I19417">
        <v>1.2619631744730729E-2</v>
      </c>
    </row>
    <row r="19418" spans="1:9" x14ac:dyDescent="0.25">
      <c r="A19418">
        <v>588</v>
      </c>
      <c r="B19418" t="s">
        <v>4693</v>
      </c>
      <c r="C19418" t="s">
        <v>10</v>
      </c>
      <c r="D19418" t="s">
        <v>593</v>
      </c>
      <c r="E19418">
        <f>2/129</f>
        <v>1.5503875968992248E-2</v>
      </c>
      <c r="F19418">
        <v>30</v>
      </c>
      <c r="G19418">
        <f>LOG(382/(30+1))</f>
        <v>1.090701669077436</v>
      </c>
      <c r="H19418">
        <f>0.0155038759689922*2.51143340412142</f>
        <v>3.8936952001882359E-2</v>
      </c>
      <c r="I19418">
        <v>3.8936952001882623E-2</v>
      </c>
    </row>
    <row r="19419" spans="1:9" x14ac:dyDescent="0.25">
      <c r="A19419">
        <v>588</v>
      </c>
      <c r="B19419" t="s">
        <v>4693</v>
      </c>
      <c r="C19419" t="s">
        <v>10</v>
      </c>
      <c r="D19419" t="s">
        <v>594</v>
      </c>
      <c r="E19419">
        <f>4/129</f>
        <v>3.1007751937984496E-2</v>
      </c>
      <c r="F19419">
        <v>36</v>
      </c>
      <c r="G19419">
        <f>LOG(382/(36+1))</f>
        <v>1.0138616388447137</v>
      </c>
      <c r="H19419">
        <f>0.0310077519379844*2.33450269596235</f>
        <v>7.2387680494956363E-2</v>
      </c>
      <c r="I19419">
        <v>7.2387680494956613E-2</v>
      </c>
    </row>
    <row r="19420" spans="1:9" x14ac:dyDescent="0.25">
      <c r="A19420">
        <v>588</v>
      </c>
      <c r="B19420" t="s">
        <v>4693</v>
      </c>
      <c r="C19420" t="s">
        <v>10</v>
      </c>
      <c r="D19420" t="s">
        <v>216</v>
      </c>
      <c r="E19420">
        <f>1/129</f>
        <v>7.7519379844961239E-3</v>
      </c>
      <c r="F19420">
        <v>63</v>
      </c>
      <c r="G19420">
        <f>LOG(382/(63+1))</f>
        <v>0.7758833889278216</v>
      </c>
      <c r="H19420">
        <f>0.00775193798449612*1.7865375252469</f>
        <v>1.3849128102689139E-2</v>
      </c>
      <c r="I19420">
        <v>1.384912810268917E-2</v>
      </c>
    </row>
    <row r="19421" spans="1:9" x14ac:dyDescent="0.25">
      <c r="A19421">
        <v>588</v>
      </c>
      <c r="B19421" t="s">
        <v>4693</v>
      </c>
      <c r="C19421" t="s">
        <v>10</v>
      </c>
      <c r="D19421" t="s">
        <v>25</v>
      </c>
      <c r="E19421">
        <f>1/129</f>
        <v>7.7519379844961239E-3</v>
      </c>
      <c r="F19421">
        <v>106</v>
      </c>
      <c r="G19421">
        <f>LOG(382/(106+1))</f>
        <v>0.55267958522649907</v>
      </c>
      <c r="H19421">
        <f>0.00775193798449612*1.27259177414466</f>
        <v>9.865052512749297E-3</v>
      </c>
      <c r="I19421">
        <v>9.8650525127493716E-3</v>
      </c>
    </row>
    <row r="19422" spans="1:9" x14ac:dyDescent="0.25">
      <c r="A19422">
        <v>588</v>
      </c>
      <c r="B19422" t="s">
        <v>4693</v>
      </c>
      <c r="C19422" t="s">
        <v>10</v>
      </c>
      <c r="D19422" t="s">
        <v>1854</v>
      </c>
      <c r="E19422">
        <f>1/129</f>
        <v>7.7519379844961239E-3</v>
      </c>
      <c r="F19422">
        <v>9</v>
      </c>
      <c r="G19422">
        <f>LOG(382/(9+1))</f>
        <v>1.5820633629117087</v>
      </c>
      <c r="H19422">
        <f>0.00775193798449612*3.64283551561252</f>
        <v>2.8239035004748201E-2</v>
      </c>
      <c r="I19422">
        <v>2.8239035004748291E-2</v>
      </c>
    </row>
    <row r="19423" spans="1:9" x14ac:dyDescent="0.25">
      <c r="A19423">
        <v>588</v>
      </c>
      <c r="B19423" t="s">
        <v>4693</v>
      </c>
      <c r="C19423" t="s">
        <v>10</v>
      </c>
      <c r="D19423" t="s">
        <v>112</v>
      </c>
      <c r="E19423">
        <f>1/129</f>
        <v>7.7519379844961239E-3</v>
      </c>
      <c r="F19423">
        <v>52</v>
      </c>
      <c r="G19423">
        <f>LOG(382/(52+1))</f>
        <v>0.85778749331091964</v>
      </c>
      <c r="H19423">
        <f>0.00775193798449612*1.97512869505445</f>
        <v>1.5311075155460844E-2</v>
      </c>
      <c r="I19423">
        <v>1.5311075155460881E-2</v>
      </c>
    </row>
    <row r="19424" spans="1:9" x14ac:dyDescent="0.25">
      <c r="A19424">
        <v>588</v>
      </c>
      <c r="B19424" t="s">
        <v>4693</v>
      </c>
      <c r="C19424" t="s">
        <v>10</v>
      </c>
      <c r="D19424" t="s">
        <v>1328</v>
      </c>
      <c r="E19424">
        <f>1/129</f>
        <v>7.7519379844961239E-3</v>
      </c>
      <c r="F19424">
        <v>22</v>
      </c>
      <c r="G19424">
        <f>LOG(382/(22+1))</f>
        <v>1.2203355268941158</v>
      </c>
      <c r="H19424">
        <f>0.00775193798449612*2.80992639267742</f>
        <v>2.1782375137034248E-2</v>
      </c>
      <c r="I19424">
        <v>2.1782375137034311E-2</v>
      </c>
    </row>
    <row r="19425" spans="1:9" x14ac:dyDescent="0.25">
      <c r="A19425">
        <v>588</v>
      </c>
      <c r="B19425" t="s">
        <v>4693</v>
      </c>
      <c r="C19425" t="s">
        <v>10</v>
      </c>
      <c r="D19425" t="s">
        <v>324</v>
      </c>
      <c r="E19425">
        <f>2/129</f>
        <v>1.5503875968992248E-2</v>
      </c>
      <c r="F19425">
        <v>82</v>
      </c>
      <c r="G19425">
        <f>LOG(382/(82+1))</f>
        <v>0.66298527053563483</v>
      </c>
      <c r="H19425">
        <f>0.0155038759689922*1.52658000080997</f>
        <v>2.3667906989301785E-2</v>
      </c>
      <c r="I19425">
        <v>2.3667906989301969E-2</v>
      </c>
    </row>
    <row r="19426" spans="1:9" x14ac:dyDescent="0.25">
      <c r="A19426">
        <v>588</v>
      </c>
      <c r="B19426" t="s">
        <v>4693</v>
      </c>
      <c r="C19426" t="s">
        <v>10</v>
      </c>
      <c r="D19426" t="s">
        <v>31</v>
      </c>
      <c r="E19426">
        <f t="shared" ref="E19426:E19431" si="926">1/129</f>
        <v>7.7519379844961239E-3</v>
      </c>
      <c r="F19426">
        <v>31</v>
      </c>
      <c r="G19426">
        <f>LOG(382/(31+1))</f>
        <v>1.0769133845918029</v>
      </c>
      <c r="H19426">
        <f>0.00775193798449612*2.47968470580684</f>
        <v>1.9222362060518128E-2</v>
      </c>
      <c r="I19426">
        <v>1.9222362060518208E-2</v>
      </c>
    </row>
    <row r="19427" spans="1:9" x14ac:dyDescent="0.25">
      <c r="A19427">
        <v>588</v>
      </c>
      <c r="B19427" t="s">
        <v>4693</v>
      </c>
      <c r="C19427" t="s">
        <v>10</v>
      </c>
      <c r="D19427" t="s">
        <v>4695</v>
      </c>
      <c r="E19427">
        <f t="shared" si="926"/>
        <v>7.7519379844961239E-3</v>
      </c>
      <c r="F19427">
        <v>1</v>
      </c>
      <c r="G19427">
        <f>LOG(382/(1+1))</f>
        <v>2.2810333672477277</v>
      </c>
      <c r="H19427">
        <f>0.00775193798449612*5.25227342804663</f>
        <v>4.0715297891834319E-2</v>
      </c>
      <c r="I19427">
        <v>4.071529789183434E-2</v>
      </c>
    </row>
    <row r="19428" spans="1:9" x14ac:dyDescent="0.25">
      <c r="A19428">
        <v>588</v>
      </c>
      <c r="B19428" t="s">
        <v>4693</v>
      </c>
      <c r="C19428" t="s">
        <v>10</v>
      </c>
      <c r="D19428" t="s">
        <v>2192</v>
      </c>
      <c r="E19428">
        <f t="shared" si="926"/>
        <v>7.7519379844961239E-3</v>
      </c>
      <c r="F19428">
        <v>2</v>
      </c>
      <c r="G19428">
        <f>LOG(382/(2+1))</f>
        <v>2.1049421081920463</v>
      </c>
      <c r="H19428">
        <f>0.00775193798449612*4.84680831993846</f>
        <v>3.757215751890277E-2</v>
      </c>
      <c r="I19428">
        <v>3.7572157518902832E-2</v>
      </c>
    </row>
    <row r="19429" spans="1:9" x14ac:dyDescent="0.25">
      <c r="A19429">
        <v>588</v>
      </c>
      <c r="B19429" t="s">
        <v>4693</v>
      </c>
      <c r="C19429" t="s">
        <v>10</v>
      </c>
      <c r="D19429" t="s">
        <v>4696</v>
      </c>
      <c r="E19429">
        <f t="shared" si="926"/>
        <v>7.7519379844961239E-3</v>
      </c>
      <c r="F19429">
        <v>1</v>
      </c>
      <c r="G19429">
        <f>LOG(382/(1+1))</f>
        <v>2.2810333672477277</v>
      </c>
      <c r="H19429">
        <f>0.00775193798449612*5.25227342804663</f>
        <v>4.0715297891834319E-2</v>
      </c>
      <c r="I19429">
        <v>4.071529789183434E-2</v>
      </c>
    </row>
    <row r="19430" spans="1:9" x14ac:dyDescent="0.25">
      <c r="A19430">
        <v>588</v>
      </c>
      <c r="B19430" t="s">
        <v>4693</v>
      </c>
      <c r="C19430" t="s">
        <v>10</v>
      </c>
      <c r="D19430" t="s">
        <v>2220</v>
      </c>
      <c r="E19430">
        <f t="shared" si="926"/>
        <v>7.7519379844961239E-3</v>
      </c>
      <c r="F19430">
        <v>21</v>
      </c>
      <c r="G19430">
        <f>LOG(382/(21+1))</f>
        <v>1.2396406820895025</v>
      </c>
      <c r="H19430">
        <f>0.00775193798449612*2.85437815524825</f>
        <v>2.212696244378487E-2</v>
      </c>
      <c r="I19430">
        <v>2.212696244378495E-2</v>
      </c>
    </row>
    <row r="19431" spans="1:9" x14ac:dyDescent="0.25">
      <c r="A19431">
        <v>588</v>
      </c>
      <c r="B19431" t="s">
        <v>4693</v>
      </c>
      <c r="C19431" t="s">
        <v>10</v>
      </c>
      <c r="D19431" t="s">
        <v>765</v>
      </c>
      <c r="E19431">
        <f t="shared" si="926"/>
        <v>7.7519379844961239E-3</v>
      </c>
      <c r="F19431">
        <v>44</v>
      </c>
      <c r="G19431">
        <f>LOG(382/(44+1))</f>
        <v>0.92885084913636506</v>
      </c>
      <c r="H19431">
        <f>0.00775193798449612*2.13875811883625</f>
        <v>1.6579520301056191E-2</v>
      </c>
      <c r="I19431">
        <v>1.6579520301056239E-2</v>
      </c>
    </row>
    <row r="19432" spans="1:9" x14ac:dyDescent="0.25">
      <c r="A19432">
        <v>588</v>
      </c>
      <c r="B19432" t="s">
        <v>4693</v>
      </c>
      <c r="C19432" t="s">
        <v>10</v>
      </c>
      <c r="D19432" t="s">
        <v>1080</v>
      </c>
      <c r="E19432">
        <f>2/129</f>
        <v>1.5503875968992248E-2</v>
      </c>
      <c r="F19432">
        <v>26</v>
      </c>
      <c r="G19432">
        <f>LOG(382/(26+1))</f>
        <v>1.1506995987527215</v>
      </c>
      <c r="H19432">
        <f>0.0155038759689922*2.64958374260224</f>
        <v>4.107881771476328E-2</v>
      </c>
      <c r="I19432">
        <v>4.1078817714763509E-2</v>
      </c>
    </row>
    <row r="19433" spans="1:9" x14ac:dyDescent="0.25">
      <c r="A19433">
        <v>588</v>
      </c>
      <c r="B19433" t="s">
        <v>4693</v>
      </c>
      <c r="C19433" t="s">
        <v>10</v>
      </c>
      <c r="D19433" t="s">
        <v>201</v>
      </c>
      <c r="E19433">
        <f>1/129</f>
        <v>7.7519379844961239E-3</v>
      </c>
      <c r="F19433">
        <v>72</v>
      </c>
      <c r="G19433">
        <f>LOG(382/(72+1))</f>
        <v>0.71874050279125279</v>
      </c>
      <c r="H19433">
        <f>0.00775193798449612*1.65496116745818</f>
        <v>1.2829156336885108E-2</v>
      </c>
      <c r="I19433">
        <v>1.282915633688515E-2</v>
      </c>
    </row>
    <row r="19434" spans="1:9" x14ac:dyDescent="0.25">
      <c r="A19434">
        <v>588</v>
      </c>
      <c r="B19434" t="s">
        <v>4693</v>
      </c>
      <c r="C19434" t="s">
        <v>10</v>
      </c>
      <c r="D19434" t="s">
        <v>4061</v>
      </c>
      <c r="E19434">
        <f>1/129</f>
        <v>7.7519379844961239E-3</v>
      </c>
      <c r="F19434">
        <v>2</v>
      </c>
      <c r="G19434">
        <f>LOG(382/(2+1))</f>
        <v>2.1049421081920463</v>
      </c>
      <c r="H19434">
        <f>0.00775193798449612*4.84680831993846</f>
        <v>3.757215751890277E-2</v>
      </c>
      <c r="I19434">
        <v>3.7572157518902832E-2</v>
      </c>
    </row>
    <row r="19435" spans="1:9" x14ac:dyDescent="0.25">
      <c r="A19435">
        <v>588</v>
      </c>
      <c r="B19435" t="s">
        <v>4693</v>
      </c>
      <c r="C19435" t="s">
        <v>10</v>
      </c>
      <c r="D19435" t="s">
        <v>126</v>
      </c>
      <c r="E19435">
        <f>1/129</f>
        <v>7.7519379844961239E-3</v>
      </c>
      <c r="F19435">
        <v>79</v>
      </c>
      <c r="G19435">
        <f>LOG(382/(79+1))</f>
        <v>0.67897337591976514</v>
      </c>
      <c r="H19435">
        <f>0.00775193798449612*1.56339397393269</f>
        <v>1.2119333131261156E-2</v>
      </c>
      <c r="I19435">
        <v>1.2119333131261191E-2</v>
      </c>
    </row>
    <row r="19436" spans="1:9" x14ac:dyDescent="0.25">
      <c r="A19436">
        <v>588</v>
      </c>
      <c r="B19436" t="s">
        <v>4693</v>
      </c>
      <c r="C19436" t="s">
        <v>10</v>
      </c>
      <c r="D19436" t="s">
        <v>339</v>
      </c>
      <c r="E19436">
        <f>1/129</f>
        <v>7.7519379844961239E-3</v>
      </c>
      <c r="F19436">
        <v>66</v>
      </c>
      <c r="G19436">
        <f>LOG(382/(66+1))</f>
        <v>0.75598856021088234</v>
      </c>
      <c r="H19436">
        <f>0.00775193798449612*1.7407279892156</f>
        <v>1.3494015420275961E-2</v>
      </c>
      <c r="I19436">
        <v>1.3494015420276039E-2</v>
      </c>
    </row>
    <row r="19437" spans="1:9" x14ac:dyDescent="0.25">
      <c r="A19437">
        <v>588</v>
      </c>
      <c r="B19437" t="s">
        <v>4693</v>
      </c>
      <c r="C19437" t="s">
        <v>10</v>
      </c>
      <c r="D19437" t="s">
        <v>1073</v>
      </c>
      <c r="E19437">
        <f>4/129</f>
        <v>3.1007751937984496E-2</v>
      </c>
      <c r="F19437">
        <v>25</v>
      </c>
      <c r="G19437">
        <f>LOG(382/(25+1))</f>
        <v>1.1670900149408907</v>
      </c>
      <c r="H19437">
        <f>0.0310077519379844*2.68732407058509</f>
        <v>8.3327878157676949E-2</v>
      </c>
      <c r="I19437">
        <v>8.332787815767731E-2</v>
      </c>
    </row>
    <row r="19438" spans="1:9" x14ac:dyDescent="0.25">
      <c r="A19438">
        <v>588</v>
      </c>
      <c r="B19438" t="s">
        <v>4693</v>
      </c>
      <c r="C19438" t="s">
        <v>10</v>
      </c>
      <c r="D19438" t="s">
        <v>144</v>
      </c>
      <c r="E19438">
        <f>1/129</f>
        <v>7.7519379844961239E-3</v>
      </c>
      <c r="F19438">
        <v>105</v>
      </c>
      <c r="G19438">
        <f>LOG(382/(105+1))</f>
        <v>0.55675749764693849</v>
      </c>
      <c r="H19438">
        <f>0.00775193798449612*1.2819815144945</f>
        <v>9.9378411976317766E-3</v>
      </c>
      <c r="I19438">
        <v>9.9378411976318443E-3</v>
      </c>
    </row>
    <row r="19439" spans="1:9" x14ac:dyDescent="0.25">
      <c r="A19439">
        <v>588</v>
      </c>
      <c r="B19439" t="s">
        <v>4693</v>
      </c>
      <c r="C19439" t="s">
        <v>10</v>
      </c>
      <c r="D19439" t="s">
        <v>600</v>
      </c>
      <c r="E19439">
        <f>2/129</f>
        <v>1.5503875968992248E-2</v>
      </c>
      <c r="F19439">
        <v>102</v>
      </c>
      <c r="G19439">
        <f>LOG(382/(102+1))</f>
        <v>0.56922613820653656</v>
      </c>
      <c r="H19439">
        <f>0.0155038759689922*1.31069162037693</f>
        <v>2.0320800315921334E-2</v>
      </c>
      <c r="I19439">
        <v>2.0320800315921539E-2</v>
      </c>
    </row>
    <row r="19440" spans="1:9" x14ac:dyDescent="0.25">
      <c r="A19440">
        <v>588</v>
      </c>
      <c r="B19440" t="s">
        <v>4693</v>
      </c>
      <c r="C19440" t="s">
        <v>10</v>
      </c>
      <c r="D19440" t="s">
        <v>4697</v>
      </c>
      <c r="E19440">
        <f>1/129</f>
        <v>7.7519379844961239E-3</v>
      </c>
      <c r="F19440">
        <v>1</v>
      </c>
      <c r="G19440">
        <f>LOG(382/(1+1))</f>
        <v>2.2810333672477277</v>
      </c>
      <c r="H19440">
        <f>0.00775193798449612*5.25227342804663</f>
        <v>4.0715297891834319E-2</v>
      </c>
      <c r="I19440">
        <v>4.071529789183434E-2</v>
      </c>
    </row>
    <row r="19441" spans="1:9" x14ac:dyDescent="0.25">
      <c r="A19441">
        <v>588</v>
      </c>
      <c r="B19441" t="s">
        <v>4693</v>
      </c>
      <c r="C19441" t="s">
        <v>10</v>
      </c>
      <c r="D19441" t="s">
        <v>15</v>
      </c>
      <c r="E19441">
        <f>1/129</f>
        <v>7.7519379844961239E-3</v>
      </c>
      <c r="F19441">
        <v>112</v>
      </c>
      <c r="G19441">
        <f>LOG(382/(112+1))</f>
        <v>0.52898491942828896</v>
      </c>
      <c r="H19441">
        <f>0.00775193798449612*1.21803278989423</f>
        <v>9.4421146503428626E-3</v>
      </c>
      <c r="I19441">
        <v>9.4421146503429042E-3</v>
      </c>
    </row>
    <row r="19442" spans="1:9" x14ac:dyDescent="0.25">
      <c r="A19442">
        <v>588</v>
      </c>
      <c r="B19442" t="s">
        <v>4693</v>
      </c>
      <c r="C19442" t="s">
        <v>10</v>
      </c>
      <c r="D19442" t="s">
        <v>445</v>
      </c>
      <c r="E19442">
        <f>2/129</f>
        <v>1.5503875968992248E-2</v>
      </c>
      <c r="F19442">
        <v>35</v>
      </c>
      <c r="G19442">
        <f>LOG(382/(35+1))</f>
        <v>1.0257608621444214</v>
      </c>
      <c r="H19442">
        <f>0.0155038759689922*2.36190167015046</f>
        <v>3.6618630544968257E-2</v>
      </c>
      <c r="I19442">
        <v>3.6618630544968438E-2</v>
      </c>
    </row>
    <row r="19443" spans="1:9" x14ac:dyDescent="0.25">
      <c r="A19443">
        <v>588</v>
      </c>
      <c r="B19443" t="s">
        <v>4693</v>
      </c>
      <c r="C19443" t="s">
        <v>10</v>
      </c>
      <c r="D19443" t="s">
        <v>237</v>
      </c>
      <c r="E19443">
        <f t="shared" ref="E19443:E19448" si="927">1/129</f>
        <v>7.7519379844961239E-3</v>
      </c>
      <c r="F19443">
        <v>138</v>
      </c>
      <c r="G19443">
        <f>LOG(382/(138+1))</f>
        <v>0.43904856265761361</v>
      </c>
      <c r="H19443">
        <f>0.00775193798449612*1.01094667547588</f>
        <v>7.8367959339215466E-3</v>
      </c>
      <c r="I19443">
        <v>7.8367959339215761E-3</v>
      </c>
    </row>
    <row r="19444" spans="1:9" x14ac:dyDescent="0.25">
      <c r="A19444">
        <v>588</v>
      </c>
      <c r="B19444" t="s">
        <v>4693</v>
      </c>
      <c r="C19444" t="s">
        <v>10</v>
      </c>
      <c r="D19444" t="s">
        <v>1176</v>
      </c>
      <c r="E19444">
        <f t="shared" si="927"/>
        <v>7.7519379844961239E-3</v>
      </c>
      <c r="F19444">
        <v>15</v>
      </c>
      <c r="G19444">
        <f>LOG(382/(15+1))</f>
        <v>1.3779433802557839</v>
      </c>
      <c r="H19444">
        <f>0.00775193798449612*3.17283188636679</f>
        <v>2.4595596018347196E-2</v>
      </c>
      <c r="I19444">
        <v>2.4595596018347241E-2</v>
      </c>
    </row>
    <row r="19445" spans="1:9" x14ac:dyDescent="0.25">
      <c r="A19445">
        <v>588</v>
      </c>
      <c r="B19445" t="s">
        <v>4693</v>
      </c>
      <c r="C19445" t="s">
        <v>10</v>
      </c>
      <c r="D19445" t="s">
        <v>1462</v>
      </c>
      <c r="E19445">
        <f t="shared" si="927"/>
        <v>7.7519379844961239E-3</v>
      </c>
      <c r="F19445">
        <v>7</v>
      </c>
      <c r="G19445">
        <f>LOG(382/(7+1))</f>
        <v>1.6789733759197651</v>
      </c>
      <c r="H19445">
        <f>0.00775193798449612*3.86597906692673</f>
        <v>2.9968829976176187E-2</v>
      </c>
      <c r="I19445">
        <v>2.9968829976176271E-2</v>
      </c>
    </row>
    <row r="19446" spans="1:9" x14ac:dyDescent="0.25">
      <c r="A19446">
        <v>588</v>
      </c>
      <c r="B19446" t="s">
        <v>4693</v>
      </c>
      <c r="C19446" t="s">
        <v>10</v>
      </c>
      <c r="D19446" t="s">
        <v>1464</v>
      </c>
      <c r="E19446">
        <f t="shared" si="927"/>
        <v>7.7519379844961239E-3</v>
      </c>
      <c r="F19446">
        <v>4</v>
      </c>
      <c r="G19446">
        <f>LOG(382/(4+1))</f>
        <v>1.8830933585756899</v>
      </c>
      <c r="H19446">
        <f>0.00775193798449612*4.33598269617247</f>
        <v>3.3612268962577269E-2</v>
      </c>
      <c r="I19446">
        <v>3.3612268962577317E-2</v>
      </c>
    </row>
    <row r="19447" spans="1:9" x14ac:dyDescent="0.25">
      <c r="A19447">
        <v>588</v>
      </c>
      <c r="B19447" t="s">
        <v>4693</v>
      </c>
      <c r="C19447" t="s">
        <v>10</v>
      </c>
      <c r="D19447" t="s">
        <v>490</v>
      </c>
      <c r="E19447">
        <f t="shared" si="927"/>
        <v>7.7519379844961239E-3</v>
      </c>
      <c r="F19447">
        <v>31</v>
      </c>
      <c r="G19447">
        <f>LOG(382/(31+1))</f>
        <v>1.0769133845918029</v>
      </c>
      <c r="H19447">
        <f>0.00775193798449612*2.47968470580684</f>
        <v>1.9222362060518128E-2</v>
      </c>
      <c r="I19447">
        <v>1.9222362060518208E-2</v>
      </c>
    </row>
    <row r="19448" spans="1:9" x14ac:dyDescent="0.25">
      <c r="A19448">
        <v>588</v>
      </c>
      <c r="B19448" t="s">
        <v>4693</v>
      </c>
      <c r="C19448" t="s">
        <v>10</v>
      </c>
      <c r="D19448" t="s">
        <v>1222</v>
      </c>
      <c r="E19448">
        <f t="shared" si="927"/>
        <v>7.7519379844961239E-3</v>
      </c>
      <c r="F19448">
        <v>56</v>
      </c>
      <c r="G19448">
        <f>LOG(382/(56+1))</f>
        <v>0.82618850723921733</v>
      </c>
      <c r="H19448">
        <f>0.00775193798449612*1.90236934077202</f>
        <v>1.4747049153271463E-2</v>
      </c>
      <c r="I19448">
        <v>1.474704915327151E-2</v>
      </c>
    </row>
    <row r="19449" spans="1:9" x14ac:dyDescent="0.25">
      <c r="A19449">
        <v>588</v>
      </c>
      <c r="B19449" t="s">
        <v>4693</v>
      </c>
      <c r="C19449" t="s">
        <v>10</v>
      </c>
      <c r="D19449" t="s">
        <v>434</v>
      </c>
      <c r="E19449">
        <f>2/129</f>
        <v>1.5503875968992248E-2</v>
      </c>
      <c r="F19449">
        <v>97</v>
      </c>
      <c r="G19449">
        <f>LOG(382/(97+1))</f>
        <v>0.59083728721921391</v>
      </c>
      <c r="H19449">
        <f>0.0155038759689922*1.360453129936</f>
        <v>2.1092296588154973E-2</v>
      </c>
      <c r="I19449">
        <v>2.1092296588155091E-2</v>
      </c>
    </row>
    <row r="19450" spans="1:9" x14ac:dyDescent="0.25">
      <c r="A19450">
        <v>588</v>
      </c>
      <c r="B19450" t="s">
        <v>4693</v>
      </c>
      <c r="C19450" t="s">
        <v>10</v>
      </c>
      <c r="D19450" t="s">
        <v>310</v>
      </c>
      <c r="E19450">
        <f>1/129</f>
        <v>7.7519379844961239E-3</v>
      </c>
      <c r="F19450">
        <v>50</v>
      </c>
      <c r="G19450">
        <f>LOG(382/(50+1))</f>
        <v>0.87449318681377242</v>
      </c>
      <c r="H19450">
        <f>0.00775193798449612*2.01359497588224</f>
        <v>1.5609263378932082E-2</v>
      </c>
      <c r="I19450">
        <v>1.560926337893217E-2</v>
      </c>
    </row>
    <row r="19451" spans="1:9" x14ac:dyDescent="0.25">
      <c r="A19451">
        <v>588</v>
      </c>
      <c r="B19451" t="s">
        <v>4693</v>
      </c>
      <c r="C19451" t="s">
        <v>10</v>
      </c>
      <c r="D19451" t="s">
        <v>438</v>
      </c>
      <c r="E19451">
        <f>1/129</f>
        <v>7.7519379844961239E-3</v>
      </c>
      <c r="F19451">
        <v>37</v>
      </c>
      <c r="G19451">
        <f>LOG(382/(37+1))</f>
        <v>1.0022797662948986</v>
      </c>
      <c r="H19451">
        <f>0.00775193798449612*2.30783444888018</f>
        <v>1.7890189526202933E-2</v>
      </c>
      <c r="I19451">
        <v>1.7890189526203019E-2</v>
      </c>
    </row>
    <row r="19452" spans="1:9" x14ac:dyDescent="0.25">
      <c r="A19452">
        <v>588</v>
      </c>
      <c r="B19452" t="s">
        <v>4693</v>
      </c>
      <c r="C19452" t="s">
        <v>10</v>
      </c>
      <c r="D19452" t="s">
        <v>439</v>
      </c>
      <c r="E19452">
        <f>1/129</f>
        <v>7.7519379844961239E-3</v>
      </c>
      <c r="F19452">
        <v>28</v>
      </c>
      <c r="G19452">
        <f>LOG(382/(28+1))</f>
        <v>1.1196653650127526</v>
      </c>
      <c r="H19452">
        <f>0.00775193798449612*2.5781247786201</f>
        <v>1.9985463400155799E-2</v>
      </c>
      <c r="I19452">
        <v>1.998546340015582E-2</v>
      </c>
    </row>
    <row r="19453" spans="1:9" x14ac:dyDescent="0.25">
      <c r="A19453">
        <v>588</v>
      </c>
      <c r="B19453" t="s">
        <v>4693</v>
      </c>
      <c r="C19453" t="s">
        <v>10</v>
      </c>
      <c r="D19453" t="s">
        <v>361</v>
      </c>
      <c r="E19453">
        <f>1/129</f>
        <v>7.7519379844961239E-3</v>
      </c>
      <c r="F19453">
        <v>118</v>
      </c>
      <c r="G19453">
        <f>LOG(382/(118+1))</f>
        <v>0.50651640151917798</v>
      </c>
      <c r="H19453">
        <f>0.00775193798449612*1.16629711549504</f>
        <v>9.0410629108142581E-3</v>
      </c>
      <c r="I19453">
        <v>9.0410629108143084E-3</v>
      </c>
    </row>
    <row r="19454" spans="1:9" x14ac:dyDescent="0.25">
      <c r="A19454">
        <v>588</v>
      </c>
      <c r="B19454" t="s">
        <v>4693</v>
      </c>
      <c r="C19454" t="s">
        <v>10</v>
      </c>
      <c r="D19454" t="s">
        <v>521</v>
      </c>
      <c r="E19454">
        <f>1/129</f>
        <v>7.7519379844961239E-3</v>
      </c>
      <c r="F19454">
        <v>7</v>
      </c>
      <c r="G19454">
        <f>LOG(382/(7+1))</f>
        <v>1.6789733759197651</v>
      </c>
      <c r="H19454">
        <f>0.00775193798449612*3.86597906692673</f>
        <v>2.9968829976176187E-2</v>
      </c>
      <c r="I19454">
        <v>2.9968829976176271E-2</v>
      </c>
    </row>
    <row r="19455" spans="1:9" x14ac:dyDescent="0.25">
      <c r="A19455">
        <v>588</v>
      </c>
      <c r="B19455" t="s">
        <v>4693</v>
      </c>
      <c r="C19455" t="s">
        <v>10</v>
      </c>
      <c r="D19455" t="s">
        <v>236</v>
      </c>
      <c r="E19455">
        <f>3/129</f>
        <v>2.3255813953488372E-2</v>
      </c>
      <c r="F19455">
        <v>87</v>
      </c>
      <c r="G19455">
        <f>LOG(382/(87+1))</f>
        <v>0.63758069076154011</v>
      </c>
      <c r="H19455">
        <f>0.0232558139534883*1.46808379412836</f>
        <v>3.4141483584380357E-2</v>
      </c>
      <c r="I19455">
        <v>3.4141483584380669E-2</v>
      </c>
    </row>
    <row r="19456" spans="1:9" x14ac:dyDescent="0.25">
      <c r="A19456">
        <v>588</v>
      </c>
      <c r="B19456" t="s">
        <v>4693</v>
      </c>
      <c r="C19456" t="s">
        <v>10</v>
      </c>
      <c r="D19456" t="s">
        <v>1633</v>
      </c>
      <c r="E19456">
        <f>2/129</f>
        <v>1.5503875968992248E-2</v>
      </c>
      <c r="F19456">
        <v>18</v>
      </c>
      <c r="G19456">
        <f>LOG(382/(18+1))</f>
        <v>1.3033097619588798</v>
      </c>
      <c r="H19456">
        <f>0.0155038759689922*3.00098162944013</f>
        <v>4.652684696806389E-2</v>
      </c>
      <c r="I19456">
        <v>4.6526846968064098E-2</v>
      </c>
    </row>
    <row r="19457" spans="1:9" x14ac:dyDescent="0.25">
      <c r="A19457">
        <v>588</v>
      </c>
      <c r="B19457" t="s">
        <v>4693</v>
      </c>
      <c r="C19457" t="s">
        <v>10</v>
      </c>
      <c r="D19457" t="s">
        <v>1446</v>
      </c>
      <c r="E19457">
        <f t="shared" ref="E19457:E19465" si="928">1/129</f>
        <v>7.7519379844961239E-3</v>
      </c>
      <c r="F19457">
        <v>8</v>
      </c>
      <c r="G19457">
        <f>LOG(382/(8+1))</f>
        <v>1.6278208534723839</v>
      </c>
      <c r="H19457">
        <f>0.00775193798449612*3.74819603127035</f>
        <v>2.9055783188142233E-2</v>
      </c>
      <c r="I19457">
        <v>2.9055783188142292E-2</v>
      </c>
    </row>
    <row r="19458" spans="1:9" x14ac:dyDescent="0.25">
      <c r="A19458">
        <v>588</v>
      </c>
      <c r="B19458" t="s">
        <v>4693</v>
      </c>
      <c r="C19458" t="s">
        <v>10</v>
      </c>
      <c r="D19458" t="s">
        <v>1626</v>
      </c>
      <c r="E19458">
        <f t="shared" si="928"/>
        <v>7.7519379844961239E-3</v>
      </c>
      <c r="F19458">
        <v>32</v>
      </c>
      <c r="G19458">
        <f>LOG(382/(32+1))</f>
        <v>1.0635494230338212</v>
      </c>
      <c r="H19458">
        <f>0.00775193798449612*2.44891304714009</f>
        <v>1.89838220708534E-2</v>
      </c>
      <c r="I19458">
        <v>1.8983822070853449E-2</v>
      </c>
    </row>
    <row r="19459" spans="1:9" x14ac:dyDescent="0.25">
      <c r="A19459">
        <v>588</v>
      </c>
      <c r="B19459" t="s">
        <v>4693</v>
      </c>
      <c r="C19459" t="s">
        <v>10</v>
      </c>
      <c r="D19459" t="s">
        <v>805</v>
      </c>
      <c r="E19459">
        <f t="shared" si="928"/>
        <v>7.7519379844961239E-3</v>
      </c>
      <c r="F19459">
        <v>19</v>
      </c>
      <c r="G19459">
        <f>LOG(382/(19+1))</f>
        <v>1.2810333672477277</v>
      </c>
      <c r="H19459">
        <f>0.00775193798449612*2.94968833505258</f>
        <v>2.2865801046919213E-2</v>
      </c>
      <c r="I19459">
        <v>2.2865801046919262E-2</v>
      </c>
    </row>
    <row r="19460" spans="1:9" x14ac:dyDescent="0.25">
      <c r="A19460">
        <v>588</v>
      </c>
      <c r="B19460" t="s">
        <v>4693</v>
      </c>
      <c r="C19460" t="s">
        <v>10</v>
      </c>
      <c r="D19460" t="s">
        <v>775</v>
      </c>
      <c r="E19460">
        <f t="shared" si="928"/>
        <v>7.7519379844961239E-3</v>
      </c>
      <c r="F19460">
        <v>20</v>
      </c>
      <c r="G19460">
        <f>LOG(382/(20+1))</f>
        <v>1.2598440681777894</v>
      </c>
      <c r="H19460">
        <f>0.00775193798449612*2.90089817088315</f>
        <v>2.2487582720024407E-2</v>
      </c>
      <c r="I19460">
        <v>2.2487582720024431E-2</v>
      </c>
    </row>
    <row r="19461" spans="1:9" x14ac:dyDescent="0.25">
      <c r="A19461">
        <v>588</v>
      </c>
      <c r="B19461" t="s">
        <v>4693</v>
      </c>
      <c r="C19461" t="s">
        <v>10</v>
      </c>
      <c r="D19461" t="s">
        <v>596</v>
      </c>
      <c r="E19461">
        <f t="shared" si="928"/>
        <v>7.7519379844961239E-3</v>
      </c>
      <c r="F19461">
        <v>60</v>
      </c>
      <c r="G19461">
        <f>LOG(382/(60+1))</f>
        <v>0.79673352790094176</v>
      </c>
      <c r="H19461">
        <f>0.00775193798449612*1.83454674443326</f>
        <v>1.4221292592505883E-2</v>
      </c>
      <c r="I19461">
        <v>1.4221292592505919E-2</v>
      </c>
    </row>
    <row r="19462" spans="1:9" x14ac:dyDescent="0.25">
      <c r="A19462">
        <v>588</v>
      </c>
      <c r="B19462" t="s">
        <v>4693</v>
      </c>
      <c r="C19462" t="s">
        <v>10</v>
      </c>
      <c r="D19462" t="s">
        <v>688</v>
      </c>
      <c r="E19462">
        <f t="shared" si="928"/>
        <v>7.7519379844961239E-3</v>
      </c>
      <c r="F19462">
        <v>23</v>
      </c>
      <c r="G19462">
        <f>LOG(382/(23+1))</f>
        <v>1.2018521212001028</v>
      </c>
      <c r="H19462">
        <f>0.00775193798449612*2.76736677825862</f>
        <v>2.1452455645415647E-2</v>
      </c>
      <c r="I19462">
        <v>2.145245564541573E-2</v>
      </c>
    </row>
    <row r="19463" spans="1:9" x14ac:dyDescent="0.25">
      <c r="A19463">
        <v>588</v>
      </c>
      <c r="B19463" t="s">
        <v>4693</v>
      </c>
      <c r="C19463" t="s">
        <v>10</v>
      </c>
      <c r="D19463" t="s">
        <v>230</v>
      </c>
      <c r="E19463">
        <f t="shared" si="928"/>
        <v>7.7519379844961239E-3</v>
      </c>
      <c r="F19463">
        <v>9</v>
      </c>
      <c r="G19463">
        <f>LOG(382/(9+1))</f>
        <v>1.5820633629117087</v>
      </c>
      <c r="H19463">
        <f>0.00775193798449612*3.64283551561252</f>
        <v>2.8239035004748201E-2</v>
      </c>
      <c r="I19463">
        <v>2.8239035004748291E-2</v>
      </c>
    </row>
    <row r="19464" spans="1:9" x14ac:dyDescent="0.25">
      <c r="A19464">
        <v>588</v>
      </c>
      <c r="B19464" t="s">
        <v>4693</v>
      </c>
      <c r="C19464" t="s">
        <v>10</v>
      </c>
      <c r="D19464" t="s">
        <v>1473</v>
      </c>
      <c r="E19464">
        <f t="shared" si="928"/>
        <v>7.7519379844961239E-3</v>
      </c>
      <c r="F19464">
        <v>39</v>
      </c>
      <c r="G19464">
        <f>LOG(382/(39+1))</f>
        <v>0.9800033715837464</v>
      </c>
      <c r="H19464">
        <f>0.00775193798449612*2.25654115449263</f>
        <v>1.7492567089090146E-2</v>
      </c>
      <c r="I19464">
        <v>1.7492567089090229E-2</v>
      </c>
    </row>
    <row r="19465" spans="1:9" x14ac:dyDescent="0.25">
      <c r="A19465">
        <v>588</v>
      </c>
      <c r="B19465" t="s">
        <v>4693</v>
      </c>
      <c r="C19465" t="s">
        <v>10</v>
      </c>
      <c r="D19465" t="s">
        <v>4698</v>
      </c>
      <c r="E19465">
        <f t="shared" si="928"/>
        <v>7.7519379844961239E-3</v>
      </c>
      <c r="F19465">
        <v>1</v>
      </c>
      <c r="G19465">
        <f>LOG(382/(1+1))</f>
        <v>2.2810333672477277</v>
      </c>
      <c r="H19465">
        <f>0.00775193798449612*5.25227342804663</f>
        <v>4.0715297891834319E-2</v>
      </c>
      <c r="I19465">
        <v>4.071529789183434E-2</v>
      </c>
    </row>
    <row r="19466" spans="1:9" x14ac:dyDescent="0.25">
      <c r="A19466">
        <v>588</v>
      </c>
      <c r="B19466" t="s">
        <v>4693</v>
      </c>
      <c r="C19466" t="s">
        <v>10</v>
      </c>
      <c r="D19466" t="s">
        <v>283</v>
      </c>
      <c r="E19466">
        <f>2/129</f>
        <v>1.5503875968992248E-2</v>
      </c>
      <c r="F19466">
        <v>16</v>
      </c>
      <c r="G19466">
        <f>LOG(382/(16+1))</f>
        <v>1.3516144415334348</v>
      </c>
      <c r="H19466">
        <f>0.0155038759689922*3.11220726455035</f>
        <v>4.8251275419385113E-2</v>
      </c>
      <c r="I19466">
        <v>4.8251275419385412E-2</v>
      </c>
    </row>
    <row r="19467" spans="1:9" x14ac:dyDescent="0.25">
      <c r="A19467">
        <v>588</v>
      </c>
      <c r="B19467" t="s">
        <v>4693</v>
      </c>
      <c r="C19467" t="s">
        <v>10</v>
      </c>
      <c r="D19467" t="s">
        <v>388</v>
      </c>
      <c r="E19467">
        <f t="shared" ref="E19467:E19472" si="929">1/129</f>
        <v>7.7519379844961239E-3</v>
      </c>
      <c r="F19467">
        <v>44</v>
      </c>
      <c r="G19467">
        <f>LOG(382/(44+1))</f>
        <v>0.92885084913636506</v>
      </c>
      <c r="H19467">
        <f>0.00775193798449612*2.13875811883625</f>
        <v>1.6579520301056191E-2</v>
      </c>
      <c r="I19467">
        <v>1.6579520301056239E-2</v>
      </c>
    </row>
    <row r="19468" spans="1:9" x14ac:dyDescent="0.25">
      <c r="A19468">
        <v>588</v>
      </c>
      <c r="B19468" t="s">
        <v>4693</v>
      </c>
      <c r="C19468" t="s">
        <v>10</v>
      </c>
      <c r="D19468" t="s">
        <v>3432</v>
      </c>
      <c r="E19468">
        <f t="shared" si="929"/>
        <v>7.7519379844961239E-3</v>
      </c>
      <c r="F19468">
        <v>8</v>
      </c>
      <c r="G19468">
        <f>LOG(382/(8+1))</f>
        <v>1.6278208534723839</v>
      </c>
      <c r="H19468">
        <f>0.00775193798449612*3.74819603127035</f>
        <v>2.9055783188142233E-2</v>
      </c>
      <c r="I19468">
        <v>2.9055783188142292E-2</v>
      </c>
    </row>
    <row r="19469" spans="1:9" x14ac:dyDescent="0.25">
      <c r="A19469">
        <v>588</v>
      </c>
      <c r="B19469" t="s">
        <v>4693</v>
      </c>
      <c r="C19469" t="s">
        <v>10</v>
      </c>
      <c r="D19469" t="s">
        <v>436</v>
      </c>
      <c r="E19469">
        <f t="shared" si="929"/>
        <v>7.7519379844961239E-3</v>
      </c>
      <c r="F19469">
        <v>20</v>
      </c>
      <c r="G19469">
        <f>LOG(382/(20+1))</f>
        <v>1.2598440681777894</v>
      </c>
      <c r="H19469">
        <f>0.00775193798449612*2.90089817088315</f>
        <v>2.2487582720024407E-2</v>
      </c>
      <c r="I19469">
        <v>2.2487582720024431E-2</v>
      </c>
    </row>
    <row r="19470" spans="1:9" x14ac:dyDescent="0.25">
      <c r="A19470">
        <v>588</v>
      </c>
      <c r="B19470" t="s">
        <v>4693</v>
      </c>
      <c r="C19470" t="s">
        <v>10</v>
      </c>
      <c r="D19470" t="s">
        <v>437</v>
      </c>
      <c r="E19470">
        <f t="shared" si="929"/>
        <v>7.7519379844961239E-3</v>
      </c>
      <c r="F19470">
        <v>18</v>
      </c>
      <c r="G19470">
        <f>LOG(382/(18+1))</f>
        <v>1.3033097619588798</v>
      </c>
      <c r="H19470">
        <f>0.00775193798449612*3.00098162944013</f>
        <v>2.3263423484032004E-2</v>
      </c>
      <c r="I19470">
        <v>2.3263423484032049E-2</v>
      </c>
    </row>
    <row r="19471" spans="1:9" x14ac:dyDescent="0.25">
      <c r="A19471">
        <v>588</v>
      </c>
      <c r="B19471" t="s">
        <v>4693</v>
      </c>
      <c r="C19471" t="s">
        <v>10</v>
      </c>
      <c r="D19471" t="s">
        <v>1588</v>
      </c>
      <c r="E19471">
        <f t="shared" si="929"/>
        <v>7.7519379844961239E-3</v>
      </c>
      <c r="F19471">
        <v>4</v>
      </c>
      <c r="G19471">
        <f>LOG(382/(4+1))</f>
        <v>1.8830933585756899</v>
      </c>
      <c r="H19471">
        <f>0.00775193798449612*4.33598269617247</f>
        <v>3.3612268962577269E-2</v>
      </c>
      <c r="I19471">
        <v>3.3612268962577317E-2</v>
      </c>
    </row>
    <row r="19472" spans="1:9" x14ac:dyDescent="0.25">
      <c r="A19472">
        <v>588</v>
      </c>
      <c r="B19472" t="s">
        <v>4693</v>
      </c>
      <c r="C19472" t="s">
        <v>10</v>
      </c>
      <c r="D19472" t="s">
        <v>3071</v>
      </c>
      <c r="E19472">
        <f t="shared" si="929"/>
        <v>7.7519379844961239E-3</v>
      </c>
      <c r="F19472">
        <v>6</v>
      </c>
      <c r="G19472">
        <f>LOG(382/(6+1))</f>
        <v>1.736965322897452</v>
      </c>
      <c r="H19472">
        <f>0.00775193798449612*3.99951045955126</f>
        <v>3.1003957050784944E-2</v>
      </c>
      <c r="I19472">
        <v>3.1003957050784979E-2</v>
      </c>
    </row>
    <row r="19473" spans="1:9" x14ac:dyDescent="0.25">
      <c r="A19473">
        <v>588</v>
      </c>
      <c r="B19473" t="s">
        <v>4693</v>
      </c>
      <c r="C19473" t="s">
        <v>10</v>
      </c>
      <c r="D19473" t="s">
        <v>763</v>
      </c>
      <c r="E19473">
        <f>2/129</f>
        <v>1.5503875968992248E-2</v>
      </c>
      <c r="F19473">
        <v>47</v>
      </c>
      <c r="G19473">
        <f>LOG(382/(47+1))</f>
        <v>0.90082212553612151</v>
      </c>
      <c r="H19473">
        <f>0.0155038759689922*2.07421959769868</f>
        <v>3.2158443375173235E-2</v>
      </c>
      <c r="I19473">
        <v>3.2158443375173387E-2</v>
      </c>
    </row>
    <row r="19474" spans="1:9" x14ac:dyDescent="0.25">
      <c r="A19474">
        <v>588</v>
      </c>
      <c r="B19474" t="s">
        <v>4693</v>
      </c>
      <c r="C19474" t="s">
        <v>10</v>
      </c>
      <c r="D19474" t="s">
        <v>1831</v>
      </c>
      <c r="E19474">
        <f>2/129</f>
        <v>1.5503875968992248E-2</v>
      </c>
      <c r="F19474">
        <v>28</v>
      </c>
      <c r="G19474">
        <f>LOG(382/(28+1))</f>
        <v>1.1196653650127526</v>
      </c>
      <c r="H19474">
        <f>0.0155038759689922*2.5781247786201</f>
        <v>3.9970926800311501E-2</v>
      </c>
      <c r="I19474">
        <v>3.9970926800311647E-2</v>
      </c>
    </row>
    <row r="19475" spans="1:9" x14ac:dyDescent="0.25">
      <c r="A19475">
        <v>588</v>
      </c>
      <c r="B19475" t="s">
        <v>4693</v>
      </c>
      <c r="C19475" t="s">
        <v>10</v>
      </c>
      <c r="D19475" t="s">
        <v>1919</v>
      </c>
      <c r="E19475">
        <f>1/129</f>
        <v>7.7519379844961239E-3</v>
      </c>
      <c r="F19475">
        <v>18</v>
      </c>
      <c r="G19475">
        <f>LOG(382/(18+1))</f>
        <v>1.3033097619588798</v>
      </c>
      <c r="H19475">
        <f>0.00775193798449612*3.00098162944013</f>
        <v>2.3263423484032004E-2</v>
      </c>
      <c r="I19475">
        <v>2.3263423484032049E-2</v>
      </c>
    </row>
    <row r="19476" spans="1:9" x14ac:dyDescent="0.25">
      <c r="A19476">
        <v>588</v>
      </c>
      <c r="B19476" t="s">
        <v>4693</v>
      </c>
      <c r="C19476" t="s">
        <v>10</v>
      </c>
      <c r="D19476" t="s">
        <v>1918</v>
      </c>
      <c r="E19476">
        <f>1/129</f>
        <v>7.7519379844961239E-3</v>
      </c>
      <c r="F19476">
        <v>25</v>
      </c>
      <c r="G19476">
        <f>LOG(382/(25+1))</f>
        <v>1.1670900149408907</v>
      </c>
      <c r="H19476">
        <f>0.00775193798449612*2.68732407058509</f>
        <v>2.0831969539419289E-2</v>
      </c>
      <c r="I19476">
        <v>2.0831969539419331E-2</v>
      </c>
    </row>
    <row r="19477" spans="1:9" x14ac:dyDescent="0.25">
      <c r="A19477">
        <v>588</v>
      </c>
      <c r="B19477" t="s">
        <v>4693</v>
      </c>
      <c r="C19477" t="s">
        <v>10</v>
      </c>
      <c r="D19477" t="s">
        <v>1920</v>
      </c>
      <c r="E19477">
        <f>1/129</f>
        <v>7.7519379844961239E-3</v>
      </c>
      <c r="F19477">
        <v>18</v>
      </c>
      <c r="G19477">
        <f>LOG(382/(18+1))</f>
        <v>1.3033097619588798</v>
      </c>
      <c r="H19477">
        <f>0.00775193798449612*3.00098162944013</f>
        <v>2.3263423484032004E-2</v>
      </c>
      <c r="I19477">
        <v>2.3263423484032049E-2</v>
      </c>
    </row>
    <row r="19478" spans="1:9" x14ac:dyDescent="0.25">
      <c r="A19478">
        <v>588</v>
      </c>
      <c r="B19478" t="s">
        <v>4693</v>
      </c>
      <c r="C19478" t="s">
        <v>10</v>
      </c>
      <c r="D19478" t="s">
        <v>197</v>
      </c>
      <c r="E19478">
        <f>1/129</f>
        <v>7.7519379844961239E-3</v>
      </c>
      <c r="F19478">
        <v>18</v>
      </c>
      <c r="G19478">
        <f>LOG(382/(18+1))</f>
        <v>1.3033097619588798</v>
      </c>
      <c r="H19478">
        <f>0.00775193798449612*3.00098162944013</f>
        <v>2.3263423484032004E-2</v>
      </c>
      <c r="I19478">
        <v>2.3263423484032049E-2</v>
      </c>
    </row>
    <row r="19479" spans="1:9" x14ac:dyDescent="0.25">
      <c r="A19479">
        <v>589</v>
      </c>
      <c r="B19479" t="s">
        <v>488</v>
      </c>
      <c r="C19479" t="s">
        <v>10</v>
      </c>
      <c r="D19479" t="s">
        <v>49</v>
      </c>
      <c r="E19479">
        <f>6/123</f>
        <v>4.878048780487805E-2</v>
      </c>
      <c r="F19479">
        <v>13</v>
      </c>
      <c r="G19479">
        <f>LOG(382/(13+1))</f>
        <v>1.4359353272334707</v>
      </c>
      <c r="H19479">
        <f>0.048780487804878*3.30636327899131</f>
        <v>0.16128601360933206</v>
      </c>
      <c r="I19479">
        <v>0.16128601360933251</v>
      </c>
    </row>
    <row r="19480" spans="1:9" x14ac:dyDescent="0.25">
      <c r="A19480">
        <v>589</v>
      </c>
      <c r="B19480" t="s">
        <v>488</v>
      </c>
      <c r="C19480" t="s">
        <v>10</v>
      </c>
      <c r="D19480" t="s">
        <v>90</v>
      </c>
      <c r="E19480">
        <f>2/123</f>
        <v>1.6260162601626018E-2</v>
      </c>
      <c r="F19480">
        <v>13</v>
      </c>
      <c r="G19480">
        <f>LOG(382/(13+1))</f>
        <v>1.4359353272334707</v>
      </c>
      <c r="H19480">
        <f>0.016260162601626*3.30636327899131</f>
        <v>5.3762004536444016E-2</v>
      </c>
      <c r="I19480">
        <v>5.3762004536444183E-2</v>
      </c>
    </row>
    <row r="19481" spans="1:9" x14ac:dyDescent="0.25">
      <c r="A19481">
        <v>589</v>
      </c>
      <c r="B19481" t="s">
        <v>488</v>
      </c>
      <c r="C19481" t="s">
        <v>10</v>
      </c>
      <c r="D19481" t="s">
        <v>91</v>
      </c>
      <c r="E19481">
        <f>2/123</f>
        <v>1.6260162601626018E-2</v>
      </c>
      <c r="F19481">
        <v>33</v>
      </c>
      <c r="G19481">
        <f>LOG(382/(33+1))</f>
        <v>1.0505844458694535</v>
      </c>
      <c r="H19481">
        <f>0.016260162601626*2.41906008399041</f>
        <v>3.9334310308787118E-2</v>
      </c>
      <c r="I19481">
        <v>3.9334310308787222E-2</v>
      </c>
    </row>
    <row r="19482" spans="1:9" x14ac:dyDescent="0.25">
      <c r="A19482">
        <v>589</v>
      </c>
      <c r="B19482" t="s">
        <v>488</v>
      </c>
      <c r="C19482" t="s">
        <v>10</v>
      </c>
      <c r="D19482" t="s">
        <v>70</v>
      </c>
      <c r="E19482">
        <f>6/123</f>
        <v>4.878048780487805E-2</v>
      </c>
      <c r="F19482">
        <v>44</v>
      </c>
      <c r="G19482">
        <f>LOG(382/(44+1))</f>
        <v>0.92885084913636506</v>
      </c>
      <c r="H19482">
        <f>0.048780487804878*2.13875811883625</f>
        <v>0.1043296643334755</v>
      </c>
      <c r="I19482">
        <v>0.1043296643334759</v>
      </c>
    </row>
    <row r="19483" spans="1:9" x14ac:dyDescent="0.25">
      <c r="A19483">
        <v>589</v>
      </c>
      <c r="B19483" t="s">
        <v>488</v>
      </c>
      <c r="C19483" t="s">
        <v>10</v>
      </c>
      <c r="D19483" t="s">
        <v>42</v>
      </c>
      <c r="E19483">
        <f>2/123</f>
        <v>1.6260162601626018E-2</v>
      </c>
      <c r="F19483">
        <v>251</v>
      </c>
      <c r="G19483">
        <f>LOG(382/(251+1))</f>
        <v>0.18066282213016463</v>
      </c>
      <c r="H19483">
        <f>0.016260162601626*0.415991521095151</f>
        <v>6.7640897739048873E-3</v>
      </c>
      <c r="I19483">
        <v>6.7640897739049089E-3</v>
      </c>
    </row>
    <row r="19484" spans="1:9" x14ac:dyDescent="0.25">
      <c r="A19484">
        <v>589</v>
      </c>
      <c r="B19484" t="s">
        <v>488</v>
      </c>
      <c r="C19484" t="s">
        <v>10</v>
      </c>
      <c r="D19484" t="s">
        <v>15</v>
      </c>
      <c r="E19484">
        <f>2/123</f>
        <v>1.6260162601626018E-2</v>
      </c>
      <c r="F19484">
        <v>112</v>
      </c>
      <c r="G19484">
        <f>LOG(382/(112+1))</f>
        <v>0.52898491942828896</v>
      </c>
      <c r="H19484">
        <f>0.016260162601626*1.21803278989423</f>
        <v>1.9805411217792338E-2</v>
      </c>
      <c r="I19484">
        <v>1.9805411217792439E-2</v>
      </c>
    </row>
    <row r="19485" spans="1:9" x14ac:dyDescent="0.25">
      <c r="A19485">
        <v>589</v>
      </c>
      <c r="B19485" t="s">
        <v>488</v>
      </c>
      <c r="C19485" t="s">
        <v>10</v>
      </c>
      <c r="D19485" t="s">
        <v>68</v>
      </c>
      <c r="E19485">
        <f>2/123</f>
        <v>1.6260162601626018E-2</v>
      </c>
      <c r="F19485">
        <v>43</v>
      </c>
      <c r="G19485">
        <f>LOG(382/(43+1))</f>
        <v>0.93861068642552126</v>
      </c>
      <c r="H19485">
        <f>0.016260162601626*2.16123097468831</f>
        <v>3.5141967068102568E-2</v>
      </c>
      <c r="I19485">
        <v>3.5141967068102672E-2</v>
      </c>
    </row>
    <row r="19486" spans="1:9" x14ac:dyDescent="0.25">
      <c r="A19486">
        <v>589</v>
      </c>
      <c r="B19486" t="s">
        <v>488</v>
      </c>
      <c r="C19486" t="s">
        <v>10</v>
      </c>
      <c r="D19486" t="s">
        <v>44</v>
      </c>
      <c r="E19486">
        <f>3/123</f>
        <v>2.4390243902439025E-2</v>
      </c>
      <c r="F19486">
        <v>151</v>
      </c>
      <c r="G19486">
        <f>LOG(382/(151+1))</f>
        <v>0.40021977496693617</v>
      </c>
      <c r="H19486">
        <f>0.024390243902439*0.921540087760298</f>
        <v>2.2476587506348712E-2</v>
      </c>
      <c r="I19486">
        <v>2.247658750634875E-2</v>
      </c>
    </row>
    <row r="19487" spans="1:9" x14ac:dyDescent="0.25">
      <c r="A19487">
        <v>589</v>
      </c>
      <c r="B19487" t="s">
        <v>488</v>
      </c>
      <c r="C19487" t="s">
        <v>10</v>
      </c>
      <c r="D19487" t="s">
        <v>22</v>
      </c>
      <c r="E19487">
        <f>2/123</f>
        <v>1.6260162601626018E-2</v>
      </c>
      <c r="F19487">
        <v>259</v>
      </c>
      <c r="G19487">
        <f>LOG(382/(259+1))</f>
        <v>0.16709001494089079</v>
      </c>
      <c r="H19487">
        <f>0.016260162601626*0.384738977591047</f>
        <v>6.2559183348137671E-3</v>
      </c>
      <c r="I19487">
        <v>6.2559183348137818E-3</v>
      </c>
    </row>
    <row r="19488" spans="1:9" x14ac:dyDescent="0.25">
      <c r="A19488">
        <v>589</v>
      </c>
      <c r="B19488" t="s">
        <v>488</v>
      </c>
      <c r="C19488" t="s">
        <v>10</v>
      </c>
      <c r="D19488" t="s">
        <v>23</v>
      </c>
      <c r="E19488">
        <f>2/123</f>
        <v>1.6260162601626018E-2</v>
      </c>
      <c r="F19488">
        <v>275</v>
      </c>
      <c r="G19488">
        <f>LOG(382/(275+1))</f>
        <v>0.14115428084649101</v>
      </c>
      <c r="H19488">
        <f>0.016260162601626*0.325019742889425</f>
        <v>5.2848738681207262E-3</v>
      </c>
      <c r="I19488">
        <v>5.2848738681207348E-3</v>
      </c>
    </row>
    <row r="19489" spans="1:9" x14ac:dyDescent="0.25">
      <c r="A19489">
        <v>589</v>
      </c>
      <c r="B19489" t="s">
        <v>488</v>
      </c>
      <c r="C19489" t="s">
        <v>10</v>
      </c>
      <c r="D19489" t="s">
        <v>1199</v>
      </c>
      <c r="E19489">
        <f t="shared" ref="E19489:E19497" si="930">1/123</f>
        <v>8.130081300813009E-3</v>
      </c>
      <c r="F19489">
        <v>8</v>
      </c>
      <c r="G19489">
        <f>LOG(382/(8+1))</f>
        <v>1.6278208534723839</v>
      </c>
      <c r="H19489">
        <f>0.008130081300813*3.74819603127035</f>
        <v>3.0473138465612573E-2</v>
      </c>
      <c r="I19489">
        <v>3.0473138465612649E-2</v>
      </c>
    </row>
    <row r="19490" spans="1:9" x14ac:dyDescent="0.25">
      <c r="A19490">
        <v>589</v>
      </c>
      <c r="B19490" t="s">
        <v>488</v>
      </c>
      <c r="C19490" t="s">
        <v>10</v>
      </c>
      <c r="D19490" t="s">
        <v>4699</v>
      </c>
      <c r="E19490">
        <f t="shared" si="930"/>
        <v>8.130081300813009E-3</v>
      </c>
      <c r="F19490">
        <v>1</v>
      </c>
      <c r="G19490">
        <f>LOG(382/(1+1))</f>
        <v>2.2810333672477277</v>
      </c>
      <c r="H19490">
        <f>0.008130081300813*5.25227342804663</f>
        <v>4.27014099841189E-2</v>
      </c>
      <c r="I19490">
        <v>4.2701409984118949E-2</v>
      </c>
    </row>
    <row r="19491" spans="1:9" x14ac:dyDescent="0.25">
      <c r="A19491">
        <v>589</v>
      </c>
      <c r="B19491" t="s">
        <v>488</v>
      </c>
      <c r="C19491" t="s">
        <v>10</v>
      </c>
      <c r="D19491" t="s">
        <v>104</v>
      </c>
      <c r="E19491">
        <f t="shared" si="930"/>
        <v>8.130081300813009E-3</v>
      </c>
      <c r="F19491">
        <v>49</v>
      </c>
      <c r="G19491">
        <f>LOG(382/(49+1))</f>
        <v>0.88309335857568994</v>
      </c>
      <c r="H19491">
        <f>0.008130081300813*2.03339760317842</f>
        <v>1.6531687830718844E-2</v>
      </c>
      <c r="I19491">
        <v>1.6531687830718931E-2</v>
      </c>
    </row>
    <row r="19492" spans="1:9" x14ac:dyDescent="0.25">
      <c r="A19492">
        <v>589</v>
      </c>
      <c r="B19492" t="s">
        <v>488</v>
      </c>
      <c r="C19492" t="s">
        <v>10</v>
      </c>
      <c r="D19492" t="s">
        <v>611</v>
      </c>
      <c r="E19492">
        <f t="shared" si="930"/>
        <v>8.130081300813009E-3</v>
      </c>
      <c r="F19492">
        <v>2</v>
      </c>
      <c r="G19492">
        <f>LOG(382/(2+1))</f>
        <v>2.1049421081920463</v>
      </c>
      <c r="H19492">
        <f>0.008130081300813*4.84680831993846</f>
        <v>3.9404945690556546E-2</v>
      </c>
      <c r="I19492">
        <v>3.9404945690556629E-2</v>
      </c>
    </row>
    <row r="19493" spans="1:9" x14ac:dyDescent="0.25">
      <c r="A19493">
        <v>589</v>
      </c>
      <c r="B19493" t="s">
        <v>488</v>
      </c>
      <c r="C19493" t="s">
        <v>10</v>
      </c>
      <c r="D19493" t="s">
        <v>4700</v>
      </c>
      <c r="E19493">
        <f t="shared" si="930"/>
        <v>8.130081300813009E-3</v>
      </c>
      <c r="F19493">
        <v>1</v>
      </c>
      <c r="G19493">
        <f>LOG(382/(1+1))</f>
        <v>2.2810333672477277</v>
      </c>
      <c r="H19493">
        <f>0.008130081300813*5.25227342804663</f>
        <v>4.27014099841189E-2</v>
      </c>
      <c r="I19493">
        <v>4.2701409984118949E-2</v>
      </c>
    </row>
    <row r="19494" spans="1:9" x14ac:dyDescent="0.25">
      <c r="A19494">
        <v>589</v>
      </c>
      <c r="B19494" t="s">
        <v>488</v>
      </c>
      <c r="C19494" t="s">
        <v>10</v>
      </c>
      <c r="D19494" t="s">
        <v>4701</v>
      </c>
      <c r="E19494">
        <f t="shared" si="930"/>
        <v>8.130081300813009E-3</v>
      </c>
      <c r="F19494">
        <v>2</v>
      </c>
      <c r="G19494">
        <f>LOG(382/(2+1))</f>
        <v>2.1049421081920463</v>
      </c>
      <c r="H19494">
        <f>0.008130081300813*4.84680831993846</f>
        <v>3.9404945690556546E-2</v>
      </c>
      <c r="I19494">
        <v>3.9404945690556629E-2</v>
      </c>
    </row>
    <row r="19495" spans="1:9" x14ac:dyDescent="0.25">
      <c r="A19495">
        <v>589</v>
      </c>
      <c r="B19495" t="s">
        <v>488</v>
      </c>
      <c r="C19495" t="s">
        <v>10</v>
      </c>
      <c r="D19495" t="s">
        <v>290</v>
      </c>
      <c r="E19495">
        <f t="shared" si="930"/>
        <v>8.130081300813009E-3</v>
      </c>
      <c r="F19495">
        <v>4</v>
      </c>
      <c r="G19495">
        <f>LOG(382/(4+1))</f>
        <v>1.8830933585756899</v>
      </c>
      <c r="H19495">
        <f>0.008130081300813*4.33598269617247</f>
        <v>3.5251891838800536E-2</v>
      </c>
      <c r="I19495">
        <v>3.5251891838800613E-2</v>
      </c>
    </row>
    <row r="19496" spans="1:9" x14ac:dyDescent="0.25">
      <c r="A19496">
        <v>589</v>
      </c>
      <c r="B19496" t="s">
        <v>488</v>
      </c>
      <c r="C19496" t="s">
        <v>10</v>
      </c>
      <c r="D19496" t="s">
        <v>92</v>
      </c>
      <c r="E19496">
        <f t="shared" si="930"/>
        <v>8.130081300813009E-3</v>
      </c>
      <c r="F19496">
        <v>12</v>
      </c>
      <c r="G19496">
        <f>LOG(382/(12+1))</f>
        <v>1.468120010604872</v>
      </c>
      <c r="H19496">
        <f>0.008130081300813*3.38047125114503</f>
        <v>2.7483506106870136E-2</v>
      </c>
      <c r="I19496">
        <v>2.748350610687024E-2</v>
      </c>
    </row>
    <row r="19497" spans="1:9" x14ac:dyDescent="0.25">
      <c r="A19497">
        <v>589</v>
      </c>
      <c r="B19497" t="s">
        <v>488</v>
      </c>
      <c r="C19497" t="s">
        <v>10</v>
      </c>
      <c r="D19497" t="s">
        <v>489</v>
      </c>
      <c r="E19497">
        <f t="shared" si="930"/>
        <v>8.130081300813009E-3</v>
      </c>
      <c r="F19497">
        <v>6</v>
      </c>
      <c r="G19497">
        <f>LOG(382/(6+1))</f>
        <v>1.736965322897452</v>
      </c>
      <c r="H19497">
        <f>0.008130081300813*3.99951045955126</f>
        <v>3.2516345199603711E-2</v>
      </c>
      <c r="I19497">
        <v>3.2516345199603759E-2</v>
      </c>
    </row>
    <row r="19498" spans="1:9" x14ac:dyDescent="0.25">
      <c r="A19498">
        <v>589</v>
      </c>
      <c r="B19498" t="s">
        <v>488</v>
      </c>
      <c r="C19498" t="s">
        <v>10</v>
      </c>
      <c r="D19498" t="s">
        <v>53</v>
      </c>
      <c r="E19498">
        <f>2/123</f>
        <v>1.6260162601626018E-2</v>
      </c>
      <c r="F19498">
        <v>57</v>
      </c>
      <c r="G19498">
        <f>LOG(382/(57+1))</f>
        <v>0.81863536934877146</v>
      </c>
      <c r="H19498">
        <f>0.016260162601626*1.88497759806015</f>
        <v>3.0650042244880459E-2</v>
      </c>
      <c r="I19498">
        <v>3.065004224488058E-2</v>
      </c>
    </row>
    <row r="19499" spans="1:9" x14ac:dyDescent="0.25">
      <c r="A19499">
        <v>589</v>
      </c>
      <c r="B19499" t="s">
        <v>488</v>
      </c>
      <c r="C19499" t="s">
        <v>10</v>
      </c>
      <c r="D19499" t="s">
        <v>50</v>
      </c>
      <c r="E19499">
        <f>7/123</f>
        <v>5.6910569105691054E-2</v>
      </c>
      <c r="F19499">
        <v>109</v>
      </c>
      <c r="G19499">
        <f>LOG(382/(109+1))</f>
        <v>0.54067067775348365</v>
      </c>
      <c r="H19499">
        <f>0.056910569105691*1.24494024281415</f>
        <v>7.0850257721130419E-2</v>
      </c>
      <c r="I19499">
        <v>7.0850257721130988E-2</v>
      </c>
    </row>
    <row r="19500" spans="1:9" x14ac:dyDescent="0.25">
      <c r="A19500">
        <v>589</v>
      </c>
      <c r="B19500" t="s">
        <v>488</v>
      </c>
      <c r="C19500" t="s">
        <v>10</v>
      </c>
      <c r="D19500" t="s">
        <v>41</v>
      </c>
      <c r="E19500">
        <f>2/123</f>
        <v>1.6260162601626018E-2</v>
      </c>
      <c r="F19500">
        <v>195</v>
      </c>
      <c r="G19500">
        <f>LOG(382/(195+1))</f>
        <v>0.28980729155523272</v>
      </c>
      <c r="H19500">
        <f>0.016260162601626*0.667305949376058</f>
        <v>1.0850503241887112E-2</v>
      </c>
      <c r="I19500">
        <v>1.0850503241887121E-2</v>
      </c>
    </row>
    <row r="19501" spans="1:9" x14ac:dyDescent="0.25">
      <c r="A19501">
        <v>589</v>
      </c>
      <c r="B19501" t="s">
        <v>488</v>
      </c>
      <c r="C19501" t="s">
        <v>10</v>
      </c>
      <c r="D19501" t="s">
        <v>283</v>
      </c>
      <c r="E19501">
        <f>1/123</f>
        <v>8.130081300813009E-3</v>
      </c>
      <c r="F19501">
        <v>16</v>
      </c>
      <c r="G19501">
        <f>LOG(382/(16+1))</f>
        <v>1.3516144415334348</v>
      </c>
      <c r="H19501">
        <f>0.008130081300813*3.11220726455035</f>
        <v>2.5302498085775178E-2</v>
      </c>
      <c r="I19501">
        <v>2.5302498085775279E-2</v>
      </c>
    </row>
    <row r="19502" spans="1:9" x14ac:dyDescent="0.25">
      <c r="A19502">
        <v>589</v>
      </c>
      <c r="B19502" t="s">
        <v>488</v>
      </c>
      <c r="C19502" t="s">
        <v>10</v>
      </c>
      <c r="D19502" t="s">
        <v>54</v>
      </c>
      <c r="E19502">
        <f>1/123</f>
        <v>8.130081300813009E-3</v>
      </c>
      <c r="F19502">
        <v>25</v>
      </c>
      <c r="G19502">
        <f>LOG(382/(25+1))</f>
        <v>1.1670900149408907</v>
      </c>
      <c r="H19502">
        <f>0.008130081300813*2.68732407058509</f>
        <v>2.1848163175488516E-2</v>
      </c>
      <c r="I19502">
        <v>2.1848163175488561E-2</v>
      </c>
    </row>
    <row r="19503" spans="1:9" x14ac:dyDescent="0.25">
      <c r="A19503">
        <v>589</v>
      </c>
      <c r="B19503" t="s">
        <v>488</v>
      </c>
      <c r="C19503" t="s">
        <v>10</v>
      </c>
      <c r="D19503" t="s">
        <v>812</v>
      </c>
      <c r="E19503">
        <f>1/123</f>
        <v>8.130081300813009E-3</v>
      </c>
      <c r="F19503">
        <v>11</v>
      </c>
      <c r="G19503">
        <f>LOG(382/(11+1))</f>
        <v>1.5028821168640838</v>
      </c>
      <c r="H19503">
        <f>0.008130081300813*3.46051395881857</f>
        <v>2.8134259827793225E-2</v>
      </c>
      <c r="I19503">
        <v>2.8134259827793291E-2</v>
      </c>
    </row>
    <row r="19504" spans="1:9" x14ac:dyDescent="0.25">
      <c r="A19504">
        <v>589</v>
      </c>
      <c r="B19504" t="s">
        <v>488</v>
      </c>
      <c r="C19504" t="s">
        <v>10</v>
      </c>
      <c r="D19504" t="s">
        <v>112</v>
      </c>
      <c r="E19504">
        <f>3/123</f>
        <v>2.4390243902439025E-2</v>
      </c>
      <c r="F19504">
        <v>52</v>
      </c>
      <c r="G19504">
        <f>LOG(382/(52+1))</f>
        <v>0.85778749331091964</v>
      </c>
      <c r="H19504">
        <f>0.024390243902439*1.97512869505445</f>
        <v>4.8173870611084101E-2</v>
      </c>
      <c r="I19504">
        <v>4.8173870611084232E-2</v>
      </c>
    </row>
    <row r="19505" spans="1:9" x14ac:dyDescent="0.25">
      <c r="A19505">
        <v>589</v>
      </c>
      <c r="B19505" t="s">
        <v>488</v>
      </c>
      <c r="C19505" t="s">
        <v>10</v>
      </c>
      <c r="D19505" t="s">
        <v>1986</v>
      </c>
      <c r="E19505">
        <f>1/123</f>
        <v>8.130081300813009E-3</v>
      </c>
      <c r="F19505">
        <v>5</v>
      </c>
      <c r="G19505">
        <f>LOG(382/(5+1))</f>
        <v>1.803912112528065</v>
      </c>
      <c r="H19505">
        <f>0.008130081300813*4.15366113937852</f>
        <v>3.3769602759174927E-2</v>
      </c>
      <c r="I19505">
        <v>3.3769602759174962E-2</v>
      </c>
    </row>
    <row r="19506" spans="1:9" x14ac:dyDescent="0.25">
      <c r="A19506">
        <v>589</v>
      </c>
      <c r="B19506" t="s">
        <v>488</v>
      </c>
      <c r="C19506" t="s">
        <v>10</v>
      </c>
      <c r="D19506" t="s">
        <v>98</v>
      </c>
      <c r="E19506">
        <f>7/123</f>
        <v>5.6910569105691054E-2</v>
      </c>
      <c r="F19506">
        <v>56</v>
      </c>
      <c r="G19506">
        <f>LOG(382/(56+1))</f>
        <v>0.82618850723921733</v>
      </c>
      <c r="H19506">
        <f>0.056910569105691*1.90236934077202</f>
        <v>0.10826492183255387</v>
      </c>
      <c r="I19506">
        <v>0.1082649218325543</v>
      </c>
    </row>
    <row r="19507" spans="1:9" x14ac:dyDescent="0.25">
      <c r="A19507">
        <v>589</v>
      </c>
      <c r="B19507" t="s">
        <v>488</v>
      </c>
      <c r="C19507" t="s">
        <v>10</v>
      </c>
      <c r="D19507" t="s">
        <v>416</v>
      </c>
      <c r="E19507">
        <f>1/123</f>
        <v>8.130081300813009E-3</v>
      </c>
      <c r="F19507">
        <v>5</v>
      </c>
      <c r="G19507">
        <f>LOG(382/(5+1))</f>
        <v>1.803912112528065</v>
      </c>
      <c r="H19507">
        <f>0.008130081300813*4.15366113937852</f>
        <v>3.3769602759174927E-2</v>
      </c>
      <c r="I19507">
        <v>3.3769602759174962E-2</v>
      </c>
    </row>
    <row r="19508" spans="1:9" x14ac:dyDescent="0.25">
      <c r="A19508">
        <v>589</v>
      </c>
      <c r="B19508" t="s">
        <v>488</v>
      </c>
      <c r="C19508" t="s">
        <v>10</v>
      </c>
      <c r="D19508" t="s">
        <v>126</v>
      </c>
      <c r="E19508">
        <f>1/123</f>
        <v>8.130081300813009E-3</v>
      </c>
      <c r="F19508">
        <v>79</v>
      </c>
      <c r="G19508">
        <f>LOG(382/(79+1))</f>
        <v>0.67897337591976514</v>
      </c>
      <c r="H19508">
        <f>0.008130081300813*1.56339397393269</f>
        <v>1.2710520113273891E-2</v>
      </c>
      <c r="I19508">
        <v>1.271052011327393E-2</v>
      </c>
    </row>
    <row r="19509" spans="1:9" x14ac:dyDescent="0.25">
      <c r="A19509">
        <v>589</v>
      </c>
      <c r="B19509" t="s">
        <v>488</v>
      </c>
      <c r="C19509" t="s">
        <v>10</v>
      </c>
      <c r="D19509" t="s">
        <v>322</v>
      </c>
      <c r="E19509">
        <f>1/123</f>
        <v>8.130081300813009E-3</v>
      </c>
      <c r="F19509">
        <v>128</v>
      </c>
      <c r="G19509">
        <f>LOG(382/(128+1))</f>
        <v>0.47147365261245977</v>
      </c>
      <c r="H19509">
        <f>0.008130081300813*1.0856082042449</f>
        <v>8.8260829613406415E-3</v>
      </c>
      <c r="I19509">
        <v>8.8260829613406762E-3</v>
      </c>
    </row>
    <row r="19510" spans="1:9" x14ac:dyDescent="0.25">
      <c r="A19510">
        <v>589</v>
      </c>
      <c r="B19510" t="s">
        <v>488</v>
      </c>
      <c r="C19510" t="s">
        <v>10</v>
      </c>
      <c r="D19510" t="s">
        <v>123</v>
      </c>
      <c r="E19510">
        <f>1/123</f>
        <v>8.130081300813009E-3</v>
      </c>
      <c r="F19510">
        <v>74</v>
      </c>
      <c r="G19510">
        <f>LOG(382/(74+1))</f>
        <v>0.7070020995200087</v>
      </c>
      <c r="H19510">
        <f>0.008130081300813*1.62793249507026</f>
        <v>1.3235223537156574E-2</v>
      </c>
      <c r="I19510">
        <v>1.3235223537156631E-2</v>
      </c>
    </row>
    <row r="19511" spans="1:9" x14ac:dyDescent="0.25">
      <c r="A19511">
        <v>589</v>
      </c>
      <c r="B19511" t="s">
        <v>488</v>
      </c>
      <c r="C19511" t="s">
        <v>10</v>
      </c>
      <c r="D19511" t="s">
        <v>237</v>
      </c>
      <c r="E19511">
        <f>2/123</f>
        <v>1.6260162601626018E-2</v>
      </c>
      <c r="F19511">
        <v>138</v>
      </c>
      <c r="G19511">
        <f>LOG(382/(138+1))</f>
        <v>0.43904856265761361</v>
      </c>
      <c r="H19511">
        <f>0.016260162601626*1.01094667547588</f>
        <v>1.6438157324811041E-2</v>
      </c>
      <c r="I19511">
        <v>1.643815732481111E-2</v>
      </c>
    </row>
    <row r="19512" spans="1:9" x14ac:dyDescent="0.25">
      <c r="A19512">
        <v>589</v>
      </c>
      <c r="B19512" t="s">
        <v>488</v>
      </c>
      <c r="C19512" t="s">
        <v>10</v>
      </c>
      <c r="D19512" t="s">
        <v>4702</v>
      </c>
      <c r="E19512">
        <f t="shared" ref="E19512:E19519" si="931">1/123</f>
        <v>8.130081300813009E-3</v>
      </c>
      <c r="F19512">
        <v>1</v>
      </c>
      <c r="G19512">
        <f>LOG(382/(1+1))</f>
        <v>2.2810333672477277</v>
      </c>
      <c r="H19512">
        <f>0.008130081300813*5.25227342804663</f>
        <v>4.27014099841189E-2</v>
      </c>
      <c r="I19512">
        <v>4.2701409984118949E-2</v>
      </c>
    </row>
    <row r="19513" spans="1:9" x14ac:dyDescent="0.25">
      <c r="A19513">
        <v>589</v>
      </c>
      <c r="B19513" t="s">
        <v>488</v>
      </c>
      <c r="C19513" t="s">
        <v>10</v>
      </c>
      <c r="D19513" t="s">
        <v>831</v>
      </c>
      <c r="E19513">
        <f t="shared" si="931"/>
        <v>8.130081300813009E-3</v>
      </c>
      <c r="F19513">
        <v>4</v>
      </c>
      <c r="G19513">
        <f>LOG(382/(4+1))</f>
        <v>1.8830933585756899</v>
      </c>
      <c r="H19513">
        <f>0.008130081300813*4.33598269617247</f>
        <v>3.5251891838800536E-2</v>
      </c>
      <c r="I19513">
        <v>3.5251891838800613E-2</v>
      </c>
    </row>
    <row r="19514" spans="1:9" x14ac:dyDescent="0.25">
      <c r="A19514">
        <v>589</v>
      </c>
      <c r="B19514" t="s">
        <v>488</v>
      </c>
      <c r="C19514" t="s">
        <v>10</v>
      </c>
      <c r="D19514" t="s">
        <v>31</v>
      </c>
      <c r="E19514">
        <f t="shared" si="931"/>
        <v>8.130081300813009E-3</v>
      </c>
      <c r="F19514">
        <v>31</v>
      </c>
      <c r="G19514">
        <f>LOG(382/(31+1))</f>
        <v>1.0769133845918029</v>
      </c>
      <c r="H19514">
        <f>0.008130081300813*2.47968470580684</f>
        <v>2.0160038258592174E-2</v>
      </c>
      <c r="I19514">
        <v>2.0160038258592271E-2</v>
      </c>
    </row>
    <row r="19515" spans="1:9" x14ac:dyDescent="0.25">
      <c r="A19515">
        <v>589</v>
      </c>
      <c r="B19515" t="s">
        <v>488</v>
      </c>
      <c r="C19515" t="s">
        <v>10</v>
      </c>
      <c r="D19515" t="s">
        <v>4703</v>
      </c>
      <c r="E19515">
        <f t="shared" si="931"/>
        <v>8.130081300813009E-3</v>
      </c>
      <c r="F19515">
        <v>1</v>
      </c>
      <c r="G19515">
        <f>LOG(382/(1+1))</f>
        <v>2.2810333672477277</v>
      </c>
      <c r="H19515">
        <f>0.008130081300813*5.25227342804663</f>
        <v>4.27014099841189E-2</v>
      </c>
      <c r="I19515">
        <v>4.2701409984118949E-2</v>
      </c>
    </row>
    <row r="19516" spans="1:9" x14ac:dyDescent="0.25">
      <c r="A19516">
        <v>589</v>
      </c>
      <c r="B19516" t="s">
        <v>488</v>
      </c>
      <c r="C19516" t="s">
        <v>10</v>
      </c>
      <c r="D19516" t="s">
        <v>4704</v>
      </c>
      <c r="E19516">
        <f t="shared" si="931"/>
        <v>8.130081300813009E-3</v>
      </c>
      <c r="F19516">
        <v>2</v>
      </c>
      <c r="G19516">
        <f>LOG(382/(2+1))</f>
        <v>2.1049421081920463</v>
      </c>
      <c r="H19516">
        <f>0.008130081300813*4.84680831993846</f>
        <v>3.9404945690556546E-2</v>
      </c>
      <c r="I19516">
        <v>3.9404945690556629E-2</v>
      </c>
    </row>
    <row r="19517" spans="1:9" x14ac:dyDescent="0.25">
      <c r="A19517">
        <v>589</v>
      </c>
      <c r="B19517" t="s">
        <v>488</v>
      </c>
      <c r="C19517" t="s">
        <v>10</v>
      </c>
      <c r="D19517" t="s">
        <v>417</v>
      </c>
      <c r="E19517">
        <f t="shared" si="931"/>
        <v>8.130081300813009E-3</v>
      </c>
      <c r="F19517">
        <v>7</v>
      </c>
      <c r="G19517">
        <f>LOG(382/(7+1))</f>
        <v>1.6789733759197651</v>
      </c>
      <c r="H19517">
        <f>0.008130081300813*3.86597906692673</f>
        <v>3.1430724121355502E-2</v>
      </c>
      <c r="I19517">
        <v>3.1430724121355613E-2</v>
      </c>
    </row>
    <row r="19518" spans="1:9" x14ac:dyDescent="0.25">
      <c r="A19518">
        <v>589</v>
      </c>
      <c r="B19518" t="s">
        <v>488</v>
      </c>
      <c r="C19518" t="s">
        <v>10</v>
      </c>
      <c r="D19518" t="s">
        <v>1296</v>
      </c>
      <c r="E19518">
        <f t="shared" si="931"/>
        <v>8.130081300813009E-3</v>
      </c>
      <c r="F19518">
        <v>14</v>
      </c>
      <c r="G19518">
        <f>LOG(382/(14+1))</f>
        <v>1.4059721038560276</v>
      </c>
      <c r="H19518">
        <f>0.008130081300813*3.23737040750436</f>
        <v>2.632008461385656E-2</v>
      </c>
      <c r="I19518">
        <v>2.6320084613856629E-2</v>
      </c>
    </row>
    <row r="19519" spans="1:9" x14ac:dyDescent="0.25">
      <c r="A19519">
        <v>589</v>
      </c>
      <c r="B19519" t="s">
        <v>488</v>
      </c>
      <c r="C19519" t="s">
        <v>10</v>
      </c>
      <c r="D19519" t="s">
        <v>857</v>
      </c>
      <c r="E19519">
        <f t="shared" si="931"/>
        <v>8.130081300813009E-3</v>
      </c>
      <c r="F19519">
        <v>5</v>
      </c>
      <c r="G19519">
        <f>LOG(382/(5+1))</f>
        <v>1.803912112528065</v>
      </c>
      <c r="H19519">
        <f>0.008130081300813*4.15366113937852</f>
        <v>3.3769602759174927E-2</v>
      </c>
      <c r="I19519">
        <v>3.3769602759174962E-2</v>
      </c>
    </row>
    <row r="19520" spans="1:9" x14ac:dyDescent="0.25">
      <c r="A19520">
        <v>589</v>
      </c>
      <c r="B19520" t="s">
        <v>488</v>
      </c>
      <c r="C19520" t="s">
        <v>10</v>
      </c>
      <c r="D19520" t="s">
        <v>121</v>
      </c>
      <c r="E19520">
        <f>3/123</f>
        <v>2.4390243902439025E-2</v>
      </c>
      <c r="F19520">
        <v>22</v>
      </c>
      <c r="G19520">
        <f>LOG(382/(22+1))</f>
        <v>1.2203355268941158</v>
      </c>
      <c r="H19520">
        <f>0.024390243902439*2.80992639267742</f>
        <v>6.8534790065302859E-2</v>
      </c>
      <c r="I19520">
        <v>6.8534790065303067E-2</v>
      </c>
    </row>
    <row r="19521" spans="1:9" x14ac:dyDescent="0.25">
      <c r="A19521">
        <v>589</v>
      </c>
      <c r="B19521" t="s">
        <v>488</v>
      </c>
      <c r="C19521" t="s">
        <v>10</v>
      </c>
      <c r="D19521" t="s">
        <v>87</v>
      </c>
      <c r="E19521">
        <f>4/123</f>
        <v>3.2520325203252036E-2</v>
      </c>
      <c r="F19521">
        <v>12</v>
      </c>
      <c r="G19521">
        <f>LOG(382/(12+1))</f>
        <v>1.468120010604872</v>
      </c>
      <c r="H19521">
        <f>0.032520325203252*3.38047125114503</f>
        <v>0.10993402442748054</v>
      </c>
      <c r="I19521">
        <v>0.1099340244274809</v>
      </c>
    </row>
    <row r="19522" spans="1:9" x14ac:dyDescent="0.25">
      <c r="A19522">
        <v>589</v>
      </c>
      <c r="B19522" t="s">
        <v>488</v>
      </c>
      <c r="C19522" t="s">
        <v>10</v>
      </c>
      <c r="D19522" t="s">
        <v>1801</v>
      </c>
      <c r="E19522">
        <f>1/123</f>
        <v>8.130081300813009E-3</v>
      </c>
      <c r="F19522">
        <v>3</v>
      </c>
      <c r="G19522">
        <f>LOG(382/(3+1))</f>
        <v>1.9800033715837464</v>
      </c>
      <c r="H19522">
        <f>0.008130081300813*4.55912624748668</f>
        <v>3.7066067052737198E-2</v>
      </c>
      <c r="I19522">
        <v>3.7066067052737267E-2</v>
      </c>
    </row>
    <row r="19523" spans="1:9" x14ac:dyDescent="0.25">
      <c r="A19523">
        <v>589</v>
      </c>
      <c r="B19523" t="s">
        <v>488</v>
      </c>
      <c r="C19523" t="s">
        <v>10</v>
      </c>
      <c r="D19523" t="s">
        <v>358</v>
      </c>
      <c r="E19523">
        <f>1/123</f>
        <v>8.130081300813009E-3</v>
      </c>
      <c r="F19523">
        <v>3</v>
      </c>
      <c r="G19523">
        <f>LOG(382/(3+1))</f>
        <v>1.9800033715837464</v>
      </c>
      <c r="H19523">
        <f>0.008130081300813*4.55912624748668</f>
        <v>3.7066067052737198E-2</v>
      </c>
      <c r="I19523">
        <v>3.7066067052737267E-2</v>
      </c>
    </row>
    <row r="19524" spans="1:9" x14ac:dyDescent="0.25">
      <c r="A19524">
        <v>589</v>
      </c>
      <c r="B19524" t="s">
        <v>488</v>
      </c>
      <c r="C19524" t="s">
        <v>10</v>
      </c>
      <c r="D19524" t="s">
        <v>107</v>
      </c>
      <c r="E19524">
        <f>1/123</f>
        <v>8.130081300813009E-3</v>
      </c>
      <c r="F19524">
        <v>6</v>
      </c>
      <c r="G19524">
        <f>LOG(382/(6+1))</f>
        <v>1.736965322897452</v>
      </c>
      <c r="H19524">
        <f>0.008130081300813*3.99951045955126</f>
        <v>3.2516345199603711E-2</v>
      </c>
      <c r="I19524">
        <v>3.2516345199603759E-2</v>
      </c>
    </row>
    <row r="19525" spans="1:9" x14ac:dyDescent="0.25">
      <c r="A19525">
        <v>589</v>
      </c>
      <c r="B19525" t="s">
        <v>488</v>
      </c>
      <c r="C19525" t="s">
        <v>10</v>
      </c>
      <c r="D19525" t="s">
        <v>4705</v>
      </c>
      <c r="E19525">
        <f>1/123</f>
        <v>8.130081300813009E-3</v>
      </c>
      <c r="F19525">
        <v>1</v>
      </c>
      <c r="G19525">
        <f>LOG(382/(1+1))</f>
        <v>2.2810333672477277</v>
      </c>
      <c r="H19525">
        <f>0.008130081300813*5.25227342804663</f>
        <v>4.27014099841189E-2</v>
      </c>
      <c r="I19525">
        <v>4.2701409984118949E-2</v>
      </c>
    </row>
    <row r="19526" spans="1:9" x14ac:dyDescent="0.25">
      <c r="A19526">
        <v>589</v>
      </c>
      <c r="B19526" t="s">
        <v>488</v>
      </c>
      <c r="C19526" t="s">
        <v>10</v>
      </c>
      <c r="D19526" t="s">
        <v>436</v>
      </c>
      <c r="E19526">
        <f>2/123</f>
        <v>1.6260162601626018E-2</v>
      </c>
      <c r="F19526">
        <v>20</v>
      </c>
      <c r="G19526">
        <f>LOG(382/(20+1))</f>
        <v>1.2598440681777894</v>
      </c>
      <c r="H19526">
        <f>0.016260162601626*2.90089817088315</f>
        <v>4.7169075949319468E-2</v>
      </c>
      <c r="I19526">
        <v>4.7169075949319551E-2</v>
      </c>
    </row>
    <row r="19527" spans="1:9" x14ac:dyDescent="0.25">
      <c r="A19527">
        <v>589</v>
      </c>
      <c r="B19527" t="s">
        <v>488</v>
      </c>
      <c r="C19527" t="s">
        <v>10</v>
      </c>
      <c r="D19527" t="s">
        <v>361</v>
      </c>
      <c r="E19527">
        <f>2/123</f>
        <v>1.6260162601626018E-2</v>
      </c>
      <c r="F19527">
        <v>118</v>
      </c>
      <c r="G19527">
        <f>LOG(382/(118+1))</f>
        <v>0.50651640151917798</v>
      </c>
      <c r="H19527">
        <f>0.016260162601626*1.16629711549504</f>
        <v>1.8964180739756729E-2</v>
      </c>
      <c r="I19527">
        <v>1.896418073975685E-2</v>
      </c>
    </row>
    <row r="19528" spans="1:9" x14ac:dyDescent="0.25">
      <c r="A19528">
        <v>589</v>
      </c>
      <c r="B19528" t="s">
        <v>488</v>
      </c>
      <c r="C19528" t="s">
        <v>10</v>
      </c>
      <c r="D19528" t="s">
        <v>434</v>
      </c>
      <c r="E19528">
        <f>2/123</f>
        <v>1.6260162601626018E-2</v>
      </c>
      <c r="F19528">
        <v>97</v>
      </c>
      <c r="G19528">
        <f>LOG(382/(97+1))</f>
        <v>0.59083728721921391</v>
      </c>
      <c r="H19528">
        <f>0.016260162601626*1.360453129936</f>
        <v>2.2121189104650388E-2</v>
      </c>
      <c r="I19528">
        <v>2.2121189104650461E-2</v>
      </c>
    </row>
    <row r="19529" spans="1:9" x14ac:dyDescent="0.25">
      <c r="A19529">
        <v>589</v>
      </c>
      <c r="B19529" t="s">
        <v>488</v>
      </c>
      <c r="C19529" t="s">
        <v>10</v>
      </c>
      <c r="D19529" t="s">
        <v>1073</v>
      </c>
      <c r="E19529">
        <f>3/123</f>
        <v>2.4390243902439025E-2</v>
      </c>
      <c r="F19529">
        <v>25</v>
      </c>
      <c r="G19529">
        <f>LOG(382/(25+1))</f>
        <v>1.1670900149408907</v>
      </c>
      <c r="H19529">
        <f>0.024390243902439*2.68732407058509</f>
        <v>6.5544489526465549E-2</v>
      </c>
      <c r="I19529">
        <v>6.5544489526465688E-2</v>
      </c>
    </row>
    <row r="19530" spans="1:9" x14ac:dyDescent="0.25">
      <c r="A19530">
        <v>589</v>
      </c>
      <c r="B19530" t="s">
        <v>488</v>
      </c>
      <c r="C19530" t="s">
        <v>10</v>
      </c>
      <c r="D19530" t="s">
        <v>445</v>
      </c>
      <c r="E19530">
        <f>3/123</f>
        <v>2.4390243902439025E-2</v>
      </c>
      <c r="F19530">
        <v>35</v>
      </c>
      <c r="G19530">
        <f>LOG(382/(35+1))</f>
        <v>1.0257608621444214</v>
      </c>
      <c r="H19530">
        <f>0.024390243902439*2.36190167015046</f>
        <v>5.7607357808547748E-2</v>
      </c>
      <c r="I19530">
        <v>5.7607357808547928E-2</v>
      </c>
    </row>
    <row r="19531" spans="1:9" x14ac:dyDescent="0.25">
      <c r="A19531">
        <v>589</v>
      </c>
      <c r="B19531" t="s">
        <v>488</v>
      </c>
      <c r="C19531" t="s">
        <v>10</v>
      </c>
      <c r="D19531" t="s">
        <v>310</v>
      </c>
      <c r="E19531">
        <f t="shared" ref="E19531:E19553" si="932">1/123</f>
        <v>8.130081300813009E-3</v>
      </c>
      <c r="F19531">
        <v>50</v>
      </c>
      <c r="G19531">
        <f>LOG(382/(50+1))</f>
        <v>0.87449318681377242</v>
      </c>
      <c r="H19531">
        <f>0.008130081300813*2.01359497588224</f>
        <v>1.6370690860831202E-2</v>
      </c>
      <c r="I19531">
        <v>1.6370690860831299E-2</v>
      </c>
    </row>
    <row r="19532" spans="1:9" x14ac:dyDescent="0.25">
      <c r="A19532">
        <v>589</v>
      </c>
      <c r="B19532" t="s">
        <v>488</v>
      </c>
      <c r="C19532" t="s">
        <v>10</v>
      </c>
      <c r="D19532" t="s">
        <v>1171</v>
      </c>
      <c r="E19532">
        <f t="shared" si="932"/>
        <v>8.130081300813009E-3</v>
      </c>
      <c r="F19532">
        <v>4</v>
      </c>
      <c r="G19532">
        <f>LOG(382/(4+1))</f>
        <v>1.8830933585756899</v>
      </c>
      <c r="H19532">
        <f>0.008130081300813*4.33598269617247</f>
        <v>3.5251891838800536E-2</v>
      </c>
      <c r="I19532">
        <v>3.5251891838800613E-2</v>
      </c>
    </row>
    <row r="19533" spans="1:9" x14ac:dyDescent="0.25">
      <c r="A19533">
        <v>589</v>
      </c>
      <c r="B19533" t="s">
        <v>488</v>
      </c>
      <c r="C19533" t="s">
        <v>10</v>
      </c>
      <c r="D19533" t="s">
        <v>830</v>
      </c>
      <c r="E19533">
        <f t="shared" si="932"/>
        <v>8.130081300813009E-3</v>
      </c>
      <c r="F19533">
        <v>19</v>
      </c>
      <c r="G19533">
        <f>LOG(382/(19+1))</f>
        <v>1.2810333672477277</v>
      </c>
      <c r="H19533">
        <f>0.008130081300813*2.94968833505258</f>
        <v>2.3981205976037211E-2</v>
      </c>
      <c r="I19533">
        <v>2.398120597603727E-2</v>
      </c>
    </row>
    <row r="19534" spans="1:9" x14ac:dyDescent="0.25">
      <c r="A19534">
        <v>589</v>
      </c>
      <c r="B19534" t="s">
        <v>488</v>
      </c>
      <c r="C19534" t="s">
        <v>10</v>
      </c>
      <c r="D19534" t="s">
        <v>437</v>
      </c>
      <c r="E19534">
        <f t="shared" si="932"/>
        <v>8.130081300813009E-3</v>
      </c>
      <c r="F19534">
        <v>18</v>
      </c>
      <c r="G19534">
        <f>LOG(382/(18+1))</f>
        <v>1.3033097619588798</v>
      </c>
      <c r="H19534">
        <f>0.008130081300813*3.00098162944013</f>
        <v>2.4398224629594529E-2</v>
      </c>
      <c r="I19534">
        <v>2.4398224629594591E-2</v>
      </c>
    </row>
    <row r="19535" spans="1:9" x14ac:dyDescent="0.25">
      <c r="A19535">
        <v>589</v>
      </c>
      <c r="B19535" t="s">
        <v>488</v>
      </c>
      <c r="C19535" t="s">
        <v>10</v>
      </c>
      <c r="D19535" t="s">
        <v>444</v>
      </c>
      <c r="E19535">
        <f t="shared" si="932"/>
        <v>8.130081300813009E-3</v>
      </c>
      <c r="F19535">
        <v>28</v>
      </c>
      <c r="G19535">
        <f>LOG(382/(28+1))</f>
        <v>1.1196653650127526</v>
      </c>
      <c r="H19535">
        <f>0.008130081300813*2.5781247786201</f>
        <v>2.0960364053821928E-2</v>
      </c>
      <c r="I19535">
        <v>2.0960364053821959E-2</v>
      </c>
    </row>
    <row r="19536" spans="1:9" x14ac:dyDescent="0.25">
      <c r="A19536">
        <v>589</v>
      </c>
      <c r="B19536" t="s">
        <v>488</v>
      </c>
      <c r="C19536" t="s">
        <v>10</v>
      </c>
      <c r="D19536" t="s">
        <v>1176</v>
      </c>
      <c r="E19536">
        <f t="shared" si="932"/>
        <v>8.130081300813009E-3</v>
      </c>
      <c r="F19536">
        <v>15</v>
      </c>
      <c r="G19536">
        <f>LOG(382/(15+1))</f>
        <v>1.3779433802557839</v>
      </c>
      <c r="H19536">
        <f>0.008130081300813*3.17283188636679</f>
        <v>2.579538118997388E-2</v>
      </c>
      <c r="I19536">
        <v>2.5795381189973939E-2</v>
      </c>
    </row>
    <row r="19537" spans="1:9" x14ac:dyDescent="0.25">
      <c r="A19537">
        <v>589</v>
      </c>
      <c r="B19537" t="s">
        <v>488</v>
      </c>
      <c r="C19537" t="s">
        <v>10</v>
      </c>
      <c r="D19537" t="s">
        <v>2204</v>
      </c>
      <c r="E19537">
        <f t="shared" si="932"/>
        <v>8.130081300813009E-3</v>
      </c>
      <c r="F19537">
        <v>7</v>
      </c>
      <c r="G19537">
        <f>LOG(382/(7+1))</f>
        <v>1.6789733759197651</v>
      </c>
      <c r="H19537">
        <f>0.008130081300813*3.86597906692673</f>
        <v>3.1430724121355502E-2</v>
      </c>
      <c r="I19537">
        <v>3.1430724121355613E-2</v>
      </c>
    </row>
    <row r="19538" spans="1:9" x14ac:dyDescent="0.25">
      <c r="A19538">
        <v>589</v>
      </c>
      <c r="B19538" t="s">
        <v>488</v>
      </c>
      <c r="C19538" t="s">
        <v>10</v>
      </c>
      <c r="D19538" t="s">
        <v>490</v>
      </c>
      <c r="E19538">
        <f t="shared" si="932"/>
        <v>8.130081300813009E-3</v>
      </c>
      <c r="F19538">
        <v>31</v>
      </c>
      <c r="G19538">
        <f>LOG(382/(31+1))</f>
        <v>1.0769133845918029</v>
      </c>
      <c r="H19538">
        <f>0.008130081300813*2.47968470580684</f>
        <v>2.0160038258592174E-2</v>
      </c>
      <c r="I19538">
        <v>2.0160038258592271E-2</v>
      </c>
    </row>
    <row r="19539" spans="1:9" x14ac:dyDescent="0.25">
      <c r="A19539">
        <v>589</v>
      </c>
      <c r="B19539" t="s">
        <v>488</v>
      </c>
      <c r="C19539" t="s">
        <v>10</v>
      </c>
      <c r="D19539" t="s">
        <v>144</v>
      </c>
      <c r="E19539">
        <f t="shared" si="932"/>
        <v>8.130081300813009E-3</v>
      </c>
      <c r="F19539">
        <v>105</v>
      </c>
      <c r="G19539">
        <f>LOG(382/(105+1))</f>
        <v>0.55675749764693849</v>
      </c>
      <c r="H19539">
        <f>0.008130081300813*1.2819815144945</f>
        <v>1.0422613938979664E-2</v>
      </c>
      <c r="I19539">
        <v>1.042261393897974E-2</v>
      </c>
    </row>
    <row r="19540" spans="1:9" x14ac:dyDescent="0.25">
      <c r="A19540">
        <v>589</v>
      </c>
      <c r="B19540" t="s">
        <v>488</v>
      </c>
      <c r="C19540" t="s">
        <v>10</v>
      </c>
      <c r="D19540" t="s">
        <v>1496</v>
      </c>
      <c r="E19540">
        <f t="shared" si="932"/>
        <v>8.130081300813009E-3</v>
      </c>
      <c r="F19540">
        <v>39</v>
      </c>
      <c r="G19540">
        <f>LOG(382/(39+1))</f>
        <v>0.9800033715837464</v>
      </c>
      <c r="H19540">
        <f>0.008130081300813*2.25654115449263</f>
        <v>1.8345863044655512E-2</v>
      </c>
      <c r="I19540">
        <v>1.8345863044655599E-2</v>
      </c>
    </row>
    <row r="19541" spans="1:9" x14ac:dyDescent="0.25">
      <c r="A19541">
        <v>589</v>
      </c>
      <c r="B19541" t="s">
        <v>488</v>
      </c>
      <c r="C19541" t="s">
        <v>10</v>
      </c>
      <c r="D19541" t="s">
        <v>157</v>
      </c>
      <c r="E19541">
        <f t="shared" si="932"/>
        <v>8.130081300813009E-3</v>
      </c>
      <c r="F19541">
        <v>16</v>
      </c>
      <c r="G19541">
        <f>LOG(382/(16+1))</f>
        <v>1.3516144415334348</v>
      </c>
      <c r="H19541">
        <f>0.008130081300813*3.11220726455035</f>
        <v>2.5302498085775178E-2</v>
      </c>
      <c r="I19541">
        <v>2.5302498085775279E-2</v>
      </c>
    </row>
    <row r="19542" spans="1:9" x14ac:dyDescent="0.25">
      <c r="A19542">
        <v>589</v>
      </c>
      <c r="B19542" t="s">
        <v>488</v>
      </c>
      <c r="C19542" t="s">
        <v>10</v>
      </c>
      <c r="D19542" t="s">
        <v>17</v>
      </c>
      <c r="E19542">
        <f t="shared" si="932"/>
        <v>8.130081300813009E-3</v>
      </c>
      <c r="F19542">
        <v>169</v>
      </c>
      <c r="G19542">
        <f>LOG(382/(169+1))</f>
        <v>0.3516144415334348</v>
      </c>
      <c r="H19542">
        <f>0.008130081300813*0.809622171556313</f>
        <v>6.5822940776935953E-3</v>
      </c>
      <c r="I19542">
        <v>6.5822940776936057E-3</v>
      </c>
    </row>
    <row r="19543" spans="1:9" x14ac:dyDescent="0.25">
      <c r="A19543">
        <v>589</v>
      </c>
      <c r="B19543" t="s">
        <v>488</v>
      </c>
      <c r="C19543" t="s">
        <v>10</v>
      </c>
      <c r="D19543" t="s">
        <v>19</v>
      </c>
      <c r="E19543">
        <f t="shared" si="932"/>
        <v>8.130081300813009E-3</v>
      </c>
      <c r="F19543">
        <v>220</v>
      </c>
      <c r="G19543">
        <f>LOG(382/(220+1))</f>
        <v>0.23767108922659805</v>
      </c>
      <c r="H19543">
        <f>0.008130081300813*0.547257907088822</f>
        <v>4.4492512771448908E-3</v>
      </c>
      <c r="I19543">
        <v>4.4492512771448977E-3</v>
      </c>
    </row>
    <row r="19544" spans="1:9" x14ac:dyDescent="0.25">
      <c r="A19544">
        <v>589</v>
      </c>
      <c r="B19544" t="s">
        <v>488</v>
      </c>
      <c r="C19544" t="s">
        <v>10</v>
      </c>
      <c r="D19544" t="s">
        <v>1785</v>
      </c>
      <c r="E19544">
        <f t="shared" si="932"/>
        <v>8.130081300813009E-3</v>
      </c>
      <c r="F19544">
        <v>21</v>
      </c>
      <c r="G19544">
        <f>LOG(382/(21+1))</f>
        <v>1.2396406820895025</v>
      </c>
      <c r="H19544">
        <f>0.008130081300813*2.85437815524825</f>
        <v>2.3206326465432903E-2</v>
      </c>
      <c r="I19544">
        <v>2.3206326465433001E-2</v>
      </c>
    </row>
    <row r="19545" spans="1:9" x14ac:dyDescent="0.25">
      <c r="A19545">
        <v>589</v>
      </c>
      <c r="B19545" t="s">
        <v>488</v>
      </c>
      <c r="C19545" t="s">
        <v>10</v>
      </c>
      <c r="D19545" t="s">
        <v>24</v>
      </c>
      <c r="E19545">
        <f t="shared" si="932"/>
        <v>8.130081300813009E-3</v>
      </c>
      <c r="F19545">
        <v>59</v>
      </c>
      <c r="G19545">
        <f>LOG(382/(59+1))</f>
        <v>0.80391211252806505</v>
      </c>
      <c r="H19545">
        <f>0.008130081300813*1.85107604638447</f>
        <v>1.5049398751093238E-2</v>
      </c>
      <c r="I19545">
        <v>1.504939875109329E-2</v>
      </c>
    </row>
    <row r="19546" spans="1:9" x14ac:dyDescent="0.25">
      <c r="A19546">
        <v>589</v>
      </c>
      <c r="B19546" t="s">
        <v>488</v>
      </c>
      <c r="C19546" t="s">
        <v>10</v>
      </c>
      <c r="D19546" t="s">
        <v>898</v>
      </c>
      <c r="E19546">
        <f t="shared" si="932"/>
        <v>8.130081300813009E-3</v>
      </c>
      <c r="F19546">
        <v>22</v>
      </c>
      <c r="G19546">
        <f>LOG(382/(22+1))</f>
        <v>1.2203355268941158</v>
      </c>
      <c r="H19546">
        <f>0.008130081300813*2.80992639267742</f>
        <v>2.2844930021767618E-2</v>
      </c>
      <c r="I19546">
        <v>2.2844930021767691E-2</v>
      </c>
    </row>
    <row r="19547" spans="1:9" x14ac:dyDescent="0.25">
      <c r="A19547">
        <v>589</v>
      </c>
      <c r="B19547" t="s">
        <v>488</v>
      </c>
      <c r="C19547" t="s">
        <v>10</v>
      </c>
      <c r="D19547" t="s">
        <v>105</v>
      </c>
      <c r="E19547">
        <f t="shared" si="932"/>
        <v>8.130081300813009E-3</v>
      </c>
      <c r="F19547">
        <v>122</v>
      </c>
      <c r="G19547">
        <f>LOG(382/(122+1))</f>
        <v>0.49215825147231079</v>
      </c>
      <c r="H19547">
        <f>0.008130081300813*1.13323625323415</f>
        <v>9.2133028718223483E-3</v>
      </c>
      <c r="I19547">
        <v>9.2133028718224194E-3</v>
      </c>
    </row>
    <row r="19548" spans="1:9" x14ac:dyDescent="0.25">
      <c r="A19548">
        <v>589</v>
      </c>
      <c r="B19548" t="s">
        <v>488</v>
      </c>
      <c r="C19548" t="s">
        <v>10</v>
      </c>
      <c r="D19548" t="s">
        <v>52</v>
      </c>
      <c r="E19548">
        <f t="shared" si="932"/>
        <v>8.130081300813009E-3</v>
      </c>
      <c r="F19548">
        <v>35</v>
      </c>
      <c r="G19548">
        <f>LOG(382/(35+1))</f>
        <v>1.0257608621444214</v>
      </c>
      <c r="H19548">
        <f>0.008130081300813*2.36190167015046</f>
        <v>1.9202452602849251E-2</v>
      </c>
      <c r="I19548">
        <v>1.920245260284931E-2</v>
      </c>
    </row>
    <row r="19549" spans="1:9" x14ac:dyDescent="0.25">
      <c r="A19549">
        <v>589</v>
      </c>
      <c r="B19549" t="s">
        <v>488</v>
      </c>
      <c r="C19549" t="s">
        <v>10</v>
      </c>
      <c r="D19549" t="s">
        <v>601</v>
      </c>
      <c r="E19549">
        <f t="shared" si="932"/>
        <v>8.130081300813009E-3</v>
      </c>
      <c r="F19549">
        <v>7</v>
      </c>
      <c r="G19549">
        <f>LOG(382/(7+1))</f>
        <v>1.6789733759197651</v>
      </c>
      <c r="H19549">
        <f>0.008130081300813*3.86597906692673</f>
        <v>3.1430724121355502E-2</v>
      </c>
      <c r="I19549">
        <v>3.1430724121355613E-2</v>
      </c>
    </row>
    <row r="19550" spans="1:9" x14ac:dyDescent="0.25">
      <c r="A19550">
        <v>589</v>
      </c>
      <c r="B19550" t="s">
        <v>488</v>
      </c>
      <c r="C19550" t="s">
        <v>10</v>
      </c>
      <c r="D19550" t="s">
        <v>133</v>
      </c>
      <c r="E19550">
        <f t="shared" si="932"/>
        <v>8.130081300813009E-3</v>
      </c>
      <c r="F19550">
        <v>142</v>
      </c>
      <c r="G19550">
        <f>LOG(382/(142+1))</f>
        <v>0.42672732544664693</v>
      </c>
      <c r="H19550">
        <f>0.008130081300813*0.982575978346667</f>
        <v>7.9884225881842776E-3</v>
      </c>
      <c r="I19550">
        <v>7.9884225881842932E-3</v>
      </c>
    </row>
    <row r="19551" spans="1:9" x14ac:dyDescent="0.25">
      <c r="A19551">
        <v>589</v>
      </c>
      <c r="B19551" t="s">
        <v>488</v>
      </c>
      <c r="C19551" t="s">
        <v>10</v>
      </c>
      <c r="D19551" t="s">
        <v>1130</v>
      </c>
      <c r="E19551">
        <f t="shared" si="932"/>
        <v>8.130081300813009E-3</v>
      </c>
      <c r="F19551">
        <v>12</v>
      </c>
      <c r="G19551">
        <f>LOG(382/(12+1))</f>
        <v>1.468120010604872</v>
      </c>
      <c r="H19551">
        <f>0.008130081300813*3.38047125114503</f>
        <v>2.7483506106870136E-2</v>
      </c>
      <c r="I19551">
        <v>2.748350610687024E-2</v>
      </c>
    </row>
    <row r="19552" spans="1:9" x14ac:dyDescent="0.25">
      <c r="A19552">
        <v>589</v>
      </c>
      <c r="B19552" t="s">
        <v>488</v>
      </c>
      <c r="C19552" t="s">
        <v>10</v>
      </c>
      <c r="D19552" t="s">
        <v>151</v>
      </c>
      <c r="E19552">
        <f t="shared" si="932"/>
        <v>8.130081300813009E-3</v>
      </c>
      <c r="F19552">
        <v>14</v>
      </c>
      <c r="G19552">
        <f>LOG(382/(14+1))</f>
        <v>1.4059721038560276</v>
      </c>
      <c r="H19552">
        <f>0.008130081300813*3.23737040750436</f>
        <v>2.632008461385656E-2</v>
      </c>
      <c r="I19552">
        <v>2.6320084613856629E-2</v>
      </c>
    </row>
    <row r="19553" spans="1:9" x14ac:dyDescent="0.25">
      <c r="A19553">
        <v>589</v>
      </c>
      <c r="B19553" t="s">
        <v>488</v>
      </c>
      <c r="C19553" t="s">
        <v>10</v>
      </c>
      <c r="D19553" t="s">
        <v>4706</v>
      </c>
      <c r="E19553">
        <f t="shared" si="932"/>
        <v>8.130081300813009E-3</v>
      </c>
      <c r="F19553">
        <v>2</v>
      </c>
      <c r="G19553">
        <f>LOG(382/(2+1))</f>
        <v>2.1049421081920463</v>
      </c>
      <c r="H19553">
        <f>0.008130081300813*4.84680831993846</f>
        <v>3.9404945690556546E-2</v>
      </c>
      <c r="I19553">
        <v>3.9404945690556629E-2</v>
      </c>
    </row>
    <row r="19554" spans="1:9" x14ac:dyDescent="0.25">
      <c r="A19554">
        <v>590</v>
      </c>
      <c r="B19554" t="s">
        <v>4707</v>
      </c>
      <c r="C19554" t="s">
        <v>10</v>
      </c>
      <c r="D19554" t="s">
        <v>129</v>
      </c>
      <c r="E19554">
        <f>8/217</f>
        <v>3.6866359447004608E-2</v>
      </c>
      <c r="F19554">
        <v>7</v>
      </c>
      <c r="G19554">
        <f>LOG(382/(7+1))</f>
        <v>1.6789733759197651</v>
      </c>
      <c r="H19554">
        <f>0.0368663594470046*3.86597906692673</f>
        <v>0.1425245738959163</v>
      </c>
      <c r="I19554">
        <v>0.14252457389591669</v>
      </c>
    </row>
    <row r="19555" spans="1:9" x14ac:dyDescent="0.25">
      <c r="A19555">
        <v>590</v>
      </c>
      <c r="B19555" t="s">
        <v>4707</v>
      </c>
      <c r="C19555" t="s">
        <v>10</v>
      </c>
      <c r="D19555" t="s">
        <v>100</v>
      </c>
      <c r="E19555">
        <f>18/217</f>
        <v>8.294930875576037E-2</v>
      </c>
      <c r="F19555">
        <v>9</v>
      </c>
      <c r="G19555">
        <f>LOG(382/(9+1))</f>
        <v>1.5820633629117087</v>
      </c>
      <c r="H19555">
        <f>0.0829493087557603*3.64283551561252</f>
        <v>0.30217068793099222</v>
      </c>
      <c r="I19555">
        <v>0.30217068793099322</v>
      </c>
    </row>
    <row r="19556" spans="1:9" x14ac:dyDescent="0.25">
      <c r="A19556">
        <v>590</v>
      </c>
      <c r="B19556" t="s">
        <v>4707</v>
      </c>
      <c r="C19556" t="s">
        <v>10</v>
      </c>
      <c r="D19556" t="s">
        <v>44</v>
      </c>
      <c r="E19556">
        <f>5/217</f>
        <v>2.3041474654377881E-2</v>
      </c>
      <c r="F19556">
        <v>151</v>
      </c>
      <c r="G19556">
        <f>LOG(382/(151+1))</f>
        <v>0.40021977496693617</v>
      </c>
      <c r="H19556">
        <f>0.0230414746543778*0.921540087760298</f>
        <v>2.1233642575122003E-2</v>
      </c>
      <c r="I19556">
        <v>2.1233642575122089E-2</v>
      </c>
    </row>
    <row r="19557" spans="1:9" x14ac:dyDescent="0.25">
      <c r="A19557">
        <v>590</v>
      </c>
      <c r="B19557" t="s">
        <v>4707</v>
      </c>
      <c r="C19557" t="s">
        <v>10</v>
      </c>
      <c r="D19557" t="s">
        <v>22</v>
      </c>
      <c r="E19557">
        <f>1/217</f>
        <v>4.608294930875576E-3</v>
      </c>
      <c r="F19557">
        <v>259</v>
      </c>
      <c r="G19557">
        <f>LOG(382/(259+1))</f>
        <v>0.16709001494089079</v>
      </c>
      <c r="H19557">
        <f>0.00460829493087557*0.384738977591047</f>
        <v>1.7729906801430715E-3</v>
      </c>
      <c r="I19557">
        <v>1.7729906801430761E-3</v>
      </c>
    </row>
    <row r="19558" spans="1:9" x14ac:dyDescent="0.25">
      <c r="A19558">
        <v>590</v>
      </c>
      <c r="B19558" t="s">
        <v>4707</v>
      </c>
      <c r="C19558" t="s">
        <v>10</v>
      </c>
      <c r="D19558" t="s">
        <v>23</v>
      </c>
      <c r="E19558">
        <f>1/217</f>
        <v>4.608294930875576E-3</v>
      </c>
      <c r="F19558">
        <v>275</v>
      </c>
      <c r="G19558">
        <f>LOG(382/(275+1))</f>
        <v>0.14115428084649101</v>
      </c>
      <c r="H19558">
        <f>0.00460829493087557*0.325019742889425</f>
        <v>1.4977868335918183E-3</v>
      </c>
      <c r="I19558">
        <v>1.4977868335918211E-3</v>
      </c>
    </row>
    <row r="19559" spans="1:9" x14ac:dyDescent="0.25">
      <c r="A19559">
        <v>590</v>
      </c>
      <c r="B19559" t="s">
        <v>4707</v>
      </c>
      <c r="C19559" t="s">
        <v>10</v>
      </c>
      <c r="D19559" t="s">
        <v>97</v>
      </c>
      <c r="E19559">
        <f>1/217</f>
        <v>4.608294930875576E-3</v>
      </c>
      <c r="F19559">
        <v>19</v>
      </c>
      <c r="G19559">
        <f>LOG(382/(19+1))</f>
        <v>1.2810333672477277</v>
      </c>
      <c r="H19559">
        <f>0.00460829493087557*2.94968833505258</f>
        <v>1.3593033802085604E-2</v>
      </c>
      <c r="I19559">
        <v>1.359303380208564E-2</v>
      </c>
    </row>
    <row r="19560" spans="1:9" x14ac:dyDescent="0.25">
      <c r="A19560">
        <v>590</v>
      </c>
      <c r="B19560" t="s">
        <v>4707</v>
      </c>
      <c r="C19560" t="s">
        <v>10</v>
      </c>
      <c r="D19560" t="s">
        <v>1018</v>
      </c>
      <c r="E19560">
        <f>1/217</f>
        <v>4.608294930875576E-3</v>
      </c>
      <c r="F19560">
        <v>6</v>
      </c>
      <c r="G19560">
        <f>LOG(382/(6+1))</f>
        <v>1.736965322897452</v>
      </c>
      <c r="H19560">
        <f>0.00460829493087557*3.99951045955126</f>
        <v>1.8430923776733894E-2</v>
      </c>
      <c r="I19560">
        <v>1.8430923776733929E-2</v>
      </c>
    </row>
    <row r="19561" spans="1:9" x14ac:dyDescent="0.25">
      <c r="A19561">
        <v>590</v>
      </c>
      <c r="B19561" t="s">
        <v>4707</v>
      </c>
      <c r="C19561" t="s">
        <v>10</v>
      </c>
      <c r="D19561" t="s">
        <v>197</v>
      </c>
      <c r="E19561">
        <f>3/217</f>
        <v>1.3824884792626729E-2</v>
      </c>
      <c r="F19561">
        <v>18</v>
      </c>
      <c r="G19561">
        <f>LOG(382/(18+1))</f>
        <v>1.3033097619588798</v>
      </c>
      <c r="H19561">
        <f>0.0138248847926267*3.00098162944013</f>
        <v>4.148822529179895E-2</v>
      </c>
      <c r="I19561">
        <v>4.1488225291799102E-2</v>
      </c>
    </row>
    <row r="19562" spans="1:9" x14ac:dyDescent="0.25">
      <c r="A19562">
        <v>590</v>
      </c>
      <c r="B19562" t="s">
        <v>4707</v>
      </c>
      <c r="C19562" t="s">
        <v>10</v>
      </c>
      <c r="D19562" t="s">
        <v>198</v>
      </c>
      <c r="E19562">
        <f>2/217</f>
        <v>9.2165898617511521E-3</v>
      </c>
      <c r="F19562">
        <v>11</v>
      </c>
      <c r="G19562">
        <f>LOG(382/(11+1))</f>
        <v>1.5028821168640838</v>
      </c>
      <c r="H19562">
        <f>0.00921658986175115*3.46051395881857</f>
        <v>3.1894137869295569E-2</v>
      </c>
      <c r="I19562">
        <v>3.1894137869295618E-2</v>
      </c>
    </row>
    <row r="19563" spans="1:9" x14ac:dyDescent="0.25">
      <c r="A19563">
        <v>590</v>
      </c>
      <c r="B19563" t="s">
        <v>4707</v>
      </c>
      <c r="C19563" t="s">
        <v>10</v>
      </c>
      <c r="D19563" t="s">
        <v>118</v>
      </c>
      <c r="E19563">
        <f>7/217</f>
        <v>3.2258064516129031E-2</v>
      </c>
      <c r="F19563">
        <v>8</v>
      </c>
      <c r="G19563">
        <f>LOG(382/(8+1))</f>
        <v>1.6278208534723839</v>
      </c>
      <c r="H19563">
        <f>0.032258064516129*3.74819603127035</f>
        <v>0.12090954939581761</v>
      </c>
      <c r="I19563">
        <v>0.1209095493958179</v>
      </c>
    </row>
    <row r="19564" spans="1:9" x14ac:dyDescent="0.25">
      <c r="A19564">
        <v>590</v>
      </c>
      <c r="B19564" t="s">
        <v>4707</v>
      </c>
      <c r="C19564" t="s">
        <v>10</v>
      </c>
      <c r="D19564" t="s">
        <v>98</v>
      </c>
      <c r="E19564">
        <f>5/217</f>
        <v>2.3041474654377881E-2</v>
      </c>
      <c r="F19564">
        <v>56</v>
      </c>
      <c r="G19564">
        <f>LOG(382/(56+1))</f>
        <v>0.82618850723921733</v>
      </c>
      <c r="H19564">
        <f>0.0230414746543778*1.90236934077202</f>
        <v>4.3833394948663902E-2</v>
      </c>
      <c r="I19564">
        <v>4.3833394948664173E-2</v>
      </c>
    </row>
    <row r="19565" spans="1:9" x14ac:dyDescent="0.25">
      <c r="A19565">
        <v>590</v>
      </c>
      <c r="B19565" t="s">
        <v>4707</v>
      </c>
      <c r="C19565" t="s">
        <v>10</v>
      </c>
      <c r="D19565" t="s">
        <v>50</v>
      </c>
      <c r="E19565">
        <f>5/217</f>
        <v>2.3041474654377881E-2</v>
      </c>
      <c r="F19565">
        <v>109</v>
      </c>
      <c r="G19565">
        <f>LOG(382/(109+1))</f>
        <v>0.54067067775348365</v>
      </c>
      <c r="H19565">
        <f>0.0230414746543778*1.24494024281415</f>
        <v>2.8685259051017185E-2</v>
      </c>
      <c r="I19565">
        <v>2.868525905101749E-2</v>
      </c>
    </row>
    <row r="19566" spans="1:9" x14ac:dyDescent="0.25">
      <c r="A19566">
        <v>590</v>
      </c>
      <c r="B19566" t="s">
        <v>4707</v>
      </c>
      <c r="C19566" t="s">
        <v>10</v>
      </c>
      <c r="D19566" t="s">
        <v>41</v>
      </c>
      <c r="E19566">
        <f>2/217</f>
        <v>9.2165898617511521E-3</v>
      </c>
      <c r="F19566">
        <v>195</v>
      </c>
      <c r="G19566">
        <f>LOG(382/(195+1))</f>
        <v>0.28980729155523272</v>
      </c>
      <c r="H19566">
        <f>0.00921658986175115*0.667305949376058</f>
        <v>6.1502852477056027E-3</v>
      </c>
      <c r="I19566">
        <v>6.1502852477056044E-3</v>
      </c>
    </row>
    <row r="19567" spans="1:9" x14ac:dyDescent="0.25">
      <c r="A19567">
        <v>590</v>
      </c>
      <c r="B19567" t="s">
        <v>4707</v>
      </c>
      <c r="C19567" t="s">
        <v>10</v>
      </c>
      <c r="D19567" t="s">
        <v>99</v>
      </c>
      <c r="E19567">
        <f>2/217</f>
        <v>9.2165898617511521E-3</v>
      </c>
      <c r="F19567">
        <v>4</v>
      </c>
      <c r="G19567">
        <f>LOG(382/(4+1))</f>
        <v>1.8830933585756899</v>
      </c>
      <c r="H19567">
        <f>0.00921658986175115*4.33598269617247</f>
        <v>3.9962974158271609E-2</v>
      </c>
      <c r="I19567">
        <v>3.9962974158271658E-2</v>
      </c>
    </row>
    <row r="19568" spans="1:9" x14ac:dyDescent="0.25">
      <c r="A19568">
        <v>590</v>
      </c>
      <c r="B19568" t="s">
        <v>4707</v>
      </c>
      <c r="C19568" t="s">
        <v>10</v>
      </c>
      <c r="D19568" t="s">
        <v>126</v>
      </c>
      <c r="E19568">
        <f>1/217</f>
        <v>4.608294930875576E-3</v>
      </c>
      <c r="F19568">
        <v>79</v>
      </c>
      <c r="G19568">
        <f>LOG(382/(79+1))</f>
        <v>0.67897337591976514</v>
      </c>
      <c r="H19568">
        <f>0.00460829493087557*1.56339397393269</f>
        <v>7.2045805250354287E-3</v>
      </c>
      <c r="I19568">
        <v>7.2045805250354547E-3</v>
      </c>
    </row>
    <row r="19569" spans="1:9" x14ac:dyDescent="0.25">
      <c r="A19569">
        <v>590</v>
      </c>
      <c r="B19569" t="s">
        <v>4707</v>
      </c>
      <c r="C19569" t="s">
        <v>10</v>
      </c>
      <c r="D19569" t="s">
        <v>25</v>
      </c>
      <c r="E19569">
        <f>2/217</f>
        <v>9.2165898617511521E-3</v>
      </c>
      <c r="F19569">
        <v>106</v>
      </c>
      <c r="G19569">
        <f>LOG(382/(106+1))</f>
        <v>0.55267958522649907</v>
      </c>
      <c r="H19569">
        <f>0.00921658986175115*1.27259177414466</f>
        <v>1.1728956443729583E-2</v>
      </c>
      <c r="I19569">
        <v>1.172895644372967E-2</v>
      </c>
    </row>
    <row r="19570" spans="1:9" x14ac:dyDescent="0.25">
      <c r="A19570">
        <v>590</v>
      </c>
      <c r="B19570" t="s">
        <v>4707</v>
      </c>
      <c r="C19570" t="s">
        <v>10</v>
      </c>
      <c r="D19570" t="s">
        <v>1131</v>
      </c>
      <c r="E19570">
        <f>2/217</f>
        <v>9.2165898617511521E-3</v>
      </c>
      <c r="F19570">
        <v>6</v>
      </c>
      <c r="G19570">
        <f>LOG(382/(6+1))</f>
        <v>1.736965322897452</v>
      </c>
      <c r="H19570">
        <f>0.00921658986175115*3.99951045955126</f>
        <v>3.686184755346783E-2</v>
      </c>
      <c r="I19570">
        <v>3.6861847553467851E-2</v>
      </c>
    </row>
    <row r="19571" spans="1:9" x14ac:dyDescent="0.25">
      <c r="A19571">
        <v>590</v>
      </c>
      <c r="B19571" t="s">
        <v>4707</v>
      </c>
      <c r="C19571" t="s">
        <v>10</v>
      </c>
      <c r="D19571" t="s">
        <v>241</v>
      </c>
      <c r="E19571">
        <f>2/217</f>
        <v>9.2165898617511521E-3</v>
      </c>
      <c r="F19571">
        <v>19</v>
      </c>
      <c r="G19571">
        <f>LOG(382/(19+1))</f>
        <v>1.2810333672477277</v>
      </c>
      <c r="H19571">
        <f>0.00921658986175115*2.94968833505258</f>
        <v>2.7186067604171239E-2</v>
      </c>
      <c r="I19571">
        <v>2.718606760417128E-2</v>
      </c>
    </row>
    <row r="19572" spans="1:9" x14ac:dyDescent="0.25">
      <c r="A19572">
        <v>590</v>
      </c>
      <c r="B19572" t="s">
        <v>4707</v>
      </c>
      <c r="C19572" t="s">
        <v>10</v>
      </c>
      <c r="D19572" t="s">
        <v>86</v>
      </c>
      <c r="E19572">
        <f>1/217</f>
        <v>4.608294930875576E-3</v>
      </c>
      <c r="F19572">
        <v>8</v>
      </c>
      <c r="G19572">
        <f>LOG(382/(8+1))</f>
        <v>1.6278208534723839</v>
      </c>
      <c r="H19572">
        <f>0.00460829493087557*3.74819603127035</f>
        <v>1.7272792770831082E-2</v>
      </c>
      <c r="I19572">
        <v>1.727279277083113E-2</v>
      </c>
    </row>
    <row r="19573" spans="1:9" x14ac:dyDescent="0.25">
      <c r="A19573">
        <v>590</v>
      </c>
      <c r="B19573" t="s">
        <v>4707</v>
      </c>
      <c r="C19573" t="s">
        <v>10</v>
      </c>
      <c r="D19573" t="s">
        <v>54</v>
      </c>
      <c r="E19573">
        <f>1/217</f>
        <v>4.608294930875576E-3</v>
      </c>
      <c r="F19573">
        <v>25</v>
      </c>
      <c r="G19573">
        <f>LOG(382/(25+1))</f>
        <v>1.1670900149408907</v>
      </c>
      <c r="H19573">
        <f>0.00460829493087557*2.68732407058509</f>
        <v>1.2383981892097173E-2</v>
      </c>
      <c r="I19573">
        <v>1.23839818920972E-2</v>
      </c>
    </row>
    <row r="19574" spans="1:9" x14ac:dyDescent="0.25">
      <c r="A19574">
        <v>590</v>
      </c>
      <c r="B19574" t="s">
        <v>4707</v>
      </c>
      <c r="C19574" t="s">
        <v>10</v>
      </c>
      <c r="D19574" t="s">
        <v>1127</v>
      </c>
      <c r="E19574">
        <f>2/217</f>
        <v>9.2165898617511521E-3</v>
      </c>
      <c r="F19574">
        <v>18</v>
      </c>
      <c r="G19574">
        <f>LOG(382/(18+1))</f>
        <v>1.3033097619588798</v>
      </c>
      <c r="H19574">
        <f>0.00921658986175115*3.00098162944013</f>
        <v>2.7658816861199351E-2</v>
      </c>
      <c r="I19574">
        <v>2.7658816861199399E-2</v>
      </c>
    </row>
    <row r="19575" spans="1:9" x14ac:dyDescent="0.25">
      <c r="A19575">
        <v>590</v>
      </c>
      <c r="B19575" t="s">
        <v>4707</v>
      </c>
      <c r="C19575" t="s">
        <v>10</v>
      </c>
      <c r="D19575" t="s">
        <v>573</v>
      </c>
      <c r="E19575">
        <f>1/217</f>
        <v>4.608294930875576E-3</v>
      </c>
      <c r="F19575">
        <v>14</v>
      </c>
      <c r="G19575">
        <f>LOG(382/(14+1))</f>
        <v>1.4059721038560276</v>
      </c>
      <c r="H19575">
        <f>0.00460829493087557*3.23737040750436</f>
        <v>1.491875763826892E-2</v>
      </c>
      <c r="I19575">
        <v>1.491875763826896E-2</v>
      </c>
    </row>
    <row r="19576" spans="1:9" x14ac:dyDescent="0.25">
      <c r="A19576">
        <v>590</v>
      </c>
      <c r="B19576" t="s">
        <v>4707</v>
      </c>
      <c r="C19576" t="s">
        <v>10</v>
      </c>
      <c r="D19576" t="s">
        <v>131</v>
      </c>
      <c r="E19576">
        <f>3/217</f>
        <v>1.3824884792626729E-2</v>
      </c>
      <c r="F19576">
        <v>38</v>
      </c>
      <c r="G19576">
        <f>LOG(382/(38+1))</f>
        <v>0.99099875588520958</v>
      </c>
      <c r="H19576">
        <f>0.0138248847926267*2.28185896247692</f>
        <v>3.1546437269266113E-2</v>
      </c>
      <c r="I19576">
        <v>3.15464372692663E-2</v>
      </c>
    </row>
    <row r="19577" spans="1:9" x14ac:dyDescent="0.25">
      <c r="A19577">
        <v>590</v>
      </c>
      <c r="B19577" t="s">
        <v>4707</v>
      </c>
      <c r="C19577" t="s">
        <v>10</v>
      </c>
      <c r="D19577" t="s">
        <v>1967</v>
      </c>
      <c r="E19577">
        <f>6/217</f>
        <v>2.7649769585253458E-2</v>
      </c>
      <c r="F19577">
        <v>5</v>
      </c>
      <c r="G19577">
        <f>LOG(382/(5+1))</f>
        <v>1.803912112528065</v>
      </c>
      <c r="H19577">
        <f>0.0276497695852534*4.15366113937852</f>
        <v>0.11484777343903718</v>
      </c>
      <c r="I19577">
        <v>0.1148477734390374</v>
      </c>
    </row>
    <row r="19578" spans="1:9" x14ac:dyDescent="0.25">
      <c r="A19578">
        <v>590</v>
      </c>
      <c r="B19578" t="s">
        <v>4707</v>
      </c>
      <c r="C19578" t="s">
        <v>10</v>
      </c>
      <c r="D19578" t="s">
        <v>90</v>
      </c>
      <c r="E19578">
        <f>5/217</f>
        <v>2.3041474654377881E-2</v>
      </c>
      <c r="F19578">
        <v>13</v>
      </c>
      <c r="G19578">
        <f>LOG(382/(13+1))</f>
        <v>1.4359353272334707</v>
      </c>
      <c r="H19578">
        <f>0.0230414746543778*3.30636327899131</f>
        <v>7.6183485691043759E-2</v>
      </c>
      <c r="I19578">
        <v>7.6183485691044162E-2</v>
      </c>
    </row>
    <row r="19579" spans="1:9" x14ac:dyDescent="0.25">
      <c r="A19579">
        <v>590</v>
      </c>
      <c r="B19579" t="s">
        <v>4707</v>
      </c>
      <c r="C19579" t="s">
        <v>10</v>
      </c>
      <c r="D19579" t="s">
        <v>104</v>
      </c>
      <c r="E19579">
        <f>5/217</f>
        <v>2.3041474654377881E-2</v>
      </c>
      <c r="F19579">
        <v>49</v>
      </c>
      <c r="G19579">
        <f>LOG(382/(49+1))</f>
        <v>0.88309335857568994</v>
      </c>
      <c r="H19579">
        <f>0.0230414746543778*2.03339760317842</f>
        <v>4.6852479335908137E-2</v>
      </c>
      <c r="I19579">
        <v>4.6852479335908498E-2</v>
      </c>
    </row>
    <row r="19580" spans="1:9" x14ac:dyDescent="0.25">
      <c r="A19580">
        <v>590</v>
      </c>
      <c r="B19580" t="s">
        <v>4707</v>
      </c>
      <c r="C19580" t="s">
        <v>10</v>
      </c>
      <c r="D19580" t="s">
        <v>38</v>
      </c>
      <c r="E19580">
        <f>1/217</f>
        <v>4.608294930875576E-3</v>
      </c>
      <c r="F19580">
        <v>86</v>
      </c>
      <c r="G19580">
        <f>LOG(382/(86+1))</f>
        <v>0.64254411029309022</v>
      </c>
      <c r="H19580">
        <f>0.00460829493087557*1.47951248995199</f>
        <v>6.8180299076128483E-3</v>
      </c>
      <c r="I19580">
        <v>6.8180299076128631E-3</v>
      </c>
    </row>
    <row r="19581" spans="1:9" x14ac:dyDescent="0.25">
      <c r="A19581">
        <v>590</v>
      </c>
      <c r="B19581" t="s">
        <v>4707</v>
      </c>
      <c r="C19581" t="s">
        <v>10</v>
      </c>
      <c r="D19581" t="s">
        <v>196</v>
      </c>
      <c r="E19581">
        <f>3/217</f>
        <v>1.3824884792626729E-2</v>
      </c>
      <c r="F19581">
        <v>33</v>
      </c>
      <c r="G19581">
        <f>LOG(382/(33+1))</f>
        <v>1.0505844458694535</v>
      </c>
      <c r="H19581">
        <f>0.0138248847926267*2.41906008399041</f>
        <v>3.3443226967609291E-2</v>
      </c>
      <c r="I19581">
        <v>3.3443226967609409E-2</v>
      </c>
    </row>
    <row r="19582" spans="1:9" x14ac:dyDescent="0.25">
      <c r="A19582">
        <v>590</v>
      </c>
      <c r="B19582" t="s">
        <v>4707</v>
      </c>
      <c r="C19582" t="s">
        <v>10</v>
      </c>
      <c r="D19582" t="s">
        <v>476</v>
      </c>
      <c r="E19582">
        <f t="shared" ref="E19582:E19590" si="933">1/217</f>
        <v>4.608294930875576E-3</v>
      </c>
      <c r="F19582">
        <v>18</v>
      </c>
      <c r="G19582">
        <f>LOG(382/(18+1))</f>
        <v>1.3033097619588798</v>
      </c>
      <c r="H19582">
        <f>0.00460829493087557*3.00098162944013</f>
        <v>1.382940843059966E-2</v>
      </c>
      <c r="I19582">
        <v>1.38294084305997E-2</v>
      </c>
    </row>
    <row r="19583" spans="1:9" x14ac:dyDescent="0.25">
      <c r="A19583">
        <v>590</v>
      </c>
      <c r="B19583" t="s">
        <v>4707</v>
      </c>
      <c r="C19583" t="s">
        <v>10</v>
      </c>
      <c r="D19583" t="s">
        <v>42</v>
      </c>
      <c r="E19583">
        <f t="shared" si="933"/>
        <v>4.608294930875576E-3</v>
      </c>
      <c r="F19583">
        <v>251</v>
      </c>
      <c r="G19583">
        <f>LOG(382/(251+1))</f>
        <v>0.18066282213016463</v>
      </c>
      <c r="H19583">
        <f>0.00460829493087557*0.415991521095151</f>
        <v>1.9170116179500019E-3</v>
      </c>
      <c r="I19583">
        <v>1.917011617950009E-3</v>
      </c>
    </row>
    <row r="19584" spans="1:9" x14ac:dyDescent="0.25">
      <c r="A19584">
        <v>590</v>
      </c>
      <c r="B19584" t="s">
        <v>4707</v>
      </c>
      <c r="C19584" t="s">
        <v>10</v>
      </c>
      <c r="D19584" t="s">
        <v>15</v>
      </c>
      <c r="E19584">
        <f t="shared" si="933"/>
        <v>4.608294930875576E-3</v>
      </c>
      <c r="F19584">
        <v>112</v>
      </c>
      <c r="G19584">
        <f>LOG(382/(112+1))</f>
        <v>0.52898491942828896</v>
      </c>
      <c r="H19584">
        <f>0.00460829493087557*1.21803278989423</f>
        <v>5.6130543313098087E-3</v>
      </c>
      <c r="I19584">
        <v>5.6130543313098373E-3</v>
      </c>
    </row>
    <row r="19585" spans="1:9" x14ac:dyDescent="0.25">
      <c r="A19585">
        <v>590</v>
      </c>
      <c r="B19585" t="s">
        <v>4707</v>
      </c>
      <c r="C19585" t="s">
        <v>10</v>
      </c>
      <c r="D19585" t="s">
        <v>115</v>
      </c>
      <c r="E19585">
        <f t="shared" si="933"/>
        <v>4.608294930875576E-3</v>
      </c>
      <c r="F19585">
        <v>17</v>
      </c>
      <c r="G19585">
        <f>LOG(382/(17+1))</f>
        <v>1.3267908578084027</v>
      </c>
      <c r="H19585">
        <f>0.00460829493087557*3.05504885071041</f>
        <v>1.4078566132306018E-2</v>
      </c>
      <c r="I19585">
        <v>1.407856613230604E-2</v>
      </c>
    </row>
    <row r="19586" spans="1:9" x14ac:dyDescent="0.25">
      <c r="A19586">
        <v>590</v>
      </c>
      <c r="B19586" t="s">
        <v>4707</v>
      </c>
      <c r="C19586" t="s">
        <v>10</v>
      </c>
      <c r="D19586" t="s">
        <v>116</v>
      </c>
      <c r="E19586">
        <f t="shared" si="933"/>
        <v>4.608294930875576E-3</v>
      </c>
      <c r="F19586">
        <v>3</v>
      </c>
      <c r="G19586">
        <f>LOG(382/(3+1))</f>
        <v>1.9800033715837464</v>
      </c>
      <c r="H19586">
        <f>0.00460829493087557*4.55912624748668</f>
        <v>2.1009798375514626E-2</v>
      </c>
      <c r="I19586">
        <v>2.1009798375514671E-2</v>
      </c>
    </row>
    <row r="19587" spans="1:9" x14ac:dyDescent="0.25">
      <c r="A19587">
        <v>590</v>
      </c>
      <c r="B19587" t="s">
        <v>4707</v>
      </c>
      <c r="C19587" t="s">
        <v>10</v>
      </c>
      <c r="D19587" t="s">
        <v>4708</v>
      </c>
      <c r="E19587">
        <f t="shared" si="933"/>
        <v>4.608294930875576E-3</v>
      </c>
      <c r="F19587">
        <v>1</v>
      </c>
      <c r="G19587">
        <f>LOG(382/(1+1))</f>
        <v>2.2810333672477277</v>
      </c>
      <c r="H19587">
        <f>0.00460829493087557*5.25227342804663</f>
        <v>2.4204025014039739E-2</v>
      </c>
      <c r="I19587">
        <v>2.420402501403977E-2</v>
      </c>
    </row>
    <row r="19588" spans="1:9" x14ac:dyDescent="0.25">
      <c r="A19588">
        <v>590</v>
      </c>
      <c r="B19588" t="s">
        <v>4707</v>
      </c>
      <c r="C19588" t="s">
        <v>10</v>
      </c>
      <c r="D19588" t="s">
        <v>17</v>
      </c>
      <c r="E19588">
        <f t="shared" si="933"/>
        <v>4.608294930875576E-3</v>
      </c>
      <c r="F19588">
        <v>169</v>
      </c>
      <c r="G19588">
        <f>LOG(382/(169+1))</f>
        <v>0.3516144415334348</v>
      </c>
      <c r="H19588">
        <f>0.00460829493087557*0.809622171556313</f>
        <v>3.7309777491074283E-3</v>
      </c>
      <c r="I19588">
        <v>3.7309777491074348E-3</v>
      </c>
    </row>
    <row r="19589" spans="1:9" x14ac:dyDescent="0.25">
      <c r="A19589">
        <v>590</v>
      </c>
      <c r="B19589" t="s">
        <v>4707</v>
      </c>
      <c r="C19589" t="s">
        <v>10</v>
      </c>
      <c r="D19589" t="s">
        <v>920</v>
      </c>
      <c r="E19589">
        <f t="shared" si="933"/>
        <v>4.608294930875576E-3</v>
      </c>
      <c r="F19589">
        <v>30</v>
      </c>
      <c r="G19589">
        <f>LOG(382/(30+1))</f>
        <v>1.090701669077436</v>
      </c>
      <c r="H19589">
        <f>0.00460829493087557*2.51143340412142</f>
        <v>1.1573425825444317E-2</v>
      </c>
      <c r="I19589">
        <v>1.1573425825444369E-2</v>
      </c>
    </row>
    <row r="19590" spans="1:9" x14ac:dyDescent="0.25">
      <c r="A19590">
        <v>590</v>
      </c>
      <c r="B19590" t="s">
        <v>4707</v>
      </c>
      <c r="C19590" t="s">
        <v>10</v>
      </c>
      <c r="D19590" t="s">
        <v>105</v>
      </c>
      <c r="E19590">
        <f t="shared" si="933"/>
        <v>4.608294930875576E-3</v>
      </c>
      <c r="F19590">
        <v>122</v>
      </c>
      <c r="G19590">
        <f>LOG(382/(122+1))</f>
        <v>0.49215825147231079</v>
      </c>
      <c r="H19590">
        <f>0.00460829493087557*1.13323625323415</f>
        <v>5.222286881263357E-3</v>
      </c>
      <c r="I19590">
        <v>5.2222868812633987E-3</v>
      </c>
    </row>
    <row r="19591" spans="1:9" x14ac:dyDescent="0.25">
      <c r="A19591">
        <v>590</v>
      </c>
      <c r="B19591" t="s">
        <v>4707</v>
      </c>
      <c r="C19591" t="s">
        <v>10</v>
      </c>
      <c r="D19591" t="s">
        <v>811</v>
      </c>
      <c r="E19591">
        <f>5/217</f>
        <v>2.3041474654377881E-2</v>
      </c>
      <c r="F19591">
        <v>27</v>
      </c>
      <c r="G19591">
        <f>LOG(382/(27+1))</f>
        <v>1.1349053315694895</v>
      </c>
      <c r="H19591">
        <f>0.0230414746543778*2.61321609843137</f>
        <v>6.0212352498418463E-2</v>
      </c>
      <c r="I19591">
        <v>6.0212352498418692E-2</v>
      </c>
    </row>
    <row r="19592" spans="1:9" x14ac:dyDescent="0.25">
      <c r="A19592">
        <v>590</v>
      </c>
      <c r="B19592" t="s">
        <v>4707</v>
      </c>
      <c r="C19592" t="s">
        <v>10</v>
      </c>
      <c r="D19592" t="s">
        <v>469</v>
      </c>
      <c r="E19592">
        <f>1/217</f>
        <v>4.608294930875576E-3</v>
      </c>
      <c r="F19592">
        <v>13</v>
      </c>
      <c r="G19592">
        <f>LOG(382/(13+1))</f>
        <v>1.4359353272334707</v>
      </c>
      <c r="H19592">
        <f>0.00460829493087557*3.30636327899131</f>
        <v>1.5236697138208783E-2</v>
      </c>
      <c r="I19592">
        <v>1.523669713820883E-2</v>
      </c>
    </row>
    <row r="19593" spans="1:9" x14ac:dyDescent="0.25">
      <c r="A19593">
        <v>590</v>
      </c>
      <c r="B19593" t="s">
        <v>4707</v>
      </c>
      <c r="C19593" t="s">
        <v>10</v>
      </c>
      <c r="D19593" t="s">
        <v>112</v>
      </c>
      <c r="E19593">
        <f>2/217</f>
        <v>9.2165898617511521E-3</v>
      </c>
      <c r="F19593">
        <v>52</v>
      </c>
      <c r="G19593">
        <f>LOG(382/(52+1))</f>
        <v>0.85778749331091964</v>
      </c>
      <c r="H19593">
        <f>0.00921658986175115*1.97512869505445</f>
        <v>1.8203951106492623E-2</v>
      </c>
      <c r="I19593">
        <v>1.8203951106492661E-2</v>
      </c>
    </row>
    <row r="19594" spans="1:9" x14ac:dyDescent="0.25">
      <c r="A19594">
        <v>590</v>
      </c>
      <c r="B19594" t="s">
        <v>4707</v>
      </c>
      <c r="C19594" t="s">
        <v>10</v>
      </c>
      <c r="D19594" t="s">
        <v>91</v>
      </c>
      <c r="E19594">
        <f>2/217</f>
        <v>9.2165898617511521E-3</v>
      </c>
      <c r="F19594">
        <v>33</v>
      </c>
      <c r="G19594">
        <f>LOG(382/(33+1))</f>
        <v>1.0505844458694535</v>
      </c>
      <c r="H19594">
        <f>0.00921658986175115*2.41906008399041</f>
        <v>2.2295484645072902E-2</v>
      </c>
      <c r="I19594">
        <v>2.229548464507294E-2</v>
      </c>
    </row>
    <row r="19595" spans="1:9" x14ac:dyDescent="0.25">
      <c r="A19595">
        <v>590</v>
      </c>
      <c r="B19595" t="s">
        <v>4707</v>
      </c>
      <c r="C19595" t="s">
        <v>10</v>
      </c>
      <c r="D19595" t="s">
        <v>705</v>
      </c>
      <c r="E19595">
        <f>4/217</f>
        <v>1.8433179723502304E-2</v>
      </c>
      <c r="F19595">
        <v>8</v>
      </c>
      <c r="G19595">
        <f>LOG(382/(8+1))</f>
        <v>1.6278208534723839</v>
      </c>
      <c r="H19595">
        <f>0.0184331797235023*3.74819603127035</f>
        <v>6.909117108332441E-2</v>
      </c>
      <c r="I19595">
        <v>6.9091171083324535E-2</v>
      </c>
    </row>
    <row r="19596" spans="1:9" x14ac:dyDescent="0.25">
      <c r="A19596">
        <v>590</v>
      </c>
      <c r="B19596" t="s">
        <v>4707</v>
      </c>
      <c r="C19596" t="s">
        <v>10</v>
      </c>
      <c r="D19596" t="s">
        <v>4709</v>
      </c>
      <c r="E19596">
        <f>1/217</f>
        <v>4.608294930875576E-3</v>
      </c>
      <c r="F19596">
        <v>1</v>
      </c>
      <c r="G19596">
        <f>LOG(382/(1+1))</f>
        <v>2.2810333672477277</v>
      </c>
      <c r="H19596">
        <f>0.00460829493087557*5.25227342804663</f>
        <v>2.4204025014039739E-2</v>
      </c>
      <c r="I19596">
        <v>2.420402501403977E-2</v>
      </c>
    </row>
    <row r="19597" spans="1:9" x14ac:dyDescent="0.25">
      <c r="A19597">
        <v>590</v>
      </c>
      <c r="B19597" t="s">
        <v>4707</v>
      </c>
      <c r="C19597" t="s">
        <v>10</v>
      </c>
      <c r="D19597" t="s">
        <v>237</v>
      </c>
      <c r="E19597">
        <f>2/217</f>
        <v>9.2165898617511521E-3</v>
      </c>
      <c r="F19597">
        <v>138</v>
      </c>
      <c r="G19597">
        <f>LOG(382/(138+1))</f>
        <v>0.43904856265761361</v>
      </c>
      <c r="H19597">
        <f>0.00921658986175115*1.01094667547588</f>
        <v>9.3174808799620264E-3</v>
      </c>
      <c r="I19597">
        <v>9.3174808799620593E-3</v>
      </c>
    </row>
    <row r="19598" spans="1:9" x14ac:dyDescent="0.25">
      <c r="A19598">
        <v>590</v>
      </c>
      <c r="B19598" t="s">
        <v>4707</v>
      </c>
      <c r="C19598" t="s">
        <v>10</v>
      </c>
      <c r="D19598" t="s">
        <v>120</v>
      </c>
      <c r="E19598">
        <f>2/217</f>
        <v>9.2165898617511521E-3</v>
      </c>
      <c r="F19598">
        <v>8</v>
      </c>
      <c r="G19598">
        <f>LOG(382/(8+1))</f>
        <v>1.6278208534723839</v>
      </c>
      <c r="H19598">
        <f>0.00921658986175115*3.74819603127035</f>
        <v>3.4545585541662205E-2</v>
      </c>
      <c r="I19598">
        <v>3.4545585541662267E-2</v>
      </c>
    </row>
    <row r="19599" spans="1:9" x14ac:dyDescent="0.25">
      <c r="A19599">
        <v>590</v>
      </c>
      <c r="B19599" t="s">
        <v>4707</v>
      </c>
      <c r="C19599" t="s">
        <v>10</v>
      </c>
      <c r="D19599" t="s">
        <v>218</v>
      </c>
      <c r="E19599">
        <f>2/217</f>
        <v>9.2165898617511521E-3</v>
      </c>
      <c r="F19599">
        <v>35</v>
      </c>
      <c r="G19599">
        <f>LOG(382/(35+1))</f>
        <v>1.0257608621444214</v>
      </c>
      <c r="H19599">
        <f>0.00921658986175115*2.36190167015046</f>
        <v>2.1768678987561841E-2</v>
      </c>
      <c r="I19599">
        <v>2.176867898756189E-2</v>
      </c>
    </row>
    <row r="19600" spans="1:9" x14ac:dyDescent="0.25">
      <c r="A19600">
        <v>590</v>
      </c>
      <c r="B19600" t="s">
        <v>4707</v>
      </c>
      <c r="C19600" t="s">
        <v>10</v>
      </c>
      <c r="D19600" t="s">
        <v>4710</v>
      </c>
      <c r="E19600">
        <f>1/217</f>
        <v>4.608294930875576E-3</v>
      </c>
      <c r="F19600">
        <v>1</v>
      </c>
      <c r="G19600">
        <f>LOG(382/(1+1))</f>
        <v>2.2810333672477277</v>
      </c>
      <c r="H19600">
        <f>0.00460829493087557*5.25227342804663</f>
        <v>2.4204025014039739E-2</v>
      </c>
      <c r="I19600">
        <v>2.420402501403977E-2</v>
      </c>
    </row>
    <row r="19601" spans="1:9" x14ac:dyDescent="0.25">
      <c r="A19601">
        <v>590</v>
      </c>
      <c r="B19601" t="s">
        <v>4707</v>
      </c>
      <c r="C19601" t="s">
        <v>10</v>
      </c>
      <c r="D19601" t="s">
        <v>230</v>
      </c>
      <c r="E19601">
        <f>1/217</f>
        <v>4.608294930875576E-3</v>
      </c>
      <c r="F19601">
        <v>9</v>
      </c>
      <c r="G19601">
        <f>LOG(382/(9+1))</f>
        <v>1.5820633629117087</v>
      </c>
      <c r="H19601">
        <f>0.00460829493087557*3.64283551561252</f>
        <v>1.6787260440610668E-2</v>
      </c>
      <c r="I19601">
        <v>1.678726044061073E-2</v>
      </c>
    </row>
    <row r="19602" spans="1:9" x14ac:dyDescent="0.25">
      <c r="A19602">
        <v>590</v>
      </c>
      <c r="B19602" t="s">
        <v>4707</v>
      </c>
      <c r="C19602" t="s">
        <v>10</v>
      </c>
      <c r="D19602" t="s">
        <v>4711</v>
      </c>
      <c r="E19602">
        <f>1/217</f>
        <v>4.608294930875576E-3</v>
      </c>
      <c r="F19602">
        <v>2</v>
      </c>
      <c r="G19602">
        <f>LOG(382/(2+1))</f>
        <v>2.1049421081920463</v>
      </c>
      <c r="H19602">
        <f>0.00460829493087557*4.84680831993846</f>
        <v>2.2335522211697944E-2</v>
      </c>
      <c r="I19602">
        <v>2.2335522211697999E-2</v>
      </c>
    </row>
    <row r="19603" spans="1:9" x14ac:dyDescent="0.25">
      <c r="A19603">
        <v>590</v>
      </c>
      <c r="B19603" t="s">
        <v>4707</v>
      </c>
      <c r="C19603" t="s">
        <v>10</v>
      </c>
      <c r="D19603" t="s">
        <v>746</v>
      </c>
      <c r="E19603">
        <f>1/217</f>
        <v>4.608294930875576E-3</v>
      </c>
      <c r="F19603">
        <v>58</v>
      </c>
      <c r="G19603">
        <f>LOG(382/(58+1))</f>
        <v>0.81121135126956456</v>
      </c>
      <c r="H19603">
        <f>0.00460829493087557*1.86788316470085</f>
        <v>8.6077565193587446E-3</v>
      </c>
      <c r="I19603">
        <v>8.6077565193587811E-3</v>
      </c>
    </row>
    <row r="19604" spans="1:9" x14ac:dyDescent="0.25">
      <c r="A19604">
        <v>590</v>
      </c>
      <c r="B19604" t="s">
        <v>4707</v>
      </c>
      <c r="C19604" t="s">
        <v>10</v>
      </c>
      <c r="D19604" t="s">
        <v>1650</v>
      </c>
      <c r="E19604">
        <f>1/217</f>
        <v>4.608294930875576E-3</v>
      </c>
      <c r="F19604">
        <v>2</v>
      </c>
      <c r="G19604">
        <f>LOG(382/(2+1))</f>
        <v>2.1049421081920463</v>
      </c>
      <c r="H19604">
        <f>0.00460829493087557*4.84680831993846</f>
        <v>2.2335522211697944E-2</v>
      </c>
      <c r="I19604">
        <v>2.2335522211697999E-2</v>
      </c>
    </row>
    <row r="19605" spans="1:9" x14ac:dyDescent="0.25">
      <c r="A19605">
        <v>590</v>
      </c>
      <c r="B19605" t="s">
        <v>4707</v>
      </c>
      <c r="C19605" t="s">
        <v>10</v>
      </c>
      <c r="D19605" t="s">
        <v>151</v>
      </c>
      <c r="E19605">
        <f>2/217</f>
        <v>9.2165898617511521E-3</v>
      </c>
      <c r="F19605">
        <v>14</v>
      </c>
      <c r="G19605">
        <f>LOG(382/(14+1))</f>
        <v>1.4059721038560276</v>
      </c>
      <c r="H19605">
        <f>0.00921658986175115*3.23737040750436</f>
        <v>2.9837515276537874E-2</v>
      </c>
      <c r="I19605">
        <v>2.983751527653793E-2</v>
      </c>
    </row>
    <row r="19606" spans="1:9" x14ac:dyDescent="0.25">
      <c r="A19606">
        <v>590</v>
      </c>
      <c r="B19606" t="s">
        <v>4707</v>
      </c>
      <c r="C19606" t="s">
        <v>10</v>
      </c>
      <c r="D19606" t="s">
        <v>680</v>
      </c>
      <c r="E19606">
        <f>2/217</f>
        <v>9.2165898617511521E-3</v>
      </c>
      <c r="F19606">
        <v>25</v>
      </c>
      <c r="G19606">
        <f>LOG(382/(25+1))</f>
        <v>1.1670900149408907</v>
      </c>
      <c r="H19606">
        <f>0.00921658986175115*2.68732407058509</f>
        <v>2.4767963784194373E-2</v>
      </c>
      <c r="I19606">
        <v>2.4767963784194411E-2</v>
      </c>
    </row>
    <row r="19607" spans="1:9" x14ac:dyDescent="0.25">
      <c r="A19607">
        <v>590</v>
      </c>
      <c r="B19607" t="s">
        <v>4707</v>
      </c>
      <c r="C19607" t="s">
        <v>10</v>
      </c>
      <c r="D19607" t="s">
        <v>812</v>
      </c>
      <c r="E19607">
        <f t="shared" ref="E19607:E19614" si="934">1/217</f>
        <v>4.608294930875576E-3</v>
      </c>
      <c r="F19607">
        <v>11</v>
      </c>
      <c r="G19607">
        <f>LOG(382/(11+1))</f>
        <v>1.5028821168640838</v>
      </c>
      <c r="H19607">
        <f>0.00460829493087557*3.46051395881857</f>
        <v>1.5947068934647767E-2</v>
      </c>
      <c r="I19607">
        <v>1.5947068934647809E-2</v>
      </c>
    </row>
    <row r="19608" spans="1:9" x14ac:dyDescent="0.25">
      <c r="A19608">
        <v>590</v>
      </c>
      <c r="B19608" t="s">
        <v>4707</v>
      </c>
      <c r="C19608" t="s">
        <v>10</v>
      </c>
      <c r="D19608" t="s">
        <v>1624</v>
      </c>
      <c r="E19608">
        <f t="shared" si="934"/>
        <v>4.608294930875576E-3</v>
      </c>
      <c r="F19608">
        <v>4</v>
      </c>
      <c r="G19608">
        <f>LOG(382/(4+1))</f>
        <v>1.8830933585756899</v>
      </c>
      <c r="H19608">
        <f>0.00460829493087557*4.33598269617247</f>
        <v>1.998148707913578E-2</v>
      </c>
      <c r="I19608">
        <v>1.9981487079135829E-2</v>
      </c>
    </row>
    <row r="19609" spans="1:9" x14ac:dyDescent="0.25">
      <c r="A19609">
        <v>590</v>
      </c>
      <c r="B19609" t="s">
        <v>4707</v>
      </c>
      <c r="C19609" t="s">
        <v>10</v>
      </c>
      <c r="D19609" t="s">
        <v>4712</v>
      </c>
      <c r="E19609">
        <f t="shared" si="934"/>
        <v>4.608294930875576E-3</v>
      </c>
      <c r="F19609">
        <v>1</v>
      </c>
      <c r="G19609">
        <f>LOG(382/(1+1))</f>
        <v>2.2810333672477277</v>
      </c>
      <c r="H19609">
        <f>0.00460829493087557*5.25227342804663</f>
        <v>2.4204025014039739E-2</v>
      </c>
      <c r="I19609">
        <v>2.420402501403977E-2</v>
      </c>
    </row>
    <row r="19610" spans="1:9" x14ac:dyDescent="0.25">
      <c r="A19610">
        <v>590</v>
      </c>
      <c r="B19610" t="s">
        <v>4707</v>
      </c>
      <c r="C19610" t="s">
        <v>10</v>
      </c>
      <c r="D19610" t="s">
        <v>4713</v>
      </c>
      <c r="E19610">
        <f t="shared" si="934"/>
        <v>4.608294930875576E-3</v>
      </c>
      <c r="F19610">
        <v>1</v>
      </c>
      <c r="G19610">
        <f>LOG(382/(1+1))</f>
        <v>2.2810333672477277</v>
      </c>
      <c r="H19610">
        <f>0.00460829493087557*5.25227342804663</f>
        <v>2.4204025014039739E-2</v>
      </c>
      <c r="I19610">
        <v>2.420402501403977E-2</v>
      </c>
    </row>
    <row r="19611" spans="1:9" x14ac:dyDescent="0.25">
      <c r="A19611">
        <v>590</v>
      </c>
      <c r="B19611" t="s">
        <v>4707</v>
      </c>
      <c r="C19611" t="s">
        <v>10</v>
      </c>
      <c r="D19611" t="s">
        <v>2667</v>
      </c>
      <c r="E19611">
        <f t="shared" si="934"/>
        <v>4.608294930875576E-3</v>
      </c>
      <c r="F19611">
        <v>3</v>
      </c>
      <c r="G19611">
        <f>LOG(382/(3+1))</f>
        <v>1.9800033715837464</v>
      </c>
      <c r="H19611">
        <f>0.00460829493087557*4.55912624748668</f>
        <v>2.1009798375514626E-2</v>
      </c>
      <c r="I19611">
        <v>2.1009798375514671E-2</v>
      </c>
    </row>
    <row r="19612" spans="1:9" x14ac:dyDescent="0.25">
      <c r="A19612">
        <v>590</v>
      </c>
      <c r="B19612" t="s">
        <v>4707</v>
      </c>
      <c r="C19612" t="s">
        <v>10</v>
      </c>
      <c r="D19612" t="s">
        <v>962</v>
      </c>
      <c r="E19612">
        <f t="shared" si="934"/>
        <v>4.608294930875576E-3</v>
      </c>
      <c r="F19612">
        <v>8</v>
      </c>
      <c r="G19612">
        <f>LOG(382/(8+1))</f>
        <v>1.6278208534723839</v>
      </c>
      <c r="H19612">
        <f>0.00460829493087557*3.74819603127035</f>
        <v>1.7272792770831082E-2</v>
      </c>
      <c r="I19612">
        <v>1.727279277083113E-2</v>
      </c>
    </row>
    <row r="19613" spans="1:9" x14ac:dyDescent="0.25">
      <c r="A19613">
        <v>590</v>
      </c>
      <c r="B19613" t="s">
        <v>4707</v>
      </c>
      <c r="C19613" t="s">
        <v>10</v>
      </c>
      <c r="D19613" t="s">
        <v>4714</v>
      </c>
      <c r="E19613">
        <f t="shared" si="934"/>
        <v>4.608294930875576E-3</v>
      </c>
      <c r="F19613">
        <v>1</v>
      </c>
      <c r="G19613">
        <f>LOG(382/(1+1))</f>
        <v>2.2810333672477277</v>
      </c>
      <c r="H19613">
        <f>0.00460829493087557*5.25227342804663</f>
        <v>2.4204025014039739E-2</v>
      </c>
      <c r="I19613">
        <v>2.420402501403977E-2</v>
      </c>
    </row>
    <row r="19614" spans="1:9" x14ac:dyDescent="0.25">
      <c r="A19614">
        <v>590</v>
      </c>
      <c r="B19614" t="s">
        <v>4707</v>
      </c>
      <c r="C19614" t="s">
        <v>10</v>
      </c>
      <c r="D19614" t="s">
        <v>4715</v>
      </c>
      <c r="E19614">
        <f t="shared" si="934"/>
        <v>4.608294930875576E-3</v>
      </c>
      <c r="F19614">
        <v>1</v>
      </c>
      <c r="G19614">
        <f>LOG(382/(1+1))</f>
        <v>2.2810333672477277</v>
      </c>
      <c r="H19614">
        <f>0.00460829493087557*5.25227342804663</f>
        <v>2.4204025014039739E-2</v>
      </c>
      <c r="I19614">
        <v>2.420402501403977E-2</v>
      </c>
    </row>
    <row r="19615" spans="1:9" x14ac:dyDescent="0.25">
      <c r="A19615">
        <v>590</v>
      </c>
      <c r="B19615" t="s">
        <v>4707</v>
      </c>
      <c r="C19615" t="s">
        <v>10</v>
      </c>
      <c r="D19615" t="s">
        <v>545</v>
      </c>
      <c r="E19615">
        <f>5/217</f>
        <v>2.3041474654377881E-2</v>
      </c>
      <c r="F19615">
        <v>6</v>
      </c>
      <c r="G19615">
        <f>LOG(382/(6+1))</f>
        <v>1.736965322897452</v>
      </c>
      <c r="H19615">
        <f>0.0230414746543778*3.99951045955126</f>
        <v>9.215461888366927E-2</v>
      </c>
      <c r="I19615">
        <v>9.2154618883669631E-2</v>
      </c>
    </row>
    <row r="19616" spans="1:9" x14ac:dyDescent="0.25">
      <c r="A19616">
        <v>590</v>
      </c>
      <c r="B19616" t="s">
        <v>4707</v>
      </c>
      <c r="C19616" t="s">
        <v>10</v>
      </c>
      <c r="D19616" t="s">
        <v>4716</v>
      </c>
      <c r="E19616">
        <f>2/217</f>
        <v>9.2165898617511521E-3</v>
      </c>
      <c r="F19616">
        <v>1</v>
      </c>
      <c r="G19616">
        <f>LOG(382/(1+1))</f>
        <v>2.2810333672477277</v>
      </c>
      <c r="H19616">
        <f>0.00921658986175115*5.25227342804663</f>
        <v>4.8408050028079526E-2</v>
      </c>
      <c r="I19616">
        <v>4.840805002807954E-2</v>
      </c>
    </row>
    <row r="19617" spans="1:9" x14ac:dyDescent="0.25">
      <c r="A19617">
        <v>590</v>
      </c>
      <c r="B19617" t="s">
        <v>4707</v>
      </c>
      <c r="C19617" t="s">
        <v>10</v>
      </c>
      <c r="D19617" t="s">
        <v>2136</v>
      </c>
      <c r="E19617">
        <f t="shared" ref="E19617:E19624" si="935">1/217</f>
        <v>4.608294930875576E-3</v>
      </c>
      <c r="F19617">
        <v>3</v>
      </c>
      <c r="G19617">
        <f>LOG(382/(3+1))</f>
        <v>1.9800033715837464</v>
      </c>
      <c r="H19617">
        <f>0.00460829493087557*4.55912624748668</f>
        <v>2.1009798375514626E-2</v>
      </c>
      <c r="I19617">
        <v>2.1009798375514671E-2</v>
      </c>
    </row>
    <row r="19618" spans="1:9" x14ac:dyDescent="0.25">
      <c r="A19618">
        <v>590</v>
      </c>
      <c r="B19618" t="s">
        <v>4707</v>
      </c>
      <c r="C19618" t="s">
        <v>10</v>
      </c>
      <c r="D19618" t="s">
        <v>4717</v>
      </c>
      <c r="E19618">
        <f t="shared" si="935"/>
        <v>4.608294930875576E-3</v>
      </c>
      <c r="F19618">
        <v>1</v>
      </c>
      <c r="G19618">
        <f>LOG(382/(1+1))</f>
        <v>2.2810333672477277</v>
      </c>
      <c r="H19618">
        <f>0.00460829493087557*5.25227342804663</f>
        <v>2.4204025014039739E-2</v>
      </c>
      <c r="I19618">
        <v>2.420402501403977E-2</v>
      </c>
    </row>
    <row r="19619" spans="1:9" x14ac:dyDescent="0.25">
      <c r="A19619">
        <v>590</v>
      </c>
      <c r="B19619" t="s">
        <v>4707</v>
      </c>
      <c r="C19619" t="s">
        <v>10</v>
      </c>
      <c r="D19619" t="s">
        <v>4718</v>
      </c>
      <c r="E19619">
        <f t="shared" si="935"/>
        <v>4.608294930875576E-3</v>
      </c>
      <c r="F19619">
        <v>1</v>
      </c>
      <c r="G19619">
        <f>LOG(382/(1+1))</f>
        <v>2.2810333672477277</v>
      </c>
      <c r="H19619">
        <f>0.00460829493087557*5.25227342804663</f>
        <v>2.4204025014039739E-2</v>
      </c>
      <c r="I19619">
        <v>2.420402501403977E-2</v>
      </c>
    </row>
    <row r="19620" spans="1:9" x14ac:dyDescent="0.25">
      <c r="A19620">
        <v>590</v>
      </c>
      <c r="B19620" t="s">
        <v>4707</v>
      </c>
      <c r="C19620" t="s">
        <v>10</v>
      </c>
      <c r="D19620" t="s">
        <v>4719</v>
      </c>
      <c r="E19620">
        <f t="shared" si="935"/>
        <v>4.608294930875576E-3</v>
      </c>
      <c r="F19620">
        <v>1</v>
      </c>
      <c r="G19620">
        <f>LOG(382/(1+1))</f>
        <v>2.2810333672477277</v>
      </c>
      <c r="H19620">
        <f>0.00460829493087557*5.25227342804663</f>
        <v>2.4204025014039739E-2</v>
      </c>
      <c r="I19620">
        <v>2.420402501403977E-2</v>
      </c>
    </row>
    <row r="19621" spans="1:9" x14ac:dyDescent="0.25">
      <c r="A19621">
        <v>590</v>
      </c>
      <c r="B19621" t="s">
        <v>4707</v>
      </c>
      <c r="C19621" t="s">
        <v>10</v>
      </c>
      <c r="D19621" t="s">
        <v>4720</v>
      </c>
      <c r="E19621">
        <f t="shared" si="935"/>
        <v>4.608294930875576E-3</v>
      </c>
      <c r="F19621">
        <v>1</v>
      </c>
      <c r="G19621">
        <f>LOG(382/(1+1))</f>
        <v>2.2810333672477277</v>
      </c>
      <c r="H19621">
        <f>0.00460829493087557*5.25227342804663</f>
        <v>2.4204025014039739E-2</v>
      </c>
      <c r="I19621">
        <v>2.420402501403977E-2</v>
      </c>
    </row>
    <row r="19622" spans="1:9" x14ac:dyDescent="0.25">
      <c r="A19622">
        <v>590</v>
      </c>
      <c r="B19622" t="s">
        <v>4707</v>
      </c>
      <c r="C19622" t="s">
        <v>10</v>
      </c>
      <c r="D19622" t="s">
        <v>59</v>
      </c>
      <c r="E19622">
        <f t="shared" si="935"/>
        <v>4.608294930875576E-3</v>
      </c>
      <c r="F19622">
        <v>13</v>
      </c>
      <c r="G19622">
        <f>LOG(382/(13+1))</f>
        <v>1.4359353272334707</v>
      </c>
      <c r="H19622">
        <f>0.00460829493087557*3.30636327899131</f>
        <v>1.5236697138208783E-2</v>
      </c>
      <c r="I19622">
        <v>1.523669713820883E-2</v>
      </c>
    </row>
    <row r="19623" spans="1:9" x14ac:dyDescent="0.25">
      <c r="A19623">
        <v>590</v>
      </c>
      <c r="B19623" t="s">
        <v>4707</v>
      </c>
      <c r="C19623" t="s">
        <v>10</v>
      </c>
      <c r="D19623" t="s">
        <v>1130</v>
      </c>
      <c r="E19623">
        <f t="shared" si="935"/>
        <v>4.608294930875576E-3</v>
      </c>
      <c r="F19623">
        <v>12</v>
      </c>
      <c r="G19623">
        <f>LOG(382/(12+1))</f>
        <v>1.468120010604872</v>
      </c>
      <c r="H19623">
        <f>0.00460829493087557*3.38047125114503</f>
        <v>1.5578208530622238E-2</v>
      </c>
      <c r="I19623">
        <v>1.5578208530622299E-2</v>
      </c>
    </row>
    <row r="19624" spans="1:9" x14ac:dyDescent="0.25">
      <c r="A19624">
        <v>590</v>
      </c>
      <c r="B19624" t="s">
        <v>4707</v>
      </c>
      <c r="C19624" t="s">
        <v>10</v>
      </c>
      <c r="D19624" t="s">
        <v>1153</v>
      </c>
      <c r="E19624">
        <f t="shared" si="935"/>
        <v>4.608294930875576E-3</v>
      </c>
      <c r="F19624">
        <v>4</v>
      </c>
      <c r="G19624">
        <f>LOG(382/(4+1))</f>
        <v>1.8830933585756899</v>
      </c>
      <c r="H19624">
        <f>0.00460829493087557*4.33598269617247</f>
        <v>1.998148707913578E-2</v>
      </c>
      <c r="I19624">
        <v>1.9981487079135829E-2</v>
      </c>
    </row>
    <row r="19625" spans="1:9" x14ac:dyDescent="0.25">
      <c r="A19625">
        <v>590</v>
      </c>
      <c r="B19625" t="s">
        <v>4707</v>
      </c>
      <c r="C19625" t="s">
        <v>10</v>
      </c>
      <c r="D19625" t="s">
        <v>552</v>
      </c>
      <c r="E19625">
        <f>2/217</f>
        <v>9.2165898617511521E-3</v>
      </c>
      <c r="F19625">
        <v>14</v>
      </c>
      <c r="G19625">
        <f>LOG(382/(14+1))</f>
        <v>1.4059721038560276</v>
      </c>
      <c r="H19625">
        <f>0.00921658986175115*3.23737040750436</f>
        <v>2.9837515276537874E-2</v>
      </c>
      <c r="I19625">
        <v>2.983751527653793E-2</v>
      </c>
    </row>
    <row r="19626" spans="1:9" x14ac:dyDescent="0.25">
      <c r="A19626">
        <v>590</v>
      </c>
      <c r="B19626" t="s">
        <v>4707</v>
      </c>
      <c r="C19626" t="s">
        <v>10</v>
      </c>
      <c r="D19626" t="s">
        <v>1125</v>
      </c>
      <c r="E19626">
        <f>1/217</f>
        <v>4.608294930875576E-3</v>
      </c>
      <c r="F19626">
        <v>19</v>
      </c>
      <c r="G19626">
        <f>LOG(382/(19+1))</f>
        <v>1.2810333672477277</v>
      </c>
      <c r="H19626">
        <f>0.00460829493087557*2.94968833505258</f>
        <v>1.3593033802085604E-2</v>
      </c>
      <c r="I19626">
        <v>1.359303380208564E-2</v>
      </c>
    </row>
    <row r="19627" spans="1:9" x14ac:dyDescent="0.25">
      <c r="A19627">
        <v>590</v>
      </c>
      <c r="B19627" t="s">
        <v>4707</v>
      </c>
      <c r="C19627" t="s">
        <v>10</v>
      </c>
      <c r="D19627" t="s">
        <v>233</v>
      </c>
      <c r="E19627">
        <f>6/217</f>
        <v>2.7649769585253458E-2</v>
      </c>
      <c r="F19627">
        <v>14</v>
      </c>
      <c r="G19627">
        <f>LOG(382/(14+1))</f>
        <v>1.4059721038560276</v>
      </c>
      <c r="H19627">
        <f>0.0276497695852534*3.23737040750436</f>
        <v>8.9512545829613446E-2</v>
      </c>
      <c r="I19627">
        <v>8.9512545829613793E-2</v>
      </c>
    </row>
    <row r="19628" spans="1:9" x14ac:dyDescent="0.25">
      <c r="A19628">
        <v>590</v>
      </c>
      <c r="B19628" t="s">
        <v>4707</v>
      </c>
      <c r="C19628" t="s">
        <v>10</v>
      </c>
      <c r="D19628" t="s">
        <v>527</v>
      </c>
      <c r="E19628">
        <f>2/217</f>
        <v>9.2165898617511521E-3</v>
      </c>
      <c r="F19628">
        <v>4</v>
      </c>
      <c r="G19628">
        <f>LOG(382/(4+1))</f>
        <v>1.8830933585756899</v>
      </c>
      <c r="H19628">
        <f>0.00921658986175115*4.33598269617247</f>
        <v>3.9962974158271609E-2</v>
      </c>
      <c r="I19628">
        <v>3.9962974158271658E-2</v>
      </c>
    </row>
    <row r="19629" spans="1:9" x14ac:dyDescent="0.25">
      <c r="A19629">
        <v>590</v>
      </c>
      <c r="B19629" t="s">
        <v>4707</v>
      </c>
      <c r="C19629" t="s">
        <v>10</v>
      </c>
      <c r="D19629" t="s">
        <v>3210</v>
      </c>
      <c r="E19629">
        <f>3/217</f>
        <v>1.3824884792626729E-2</v>
      </c>
      <c r="F19629">
        <v>3</v>
      </c>
      <c r="G19629">
        <f>LOG(382/(3+1))</f>
        <v>1.9800033715837464</v>
      </c>
      <c r="H19629">
        <f>0.0138248847926267*4.55912624748668</f>
        <v>6.3029395126543833E-2</v>
      </c>
      <c r="I19629">
        <v>6.3029395126544027E-2</v>
      </c>
    </row>
    <row r="19630" spans="1:9" x14ac:dyDescent="0.25">
      <c r="A19630">
        <v>590</v>
      </c>
      <c r="B19630" t="s">
        <v>4707</v>
      </c>
      <c r="C19630" t="s">
        <v>10</v>
      </c>
      <c r="D19630" t="s">
        <v>533</v>
      </c>
      <c r="E19630">
        <f t="shared" ref="E19630:E19636" si="936">1/217</f>
        <v>4.608294930875576E-3</v>
      </c>
      <c r="F19630">
        <v>8</v>
      </c>
      <c r="G19630">
        <f>LOG(382/(8+1))</f>
        <v>1.6278208534723839</v>
      </c>
      <c r="H19630">
        <f>0.00460829493087557*3.74819603127035</f>
        <v>1.7272792770831082E-2</v>
      </c>
      <c r="I19630">
        <v>1.727279277083113E-2</v>
      </c>
    </row>
    <row r="19631" spans="1:9" x14ac:dyDescent="0.25">
      <c r="A19631">
        <v>590</v>
      </c>
      <c r="B19631" t="s">
        <v>4707</v>
      </c>
      <c r="C19631" t="s">
        <v>10</v>
      </c>
      <c r="D19631" t="s">
        <v>19</v>
      </c>
      <c r="E19631">
        <f t="shared" si="936"/>
        <v>4.608294930875576E-3</v>
      </c>
      <c r="F19631">
        <v>220</v>
      </c>
      <c r="G19631">
        <f>LOG(382/(220+1))</f>
        <v>0.23767108922659805</v>
      </c>
      <c r="H19631">
        <f>0.00460829493087557*0.547257907088822</f>
        <v>2.5219258391189921E-3</v>
      </c>
      <c r="I19631">
        <v>2.5219258391189969E-3</v>
      </c>
    </row>
    <row r="19632" spans="1:9" x14ac:dyDescent="0.25">
      <c r="A19632">
        <v>590</v>
      </c>
      <c r="B19632" t="s">
        <v>4707</v>
      </c>
      <c r="C19632" t="s">
        <v>10</v>
      </c>
      <c r="D19632" t="s">
        <v>471</v>
      </c>
      <c r="E19632">
        <f t="shared" si="936"/>
        <v>4.608294930875576E-3</v>
      </c>
      <c r="F19632">
        <v>7</v>
      </c>
      <c r="G19632">
        <f>LOG(382/(7+1))</f>
        <v>1.6789733759197651</v>
      </c>
      <c r="H19632">
        <f>0.00460829493087557*3.86597906692673</f>
        <v>1.7815571736989517E-2</v>
      </c>
      <c r="I19632">
        <v>1.7815571736989579E-2</v>
      </c>
    </row>
    <row r="19633" spans="1:9" x14ac:dyDescent="0.25">
      <c r="A19633">
        <v>590</v>
      </c>
      <c r="B19633" t="s">
        <v>4707</v>
      </c>
      <c r="C19633" t="s">
        <v>10</v>
      </c>
      <c r="D19633" t="s">
        <v>4721</v>
      </c>
      <c r="E19633">
        <f t="shared" si="936"/>
        <v>4.608294930875576E-3</v>
      </c>
      <c r="F19633">
        <v>1</v>
      </c>
      <c r="G19633">
        <f>LOG(382/(1+1))</f>
        <v>2.2810333672477277</v>
      </c>
      <c r="H19633">
        <f>0.00460829493087557*5.25227342804663</f>
        <v>2.4204025014039739E-2</v>
      </c>
      <c r="I19633">
        <v>2.420402501403977E-2</v>
      </c>
    </row>
    <row r="19634" spans="1:9" x14ac:dyDescent="0.25">
      <c r="A19634">
        <v>590</v>
      </c>
      <c r="B19634" t="s">
        <v>4707</v>
      </c>
      <c r="C19634" t="s">
        <v>10</v>
      </c>
      <c r="D19634" t="s">
        <v>3934</v>
      </c>
      <c r="E19634">
        <f t="shared" si="936"/>
        <v>4.608294930875576E-3</v>
      </c>
      <c r="F19634">
        <v>3</v>
      </c>
      <c r="G19634">
        <f>LOG(382/(3+1))</f>
        <v>1.9800033715837464</v>
      </c>
      <c r="H19634">
        <f>0.00460829493087557*4.55912624748668</f>
        <v>2.1009798375514626E-2</v>
      </c>
      <c r="I19634">
        <v>2.1009798375514671E-2</v>
      </c>
    </row>
    <row r="19635" spans="1:9" x14ac:dyDescent="0.25">
      <c r="A19635">
        <v>590</v>
      </c>
      <c r="B19635" t="s">
        <v>4707</v>
      </c>
      <c r="C19635" t="s">
        <v>10</v>
      </c>
      <c r="D19635" t="s">
        <v>2707</v>
      </c>
      <c r="E19635">
        <f t="shared" si="936"/>
        <v>4.608294930875576E-3</v>
      </c>
      <c r="F19635">
        <v>2</v>
      </c>
      <c r="G19635">
        <f>LOG(382/(2+1))</f>
        <v>2.1049421081920463</v>
      </c>
      <c r="H19635">
        <f>0.00460829493087557*4.84680831993846</f>
        <v>2.2335522211697944E-2</v>
      </c>
      <c r="I19635">
        <v>2.2335522211697999E-2</v>
      </c>
    </row>
    <row r="19636" spans="1:9" x14ac:dyDescent="0.25">
      <c r="A19636">
        <v>590</v>
      </c>
      <c r="B19636" t="s">
        <v>4707</v>
      </c>
      <c r="C19636" t="s">
        <v>10</v>
      </c>
      <c r="D19636" t="s">
        <v>1307</v>
      </c>
      <c r="E19636">
        <f t="shared" si="936"/>
        <v>4.608294930875576E-3</v>
      </c>
      <c r="F19636">
        <v>4</v>
      </c>
      <c r="G19636">
        <f>LOG(382/(4+1))</f>
        <v>1.8830933585756899</v>
      </c>
      <c r="H19636">
        <f>0.00460829493087557*4.33598269617247</f>
        <v>1.998148707913578E-2</v>
      </c>
      <c r="I19636">
        <v>1.9981487079135829E-2</v>
      </c>
    </row>
    <row r="19637" spans="1:9" x14ac:dyDescent="0.25">
      <c r="A19637">
        <v>590</v>
      </c>
      <c r="B19637" t="s">
        <v>4707</v>
      </c>
      <c r="C19637" t="s">
        <v>10</v>
      </c>
      <c r="D19637" t="s">
        <v>544</v>
      </c>
      <c r="E19637">
        <f>2/217</f>
        <v>9.2165898617511521E-3</v>
      </c>
      <c r="F19637">
        <v>3</v>
      </c>
      <c r="G19637">
        <f>LOG(382/(3+1))</f>
        <v>1.9800033715837464</v>
      </c>
      <c r="H19637">
        <f>0.00921658986175115*4.55912624748668</f>
        <v>4.2019596751029301E-2</v>
      </c>
      <c r="I19637">
        <v>4.2019596751029349E-2</v>
      </c>
    </row>
    <row r="19638" spans="1:9" x14ac:dyDescent="0.25">
      <c r="A19638">
        <v>590</v>
      </c>
      <c r="B19638" t="s">
        <v>4707</v>
      </c>
      <c r="C19638" t="s">
        <v>10</v>
      </c>
      <c r="D19638" t="s">
        <v>4722</v>
      </c>
      <c r="E19638">
        <f>1/217</f>
        <v>4.608294930875576E-3</v>
      </c>
      <c r="F19638">
        <v>1</v>
      </c>
      <c r="G19638">
        <f>LOG(382/(1+1))</f>
        <v>2.2810333672477277</v>
      </c>
      <c r="H19638">
        <f>0.00460829493087557*5.25227342804663</f>
        <v>2.4204025014039739E-2</v>
      </c>
      <c r="I19638">
        <v>2.420402501403977E-2</v>
      </c>
    </row>
    <row r="19639" spans="1:9" x14ac:dyDescent="0.25">
      <c r="A19639">
        <v>590</v>
      </c>
      <c r="B19639" t="s">
        <v>4707</v>
      </c>
      <c r="C19639" t="s">
        <v>10</v>
      </c>
      <c r="D19639" t="s">
        <v>4723</v>
      </c>
      <c r="E19639">
        <f>1/217</f>
        <v>4.608294930875576E-3</v>
      </c>
      <c r="F19639">
        <v>1</v>
      </c>
      <c r="G19639">
        <f>LOG(382/(1+1))</f>
        <v>2.2810333672477277</v>
      </c>
      <c r="H19639">
        <f>0.00460829493087557*5.25227342804663</f>
        <v>2.4204025014039739E-2</v>
      </c>
      <c r="I19639">
        <v>2.420402501403977E-2</v>
      </c>
    </row>
    <row r="19640" spans="1:9" x14ac:dyDescent="0.25">
      <c r="A19640">
        <v>590</v>
      </c>
      <c r="B19640" t="s">
        <v>4707</v>
      </c>
      <c r="C19640" t="s">
        <v>10</v>
      </c>
      <c r="D19640" t="s">
        <v>716</v>
      </c>
      <c r="E19640">
        <f>1/217</f>
        <v>4.608294930875576E-3</v>
      </c>
      <c r="F19640">
        <v>13</v>
      </c>
      <c r="G19640">
        <f>LOG(382/(13+1))</f>
        <v>1.4359353272334707</v>
      </c>
      <c r="H19640">
        <f>0.00460829493087557*3.30636327899131</f>
        <v>1.5236697138208783E-2</v>
      </c>
      <c r="I19640">
        <v>1.523669713820883E-2</v>
      </c>
    </row>
    <row r="19641" spans="1:9" x14ac:dyDescent="0.25">
      <c r="A19641">
        <v>590</v>
      </c>
      <c r="B19641" t="s">
        <v>4707</v>
      </c>
      <c r="C19641" t="s">
        <v>10</v>
      </c>
      <c r="D19641" t="s">
        <v>1639</v>
      </c>
      <c r="E19641">
        <f>1/217</f>
        <v>4.608294930875576E-3</v>
      </c>
      <c r="F19641">
        <v>10</v>
      </c>
      <c r="G19641">
        <f>LOG(382/(10+1))</f>
        <v>1.5406706777534838</v>
      </c>
      <c r="H19641">
        <f>0.00460829493087557*3.5475253358082</f>
        <v>1.6348043022157584E-2</v>
      </c>
      <c r="I19641">
        <v>1.634804302215763E-2</v>
      </c>
    </row>
    <row r="19642" spans="1:9" x14ac:dyDescent="0.25">
      <c r="A19642">
        <v>590</v>
      </c>
      <c r="B19642" t="s">
        <v>4707</v>
      </c>
      <c r="C19642" t="s">
        <v>10</v>
      </c>
      <c r="D19642" t="s">
        <v>2930</v>
      </c>
      <c r="E19642">
        <f>2/217</f>
        <v>9.2165898617511521E-3</v>
      </c>
      <c r="F19642">
        <v>15</v>
      </c>
      <c r="G19642">
        <f>LOG(382/(15+1))</f>
        <v>1.3779433802557839</v>
      </c>
      <c r="H19642">
        <f>0.00921658986175115*3.17283188636679</f>
        <v>2.9242690196928937E-2</v>
      </c>
      <c r="I19642">
        <v>2.9242690196928978E-2</v>
      </c>
    </row>
    <row r="19643" spans="1:9" x14ac:dyDescent="0.25">
      <c r="A19643">
        <v>590</v>
      </c>
      <c r="B19643" t="s">
        <v>4707</v>
      </c>
      <c r="C19643" t="s">
        <v>10</v>
      </c>
      <c r="D19643" t="s">
        <v>567</v>
      </c>
      <c r="E19643">
        <f>2/217</f>
        <v>9.2165898617511521E-3</v>
      </c>
      <c r="F19643">
        <v>4</v>
      </c>
      <c r="G19643">
        <f>LOG(382/(4+1))</f>
        <v>1.8830933585756899</v>
      </c>
      <c r="H19643">
        <f>0.00921658986175115*4.33598269617247</f>
        <v>3.9962974158271609E-2</v>
      </c>
      <c r="I19643">
        <v>3.9962974158271658E-2</v>
      </c>
    </row>
    <row r="19644" spans="1:9" x14ac:dyDescent="0.25">
      <c r="A19644">
        <v>590</v>
      </c>
      <c r="B19644" t="s">
        <v>4707</v>
      </c>
      <c r="C19644" t="s">
        <v>10</v>
      </c>
      <c r="D19644" t="s">
        <v>4724</v>
      </c>
      <c r="E19644">
        <f>1/217</f>
        <v>4.608294930875576E-3</v>
      </c>
      <c r="F19644">
        <v>1</v>
      </c>
      <c r="G19644">
        <f>LOG(382/(1+1))</f>
        <v>2.2810333672477277</v>
      </c>
      <c r="H19644">
        <f>0.00460829493087557*5.25227342804663</f>
        <v>2.4204025014039739E-2</v>
      </c>
      <c r="I19644">
        <v>2.420402501403977E-2</v>
      </c>
    </row>
    <row r="19645" spans="1:9" x14ac:dyDescent="0.25">
      <c r="A19645">
        <v>590</v>
      </c>
      <c r="B19645" t="s">
        <v>4707</v>
      </c>
      <c r="C19645" t="s">
        <v>10</v>
      </c>
      <c r="D19645" t="s">
        <v>243</v>
      </c>
      <c r="E19645">
        <f>2/217</f>
        <v>9.2165898617511521E-3</v>
      </c>
      <c r="F19645">
        <v>131</v>
      </c>
      <c r="G19645">
        <f>LOG(382/(131+1))</f>
        <v>0.46148943170585888</v>
      </c>
      <c r="H19645">
        <f>0.00921658986175115*1.0626186860202</f>
        <v>9.7937206084811046E-3</v>
      </c>
      <c r="I19645">
        <v>9.7937206084811445E-3</v>
      </c>
    </row>
    <row r="19646" spans="1:9" x14ac:dyDescent="0.25">
      <c r="A19646">
        <v>590</v>
      </c>
      <c r="B19646" t="s">
        <v>4707</v>
      </c>
      <c r="C19646" t="s">
        <v>10</v>
      </c>
      <c r="D19646" t="s">
        <v>4725</v>
      </c>
      <c r="E19646">
        <f>2/217</f>
        <v>9.2165898617511521E-3</v>
      </c>
      <c r="F19646">
        <v>1</v>
      </c>
      <c r="G19646">
        <f>LOG(382/(1+1))</f>
        <v>2.2810333672477277</v>
      </c>
      <c r="H19646">
        <f>0.00921658986175115*5.25227342804663</f>
        <v>4.8408050028079526E-2</v>
      </c>
      <c r="I19646">
        <v>4.840805002807954E-2</v>
      </c>
    </row>
    <row r="19647" spans="1:9" x14ac:dyDescent="0.25">
      <c r="A19647">
        <v>590</v>
      </c>
      <c r="B19647" t="s">
        <v>4707</v>
      </c>
      <c r="C19647" t="s">
        <v>10</v>
      </c>
      <c r="D19647" t="s">
        <v>215</v>
      </c>
      <c r="E19647">
        <f>1/217</f>
        <v>4.608294930875576E-3</v>
      </c>
      <c r="F19647">
        <v>25</v>
      </c>
      <c r="G19647">
        <f>LOG(382/(25+1))</f>
        <v>1.1670900149408907</v>
      </c>
      <c r="H19647">
        <f>0.00460829493087557*2.68732407058509</f>
        <v>1.2383981892097173E-2</v>
      </c>
      <c r="I19647">
        <v>1.23839818920972E-2</v>
      </c>
    </row>
    <row r="19648" spans="1:9" x14ac:dyDescent="0.25">
      <c r="A19648">
        <v>590</v>
      </c>
      <c r="B19648" t="s">
        <v>4707</v>
      </c>
      <c r="C19648" t="s">
        <v>10</v>
      </c>
      <c r="D19648" t="s">
        <v>216</v>
      </c>
      <c r="E19648">
        <f>2/217</f>
        <v>9.2165898617511521E-3</v>
      </c>
      <c r="F19648">
        <v>63</v>
      </c>
      <c r="G19648">
        <f>LOG(382/(63+1))</f>
        <v>0.7758833889278216</v>
      </c>
      <c r="H19648">
        <f>0.00921658986175115*1.7865375252469</f>
        <v>1.6465783642828569E-2</v>
      </c>
      <c r="I19648">
        <v>1.6465783642828601E-2</v>
      </c>
    </row>
    <row r="19649" spans="1:9" x14ac:dyDescent="0.25">
      <c r="A19649">
        <v>590</v>
      </c>
      <c r="B19649" t="s">
        <v>4707</v>
      </c>
      <c r="C19649" t="s">
        <v>10</v>
      </c>
      <c r="D19649" t="s">
        <v>39</v>
      </c>
      <c r="E19649">
        <f>1/217</f>
        <v>4.608294930875576E-3</v>
      </c>
      <c r="F19649">
        <v>145</v>
      </c>
      <c r="G19649">
        <f>LOG(382/(145+1))</f>
        <v>0.41771050712727159</v>
      </c>
      <c r="H19649">
        <f>0.00460829493087557*0.961813986898238</f>
        <v>4.4323225202683725E-3</v>
      </c>
      <c r="I19649">
        <v>4.4323225202683812E-3</v>
      </c>
    </row>
    <row r="19650" spans="1:9" x14ac:dyDescent="0.25">
      <c r="A19650">
        <v>590</v>
      </c>
      <c r="B19650" t="s">
        <v>4707</v>
      </c>
      <c r="C19650" t="s">
        <v>10</v>
      </c>
      <c r="D19650" t="s">
        <v>53</v>
      </c>
      <c r="E19650">
        <f>4/217</f>
        <v>1.8433179723502304E-2</v>
      </c>
      <c r="F19650">
        <v>57</v>
      </c>
      <c r="G19650">
        <f>LOG(382/(57+1))</f>
        <v>0.81863536934877146</v>
      </c>
      <c r="H19650">
        <f>0.0184331797235023*1.88497759806015</f>
        <v>3.4746130839818423E-2</v>
      </c>
      <c r="I19650">
        <v>3.4746130839818541E-2</v>
      </c>
    </row>
    <row r="19651" spans="1:9" x14ac:dyDescent="0.25">
      <c r="A19651">
        <v>590</v>
      </c>
      <c r="B19651" t="s">
        <v>4707</v>
      </c>
      <c r="C19651" t="s">
        <v>10</v>
      </c>
      <c r="D19651" t="s">
        <v>322</v>
      </c>
      <c r="E19651">
        <f t="shared" ref="E19651:E19657" si="937">1/217</f>
        <v>4.608294930875576E-3</v>
      </c>
      <c r="F19651">
        <v>128</v>
      </c>
      <c r="G19651">
        <f>LOG(382/(128+1))</f>
        <v>0.47147365261245977</v>
      </c>
      <c r="H19651">
        <f>0.00460829493087557*1.0856082042449</f>
        <v>5.0028027845387029E-3</v>
      </c>
      <c r="I19651">
        <v>5.0028027845387237E-3</v>
      </c>
    </row>
    <row r="19652" spans="1:9" x14ac:dyDescent="0.25">
      <c r="A19652">
        <v>590</v>
      </c>
      <c r="B19652" t="s">
        <v>4707</v>
      </c>
      <c r="C19652" t="s">
        <v>10</v>
      </c>
      <c r="D19652" t="s">
        <v>1808</v>
      </c>
      <c r="E19652">
        <f t="shared" si="937"/>
        <v>4.608294930875576E-3</v>
      </c>
      <c r="F19652">
        <v>10</v>
      </c>
      <c r="G19652">
        <f>LOG(382/(10+1))</f>
        <v>1.5406706777534838</v>
      </c>
      <c r="H19652">
        <f>0.00460829493087557*3.5475253358082</f>
        <v>1.6348043022157584E-2</v>
      </c>
      <c r="I19652">
        <v>1.634804302215763E-2</v>
      </c>
    </row>
    <row r="19653" spans="1:9" x14ac:dyDescent="0.25">
      <c r="A19653">
        <v>590</v>
      </c>
      <c r="B19653" t="s">
        <v>4707</v>
      </c>
      <c r="C19653" t="s">
        <v>10</v>
      </c>
      <c r="D19653" t="s">
        <v>60</v>
      </c>
      <c r="E19653">
        <f t="shared" si="937"/>
        <v>4.608294930875576E-3</v>
      </c>
      <c r="F19653">
        <v>24</v>
      </c>
      <c r="G19653">
        <f>LOG(382/(24+1))</f>
        <v>1.1841233542396712</v>
      </c>
      <c r="H19653">
        <f>0.00460829493087557*2.72654478373837</f>
        <v>1.2564722505706756E-2</v>
      </c>
      <c r="I19653">
        <v>1.2564722505706789E-2</v>
      </c>
    </row>
    <row r="19654" spans="1:9" x14ac:dyDescent="0.25">
      <c r="A19654">
        <v>590</v>
      </c>
      <c r="B19654" t="s">
        <v>4707</v>
      </c>
      <c r="C19654" t="s">
        <v>10</v>
      </c>
      <c r="D19654" t="s">
        <v>324</v>
      </c>
      <c r="E19654">
        <f t="shared" si="937"/>
        <v>4.608294930875576E-3</v>
      </c>
      <c r="F19654">
        <v>82</v>
      </c>
      <c r="G19654">
        <f>LOG(382/(82+1))</f>
        <v>0.66298527053563483</v>
      </c>
      <c r="H19654">
        <f>0.00460829493087557*1.52658000080997</f>
        <v>7.0349308793086077E-3</v>
      </c>
      <c r="I19654">
        <v>7.0349308793086511E-3</v>
      </c>
    </row>
    <row r="19655" spans="1:9" x14ac:dyDescent="0.25">
      <c r="A19655">
        <v>590</v>
      </c>
      <c r="B19655" t="s">
        <v>4707</v>
      </c>
      <c r="C19655" t="s">
        <v>10</v>
      </c>
      <c r="D19655" t="s">
        <v>311</v>
      </c>
      <c r="E19655">
        <f t="shared" si="937"/>
        <v>4.608294930875576E-3</v>
      </c>
      <c r="F19655">
        <v>7</v>
      </c>
      <c r="G19655">
        <f>LOG(382/(7+1))</f>
        <v>1.6789733759197651</v>
      </c>
      <c r="H19655">
        <f>0.00460829493087557*3.86597906692673</f>
        <v>1.7815571736989517E-2</v>
      </c>
      <c r="I19655">
        <v>1.7815571736989579E-2</v>
      </c>
    </row>
    <row r="19656" spans="1:9" x14ac:dyDescent="0.25">
      <c r="A19656">
        <v>590</v>
      </c>
      <c r="B19656" t="s">
        <v>4707</v>
      </c>
      <c r="C19656" t="s">
        <v>10</v>
      </c>
      <c r="D19656" t="s">
        <v>565</v>
      </c>
      <c r="E19656">
        <f t="shared" si="937"/>
        <v>4.608294930875576E-3</v>
      </c>
      <c r="F19656">
        <v>5</v>
      </c>
      <c r="G19656">
        <f>LOG(382/(5+1))</f>
        <v>1.803912112528065</v>
      </c>
      <c r="H19656">
        <f>0.00460829493087557*4.15366113937852</f>
        <v>1.9141295573172876E-2</v>
      </c>
      <c r="I19656">
        <v>1.9141295573172901E-2</v>
      </c>
    </row>
    <row r="19657" spans="1:9" x14ac:dyDescent="0.25">
      <c r="A19657">
        <v>590</v>
      </c>
      <c r="B19657" t="s">
        <v>4707</v>
      </c>
      <c r="C19657" t="s">
        <v>10</v>
      </c>
      <c r="D19657" t="s">
        <v>119</v>
      </c>
      <c r="E19657">
        <f t="shared" si="937"/>
        <v>4.608294930875576E-3</v>
      </c>
      <c r="F19657">
        <v>79</v>
      </c>
      <c r="G19657">
        <f>LOG(382/(79+1))</f>
        <v>0.67897337591976514</v>
      </c>
      <c r="H19657">
        <f>0.00460829493087557*1.56339397393269</f>
        <v>7.2045805250354287E-3</v>
      </c>
      <c r="I19657">
        <v>7.2045805250354547E-3</v>
      </c>
    </row>
    <row r="19658" spans="1:9" x14ac:dyDescent="0.25">
      <c r="A19658">
        <v>590</v>
      </c>
      <c r="B19658" t="s">
        <v>4707</v>
      </c>
      <c r="C19658" t="s">
        <v>10</v>
      </c>
      <c r="D19658" t="s">
        <v>568</v>
      </c>
      <c r="E19658">
        <f>2/217</f>
        <v>9.2165898617511521E-3</v>
      </c>
      <c r="F19658">
        <v>4</v>
      </c>
      <c r="G19658">
        <f>LOG(382/(4+1))</f>
        <v>1.8830933585756899</v>
      </c>
      <c r="H19658">
        <f>0.00921658986175115*4.33598269617247</f>
        <v>3.9962974158271609E-2</v>
      </c>
      <c r="I19658">
        <v>3.9962974158271658E-2</v>
      </c>
    </row>
    <row r="19659" spans="1:9" x14ac:dyDescent="0.25">
      <c r="A19659">
        <v>590</v>
      </c>
      <c r="B19659" t="s">
        <v>4707</v>
      </c>
      <c r="C19659" t="s">
        <v>10</v>
      </c>
      <c r="D19659" t="s">
        <v>238</v>
      </c>
      <c r="E19659">
        <f t="shared" ref="E19659:E19664" si="938">1/217</f>
        <v>4.608294930875576E-3</v>
      </c>
      <c r="F19659">
        <v>10</v>
      </c>
      <c r="G19659">
        <f>LOG(382/(10+1))</f>
        <v>1.5406706777534838</v>
      </c>
      <c r="H19659">
        <f>0.00460829493087557*3.5475253358082</f>
        <v>1.6348043022157584E-2</v>
      </c>
      <c r="I19659">
        <v>1.634804302215763E-2</v>
      </c>
    </row>
    <row r="19660" spans="1:9" x14ac:dyDescent="0.25">
      <c r="A19660">
        <v>590</v>
      </c>
      <c r="B19660" t="s">
        <v>4707</v>
      </c>
      <c r="C19660" t="s">
        <v>10</v>
      </c>
      <c r="D19660" t="s">
        <v>127</v>
      </c>
      <c r="E19660">
        <f t="shared" si="938"/>
        <v>4.608294930875576E-3</v>
      </c>
      <c r="F19660">
        <v>4</v>
      </c>
      <c r="G19660">
        <f>LOG(382/(4+1))</f>
        <v>1.8830933585756899</v>
      </c>
      <c r="H19660">
        <f>0.00460829493087557*4.33598269617247</f>
        <v>1.998148707913578E-2</v>
      </c>
      <c r="I19660">
        <v>1.9981487079135829E-2</v>
      </c>
    </row>
    <row r="19661" spans="1:9" x14ac:dyDescent="0.25">
      <c r="A19661">
        <v>590</v>
      </c>
      <c r="B19661" t="s">
        <v>4707</v>
      </c>
      <c r="C19661" t="s">
        <v>10</v>
      </c>
      <c r="D19661" t="s">
        <v>207</v>
      </c>
      <c r="E19661">
        <f t="shared" si="938"/>
        <v>4.608294930875576E-3</v>
      </c>
      <c r="F19661">
        <v>21</v>
      </c>
      <c r="G19661">
        <f>LOG(382/(21+1))</f>
        <v>1.2396406820895025</v>
      </c>
      <c r="H19661">
        <f>0.00460829493087557*2.85437815524825</f>
        <v>1.315381638363247E-2</v>
      </c>
      <c r="I19661">
        <v>1.3153816383632531E-2</v>
      </c>
    </row>
    <row r="19662" spans="1:9" x14ac:dyDescent="0.25">
      <c r="A19662">
        <v>590</v>
      </c>
      <c r="B19662" t="s">
        <v>4707</v>
      </c>
      <c r="C19662" t="s">
        <v>10</v>
      </c>
      <c r="D19662" t="s">
        <v>532</v>
      </c>
      <c r="E19662">
        <f t="shared" si="938"/>
        <v>4.608294930875576E-3</v>
      </c>
      <c r="F19662">
        <v>8</v>
      </c>
      <c r="G19662">
        <f>LOG(382/(8+1))</f>
        <v>1.6278208534723839</v>
      </c>
      <c r="H19662">
        <f>0.00460829493087557*3.74819603127035</f>
        <v>1.7272792770831082E-2</v>
      </c>
      <c r="I19662">
        <v>1.727279277083113E-2</v>
      </c>
    </row>
    <row r="19663" spans="1:9" x14ac:dyDescent="0.25">
      <c r="A19663">
        <v>590</v>
      </c>
      <c r="B19663" t="s">
        <v>4707</v>
      </c>
      <c r="C19663" t="s">
        <v>10</v>
      </c>
      <c r="D19663" t="s">
        <v>140</v>
      </c>
      <c r="E19663">
        <f t="shared" si="938"/>
        <v>4.608294930875576E-3</v>
      </c>
      <c r="F19663">
        <v>7</v>
      </c>
      <c r="G19663">
        <f>LOG(382/(7+1))</f>
        <v>1.6789733759197651</v>
      </c>
      <c r="H19663">
        <f>0.00460829493087557*3.86597906692673</f>
        <v>1.7815571736989517E-2</v>
      </c>
      <c r="I19663">
        <v>1.7815571736989579E-2</v>
      </c>
    </row>
    <row r="19664" spans="1:9" x14ac:dyDescent="0.25">
      <c r="A19664">
        <v>590</v>
      </c>
      <c r="B19664" t="s">
        <v>4707</v>
      </c>
      <c r="C19664" t="s">
        <v>10</v>
      </c>
      <c r="D19664" t="s">
        <v>403</v>
      </c>
      <c r="E19664">
        <f t="shared" si="938"/>
        <v>4.608294930875576E-3</v>
      </c>
      <c r="F19664">
        <v>11</v>
      </c>
      <c r="G19664">
        <f>LOG(382/(11+1))</f>
        <v>1.5028821168640838</v>
      </c>
      <c r="H19664">
        <f>0.00460829493087557*3.46051395881857</f>
        <v>1.5947068934647767E-2</v>
      </c>
      <c r="I19664">
        <v>1.5947068934647809E-2</v>
      </c>
    </row>
    <row r="19665" spans="1:9" x14ac:dyDescent="0.25">
      <c r="A19665">
        <v>591</v>
      </c>
      <c r="B19665" t="s">
        <v>4726</v>
      </c>
      <c r="C19665" t="s">
        <v>10</v>
      </c>
      <c r="D19665" t="s">
        <v>40</v>
      </c>
      <c r="E19665">
        <f>15/138</f>
        <v>0.10869565217391304</v>
      </c>
      <c r="F19665">
        <v>159</v>
      </c>
      <c r="G19665">
        <f>LOG(382/(159+1))</f>
        <v>0.377943380255784</v>
      </c>
      <c r="H19665">
        <f>0.108695652173913*0.870246793372748</f>
        <v>9.4592042757907349E-2</v>
      </c>
      <c r="I19665">
        <v>9.4592042757907432E-2</v>
      </c>
    </row>
    <row r="19666" spans="1:9" x14ac:dyDescent="0.25">
      <c r="A19666">
        <v>591</v>
      </c>
      <c r="B19666" t="s">
        <v>4726</v>
      </c>
      <c r="C19666" t="s">
        <v>10</v>
      </c>
      <c r="D19666" t="s">
        <v>922</v>
      </c>
      <c r="E19666">
        <f>6/138</f>
        <v>4.3478260869565216E-2</v>
      </c>
      <c r="F19666">
        <v>3</v>
      </c>
      <c r="G19666">
        <f>LOG(382/(3+1))</f>
        <v>1.9800033715837464</v>
      </c>
      <c r="H19666">
        <f>0.0434782608695652*4.55912624748668</f>
        <v>0.19822288032550775</v>
      </c>
      <c r="I19666">
        <v>0.198222880325508</v>
      </c>
    </row>
    <row r="19667" spans="1:9" x14ac:dyDescent="0.25">
      <c r="A19667">
        <v>591</v>
      </c>
      <c r="B19667" t="s">
        <v>4726</v>
      </c>
      <c r="C19667" t="s">
        <v>10</v>
      </c>
      <c r="D19667" t="s">
        <v>363</v>
      </c>
      <c r="E19667">
        <f>1/138</f>
        <v>7.246376811594203E-3</v>
      </c>
      <c r="F19667">
        <v>36</v>
      </c>
      <c r="G19667">
        <f>LOG(382/(36+1))</f>
        <v>1.0138616388447137</v>
      </c>
      <c r="H19667">
        <f>0.0072463768115942*2.33450269596235</f>
        <v>1.6916686202625719E-2</v>
      </c>
      <c r="I19667">
        <v>1.6916686202625729E-2</v>
      </c>
    </row>
    <row r="19668" spans="1:9" x14ac:dyDescent="0.25">
      <c r="A19668">
        <v>591</v>
      </c>
      <c r="B19668" t="s">
        <v>4726</v>
      </c>
      <c r="C19668" t="s">
        <v>10</v>
      </c>
      <c r="D19668" t="s">
        <v>42</v>
      </c>
      <c r="E19668">
        <f>4/138</f>
        <v>2.8985507246376812E-2</v>
      </c>
      <c r="F19668">
        <v>251</v>
      </c>
      <c r="G19668">
        <f>LOG(382/(251+1))</f>
        <v>0.18066282213016463</v>
      </c>
      <c r="H19668">
        <f>0.0289855072463768*0.415991521095151</f>
        <v>1.2057725249134807E-2</v>
      </c>
      <c r="I19668">
        <v>1.205772524913484E-2</v>
      </c>
    </row>
    <row r="19669" spans="1:9" x14ac:dyDescent="0.25">
      <c r="A19669">
        <v>591</v>
      </c>
      <c r="B19669" t="s">
        <v>4726</v>
      </c>
      <c r="C19669" t="s">
        <v>10</v>
      </c>
      <c r="D19669" t="s">
        <v>68</v>
      </c>
      <c r="E19669">
        <f>2/138</f>
        <v>1.4492753623188406E-2</v>
      </c>
      <c r="F19669">
        <v>43</v>
      </c>
      <c r="G19669">
        <f>LOG(382/(43+1))</f>
        <v>0.93861068642552126</v>
      </c>
      <c r="H19669">
        <f>0.0144927536231884*2.16123097468831</f>
        <v>3.1322188038961002E-2</v>
      </c>
      <c r="I19669">
        <v>3.1322188038961071E-2</v>
      </c>
    </row>
    <row r="19670" spans="1:9" x14ac:dyDescent="0.25">
      <c r="A19670">
        <v>591</v>
      </c>
      <c r="B19670" t="s">
        <v>4726</v>
      </c>
      <c r="C19670" t="s">
        <v>10</v>
      </c>
      <c r="D19670" t="s">
        <v>44</v>
      </c>
      <c r="E19670">
        <f>2/138</f>
        <v>1.4492753623188406E-2</v>
      </c>
      <c r="F19670">
        <v>151</v>
      </c>
      <c r="G19670">
        <f>LOG(382/(151+1))</f>
        <v>0.40021977496693617</v>
      </c>
      <c r="H19670">
        <f>0.0144927536231884*0.921540087760298</f>
        <v>1.3355653445801417E-2</v>
      </c>
      <c r="I19670">
        <v>1.3355653445801431E-2</v>
      </c>
    </row>
    <row r="19671" spans="1:9" x14ac:dyDescent="0.25">
      <c r="A19671">
        <v>591</v>
      </c>
      <c r="B19671" t="s">
        <v>4726</v>
      </c>
      <c r="C19671" t="s">
        <v>10</v>
      </c>
      <c r="D19671" t="s">
        <v>22</v>
      </c>
      <c r="E19671">
        <f>1/138</f>
        <v>7.246376811594203E-3</v>
      </c>
      <c r="F19671">
        <v>259</v>
      </c>
      <c r="G19671">
        <f>LOG(382/(259+1))</f>
        <v>0.16709001494089079</v>
      </c>
      <c r="H19671">
        <f>0.0072463768115942*0.384738977591047</f>
        <v>2.787963605732224E-3</v>
      </c>
      <c r="I19671">
        <v>2.7879636057322279E-3</v>
      </c>
    </row>
    <row r="19672" spans="1:9" x14ac:dyDescent="0.25">
      <c r="A19672">
        <v>591</v>
      </c>
      <c r="B19672" t="s">
        <v>4726</v>
      </c>
      <c r="C19672" t="s">
        <v>10</v>
      </c>
      <c r="D19672" t="s">
        <v>23</v>
      </c>
      <c r="E19672">
        <f>1/138</f>
        <v>7.246376811594203E-3</v>
      </c>
      <c r="F19672">
        <v>275</v>
      </c>
      <c r="G19672">
        <f>LOG(382/(275+1))</f>
        <v>0.14115428084649101</v>
      </c>
      <c r="H19672">
        <f>0.0072463768115942*0.325019742889425</f>
        <v>2.355215528184238E-3</v>
      </c>
      <c r="I19672">
        <v>2.3552155281842402E-3</v>
      </c>
    </row>
    <row r="19673" spans="1:9" x14ac:dyDescent="0.25">
      <c r="A19673">
        <v>591</v>
      </c>
      <c r="B19673" t="s">
        <v>4726</v>
      </c>
      <c r="C19673" t="s">
        <v>10</v>
      </c>
      <c r="D19673" t="s">
        <v>24</v>
      </c>
      <c r="E19673">
        <f>1/138</f>
        <v>7.246376811594203E-3</v>
      </c>
      <c r="F19673">
        <v>59</v>
      </c>
      <c r="G19673">
        <f>LOG(382/(59+1))</f>
        <v>0.80391211252806505</v>
      </c>
      <c r="H19673">
        <f>0.0072463768115942*1.85107604638447</f>
        <v>1.3413594539017894E-2</v>
      </c>
      <c r="I19673">
        <v>1.341359453901793E-2</v>
      </c>
    </row>
    <row r="19674" spans="1:9" x14ac:dyDescent="0.25">
      <c r="A19674">
        <v>591</v>
      </c>
      <c r="B19674" t="s">
        <v>4726</v>
      </c>
      <c r="C19674" t="s">
        <v>10</v>
      </c>
      <c r="D19674" t="s">
        <v>1134</v>
      </c>
      <c r="E19674">
        <f>1/138</f>
        <v>7.246376811594203E-3</v>
      </c>
      <c r="F19674">
        <v>3</v>
      </c>
      <c r="G19674">
        <f>LOG(382/(3+1))</f>
        <v>1.9800033715837464</v>
      </c>
      <c r="H19674">
        <f>0.0072463768115942*4.55912624748668</f>
        <v>3.3037146720917961E-2</v>
      </c>
      <c r="I19674">
        <v>3.3037146720918002E-2</v>
      </c>
    </row>
    <row r="19675" spans="1:9" x14ac:dyDescent="0.25">
      <c r="A19675">
        <v>591</v>
      </c>
      <c r="B19675" t="s">
        <v>4726</v>
      </c>
      <c r="C19675" t="s">
        <v>10</v>
      </c>
      <c r="D19675" t="s">
        <v>378</v>
      </c>
      <c r="E19675">
        <f>1/138</f>
        <v>7.246376811594203E-3</v>
      </c>
      <c r="F19675">
        <v>4</v>
      </c>
      <c r="G19675">
        <f>LOG(382/(4+1))</f>
        <v>1.8830933585756899</v>
      </c>
      <c r="H19675">
        <f>0.0072463768115942*4.33598269617247</f>
        <v>3.1420164465017893E-2</v>
      </c>
      <c r="I19675">
        <v>3.1420164465017927E-2</v>
      </c>
    </row>
    <row r="19676" spans="1:9" x14ac:dyDescent="0.25">
      <c r="A19676">
        <v>591</v>
      </c>
      <c r="B19676" t="s">
        <v>4726</v>
      </c>
      <c r="C19676" t="s">
        <v>10</v>
      </c>
      <c r="D19676" t="s">
        <v>41</v>
      </c>
      <c r="E19676">
        <f>2/138</f>
        <v>1.4492753623188406E-2</v>
      </c>
      <c r="F19676">
        <v>195</v>
      </c>
      <c r="G19676">
        <f>LOG(382/(195+1))</f>
        <v>0.28980729155523272</v>
      </c>
      <c r="H19676">
        <f>0.0144927536231884*0.667305949376058</f>
        <v>9.67110071559504E-3</v>
      </c>
      <c r="I19676">
        <v>9.6711007155950435E-3</v>
      </c>
    </row>
    <row r="19677" spans="1:9" x14ac:dyDescent="0.25">
      <c r="A19677">
        <v>591</v>
      </c>
      <c r="B19677" t="s">
        <v>4726</v>
      </c>
      <c r="C19677" t="s">
        <v>10</v>
      </c>
      <c r="E19677">
        <f>2/138</f>
        <v>1.4492753623188406E-2</v>
      </c>
      <c r="F19677">
        <v>20</v>
      </c>
      <c r="G19677">
        <f>LOG(382/(20+1))</f>
        <v>1.2598440681777894</v>
      </c>
      <c r="H19677">
        <f>0.0144927536231884*2.90089817088315</f>
        <v>4.2042002476567378E-2</v>
      </c>
      <c r="I19677">
        <v>4.2042002476567433E-2</v>
      </c>
    </row>
    <row r="19678" spans="1:9" x14ac:dyDescent="0.25">
      <c r="A19678">
        <v>591</v>
      </c>
      <c r="B19678" t="s">
        <v>4726</v>
      </c>
      <c r="C19678" t="s">
        <v>10</v>
      </c>
      <c r="D19678" t="s">
        <v>350</v>
      </c>
      <c r="E19678">
        <f>1/138</f>
        <v>7.246376811594203E-3</v>
      </c>
      <c r="F19678">
        <v>5</v>
      </c>
      <c r="G19678">
        <f>LOG(382/(5+1))</f>
        <v>1.803912112528065</v>
      </c>
      <c r="H19678">
        <f>0.0072463768115942*4.15366113937852</f>
        <v>3.0098993763612452E-2</v>
      </c>
      <c r="I19678">
        <v>3.0098993763612459E-2</v>
      </c>
    </row>
    <row r="19679" spans="1:9" x14ac:dyDescent="0.25">
      <c r="A19679">
        <v>591</v>
      </c>
      <c r="B19679" t="s">
        <v>4726</v>
      </c>
      <c r="C19679" t="s">
        <v>10</v>
      </c>
      <c r="D19679" t="s">
        <v>216</v>
      </c>
      <c r="E19679">
        <f>1/138</f>
        <v>7.246376811594203E-3</v>
      </c>
      <c r="F19679">
        <v>63</v>
      </c>
      <c r="G19679">
        <f>LOG(382/(63+1))</f>
        <v>0.7758833889278216</v>
      </c>
      <c r="H19679">
        <f>0.0072463768115942*1.7865375252469</f>
        <v>1.2945924095992024E-2</v>
      </c>
      <c r="I19679">
        <v>1.294592409599205E-2</v>
      </c>
    </row>
    <row r="19680" spans="1:9" x14ac:dyDescent="0.25">
      <c r="A19680">
        <v>591</v>
      </c>
      <c r="B19680" t="s">
        <v>4726</v>
      </c>
      <c r="C19680" t="s">
        <v>10</v>
      </c>
      <c r="D19680" t="s">
        <v>26</v>
      </c>
      <c r="E19680">
        <f>3/138</f>
        <v>2.1739130434782608E-2</v>
      </c>
      <c r="F19680">
        <v>40</v>
      </c>
      <c r="G19680">
        <f>LOG(382/(40+1))</f>
        <v>0.96927950619197323</v>
      </c>
      <c r="H19680">
        <f>0.0217391304347826*2.23184854190226</f>
        <v>4.8518446563092586E-2</v>
      </c>
      <c r="I19680">
        <v>4.8518446563092767E-2</v>
      </c>
    </row>
    <row r="19681" spans="1:9" x14ac:dyDescent="0.25">
      <c r="A19681">
        <v>591</v>
      </c>
      <c r="B19681" t="s">
        <v>4726</v>
      </c>
      <c r="C19681" t="s">
        <v>10</v>
      </c>
      <c r="D19681" t="s">
        <v>928</v>
      </c>
      <c r="E19681">
        <f>1/138</f>
        <v>7.246376811594203E-3</v>
      </c>
      <c r="F19681">
        <v>5</v>
      </c>
      <c r="G19681">
        <f>LOG(382/(5+1))</f>
        <v>1.803912112528065</v>
      </c>
      <c r="H19681">
        <f>0.0072463768115942*4.15366113937852</f>
        <v>3.0098993763612452E-2</v>
      </c>
      <c r="I19681">
        <v>3.0098993763612459E-2</v>
      </c>
    </row>
    <row r="19682" spans="1:9" x14ac:dyDescent="0.25">
      <c r="A19682">
        <v>591</v>
      </c>
      <c r="B19682" t="s">
        <v>4726</v>
      </c>
      <c r="C19682" t="s">
        <v>10</v>
      </c>
      <c r="D19682" t="s">
        <v>28</v>
      </c>
      <c r="E19682">
        <f>2/138</f>
        <v>1.4492753623188406E-2</v>
      </c>
      <c r="F19682">
        <v>35</v>
      </c>
      <c r="G19682">
        <f>LOG(382/(35+1))</f>
        <v>1.0257608621444214</v>
      </c>
      <c r="H19682">
        <f>0.0144927536231884*2.36190167015046</f>
        <v>3.4230458987687812E-2</v>
      </c>
      <c r="I19682">
        <v>3.4230458987687902E-2</v>
      </c>
    </row>
    <row r="19683" spans="1:9" x14ac:dyDescent="0.25">
      <c r="A19683">
        <v>591</v>
      </c>
      <c r="B19683" t="s">
        <v>4726</v>
      </c>
      <c r="C19683" t="s">
        <v>10</v>
      </c>
      <c r="D19683" t="s">
        <v>476</v>
      </c>
      <c r="E19683">
        <f>2/138</f>
        <v>1.4492753623188406E-2</v>
      </c>
      <c r="F19683">
        <v>18</v>
      </c>
      <c r="G19683">
        <f>LOG(382/(18+1))</f>
        <v>1.3033097619588798</v>
      </c>
      <c r="H19683">
        <f>0.0144927536231884*3.00098162944013</f>
        <v>4.3492487383190274E-2</v>
      </c>
      <c r="I19683">
        <v>4.3492487383190358E-2</v>
      </c>
    </row>
    <row r="19684" spans="1:9" x14ac:dyDescent="0.25">
      <c r="A19684">
        <v>591</v>
      </c>
      <c r="B19684" t="s">
        <v>4726</v>
      </c>
      <c r="C19684" t="s">
        <v>10</v>
      </c>
      <c r="D19684" t="s">
        <v>929</v>
      </c>
      <c r="E19684">
        <f>2/138</f>
        <v>1.4492753623188406E-2</v>
      </c>
      <c r="F19684">
        <v>32</v>
      </c>
      <c r="G19684">
        <f>LOG(382/(32+1))</f>
        <v>1.0635494230338212</v>
      </c>
      <c r="H19684">
        <f>0.0144927536231884*2.44891304714009</f>
        <v>3.549149343681289E-2</v>
      </c>
      <c r="I19684">
        <v>3.5491493436812967E-2</v>
      </c>
    </row>
    <row r="19685" spans="1:9" x14ac:dyDescent="0.25">
      <c r="A19685">
        <v>591</v>
      </c>
      <c r="B19685" t="s">
        <v>4726</v>
      </c>
      <c r="C19685" t="s">
        <v>10</v>
      </c>
      <c r="D19685" t="s">
        <v>2583</v>
      </c>
      <c r="E19685">
        <f>1/138</f>
        <v>7.246376811594203E-3</v>
      </c>
      <c r="F19685">
        <v>2</v>
      </c>
      <c r="G19685">
        <f>LOG(382/(2+1))</f>
        <v>2.1049421081920463</v>
      </c>
      <c r="H19685">
        <f>0.0072463768115942*4.84680831993846</f>
        <v>3.5121799419843898E-2</v>
      </c>
      <c r="I19685">
        <v>3.5121799419843953E-2</v>
      </c>
    </row>
    <row r="19686" spans="1:9" x14ac:dyDescent="0.25">
      <c r="A19686">
        <v>591</v>
      </c>
      <c r="B19686" t="s">
        <v>4726</v>
      </c>
      <c r="C19686" t="s">
        <v>10</v>
      </c>
      <c r="D19686" t="s">
        <v>4727</v>
      </c>
      <c r="E19686">
        <f>1/138</f>
        <v>7.246376811594203E-3</v>
      </c>
      <c r="F19686">
        <v>1</v>
      </c>
      <c r="G19686">
        <f>LOG(382/(1+1))</f>
        <v>2.2810333672477277</v>
      </c>
      <c r="H19686">
        <f>0.0072463768115942*5.25227342804663</f>
        <v>3.8059952377149479E-2</v>
      </c>
      <c r="I19686">
        <v>3.8059952377149493E-2</v>
      </c>
    </row>
    <row r="19687" spans="1:9" x14ac:dyDescent="0.25">
      <c r="A19687">
        <v>591</v>
      </c>
      <c r="B19687" t="s">
        <v>4726</v>
      </c>
      <c r="C19687" t="s">
        <v>10</v>
      </c>
      <c r="D19687" t="s">
        <v>1199</v>
      </c>
      <c r="E19687">
        <f>1/138</f>
        <v>7.246376811594203E-3</v>
      </c>
      <c r="F19687">
        <v>8</v>
      </c>
      <c r="G19687">
        <f>LOG(382/(8+1))</f>
        <v>1.6278208534723839</v>
      </c>
      <c r="H19687">
        <f>0.0072463768115942*3.74819603127035</f>
        <v>2.7160840806306874E-2</v>
      </c>
      <c r="I19687">
        <v>2.716084080630693E-2</v>
      </c>
    </row>
    <row r="19688" spans="1:9" x14ac:dyDescent="0.25">
      <c r="A19688">
        <v>591</v>
      </c>
      <c r="B19688" t="s">
        <v>4726</v>
      </c>
      <c r="C19688" t="s">
        <v>10</v>
      </c>
      <c r="D19688" t="s">
        <v>324</v>
      </c>
      <c r="E19688">
        <f>2/138</f>
        <v>1.4492753623188406E-2</v>
      </c>
      <c r="F19688">
        <v>82</v>
      </c>
      <c r="G19688">
        <f>LOG(382/(82+1))</f>
        <v>0.66298527053563483</v>
      </c>
      <c r="H19688">
        <f>0.0144927536231884*1.52658000080997</f>
        <v>2.2124347837825645E-2</v>
      </c>
      <c r="I19688">
        <v>2.2124347837825759E-2</v>
      </c>
    </row>
    <row r="19689" spans="1:9" x14ac:dyDescent="0.25">
      <c r="A19689">
        <v>591</v>
      </c>
      <c r="B19689" t="s">
        <v>4726</v>
      </c>
      <c r="C19689" t="s">
        <v>10</v>
      </c>
      <c r="D19689" t="s">
        <v>1396</v>
      </c>
      <c r="E19689">
        <f t="shared" ref="E19689:E19696" si="939">1/138</f>
        <v>7.246376811594203E-3</v>
      </c>
      <c r="F19689">
        <v>18</v>
      </c>
      <c r="G19689">
        <f>LOG(382/(18+1))</f>
        <v>1.3033097619588798</v>
      </c>
      <c r="H19689">
        <f>0.0072463768115942*3.00098162944013</f>
        <v>2.1746243691595137E-2</v>
      </c>
      <c r="I19689">
        <v>2.1746243691595179E-2</v>
      </c>
    </row>
    <row r="19690" spans="1:9" x14ac:dyDescent="0.25">
      <c r="A19690">
        <v>591</v>
      </c>
      <c r="B19690" t="s">
        <v>4726</v>
      </c>
      <c r="C19690" t="s">
        <v>10</v>
      </c>
      <c r="D19690" t="s">
        <v>4728</v>
      </c>
      <c r="E19690">
        <f t="shared" si="939"/>
        <v>7.246376811594203E-3</v>
      </c>
      <c r="F19690">
        <v>1</v>
      </c>
      <c r="G19690">
        <f>LOG(382/(1+1))</f>
        <v>2.2810333672477277</v>
      </c>
      <c r="H19690">
        <f>0.0072463768115942*5.25227342804663</f>
        <v>3.8059952377149479E-2</v>
      </c>
      <c r="I19690">
        <v>3.8059952377149493E-2</v>
      </c>
    </row>
    <row r="19691" spans="1:9" x14ac:dyDescent="0.25">
      <c r="A19691">
        <v>591</v>
      </c>
      <c r="B19691" t="s">
        <v>4726</v>
      </c>
      <c r="C19691" t="s">
        <v>10</v>
      </c>
      <c r="D19691" t="s">
        <v>349</v>
      </c>
      <c r="E19691">
        <f t="shared" si="939"/>
        <v>7.246376811594203E-3</v>
      </c>
      <c r="F19691">
        <v>4</v>
      </c>
      <c r="G19691">
        <f>LOG(382/(4+1))</f>
        <v>1.8830933585756899</v>
      </c>
      <c r="H19691">
        <f>0.0072463768115942*4.33598269617247</f>
        <v>3.1420164465017893E-2</v>
      </c>
      <c r="I19691">
        <v>3.1420164465017927E-2</v>
      </c>
    </row>
    <row r="19692" spans="1:9" x14ac:dyDescent="0.25">
      <c r="A19692">
        <v>591</v>
      </c>
      <c r="B19692" t="s">
        <v>4726</v>
      </c>
      <c r="C19692" t="s">
        <v>10</v>
      </c>
      <c r="D19692" t="s">
        <v>943</v>
      </c>
      <c r="E19692">
        <f t="shared" si="939"/>
        <v>7.246376811594203E-3</v>
      </c>
      <c r="F19692">
        <v>3</v>
      </c>
      <c r="G19692">
        <f>LOG(382/(3+1))</f>
        <v>1.9800033715837464</v>
      </c>
      <c r="H19692">
        <f>0.0072463768115942*4.55912624748668</f>
        <v>3.3037146720917961E-2</v>
      </c>
      <c r="I19692">
        <v>3.3037146720918002E-2</v>
      </c>
    </row>
    <row r="19693" spans="1:9" x14ac:dyDescent="0.25">
      <c r="A19693">
        <v>591</v>
      </c>
      <c r="B19693" t="s">
        <v>4726</v>
      </c>
      <c r="C19693" t="s">
        <v>10</v>
      </c>
      <c r="D19693" t="s">
        <v>4729</v>
      </c>
      <c r="E19693">
        <f t="shared" si="939"/>
        <v>7.246376811594203E-3</v>
      </c>
      <c r="F19693">
        <v>1</v>
      </c>
      <c r="G19693">
        <f>LOG(382/(1+1))</f>
        <v>2.2810333672477277</v>
      </c>
      <c r="H19693">
        <f>0.0072463768115942*5.25227342804663</f>
        <v>3.8059952377149479E-2</v>
      </c>
      <c r="I19693">
        <v>3.8059952377149493E-2</v>
      </c>
    </row>
    <row r="19694" spans="1:9" x14ac:dyDescent="0.25">
      <c r="A19694">
        <v>591</v>
      </c>
      <c r="B19694" t="s">
        <v>4726</v>
      </c>
      <c r="C19694" t="s">
        <v>10</v>
      </c>
      <c r="D19694" t="s">
        <v>1328</v>
      </c>
      <c r="E19694">
        <f t="shared" si="939"/>
        <v>7.246376811594203E-3</v>
      </c>
      <c r="F19694">
        <v>22</v>
      </c>
      <c r="G19694">
        <f>LOG(382/(22+1))</f>
        <v>1.2203355268941158</v>
      </c>
      <c r="H19694">
        <f>0.0072463768115942*2.80992639267742</f>
        <v>2.0361785454184194E-2</v>
      </c>
      <c r="I19694">
        <v>2.0361785454184239E-2</v>
      </c>
    </row>
    <row r="19695" spans="1:9" x14ac:dyDescent="0.25">
      <c r="A19695">
        <v>591</v>
      </c>
      <c r="B19695" t="s">
        <v>4726</v>
      </c>
      <c r="C19695" t="s">
        <v>10</v>
      </c>
      <c r="D19695" t="s">
        <v>953</v>
      </c>
      <c r="E19695">
        <f t="shared" si="939"/>
        <v>7.246376811594203E-3</v>
      </c>
      <c r="F19695">
        <v>16</v>
      </c>
      <c r="G19695">
        <f>LOG(382/(16+1))</f>
        <v>1.3516144415334348</v>
      </c>
      <c r="H19695">
        <f>0.0072463768115942*3.11220726455035</f>
        <v>2.2552226554712673E-2</v>
      </c>
      <c r="I19695">
        <v>2.255222655471275E-2</v>
      </c>
    </row>
    <row r="19696" spans="1:9" x14ac:dyDescent="0.25">
      <c r="A19696">
        <v>591</v>
      </c>
      <c r="B19696" t="s">
        <v>4726</v>
      </c>
      <c r="C19696" t="s">
        <v>10</v>
      </c>
      <c r="D19696" t="s">
        <v>4730</v>
      </c>
      <c r="E19696">
        <f t="shared" si="939"/>
        <v>7.246376811594203E-3</v>
      </c>
      <c r="F19696">
        <v>1</v>
      </c>
      <c r="G19696">
        <f>LOG(382/(1+1))</f>
        <v>2.2810333672477277</v>
      </c>
      <c r="H19696">
        <f>0.0072463768115942*5.25227342804663</f>
        <v>3.8059952377149479E-2</v>
      </c>
      <c r="I19696">
        <v>3.8059952377149493E-2</v>
      </c>
    </row>
    <row r="19697" spans="1:9" x14ac:dyDescent="0.25">
      <c r="A19697">
        <v>591</v>
      </c>
      <c r="B19697" t="s">
        <v>4726</v>
      </c>
      <c r="C19697" t="s">
        <v>10</v>
      </c>
      <c r="D19697" t="s">
        <v>31</v>
      </c>
      <c r="E19697">
        <f>2/138</f>
        <v>1.4492753623188406E-2</v>
      </c>
      <c r="F19697">
        <v>31</v>
      </c>
      <c r="G19697">
        <f>LOG(382/(31+1))</f>
        <v>1.0769133845918029</v>
      </c>
      <c r="H19697">
        <f>0.0144927536231884*2.47968470580684</f>
        <v>3.5937459504446941E-2</v>
      </c>
      <c r="I19697">
        <v>3.5937459504447093E-2</v>
      </c>
    </row>
    <row r="19698" spans="1:9" x14ac:dyDescent="0.25">
      <c r="A19698">
        <v>591</v>
      </c>
      <c r="B19698" t="s">
        <v>4726</v>
      </c>
      <c r="C19698" t="s">
        <v>10</v>
      </c>
      <c r="D19698" t="s">
        <v>941</v>
      </c>
      <c r="E19698">
        <f>1/138</f>
        <v>7.246376811594203E-3</v>
      </c>
      <c r="F19698">
        <v>3</v>
      </c>
      <c r="G19698">
        <f>LOG(382/(3+1))</f>
        <v>1.9800033715837464</v>
      </c>
      <c r="H19698">
        <f>0.0072463768115942*4.55912624748668</f>
        <v>3.3037146720917961E-2</v>
      </c>
      <c r="I19698">
        <v>3.3037146720918002E-2</v>
      </c>
    </row>
    <row r="19699" spans="1:9" x14ac:dyDescent="0.25">
      <c r="A19699">
        <v>591</v>
      </c>
      <c r="B19699" t="s">
        <v>4726</v>
      </c>
      <c r="C19699" t="s">
        <v>10</v>
      </c>
      <c r="D19699" t="s">
        <v>942</v>
      </c>
      <c r="E19699">
        <f>1/138</f>
        <v>7.246376811594203E-3</v>
      </c>
      <c r="F19699">
        <v>10</v>
      </c>
      <c r="G19699">
        <f>LOG(382/(10+1))</f>
        <v>1.5406706777534838</v>
      </c>
      <c r="H19699">
        <f>0.0072463768115942*3.5475253358082</f>
        <v>2.5706705331943469E-2</v>
      </c>
      <c r="I19699">
        <v>2.5706705331943511E-2</v>
      </c>
    </row>
    <row r="19700" spans="1:9" x14ac:dyDescent="0.25">
      <c r="A19700">
        <v>591</v>
      </c>
      <c r="B19700" t="s">
        <v>4726</v>
      </c>
      <c r="C19700" t="s">
        <v>10</v>
      </c>
      <c r="D19700" t="s">
        <v>11</v>
      </c>
      <c r="E19700">
        <f>3/138</f>
        <v>2.1739130434782608E-2</v>
      </c>
      <c r="F19700">
        <v>83</v>
      </c>
      <c r="G19700">
        <f>LOG(382/(83+1))</f>
        <v>0.65778407684982709</v>
      </c>
      <c r="H19700">
        <f>0.0217391304347826*1.51460380976326</f>
        <v>3.2926169777462162E-2</v>
      </c>
      <c r="I19700">
        <v>3.2926169777462197E-2</v>
      </c>
    </row>
    <row r="19701" spans="1:9" x14ac:dyDescent="0.25">
      <c r="A19701">
        <v>591</v>
      </c>
      <c r="B19701" t="s">
        <v>4726</v>
      </c>
      <c r="C19701" t="s">
        <v>10</v>
      </c>
      <c r="D19701" t="s">
        <v>1447</v>
      </c>
      <c r="E19701">
        <f>1/138</f>
        <v>7.246376811594203E-3</v>
      </c>
      <c r="F19701">
        <v>6</v>
      </c>
      <c r="G19701">
        <f>LOG(382/(6+1))</f>
        <v>1.736965322897452</v>
      </c>
      <c r="H19701">
        <f>0.0072463768115942*3.99951045955126</f>
        <v>2.8981959851820716E-2</v>
      </c>
      <c r="I19701">
        <v>2.8981959851820741E-2</v>
      </c>
    </row>
    <row r="19702" spans="1:9" x14ac:dyDescent="0.25">
      <c r="A19702">
        <v>591</v>
      </c>
      <c r="B19702" t="s">
        <v>4726</v>
      </c>
      <c r="C19702" t="s">
        <v>10</v>
      </c>
      <c r="D19702" t="s">
        <v>4731</v>
      </c>
      <c r="E19702">
        <f>1/138</f>
        <v>7.246376811594203E-3</v>
      </c>
      <c r="F19702">
        <v>1</v>
      </c>
      <c r="G19702">
        <f>LOG(382/(1+1))</f>
        <v>2.2810333672477277</v>
      </c>
      <c r="H19702">
        <f>0.0072463768115942*5.25227342804663</f>
        <v>3.8059952377149479E-2</v>
      </c>
      <c r="I19702">
        <v>3.8059952377149493E-2</v>
      </c>
    </row>
    <row r="19703" spans="1:9" x14ac:dyDescent="0.25">
      <c r="A19703">
        <v>591</v>
      </c>
      <c r="B19703" t="s">
        <v>4726</v>
      </c>
      <c r="C19703" t="s">
        <v>10</v>
      </c>
      <c r="D19703" t="s">
        <v>4732</v>
      </c>
      <c r="E19703">
        <f>3/138</f>
        <v>2.1739130434782608E-2</v>
      </c>
      <c r="F19703">
        <v>1</v>
      </c>
      <c r="G19703">
        <f>LOG(382/(1+1))</f>
        <v>2.2810333672477277</v>
      </c>
      <c r="H19703">
        <f>0.0217391304347826*5.25227342804663</f>
        <v>0.11417985713144843</v>
      </c>
      <c r="I19703">
        <v>0.1141798571314485</v>
      </c>
    </row>
    <row r="19704" spans="1:9" x14ac:dyDescent="0.25">
      <c r="A19704">
        <v>591</v>
      </c>
      <c r="B19704" t="s">
        <v>4726</v>
      </c>
      <c r="C19704" t="s">
        <v>10</v>
      </c>
      <c r="D19704" t="s">
        <v>4515</v>
      </c>
      <c r="E19704">
        <f>2/138</f>
        <v>1.4492753623188406E-2</v>
      </c>
      <c r="F19704">
        <v>2</v>
      </c>
      <c r="G19704">
        <f>LOG(382/(2+1))</f>
        <v>2.1049421081920463</v>
      </c>
      <c r="H19704">
        <f>0.0144927536231884*4.84680831993846</f>
        <v>7.0243598839687796E-2</v>
      </c>
      <c r="I19704">
        <v>7.0243598839687907E-2</v>
      </c>
    </row>
    <row r="19705" spans="1:9" x14ac:dyDescent="0.25">
      <c r="A19705">
        <v>591</v>
      </c>
      <c r="B19705" t="s">
        <v>4726</v>
      </c>
      <c r="C19705" t="s">
        <v>10</v>
      </c>
      <c r="D19705" t="s">
        <v>1186</v>
      </c>
      <c r="E19705">
        <f>1/138</f>
        <v>7.246376811594203E-3</v>
      </c>
      <c r="F19705">
        <v>3</v>
      </c>
      <c r="G19705">
        <f>LOG(382/(3+1))</f>
        <v>1.9800033715837464</v>
      </c>
      <c r="H19705">
        <f>0.0072463768115942*4.55912624748668</f>
        <v>3.3037146720917961E-2</v>
      </c>
      <c r="I19705">
        <v>3.3037146720918002E-2</v>
      </c>
    </row>
    <row r="19706" spans="1:9" x14ac:dyDescent="0.25">
      <c r="A19706">
        <v>591</v>
      </c>
      <c r="B19706" t="s">
        <v>4726</v>
      </c>
      <c r="C19706" t="s">
        <v>10</v>
      </c>
      <c r="D19706" t="s">
        <v>25</v>
      </c>
      <c r="E19706">
        <f>2/138</f>
        <v>1.4492753623188406E-2</v>
      </c>
      <c r="F19706">
        <v>106</v>
      </c>
      <c r="G19706">
        <f>LOG(382/(106+1))</f>
        <v>0.55267958522649907</v>
      </c>
      <c r="H19706">
        <f>0.0144927536231884*1.27259177414466</f>
        <v>1.8443359045574776E-2</v>
      </c>
      <c r="I19706">
        <v>1.8443359045574911E-2</v>
      </c>
    </row>
    <row r="19707" spans="1:9" x14ac:dyDescent="0.25">
      <c r="A19707">
        <v>591</v>
      </c>
      <c r="B19707" t="s">
        <v>4726</v>
      </c>
      <c r="C19707" t="s">
        <v>10</v>
      </c>
      <c r="D19707" t="s">
        <v>399</v>
      </c>
      <c r="E19707">
        <f t="shared" ref="E19707:E19719" si="940">1/138</f>
        <v>7.246376811594203E-3</v>
      </c>
      <c r="F19707">
        <v>27</v>
      </c>
      <c r="G19707">
        <f>LOG(382/(27+1))</f>
        <v>1.1349053315694895</v>
      </c>
      <c r="H19707">
        <f>0.0072463768115942*2.61321609843137</f>
        <v>1.8936348539357748E-2</v>
      </c>
      <c r="I19707">
        <v>1.8936348539357759E-2</v>
      </c>
    </row>
    <row r="19708" spans="1:9" x14ac:dyDescent="0.25">
      <c r="A19708">
        <v>591</v>
      </c>
      <c r="B19708" t="s">
        <v>4726</v>
      </c>
      <c r="C19708" t="s">
        <v>10</v>
      </c>
      <c r="D19708" t="s">
        <v>680</v>
      </c>
      <c r="E19708">
        <f t="shared" si="940"/>
        <v>7.246376811594203E-3</v>
      </c>
      <c r="F19708">
        <v>25</v>
      </c>
      <c r="G19708">
        <f>LOG(382/(25+1))</f>
        <v>1.1670900149408907</v>
      </c>
      <c r="H19708">
        <f>0.0072463768115942*2.68732407058509</f>
        <v>1.9473362830326732E-2</v>
      </c>
      <c r="I19708">
        <v>1.947336283032676E-2</v>
      </c>
    </row>
    <row r="19709" spans="1:9" x14ac:dyDescent="0.25">
      <c r="A19709">
        <v>591</v>
      </c>
      <c r="B19709" t="s">
        <v>4726</v>
      </c>
      <c r="C19709" t="s">
        <v>10</v>
      </c>
      <c r="D19709" t="s">
        <v>907</v>
      </c>
      <c r="E19709">
        <f t="shared" si="940"/>
        <v>7.246376811594203E-3</v>
      </c>
      <c r="F19709">
        <v>6</v>
      </c>
      <c r="G19709">
        <f>LOG(382/(6+1))</f>
        <v>1.736965322897452</v>
      </c>
      <c r="H19709">
        <f>0.0072463768115942*3.99951045955126</f>
        <v>2.8981959851820716E-2</v>
      </c>
      <c r="I19709">
        <v>2.8981959851820741E-2</v>
      </c>
    </row>
    <row r="19710" spans="1:9" x14ac:dyDescent="0.25">
      <c r="A19710">
        <v>591</v>
      </c>
      <c r="B19710" t="s">
        <v>4726</v>
      </c>
      <c r="C19710" t="s">
        <v>10</v>
      </c>
      <c r="D19710" t="s">
        <v>52</v>
      </c>
      <c r="E19710">
        <f t="shared" si="940"/>
        <v>7.246376811594203E-3</v>
      </c>
      <c r="F19710">
        <v>35</v>
      </c>
      <c r="G19710">
        <f>LOG(382/(35+1))</f>
        <v>1.0257608621444214</v>
      </c>
      <c r="H19710">
        <f>0.0072463768115942*2.36190167015046</f>
        <v>1.7115229493843906E-2</v>
      </c>
      <c r="I19710">
        <v>1.7115229493843951E-2</v>
      </c>
    </row>
    <row r="19711" spans="1:9" x14ac:dyDescent="0.25">
      <c r="A19711">
        <v>591</v>
      </c>
      <c r="B19711" t="s">
        <v>4726</v>
      </c>
      <c r="C19711" t="s">
        <v>10</v>
      </c>
      <c r="D19711" t="s">
        <v>720</v>
      </c>
      <c r="E19711">
        <f t="shared" si="940"/>
        <v>7.246376811594203E-3</v>
      </c>
      <c r="F19711">
        <v>9</v>
      </c>
      <c r="G19711">
        <f>LOG(382/(9+1))</f>
        <v>1.5820633629117087</v>
      </c>
      <c r="H19711">
        <f>0.0072463768115942*3.64283551561252</f>
        <v>2.6397358808786367E-2</v>
      </c>
      <c r="I19711">
        <v>2.639735880878645E-2</v>
      </c>
    </row>
    <row r="19712" spans="1:9" x14ac:dyDescent="0.25">
      <c r="A19712">
        <v>591</v>
      </c>
      <c r="B19712" t="s">
        <v>4726</v>
      </c>
      <c r="C19712" t="s">
        <v>10</v>
      </c>
      <c r="D19712" t="s">
        <v>3110</v>
      </c>
      <c r="E19712">
        <f t="shared" si="940"/>
        <v>7.246376811594203E-3</v>
      </c>
      <c r="F19712">
        <v>3</v>
      </c>
      <c r="G19712">
        <f>LOG(382/(3+1))</f>
        <v>1.9800033715837464</v>
      </c>
      <c r="H19712">
        <f>0.0072463768115942*4.55912624748668</f>
        <v>3.3037146720917961E-2</v>
      </c>
      <c r="I19712">
        <v>3.3037146720918002E-2</v>
      </c>
    </row>
    <row r="19713" spans="1:9" x14ac:dyDescent="0.25">
      <c r="A19713">
        <v>591</v>
      </c>
      <c r="B19713" t="s">
        <v>4726</v>
      </c>
      <c r="C19713" t="s">
        <v>10</v>
      </c>
      <c r="D19713" t="s">
        <v>4733</v>
      </c>
      <c r="E19713">
        <f t="shared" si="940"/>
        <v>7.246376811594203E-3</v>
      </c>
      <c r="F19713">
        <v>1</v>
      </c>
      <c r="G19713">
        <f>LOG(382/(1+1))</f>
        <v>2.2810333672477277</v>
      </c>
      <c r="H19713">
        <f>0.0072463768115942*5.25227342804663</f>
        <v>3.8059952377149479E-2</v>
      </c>
      <c r="I19713">
        <v>3.8059952377149493E-2</v>
      </c>
    </row>
    <row r="19714" spans="1:9" x14ac:dyDescent="0.25">
      <c r="A19714">
        <v>591</v>
      </c>
      <c r="B19714" t="s">
        <v>4726</v>
      </c>
      <c r="C19714" t="s">
        <v>10</v>
      </c>
      <c r="D19714" t="s">
        <v>4734</v>
      </c>
      <c r="E19714">
        <f t="shared" si="940"/>
        <v>7.246376811594203E-3</v>
      </c>
      <c r="F19714">
        <v>1</v>
      </c>
      <c r="G19714">
        <f>LOG(382/(1+1))</f>
        <v>2.2810333672477277</v>
      </c>
      <c r="H19714">
        <f>0.0072463768115942*5.25227342804663</f>
        <v>3.8059952377149479E-2</v>
      </c>
      <c r="I19714">
        <v>3.8059952377149493E-2</v>
      </c>
    </row>
    <row r="19715" spans="1:9" x14ac:dyDescent="0.25">
      <c r="A19715">
        <v>591</v>
      </c>
      <c r="B19715" t="s">
        <v>4726</v>
      </c>
      <c r="C19715" t="s">
        <v>10</v>
      </c>
      <c r="D19715" t="s">
        <v>648</v>
      </c>
      <c r="E19715">
        <f t="shared" si="940"/>
        <v>7.246376811594203E-3</v>
      </c>
      <c r="F19715">
        <v>4</v>
      </c>
      <c r="G19715">
        <f>LOG(382/(4+1))</f>
        <v>1.8830933585756899</v>
      </c>
      <c r="H19715">
        <f>0.0072463768115942*4.33598269617247</f>
        <v>3.1420164465017893E-2</v>
      </c>
      <c r="I19715">
        <v>3.1420164465017927E-2</v>
      </c>
    </row>
    <row r="19716" spans="1:9" x14ac:dyDescent="0.25">
      <c r="A19716">
        <v>591</v>
      </c>
      <c r="B19716" t="s">
        <v>4726</v>
      </c>
      <c r="C19716" t="s">
        <v>10</v>
      </c>
      <c r="D19716" t="s">
        <v>4735</v>
      </c>
      <c r="E19716">
        <f t="shared" si="940"/>
        <v>7.246376811594203E-3</v>
      </c>
      <c r="F19716">
        <v>1</v>
      </c>
      <c r="G19716">
        <f>LOG(382/(1+1))</f>
        <v>2.2810333672477277</v>
      </c>
      <c r="H19716">
        <f>0.0072463768115942*5.25227342804663</f>
        <v>3.8059952377149479E-2</v>
      </c>
      <c r="I19716">
        <v>3.8059952377149493E-2</v>
      </c>
    </row>
    <row r="19717" spans="1:9" x14ac:dyDescent="0.25">
      <c r="A19717">
        <v>591</v>
      </c>
      <c r="B19717" t="s">
        <v>4726</v>
      </c>
      <c r="C19717" t="s">
        <v>10</v>
      </c>
      <c r="D19717" t="s">
        <v>4645</v>
      </c>
      <c r="E19717">
        <f t="shared" si="940"/>
        <v>7.246376811594203E-3</v>
      </c>
      <c r="F19717">
        <v>2</v>
      </c>
      <c r="G19717">
        <f>LOG(382/(2+1))</f>
        <v>2.1049421081920463</v>
      </c>
      <c r="H19717">
        <f>0.0072463768115942*4.84680831993846</f>
        <v>3.5121799419843898E-2</v>
      </c>
      <c r="I19717">
        <v>3.5121799419843953E-2</v>
      </c>
    </row>
    <row r="19718" spans="1:9" x14ac:dyDescent="0.25">
      <c r="A19718">
        <v>591</v>
      </c>
      <c r="B19718" t="s">
        <v>4726</v>
      </c>
      <c r="C19718" t="s">
        <v>10</v>
      </c>
      <c r="D19718" t="s">
        <v>4736</v>
      </c>
      <c r="E19718">
        <f t="shared" si="940"/>
        <v>7.246376811594203E-3</v>
      </c>
      <c r="F19718">
        <v>1</v>
      </c>
      <c r="G19718">
        <f>LOG(382/(1+1))</f>
        <v>2.2810333672477277</v>
      </c>
      <c r="H19718">
        <f>0.0072463768115942*5.25227342804663</f>
        <v>3.8059952377149479E-2</v>
      </c>
      <c r="I19718">
        <v>3.8059952377149493E-2</v>
      </c>
    </row>
    <row r="19719" spans="1:9" x14ac:dyDescent="0.25">
      <c r="A19719">
        <v>591</v>
      </c>
      <c r="B19719" t="s">
        <v>4726</v>
      </c>
      <c r="C19719" t="s">
        <v>10</v>
      </c>
      <c r="D19719" t="s">
        <v>4737</v>
      </c>
      <c r="E19719">
        <f t="shared" si="940"/>
        <v>7.246376811594203E-3</v>
      </c>
      <c r="F19719">
        <v>1</v>
      </c>
      <c r="G19719">
        <f>LOG(382/(1+1))</f>
        <v>2.2810333672477277</v>
      </c>
      <c r="H19719">
        <f>0.0072463768115942*5.25227342804663</f>
        <v>3.8059952377149479E-2</v>
      </c>
      <c r="I19719">
        <v>3.8059952377149493E-2</v>
      </c>
    </row>
    <row r="19720" spans="1:9" x14ac:dyDescent="0.25">
      <c r="A19720">
        <v>591</v>
      </c>
      <c r="B19720" t="s">
        <v>4726</v>
      </c>
      <c r="C19720" t="s">
        <v>10</v>
      </c>
      <c r="D19720" t="s">
        <v>398</v>
      </c>
      <c r="E19720">
        <f>2/138</f>
        <v>1.4492753623188406E-2</v>
      </c>
      <c r="F19720">
        <v>14</v>
      </c>
      <c r="G19720">
        <f>LOG(382/(14+1))</f>
        <v>1.4059721038560276</v>
      </c>
      <c r="H19720">
        <f>0.0144927536231884*3.23737040750436</f>
        <v>4.6918411702961724E-2</v>
      </c>
      <c r="I19720">
        <v>4.6918411702961807E-2</v>
      </c>
    </row>
    <row r="19721" spans="1:9" x14ac:dyDescent="0.25">
      <c r="A19721">
        <v>591</v>
      </c>
      <c r="B19721" t="s">
        <v>4726</v>
      </c>
      <c r="C19721" t="s">
        <v>10</v>
      </c>
      <c r="D19721" t="s">
        <v>1127</v>
      </c>
      <c r="E19721">
        <f t="shared" ref="E19721:E19730" si="941">1/138</f>
        <v>7.246376811594203E-3</v>
      </c>
      <c r="F19721">
        <v>18</v>
      </c>
      <c r="G19721">
        <f>LOG(382/(18+1))</f>
        <v>1.3033097619588798</v>
      </c>
      <c r="H19721">
        <f>0.0072463768115942*3.00098162944013</f>
        <v>2.1746243691595137E-2</v>
      </c>
      <c r="I19721">
        <v>2.1746243691595179E-2</v>
      </c>
    </row>
    <row r="19722" spans="1:9" x14ac:dyDescent="0.25">
      <c r="A19722">
        <v>591</v>
      </c>
      <c r="B19722" t="s">
        <v>4726</v>
      </c>
      <c r="C19722" t="s">
        <v>10</v>
      </c>
      <c r="D19722" t="s">
        <v>131</v>
      </c>
      <c r="E19722">
        <f t="shared" si="941"/>
        <v>7.246376811594203E-3</v>
      </c>
      <c r="F19722">
        <v>38</v>
      </c>
      <c r="G19722">
        <f>LOG(382/(38+1))</f>
        <v>0.99099875588520958</v>
      </c>
      <c r="H19722">
        <f>0.0072463768115942*2.28185896247692</f>
        <v>1.6535209873021154E-2</v>
      </c>
      <c r="I19722">
        <v>1.653520987302122E-2</v>
      </c>
    </row>
    <row r="19723" spans="1:9" x14ac:dyDescent="0.25">
      <c r="A19723">
        <v>591</v>
      </c>
      <c r="B19723" t="s">
        <v>4726</v>
      </c>
      <c r="C19723" t="s">
        <v>10</v>
      </c>
      <c r="D19723" t="s">
        <v>1446</v>
      </c>
      <c r="E19723">
        <f t="shared" si="941"/>
        <v>7.246376811594203E-3</v>
      </c>
      <c r="F19723">
        <v>8</v>
      </c>
      <c r="G19723">
        <f>LOG(382/(8+1))</f>
        <v>1.6278208534723839</v>
      </c>
      <c r="H19723">
        <f>0.0072463768115942*3.74819603127035</f>
        <v>2.7160840806306874E-2</v>
      </c>
      <c r="I19723">
        <v>2.716084080630693E-2</v>
      </c>
    </row>
    <row r="19724" spans="1:9" x14ac:dyDescent="0.25">
      <c r="A19724">
        <v>591</v>
      </c>
      <c r="B19724" t="s">
        <v>4726</v>
      </c>
      <c r="C19724" t="s">
        <v>10</v>
      </c>
      <c r="D19724" t="s">
        <v>2054</v>
      </c>
      <c r="E19724">
        <f t="shared" si="941"/>
        <v>7.246376811594203E-3</v>
      </c>
      <c r="F19724">
        <v>2</v>
      </c>
      <c r="G19724">
        <f>LOG(382/(2+1))</f>
        <v>2.1049421081920463</v>
      </c>
      <c r="H19724">
        <f>0.0072463768115942*4.84680831993846</f>
        <v>3.5121799419843898E-2</v>
      </c>
      <c r="I19724">
        <v>3.5121799419843953E-2</v>
      </c>
    </row>
    <row r="19725" spans="1:9" x14ac:dyDescent="0.25">
      <c r="A19725">
        <v>591</v>
      </c>
      <c r="B19725" t="s">
        <v>4726</v>
      </c>
      <c r="C19725" t="s">
        <v>10</v>
      </c>
      <c r="D19725" t="s">
        <v>4738</v>
      </c>
      <c r="E19725">
        <f t="shared" si="941"/>
        <v>7.246376811594203E-3</v>
      </c>
      <c r="F19725">
        <v>1</v>
      </c>
      <c r="G19725">
        <f>LOG(382/(1+1))</f>
        <v>2.2810333672477277</v>
      </c>
      <c r="H19725">
        <f>0.0072463768115942*5.25227342804663</f>
        <v>3.8059952377149479E-2</v>
      </c>
      <c r="I19725">
        <v>3.8059952377149493E-2</v>
      </c>
    </row>
    <row r="19726" spans="1:9" x14ac:dyDescent="0.25">
      <c r="A19726">
        <v>591</v>
      </c>
      <c r="B19726" t="s">
        <v>4726</v>
      </c>
      <c r="C19726" t="s">
        <v>10</v>
      </c>
      <c r="D19726" t="s">
        <v>573</v>
      </c>
      <c r="E19726">
        <f t="shared" si="941"/>
        <v>7.246376811594203E-3</v>
      </c>
      <c r="F19726">
        <v>14</v>
      </c>
      <c r="G19726">
        <f>LOG(382/(14+1))</f>
        <v>1.4059721038560276</v>
      </c>
      <c r="H19726">
        <f>0.0072463768115942*3.23737040750436</f>
        <v>2.3459205851480862E-2</v>
      </c>
      <c r="I19726">
        <v>2.345920585148091E-2</v>
      </c>
    </row>
    <row r="19727" spans="1:9" x14ac:dyDescent="0.25">
      <c r="A19727">
        <v>591</v>
      </c>
      <c r="B19727" t="s">
        <v>4726</v>
      </c>
      <c r="C19727" t="s">
        <v>10</v>
      </c>
      <c r="D19727" t="s">
        <v>1731</v>
      </c>
      <c r="E19727">
        <f t="shared" si="941"/>
        <v>7.246376811594203E-3</v>
      </c>
      <c r="F19727">
        <v>15</v>
      </c>
      <c r="G19727">
        <f>LOG(382/(15+1))</f>
        <v>1.3779433802557839</v>
      </c>
      <c r="H19727">
        <f>0.0072463768115942*3.17283188636679</f>
        <v>2.2991535408454992E-2</v>
      </c>
      <c r="I19727">
        <v>2.2991535408455031E-2</v>
      </c>
    </row>
    <row r="19728" spans="1:9" x14ac:dyDescent="0.25">
      <c r="A19728">
        <v>591</v>
      </c>
      <c r="B19728" t="s">
        <v>4726</v>
      </c>
      <c r="C19728" t="s">
        <v>10</v>
      </c>
      <c r="D19728" t="s">
        <v>4739</v>
      </c>
      <c r="E19728">
        <f t="shared" si="941"/>
        <v>7.246376811594203E-3</v>
      </c>
      <c r="F19728">
        <v>1</v>
      </c>
      <c r="G19728">
        <f>LOG(382/(1+1))</f>
        <v>2.2810333672477277</v>
      </c>
      <c r="H19728">
        <f>0.0072463768115942*5.25227342804663</f>
        <v>3.8059952377149479E-2</v>
      </c>
      <c r="I19728">
        <v>3.8059952377149493E-2</v>
      </c>
    </row>
    <row r="19729" spans="1:9" x14ac:dyDescent="0.25">
      <c r="A19729">
        <v>591</v>
      </c>
      <c r="B19729" t="s">
        <v>4726</v>
      </c>
      <c r="C19729" t="s">
        <v>10</v>
      </c>
      <c r="D19729" t="s">
        <v>776</v>
      </c>
      <c r="E19729">
        <f t="shared" si="941"/>
        <v>7.246376811594203E-3</v>
      </c>
      <c r="F19729">
        <v>15</v>
      </c>
      <c r="G19729">
        <f>LOG(382/(15+1))</f>
        <v>1.3779433802557839</v>
      </c>
      <c r="H19729">
        <f>0.0072463768115942*3.17283188636679</f>
        <v>2.2991535408454992E-2</v>
      </c>
      <c r="I19729">
        <v>2.2991535408455031E-2</v>
      </c>
    </row>
    <row r="19730" spans="1:9" x14ac:dyDescent="0.25">
      <c r="A19730">
        <v>591</v>
      </c>
      <c r="B19730" t="s">
        <v>4726</v>
      </c>
      <c r="C19730" t="s">
        <v>10</v>
      </c>
      <c r="D19730" t="s">
        <v>123</v>
      </c>
      <c r="E19730">
        <f t="shared" si="941"/>
        <v>7.246376811594203E-3</v>
      </c>
      <c r="F19730">
        <v>74</v>
      </c>
      <c r="G19730">
        <f>LOG(382/(74+1))</f>
        <v>0.7070020995200087</v>
      </c>
      <c r="H19730">
        <f>0.0072463768115942*1.62793249507026</f>
        <v>1.1796612283117822E-2</v>
      </c>
      <c r="I19730">
        <v>1.179661228311786E-2</v>
      </c>
    </row>
    <row r="19731" spans="1:9" x14ac:dyDescent="0.25">
      <c r="A19731">
        <v>591</v>
      </c>
      <c r="B19731" t="s">
        <v>4726</v>
      </c>
      <c r="C19731" t="s">
        <v>10</v>
      </c>
      <c r="D19731" t="s">
        <v>1857</v>
      </c>
      <c r="E19731">
        <f>2/138</f>
        <v>1.4492753623188406E-2</v>
      </c>
      <c r="F19731">
        <v>17</v>
      </c>
      <c r="G19731">
        <f>LOG(382/(17+1))</f>
        <v>1.3267908578084027</v>
      </c>
      <c r="H19731">
        <f>0.0144927536231884*3.05504885071041</f>
        <v>4.4276070300150849E-2</v>
      </c>
      <c r="I19731">
        <v>4.4276070300150877E-2</v>
      </c>
    </row>
    <row r="19732" spans="1:9" x14ac:dyDescent="0.25">
      <c r="A19732">
        <v>591</v>
      </c>
      <c r="B19732" t="s">
        <v>4726</v>
      </c>
      <c r="C19732" t="s">
        <v>10</v>
      </c>
      <c r="D19732" t="s">
        <v>3214</v>
      </c>
      <c r="E19732">
        <f>1/138</f>
        <v>7.246376811594203E-3</v>
      </c>
      <c r="F19732">
        <v>3</v>
      </c>
      <c r="G19732">
        <f>LOG(382/(3+1))</f>
        <v>1.9800033715837464</v>
      </c>
      <c r="H19732">
        <f>0.0072463768115942*4.55912624748668</f>
        <v>3.3037146720917961E-2</v>
      </c>
      <c r="I19732">
        <v>3.3037146720918002E-2</v>
      </c>
    </row>
    <row r="19733" spans="1:9" x14ac:dyDescent="0.25">
      <c r="A19733">
        <v>591</v>
      </c>
      <c r="B19733" t="s">
        <v>4726</v>
      </c>
      <c r="C19733" t="s">
        <v>10</v>
      </c>
      <c r="D19733" t="s">
        <v>1708</v>
      </c>
      <c r="E19733">
        <f>1/138</f>
        <v>7.246376811594203E-3</v>
      </c>
      <c r="F19733">
        <v>7</v>
      </c>
      <c r="G19733">
        <f>LOG(382/(7+1))</f>
        <v>1.6789733759197651</v>
      </c>
      <c r="H19733">
        <f>0.0072463768115942*3.86597906692673</f>
        <v>2.8014341064686442E-2</v>
      </c>
      <c r="I19733">
        <v>2.8014341064686511E-2</v>
      </c>
    </row>
    <row r="19734" spans="1:9" x14ac:dyDescent="0.25">
      <c r="A19734">
        <v>591</v>
      </c>
      <c r="B19734" t="s">
        <v>4726</v>
      </c>
      <c r="C19734" t="s">
        <v>10</v>
      </c>
      <c r="D19734" t="s">
        <v>485</v>
      </c>
      <c r="E19734">
        <f>1/138</f>
        <v>7.246376811594203E-3</v>
      </c>
      <c r="F19734">
        <v>74</v>
      </c>
      <c r="G19734">
        <f>LOG(382/(74+1))</f>
        <v>0.7070020995200087</v>
      </c>
      <c r="H19734">
        <f>0.0072463768115942*1.62793249507026</f>
        <v>1.1796612283117822E-2</v>
      </c>
      <c r="I19734">
        <v>1.179661228311786E-2</v>
      </c>
    </row>
    <row r="19735" spans="1:9" x14ac:dyDescent="0.25">
      <c r="A19735">
        <v>591</v>
      </c>
      <c r="B19735" t="s">
        <v>4726</v>
      </c>
      <c r="C19735" t="s">
        <v>10</v>
      </c>
      <c r="D19735" t="s">
        <v>764</v>
      </c>
      <c r="E19735">
        <f>1/138</f>
        <v>7.246376811594203E-3</v>
      </c>
      <c r="F19735">
        <v>57</v>
      </c>
      <c r="G19735">
        <f>LOG(382/(57+1))</f>
        <v>0.81863536934877146</v>
      </c>
      <c r="H19735">
        <f>0.0072463768115942*1.88497759806015</f>
        <v>1.3659257956957604E-2</v>
      </c>
      <c r="I19735">
        <v>1.365925795695765E-2</v>
      </c>
    </row>
    <row r="19736" spans="1:9" x14ac:dyDescent="0.25">
      <c r="A19736">
        <v>591</v>
      </c>
      <c r="B19736" t="s">
        <v>4726</v>
      </c>
      <c r="C19736" t="s">
        <v>10</v>
      </c>
      <c r="D19736" t="s">
        <v>222</v>
      </c>
      <c r="E19736">
        <f>1/138</f>
        <v>7.246376811594203E-3</v>
      </c>
      <c r="F19736">
        <v>22</v>
      </c>
      <c r="G19736">
        <f>LOG(382/(22+1))</f>
        <v>1.2203355268941158</v>
      </c>
      <c r="H19736">
        <f>0.0072463768115942*2.80992639267742</f>
        <v>2.0361785454184194E-2</v>
      </c>
      <c r="I19736">
        <v>2.0361785454184239E-2</v>
      </c>
    </row>
    <row r="19737" spans="1:9" x14ac:dyDescent="0.25">
      <c r="A19737">
        <v>591</v>
      </c>
      <c r="B19737" t="s">
        <v>4726</v>
      </c>
      <c r="C19737" t="s">
        <v>10</v>
      </c>
      <c r="D19737" t="s">
        <v>133</v>
      </c>
      <c r="E19737">
        <f>3/138</f>
        <v>2.1739130434782608E-2</v>
      </c>
      <c r="F19737">
        <v>142</v>
      </c>
      <c r="G19737">
        <f>LOG(382/(142+1))</f>
        <v>0.42672732544664693</v>
      </c>
      <c r="H19737">
        <f>0.0217391304347826*0.982575978346667</f>
        <v>2.1360347355362318E-2</v>
      </c>
      <c r="I19737">
        <v>2.1360347355362349E-2</v>
      </c>
    </row>
    <row r="19738" spans="1:9" x14ac:dyDescent="0.25">
      <c r="A19738">
        <v>591</v>
      </c>
      <c r="B19738" t="s">
        <v>4726</v>
      </c>
      <c r="C19738" t="s">
        <v>10</v>
      </c>
      <c r="D19738" t="s">
        <v>1727</v>
      </c>
      <c r="E19738">
        <f t="shared" ref="E19738:E19743" si="942">1/138</f>
        <v>7.246376811594203E-3</v>
      </c>
      <c r="F19738">
        <v>27</v>
      </c>
      <c r="G19738">
        <f>LOG(382/(27+1))</f>
        <v>1.1349053315694895</v>
      </c>
      <c r="H19738">
        <f>0.0072463768115942*2.61321609843137</f>
        <v>1.8936348539357748E-2</v>
      </c>
      <c r="I19738">
        <v>1.8936348539357759E-2</v>
      </c>
    </row>
    <row r="19739" spans="1:9" x14ac:dyDescent="0.25">
      <c r="A19739">
        <v>591</v>
      </c>
      <c r="B19739" t="s">
        <v>4726</v>
      </c>
      <c r="C19739" t="s">
        <v>10</v>
      </c>
      <c r="D19739" t="s">
        <v>65</v>
      </c>
      <c r="E19739">
        <f t="shared" si="942"/>
        <v>7.246376811594203E-3</v>
      </c>
      <c r="F19739">
        <v>32</v>
      </c>
      <c r="G19739">
        <f>LOG(382/(32+1))</f>
        <v>1.0635494230338212</v>
      </c>
      <c r="H19739">
        <f>0.0072463768115942*2.44891304714009</f>
        <v>1.7745746718406445E-2</v>
      </c>
      <c r="I19739">
        <v>1.774574671840649E-2</v>
      </c>
    </row>
    <row r="19740" spans="1:9" x14ac:dyDescent="0.25">
      <c r="A19740">
        <v>591</v>
      </c>
      <c r="B19740" t="s">
        <v>4726</v>
      </c>
      <c r="C19740" t="s">
        <v>10</v>
      </c>
      <c r="D19740" t="s">
        <v>936</v>
      </c>
      <c r="E19740">
        <f t="shared" si="942"/>
        <v>7.246376811594203E-3</v>
      </c>
      <c r="F19740">
        <v>21</v>
      </c>
      <c r="G19740">
        <f>LOG(382/(21+1))</f>
        <v>1.2396406820895025</v>
      </c>
      <c r="H19740">
        <f>0.0072463768115942*2.85437815524825</f>
        <v>2.0683899675711947E-2</v>
      </c>
      <c r="I19740">
        <v>2.068389967571202E-2</v>
      </c>
    </row>
    <row r="19741" spans="1:9" x14ac:dyDescent="0.25">
      <c r="A19741">
        <v>591</v>
      </c>
      <c r="B19741" t="s">
        <v>4726</v>
      </c>
      <c r="C19741" t="s">
        <v>10</v>
      </c>
      <c r="D19741" t="s">
        <v>79</v>
      </c>
      <c r="E19741">
        <f t="shared" si="942"/>
        <v>7.246376811594203E-3</v>
      </c>
      <c r="F19741">
        <v>26</v>
      </c>
      <c r="G19741">
        <f>LOG(382/(26+1))</f>
        <v>1.1506995987527215</v>
      </c>
      <c r="H19741">
        <f>0.0072463768115942*2.64958374260224</f>
        <v>1.9199882192769847E-2</v>
      </c>
      <c r="I19741">
        <v>1.9199882192769899E-2</v>
      </c>
    </row>
    <row r="19742" spans="1:9" x14ac:dyDescent="0.25">
      <c r="A19742">
        <v>591</v>
      </c>
      <c r="B19742" t="s">
        <v>4726</v>
      </c>
      <c r="C19742" t="s">
        <v>10</v>
      </c>
      <c r="D19742" t="s">
        <v>76</v>
      </c>
      <c r="E19742">
        <f t="shared" si="942"/>
        <v>7.246376811594203E-3</v>
      </c>
      <c r="F19742">
        <v>140</v>
      </c>
      <c r="G19742">
        <f>LOG(382/(140+1))</f>
        <v>0.43284425025632883</v>
      </c>
      <c r="H19742">
        <f>0.0072463768115942*0.996660718228407</f>
        <v>7.2221791175971495E-3</v>
      </c>
      <c r="I19742">
        <v>7.2221791175971521E-3</v>
      </c>
    </row>
    <row r="19743" spans="1:9" x14ac:dyDescent="0.25">
      <c r="A19743">
        <v>591</v>
      </c>
      <c r="B19743" t="s">
        <v>4726</v>
      </c>
      <c r="C19743" t="s">
        <v>10</v>
      </c>
      <c r="D19743" t="s">
        <v>2189</v>
      </c>
      <c r="E19743">
        <f t="shared" si="942"/>
        <v>7.246376811594203E-3</v>
      </c>
      <c r="F19743">
        <v>12</v>
      </c>
      <c r="G19743">
        <f>LOG(382/(12+1))</f>
        <v>1.468120010604872</v>
      </c>
      <c r="H19743">
        <f>0.0072463768115942*3.38047125114503</f>
        <v>2.4496168486558181E-2</v>
      </c>
      <c r="I19743">
        <v>2.4496168486558251E-2</v>
      </c>
    </row>
    <row r="19744" spans="1:9" x14ac:dyDescent="0.25">
      <c r="A19744">
        <v>591</v>
      </c>
      <c r="B19744" t="s">
        <v>4726</v>
      </c>
      <c r="C19744" t="s">
        <v>10</v>
      </c>
      <c r="D19744" t="s">
        <v>77</v>
      </c>
      <c r="E19744">
        <f>2/138</f>
        <v>1.4492753623188406E-2</v>
      </c>
      <c r="F19744">
        <v>148</v>
      </c>
      <c r="G19744">
        <f>LOG(382/(148+1))</f>
        <v>0.40887709449943471</v>
      </c>
      <c r="H19744">
        <f>0.0144927536231884*0.941474302661116</f>
        <v>1.3644555111030661E-2</v>
      </c>
      <c r="I19744">
        <v>1.364455511103067E-2</v>
      </c>
    </row>
    <row r="19745" spans="1:9" x14ac:dyDescent="0.25">
      <c r="A19745">
        <v>591</v>
      </c>
      <c r="B19745" t="s">
        <v>4726</v>
      </c>
      <c r="C19745" t="s">
        <v>10</v>
      </c>
      <c r="D19745" t="s">
        <v>331</v>
      </c>
      <c r="E19745">
        <f>2/138</f>
        <v>1.4492753623188406E-2</v>
      </c>
      <c r="F19745">
        <v>130</v>
      </c>
      <c r="G19745">
        <f>LOG(382/(130+1))</f>
        <v>0.46479206725594452</v>
      </c>
      <c r="H19745">
        <f>0.0144927536231884*1.07022328540542</f>
        <v>1.5510482397179996E-2</v>
      </c>
      <c r="I19745">
        <v>1.551048239718005E-2</v>
      </c>
    </row>
    <row r="19746" spans="1:9" x14ac:dyDescent="0.25">
      <c r="A19746">
        <v>591</v>
      </c>
      <c r="B19746" t="s">
        <v>4726</v>
      </c>
      <c r="C19746" t="s">
        <v>10</v>
      </c>
      <c r="D19746" t="s">
        <v>4740</v>
      </c>
      <c r="E19746">
        <f t="shared" ref="E19746:E19757" si="943">1/138</f>
        <v>7.246376811594203E-3</v>
      </c>
      <c r="F19746">
        <v>1</v>
      </c>
      <c r="G19746">
        <f>LOG(382/(1+1))</f>
        <v>2.2810333672477277</v>
      </c>
      <c r="H19746">
        <f>0.0072463768115942*5.25227342804663</f>
        <v>3.8059952377149479E-2</v>
      </c>
      <c r="I19746">
        <v>3.8059952377149493E-2</v>
      </c>
    </row>
    <row r="19747" spans="1:9" x14ac:dyDescent="0.25">
      <c r="A19747">
        <v>591</v>
      </c>
      <c r="B19747" t="s">
        <v>4726</v>
      </c>
      <c r="C19747" t="s">
        <v>10</v>
      </c>
      <c r="D19747" t="s">
        <v>4741</v>
      </c>
      <c r="E19747">
        <f t="shared" si="943"/>
        <v>7.246376811594203E-3</v>
      </c>
      <c r="F19747">
        <v>1</v>
      </c>
      <c r="G19747">
        <f>LOG(382/(1+1))</f>
        <v>2.2810333672477277</v>
      </c>
      <c r="H19747">
        <f>0.0072463768115942*5.25227342804663</f>
        <v>3.8059952377149479E-2</v>
      </c>
      <c r="I19747">
        <v>3.8059952377149493E-2</v>
      </c>
    </row>
    <row r="19748" spans="1:9" x14ac:dyDescent="0.25">
      <c r="A19748">
        <v>591</v>
      </c>
      <c r="B19748" t="s">
        <v>4726</v>
      </c>
      <c r="C19748" t="s">
        <v>10</v>
      </c>
      <c r="D19748" t="s">
        <v>1098</v>
      </c>
      <c r="E19748">
        <f t="shared" si="943"/>
        <v>7.246376811594203E-3</v>
      </c>
      <c r="F19748">
        <v>19</v>
      </c>
      <c r="G19748">
        <f>LOG(382/(19+1))</f>
        <v>1.2810333672477277</v>
      </c>
      <c r="H19748">
        <f>0.0072463768115942*2.94968833505258</f>
        <v>2.1374553152554921E-2</v>
      </c>
      <c r="I19748">
        <v>2.1374553152554959E-2</v>
      </c>
    </row>
    <row r="19749" spans="1:9" x14ac:dyDescent="0.25">
      <c r="A19749">
        <v>591</v>
      </c>
      <c r="B19749" t="s">
        <v>4726</v>
      </c>
      <c r="C19749" t="s">
        <v>10</v>
      </c>
      <c r="D19749" t="s">
        <v>1709</v>
      </c>
      <c r="E19749">
        <f t="shared" si="943"/>
        <v>7.246376811594203E-3</v>
      </c>
      <c r="F19749">
        <v>21</v>
      </c>
      <c r="G19749">
        <f>LOG(382/(21+1))</f>
        <v>1.2396406820895025</v>
      </c>
      <c r="H19749">
        <f>0.0072463768115942*2.85437815524825</f>
        <v>2.0683899675711947E-2</v>
      </c>
      <c r="I19749">
        <v>2.068389967571202E-2</v>
      </c>
    </row>
    <row r="19750" spans="1:9" x14ac:dyDescent="0.25">
      <c r="A19750">
        <v>591</v>
      </c>
      <c r="B19750" t="s">
        <v>4726</v>
      </c>
      <c r="C19750" t="s">
        <v>10</v>
      </c>
      <c r="D19750" t="s">
        <v>483</v>
      </c>
      <c r="E19750">
        <f t="shared" si="943"/>
        <v>7.246376811594203E-3</v>
      </c>
      <c r="F19750">
        <v>61</v>
      </c>
      <c r="G19750">
        <f>LOG(382/(61+1))</f>
        <v>0.7896716734134549</v>
      </c>
      <c r="H19750">
        <f>0.0072463768115942*1.81828622356148</f>
        <v>1.3175987127257097E-2</v>
      </c>
      <c r="I19750">
        <v>1.317598712725713E-2</v>
      </c>
    </row>
    <row r="19751" spans="1:9" x14ac:dyDescent="0.25">
      <c r="A19751">
        <v>591</v>
      </c>
      <c r="B19751" t="s">
        <v>4726</v>
      </c>
      <c r="C19751" t="s">
        <v>10</v>
      </c>
      <c r="D19751" t="s">
        <v>811</v>
      </c>
      <c r="E19751">
        <f t="shared" si="943"/>
        <v>7.246376811594203E-3</v>
      </c>
      <c r="F19751">
        <v>27</v>
      </c>
      <c r="G19751">
        <f>LOG(382/(27+1))</f>
        <v>1.1349053315694895</v>
      </c>
      <c r="H19751">
        <f>0.0072463768115942*2.61321609843137</f>
        <v>1.8936348539357748E-2</v>
      </c>
      <c r="I19751">
        <v>1.8936348539357759E-2</v>
      </c>
    </row>
    <row r="19752" spans="1:9" x14ac:dyDescent="0.25">
      <c r="A19752">
        <v>591</v>
      </c>
      <c r="B19752" t="s">
        <v>4726</v>
      </c>
      <c r="C19752" t="s">
        <v>10</v>
      </c>
      <c r="D19752" t="s">
        <v>327</v>
      </c>
      <c r="E19752">
        <f t="shared" si="943"/>
        <v>7.246376811594203E-3</v>
      </c>
      <c r="F19752">
        <v>46</v>
      </c>
      <c r="G19752">
        <f>LOG(382/(46+1))</f>
        <v>0.90996550497599127</v>
      </c>
      <c r="H19752">
        <f>0.0072463768115942*2.09527300689651</f>
        <v>1.5183137731134127E-2</v>
      </c>
      <c r="I19752">
        <v>1.518313773113418E-2</v>
      </c>
    </row>
    <row r="19753" spans="1:9" x14ac:dyDescent="0.25">
      <c r="A19753">
        <v>591</v>
      </c>
      <c r="B19753" t="s">
        <v>4726</v>
      </c>
      <c r="C19753" t="s">
        <v>10</v>
      </c>
      <c r="D19753" t="s">
        <v>600</v>
      </c>
      <c r="E19753">
        <f t="shared" si="943"/>
        <v>7.246376811594203E-3</v>
      </c>
      <c r="F19753">
        <v>102</v>
      </c>
      <c r="G19753">
        <f>LOG(382/(102+1))</f>
        <v>0.56922613820653656</v>
      </c>
      <c r="H19753">
        <f>0.0072463768115942*1.31069162037693</f>
        <v>9.497765365050214E-3</v>
      </c>
      <c r="I19753">
        <v>9.4977653650502852E-3</v>
      </c>
    </row>
    <row r="19754" spans="1:9" x14ac:dyDescent="0.25">
      <c r="A19754">
        <v>591</v>
      </c>
      <c r="B19754" t="s">
        <v>4726</v>
      </c>
      <c r="C19754" t="s">
        <v>10</v>
      </c>
      <c r="D19754" t="s">
        <v>329</v>
      </c>
      <c r="E19754">
        <f t="shared" si="943"/>
        <v>7.246376811594203E-3</v>
      </c>
      <c r="F19754">
        <v>9</v>
      </c>
      <c r="G19754">
        <f>LOG(382/(9+1))</f>
        <v>1.5820633629117087</v>
      </c>
      <c r="H19754">
        <f>0.0072463768115942*3.64283551561252</f>
        <v>2.6397358808786367E-2</v>
      </c>
      <c r="I19754">
        <v>2.639735880878645E-2</v>
      </c>
    </row>
    <row r="19755" spans="1:9" x14ac:dyDescent="0.25">
      <c r="A19755">
        <v>591</v>
      </c>
      <c r="B19755" t="s">
        <v>4726</v>
      </c>
      <c r="C19755" t="s">
        <v>10</v>
      </c>
      <c r="D19755" t="s">
        <v>437</v>
      </c>
      <c r="E19755">
        <f t="shared" si="943"/>
        <v>7.246376811594203E-3</v>
      </c>
      <c r="F19755">
        <v>18</v>
      </c>
      <c r="G19755">
        <f>LOG(382/(18+1))</f>
        <v>1.3033097619588798</v>
      </c>
      <c r="H19755">
        <f>0.0072463768115942*3.00098162944013</f>
        <v>2.1746243691595137E-2</v>
      </c>
      <c r="I19755">
        <v>2.1746243691595179E-2</v>
      </c>
    </row>
    <row r="19756" spans="1:9" x14ac:dyDescent="0.25">
      <c r="A19756">
        <v>591</v>
      </c>
      <c r="B19756" t="s">
        <v>4726</v>
      </c>
      <c r="C19756" t="s">
        <v>10</v>
      </c>
      <c r="D19756" t="s">
        <v>134</v>
      </c>
      <c r="E19756">
        <f t="shared" si="943"/>
        <v>7.246376811594203E-3</v>
      </c>
      <c r="F19756">
        <v>21</v>
      </c>
      <c r="G19756">
        <f>LOG(382/(21+1))</f>
        <v>1.2396406820895025</v>
      </c>
      <c r="H19756">
        <f>0.0072463768115942*2.85437815524825</f>
        <v>2.0683899675711947E-2</v>
      </c>
      <c r="I19756">
        <v>2.068389967571202E-2</v>
      </c>
    </row>
    <row r="19757" spans="1:9" x14ac:dyDescent="0.25">
      <c r="A19757">
        <v>591</v>
      </c>
      <c r="B19757" t="s">
        <v>4726</v>
      </c>
      <c r="C19757" t="s">
        <v>10</v>
      </c>
      <c r="D19757" t="s">
        <v>136</v>
      </c>
      <c r="E19757">
        <f t="shared" si="943"/>
        <v>7.246376811594203E-3</v>
      </c>
      <c r="F19757">
        <v>17</v>
      </c>
      <c r="G19757">
        <f>LOG(382/(17+1))</f>
        <v>1.3267908578084027</v>
      </c>
      <c r="H19757">
        <f>0.0072463768115942*3.05504885071041</f>
        <v>2.2138035150075425E-2</v>
      </c>
      <c r="I19757">
        <v>2.2138035150075439E-2</v>
      </c>
    </row>
    <row r="19758" spans="1:9" x14ac:dyDescent="0.25">
      <c r="A19758">
        <v>592</v>
      </c>
      <c r="B19758" t="s">
        <v>4742</v>
      </c>
      <c r="C19758" t="s">
        <v>10</v>
      </c>
      <c r="D19758" t="s">
        <v>931</v>
      </c>
      <c r="E19758">
        <f>2/112</f>
        <v>1.7857142857142856E-2</v>
      </c>
      <c r="F19758">
        <v>22</v>
      </c>
      <c r="G19758">
        <f>LOG(382/(22+1))</f>
        <v>1.2203355268941158</v>
      </c>
      <c r="H19758">
        <f>0.0178571428571428*2.80992639267742</f>
        <v>5.0177257012096625E-2</v>
      </c>
      <c r="I19758">
        <v>5.0177257012096882E-2</v>
      </c>
    </row>
    <row r="19759" spans="1:9" x14ac:dyDescent="0.25">
      <c r="A19759">
        <v>592</v>
      </c>
      <c r="B19759" t="s">
        <v>4742</v>
      </c>
      <c r="C19759" t="s">
        <v>10</v>
      </c>
      <c r="D19759" t="s">
        <v>11</v>
      </c>
      <c r="E19759">
        <f>5/112</f>
        <v>4.4642857142857144E-2</v>
      </c>
      <c r="F19759">
        <v>83</v>
      </c>
      <c r="G19759">
        <f>LOG(382/(83+1))</f>
        <v>0.65778407684982709</v>
      </c>
      <c r="H19759">
        <f>0.0446428571428571*1.51460380976326</f>
        <v>6.761624150728833E-2</v>
      </c>
      <c r="I19759">
        <v>6.7616241507288455E-2</v>
      </c>
    </row>
    <row r="19760" spans="1:9" x14ac:dyDescent="0.25">
      <c r="A19760">
        <v>592</v>
      </c>
      <c r="B19760" t="s">
        <v>4742</v>
      </c>
      <c r="C19760" t="s">
        <v>10</v>
      </c>
      <c r="D19760" t="s">
        <v>1832</v>
      </c>
      <c r="E19760">
        <f>4/112</f>
        <v>3.5714285714285712E-2</v>
      </c>
      <c r="F19760">
        <v>9</v>
      </c>
      <c r="G19760">
        <f>LOG(382/(9+1))</f>
        <v>1.5820633629117087</v>
      </c>
      <c r="H19760">
        <f>0.0357142857142857*3.64283551561252</f>
        <v>0.1301012684147328</v>
      </c>
      <c r="I19760">
        <v>0.13010126841473321</v>
      </c>
    </row>
    <row r="19761" spans="1:9" x14ac:dyDescent="0.25">
      <c r="A19761">
        <v>592</v>
      </c>
      <c r="B19761" t="s">
        <v>4742</v>
      </c>
      <c r="C19761" t="s">
        <v>10</v>
      </c>
      <c r="D19761" t="s">
        <v>4743</v>
      </c>
      <c r="E19761">
        <f>3/112</f>
        <v>2.6785714285714284E-2</v>
      </c>
      <c r="F19761">
        <v>1</v>
      </c>
      <c r="G19761">
        <f>LOG(382/(1+1))</f>
        <v>2.2810333672477277</v>
      </c>
      <c r="H19761">
        <f>0.0267857142857142*5.25227342804663</f>
        <v>0.14068589539410573</v>
      </c>
      <c r="I19761">
        <v>0.14068589539410609</v>
      </c>
    </row>
    <row r="19762" spans="1:9" x14ac:dyDescent="0.25">
      <c r="A19762">
        <v>592</v>
      </c>
      <c r="B19762" t="s">
        <v>4742</v>
      </c>
      <c r="C19762" t="s">
        <v>10</v>
      </c>
      <c r="D19762" t="s">
        <v>105</v>
      </c>
      <c r="E19762">
        <f>1/112</f>
        <v>8.9285714285714281E-3</v>
      </c>
      <c r="F19762">
        <v>122</v>
      </c>
      <c r="G19762">
        <f>LOG(382/(122+1))</f>
        <v>0.49215825147231079</v>
      </c>
      <c r="H19762">
        <f>0.00892857142857142*1.13323625323415</f>
        <v>1.0118180832447757E-2</v>
      </c>
      <c r="I19762">
        <v>1.0118180832447841E-2</v>
      </c>
    </row>
    <row r="19763" spans="1:9" x14ac:dyDescent="0.25">
      <c r="A19763">
        <v>592</v>
      </c>
      <c r="B19763" t="s">
        <v>4742</v>
      </c>
      <c r="C19763" t="s">
        <v>10</v>
      </c>
      <c r="D19763" t="s">
        <v>1255</v>
      </c>
      <c r="E19763">
        <f>1/112</f>
        <v>8.9285714285714281E-3</v>
      </c>
      <c r="F19763">
        <v>12</v>
      </c>
      <c r="G19763">
        <f>LOG(382/(12+1))</f>
        <v>1.468120010604872</v>
      </c>
      <c r="H19763">
        <f>0.00892857142857142*3.38047125114503</f>
        <v>3.0182779028080593E-2</v>
      </c>
      <c r="I19763">
        <v>3.0182779028080701E-2</v>
      </c>
    </row>
    <row r="19764" spans="1:9" x14ac:dyDescent="0.25">
      <c r="A19764">
        <v>592</v>
      </c>
      <c r="B19764" t="s">
        <v>4742</v>
      </c>
      <c r="C19764" t="s">
        <v>10</v>
      </c>
      <c r="D19764" t="s">
        <v>2353</v>
      </c>
      <c r="E19764">
        <f>1/112</f>
        <v>8.9285714285714281E-3</v>
      </c>
      <c r="F19764">
        <v>2</v>
      </c>
      <c r="G19764">
        <f>LOG(382/(2+1))</f>
        <v>2.1049421081920463</v>
      </c>
      <c r="H19764">
        <f>0.00892857142857142*4.84680831993846</f>
        <v>4.3275074285164777E-2</v>
      </c>
      <c r="I19764">
        <v>4.3275074285164868E-2</v>
      </c>
    </row>
    <row r="19765" spans="1:9" x14ac:dyDescent="0.25">
      <c r="A19765">
        <v>592</v>
      </c>
      <c r="B19765" t="s">
        <v>4742</v>
      </c>
      <c r="C19765" t="s">
        <v>10</v>
      </c>
      <c r="D19765" t="s">
        <v>42</v>
      </c>
      <c r="E19765">
        <f>1/112</f>
        <v>8.9285714285714281E-3</v>
      </c>
      <c r="F19765">
        <v>251</v>
      </c>
      <c r="G19765">
        <f>LOG(382/(251+1))</f>
        <v>0.18066282213016463</v>
      </c>
      <c r="H19765">
        <f>0.00892857142857142*0.415991521095151</f>
        <v>3.71421000977813E-3</v>
      </c>
      <c r="I19765">
        <v>3.7142100097781409E-3</v>
      </c>
    </row>
    <row r="19766" spans="1:9" x14ac:dyDescent="0.25">
      <c r="A19766">
        <v>592</v>
      </c>
      <c r="B19766" t="s">
        <v>4742</v>
      </c>
      <c r="C19766" t="s">
        <v>10</v>
      </c>
      <c r="D19766" t="s">
        <v>15</v>
      </c>
      <c r="E19766">
        <f>2/112</f>
        <v>1.7857142857142856E-2</v>
      </c>
      <c r="F19766">
        <v>112</v>
      </c>
      <c r="G19766">
        <f>LOG(382/(112+1))</f>
        <v>0.52898491942828896</v>
      </c>
      <c r="H19766">
        <f>0.0178571428571428*1.21803278989423</f>
        <v>2.1750585533825466E-2</v>
      </c>
      <c r="I19766">
        <v>2.1750585533825618E-2</v>
      </c>
    </row>
    <row r="19767" spans="1:9" x14ac:dyDescent="0.25">
      <c r="A19767">
        <v>592</v>
      </c>
      <c r="B19767" t="s">
        <v>4742</v>
      </c>
      <c r="C19767" t="s">
        <v>10</v>
      </c>
      <c r="D19767" t="s">
        <v>250</v>
      </c>
      <c r="E19767">
        <f>2/112</f>
        <v>1.7857142857142856E-2</v>
      </c>
      <c r="F19767">
        <v>14</v>
      </c>
      <c r="G19767">
        <f>LOG(382/(14+1))</f>
        <v>1.4059721038560276</v>
      </c>
      <c r="H19767">
        <f>0.0178571428571428*3.23737040750436</f>
        <v>5.7810185848291958E-2</v>
      </c>
      <c r="I19767">
        <v>5.7810185848292242E-2</v>
      </c>
    </row>
    <row r="19768" spans="1:9" x14ac:dyDescent="0.25">
      <c r="A19768">
        <v>592</v>
      </c>
      <c r="B19768" t="s">
        <v>4742</v>
      </c>
      <c r="C19768" t="s">
        <v>10</v>
      </c>
      <c r="D19768" t="s">
        <v>17</v>
      </c>
      <c r="E19768">
        <f>1/112</f>
        <v>8.9285714285714281E-3</v>
      </c>
      <c r="F19768">
        <v>169</v>
      </c>
      <c r="G19768">
        <f>LOG(382/(169+1))</f>
        <v>0.3516144415334348</v>
      </c>
      <c r="H19768">
        <f>0.00892857142857142*0.809622171556313</f>
        <v>7.2287693888956443E-3</v>
      </c>
      <c r="I19768">
        <v>7.2287693888956556E-3</v>
      </c>
    </row>
    <row r="19769" spans="1:9" x14ac:dyDescent="0.25">
      <c r="A19769">
        <v>592</v>
      </c>
      <c r="B19769" t="s">
        <v>4742</v>
      </c>
      <c r="C19769" t="s">
        <v>10</v>
      </c>
      <c r="D19769" t="s">
        <v>920</v>
      </c>
      <c r="E19769">
        <f>1/112</f>
        <v>8.9285714285714281E-3</v>
      </c>
      <c r="F19769">
        <v>30</v>
      </c>
      <c r="G19769">
        <f>LOG(382/(30+1))</f>
        <v>1.090701669077436</v>
      </c>
      <c r="H19769">
        <f>0.00892857142857142*2.51143340412142</f>
        <v>2.2423512536798373E-2</v>
      </c>
      <c r="I19769">
        <v>2.242351253679847E-2</v>
      </c>
    </row>
    <row r="19770" spans="1:9" x14ac:dyDescent="0.25">
      <c r="A19770">
        <v>592</v>
      </c>
      <c r="B19770" t="s">
        <v>4742</v>
      </c>
      <c r="C19770" t="s">
        <v>10</v>
      </c>
      <c r="D19770" t="s">
        <v>19</v>
      </c>
      <c r="E19770">
        <f>1/112</f>
        <v>8.9285714285714281E-3</v>
      </c>
      <c r="F19770">
        <v>220</v>
      </c>
      <c r="G19770">
        <f>LOG(382/(220+1))</f>
        <v>0.23767108922659805</v>
      </c>
      <c r="H19770">
        <f>0.00892857142857142*0.547257907088822</f>
        <v>4.8862313132930491E-3</v>
      </c>
      <c r="I19770">
        <v>4.8862313132930569E-3</v>
      </c>
    </row>
    <row r="19771" spans="1:9" x14ac:dyDescent="0.25">
      <c r="A19771">
        <v>592</v>
      </c>
      <c r="B19771" t="s">
        <v>4742</v>
      </c>
      <c r="C19771" t="s">
        <v>10</v>
      </c>
      <c r="D19771" t="s">
        <v>44</v>
      </c>
      <c r="E19771">
        <f>3/112</f>
        <v>2.6785714285714284E-2</v>
      </c>
      <c r="F19771">
        <v>151</v>
      </c>
      <c r="G19771">
        <f>LOG(382/(151+1))</f>
        <v>0.40021977496693617</v>
      </c>
      <c r="H19771">
        <f>0.0267857142857142*0.921540087760298</f>
        <v>2.4684109493579333E-2</v>
      </c>
      <c r="I19771">
        <v>2.468410949357943E-2</v>
      </c>
    </row>
    <row r="19772" spans="1:9" x14ac:dyDescent="0.25">
      <c r="A19772">
        <v>592</v>
      </c>
      <c r="B19772" t="s">
        <v>4742</v>
      </c>
      <c r="C19772" t="s">
        <v>10</v>
      </c>
      <c r="D19772" t="s">
        <v>22</v>
      </c>
      <c r="E19772">
        <f>1/112</f>
        <v>8.9285714285714281E-3</v>
      </c>
      <c r="F19772">
        <v>259</v>
      </c>
      <c r="G19772">
        <f>LOG(382/(259+1))</f>
        <v>0.16709001494089079</v>
      </c>
      <c r="H19772">
        <f>0.00892857142857142*0.384738977591047</f>
        <v>3.4351694427772021E-3</v>
      </c>
      <c r="I19772">
        <v>3.4351694427772099E-3</v>
      </c>
    </row>
    <row r="19773" spans="1:9" x14ac:dyDescent="0.25">
      <c r="A19773">
        <v>592</v>
      </c>
      <c r="B19773" t="s">
        <v>4742</v>
      </c>
      <c r="C19773" t="s">
        <v>10</v>
      </c>
      <c r="D19773" t="s">
        <v>23</v>
      </c>
      <c r="E19773">
        <f>1/112</f>
        <v>8.9285714285714281E-3</v>
      </c>
      <c r="F19773">
        <v>275</v>
      </c>
      <c r="G19773">
        <f>LOG(382/(275+1))</f>
        <v>0.14115428084649101</v>
      </c>
      <c r="H19773">
        <f>0.00892857142857142*0.325019742889425</f>
        <v>2.9019619900841486E-3</v>
      </c>
      <c r="I19773">
        <v>2.9019619900841529E-3</v>
      </c>
    </row>
    <row r="19774" spans="1:9" x14ac:dyDescent="0.25">
      <c r="A19774">
        <v>592</v>
      </c>
      <c r="B19774" t="s">
        <v>4742</v>
      </c>
      <c r="C19774" t="s">
        <v>10</v>
      </c>
      <c r="D19774" t="s">
        <v>204</v>
      </c>
      <c r="E19774">
        <f>1/112</f>
        <v>8.9285714285714281E-3</v>
      </c>
      <c r="F19774">
        <v>166</v>
      </c>
      <c r="G19774">
        <f>LOG(382/(166+1))</f>
        <v>0.35934689176412549</v>
      </c>
      <c r="H19774">
        <f>0.00892857142857142*0.82742679618982</f>
        <v>7.3877392516948134E-3</v>
      </c>
      <c r="I19774">
        <v>7.387739251694822E-3</v>
      </c>
    </row>
    <row r="19775" spans="1:9" x14ac:dyDescent="0.25">
      <c r="A19775">
        <v>592</v>
      </c>
      <c r="B19775" t="s">
        <v>4742</v>
      </c>
      <c r="C19775" t="s">
        <v>10</v>
      </c>
      <c r="D19775" t="s">
        <v>331</v>
      </c>
      <c r="E19775">
        <f>2/112</f>
        <v>1.7857142857142856E-2</v>
      </c>
      <c r="F19775">
        <v>130</v>
      </c>
      <c r="G19775">
        <f>LOG(382/(130+1))</f>
        <v>0.46479206725594452</v>
      </c>
      <c r="H19775">
        <f>0.0178571428571428*1.07022328540542</f>
        <v>1.9111130096525299E-2</v>
      </c>
      <c r="I19775">
        <v>1.911113009652542E-2</v>
      </c>
    </row>
    <row r="19776" spans="1:9" x14ac:dyDescent="0.25">
      <c r="A19776">
        <v>592</v>
      </c>
      <c r="B19776" t="s">
        <v>4742</v>
      </c>
      <c r="C19776" t="s">
        <v>10</v>
      </c>
      <c r="D19776" t="s">
        <v>4526</v>
      </c>
      <c r="E19776">
        <f>3/112</f>
        <v>2.6785714285714284E-2</v>
      </c>
      <c r="F19776">
        <v>5</v>
      </c>
      <c r="G19776">
        <f>LOG(382/(5+1))</f>
        <v>1.803912112528065</v>
      </c>
      <c r="H19776">
        <f>0.0267857142857142*4.15366113937852</f>
        <v>0.11125878051906714</v>
      </c>
      <c r="I19776">
        <v>0.1112587805190675</v>
      </c>
    </row>
    <row r="19777" spans="1:9" x14ac:dyDescent="0.25">
      <c r="A19777">
        <v>592</v>
      </c>
      <c r="B19777" t="s">
        <v>4742</v>
      </c>
      <c r="C19777" t="s">
        <v>10</v>
      </c>
      <c r="D19777" t="s">
        <v>680</v>
      </c>
      <c r="E19777">
        <f>1/112</f>
        <v>8.9285714285714281E-3</v>
      </c>
      <c r="F19777">
        <v>25</v>
      </c>
      <c r="G19777">
        <f>LOG(382/(25+1))</f>
        <v>1.1670900149408907</v>
      </c>
      <c r="H19777">
        <f>0.00892857142857142*2.68732407058509</f>
        <v>2.399396491593828E-2</v>
      </c>
      <c r="I19777">
        <v>2.3993964915938332E-2</v>
      </c>
    </row>
    <row r="19778" spans="1:9" x14ac:dyDescent="0.25">
      <c r="A19778">
        <v>592</v>
      </c>
      <c r="B19778" t="s">
        <v>4742</v>
      </c>
      <c r="C19778" t="s">
        <v>10</v>
      </c>
      <c r="D19778" t="s">
        <v>190</v>
      </c>
      <c r="E19778">
        <f>1/112</f>
        <v>8.9285714285714281E-3</v>
      </c>
      <c r="F19778">
        <v>23</v>
      </c>
      <c r="G19778">
        <f>LOG(382/(23+1))</f>
        <v>1.2018521212001028</v>
      </c>
      <c r="H19778">
        <f>0.00892857142857142*2.76736677825862</f>
        <v>2.4708631948737656E-2</v>
      </c>
      <c r="I19778">
        <v>2.470863194873776E-2</v>
      </c>
    </row>
    <row r="19779" spans="1:9" x14ac:dyDescent="0.25">
      <c r="A19779">
        <v>592</v>
      </c>
      <c r="B19779" t="s">
        <v>4742</v>
      </c>
      <c r="C19779" t="s">
        <v>10</v>
      </c>
      <c r="D19779" t="s">
        <v>911</v>
      </c>
      <c r="E19779">
        <f>1/112</f>
        <v>8.9285714285714281E-3</v>
      </c>
      <c r="F19779">
        <v>22</v>
      </c>
      <c r="G19779">
        <f>LOG(382/(22+1))</f>
        <v>1.2203355268941158</v>
      </c>
      <c r="H19779">
        <f>0.00892857142857142*2.80992639267742</f>
        <v>2.5088628506048365E-2</v>
      </c>
      <c r="I19779">
        <v>2.5088628506048441E-2</v>
      </c>
    </row>
    <row r="19780" spans="1:9" x14ac:dyDescent="0.25">
      <c r="A19780">
        <v>592</v>
      </c>
      <c r="B19780" t="s">
        <v>4742</v>
      </c>
      <c r="C19780" t="s">
        <v>10</v>
      </c>
      <c r="D19780" t="s">
        <v>2354</v>
      </c>
      <c r="E19780">
        <f>1/112</f>
        <v>8.9285714285714281E-3</v>
      </c>
      <c r="F19780">
        <v>4</v>
      </c>
      <c r="G19780">
        <f>LOG(382/(4+1))</f>
        <v>1.8830933585756899</v>
      </c>
      <c r="H19780">
        <f>0.00892857142857142*4.33598269617247</f>
        <v>3.8714131215825585E-2</v>
      </c>
      <c r="I19780">
        <v>3.8714131215825669E-2</v>
      </c>
    </row>
    <row r="19781" spans="1:9" x14ac:dyDescent="0.25">
      <c r="A19781">
        <v>592</v>
      </c>
      <c r="B19781" t="s">
        <v>4742</v>
      </c>
      <c r="C19781" t="s">
        <v>10</v>
      </c>
      <c r="D19781" t="s">
        <v>726</v>
      </c>
      <c r="E19781">
        <f>2/112</f>
        <v>1.7857142857142856E-2</v>
      </c>
      <c r="F19781">
        <v>37</v>
      </c>
      <c r="G19781">
        <f>LOG(382/(37+1))</f>
        <v>1.0022797662948986</v>
      </c>
      <c r="H19781">
        <f>0.0178571428571428*2.30783444888018</f>
        <v>4.1211329444288798E-2</v>
      </c>
      <c r="I19781">
        <v>4.121132944428909E-2</v>
      </c>
    </row>
    <row r="19782" spans="1:9" x14ac:dyDescent="0.25">
      <c r="A19782">
        <v>592</v>
      </c>
      <c r="B19782" t="s">
        <v>4742</v>
      </c>
      <c r="C19782" t="s">
        <v>10</v>
      </c>
      <c r="D19782" t="s">
        <v>727</v>
      </c>
      <c r="E19782">
        <f>2/112</f>
        <v>1.7857142857142856E-2</v>
      </c>
      <c r="F19782">
        <v>9</v>
      </c>
      <c r="G19782">
        <f>LOG(382/(9+1))</f>
        <v>1.5820633629117087</v>
      </c>
      <c r="H19782">
        <f>0.0178571428571428*3.64283551561252</f>
        <v>6.5050634207366217E-2</v>
      </c>
      <c r="I19782">
        <v>6.5050634207366592E-2</v>
      </c>
    </row>
    <row r="19783" spans="1:9" x14ac:dyDescent="0.25">
      <c r="A19783">
        <v>592</v>
      </c>
      <c r="B19783" t="s">
        <v>4742</v>
      </c>
      <c r="C19783" t="s">
        <v>10</v>
      </c>
      <c r="D19783" t="s">
        <v>728</v>
      </c>
      <c r="E19783">
        <f>2/112</f>
        <v>1.7857142857142856E-2</v>
      </c>
      <c r="F19783">
        <v>9</v>
      </c>
      <c r="G19783">
        <f>LOG(382/(9+1))</f>
        <v>1.5820633629117087</v>
      </c>
      <c r="H19783">
        <f>0.0178571428571428*3.64283551561252</f>
        <v>6.5050634207366217E-2</v>
      </c>
      <c r="I19783">
        <v>6.5050634207366592E-2</v>
      </c>
    </row>
    <row r="19784" spans="1:9" x14ac:dyDescent="0.25">
      <c r="A19784">
        <v>592</v>
      </c>
      <c r="B19784" t="s">
        <v>4742</v>
      </c>
      <c r="C19784" t="s">
        <v>10</v>
      </c>
      <c r="D19784" t="s">
        <v>322</v>
      </c>
      <c r="E19784">
        <f>1/112</f>
        <v>8.9285714285714281E-3</v>
      </c>
      <c r="F19784">
        <v>128</v>
      </c>
      <c r="G19784">
        <f>LOG(382/(128+1))</f>
        <v>0.47147365261245977</v>
      </c>
      <c r="H19784">
        <f>0.00892857142857142*1.0856082042449</f>
        <v>9.6929303950437397E-3</v>
      </c>
      <c r="I19784">
        <v>9.6929303950437778E-3</v>
      </c>
    </row>
    <row r="19785" spans="1:9" x14ac:dyDescent="0.25">
      <c r="A19785">
        <v>592</v>
      </c>
      <c r="B19785" t="s">
        <v>4742</v>
      </c>
      <c r="C19785" t="s">
        <v>10</v>
      </c>
      <c r="D19785" t="s">
        <v>123</v>
      </c>
      <c r="E19785">
        <f>1/112</f>
        <v>8.9285714285714281E-3</v>
      </c>
      <c r="F19785">
        <v>74</v>
      </c>
      <c r="G19785">
        <f>LOG(382/(74+1))</f>
        <v>0.7070020995200087</v>
      </c>
      <c r="H19785">
        <f>0.00892857142857142*1.62793249507026</f>
        <v>1.4535111563127307E-2</v>
      </c>
      <c r="I19785">
        <v>1.4535111563127361E-2</v>
      </c>
    </row>
    <row r="19786" spans="1:9" x14ac:dyDescent="0.25">
      <c r="A19786">
        <v>592</v>
      </c>
      <c r="B19786" t="s">
        <v>4742</v>
      </c>
      <c r="C19786" t="s">
        <v>10</v>
      </c>
      <c r="D19786" t="s">
        <v>1532</v>
      </c>
      <c r="E19786">
        <f>3/112</f>
        <v>2.6785714285714284E-2</v>
      </c>
      <c r="F19786">
        <v>28</v>
      </c>
      <c r="G19786">
        <f>LOG(382/(28+1))</f>
        <v>1.1196653650127526</v>
      </c>
      <c r="H19786">
        <f>0.0267857142857142*2.5781247786201</f>
        <v>6.9056913713038168E-2</v>
      </c>
      <c r="I19786">
        <v>6.9056913713038418E-2</v>
      </c>
    </row>
    <row r="19787" spans="1:9" x14ac:dyDescent="0.25">
      <c r="A19787">
        <v>592</v>
      </c>
      <c r="B19787" t="s">
        <v>4742</v>
      </c>
      <c r="C19787" t="s">
        <v>10</v>
      </c>
      <c r="D19787" t="s">
        <v>1588</v>
      </c>
      <c r="E19787">
        <f t="shared" ref="E19787:E19795" si="944">1/112</f>
        <v>8.9285714285714281E-3</v>
      </c>
      <c r="F19787">
        <v>4</v>
      </c>
      <c r="G19787">
        <f>LOG(382/(4+1))</f>
        <v>1.8830933585756899</v>
      </c>
      <c r="H19787">
        <f>0.00892857142857142*4.33598269617247</f>
        <v>3.8714131215825585E-2</v>
      </c>
      <c r="I19787">
        <v>3.8714131215825669E-2</v>
      </c>
    </row>
    <row r="19788" spans="1:9" x14ac:dyDescent="0.25">
      <c r="A19788">
        <v>592</v>
      </c>
      <c r="B19788" t="s">
        <v>4742</v>
      </c>
      <c r="C19788" t="s">
        <v>10</v>
      </c>
      <c r="D19788" t="s">
        <v>379</v>
      </c>
      <c r="E19788">
        <f t="shared" si="944"/>
        <v>8.9285714285714281E-3</v>
      </c>
      <c r="F19788">
        <v>17</v>
      </c>
      <c r="G19788">
        <f>LOG(382/(17+1))</f>
        <v>1.3267908578084027</v>
      </c>
      <c r="H19788">
        <f>0.00892857142857142*3.05504885071041</f>
        <v>2.7277221881342916E-2</v>
      </c>
      <c r="I19788">
        <v>2.7277221881342951E-2</v>
      </c>
    </row>
    <row r="19789" spans="1:9" x14ac:dyDescent="0.25">
      <c r="A19789">
        <v>592</v>
      </c>
      <c r="B19789" t="s">
        <v>4742</v>
      </c>
      <c r="C19789" t="s">
        <v>10</v>
      </c>
      <c r="D19789" t="s">
        <v>237</v>
      </c>
      <c r="E19789">
        <f t="shared" si="944"/>
        <v>8.9285714285714281E-3</v>
      </c>
      <c r="F19789">
        <v>138</v>
      </c>
      <c r="G19789">
        <f>LOG(382/(138+1))</f>
        <v>0.43904856265761361</v>
      </c>
      <c r="H19789">
        <f>0.00892857142857142*1.01094667547588</f>
        <v>9.0263096024632058E-3</v>
      </c>
      <c r="I19789">
        <v>9.0263096024632439E-3</v>
      </c>
    </row>
    <row r="19790" spans="1:9" x14ac:dyDescent="0.25">
      <c r="A19790">
        <v>592</v>
      </c>
      <c r="B19790" t="s">
        <v>4742</v>
      </c>
      <c r="C19790" t="s">
        <v>10</v>
      </c>
      <c r="D19790" t="s">
        <v>746</v>
      </c>
      <c r="E19790">
        <f t="shared" si="944"/>
        <v>8.9285714285714281E-3</v>
      </c>
      <c r="F19790">
        <v>58</v>
      </c>
      <c r="G19790">
        <f>LOG(382/(58+1))</f>
        <v>0.81121135126956456</v>
      </c>
      <c r="H19790">
        <f>0.00892857142857142*1.86788316470085</f>
        <v>1.6677528256257571E-2</v>
      </c>
      <c r="I19790">
        <v>1.6677528256257641E-2</v>
      </c>
    </row>
    <row r="19791" spans="1:9" x14ac:dyDescent="0.25">
      <c r="A19791">
        <v>592</v>
      </c>
      <c r="B19791" t="s">
        <v>4742</v>
      </c>
      <c r="C19791" t="s">
        <v>10</v>
      </c>
      <c r="D19791" t="s">
        <v>450</v>
      </c>
      <c r="E19791">
        <f t="shared" si="944"/>
        <v>8.9285714285714281E-3</v>
      </c>
      <c r="F19791">
        <v>17</v>
      </c>
      <c r="G19791">
        <f>LOG(382/(17+1))</f>
        <v>1.3267908578084027</v>
      </c>
      <c r="H19791">
        <f>0.00892857142857142*3.05504885071041</f>
        <v>2.7277221881342916E-2</v>
      </c>
      <c r="I19791">
        <v>2.7277221881342951E-2</v>
      </c>
    </row>
    <row r="19792" spans="1:9" x14ac:dyDescent="0.25">
      <c r="A19792">
        <v>592</v>
      </c>
      <c r="B19792" t="s">
        <v>4742</v>
      </c>
      <c r="C19792" t="s">
        <v>10</v>
      </c>
      <c r="D19792" t="s">
        <v>754</v>
      </c>
      <c r="E19792">
        <f t="shared" si="944"/>
        <v>8.9285714285714281E-3</v>
      </c>
      <c r="F19792">
        <v>111</v>
      </c>
      <c r="G19792">
        <f>LOG(382/(111+1))</f>
        <v>0.53284534024152708</v>
      </c>
      <c r="H19792">
        <f>0.00892857142857142*1.22692173731148</f>
        <v>1.0954658368852489E-2</v>
      </c>
      <c r="I19792">
        <v>1.09546583688525E-2</v>
      </c>
    </row>
    <row r="19793" spans="1:9" x14ac:dyDescent="0.25">
      <c r="A19793">
        <v>592</v>
      </c>
      <c r="B19793" t="s">
        <v>4742</v>
      </c>
      <c r="C19793" t="s">
        <v>10</v>
      </c>
      <c r="D19793" t="s">
        <v>4744</v>
      </c>
      <c r="E19793">
        <f t="shared" si="944"/>
        <v>8.9285714285714281E-3</v>
      </c>
      <c r="F19793">
        <v>1</v>
      </c>
      <c r="G19793">
        <f>LOG(382/(1+1))</f>
        <v>2.2810333672477277</v>
      </c>
      <c r="H19793">
        <f>0.00892857142857142*5.25227342804663</f>
        <v>4.6895298464702001E-2</v>
      </c>
      <c r="I19793">
        <v>4.689529846470205E-2</v>
      </c>
    </row>
    <row r="19794" spans="1:9" x14ac:dyDescent="0.25">
      <c r="A19794">
        <v>592</v>
      </c>
      <c r="B19794" t="s">
        <v>4742</v>
      </c>
      <c r="C19794" t="s">
        <v>10</v>
      </c>
      <c r="D19794" t="s">
        <v>81</v>
      </c>
      <c r="E19794">
        <f t="shared" si="944"/>
        <v>8.9285714285714281E-3</v>
      </c>
      <c r="F19794">
        <v>114</v>
      </c>
      <c r="G19794">
        <f>LOG(382/(114+1))</f>
        <v>0.52136552255809698</v>
      </c>
      <c r="H19794">
        <f>0.00892857142857142*1.20048848024332</f>
        <v>1.0718647145029632E-2</v>
      </c>
      <c r="I19794">
        <v>1.0718647145029689E-2</v>
      </c>
    </row>
    <row r="19795" spans="1:9" x14ac:dyDescent="0.25">
      <c r="A19795">
        <v>592</v>
      </c>
      <c r="B19795" t="s">
        <v>4742</v>
      </c>
      <c r="C19795" t="s">
        <v>10</v>
      </c>
      <c r="D19795" t="s">
        <v>279</v>
      </c>
      <c r="E19795">
        <f t="shared" si="944"/>
        <v>8.9285714285714281E-3</v>
      </c>
      <c r="F19795">
        <v>22</v>
      </c>
      <c r="G19795">
        <f>LOG(382/(22+1))</f>
        <v>1.2203355268941158</v>
      </c>
      <c r="H19795">
        <f>0.00892857142857142*2.80992639267742</f>
        <v>2.5088628506048365E-2</v>
      </c>
      <c r="I19795">
        <v>2.5088628506048441E-2</v>
      </c>
    </row>
    <row r="19796" spans="1:9" x14ac:dyDescent="0.25">
      <c r="A19796">
        <v>592</v>
      </c>
      <c r="B19796" t="s">
        <v>4742</v>
      </c>
      <c r="C19796" t="s">
        <v>10</v>
      </c>
      <c r="D19796" t="s">
        <v>4745</v>
      </c>
      <c r="E19796">
        <f>3/112</f>
        <v>2.6785714285714284E-2</v>
      </c>
      <c r="F19796">
        <v>1</v>
      </c>
      <c r="G19796">
        <f>LOG(382/(1+1))</f>
        <v>2.2810333672477277</v>
      </c>
      <c r="H19796">
        <f>0.0267857142857142*5.25227342804663</f>
        <v>0.14068589539410573</v>
      </c>
      <c r="I19796">
        <v>0.14068589539410609</v>
      </c>
    </row>
    <row r="19797" spans="1:9" x14ac:dyDescent="0.25">
      <c r="A19797">
        <v>592</v>
      </c>
      <c r="B19797" t="s">
        <v>4742</v>
      </c>
      <c r="C19797" t="s">
        <v>10</v>
      </c>
      <c r="D19797" t="s">
        <v>76</v>
      </c>
      <c r="E19797">
        <f t="shared" ref="E19797:E19806" si="945">1/112</f>
        <v>8.9285714285714281E-3</v>
      </c>
      <c r="F19797">
        <v>140</v>
      </c>
      <c r="G19797">
        <f>LOG(382/(140+1))</f>
        <v>0.43284425025632883</v>
      </c>
      <c r="H19797">
        <f>0.00892857142857142*0.996660718228407</f>
        <v>8.8987564127536237E-3</v>
      </c>
      <c r="I19797">
        <v>8.8987564127536323E-3</v>
      </c>
    </row>
    <row r="19798" spans="1:9" x14ac:dyDescent="0.25">
      <c r="A19798">
        <v>592</v>
      </c>
      <c r="B19798" t="s">
        <v>4742</v>
      </c>
      <c r="C19798" t="s">
        <v>10</v>
      </c>
      <c r="D19798" t="s">
        <v>133</v>
      </c>
      <c r="E19798">
        <f t="shared" si="945"/>
        <v>8.9285714285714281E-3</v>
      </c>
      <c r="F19798">
        <v>142</v>
      </c>
      <c r="G19798">
        <f>LOG(382/(142+1))</f>
        <v>0.42672732544664693</v>
      </c>
      <c r="H19798">
        <f>0.00892857142857142*0.982575978346667</f>
        <v>8.7729998066666606E-3</v>
      </c>
      <c r="I19798">
        <v>8.7729998066666762E-3</v>
      </c>
    </row>
    <row r="19799" spans="1:9" x14ac:dyDescent="0.25">
      <c r="A19799">
        <v>592</v>
      </c>
      <c r="B19799" t="s">
        <v>4742</v>
      </c>
      <c r="C19799" t="s">
        <v>10</v>
      </c>
      <c r="D19799" t="s">
        <v>487</v>
      </c>
      <c r="E19799">
        <f t="shared" si="945"/>
        <v>8.9285714285714281E-3</v>
      </c>
      <c r="F19799">
        <v>32</v>
      </c>
      <c r="G19799">
        <f>LOG(382/(32+1))</f>
        <v>1.0635494230338212</v>
      </c>
      <c r="H19799">
        <f>0.00892857142857142*2.44891304714009</f>
        <v>2.1865295063750782E-2</v>
      </c>
      <c r="I19799">
        <v>2.1865295063750852E-2</v>
      </c>
    </row>
    <row r="19800" spans="1:9" x14ac:dyDescent="0.25">
      <c r="A19800">
        <v>592</v>
      </c>
      <c r="B19800" t="s">
        <v>4742</v>
      </c>
      <c r="C19800" t="s">
        <v>10</v>
      </c>
      <c r="D19800" t="s">
        <v>40</v>
      </c>
      <c r="E19800">
        <f t="shared" si="945"/>
        <v>8.9285714285714281E-3</v>
      </c>
      <c r="F19800">
        <v>159</v>
      </c>
      <c r="G19800">
        <f>LOG(382/(159+1))</f>
        <v>0.377943380255784</v>
      </c>
      <c r="H19800">
        <f>0.00892857142857142*0.870246793372748</f>
        <v>7.7700606551138135E-3</v>
      </c>
      <c r="I19800">
        <v>7.7700606551138239E-3</v>
      </c>
    </row>
    <row r="19801" spans="1:9" x14ac:dyDescent="0.25">
      <c r="A19801">
        <v>592</v>
      </c>
      <c r="B19801" t="s">
        <v>4742</v>
      </c>
      <c r="C19801" t="s">
        <v>10</v>
      </c>
      <c r="D19801" t="s">
        <v>41</v>
      </c>
      <c r="E19801">
        <f t="shared" si="945"/>
        <v>8.9285714285714281E-3</v>
      </c>
      <c r="F19801">
        <v>195</v>
      </c>
      <c r="G19801">
        <f>LOG(382/(195+1))</f>
        <v>0.28980729155523272</v>
      </c>
      <c r="H19801">
        <f>0.00892857142857142*0.667305949376058</f>
        <v>5.958088833714798E-3</v>
      </c>
      <c r="I19801">
        <v>5.9580888337148032E-3</v>
      </c>
    </row>
    <row r="19802" spans="1:9" x14ac:dyDescent="0.25">
      <c r="A19802">
        <v>592</v>
      </c>
      <c r="B19802" t="s">
        <v>4742</v>
      </c>
      <c r="C19802" t="s">
        <v>10</v>
      </c>
      <c r="D19802" t="s">
        <v>752</v>
      </c>
      <c r="E19802">
        <f t="shared" si="945"/>
        <v>8.9285714285714281E-3</v>
      </c>
      <c r="F19802">
        <v>34</v>
      </c>
      <c r="G19802">
        <f>LOG(382/(34+1))</f>
        <v>1.037995318561433</v>
      </c>
      <c r="H19802">
        <f>0.00892857142857142*2.39007254711716</f>
        <v>2.1339933456403191E-2</v>
      </c>
      <c r="I19802">
        <v>2.133993345640323E-2</v>
      </c>
    </row>
    <row r="19803" spans="1:9" x14ac:dyDescent="0.25">
      <c r="A19803">
        <v>592</v>
      </c>
      <c r="B19803" t="s">
        <v>4742</v>
      </c>
      <c r="C19803" t="s">
        <v>10</v>
      </c>
      <c r="D19803" t="s">
        <v>89</v>
      </c>
      <c r="E19803">
        <f t="shared" si="945"/>
        <v>8.9285714285714281E-3</v>
      </c>
      <c r="F19803">
        <v>40</v>
      </c>
      <c r="G19803">
        <f>LOG(382/(40+1))</f>
        <v>0.96927950619197323</v>
      </c>
      <c r="H19803">
        <f>0.00892857142857142*2.23184854190226</f>
        <v>1.9927219124127298E-2</v>
      </c>
      <c r="I19803">
        <v>1.9927219124127381E-2</v>
      </c>
    </row>
    <row r="19804" spans="1:9" x14ac:dyDescent="0.25">
      <c r="A19804">
        <v>592</v>
      </c>
      <c r="B19804" t="s">
        <v>4742</v>
      </c>
      <c r="C19804" t="s">
        <v>10</v>
      </c>
      <c r="D19804" t="s">
        <v>201</v>
      </c>
      <c r="E19804">
        <f t="shared" si="945"/>
        <v>8.9285714285714281E-3</v>
      </c>
      <c r="F19804">
        <v>72</v>
      </c>
      <c r="G19804">
        <f>LOG(382/(72+1))</f>
        <v>0.71874050279125279</v>
      </c>
      <c r="H19804">
        <f>0.00892857142857142*1.65496116745818</f>
        <v>1.4776438995162306E-2</v>
      </c>
      <c r="I19804">
        <v>1.4776438995162349E-2</v>
      </c>
    </row>
    <row r="19805" spans="1:9" x14ac:dyDescent="0.25">
      <c r="A19805">
        <v>592</v>
      </c>
      <c r="B19805" t="s">
        <v>4742</v>
      </c>
      <c r="C19805" t="s">
        <v>10</v>
      </c>
      <c r="D19805" t="s">
        <v>125</v>
      </c>
      <c r="E19805">
        <f t="shared" si="945"/>
        <v>8.9285714285714281E-3</v>
      </c>
      <c r="F19805">
        <v>9</v>
      </c>
      <c r="G19805">
        <f>LOG(382/(9+1))</f>
        <v>1.5820633629117087</v>
      </c>
      <c r="H19805">
        <f>0.00892857142857142*3.64283551561252</f>
        <v>3.2525317103683178E-2</v>
      </c>
      <c r="I19805">
        <v>3.2525317103683303E-2</v>
      </c>
    </row>
    <row r="19806" spans="1:9" x14ac:dyDescent="0.25">
      <c r="A19806">
        <v>592</v>
      </c>
      <c r="B19806" t="s">
        <v>4742</v>
      </c>
      <c r="C19806" t="s">
        <v>10</v>
      </c>
      <c r="D19806" t="s">
        <v>1769</v>
      </c>
      <c r="E19806">
        <f t="shared" si="945"/>
        <v>8.9285714285714281E-3</v>
      </c>
      <c r="F19806">
        <v>84</v>
      </c>
      <c r="G19806">
        <f>LOG(382/(84+1))</f>
        <v>0.65264443719741605</v>
      </c>
      <c r="H19806">
        <f>0.00892857142857142*1.50276935211625</f>
        <v>1.3417583501037932E-2</v>
      </c>
      <c r="I19806">
        <v>1.341758350103802E-2</v>
      </c>
    </row>
    <row r="19807" spans="1:9" x14ac:dyDescent="0.25">
      <c r="A19807">
        <v>592</v>
      </c>
      <c r="B19807" t="s">
        <v>4742</v>
      </c>
      <c r="C19807" t="s">
        <v>10</v>
      </c>
      <c r="D19807" t="s">
        <v>126</v>
      </c>
      <c r="E19807">
        <f>2/112</f>
        <v>1.7857142857142856E-2</v>
      </c>
      <c r="F19807">
        <v>79</v>
      </c>
      <c r="G19807">
        <f>LOG(382/(79+1))</f>
        <v>0.67897337591976514</v>
      </c>
      <c r="H19807">
        <f>0.0178571428571428*1.56339397393269</f>
        <v>2.7917749534512235E-2</v>
      </c>
      <c r="I19807">
        <v>2.7917749534512381E-2</v>
      </c>
    </row>
    <row r="19808" spans="1:9" x14ac:dyDescent="0.25">
      <c r="A19808">
        <v>592</v>
      </c>
      <c r="B19808" t="s">
        <v>4742</v>
      </c>
      <c r="C19808" t="s">
        <v>10</v>
      </c>
      <c r="D19808" t="s">
        <v>50</v>
      </c>
      <c r="E19808">
        <f t="shared" ref="E19808:E19814" si="946">1/112</f>
        <v>8.9285714285714281E-3</v>
      </c>
      <c r="F19808">
        <v>109</v>
      </c>
      <c r="G19808">
        <f>LOG(382/(109+1))</f>
        <v>0.54067067775348365</v>
      </c>
      <c r="H19808">
        <f>0.00892857142857142*1.24494024281415</f>
        <v>1.1115537882269185E-2</v>
      </c>
      <c r="I19808">
        <v>1.111553788226927E-2</v>
      </c>
    </row>
    <row r="19809" spans="1:9" x14ac:dyDescent="0.25">
      <c r="A19809">
        <v>592</v>
      </c>
      <c r="B19809" t="s">
        <v>4742</v>
      </c>
      <c r="C19809" t="s">
        <v>10</v>
      </c>
      <c r="D19809" t="s">
        <v>1730</v>
      </c>
      <c r="E19809">
        <f t="shared" si="946"/>
        <v>8.9285714285714281E-3</v>
      </c>
      <c r="F19809">
        <v>35</v>
      </c>
      <c r="G19809">
        <f>LOG(382/(35+1))</f>
        <v>1.0257608621444214</v>
      </c>
      <c r="H19809">
        <f>0.00892857142857142*2.36190167015046</f>
        <v>2.1088407769200516E-2</v>
      </c>
      <c r="I19809">
        <v>2.1088407769200582E-2</v>
      </c>
    </row>
    <row r="19810" spans="1:9" x14ac:dyDescent="0.25">
      <c r="A19810">
        <v>592</v>
      </c>
      <c r="B19810" t="s">
        <v>4742</v>
      </c>
      <c r="C19810" t="s">
        <v>10</v>
      </c>
      <c r="D19810" t="s">
        <v>1261</v>
      </c>
      <c r="E19810">
        <f t="shared" si="946"/>
        <v>8.9285714285714281E-3</v>
      </c>
      <c r="F19810">
        <v>12</v>
      </c>
      <c r="G19810">
        <f>LOG(382/(12+1))</f>
        <v>1.468120010604872</v>
      </c>
      <c r="H19810">
        <f>0.00892857142857142*3.38047125114503</f>
        <v>3.0182779028080593E-2</v>
      </c>
      <c r="I19810">
        <v>3.0182779028080701E-2</v>
      </c>
    </row>
    <row r="19811" spans="1:9" x14ac:dyDescent="0.25">
      <c r="A19811">
        <v>592</v>
      </c>
      <c r="B19811" t="s">
        <v>4742</v>
      </c>
      <c r="C19811" t="s">
        <v>10</v>
      </c>
      <c r="D19811" t="s">
        <v>2311</v>
      </c>
      <c r="E19811">
        <f t="shared" si="946"/>
        <v>8.9285714285714281E-3</v>
      </c>
      <c r="F19811">
        <v>3</v>
      </c>
      <c r="G19811">
        <f>LOG(382/(3+1))</f>
        <v>1.9800033715837464</v>
      </c>
      <c r="H19811">
        <f>0.00892857142857142*4.55912624748668</f>
        <v>4.0706484352559601E-2</v>
      </c>
      <c r="I19811">
        <v>4.0706484352559677E-2</v>
      </c>
    </row>
    <row r="19812" spans="1:9" x14ac:dyDescent="0.25">
      <c r="A19812">
        <v>592</v>
      </c>
      <c r="B19812" t="s">
        <v>4742</v>
      </c>
      <c r="C19812" t="s">
        <v>10</v>
      </c>
      <c r="D19812" t="s">
        <v>3537</v>
      </c>
      <c r="E19812">
        <f t="shared" si="946"/>
        <v>8.9285714285714281E-3</v>
      </c>
      <c r="F19812">
        <v>10</v>
      </c>
      <c r="G19812">
        <f>LOG(382/(10+1))</f>
        <v>1.5406706777534838</v>
      </c>
      <c r="H19812">
        <f>0.00892857142857142*3.5475253358082</f>
        <v>3.1674333355430323E-2</v>
      </c>
      <c r="I19812">
        <v>3.1674333355430399E-2</v>
      </c>
    </row>
    <row r="19813" spans="1:9" x14ac:dyDescent="0.25">
      <c r="A19813">
        <v>592</v>
      </c>
      <c r="B19813" t="s">
        <v>4742</v>
      </c>
      <c r="C19813" t="s">
        <v>10</v>
      </c>
      <c r="D19813" t="s">
        <v>1544</v>
      </c>
      <c r="E19813">
        <f t="shared" si="946"/>
        <v>8.9285714285714281E-3</v>
      </c>
      <c r="F19813">
        <v>19</v>
      </c>
      <c r="G19813">
        <f>LOG(382/(19+1))</f>
        <v>1.2810333672477277</v>
      </c>
      <c r="H19813">
        <f>0.00892857142857142*2.94968833505258</f>
        <v>2.6336502991540865E-2</v>
      </c>
      <c r="I19813">
        <v>2.633650299154093E-2</v>
      </c>
    </row>
    <row r="19814" spans="1:9" x14ac:dyDescent="0.25">
      <c r="A19814">
        <v>592</v>
      </c>
      <c r="B19814" t="s">
        <v>4742</v>
      </c>
      <c r="C19814" t="s">
        <v>10</v>
      </c>
      <c r="D19814" t="s">
        <v>144</v>
      </c>
      <c r="E19814">
        <f t="shared" si="946"/>
        <v>8.9285714285714281E-3</v>
      </c>
      <c r="F19814">
        <v>105</v>
      </c>
      <c r="G19814">
        <f>LOG(382/(105+1))</f>
        <v>0.55675749764693849</v>
      </c>
      <c r="H19814">
        <f>0.00892857142857142*1.2819815144945</f>
        <v>1.1446263522272309E-2</v>
      </c>
      <c r="I19814">
        <v>1.144626352227239E-2</v>
      </c>
    </row>
    <row r="19815" spans="1:9" x14ac:dyDescent="0.25">
      <c r="A19815">
        <v>592</v>
      </c>
      <c r="B19815" t="s">
        <v>4742</v>
      </c>
      <c r="C19815" t="s">
        <v>10</v>
      </c>
      <c r="D19815" t="s">
        <v>361</v>
      </c>
      <c r="E19815">
        <f>4/112</f>
        <v>3.5714285714285712E-2</v>
      </c>
      <c r="F19815">
        <v>118</v>
      </c>
      <c r="G19815">
        <f>LOG(382/(118+1))</f>
        <v>0.50651640151917798</v>
      </c>
      <c r="H19815">
        <f>0.0357142857142857*1.16629711549504</f>
        <v>4.1653468410537117E-2</v>
      </c>
      <c r="I19815">
        <v>4.1653468410537353E-2</v>
      </c>
    </row>
    <row r="19816" spans="1:9" x14ac:dyDescent="0.25">
      <c r="A19816">
        <v>592</v>
      </c>
      <c r="B19816" t="s">
        <v>4742</v>
      </c>
      <c r="C19816" t="s">
        <v>10</v>
      </c>
      <c r="D19816" t="s">
        <v>434</v>
      </c>
      <c r="E19816">
        <f t="shared" ref="E19816:E19828" si="947">1/112</f>
        <v>8.9285714285714281E-3</v>
      </c>
      <c r="F19816">
        <v>97</v>
      </c>
      <c r="G19816">
        <f>LOG(382/(97+1))</f>
        <v>0.59083728721921391</v>
      </c>
      <c r="H19816">
        <f>0.00892857142857142*1.360453129936</f>
        <v>1.2146902945857132E-2</v>
      </c>
      <c r="I19816">
        <v>1.214690294585717E-2</v>
      </c>
    </row>
    <row r="19817" spans="1:9" x14ac:dyDescent="0.25">
      <c r="A19817">
        <v>592</v>
      </c>
      <c r="B19817" t="s">
        <v>4742</v>
      </c>
      <c r="C19817" t="s">
        <v>10</v>
      </c>
      <c r="D19817" t="s">
        <v>1073</v>
      </c>
      <c r="E19817">
        <f t="shared" si="947"/>
        <v>8.9285714285714281E-3</v>
      </c>
      <c r="F19817">
        <v>25</v>
      </c>
      <c r="G19817">
        <f>LOG(382/(25+1))</f>
        <v>1.1670900149408907</v>
      </c>
      <c r="H19817">
        <f>0.00892857142857142*2.68732407058509</f>
        <v>2.399396491593828E-2</v>
      </c>
      <c r="I19817">
        <v>2.3993964915938332E-2</v>
      </c>
    </row>
    <row r="19818" spans="1:9" x14ac:dyDescent="0.25">
      <c r="A19818">
        <v>592</v>
      </c>
      <c r="B19818" t="s">
        <v>4742</v>
      </c>
      <c r="C19818" t="s">
        <v>10</v>
      </c>
      <c r="D19818" t="s">
        <v>310</v>
      </c>
      <c r="E19818">
        <f t="shared" si="947"/>
        <v>8.9285714285714281E-3</v>
      </c>
      <c r="F19818">
        <v>50</v>
      </c>
      <c r="G19818">
        <f>LOG(382/(50+1))</f>
        <v>0.87449318681377242</v>
      </c>
      <c r="H19818">
        <f>0.00892857142857142*2.01359497588224</f>
        <v>1.7978526570377122E-2</v>
      </c>
      <c r="I19818">
        <v>1.797852657037723E-2</v>
      </c>
    </row>
    <row r="19819" spans="1:9" x14ac:dyDescent="0.25">
      <c r="A19819">
        <v>592</v>
      </c>
      <c r="B19819" t="s">
        <v>4742</v>
      </c>
      <c r="C19819" t="s">
        <v>10</v>
      </c>
      <c r="D19819" t="s">
        <v>850</v>
      </c>
      <c r="E19819">
        <f t="shared" si="947"/>
        <v>8.9285714285714281E-3</v>
      </c>
      <c r="F19819">
        <v>14</v>
      </c>
      <c r="G19819">
        <f>LOG(382/(14+1))</f>
        <v>1.4059721038560276</v>
      </c>
      <c r="H19819">
        <f>0.00892857142857142*3.23737040750436</f>
        <v>2.8905092924146041E-2</v>
      </c>
      <c r="I19819">
        <v>2.8905092924146121E-2</v>
      </c>
    </row>
    <row r="19820" spans="1:9" x14ac:dyDescent="0.25">
      <c r="A19820">
        <v>592</v>
      </c>
      <c r="B19820" t="s">
        <v>4742</v>
      </c>
      <c r="C19820" t="s">
        <v>10</v>
      </c>
      <c r="D19820" t="s">
        <v>3636</v>
      </c>
      <c r="E19820">
        <f t="shared" si="947"/>
        <v>8.9285714285714281E-3</v>
      </c>
      <c r="F19820">
        <v>3</v>
      </c>
      <c r="G19820">
        <f>LOG(382/(3+1))</f>
        <v>1.9800033715837464</v>
      </c>
      <c r="H19820">
        <f>0.00892857142857142*4.55912624748668</f>
        <v>4.0706484352559601E-2</v>
      </c>
      <c r="I19820">
        <v>4.0706484352559677E-2</v>
      </c>
    </row>
    <row r="19821" spans="1:9" x14ac:dyDescent="0.25">
      <c r="A19821">
        <v>592</v>
      </c>
      <c r="B19821" t="s">
        <v>4742</v>
      </c>
      <c r="C19821" t="s">
        <v>10</v>
      </c>
      <c r="D19821" t="s">
        <v>214</v>
      </c>
      <c r="E19821">
        <f t="shared" si="947"/>
        <v>8.9285714285714281E-3</v>
      </c>
      <c r="F19821">
        <v>68</v>
      </c>
      <c r="G19821">
        <f>LOG(382/(68+1))</f>
        <v>0.74321427217445335</v>
      </c>
      <c r="H19821">
        <f>0.00892857142857142*1.71131410400931</f>
        <v>1.5279590214368824E-2</v>
      </c>
      <c r="I19821">
        <v>1.527959021436889E-2</v>
      </c>
    </row>
    <row r="19822" spans="1:9" x14ac:dyDescent="0.25">
      <c r="A19822">
        <v>592</v>
      </c>
      <c r="B19822" t="s">
        <v>4742</v>
      </c>
      <c r="C19822" t="s">
        <v>10</v>
      </c>
      <c r="D19822" t="s">
        <v>444</v>
      </c>
      <c r="E19822">
        <f t="shared" si="947"/>
        <v>8.9285714285714281E-3</v>
      </c>
      <c r="F19822">
        <v>28</v>
      </c>
      <c r="G19822">
        <f>LOG(382/(28+1))</f>
        <v>1.1196653650127526</v>
      </c>
      <c r="H19822">
        <f>0.00892857142857142*2.5781247786201</f>
        <v>2.3018971237679438E-2</v>
      </c>
      <c r="I19822">
        <v>2.3018971237679469E-2</v>
      </c>
    </row>
    <row r="19823" spans="1:9" x14ac:dyDescent="0.25">
      <c r="A19823">
        <v>592</v>
      </c>
      <c r="B19823" t="s">
        <v>4742</v>
      </c>
      <c r="C19823" t="s">
        <v>10</v>
      </c>
      <c r="D19823" t="s">
        <v>445</v>
      </c>
      <c r="E19823">
        <f t="shared" si="947"/>
        <v>8.9285714285714281E-3</v>
      </c>
      <c r="F19823">
        <v>35</v>
      </c>
      <c r="G19823">
        <f>LOG(382/(35+1))</f>
        <v>1.0257608621444214</v>
      </c>
      <c r="H19823">
        <f>0.00892857142857142*2.36190167015046</f>
        <v>2.1088407769200516E-2</v>
      </c>
      <c r="I19823">
        <v>2.1088407769200582E-2</v>
      </c>
    </row>
    <row r="19824" spans="1:9" x14ac:dyDescent="0.25">
      <c r="A19824">
        <v>592</v>
      </c>
      <c r="B19824" t="s">
        <v>4742</v>
      </c>
      <c r="C19824" t="s">
        <v>10</v>
      </c>
      <c r="D19824" t="s">
        <v>2204</v>
      </c>
      <c r="E19824">
        <f t="shared" si="947"/>
        <v>8.9285714285714281E-3</v>
      </c>
      <c r="F19824">
        <v>7</v>
      </c>
      <c r="G19824">
        <f>LOG(382/(7+1))</f>
        <v>1.6789733759197651</v>
      </c>
      <c r="H19824">
        <f>0.00892857142857142*3.86597906692673</f>
        <v>3.45176702404172E-2</v>
      </c>
      <c r="I19824">
        <v>3.4517670240417311E-2</v>
      </c>
    </row>
    <row r="19825" spans="1:9" x14ac:dyDescent="0.25">
      <c r="A19825">
        <v>592</v>
      </c>
      <c r="B19825" t="s">
        <v>4742</v>
      </c>
      <c r="C19825" t="s">
        <v>10</v>
      </c>
      <c r="D19825" t="s">
        <v>490</v>
      </c>
      <c r="E19825">
        <f t="shared" si="947"/>
        <v>8.9285714285714281E-3</v>
      </c>
      <c r="F19825">
        <v>31</v>
      </c>
      <c r="G19825">
        <f>LOG(382/(31+1))</f>
        <v>1.0769133845918029</v>
      </c>
      <c r="H19825">
        <f>0.00892857142857142*2.47968470580684</f>
        <v>2.2140042016132476E-2</v>
      </c>
      <c r="I19825">
        <v>2.214004201613258E-2</v>
      </c>
    </row>
    <row r="19826" spans="1:9" x14ac:dyDescent="0.25">
      <c r="A19826">
        <v>592</v>
      </c>
      <c r="B19826" t="s">
        <v>4742</v>
      </c>
      <c r="C19826" t="s">
        <v>10</v>
      </c>
      <c r="D19826" t="s">
        <v>1398</v>
      </c>
      <c r="E19826">
        <f t="shared" si="947"/>
        <v>8.9285714285714281E-3</v>
      </c>
      <c r="F19826">
        <v>29</v>
      </c>
      <c r="G19826">
        <f>LOG(382/(29+1))</f>
        <v>1.1049421081920463</v>
      </c>
      <c r="H19826">
        <f>0.00892857142857142*2.54422322694442</f>
        <v>2.2716278812003724E-2</v>
      </c>
      <c r="I19826">
        <v>2.2716278812003748E-2</v>
      </c>
    </row>
    <row r="19827" spans="1:9" x14ac:dyDescent="0.25">
      <c r="A19827">
        <v>592</v>
      </c>
      <c r="B19827" t="s">
        <v>4742</v>
      </c>
      <c r="C19827" t="s">
        <v>10</v>
      </c>
      <c r="D19827" t="s">
        <v>432</v>
      </c>
      <c r="E19827">
        <f t="shared" si="947"/>
        <v>8.9285714285714281E-3</v>
      </c>
      <c r="F19827">
        <v>67</v>
      </c>
      <c r="G19827">
        <f>LOG(382/(67+1))</f>
        <v>0.7495544502054724</v>
      </c>
      <c r="H19827">
        <f>0.00892857142857142*1.72591290343046</f>
        <v>1.5409936637771949E-2</v>
      </c>
      <c r="I19827">
        <v>1.5409936637772041E-2</v>
      </c>
    </row>
    <row r="19828" spans="1:9" x14ac:dyDescent="0.25">
      <c r="A19828">
        <v>592</v>
      </c>
      <c r="B19828" t="s">
        <v>4742</v>
      </c>
      <c r="C19828" t="s">
        <v>10</v>
      </c>
      <c r="D19828" t="s">
        <v>1473</v>
      </c>
      <c r="E19828">
        <f t="shared" si="947"/>
        <v>8.9285714285714281E-3</v>
      </c>
      <c r="F19828">
        <v>39</v>
      </c>
      <c r="G19828">
        <f>LOG(382/(39+1))</f>
        <v>0.9800033715837464</v>
      </c>
      <c r="H19828">
        <f>0.00892857142857142*2.25654115449263</f>
        <v>2.0147688879398464E-2</v>
      </c>
      <c r="I19828">
        <v>2.0147688879398561E-2</v>
      </c>
    </row>
    <row r="19829" spans="1:9" x14ac:dyDescent="0.25">
      <c r="A19829">
        <v>592</v>
      </c>
      <c r="B19829" t="s">
        <v>4742</v>
      </c>
      <c r="C19829" t="s">
        <v>10</v>
      </c>
      <c r="D19829" t="s">
        <v>600</v>
      </c>
      <c r="E19829">
        <f>2/112</f>
        <v>1.7857142857142856E-2</v>
      </c>
      <c r="F19829">
        <v>102</v>
      </c>
      <c r="G19829">
        <f>LOG(382/(102+1))</f>
        <v>0.56922613820653656</v>
      </c>
      <c r="H19829">
        <f>0.0178571428571428*1.31069162037693</f>
        <v>2.3405207506730821E-2</v>
      </c>
      <c r="I19829">
        <v>2.3405207506731061E-2</v>
      </c>
    </row>
    <row r="19830" spans="1:9" x14ac:dyDescent="0.25">
      <c r="A19830">
        <v>592</v>
      </c>
      <c r="B19830" t="s">
        <v>4742</v>
      </c>
      <c r="C19830" t="s">
        <v>10</v>
      </c>
      <c r="D19830" t="s">
        <v>82</v>
      </c>
      <c r="E19830">
        <f t="shared" ref="E19830:E19840" si="948">1/112</f>
        <v>8.9285714285714281E-3</v>
      </c>
      <c r="F19830">
        <v>92</v>
      </c>
      <c r="G19830">
        <f>LOG(382/(92+1))</f>
        <v>0.61358041435777355</v>
      </c>
      <c r="H19830">
        <f>0.00892857142857142*1.41282111545331</f>
        <v>1.2614474245118825E-2</v>
      </c>
      <c r="I19830">
        <v>1.261447424511892E-2</v>
      </c>
    </row>
    <row r="19831" spans="1:9" x14ac:dyDescent="0.25">
      <c r="A19831">
        <v>592</v>
      </c>
      <c r="B19831" t="s">
        <v>4742</v>
      </c>
      <c r="C19831" t="s">
        <v>10</v>
      </c>
      <c r="D19831" t="s">
        <v>4746</v>
      </c>
      <c r="E19831">
        <f t="shared" si="948"/>
        <v>8.9285714285714281E-3</v>
      </c>
      <c r="F19831">
        <v>1</v>
      </c>
      <c r="G19831">
        <f>LOG(382/(1+1))</f>
        <v>2.2810333672477277</v>
      </c>
      <c r="H19831">
        <f>0.00892857142857142*5.25227342804663</f>
        <v>4.6895298464702001E-2</v>
      </c>
      <c r="I19831">
        <v>4.689529846470205E-2</v>
      </c>
    </row>
    <row r="19832" spans="1:9" x14ac:dyDescent="0.25">
      <c r="A19832">
        <v>592</v>
      </c>
      <c r="B19832" t="s">
        <v>4742</v>
      </c>
      <c r="C19832" t="s">
        <v>10</v>
      </c>
      <c r="D19832" t="s">
        <v>4747</v>
      </c>
      <c r="E19832">
        <f t="shared" si="948"/>
        <v>8.9285714285714281E-3</v>
      </c>
      <c r="F19832">
        <v>1</v>
      </c>
      <c r="G19832">
        <f>LOG(382/(1+1))</f>
        <v>2.2810333672477277</v>
      </c>
      <c r="H19832">
        <f>0.00892857142857142*5.25227342804663</f>
        <v>4.6895298464702001E-2</v>
      </c>
      <c r="I19832">
        <v>4.689529846470205E-2</v>
      </c>
    </row>
    <row r="19833" spans="1:9" x14ac:dyDescent="0.25">
      <c r="A19833">
        <v>592</v>
      </c>
      <c r="B19833" t="s">
        <v>4742</v>
      </c>
      <c r="C19833" t="s">
        <v>10</v>
      </c>
      <c r="D19833" t="s">
        <v>779</v>
      </c>
      <c r="E19833">
        <f t="shared" si="948"/>
        <v>8.9285714285714281E-3</v>
      </c>
      <c r="F19833">
        <v>25</v>
      </c>
      <c r="G19833">
        <f>LOG(382/(25+1))</f>
        <v>1.1670900149408907</v>
      </c>
      <c r="H19833">
        <f>0.00892857142857142*2.68732407058509</f>
        <v>2.399396491593828E-2</v>
      </c>
      <c r="I19833">
        <v>2.3993964915938332E-2</v>
      </c>
    </row>
    <row r="19834" spans="1:9" x14ac:dyDescent="0.25">
      <c r="A19834">
        <v>592</v>
      </c>
      <c r="B19834" t="s">
        <v>4742</v>
      </c>
      <c r="C19834" t="s">
        <v>10</v>
      </c>
      <c r="D19834" t="s">
        <v>147</v>
      </c>
      <c r="E19834">
        <f t="shared" si="948"/>
        <v>8.9285714285714281E-3</v>
      </c>
      <c r="F19834">
        <v>48</v>
      </c>
      <c r="G19834">
        <f>LOG(382/(48+1))</f>
        <v>0.89186728288319506</v>
      </c>
      <c r="H19834">
        <f>0.00892857142857142*2.05360031049594</f>
        <v>1.8335717057999443E-2</v>
      </c>
      <c r="I19834">
        <v>1.8335717057999541E-2</v>
      </c>
    </row>
    <row r="19835" spans="1:9" x14ac:dyDescent="0.25">
      <c r="A19835">
        <v>592</v>
      </c>
      <c r="B19835" t="s">
        <v>4742</v>
      </c>
      <c r="C19835" t="s">
        <v>10</v>
      </c>
      <c r="D19835" t="s">
        <v>1631</v>
      </c>
      <c r="E19835">
        <f t="shared" si="948"/>
        <v>8.9285714285714281E-3</v>
      </c>
      <c r="F19835">
        <v>5</v>
      </c>
      <c r="G19835">
        <f>LOG(382/(5+1))</f>
        <v>1.803912112528065</v>
      </c>
      <c r="H19835">
        <f>0.00892857142857142*4.15366113937852</f>
        <v>3.708626017302246E-2</v>
      </c>
      <c r="I19835">
        <v>3.7086260173022502E-2</v>
      </c>
    </row>
    <row r="19836" spans="1:9" x14ac:dyDescent="0.25">
      <c r="A19836">
        <v>592</v>
      </c>
      <c r="B19836" t="s">
        <v>4742</v>
      </c>
      <c r="C19836" t="s">
        <v>10</v>
      </c>
      <c r="D19836" t="s">
        <v>68</v>
      </c>
      <c r="E19836">
        <f t="shared" si="948"/>
        <v>8.9285714285714281E-3</v>
      </c>
      <c r="F19836">
        <v>43</v>
      </c>
      <c r="G19836">
        <f>LOG(382/(43+1))</f>
        <v>0.93861068642552126</v>
      </c>
      <c r="H19836">
        <f>0.00892857142857142*2.16123097468831</f>
        <v>1.9296705131145602E-2</v>
      </c>
      <c r="I19836">
        <v>1.9296705131145661E-2</v>
      </c>
    </row>
    <row r="19837" spans="1:9" x14ac:dyDescent="0.25">
      <c r="A19837">
        <v>592</v>
      </c>
      <c r="B19837" t="s">
        <v>4742</v>
      </c>
      <c r="C19837" t="s">
        <v>10</v>
      </c>
      <c r="D19837" t="s">
        <v>157</v>
      </c>
      <c r="E19837">
        <f t="shared" si="948"/>
        <v>8.9285714285714281E-3</v>
      </c>
      <c r="F19837">
        <v>16</v>
      </c>
      <c r="G19837">
        <f>LOG(382/(16+1))</f>
        <v>1.3516144415334348</v>
      </c>
      <c r="H19837">
        <f>0.00892857142857142*3.11220726455035</f>
        <v>2.7787564862056666E-2</v>
      </c>
      <c r="I19837">
        <v>2.7787564862056781E-2</v>
      </c>
    </row>
    <row r="19838" spans="1:9" x14ac:dyDescent="0.25">
      <c r="A19838">
        <v>592</v>
      </c>
      <c r="B19838" t="s">
        <v>4742</v>
      </c>
      <c r="C19838" t="s">
        <v>10</v>
      </c>
      <c r="D19838" t="s">
        <v>64</v>
      </c>
      <c r="E19838">
        <f t="shared" si="948"/>
        <v>8.9285714285714281E-3</v>
      </c>
      <c r="F19838">
        <v>16</v>
      </c>
      <c r="G19838">
        <f>LOG(382/(16+1))</f>
        <v>1.3516144415334348</v>
      </c>
      <c r="H19838">
        <f>0.00892857142857142*3.11220726455035</f>
        <v>2.7787564862056666E-2</v>
      </c>
      <c r="I19838">
        <v>2.7787564862056781E-2</v>
      </c>
    </row>
    <row r="19839" spans="1:9" x14ac:dyDescent="0.25">
      <c r="A19839">
        <v>592</v>
      </c>
      <c r="B19839" t="s">
        <v>4742</v>
      </c>
      <c r="C19839" t="s">
        <v>10</v>
      </c>
      <c r="D19839" t="s">
        <v>599</v>
      </c>
      <c r="E19839">
        <f t="shared" si="948"/>
        <v>8.9285714285714281E-3</v>
      </c>
      <c r="F19839">
        <v>28</v>
      </c>
      <c r="G19839">
        <f>LOG(382/(28+1))</f>
        <v>1.1196653650127526</v>
      </c>
      <c r="H19839">
        <f>0.00892857142857142*2.5781247786201</f>
        <v>2.3018971237679438E-2</v>
      </c>
      <c r="I19839">
        <v>2.3018971237679469E-2</v>
      </c>
    </row>
    <row r="19840" spans="1:9" x14ac:dyDescent="0.25">
      <c r="A19840">
        <v>592</v>
      </c>
      <c r="B19840" t="s">
        <v>4742</v>
      </c>
      <c r="C19840" t="s">
        <v>10</v>
      </c>
      <c r="D19840" t="s">
        <v>72</v>
      </c>
      <c r="E19840">
        <f t="shared" si="948"/>
        <v>8.9285714285714281E-3</v>
      </c>
      <c r="F19840">
        <v>13</v>
      </c>
      <c r="G19840">
        <f>LOG(382/(13+1))</f>
        <v>1.4359353272334707</v>
      </c>
      <c r="H19840">
        <f>0.00892857142857142*3.30636327899131</f>
        <v>2.9521100705279524E-2</v>
      </c>
      <c r="I19840">
        <v>2.9521100705279611E-2</v>
      </c>
    </row>
    <row r="19841" spans="1:9" x14ac:dyDescent="0.25">
      <c r="A19841">
        <v>593</v>
      </c>
      <c r="B19841" t="s">
        <v>4748</v>
      </c>
      <c r="C19841" t="s">
        <v>10</v>
      </c>
      <c r="D19841" t="s">
        <v>315</v>
      </c>
      <c r="E19841">
        <f>8/75</f>
        <v>0.10666666666666667</v>
      </c>
      <c r="F19841">
        <v>55</v>
      </c>
      <c r="G19841">
        <f>LOG(382/(55+1))</f>
        <v>0.83387533590550833</v>
      </c>
      <c r="H19841">
        <f>0.106666666666666*1.92006891787142</f>
        <v>0.20480735123961685</v>
      </c>
      <c r="I19841">
        <v>0.2048073512396188</v>
      </c>
    </row>
    <row r="19842" spans="1:9" x14ac:dyDescent="0.25">
      <c r="A19842">
        <v>593</v>
      </c>
      <c r="B19842" t="s">
        <v>4748</v>
      </c>
      <c r="C19842" t="s">
        <v>10</v>
      </c>
      <c r="D19842" t="s">
        <v>4749</v>
      </c>
      <c r="E19842">
        <f>2/75</f>
        <v>2.6666666666666668E-2</v>
      </c>
      <c r="F19842">
        <v>1</v>
      </c>
      <c r="G19842">
        <f>LOG(382/(1+1))</f>
        <v>2.2810333672477277</v>
      </c>
      <c r="H19842">
        <f>0.0266666666666666*5.25227342804663</f>
        <v>0.14006062474790978</v>
      </c>
      <c r="I19842">
        <v>0.14006062474791009</v>
      </c>
    </row>
    <row r="19843" spans="1:9" x14ac:dyDescent="0.25">
      <c r="A19843">
        <v>593</v>
      </c>
      <c r="B19843" t="s">
        <v>4748</v>
      </c>
      <c r="C19843" t="s">
        <v>10</v>
      </c>
      <c r="D19843" t="s">
        <v>42</v>
      </c>
      <c r="E19843">
        <f t="shared" ref="E19843:E19852" si="949">1/75</f>
        <v>1.3333333333333334E-2</v>
      </c>
      <c r="F19843">
        <v>251</v>
      </c>
      <c r="G19843">
        <f>LOG(382/(251+1))</f>
        <v>0.18066282213016463</v>
      </c>
      <c r="H19843">
        <f>0.0133333333333333*0.415991521095151</f>
        <v>5.5465536146019987E-3</v>
      </c>
      <c r="I19843">
        <v>5.5465536146020256E-3</v>
      </c>
    </row>
    <row r="19844" spans="1:9" x14ac:dyDescent="0.25">
      <c r="A19844">
        <v>593</v>
      </c>
      <c r="B19844" t="s">
        <v>4748</v>
      </c>
      <c r="C19844" t="s">
        <v>10</v>
      </c>
      <c r="D19844" t="s">
        <v>15</v>
      </c>
      <c r="E19844">
        <f t="shared" si="949"/>
        <v>1.3333333333333334E-2</v>
      </c>
      <c r="F19844">
        <v>112</v>
      </c>
      <c r="G19844">
        <f>LOG(382/(112+1))</f>
        <v>0.52898491942828896</v>
      </c>
      <c r="H19844">
        <f>0.0133333333333333*1.21803278989423</f>
        <v>1.6240437198589693E-2</v>
      </c>
      <c r="I19844">
        <v>1.6240437198589801E-2</v>
      </c>
    </row>
    <row r="19845" spans="1:9" x14ac:dyDescent="0.25">
      <c r="A19845">
        <v>593</v>
      </c>
      <c r="B19845" t="s">
        <v>4748</v>
      </c>
      <c r="C19845" t="s">
        <v>10</v>
      </c>
      <c r="D19845" t="s">
        <v>176</v>
      </c>
      <c r="E19845">
        <f t="shared" si="949"/>
        <v>1.3333333333333334E-2</v>
      </c>
      <c r="F19845">
        <v>3</v>
      </c>
      <c r="G19845">
        <f>LOG(382/(3+1))</f>
        <v>1.9800033715837464</v>
      </c>
      <c r="H19845">
        <f>0.0133333333333333*4.55912624748668</f>
        <v>6.0788349966488915E-2</v>
      </c>
      <c r="I19845">
        <v>6.078834996648913E-2</v>
      </c>
    </row>
    <row r="19846" spans="1:9" x14ac:dyDescent="0.25">
      <c r="A19846">
        <v>593</v>
      </c>
      <c r="B19846" t="s">
        <v>4748</v>
      </c>
      <c r="C19846" t="s">
        <v>10</v>
      </c>
      <c r="D19846" t="s">
        <v>17</v>
      </c>
      <c r="E19846">
        <f t="shared" si="949"/>
        <v>1.3333333333333334E-2</v>
      </c>
      <c r="F19846">
        <v>169</v>
      </c>
      <c r="G19846">
        <f>LOG(382/(169+1))</f>
        <v>0.3516144415334348</v>
      </c>
      <c r="H19846">
        <f>0.0133333333333333*0.809622171556313</f>
        <v>1.0794962287417479E-2</v>
      </c>
      <c r="I19846">
        <v>1.079496228741751E-2</v>
      </c>
    </row>
    <row r="19847" spans="1:9" x14ac:dyDescent="0.25">
      <c r="A19847">
        <v>593</v>
      </c>
      <c r="B19847" t="s">
        <v>4748</v>
      </c>
      <c r="C19847" t="s">
        <v>10</v>
      </c>
      <c r="D19847" t="s">
        <v>1266</v>
      </c>
      <c r="E19847">
        <f t="shared" si="949"/>
        <v>1.3333333333333334E-2</v>
      </c>
      <c r="F19847">
        <v>3</v>
      </c>
      <c r="G19847">
        <f>LOG(382/(3+1))</f>
        <v>1.9800033715837464</v>
      </c>
      <c r="H19847">
        <f>0.0133333333333333*4.55912624748668</f>
        <v>6.0788349966488915E-2</v>
      </c>
      <c r="I19847">
        <v>6.078834996648913E-2</v>
      </c>
    </row>
    <row r="19848" spans="1:9" x14ac:dyDescent="0.25">
      <c r="A19848">
        <v>593</v>
      </c>
      <c r="B19848" t="s">
        <v>4748</v>
      </c>
      <c r="C19848" t="s">
        <v>10</v>
      </c>
      <c r="D19848" t="s">
        <v>19</v>
      </c>
      <c r="E19848">
        <f t="shared" si="949"/>
        <v>1.3333333333333334E-2</v>
      </c>
      <c r="F19848">
        <v>220</v>
      </c>
      <c r="G19848">
        <f>LOG(382/(220+1))</f>
        <v>0.23767108922659805</v>
      </c>
      <c r="H19848">
        <f>0.0133333333333333*0.547257907088822</f>
        <v>7.296772094517609E-3</v>
      </c>
      <c r="I19848">
        <v>7.2967720945176324E-3</v>
      </c>
    </row>
    <row r="19849" spans="1:9" x14ac:dyDescent="0.25">
      <c r="A19849">
        <v>593</v>
      </c>
      <c r="B19849" t="s">
        <v>4748</v>
      </c>
      <c r="C19849" t="s">
        <v>10</v>
      </c>
      <c r="D19849" t="s">
        <v>44</v>
      </c>
      <c r="E19849">
        <f t="shared" si="949"/>
        <v>1.3333333333333334E-2</v>
      </c>
      <c r="F19849">
        <v>151</v>
      </c>
      <c r="G19849">
        <f>LOG(382/(151+1))</f>
        <v>0.40021977496693617</v>
      </c>
      <c r="H19849">
        <f>0.0133333333333333*0.921540087760298</f>
        <v>1.2287201170137277E-2</v>
      </c>
      <c r="I19849">
        <v>1.228720117013732E-2</v>
      </c>
    </row>
    <row r="19850" spans="1:9" x14ac:dyDescent="0.25">
      <c r="A19850">
        <v>593</v>
      </c>
      <c r="B19850" t="s">
        <v>4748</v>
      </c>
      <c r="C19850" t="s">
        <v>10</v>
      </c>
      <c r="D19850" t="s">
        <v>22</v>
      </c>
      <c r="E19850">
        <f t="shared" si="949"/>
        <v>1.3333333333333334E-2</v>
      </c>
      <c r="F19850">
        <v>259</v>
      </c>
      <c r="G19850">
        <f>LOG(382/(259+1))</f>
        <v>0.16709001494089079</v>
      </c>
      <c r="H19850">
        <f>0.0133333333333333*0.384738977591047</f>
        <v>5.129853034547281E-3</v>
      </c>
      <c r="I19850">
        <v>5.129853034547301E-3</v>
      </c>
    </row>
    <row r="19851" spans="1:9" x14ac:dyDescent="0.25">
      <c r="A19851">
        <v>593</v>
      </c>
      <c r="B19851" t="s">
        <v>4748</v>
      </c>
      <c r="C19851" t="s">
        <v>10</v>
      </c>
      <c r="D19851" t="s">
        <v>23</v>
      </c>
      <c r="E19851">
        <f t="shared" si="949"/>
        <v>1.3333333333333334E-2</v>
      </c>
      <c r="F19851">
        <v>275</v>
      </c>
      <c r="G19851">
        <f>LOG(382/(275+1))</f>
        <v>0.14115428084649101</v>
      </c>
      <c r="H19851">
        <f>0.0133333333333333*0.325019742889425</f>
        <v>4.3335965718589884E-3</v>
      </c>
      <c r="I19851">
        <v>4.3335965718590023E-3</v>
      </c>
    </row>
    <row r="19852" spans="1:9" x14ac:dyDescent="0.25">
      <c r="A19852">
        <v>593</v>
      </c>
      <c r="B19852" t="s">
        <v>4748</v>
      </c>
      <c r="C19852" t="s">
        <v>10</v>
      </c>
      <c r="D19852" t="s">
        <v>204</v>
      </c>
      <c r="E19852">
        <f t="shared" si="949"/>
        <v>1.3333333333333334E-2</v>
      </c>
      <c r="F19852">
        <v>166</v>
      </c>
      <c r="G19852">
        <f>LOG(382/(166+1))</f>
        <v>0.35934689176412549</v>
      </c>
      <c r="H19852">
        <f>0.0133333333333333*0.82742679618982</f>
        <v>1.1032357282530905E-2</v>
      </c>
      <c r="I19852">
        <v>1.1032357282530939E-2</v>
      </c>
    </row>
    <row r="19853" spans="1:9" x14ac:dyDescent="0.25">
      <c r="A19853">
        <v>593</v>
      </c>
      <c r="B19853" t="s">
        <v>4748</v>
      </c>
      <c r="C19853" t="s">
        <v>10</v>
      </c>
      <c r="D19853" t="s">
        <v>1081</v>
      </c>
      <c r="E19853">
        <f>3/75</f>
        <v>0.04</v>
      </c>
      <c r="F19853">
        <v>27</v>
      </c>
      <c r="G19853">
        <f>LOG(382/(27+1))</f>
        <v>1.1349053315694895</v>
      </c>
      <c r="H19853">
        <f>0.04*2.61321609843137</f>
        <v>0.10452864393725481</v>
      </c>
      <c r="I19853">
        <v>0.10452864393725481</v>
      </c>
    </row>
    <row r="19854" spans="1:9" x14ac:dyDescent="0.25">
      <c r="A19854">
        <v>593</v>
      </c>
      <c r="B19854" t="s">
        <v>4748</v>
      </c>
      <c r="C19854" t="s">
        <v>10</v>
      </c>
      <c r="D19854" t="s">
        <v>152</v>
      </c>
      <c r="E19854">
        <f>3/75</f>
        <v>0.04</v>
      </c>
      <c r="F19854">
        <v>31</v>
      </c>
      <c r="G19854">
        <f>LOG(382/(31+1))</f>
        <v>1.0769133845918029</v>
      </c>
      <c r="H19854">
        <f>0.04*2.47968470580684</f>
        <v>9.9187388232273591E-2</v>
      </c>
      <c r="I19854">
        <v>9.9187388232273951E-2</v>
      </c>
    </row>
    <row r="19855" spans="1:9" x14ac:dyDescent="0.25">
      <c r="A19855">
        <v>593</v>
      </c>
      <c r="B19855" t="s">
        <v>4748</v>
      </c>
      <c r="C19855" t="s">
        <v>10</v>
      </c>
      <c r="D19855" t="s">
        <v>77</v>
      </c>
      <c r="E19855">
        <f>2/75</f>
        <v>2.6666666666666668E-2</v>
      </c>
      <c r="F19855">
        <v>148</v>
      </c>
      <c r="G19855">
        <f>LOG(382/(148+1))</f>
        <v>0.40887709449943471</v>
      </c>
      <c r="H19855">
        <f>0.0266666666666666*0.941474302661116</f>
        <v>2.5105981404296363E-2</v>
      </c>
      <c r="I19855">
        <v>2.5105981404296429E-2</v>
      </c>
    </row>
    <row r="19856" spans="1:9" x14ac:dyDescent="0.25">
      <c r="A19856">
        <v>593</v>
      </c>
      <c r="B19856" t="s">
        <v>4748</v>
      </c>
      <c r="C19856" t="s">
        <v>10</v>
      </c>
      <c r="D19856" t="s">
        <v>11</v>
      </c>
      <c r="E19856">
        <f>3/75</f>
        <v>0.04</v>
      </c>
      <c r="F19856">
        <v>83</v>
      </c>
      <c r="G19856">
        <f>LOG(382/(83+1))</f>
        <v>0.65778407684982709</v>
      </c>
      <c r="H19856">
        <f>0.04*1.51460380976326</f>
        <v>6.0584152390530395E-2</v>
      </c>
      <c r="I19856">
        <v>6.0584152390530457E-2</v>
      </c>
    </row>
    <row r="19857" spans="1:9" x14ac:dyDescent="0.25">
      <c r="A19857">
        <v>593</v>
      </c>
      <c r="B19857" t="s">
        <v>4748</v>
      </c>
      <c r="C19857" t="s">
        <v>10</v>
      </c>
      <c r="D19857" t="s">
        <v>40</v>
      </c>
      <c r="E19857">
        <f>2/75</f>
        <v>2.6666666666666668E-2</v>
      </c>
      <c r="F19857">
        <v>159</v>
      </c>
      <c r="G19857">
        <f>LOG(382/(159+1))</f>
        <v>0.377943380255784</v>
      </c>
      <c r="H19857">
        <f>0.0266666666666666*0.870246793372748</f>
        <v>2.3206581156606555E-2</v>
      </c>
      <c r="I19857">
        <v>2.320658115660662E-2</v>
      </c>
    </row>
    <row r="19858" spans="1:9" x14ac:dyDescent="0.25">
      <c r="A19858">
        <v>593</v>
      </c>
      <c r="B19858" t="s">
        <v>4748</v>
      </c>
      <c r="C19858" t="s">
        <v>10</v>
      </c>
      <c r="D19858" t="s">
        <v>41</v>
      </c>
      <c r="E19858">
        <f>2/75</f>
        <v>2.6666666666666668E-2</v>
      </c>
      <c r="F19858">
        <v>195</v>
      </c>
      <c r="G19858">
        <f>LOG(382/(195+1))</f>
        <v>0.28980729155523272</v>
      </c>
      <c r="H19858">
        <f>0.0266666666666666*0.667305949376058</f>
        <v>1.7794825316694837E-2</v>
      </c>
      <c r="I19858">
        <v>1.7794825316694879E-2</v>
      </c>
    </row>
    <row r="19859" spans="1:9" x14ac:dyDescent="0.25">
      <c r="A19859">
        <v>593</v>
      </c>
      <c r="B19859" t="s">
        <v>4748</v>
      </c>
      <c r="C19859" t="s">
        <v>10</v>
      </c>
      <c r="D19859" t="s">
        <v>1534</v>
      </c>
      <c r="E19859">
        <f>3/75</f>
        <v>0.04</v>
      </c>
      <c r="F19859">
        <v>25</v>
      </c>
      <c r="G19859">
        <f>LOG(382/(25+1))</f>
        <v>1.1670900149408907</v>
      </c>
      <c r="H19859">
        <f>0.04*2.68732407058509</f>
        <v>0.10749296282340361</v>
      </c>
      <c r="I19859">
        <v>0.1074929628234037</v>
      </c>
    </row>
    <row r="19860" spans="1:9" x14ac:dyDescent="0.25">
      <c r="A19860">
        <v>593</v>
      </c>
      <c r="B19860" t="s">
        <v>4748</v>
      </c>
      <c r="C19860" t="s">
        <v>10</v>
      </c>
      <c r="D19860" t="s">
        <v>994</v>
      </c>
      <c r="E19860">
        <f>1/75</f>
        <v>1.3333333333333334E-2</v>
      </c>
      <c r="F19860">
        <v>37</v>
      </c>
      <c r="G19860">
        <f>LOG(382/(37+1))</f>
        <v>1.0022797662948986</v>
      </c>
      <c r="H19860">
        <f>0.0133333333333333*2.30783444888018</f>
        <v>3.0771125985068988E-2</v>
      </c>
      <c r="I19860">
        <v>3.0771125985069189E-2</v>
      </c>
    </row>
    <row r="19861" spans="1:9" x14ac:dyDescent="0.25">
      <c r="A19861">
        <v>593</v>
      </c>
      <c r="B19861" t="s">
        <v>4748</v>
      </c>
      <c r="C19861" t="s">
        <v>10</v>
      </c>
      <c r="D19861" t="s">
        <v>247</v>
      </c>
      <c r="E19861">
        <f>1/75</f>
        <v>1.3333333333333334E-2</v>
      </c>
      <c r="F19861">
        <v>121</v>
      </c>
      <c r="G19861">
        <f>LOG(382/(121+1))</f>
        <v>0.49570353223696051</v>
      </c>
      <c r="H19861">
        <f>0.0133333333333333*1.14139956387331</f>
        <v>1.5218660851644096E-2</v>
      </c>
      <c r="I19861">
        <v>1.521866085164425E-2</v>
      </c>
    </row>
    <row r="19862" spans="1:9" x14ac:dyDescent="0.25">
      <c r="A19862">
        <v>593</v>
      </c>
      <c r="B19862" t="s">
        <v>4748</v>
      </c>
      <c r="C19862" t="s">
        <v>10</v>
      </c>
      <c r="D19862" t="s">
        <v>39</v>
      </c>
      <c r="E19862">
        <f>1/75</f>
        <v>1.3333333333333334E-2</v>
      </c>
      <c r="F19862">
        <v>145</v>
      </c>
      <c r="G19862">
        <f>LOG(382/(145+1))</f>
        <v>0.41771050712727159</v>
      </c>
      <c r="H19862">
        <f>0.0133333333333333*0.961813986898238</f>
        <v>1.2824186491976475E-2</v>
      </c>
      <c r="I19862">
        <v>1.282418649197652E-2</v>
      </c>
    </row>
    <row r="19863" spans="1:9" x14ac:dyDescent="0.25">
      <c r="A19863">
        <v>593</v>
      </c>
      <c r="B19863" t="s">
        <v>4748</v>
      </c>
      <c r="C19863" t="s">
        <v>10</v>
      </c>
      <c r="D19863" t="s">
        <v>216</v>
      </c>
      <c r="E19863">
        <f>1/75</f>
        <v>1.3333333333333334E-2</v>
      </c>
      <c r="F19863">
        <v>63</v>
      </c>
      <c r="G19863">
        <f>LOG(382/(63+1))</f>
        <v>0.7758833889278216</v>
      </c>
      <c r="H19863">
        <f>0.0133333333333333*1.7865375252469</f>
        <v>2.3820500336625274E-2</v>
      </c>
      <c r="I19863">
        <v>2.3820500336625378E-2</v>
      </c>
    </row>
    <row r="19864" spans="1:9" x14ac:dyDescent="0.25">
      <c r="A19864">
        <v>593</v>
      </c>
      <c r="B19864" t="s">
        <v>4748</v>
      </c>
      <c r="C19864" t="s">
        <v>10</v>
      </c>
      <c r="D19864" t="s">
        <v>119</v>
      </c>
      <c r="E19864">
        <f>1/75</f>
        <v>1.3333333333333334E-2</v>
      </c>
      <c r="F19864">
        <v>79</v>
      </c>
      <c r="G19864">
        <f>LOG(382/(79+1))</f>
        <v>0.67897337591976514</v>
      </c>
      <c r="H19864">
        <f>0.0133333333333333*1.56339397393269</f>
        <v>2.0845252985769148E-2</v>
      </c>
      <c r="I19864">
        <v>2.0845252985769249E-2</v>
      </c>
    </row>
    <row r="19865" spans="1:9" x14ac:dyDescent="0.25">
      <c r="A19865">
        <v>593</v>
      </c>
      <c r="B19865" t="s">
        <v>4748</v>
      </c>
      <c r="C19865" t="s">
        <v>10</v>
      </c>
      <c r="D19865" t="s">
        <v>322</v>
      </c>
      <c r="E19865">
        <f>3/75</f>
        <v>0.04</v>
      </c>
      <c r="F19865">
        <v>128</v>
      </c>
      <c r="G19865">
        <f>LOG(382/(128+1))</f>
        <v>0.47147365261245977</v>
      </c>
      <c r="H19865">
        <f>0.04*1.0856082042449</f>
        <v>4.3424328169796002E-2</v>
      </c>
      <c r="I19865">
        <v>4.3424328169796127E-2</v>
      </c>
    </row>
    <row r="19866" spans="1:9" x14ac:dyDescent="0.25">
      <c r="A19866">
        <v>593</v>
      </c>
      <c r="B19866" t="s">
        <v>4748</v>
      </c>
      <c r="C19866" t="s">
        <v>10</v>
      </c>
      <c r="D19866" t="s">
        <v>123</v>
      </c>
      <c r="E19866">
        <f>1/75</f>
        <v>1.3333333333333334E-2</v>
      </c>
      <c r="F19866">
        <v>74</v>
      </c>
      <c r="G19866">
        <f>LOG(382/(74+1))</f>
        <v>0.7070020995200087</v>
      </c>
      <c r="H19866">
        <f>0.0133333333333333*1.62793249507026</f>
        <v>2.1705766600936746E-2</v>
      </c>
      <c r="I19866">
        <v>2.1705766600936861E-2</v>
      </c>
    </row>
    <row r="19867" spans="1:9" x14ac:dyDescent="0.25">
      <c r="A19867">
        <v>593</v>
      </c>
      <c r="B19867" t="s">
        <v>4748</v>
      </c>
      <c r="C19867" t="s">
        <v>10</v>
      </c>
      <c r="D19867" t="s">
        <v>25</v>
      </c>
      <c r="E19867">
        <f>1/75</f>
        <v>1.3333333333333334E-2</v>
      </c>
      <c r="F19867">
        <v>106</v>
      </c>
      <c r="G19867">
        <f>LOG(382/(106+1))</f>
        <v>0.55267958522649907</v>
      </c>
      <c r="H19867">
        <f>0.0133333333333333*1.27259177414466</f>
        <v>1.6967890321928757E-2</v>
      </c>
      <c r="I19867">
        <v>1.696789032192892E-2</v>
      </c>
    </row>
    <row r="19868" spans="1:9" x14ac:dyDescent="0.25">
      <c r="A19868">
        <v>593</v>
      </c>
      <c r="B19868" t="s">
        <v>4748</v>
      </c>
      <c r="C19868" t="s">
        <v>10</v>
      </c>
      <c r="D19868" t="s">
        <v>485</v>
      </c>
      <c r="E19868">
        <f>2/75</f>
        <v>2.6666666666666668E-2</v>
      </c>
      <c r="F19868">
        <v>74</v>
      </c>
      <c r="G19868">
        <f>LOG(382/(74+1))</f>
        <v>0.7070020995200087</v>
      </c>
      <c r="H19868">
        <f>0.0266666666666666*1.62793249507026</f>
        <v>4.3411533201873492E-2</v>
      </c>
      <c r="I19868">
        <v>4.3411533201873728E-2</v>
      </c>
    </row>
    <row r="19869" spans="1:9" x14ac:dyDescent="0.25">
      <c r="A19869">
        <v>593</v>
      </c>
      <c r="B19869" t="s">
        <v>4748</v>
      </c>
      <c r="C19869" t="s">
        <v>10</v>
      </c>
      <c r="D19869" t="s">
        <v>327</v>
      </c>
      <c r="E19869">
        <f>1/75</f>
        <v>1.3333333333333334E-2</v>
      </c>
      <c r="F19869">
        <v>46</v>
      </c>
      <c r="G19869">
        <f>LOG(382/(46+1))</f>
        <v>0.90996550497599127</v>
      </c>
      <c r="H19869">
        <f>0.0133333333333333*2.09527300689651</f>
        <v>2.7936973425286733E-2</v>
      </c>
      <c r="I19869">
        <v>2.7936973425286889E-2</v>
      </c>
    </row>
    <row r="19870" spans="1:9" x14ac:dyDescent="0.25">
      <c r="A19870">
        <v>593</v>
      </c>
      <c r="B19870" t="s">
        <v>4748</v>
      </c>
      <c r="C19870" t="s">
        <v>10</v>
      </c>
      <c r="D19870" t="s">
        <v>1533</v>
      </c>
      <c r="E19870">
        <f>1/75</f>
        <v>1.3333333333333334E-2</v>
      </c>
      <c r="F19870">
        <v>33</v>
      </c>
      <c r="G19870">
        <f>LOG(382/(33+1))</f>
        <v>1.0505844458694535</v>
      </c>
      <c r="H19870">
        <f>0.0133333333333333*2.41906008399041</f>
        <v>3.2254134453205387E-2</v>
      </c>
      <c r="I19870">
        <v>3.2254134453205519E-2</v>
      </c>
    </row>
    <row r="19871" spans="1:9" x14ac:dyDescent="0.25">
      <c r="A19871">
        <v>593</v>
      </c>
      <c r="B19871" t="s">
        <v>4748</v>
      </c>
      <c r="C19871" t="s">
        <v>10</v>
      </c>
      <c r="D19871" t="s">
        <v>1880</v>
      </c>
      <c r="E19871">
        <f>1/75</f>
        <v>1.3333333333333334E-2</v>
      </c>
      <c r="F19871">
        <v>4</v>
      </c>
      <c r="G19871">
        <f>LOG(382/(4+1))</f>
        <v>1.8830933585756899</v>
      </c>
      <c r="H19871">
        <f>0.0133333333333333*4.33598269617247</f>
        <v>5.7813102615632793E-2</v>
      </c>
      <c r="I19871">
        <v>5.7813102615633001E-2</v>
      </c>
    </row>
    <row r="19872" spans="1:9" x14ac:dyDescent="0.25">
      <c r="A19872">
        <v>593</v>
      </c>
      <c r="B19872" t="s">
        <v>4748</v>
      </c>
      <c r="C19872" t="s">
        <v>10</v>
      </c>
      <c r="D19872" t="s">
        <v>600</v>
      </c>
      <c r="E19872">
        <f>2/75</f>
        <v>2.6666666666666668E-2</v>
      </c>
      <c r="F19872">
        <v>102</v>
      </c>
      <c r="G19872">
        <f>LOG(382/(102+1))</f>
        <v>0.56922613820653656</v>
      </c>
      <c r="H19872">
        <f>0.0266666666666666*1.31069162037693</f>
        <v>3.4951776543384716E-2</v>
      </c>
      <c r="I19872">
        <v>3.4951776543385063E-2</v>
      </c>
    </row>
    <row r="19873" spans="1:9" x14ac:dyDescent="0.25">
      <c r="A19873">
        <v>593</v>
      </c>
      <c r="B19873" t="s">
        <v>4748</v>
      </c>
      <c r="C19873" t="s">
        <v>10</v>
      </c>
      <c r="D19873" t="s">
        <v>65</v>
      </c>
      <c r="E19873">
        <f>1/75</f>
        <v>1.3333333333333334E-2</v>
      </c>
      <c r="F19873">
        <v>32</v>
      </c>
      <c r="G19873">
        <f>LOG(382/(32+1))</f>
        <v>1.0635494230338212</v>
      </c>
      <c r="H19873">
        <f>0.0133333333333333*2.44891304714009</f>
        <v>3.2652173961867786E-2</v>
      </c>
      <c r="I19873">
        <v>3.2652173961867939E-2</v>
      </c>
    </row>
    <row r="19874" spans="1:9" x14ac:dyDescent="0.25">
      <c r="A19874">
        <v>593</v>
      </c>
      <c r="B19874" t="s">
        <v>4748</v>
      </c>
      <c r="C19874" t="s">
        <v>10</v>
      </c>
      <c r="D19874" t="s">
        <v>1250</v>
      </c>
      <c r="E19874">
        <f>2/75</f>
        <v>2.6666666666666668E-2</v>
      </c>
      <c r="F19874">
        <v>5</v>
      </c>
      <c r="G19874">
        <f>LOG(382/(5+1))</f>
        <v>1.803912112528065</v>
      </c>
      <c r="H19874">
        <f>0.0266666666666666*4.15366113937852</f>
        <v>0.11076429705009358</v>
      </c>
      <c r="I19874">
        <v>0.1107642970500939</v>
      </c>
    </row>
    <row r="19875" spans="1:9" x14ac:dyDescent="0.25">
      <c r="A19875">
        <v>593</v>
      </c>
      <c r="B19875" t="s">
        <v>4748</v>
      </c>
      <c r="C19875" t="s">
        <v>10</v>
      </c>
      <c r="D19875" t="s">
        <v>4750</v>
      </c>
      <c r="E19875">
        <f>2/75</f>
        <v>2.6666666666666668E-2</v>
      </c>
      <c r="F19875">
        <v>1</v>
      </c>
      <c r="G19875">
        <f>LOG(382/(1+1))</f>
        <v>2.2810333672477277</v>
      </c>
      <c r="H19875">
        <f>0.0266666666666666*5.25227342804663</f>
        <v>0.14006062474790978</v>
      </c>
      <c r="I19875">
        <v>0.14006062474791009</v>
      </c>
    </row>
    <row r="19876" spans="1:9" x14ac:dyDescent="0.25">
      <c r="A19876">
        <v>593</v>
      </c>
      <c r="B19876" t="s">
        <v>4748</v>
      </c>
      <c r="C19876" t="s">
        <v>10</v>
      </c>
      <c r="D19876" t="s">
        <v>81</v>
      </c>
      <c r="E19876">
        <f>2/75</f>
        <v>2.6666666666666668E-2</v>
      </c>
      <c r="F19876">
        <v>114</v>
      </c>
      <c r="G19876">
        <f>LOG(382/(114+1))</f>
        <v>0.52136552255809698</v>
      </c>
      <c r="H19876">
        <f>0.0266666666666666*1.20048848024332</f>
        <v>3.2013026139821786E-2</v>
      </c>
      <c r="I19876">
        <v>3.2013026139822008E-2</v>
      </c>
    </row>
    <row r="19877" spans="1:9" x14ac:dyDescent="0.25">
      <c r="A19877">
        <v>593</v>
      </c>
      <c r="B19877" t="s">
        <v>4748</v>
      </c>
      <c r="C19877" t="s">
        <v>10</v>
      </c>
      <c r="D19877" t="s">
        <v>237</v>
      </c>
      <c r="E19877">
        <f>2/75</f>
        <v>2.6666666666666668E-2</v>
      </c>
      <c r="F19877">
        <v>138</v>
      </c>
      <c r="G19877">
        <f>LOG(382/(138+1))</f>
        <v>0.43904856265761361</v>
      </c>
      <c r="H19877">
        <f>0.0266666666666666*1.01094667547588</f>
        <v>2.6958578012690065E-2</v>
      </c>
      <c r="I19877">
        <v>2.6958578012690221E-2</v>
      </c>
    </row>
    <row r="19878" spans="1:9" x14ac:dyDescent="0.25">
      <c r="A19878">
        <v>593</v>
      </c>
      <c r="B19878" t="s">
        <v>4748</v>
      </c>
      <c r="C19878" t="s">
        <v>10</v>
      </c>
      <c r="D19878" t="s">
        <v>2468</v>
      </c>
      <c r="E19878">
        <f t="shared" ref="E19878:E19884" si="950">1/75</f>
        <v>1.3333333333333334E-2</v>
      </c>
      <c r="F19878">
        <v>7</v>
      </c>
      <c r="G19878">
        <f>LOG(382/(7+1))</f>
        <v>1.6789733759197651</v>
      </c>
      <c r="H19878">
        <f>0.0133333333333333*3.86597906692673</f>
        <v>5.1546387559022938E-2</v>
      </c>
      <c r="I19878">
        <v>5.1546387559023188E-2</v>
      </c>
    </row>
    <row r="19879" spans="1:9" x14ac:dyDescent="0.25">
      <c r="A19879">
        <v>593</v>
      </c>
      <c r="B19879" t="s">
        <v>4748</v>
      </c>
      <c r="C19879" t="s">
        <v>10</v>
      </c>
      <c r="D19879" t="s">
        <v>898</v>
      </c>
      <c r="E19879">
        <f t="shared" si="950"/>
        <v>1.3333333333333334E-2</v>
      </c>
      <c r="F19879">
        <v>22</v>
      </c>
      <c r="G19879">
        <f>LOG(382/(22+1))</f>
        <v>1.2203355268941158</v>
      </c>
      <c r="H19879">
        <f>0.0133333333333333*2.80992639267742</f>
        <v>3.7465685235698834E-2</v>
      </c>
      <c r="I19879">
        <v>3.7465685235699007E-2</v>
      </c>
    </row>
    <row r="19880" spans="1:9" x14ac:dyDescent="0.25">
      <c r="A19880">
        <v>593</v>
      </c>
      <c r="B19880" t="s">
        <v>4748</v>
      </c>
      <c r="C19880" t="s">
        <v>10</v>
      </c>
      <c r="D19880" t="s">
        <v>765</v>
      </c>
      <c r="E19880">
        <f t="shared" si="950"/>
        <v>1.3333333333333334E-2</v>
      </c>
      <c r="F19880">
        <v>44</v>
      </c>
      <c r="G19880">
        <f>LOG(382/(44+1))</f>
        <v>0.92885084913636506</v>
      </c>
      <c r="H19880">
        <f>0.0133333333333333*2.13875811883625</f>
        <v>2.8516774917816592E-2</v>
      </c>
      <c r="I19880">
        <v>2.8516774917816741E-2</v>
      </c>
    </row>
    <row r="19881" spans="1:9" x14ac:dyDescent="0.25">
      <c r="A19881">
        <v>593</v>
      </c>
      <c r="B19881" t="s">
        <v>4748</v>
      </c>
      <c r="C19881" t="s">
        <v>10</v>
      </c>
      <c r="D19881" t="s">
        <v>2220</v>
      </c>
      <c r="E19881">
        <f t="shared" si="950"/>
        <v>1.3333333333333334E-2</v>
      </c>
      <c r="F19881">
        <v>21</v>
      </c>
      <c r="G19881">
        <f>LOG(382/(21+1))</f>
        <v>1.2396406820895025</v>
      </c>
      <c r="H19881">
        <f>0.0133333333333333*2.85437815524825</f>
        <v>3.8058375403309905E-2</v>
      </c>
      <c r="I19881">
        <v>3.8058375403310127E-2</v>
      </c>
    </row>
    <row r="19882" spans="1:9" x14ac:dyDescent="0.25">
      <c r="A19882">
        <v>593</v>
      </c>
      <c r="B19882" t="s">
        <v>4748</v>
      </c>
      <c r="C19882" t="s">
        <v>10</v>
      </c>
      <c r="D19882" t="s">
        <v>324</v>
      </c>
      <c r="E19882">
        <f t="shared" si="950"/>
        <v>1.3333333333333334E-2</v>
      </c>
      <c r="F19882">
        <v>82</v>
      </c>
      <c r="G19882">
        <f>LOG(382/(82+1))</f>
        <v>0.66298527053563483</v>
      </c>
      <c r="H19882">
        <f>0.0133333333333333*1.52658000080997</f>
        <v>2.0354400010799547E-2</v>
      </c>
      <c r="I19882">
        <v>2.03544000107997E-2</v>
      </c>
    </row>
    <row r="19883" spans="1:9" x14ac:dyDescent="0.25">
      <c r="A19883">
        <v>593</v>
      </c>
      <c r="B19883" t="s">
        <v>4748</v>
      </c>
      <c r="C19883" t="s">
        <v>10</v>
      </c>
      <c r="D19883" t="s">
        <v>1222</v>
      </c>
      <c r="E19883">
        <f t="shared" si="950"/>
        <v>1.3333333333333334E-2</v>
      </c>
      <c r="F19883">
        <v>56</v>
      </c>
      <c r="G19883">
        <f>LOG(382/(56+1))</f>
        <v>0.82618850723921733</v>
      </c>
      <c r="H19883">
        <f>0.0133333333333333*1.90236934077202</f>
        <v>2.5364924543626866E-2</v>
      </c>
      <c r="I19883">
        <v>2.5364924543627002E-2</v>
      </c>
    </row>
    <row r="19884" spans="1:9" x14ac:dyDescent="0.25">
      <c r="A19884">
        <v>593</v>
      </c>
      <c r="B19884" t="s">
        <v>4748</v>
      </c>
      <c r="C19884" t="s">
        <v>10</v>
      </c>
      <c r="D19884" t="s">
        <v>339</v>
      </c>
      <c r="E19884">
        <f t="shared" si="950"/>
        <v>1.3333333333333334E-2</v>
      </c>
      <c r="F19884">
        <v>66</v>
      </c>
      <c r="G19884">
        <f>LOG(382/(66+1))</f>
        <v>0.75598856021088234</v>
      </c>
      <c r="H19884">
        <f>0.0133333333333333*1.7407279892156</f>
        <v>2.3209706522874608E-2</v>
      </c>
      <c r="I19884">
        <v>2.3209706522874789E-2</v>
      </c>
    </row>
    <row r="19885" spans="1:9" x14ac:dyDescent="0.25">
      <c r="A19885">
        <v>593</v>
      </c>
      <c r="B19885" t="s">
        <v>4748</v>
      </c>
      <c r="C19885" t="s">
        <v>10</v>
      </c>
      <c r="D19885" t="s">
        <v>340</v>
      </c>
      <c r="E19885">
        <f>2/75</f>
        <v>2.6666666666666668E-2</v>
      </c>
      <c r="F19885">
        <v>28</v>
      </c>
      <c r="G19885">
        <f>LOG(382/(28+1))</f>
        <v>1.1196653650127526</v>
      </c>
      <c r="H19885">
        <f>0.0266666666666666*2.5781247786201</f>
        <v>6.8749994096535816E-2</v>
      </c>
      <c r="I19885">
        <v>6.8749994096536038E-2</v>
      </c>
    </row>
    <row r="19886" spans="1:9" x14ac:dyDescent="0.25">
      <c r="A19886">
        <v>593</v>
      </c>
      <c r="B19886" t="s">
        <v>4748</v>
      </c>
      <c r="C19886" t="s">
        <v>10</v>
      </c>
      <c r="D19886" t="s">
        <v>823</v>
      </c>
      <c r="E19886">
        <f>1/75</f>
        <v>1.3333333333333334E-2</v>
      </c>
      <c r="F19886">
        <v>45</v>
      </c>
      <c r="G19886">
        <f>LOG(382/(45+1))</f>
        <v>0.9193055312301347</v>
      </c>
      <c r="H19886">
        <f>0.0133333333333333*2.11677921211748</f>
        <v>2.8223722828232999E-2</v>
      </c>
      <c r="I19886">
        <v>2.8223722828233069E-2</v>
      </c>
    </row>
    <row r="19887" spans="1:9" x14ac:dyDescent="0.25">
      <c r="A19887">
        <v>593</v>
      </c>
      <c r="B19887" t="s">
        <v>4748</v>
      </c>
      <c r="C19887" t="s">
        <v>10</v>
      </c>
      <c r="D19887" t="s">
        <v>133</v>
      </c>
      <c r="E19887">
        <f>1/75</f>
        <v>1.3333333333333334E-2</v>
      </c>
      <c r="F19887">
        <v>142</v>
      </c>
      <c r="G19887">
        <f>LOG(382/(142+1))</f>
        <v>0.42672732544664693</v>
      </c>
      <c r="H19887">
        <f>0.0133333333333333*0.982575978346667</f>
        <v>1.3101013044622193E-2</v>
      </c>
      <c r="I19887">
        <v>1.310101304462224E-2</v>
      </c>
    </row>
    <row r="19888" spans="1:9" x14ac:dyDescent="0.25">
      <c r="A19888">
        <v>594</v>
      </c>
      <c r="B19888" t="s">
        <v>4751</v>
      </c>
      <c r="C19888" t="s">
        <v>10</v>
      </c>
      <c r="D19888" t="s">
        <v>1255</v>
      </c>
      <c r="E19888">
        <f>7/205</f>
        <v>3.4146341463414637E-2</v>
      </c>
      <c r="F19888">
        <v>12</v>
      </c>
      <c r="G19888">
        <f>LOG(382/(12+1))</f>
        <v>1.468120010604872</v>
      </c>
      <c r="H19888">
        <f>0.0341463414634146*3.38047125114503</f>
        <v>0.11543072564885458</v>
      </c>
      <c r="I19888">
        <v>0.115430725648855</v>
      </c>
    </row>
    <row r="19889" spans="1:9" x14ac:dyDescent="0.25">
      <c r="A19889">
        <v>594</v>
      </c>
      <c r="B19889" t="s">
        <v>4751</v>
      </c>
      <c r="C19889" t="s">
        <v>10</v>
      </c>
      <c r="D19889" t="s">
        <v>4752</v>
      </c>
      <c r="E19889">
        <f>7/205</f>
        <v>3.4146341463414637E-2</v>
      </c>
      <c r="F19889">
        <v>1</v>
      </c>
      <c r="G19889">
        <f>LOG(382/(1+1))</f>
        <v>2.2810333672477277</v>
      </c>
      <c r="H19889">
        <f>0.0341463414634146*5.25227342804663</f>
        <v>0.1793459219332994</v>
      </c>
      <c r="I19889">
        <v>0.1793459219332996</v>
      </c>
    </row>
    <row r="19890" spans="1:9" x14ac:dyDescent="0.25">
      <c r="A19890">
        <v>594</v>
      </c>
      <c r="B19890" t="s">
        <v>4751</v>
      </c>
      <c r="C19890" t="s">
        <v>10</v>
      </c>
      <c r="D19890" t="s">
        <v>4753</v>
      </c>
      <c r="E19890">
        <f>7/205</f>
        <v>3.4146341463414637E-2</v>
      </c>
      <c r="F19890">
        <v>1</v>
      </c>
      <c r="G19890">
        <f>LOG(382/(1+1))</f>
        <v>2.2810333672477277</v>
      </c>
      <c r="H19890">
        <f>0.0341463414634146*5.25227342804663</f>
        <v>0.1793459219332994</v>
      </c>
      <c r="I19890">
        <v>0.1793459219332996</v>
      </c>
    </row>
    <row r="19891" spans="1:9" x14ac:dyDescent="0.25">
      <c r="A19891">
        <v>594</v>
      </c>
      <c r="B19891" t="s">
        <v>4751</v>
      </c>
      <c r="C19891" t="s">
        <v>10</v>
      </c>
      <c r="D19891" t="s">
        <v>4754</v>
      </c>
      <c r="E19891">
        <f>7/205</f>
        <v>3.4146341463414637E-2</v>
      </c>
      <c r="F19891">
        <v>1</v>
      </c>
      <c r="G19891">
        <f>LOG(382/(1+1))</f>
        <v>2.2810333672477277</v>
      </c>
      <c r="H19891">
        <f>0.0341463414634146*5.25227342804663</f>
        <v>0.1793459219332994</v>
      </c>
      <c r="I19891">
        <v>0.1793459219332996</v>
      </c>
    </row>
    <row r="19892" spans="1:9" x14ac:dyDescent="0.25">
      <c r="A19892">
        <v>594</v>
      </c>
      <c r="B19892" t="s">
        <v>4751</v>
      </c>
      <c r="C19892" t="s">
        <v>10</v>
      </c>
      <c r="D19892" t="s">
        <v>911</v>
      </c>
      <c r="E19892">
        <f>5/205</f>
        <v>2.4390243902439025E-2</v>
      </c>
      <c r="F19892">
        <v>22</v>
      </c>
      <c r="G19892">
        <f>LOG(382/(22+1))</f>
        <v>1.2203355268941158</v>
      </c>
      <c r="H19892">
        <f>0.024390243902439*2.80992639267742</f>
        <v>6.8534790065302859E-2</v>
      </c>
      <c r="I19892">
        <v>6.8534790065303067E-2</v>
      </c>
    </row>
    <row r="19893" spans="1:9" x14ac:dyDescent="0.25">
      <c r="A19893">
        <v>594</v>
      </c>
      <c r="B19893" t="s">
        <v>4751</v>
      </c>
      <c r="C19893" t="s">
        <v>10</v>
      </c>
      <c r="D19893" t="s">
        <v>11</v>
      </c>
      <c r="E19893">
        <f>9/205</f>
        <v>4.3902439024390241E-2</v>
      </c>
      <c r="F19893">
        <v>83</v>
      </c>
      <c r="G19893">
        <f>LOG(382/(83+1))</f>
        <v>0.65778407684982709</v>
      </c>
      <c r="H19893">
        <f>0.0439024390243902*1.51460380976326</f>
        <v>6.6494801404240619E-2</v>
      </c>
      <c r="I19893">
        <v>6.6494801404240744E-2</v>
      </c>
    </row>
    <row r="19894" spans="1:9" x14ac:dyDescent="0.25">
      <c r="A19894">
        <v>594</v>
      </c>
      <c r="B19894" t="s">
        <v>4751</v>
      </c>
      <c r="C19894" t="s">
        <v>10</v>
      </c>
      <c r="D19894" t="s">
        <v>680</v>
      </c>
      <c r="E19894">
        <f>1/205</f>
        <v>4.8780487804878049E-3</v>
      </c>
      <c r="F19894">
        <v>25</v>
      </c>
      <c r="G19894">
        <f>LOG(382/(25+1))</f>
        <v>1.1670900149408907</v>
      </c>
      <c r="H19894">
        <f>0.0048780487804878*2.68732407058509</f>
        <v>1.3108897905293107E-2</v>
      </c>
      <c r="I19894">
        <v>1.310889790529314E-2</v>
      </c>
    </row>
    <row r="19895" spans="1:9" x14ac:dyDescent="0.25">
      <c r="A19895">
        <v>594</v>
      </c>
      <c r="B19895" t="s">
        <v>4751</v>
      </c>
      <c r="C19895" t="s">
        <v>10</v>
      </c>
      <c r="D19895" t="s">
        <v>42</v>
      </c>
      <c r="E19895">
        <f>3/205</f>
        <v>1.4634146341463415E-2</v>
      </c>
      <c r="F19895">
        <v>251</v>
      </c>
      <c r="G19895">
        <f>LOG(382/(251+1))</f>
        <v>0.18066282213016463</v>
      </c>
      <c r="H19895">
        <f>0.0146341463414634*0.415991521095151</f>
        <v>6.0876807965143985E-3</v>
      </c>
      <c r="I19895">
        <v>6.0876807965144176E-3</v>
      </c>
    </row>
    <row r="19896" spans="1:9" x14ac:dyDescent="0.25">
      <c r="A19896">
        <v>594</v>
      </c>
      <c r="B19896" t="s">
        <v>4751</v>
      </c>
      <c r="C19896" t="s">
        <v>10</v>
      </c>
      <c r="D19896" t="s">
        <v>15</v>
      </c>
      <c r="E19896">
        <f>3/205</f>
        <v>1.4634146341463415E-2</v>
      </c>
      <c r="F19896">
        <v>112</v>
      </c>
      <c r="G19896">
        <f>LOG(382/(112+1))</f>
        <v>0.52898491942828896</v>
      </c>
      <c r="H19896">
        <f>0.0146341463414634*1.21803278989423</f>
        <v>1.7824870096013103E-2</v>
      </c>
      <c r="I19896">
        <v>1.782487009601319E-2</v>
      </c>
    </row>
    <row r="19897" spans="1:9" x14ac:dyDescent="0.25">
      <c r="A19897">
        <v>594</v>
      </c>
      <c r="B19897" t="s">
        <v>4751</v>
      </c>
      <c r="C19897" t="s">
        <v>10</v>
      </c>
      <c r="D19897" t="s">
        <v>368</v>
      </c>
      <c r="E19897">
        <f>3/205</f>
        <v>1.4634146341463415E-2</v>
      </c>
      <c r="F19897">
        <v>17</v>
      </c>
      <c r="G19897">
        <f>LOG(382/(17+1))</f>
        <v>1.3267908578084027</v>
      </c>
      <c r="H19897">
        <f>0.0146341463414634*3.05504885071041</f>
        <v>4.4708031961615706E-2</v>
      </c>
      <c r="I19897">
        <v>4.4708031961615761E-2</v>
      </c>
    </row>
    <row r="19898" spans="1:9" x14ac:dyDescent="0.25">
      <c r="A19898">
        <v>594</v>
      </c>
      <c r="B19898" t="s">
        <v>4751</v>
      </c>
      <c r="C19898" t="s">
        <v>10</v>
      </c>
      <c r="D19898" t="s">
        <v>1060</v>
      </c>
      <c r="E19898">
        <f>3/205</f>
        <v>1.4634146341463415E-2</v>
      </c>
      <c r="F19898">
        <v>15</v>
      </c>
      <c r="G19898">
        <f>LOG(382/(15+1))</f>
        <v>1.3779433802557839</v>
      </c>
      <c r="H19898">
        <f>0.0146341463414634*3.17283188636679</f>
        <v>4.6431686141952977E-2</v>
      </c>
      <c r="I19898">
        <v>4.6431686141953088E-2</v>
      </c>
    </row>
    <row r="19899" spans="1:9" x14ac:dyDescent="0.25">
      <c r="A19899">
        <v>594</v>
      </c>
      <c r="B19899" t="s">
        <v>4751</v>
      </c>
      <c r="C19899" t="s">
        <v>10</v>
      </c>
      <c r="D19899" t="s">
        <v>17</v>
      </c>
      <c r="E19899">
        <f>2/205</f>
        <v>9.7560975609756097E-3</v>
      </c>
      <c r="F19899">
        <v>169</v>
      </c>
      <c r="G19899">
        <f>LOG(382/(169+1))</f>
        <v>0.3516144415334348</v>
      </c>
      <c r="H19899">
        <f>0.00975609756097561*0.809622171556313</f>
        <v>7.8987528932323216E-3</v>
      </c>
      <c r="I19899">
        <v>7.8987528932323268E-3</v>
      </c>
    </row>
    <row r="19900" spans="1:9" x14ac:dyDescent="0.25">
      <c r="A19900">
        <v>594</v>
      </c>
      <c r="B19900" t="s">
        <v>4751</v>
      </c>
      <c r="C19900" t="s">
        <v>10</v>
      </c>
      <c r="D19900" t="s">
        <v>947</v>
      </c>
      <c r="E19900">
        <f>4/205</f>
        <v>1.9512195121951219E-2</v>
      </c>
      <c r="F19900">
        <v>6</v>
      </c>
      <c r="G19900">
        <f>LOG(382/(6+1))</f>
        <v>1.736965322897452</v>
      </c>
      <c r="H19900">
        <f>0.0195121951219512*3.99951045955126</f>
        <v>7.80392284790489E-2</v>
      </c>
      <c r="I19900">
        <v>7.8039228479049011E-2</v>
      </c>
    </row>
    <row r="19901" spans="1:9" x14ac:dyDescent="0.25">
      <c r="A19901">
        <v>594</v>
      </c>
      <c r="B19901" t="s">
        <v>4751</v>
      </c>
      <c r="C19901" t="s">
        <v>10</v>
      </c>
      <c r="D19901" t="s">
        <v>19</v>
      </c>
      <c r="E19901">
        <f>2/205</f>
        <v>9.7560975609756097E-3</v>
      </c>
      <c r="F19901">
        <v>220</v>
      </c>
      <c r="G19901">
        <f>LOG(382/(220+1))</f>
        <v>0.23767108922659805</v>
      </c>
      <c r="H19901">
        <f>0.00975609756097561*0.547257907088822</f>
        <v>5.3391015325738736E-3</v>
      </c>
      <c r="I19901">
        <v>5.3391015325738771E-3</v>
      </c>
    </row>
    <row r="19902" spans="1:9" x14ac:dyDescent="0.25">
      <c r="A19902">
        <v>594</v>
      </c>
      <c r="B19902" t="s">
        <v>4751</v>
      </c>
      <c r="C19902" t="s">
        <v>10</v>
      </c>
      <c r="D19902" t="s">
        <v>370</v>
      </c>
      <c r="E19902">
        <f>2/205</f>
        <v>9.7560975609756097E-3</v>
      </c>
      <c r="F19902">
        <v>14</v>
      </c>
      <c r="G19902">
        <f>LOG(382/(14+1))</f>
        <v>1.4059721038560276</v>
      </c>
      <c r="H19902">
        <f>0.00975609756097561*3.23737040750436</f>
        <v>3.1584101536627898E-2</v>
      </c>
      <c r="I19902">
        <v>3.1584101536627947E-2</v>
      </c>
    </row>
    <row r="19903" spans="1:9" x14ac:dyDescent="0.25">
      <c r="A19903">
        <v>594</v>
      </c>
      <c r="B19903" t="s">
        <v>4751</v>
      </c>
      <c r="C19903" t="s">
        <v>10</v>
      </c>
      <c r="D19903" t="s">
        <v>22</v>
      </c>
      <c r="E19903">
        <f>2/205</f>
        <v>9.7560975609756097E-3</v>
      </c>
      <c r="F19903">
        <v>259</v>
      </c>
      <c r="G19903">
        <f>LOG(382/(259+1))</f>
        <v>0.16709001494089079</v>
      </c>
      <c r="H19903">
        <f>0.00975609756097561*0.384738977591047</f>
        <v>3.7535510008882638E-3</v>
      </c>
      <c r="I19903">
        <v>3.753551000888269E-3</v>
      </c>
    </row>
    <row r="19904" spans="1:9" x14ac:dyDescent="0.25">
      <c r="A19904">
        <v>594</v>
      </c>
      <c r="B19904" t="s">
        <v>4751</v>
      </c>
      <c r="C19904" t="s">
        <v>10</v>
      </c>
      <c r="D19904" t="s">
        <v>23</v>
      </c>
      <c r="E19904">
        <f>2/205</f>
        <v>9.7560975609756097E-3</v>
      </c>
      <c r="F19904">
        <v>275</v>
      </c>
      <c r="G19904">
        <f>LOG(382/(275+1))</f>
        <v>0.14115428084649101</v>
      </c>
      <c r="H19904">
        <f>0.00975609756097561*0.325019742889425</f>
        <v>3.1709243208724387E-3</v>
      </c>
      <c r="I19904">
        <v>3.17092432087244E-3</v>
      </c>
    </row>
    <row r="19905" spans="1:9" x14ac:dyDescent="0.25">
      <c r="A19905">
        <v>594</v>
      </c>
      <c r="B19905" t="s">
        <v>4751</v>
      </c>
      <c r="C19905" t="s">
        <v>10</v>
      </c>
      <c r="D19905" t="s">
        <v>25</v>
      </c>
      <c r="E19905">
        <f>3/205</f>
        <v>1.4634146341463415E-2</v>
      </c>
      <c r="F19905">
        <v>106</v>
      </c>
      <c r="G19905">
        <f>LOG(382/(106+1))</f>
        <v>0.55267958522649907</v>
      </c>
      <c r="H19905">
        <f>0.0146341463414634*1.27259177414466</f>
        <v>1.8623294255775493E-2</v>
      </c>
      <c r="I19905">
        <v>1.8623294255775649E-2</v>
      </c>
    </row>
    <row r="19906" spans="1:9" x14ac:dyDescent="0.25">
      <c r="A19906">
        <v>594</v>
      </c>
      <c r="B19906" t="s">
        <v>4751</v>
      </c>
      <c r="C19906" t="s">
        <v>10</v>
      </c>
      <c r="D19906" t="s">
        <v>626</v>
      </c>
      <c r="E19906">
        <f>1/205</f>
        <v>4.8780487804878049E-3</v>
      </c>
      <c r="F19906">
        <v>12</v>
      </c>
      <c r="G19906">
        <f>LOG(382/(12+1))</f>
        <v>1.468120010604872</v>
      </c>
      <c r="H19906">
        <f>0.0048780487804878*3.38047125114503</f>
        <v>1.6490103664122079E-2</v>
      </c>
      <c r="I19906">
        <v>1.6490103664122142E-2</v>
      </c>
    </row>
    <row r="19907" spans="1:9" x14ac:dyDescent="0.25">
      <c r="A19907">
        <v>594</v>
      </c>
      <c r="B19907" t="s">
        <v>4751</v>
      </c>
      <c r="C19907" t="s">
        <v>10</v>
      </c>
      <c r="D19907" t="s">
        <v>52</v>
      </c>
      <c r="E19907">
        <f>1/205</f>
        <v>4.8780487804878049E-3</v>
      </c>
      <c r="F19907">
        <v>35</v>
      </c>
      <c r="G19907">
        <f>LOG(382/(35+1))</f>
        <v>1.0257608621444214</v>
      </c>
      <c r="H19907">
        <f>0.0048780487804878*2.36190167015046</f>
        <v>1.1521471561709549E-2</v>
      </c>
      <c r="I19907">
        <v>1.152147156170959E-2</v>
      </c>
    </row>
    <row r="19908" spans="1:9" x14ac:dyDescent="0.25">
      <c r="A19908">
        <v>594</v>
      </c>
      <c r="B19908" t="s">
        <v>4751</v>
      </c>
      <c r="C19908" t="s">
        <v>10</v>
      </c>
      <c r="D19908" t="s">
        <v>53</v>
      </c>
      <c r="E19908">
        <f>2/205</f>
        <v>9.7560975609756097E-3</v>
      </c>
      <c r="F19908">
        <v>57</v>
      </c>
      <c r="G19908">
        <f>LOG(382/(57+1))</f>
        <v>0.81863536934877146</v>
      </c>
      <c r="H19908">
        <f>0.00975609756097561*1.88497759806015</f>
        <v>1.8390025346928292E-2</v>
      </c>
      <c r="I19908">
        <v>1.8390025346928351E-2</v>
      </c>
    </row>
    <row r="19909" spans="1:9" x14ac:dyDescent="0.25">
      <c r="A19909">
        <v>594</v>
      </c>
      <c r="B19909" t="s">
        <v>4751</v>
      </c>
      <c r="C19909" t="s">
        <v>10</v>
      </c>
      <c r="D19909" t="s">
        <v>241</v>
      </c>
      <c r="E19909">
        <f>1/205</f>
        <v>4.8780487804878049E-3</v>
      </c>
      <c r="F19909">
        <v>19</v>
      </c>
      <c r="G19909">
        <f>LOG(382/(19+1))</f>
        <v>1.2810333672477277</v>
      </c>
      <c r="H19909">
        <f>0.0048780487804878*2.94968833505258</f>
        <v>1.4388723585622326E-2</v>
      </c>
      <c r="I19909">
        <v>1.438872358562236E-2</v>
      </c>
    </row>
    <row r="19910" spans="1:9" x14ac:dyDescent="0.25">
      <c r="A19910">
        <v>594</v>
      </c>
      <c r="B19910" t="s">
        <v>4751</v>
      </c>
      <c r="C19910" t="s">
        <v>10</v>
      </c>
      <c r="D19910" t="s">
        <v>131</v>
      </c>
      <c r="E19910">
        <f>4/205</f>
        <v>1.9512195121951219E-2</v>
      </c>
      <c r="F19910">
        <v>38</v>
      </c>
      <c r="G19910">
        <f>LOG(382/(38+1))</f>
        <v>0.99099875588520958</v>
      </c>
      <c r="H19910">
        <f>0.0195121951219512*2.28185896247692</f>
        <v>4.4524077316622786E-2</v>
      </c>
      <c r="I19910">
        <v>4.4524077316623008E-2</v>
      </c>
    </row>
    <row r="19911" spans="1:9" x14ac:dyDescent="0.25">
      <c r="A19911">
        <v>594</v>
      </c>
      <c r="B19911" t="s">
        <v>4751</v>
      </c>
      <c r="C19911" t="s">
        <v>10</v>
      </c>
      <c r="D19911" t="s">
        <v>1355</v>
      </c>
      <c r="E19911">
        <f>2/205</f>
        <v>9.7560975609756097E-3</v>
      </c>
      <c r="F19911">
        <v>7</v>
      </c>
      <c r="G19911">
        <f>LOG(382/(7+1))</f>
        <v>1.6789733759197651</v>
      </c>
      <c r="H19911">
        <f>0.00975609756097561*3.86597906692673</f>
        <v>3.7716868945626633E-2</v>
      </c>
      <c r="I19911">
        <v>3.7716868945626723E-2</v>
      </c>
    </row>
    <row r="19912" spans="1:9" x14ac:dyDescent="0.25">
      <c r="A19912">
        <v>594</v>
      </c>
      <c r="B19912" t="s">
        <v>4751</v>
      </c>
      <c r="C19912" t="s">
        <v>10</v>
      </c>
      <c r="D19912" t="s">
        <v>104</v>
      </c>
      <c r="E19912">
        <f>3/205</f>
        <v>1.4634146341463415E-2</v>
      </c>
      <c r="F19912">
        <v>49</v>
      </c>
      <c r="G19912">
        <f>LOG(382/(49+1))</f>
        <v>0.88309335857568994</v>
      </c>
      <c r="H19912">
        <f>0.0146341463414634*2.03339760317842</f>
        <v>2.9757038095293922E-2</v>
      </c>
      <c r="I19912">
        <v>2.9757038095294081E-2</v>
      </c>
    </row>
    <row r="19913" spans="1:9" x14ac:dyDescent="0.25">
      <c r="A19913">
        <v>594</v>
      </c>
      <c r="B19913" t="s">
        <v>4751</v>
      </c>
      <c r="C19913" t="s">
        <v>10</v>
      </c>
      <c r="D19913" t="s">
        <v>290</v>
      </c>
      <c r="E19913">
        <f>4/205</f>
        <v>1.9512195121951219E-2</v>
      </c>
      <c r="F19913">
        <v>4</v>
      </c>
      <c r="G19913">
        <f>LOG(382/(4+1))</f>
        <v>1.8830933585756899</v>
      </c>
      <c r="H19913">
        <f>0.0195121951219512*4.33598269617247</f>
        <v>8.4604540413121279E-2</v>
      </c>
      <c r="I19913">
        <v>8.460454041312146E-2</v>
      </c>
    </row>
    <row r="19914" spans="1:9" x14ac:dyDescent="0.25">
      <c r="A19914">
        <v>594</v>
      </c>
      <c r="B19914" t="s">
        <v>4751</v>
      </c>
      <c r="C19914" t="s">
        <v>10</v>
      </c>
      <c r="D19914" t="s">
        <v>1696</v>
      </c>
      <c r="E19914">
        <f t="shared" ref="E19914:E19921" si="951">1/205</f>
        <v>4.8780487804878049E-3</v>
      </c>
      <c r="F19914">
        <v>2</v>
      </c>
      <c r="G19914">
        <f>LOG(382/(2+1))</f>
        <v>2.1049421081920463</v>
      </c>
      <c r="H19914">
        <f>0.0048780487804878*4.84680831993846</f>
        <v>2.3642967414333926E-2</v>
      </c>
      <c r="I19914">
        <v>2.3642967414333981E-2</v>
      </c>
    </row>
    <row r="19915" spans="1:9" x14ac:dyDescent="0.25">
      <c r="A19915">
        <v>594</v>
      </c>
      <c r="B19915" t="s">
        <v>4751</v>
      </c>
      <c r="C19915" t="s">
        <v>10</v>
      </c>
      <c r="D19915" t="s">
        <v>1697</v>
      </c>
      <c r="E19915">
        <f t="shared" si="951"/>
        <v>4.8780487804878049E-3</v>
      </c>
      <c r="F19915">
        <v>2</v>
      </c>
      <c r="G19915">
        <f>LOG(382/(2+1))</f>
        <v>2.1049421081920463</v>
      </c>
      <c r="H19915">
        <f>0.0048780487804878*4.84680831993846</f>
        <v>2.3642967414333926E-2</v>
      </c>
      <c r="I19915">
        <v>2.3642967414333981E-2</v>
      </c>
    </row>
    <row r="19916" spans="1:9" x14ac:dyDescent="0.25">
      <c r="A19916">
        <v>594</v>
      </c>
      <c r="B19916" t="s">
        <v>4751</v>
      </c>
      <c r="C19916" t="s">
        <v>10</v>
      </c>
      <c r="D19916" t="s">
        <v>293</v>
      </c>
      <c r="E19916">
        <f t="shared" si="951"/>
        <v>4.8780487804878049E-3</v>
      </c>
      <c r="F19916">
        <v>8</v>
      </c>
      <c r="G19916">
        <f>LOG(382/(8+1))</f>
        <v>1.6278208534723839</v>
      </c>
      <c r="H19916">
        <f>0.0048780487804878*3.74819603127035</f>
        <v>1.8283883079367541E-2</v>
      </c>
      <c r="I19916">
        <v>1.828388307936759E-2</v>
      </c>
    </row>
    <row r="19917" spans="1:9" x14ac:dyDescent="0.25">
      <c r="A19917">
        <v>594</v>
      </c>
      <c r="B19917" t="s">
        <v>4751</v>
      </c>
      <c r="C19917" t="s">
        <v>10</v>
      </c>
      <c r="D19917" t="s">
        <v>2005</v>
      </c>
      <c r="E19917">
        <f t="shared" si="951"/>
        <v>4.8780487804878049E-3</v>
      </c>
      <c r="F19917">
        <v>4</v>
      </c>
      <c r="G19917">
        <f>LOG(382/(4+1))</f>
        <v>1.8830933585756899</v>
      </c>
      <c r="H19917">
        <f>0.0048780487804878*4.33598269617247</f>
        <v>2.115113510328032E-2</v>
      </c>
      <c r="I19917">
        <v>2.1151135103280361E-2</v>
      </c>
    </row>
    <row r="19918" spans="1:9" x14ac:dyDescent="0.25">
      <c r="A19918">
        <v>594</v>
      </c>
      <c r="B19918" t="s">
        <v>4751</v>
      </c>
      <c r="C19918" t="s">
        <v>10</v>
      </c>
      <c r="D19918" t="s">
        <v>4755</v>
      </c>
      <c r="E19918">
        <f t="shared" si="951"/>
        <v>4.8780487804878049E-3</v>
      </c>
      <c r="F19918">
        <v>1</v>
      </c>
      <c r="G19918">
        <f>LOG(382/(1+1))</f>
        <v>2.2810333672477277</v>
      </c>
      <c r="H19918">
        <f>0.0048780487804878*5.25227342804663</f>
        <v>2.5620845990471337E-2</v>
      </c>
      <c r="I19918">
        <v>2.5620845990471361E-2</v>
      </c>
    </row>
    <row r="19919" spans="1:9" x14ac:dyDescent="0.25">
      <c r="A19919">
        <v>594</v>
      </c>
      <c r="B19919" t="s">
        <v>4751</v>
      </c>
      <c r="C19919" t="s">
        <v>10</v>
      </c>
      <c r="D19919" t="s">
        <v>4756</v>
      </c>
      <c r="E19919">
        <f t="shared" si="951"/>
        <v>4.8780487804878049E-3</v>
      </c>
      <c r="F19919">
        <v>1</v>
      </c>
      <c r="G19919">
        <f>LOG(382/(1+1))</f>
        <v>2.2810333672477277</v>
      </c>
      <c r="H19919">
        <f>0.0048780487804878*5.25227342804663</f>
        <v>2.5620845990471337E-2</v>
      </c>
      <c r="I19919">
        <v>2.5620845990471361E-2</v>
      </c>
    </row>
    <row r="19920" spans="1:9" x14ac:dyDescent="0.25">
      <c r="A19920">
        <v>594</v>
      </c>
      <c r="B19920" t="s">
        <v>4751</v>
      </c>
      <c r="C19920" t="s">
        <v>10</v>
      </c>
      <c r="D19920" t="s">
        <v>600</v>
      </c>
      <c r="E19920">
        <f t="shared" si="951"/>
        <v>4.8780487804878049E-3</v>
      </c>
      <c r="F19920">
        <v>102</v>
      </c>
      <c r="G19920">
        <f>LOG(382/(102+1))</f>
        <v>0.56922613820653656</v>
      </c>
      <c r="H19920">
        <f>0.0048780487804878*1.31069162037693</f>
        <v>6.3936176603752622E-3</v>
      </c>
      <c r="I19920">
        <v>6.3936176603753142E-3</v>
      </c>
    </row>
    <row r="19921" spans="1:9" x14ac:dyDescent="0.25">
      <c r="A19921">
        <v>594</v>
      </c>
      <c r="B19921" t="s">
        <v>4751</v>
      </c>
      <c r="C19921" t="s">
        <v>10</v>
      </c>
      <c r="D19921" t="s">
        <v>4757</v>
      </c>
      <c r="E19921">
        <f t="shared" si="951"/>
        <v>4.8780487804878049E-3</v>
      </c>
      <c r="F19921">
        <v>1</v>
      </c>
      <c r="G19921">
        <f>LOG(382/(1+1))</f>
        <v>2.2810333672477277</v>
      </c>
      <c r="H19921">
        <f>0.0048780487804878*5.25227342804663</f>
        <v>2.5620845990471337E-2</v>
      </c>
      <c r="I19921">
        <v>2.5620845990471361E-2</v>
      </c>
    </row>
    <row r="19922" spans="1:9" x14ac:dyDescent="0.25">
      <c r="A19922">
        <v>594</v>
      </c>
      <c r="B19922" t="s">
        <v>4751</v>
      </c>
      <c r="C19922" t="s">
        <v>10</v>
      </c>
      <c r="D19922" t="s">
        <v>105</v>
      </c>
      <c r="E19922">
        <f>2/205</f>
        <v>9.7560975609756097E-3</v>
      </c>
      <c r="F19922">
        <v>122</v>
      </c>
      <c r="G19922">
        <f>LOG(382/(122+1))</f>
        <v>0.49215825147231079</v>
      </c>
      <c r="H19922">
        <f>0.00975609756097561*1.13323625323415</f>
        <v>1.1055963446186829E-2</v>
      </c>
      <c r="I19922">
        <v>1.10559634461869E-2</v>
      </c>
    </row>
    <row r="19923" spans="1:9" x14ac:dyDescent="0.25">
      <c r="A19923">
        <v>594</v>
      </c>
      <c r="B19923" t="s">
        <v>4751</v>
      </c>
      <c r="C19923" t="s">
        <v>10</v>
      </c>
      <c r="D19923" t="s">
        <v>4758</v>
      </c>
      <c r="E19923">
        <f>1/205</f>
        <v>4.8780487804878049E-3</v>
      </c>
      <c r="F19923">
        <v>1</v>
      </c>
      <c r="G19923">
        <f>LOG(382/(1+1))</f>
        <v>2.2810333672477277</v>
      </c>
      <c r="H19923">
        <f>0.0048780487804878*5.25227342804663</f>
        <v>2.5620845990471337E-2</v>
      </c>
      <c r="I19923">
        <v>2.5620845990471361E-2</v>
      </c>
    </row>
    <row r="19924" spans="1:9" x14ac:dyDescent="0.25">
      <c r="A19924">
        <v>594</v>
      </c>
      <c r="B19924" t="s">
        <v>4751</v>
      </c>
      <c r="C19924" t="s">
        <v>10</v>
      </c>
      <c r="D19924" t="s">
        <v>4759</v>
      </c>
      <c r="E19924">
        <f>1/205</f>
        <v>4.8780487804878049E-3</v>
      </c>
      <c r="F19924">
        <v>1</v>
      </c>
      <c r="G19924">
        <f>LOG(382/(1+1))</f>
        <v>2.2810333672477277</v>
      </c>
      <c r="H19924">
        <f>0.0048780487804878*5.25227342804663</f>
        <v>2.5620845990471337E-2</v>
      </c>
      <c r="I19924">
        <v>2.5620845990471361E-2</v>
      </c>
    </row>
    <row r="19925" spans="1:9" x14ac:dyDescent="0.25">
      <c r="A19925">
        <v>594</v>
      </c>
      <c r="B19925" t="s">
        <v>4751</v>
      </c>
      <c r="C19925" t="s">
        <v>10</v>
      </c>
      <c r="D19925" t="s">
        <v>4760</v>
      </c>
      <c r="E19925">
        <f>1/205</f>
        <v>4.8780487804878049E-3</v>
      </c>
      <c r="F19925">
        <v>1</v>
      </c>
      <c r="G19925">
        <f>LOG(382/(1+1))</f>
        <v>2.2810333672477277</v>
      </c>
      <c r="H19925">
        <f>0.0048780487804878*5.25227342804663</f>
        <v>2.5620845990471337E-2</v>
      </c>
      <c r="I19925">
        <v>2.5620845990471361E-2</v>
      </c>
    </row>
    <row r="19926" spans="1:9" x14ac:dyDescent="0.25">
      <c r="A19926">
        <v>594</v>
      </c>
      <c r="B19926" t="s">
        <v>4751</v>
      </c>
      <c r="C19926" t="s">
        <v>10</v>
      </c>
      <c r="D19926" t="s">
        <v>765</v>
      </c>
      <c r="E19926">
        <f>1/205</f>
        <v>4.8780487804878049E-3</v>
      </c>
      <c r="F19926">
        <v>44</v>
      </c>
      <c r="G19926">
        <f>LOG(382/(44+1))</f>
        <v>0.92885084913636506</v>
      </c>
      <c r="H19926">
        <f>0.0048780487804878*2.13875811883625</f>
        <v>1.0432966433347549E-2</v>
      </c>
      <c r="I19926">
        <v>1.0432966433347591E-2</v>
      </c>
    </row>
    <row r="19927" spans="1:9" x14ac:dyDescent="0.25">
      <c r="A19927">
        <v>594</v>
      </c>
      <c r="B19927" t="s">
        <v>4751</v>
      </c>
      <c r="C19927" t="s">
        <v>10</v>
      </c>
      <c r="D19927" t="s">
        <v>36</v>
      </c>
      <c r="E19927">
        <f>1/205</f>
        <v>4.8780487804878049E-3</v>
      </c>
      <c r="F19927">
        <v>58</v>
      </c>
      <c r="G19927">
        <f>LOG(382/(58+1))</f>
        <v>0.81121135126956456</v>
      </c>
      <c r="H19927">
        <f>0.0048780487804878*1.86788316470085</f>
        <v>9.1116251936626726E-3</v>
      </c>
      <c r="I19927">
        <v>9.1116251936627108E-3</v>
      </c>
    </row>
    <row r="19928" spans="1:9" x14ac:dyDescent="0.25">
      <c r="A19928">
        <v>594</v>
      </c>
      <c r="B19928" t="s">
        <v>4751</v>
      </c>
      <c r="C19928" t="s">
        <v>10</v>
      </c>
      <c r="D19928" t="s">
        <v>1294</v>
      </c>
      <c r="E19928">
        <f>2/205</f>
        <v>9.7560975609756097E-3</v>
      </c>
      <c r="F19928">
        <v>4</v>
      </c>
      <c r="G19928">
        <f>LOG(382/(4+1))</f>
        <v>1.8830933585756899</v>
      </c>
      <c r="H19928">
        <f>0.00975609756097561*4.33598269617247</f>
        <v>4.2302270206560688E-2</v>
      </c>
      <c r="I19928">
        <v>4.230227020656073E-2</v>
      </c>
    </row>
    <row r="19929" spans="1:9" x14ac:dyDescent="0.25">
      <c r="A19929">
        <v>594</v>
      </c>
      <c r="B19929" t="s">
        <v>4751</v>
      </c>
      <c r="C19929" t="s">
        <v>10</v>
      </c>
      <c r="D19929" t="s">
        <v>4761</v>
      </c>
      <c r="E19929">
        <f>1/205</f>
        <v>4.8780487804878049E-3</v>
      </c>
      <c r="F19929">
        <v>1</v>
      </c>
      <c r="G19929">
        <f>LOG(382/(1+1))</f>
        <v>2.2810333672477277</v>
      </c>
      <c r="H19929">
        <f>0.0048780487804878*5.25227342804663</f>
        <v>2.5620845990471337E-2</v>
      </c>
      <c r="I19929">
        <v>2.5620845990471361E-2</v>
      </c>
    </row>
    <row r="19930" spans="1:9" x14ac:dyDescent="0.25">
      <c r="A19930">
        <v>594</v>
      </c>
      <c r="B19930" t="s">
        <v>4751</v>
      </c>
      <c r="C19930" t="s">
        <v>10</v>
      </c>
      <c r="D19930" t="s">
        <v>4762</v>
      </c>
      <c r="E19930">
        <f>2/205</f>
        <v>9.7560975609756097E-3</v>
      </c>
      <c r="F19930">
        <v>1</v>
      </c>
      <c r="G19930">
        <f>LOG(382/(1+1))</f>
        <v>2.2810333672477277</v>
      </c>
      <c r="H19930">
        <f>0.00975609756097561*5.25227342804663</f>
        <v>5.1241691980942729E-2</v>
      </c>
      <c r="I19930">
        <v>5.1241691980942729E-2</v>
      </c>
    </row>
    <row r="19931" spans="1:9" x14ac:dyDescent="0.25">
      <c r="A19931">
        <v>594</v>
      </c>
      <c r="B19931" t="s">
        <v>4751</v>
      </c>
      <c r="C19931" t="s">
        <v>10</v>
      </c>
      <c r="D19931" t="s">
        <v>688</v>
      </c>
      <c r="E19931">
        <f t="shared" ref="E19931:E19945" si="952">1/205</f>
        <v>4.8780487804878049E-3</v>
      </c>
      <c r="F19931">
        <v>23</v>
      </c>
      <c r="G19931">
        <f>LOG(382/(23+1))</f>
        <v>1.2018521212001028</v>
      </c>
      <c r="H19931">
        <f>0.0048780487804878*2.76736677825862</f>
        <v>1.3499350137846913E-2</v>
      </c>
      <c r="I19931">
        <v>1.349935013784697E-2</v>
      </c>
    </row>
    <row r="19932" spans="1:9" x14ac:dyDescent="0.25">
      <c r="A19932">
        <v>594</v>
      </c>
      <c r="B19932" t="s">
        <v>4751</v>
      </c>
      <c r="C19932" t="s">
        <v>10</v>
      </c>
      <c r="D19932" t="s">
        <v>962</v>
      </c>
      <c r="E19932">
        <f t="shared" si="952"/>
        <v>4.8780487804878049E-3</v>
      </c>
      <c r="F19932">
        <v>8</v>
      </c>
      <c r="G19932">
        <f>LOG(382/(8+1))</f>
        <v>1.6278208534723839</v>
      </c>
      <c r="H19932">
        <f>0.0048780487804878*3.74819603127035</f>
        <v>1.8283883079367541E-2</v>
      </c>
      <c r="I19932">
        <v>1.828388307936759E-2</v>
      </c>
    </row>
    <row r="19933" spans="1:9" x14ac:dyDescent="0.25">
      <c r="A19933">
        <v>594</v>
      </c>
      <c r="B19933" t="s">
        <v>4751</v>
      </c>
      <c r="C19933" t="s">
        <v>10</v>
      </c>
      <c r="D19933" t="s">
        <v>181</v>
      </c>
      <c r="E19933">
        <f t="shared" si="952"/>
        <v>4.8780487804878049E-3</v>
      </c>
      <c r="F19933">
        <v>3</v>
      </c>
      <c r="G19933">
        <f>LOG(382/(3+1))</f>
        <v>1.9800033715837464</v>
      </c>
      <c r="H19933">
        <f>0.0048780487804878*4.55912624748668</f>
        <v>2.2239640231642318E-2</v>
      </c>
      <c r="I19933">
        <v>2.223964023164236E-2</v>
      </c>
    </row>
    <row r="19934" spans="1:9" x14ac:dyDescent="0.25">
      <c r="A19934">
        <v>594</v>
      </c>
      <c r="B19934" t="s">
        <v>4751</v>
      </c>
      <c r="C19934" t="s">
        <v>10</v>
      </c>
      <c r="D19934" t="s">
        <v>1702</v>
      </c>
      <c r="E19934">
        <f t="shared" si="952"/>
        <v>4.8780487804878049E-3</v>
      </c>
      <c r="F19934">
        <v>3</v>
      </c>
      <c r="G19934">
        <f>LOG(382/(3+1))</f>
        <v>1.9800033715837464</v>
      </c>
      <c r="H19934">
        <f>0.0048780487804878*4.55912624748668</f>
        <v>2.2239640231642318E-2</v>
      </c>
      <c r="I19934">
        <v>2.223964023164236E-2</v>
      </c>
    </row>
    <row r="19935" spans="1:9" x14ac:dyDescent="0.25">
      <c r="A19935">
        <v>594</v>
      </c>
      <c r="B19935" t="s">
        <v>4751</v>
      </c>
      <c r="C19935" t="s">
        <v>10</v>
      </c>
      <c r="D19935" t="s">
        <v>1703</v>
      </c>
      <c r="E19935">
        <f t="shared" si="952"/>
        <v>4.8780487804878049E-3</v>
      </c>
      <c r="F19935">
        <v>2</v>
      </c>
      <c r="G19935">
        <f>LOG(382/(2+1))</f>
        <v>2.1049421081920463</v>
      </c>
      <c r="H19935">
        <f>0.0048780487804878*4.84680831993846</f>
        <v>2.3642967414333926E-2</v>
      </c>
      <c r="I19935">
        <v>2.3642967414333981E-2</v>
      </c>
    </row>
    <row r="19936" spans="1:9" x14ac:dyDescent="0.25">
      <c r="A19936">
        <v>594</v>
      </c>
      <c r="B19936" t="s">
        <v>4751</v>
      </c>
      <c r="C19936" t="s">
        <v>10</v>
      </c>
      <c r="D19936" t="s">
        <v>4763</v>
      </c>
      <c r="E19936">
        <f t="shared" si="952"/>
        <v>4.8780487804878049E-3</v>
      </c>
      <c r="F19936">
        <v>1</v>
      </c>
      <c r="G19936">
        <f>LOG(382/(1+1))</f>
        <v>2.2810333672477277</v>
      </c>
      <c r="H19936">
        <f>0.0048780487804878*5.25227342804663</f>
        <v>2.5620845990471337E-2</v>
      </c>
      <c r="I19936">
        <v>2.5620845990471361E-2</v>
      </c>
    </row>
    <row r="19937" spans="1:9" x14ac:dyDescent="0.25">
      <c r="A19937">
        <v>594</v>
      </c>
      <c r="B19937" t="s">
        <v>4751</v>
      </c>
      <c r="C19937" t="s">
        <v>10</v>
      </c>
      <c r="D19937" t="s">
        <v>4764</v>
      </c>
      <c r="E19937">
        <f t="shared" si="952"/>
        <v>4.8780487804878049E-3</v>
      </c>
      <c r="F19937">
        <v>1</v>
      </c>
      <c r="G19937">
        <f>LOG(382/(1+1))</f>
        <v>2.2810333672477277</v>
      </c>
      <c r="H19937">
        <f>0.0048780487804878*5.25227342804663</f>
        <v>2.5620845990471337E-2</v>
      </c>
      <c r="I19937">
        <v>2.5620845990471361E-2</v>
      </c>
    </row>
    <row r="19938" spans="1:9" x14ac:dyDescent="0.25">
      <c r="A19938">
        <v>594</v>
      </c>
      <c r="B19938" t="s">
        <v>4751</v>
      </c>
      <c r="C19938" t="s">
        <v>10</v>
      </c>
      <c r="D19938" t="s">
        <v>1340</v>
      </c>
      <c r="E19938">
        <f t="shared" si="952"/>
        <v>4.8780487804878049E-3</v>
      </c>
      <c r="F19938">
        <v>2</v>
      </c>
      <c r="G19938">
        <f>LOG(382/(2+1))</f>
        <v>2.1049421081920463</v>
      </c>
      <c r="H19938">
        <f>0.0048780487804878*4.84680831993846</f>
        <v>2.3642967414333926E-2</v>
      </c>
      <c r="I19938">
        <v>2.3642967414333981E-2</v>
      </c>
    </row>
    <row r="19939" spans="1:9" x14ac:dyDescent="0.25">
      <c r="A19939">
        <v>594</v>
      </c>
      <c r="B19939" t="s">
        <v>4751</v>
      </c>
      <c r="C19939" t="s">
        <v>10</v>
      </c>
      <c r="D19939" t="s">
        <v>1339</v>
      </c>
      <c r="E19939">
        <f t="shared" si="952"/>
        <v>4.8780487804878049E-3</v>
      </c>
      <c r="F19939">
        <v>2</v>
      </c>
      <c r="G19939">
        <f>LOG(382/(2+1))</f>
        <v>2.1049421081920463</v>
      </c>
      <c r="H19939">
        <f>0.0048780487804878*4.84680831993846</f>
        <v>2.3642967414333926E-2</v>
      </c>
      <c r="I19939">
        <v>2.3642967414333981E-2</v>
      </c>
    </row>
    <row r="19940" spans="1:9" x14ac:dyDescent="0.25">
      <c r="A19940">
        <v>594</v>
      </c>
      <c r="B19940" t="s">
        <v>4751</v>
      </c>
      <c r="C19940" t="s">
        <v>10</v>
      </c>
      <c r="D19940" t="s">
        <v>4704</v>
      </c>
      <c r="E19940">
        <f t="shared" si="952"/>
        <v>4.8780487804878049E-3</v>
      </c>
      <c r="F19940">
        <v>2</v>
      </c>
      <c r="G19940">
        <f>LOG(382/(2+1))</f>
        <v>2.1049421081920463</v>
      </c>
      <c r="H19940">
        <f>0.0048780487804878*4.84680831993846</f>
        <v>2.3642967414333926E-2</v>
      </c>
      <c r="I19940">
        <v>2.3642967414333981E-2</v>
      </c>
    </row>
    <row r="19941" spans="1:9" x14ac:dyDescent="0.25">
      <c r="A19941">
        <v>594</v>
      </c>
      <c r="B19941" t="s">
        <v>4751</v>
      </c>
      <c r="C19941" t="s">
        <v>10</v>
      </c>
      <c r="D19941" t="s">
        <v>103</v>
      </c>
      <c r="E19941">
        <f t="shared" si="952"/>
        <v>4.8780487804878049E-3</v>
      </c>
      <c r="F19941">
        <v>38</v>
      </c>
      <c r="G19941">
        <f>LOG(382/(38+1))</f>
        <v>0.99099875588520958</v>
      </c>
      <c r="H19941">
        <f>0.0048780487804878*2.28185896247692</f>
        <v>1.1131019329155696E-2</v>
      </c>
      <c r="I19941">
        <v>1.113101932915575E-2</v>
      </c>
    </row>
    <row r="19942" spans="1:9" x14ac:dyDescent="0.25">
      <c r="A19942">
        <v>594</v>
      </c>
      <c r="B19942" t="s">
        <v>4751</v>
      </c>
      <c r="C19942" t="s">
        <v>10</v>
      </c>
      <c r="D19942" t="s">
        <v>1534</v>
      </c>
      <c r="E19942">
        <f t="shared" si="952"/>
        <v>4.8780487804878049E-3</v>
      </c>
      <c r="F19942">
        <v>25</v>
      </c>
      <c r="G19942">
        <f>LOG(382/(25+1))</f>
        <v>1.1670900149408907</v>
      </c>
      <c r="H19942">
        <f>0.0048780487804878*2.68732407058509</f>
        <v>1.3108897905293107E-2</v>
      </c>
      <c r="I19942">
        <v>1.310889790529314E-2</v>
      </c>
    </row>
    <row r="19943" spans="1:9" x14ac:dyDescent="0.25">
      <c r="A19943">
        <v>594</v>
      </c>
      <c r="B19943" t="s">
        <v>4751</v>
      </c>
      <c r="C19943" t="s">
        <v>10</v>
      </c>
      <c r="D19943" t="s">
        <v>953</v>
      </c>
      <c r="E19943">
        <f t="shared" si="952"/>
        <v>4.8780487804878049E-3</v>
      </c>
      <c r="F19943">
        <v>16</v>
      </c>
      <c r="G19943">
        <f>LOG(382/(16+1))</f>
        <v>1.3516144415334348</v>
      </c>
      <c r="H19943">
        <f>0.0048780487804878*3.11220726455035</f>
        <v>1.5181498851465105E-2</v>
      </c>
      <c r="I19943">
        <v>1.5181498851465171E-2</v>
      </c>
    </row>
    <row r="19944" spans="1:9" x14ac:dyDescent="0.25">
      <c r="A19944">
        <v>594</v>
      </c>
      <c r="B19944" t="s">
        <v>4751</v>
      </c>
      <c r="C19944" t="s">
        <v>10</v>
      </c>
      <c r="D19944" t="s">
        <v>1921</v>
      </c>
      <c r="E19944">
        <f t="shared" si="952"/>
        <v>4.8780487804878049E-3</v>
      </c>
      <c r="F19944">
        <v>37</v>
      </c>
      <c r="G19944">
        <f>LOG(382/(37+1))</f>
        <v>1.0022797662948986</v>
      </c>
      <c r="H19944">
        <f>0.0048780487804878*2.30783444888018</f>
        <v>1.1257729018927694E-2</v>
      </c>
      <c r="I19944">
        <v>1.1257729018927749E-2</v>
      </c>
    </row>
    <row r="19945" spans="1:9" x14ac:dyDescent="0.25">
      <c r="A19945">
        <v>594</v>
      </c>
      <c r="B19945" t="s">
        <v>4751</v>
      </c>
      <c r="C19945" t="s">
        <v>10</v>
      </c>
      <c r="D19945" t="s">
        <v>4765</v>
      </c>
      <c r="E19945">
        <f t="shared" si="952"/>
        <v>4.8780487804878049E-3</v>
      </c>
      <c r="F19945">
        <v>1</v>
      </c>
      <c r="G19945">
        <f>LOG(382/(1+1))</f>
        <v>2.2810333672477277</v>
      </c>
      <c r="H19945">
        <f>0.0048780487804878*5.25227342804663</f>
        <v>2.5620845990471337E-2</v>
      </c>
      <c r="I19945">
        <v>2.5620845990471361E-2</v>
      </c>
    </row>
    <row r="19946" spans="1:9" x14ac:dyDescent="0.25">
      <c r="A19946">
        <v>594</v>
      </c>
      <c r="B19946" t="s">
        <v>4751</v>
      </c>
      <c r="C19946" t="s">
        <v>10</v>
      </c>
      <c r="E19946">
        <f>2/205</f>
        <v>9.7560975609756097E-3</v>
      </c>
      <c r="F19946">
        <v>20</v>
      </c>
      <c r="G19946">
        <f>LOG(382/(20+1))</f>
        <v>1.2598440681777894</v>
      </c>
      <c r="H19946">
        <f>0.00975609756097561*2.90089817088315</f>
        <v>2.8301445569591709E-2</v>
      </c>
      <c r="I19946">
        <v>2.8301445569591729E-2</v>
      </c>
    </row>
    <row r="19947" spans="1:9" x14ac:dyDescent="0.25">
      <c r="A19947">
        <v>594</v>
      </c>
      <c r="B19947" t="s">
        <v>4751</v>
      </c>
      <c r="C19947" t="s">
        <v>10</v>
      </c>
      <c r="D19947" t="s">
        <v>633</v>
      </c>
      <c r="E19947">
        <f>1/205</f>
        <v>4.8780487804878049E-3</v>
      </c>
      <c r="F19947">
        <v>3</v>
      </c>
      <c r="G19947">
        <f>LOG(382/(3+1))</f>
        <v>1.9800033715837464</v>
      </c>
      <c r="H19947">
        <f>0.0048780487804878*4.55912624748668</f>
        <v>2.2239640231642318E-2</v>
      </c>
      <c r="I19947">
        <v>2.223964023164236E-2</v>
      </c>
    </row>
    <row r="19948" spans="1:9" x14ac:dyDescent="0.25">
      <c r="A19948">
        <v>594</v>
      </c>
      <c r="B19948" t="s">
        <v>4751</v>
      </c>
      <c r="C19948" t="s">
        <v>10</v>
      </c>
      <c r="D19948" t="s">
        <v>4766</v>
      </c>
      <c r="E19948">
        <f>1/205</f>
        <v>4.8780487804878049E-3</v>
      </c>
      <c r="F19948">
        <v>1</v>
      </c>
      <c r="G19948">
        <f>LOG(382/(1+1))</f>
        <v>2.2810333672477277</v>
      </c>
      <c r="H19948">
        <f>0.0048780487804878*5.25227342804663</f>
        <v>2.5620845990471337E-2</v>
      </c>
      <c r="I19948">
        <v>2.5620845990471361E-2</v>
      </c>
    </row>
    <row r="19949" spans="1:9" x14ac:dyDescent="0.25">
      <c r="A19949">
        <v>594</v>
      </c>
      <c r="B19949" t="s">
        <v>4751</v>
      </c>
      <c r="C19949" t="s">
        <v>10</v>
      </c>
      <c r="D19949" t="s">
        <v>645</v>
      </c>
      <c r="E19949">
        <f>1/205</f>
        <v>4.8780487804878049E-3</v>
      </c>
      <c r="F19949">
        <v>5</v>
      </c>
      <c r="G19949">
        <f>LOG(382/(5+1))</f>
        <v>1.803912112528065</v>
      </c>
      <c r="H19949">
        <f>0.0048780487804878*4.15366113937852</f>
        <v>2.0261761655504952E-2</v>
      </c>
      <c r="I19949">
        <v>2.026176165550498E-2</v>
      </c>
    </row>
    <row r="19950" spans="1:9" x14ac:dyDescent="0.25">
      <c r="A19950">
        <v>594</v>
      </c>
      <c r="B19950" t="s">
        <v>4751</v>
      </c>
      <c r="C19950" t="s">
        <v>10</v>
      </c>
      <c r="D19950" t="s">
        <v>393</v>
      </c>
      <c r="E19950">
        <f>1/205</f>
        <v>4.8780487804878049E-3</v>
      </c>
      <c r="F19950">
        <v>6</v>
      </c>
      <c r="G19950">
        <f>LOG(382/(6+1))</f>
        <v>1.736965322897452</v>
      </c>
      <c r="H19950">
        <f>0.0048780487804878*3.99951045955126</f>
        <v>1.9509807119762225E-2</v>
      </c>
      <c r="I19950">
        <v>1.9509807119762249E-2</v>
      </c>
    </row>
    <row r="19951" spans="1:9" x14ac:dyDescent="0.25">
      <c r="A19951">
        <v>594</v>
      </c>
      <c r="B19951" t="s">
        <v>4751</v>
      </c>
      <c r="C19951" t="s">
        <v>10</v>
      </c>
      <c r="D19951" t="s">
        <v>957</v>
      </c>
      <c r="E19951">
        <f>1/205</f>
        <v>4.8780487804878049E-3</v>
      </c>
      <c r="F19951">
        <v>4</v>
      </c>
      <c r="G19951">
        <f>LOG(382/(4+1))</f>
        <v>1.8830933585756899</v>
      </c>
      <c r="H19951">
        <f>0.0048780487804878*4.33598269617247</f>
        <v>2.115113510328032E-2</v>
      </c>
      <c r="I19951">
        <v>2.1151135103280361E-2</v>
      </c>
    </row>
    <row r="19952" spans="1:9" x14ac:dyDescent="0.25">
      <c r="A19952">
        <v>594</v>
      </c>
      <c r="B19952" t="s">
        <v>4751</v>
      </c>
      <c r="C19952" t="s">
        <v>10</v>
      </c>
      <c r="D19952" t="s">
        <v>236</v>
      </c>
      <c r="E19952">
        <f>2/205</f>
        <v>9.7560975609756097E-3</v>
      </c>
      <c r="F19952">
        <v>87</v>
      </c>
      <c r="G19952">
        <f>LOG(382/(87+1))</f>
        <v>0.63758069076154011</v>
      </c>
      <c r="H19952">
        <f>0.00975609756097561*1.46808379412836</f>
        <v>1.4322768723203512E-2</v>
      </c>
      <c r="I19952">
        <v>1.4322768723203601E-2</v>
      </c>
    </row>
    <row r="19953" spans="1:9" x14ac:dyDescent="0.25">
      <c r="A19953">
        <v>594</v>
      </c>
      <c r="B19953" t="s">
        <v>4751</v>
      </c>
      <c r="C19953" t="s">
        <v>10</v>
      </c>
      <c r="D19953" t="s">
        <v>119</v>
      </c>
      <c r="E19953">
        <f>2/205</f>
        <v>9.7560975609756097E-3</v>
      </c>
      <c r="F19953">
        <v>79</v>
      </c>
      <c r="G19953">
        <f>LOG(382/(79+1))</f>
        <v>0.67897337591976514</v>
      </c>
      <c r="H19953">
        <f>0.00975609756097561*1.56339397393269</f>
        <v>1.5252624135928684E-2</v>
      </c>
      <c r="I19953">
        <v>1.5252624135928721E-2</v>
      </c>
    </row>
    <row r="19954" spans="1:9" x14ac:dyDescent="0.25">
      <c r="A19954">
        <v>594</v>
      </c>
      <c r="B19954" t="s">
        <v>4751</v>
      </c>
      <c r="C19954" t="s">
        <v>10</v>
      </c>
      <c r="D19954" t="s">
        <v>217</v>
      </c>
      <c r="E19954">
        <f>1/205</f>
        <v>4.8780487804878049E-3</v>
      </c>
      <c r="F19954">
        <v>12</v>
      </c>
      <c r="G19954">
        <f>LOG(382/(12+1))</f>
        <v>1.468120010604872</v>
      </c>
      <c r="H19954">
        <f>0.0048780487804878*3.38047125114503</f>
        <v>1.6490103664122079E-2</v>
      </c>
      <c r="I19954">
        <v>1.6490103664122142E-2</v>
      </c>
    </row>
    <row r="19955" spans="1:9" x14ac:dyDescent="0.25">
      <c r="A19955">
        <v>594</v>
      </c>
      <c r="B19955" t="s">
        <v>4751</v>
      </c>
      <c r="C19955" t="s">
        <v>10</v>
      </c>
      <c r="D19955" t="s">
        <v>4562</v>
      </c>
      <c r="E19955">
        <f>2/205</f>
        <v>9.7560975609756097E-3</v>
      </c>
      <c r="F19955">
        <v>2</v>
      </c>
      <c r="G19955">
        <f>LOG(382/(2+1))</f>
        <v>2.1049421081920463</v>
      </c>
      <c r="H19955">
        <f>0.00975609756097561*4.84680831993846</f>
        <v>4.72859348286679E-2</v>
      </c>
      <c r="I19955">
        <v>4.7285934828667962E-2</v>
      </c>
    </row>
    <row r="19956" spans="1:9" x14ac:dyDescent="0.25">
      <c r="A19956">
        <v>594</v>
      </c>
      <c r="B19956" t="s">
        <v>4751</v>
      </c>
      <c r="C19956" t="s">
        <v>10</v>
      </c>
      <c r="D19956" t="s">
        <v>372</v>
      </c>
      <c r="E19956">
        <f>2/205</f>
        <v>9.7560975609756097E-3</v>
      </c>
      <c r="F19956">
        <v>8</v>
      </c>
      <c r="G19956">
        <f>LOG(382/(8+1))</f>
        <v>1.6278208534723839</v>
      </c>
      <c r="H19956">
        <f>0.00975609756097561*3.74819603127035</f>
        <v>3.6567766158735124E-2</v>
      </c>
      <c r="I19956">
        <v>3.6567766158735179E-2</v>
      </c>
    </row>
    <row r="19957" spans="1:9" x14ac:dyDescent="0.25">
      <c r="A19957">
        <v>594</v>
      </c>
      <c r="B19957" t="s">
        <v>4751</v>
      </c>
      <c r="C19957" t="s">
        <v>10</v>
      </c>
      <c r="D19957" t="s">
        <v>4563</v>
      </c>
      <c r="E19957">
        <f>1/205</f>
        <v>4.8780487804878049E-3</v>
      </c>
      <c r="F19957">
        <v>2</v>
      </c>
      <c r="G19957">
        <f>LOG(382/(2+1))</f>
        <v>2.1049421081920463</v>
      </c>
      <c r="H19957">
        <f>0.0048780487804878*4.84680831993846</f>
        <v>2.3642967414333926E-2</v>
      </c>
      <c r="I19957">
        <v>2.3642967414333981E-2</v>
      </c>
    </row>
    <row r="19958" spans="1:9" x14ac:dyDescent="0.25">
      <c r="A19958">
        <v>594</v>
      </c>
      <c r="B19958" t="s">
        <v>4751</v>
      </c>
      <c r="C19958" t="s">
        <v>10</v>
      </c>
      <c r="D19958" t="s">
        <v>4767</v>
      </c>
      <c r="E19958">
        <f>2/205</f>
        <v>9.7560975609756097E-3</v>
      </c>
      <c r="F19958">
        <v>1</v>
      </c>
      <c r="G19958">
        <f>LOG(382/(1+1))</f>
        <v>2.2810333672477277</v>
      </c>
      <c r="H19958">
        <f>0.00975609756097561*5.25227342804663</f>
        <v>5.1241691980942729E-2</v>
      </c>
      <c r="I19958">
        <v>5.1241691980942729E-2</v>
      </c>
    </row>
    <row r="19959" spans="1:9" x14ac:dyDescent="0.25">
      <c r="A19959">
        <v>594</v>
      </c>
      <c r="B19959" t="s">
        <v>4751</v>
      </c>
      <c r="C19959" t="s">
        <v>10</v>
      </c>
      <c r="D19959" t="s">
        <v>1999</v>
      </c>
      <c r="E19959">
        <f>1/205</f>
        <v>4.8780487804878049E-3</v>
      </c>
      <c r="F19959">
        <v>2</v>
      </c>
      <c r="G19959">
        <f>LOG(382/(2+1))</f>
        <v>2.1049421081920463</v>
      </c>
      <c r="H19959">
        <f>0.0048780487804878*4.84680831993846</f>
        <v>2.3642967414333926E-2</v>
      </c>
      <c r="I19959">
        <v>2.3642967414333981E-2</v>
      </c>
    </row>
    <row r="19960" spans="1:9" x14ac:dyDescent="0.25">
      <c r="A19960">
        <v>594</v>
      </c>
      <c r="B19960" t="s">
        <v>4751</v>
      </c>
      <c r="C19960" t="s">
        <v>10</v>
      </c>
      <c r="D19960" t="s">
        <v>4768</v>
      </c>
      <c r="E19960">
        <f>1/205</f>
        <v>4.8780487804878049E-3</v>
      </c>
      <c r="F19960">
        <v>1</v>
      </c>
      <c r="G19960">
        <f>LOG(382/(1+1))</f>
        <v>2.2810333672477277</v>
      </c>
      <c r="H19960">
        <f>0.0048780487804878*5.25227342804663</f>
        <v>2.5620845990471337E-2</v>
      </c>
      <c r="I19960">
        <v>2.5620845990471361E-2</v>
      </c>
    </row>
    <row r="19961" spans="1:9" x14ac:dyDescent="0.25">
      <c r="A19961">
        <v>594</v>
      </c>
      <c r="B19961" t="s">
        <v>4751</v>
      </c>
      <c r="C19961" t="s">
        <v>10</v>
      </c>
      <c r="D19961" t="s">
        <v>450</v>
      </c>
      <c r="E19961">
        <f>1/205</f>
        <v>4.8780487804878049E-3</v>
      </c>
      <c r="F19961">
        <v>17</v>
      </c>
      <c r="G19961">
        <f>LOG(382/(17+1))</f>
        <v>1.3267908578084027</v>
      </c>
      <c r="H19961">
        <f>0.0048780487804878*3.05504885071041</f>
        <v>1.4902677320538569E-2</v>
      </c>
      <c r="I19961">
        <v>1.490267732053859E-2</v>
      </c>
    </row>
    <row r="19962" spans="1:9" x14ac:dyDescent="0.25">
      <c r="A19962">
        <v>594</v>
      </c>
      <c r="B19962" t="s">
        <v>4751</v>
      </c>
      <c r="C19962" t="s">
        <v>10</v>
      </c>
      <c r="D19962" t="s">
        <v>1153</v>
      </c>
      <c r="E19962">
        <f>1/205</f>
        <v>4.8780487804878049E-3</v>
      </c>
      <c r="F19962">
        <v>4</v>
      </c>
      <c r="G19962">
        <f>LOG(382/(4+1))</f>
        <v>1.8830933585756899</v>
      </c>
      <c r="H19962">
        <f>0.0048780487804878*4.33598269617247</f>
        <v>2.115113510328032E-2</v>
      </c>
      <c r="I19962">
        <v>2.1151135103280361E-2</v>
      </c>
    </row>
    <row r="19963" spans="1:9" x14ac:dyDescent="0.25">
      <c r="A19963">
        <v>594</v>
      </c>
      <c r="B19963" t="s">
        <v>4751</v>
      </c>
      <c r="C19963" t="s">
        <v>10</v>
      </c>
      <c r="D19963" t="s">
        <v>1155</v>
      </c>
      <c r="E19963">
        <f>1/205</f>
        <v>4.8780487804878049E-3</v>
      </c>
      <c r="F19963">
        <v>4</v>
      </c>
      <c r="G19963">
        <f>LOG(382/(4+1))</f>
        <v>1.8830933585756899</v>
      </c>
      <c r="H19963">
        <f>0.0048780487804878*4.33598269617247</f>
        <v>2.115113510328032E-2</v>
      </c>
      <c r="I19963">
        <v>2.1151135103280361E-2</v>
      </c>
    </row>
    <row r="19964" spans="1:9" x14ac:dyDescent="0.25">
      <c r="A19964">
        <v>594</v>
      </c>
      <c r="B19964" t="s">
        <v>4751</v>
      </c>
      <c r="C19964" t="s">
        <v>10</v>
      </c>
      <c r="D19964" t="s">
        <v>1412</v>
      </c>
      <c r="E19964">
        <f>2/205</f>
        <v>9.7560975609756097E-3</v>
      </c>
      <c r="F19964">
        <v>3</v>
      </c>
      <c r="G19964">
        <f>LOG(382/(3+1))</f>
        <v>1.9800033715837464</v>
      </c>
      <c r="H19964">
        <f>0.00975609756097561*4.55912624748668</f>
        <v>4.4479280463284684E-2</v>
      </c>
      <c r="I19964">
        <v>4.4479280463284733E-2</v>
      </c>
    </row>
    <row r="19965" spans="1:9" x14ac:dyDescent="0.25">
      <c r="A19965">
        <v>594</v>
      </c>
      <c r="B19965" t="s">
        <v>4751</v>
      </c>
      <c r="C19965" t="s">
        <v>10</v>
      </c>
      <c r="D19965" t="s">
        <v>4769</v>
      </c>
      <c r="E19965">
        <f>1/205</f>
        <v>4.8780487804878049E-3</v>
      </c>
      <c r="F19965">
        <v>1</v>
      </c>
      <c r="G19965">
        <f>LOG(382/(1+1))</f>
        <v>2.2810333672477277</v>
      </c>
      <c r="H19965">
        <f>0.0048780487804878*5.25227342804663</f>
        <v>2.5620845990471337E-2</v>
      </c>
      <c r="I19965">
        <v>2.5620845990471361E-2</v>
      </c>
    </row>
    <row r="19966" spans="1:9" x14ac:dyDescent="0.25">
      <c r="A19966">
        <v>594</v>
      </c>
      <c r="B19966" t="s">
        <v>4751</v>
      </c>
      <c r="C19966" t="s">
        <v>10</v>
      </c>
      <c r="D19966" t="s">
        <v>237</v>
      </c>
      <c r="E19966">
        <f>2/205</f>
        <v>9.7560975609756097E-3</v>
      </c>
      <c r="F19966">
        <v>138</v>
      </c>
      <c r="G19966">
        <f>LOG(382/(138+1))</f>
        <v>0.43904856265761361</v>
      </c>
      <c r="H19966">
        <f>0.00975609756097561*1.01094667547588</f>
        <v>9.8628943948866343E-3</v>
      </c>
      <c r="I19966">
        <v>9.8628943948866673E-3</v>
      </c>
    </row>
    <row r="19967" spans="1:9" x14ac:dyDescent="0.25">
      <c r="A19967">
        <v>594</v>
      </c>
      <c r="B19967" t="s">
        <v>4751</v>
      </c>
      <c r="C19967" t="s">
        <v>10</v>
      </c>
      <c r="D19967" t="s">
        <v>565</v>
      </c>
      <c r="E19967">
        <f>1/205</f>
        <v>4.8780487804878049E-3</v>
      </c>
      <c r="F19967">
        <v>5</v>
      </c>
      <c r="G19967">
        <f>LOG(382/(5+1))</f>
        <v>1.803912112528065</v>
      </c>
      <c r="H19967">
        <f>0.0048780487804878*4.15366113937852</f>
        <v>2.0261761655504952E-2</v>
      </c>
      <c r="I19967">
        <v>2.026176165550498E-2</v>
      </c>
    </row>
    <row r="19968" spans="1:9" x14ac:dyDescent="0.25">
      <c r="A19968">
        <v>594</v>
      </c>
      <c r="B19968" t="s">
        <v>4751</v>
      </c>
      <c r="C19968" t="s">
        <v>10</v>
      </c>
      <c r="D19968" t="s">
        <v>4770</v>
      </c>
      <c r="E19968">
        <f>1/205</f>
        <v>4.8780487804878049E-3</v>
      </c>
      <c r="F19968">
        <v>1</v>
      </c>
      <c r="G19968">
        <f>LOG(382/(1+1))</f>
        <v>2.2810333672477277</v>
      </c>
      <c r="H19968">
        <f>0.0048780487804878*5.25227342804663</f>
        <v>2.5620845990471337E-2</v>
      </c>
      <c r="I19968">
        <v>2.5620845990471361E-2</v>
      </c>
    </row>
    <row r="19969" spans="1:9" x14ac:dyDescent="0.25">
      <c r="A19969">
        <v>594</v>
      </c>
      <c r="B19969" t="s">
        <v>4751</v>
      </c>
      <c r="C19969" t="s">
        <v>10</v>
      </c>
      <c r="D19969" t="s">
        <v>1152</v>
      </c>
      <c r="E19969">
        <f>1/205</f>
        <v>4.8780487804878049E-3</v>
      </c>
      <c r="F19969">
        <v>6</v>
      </c>
      <c r="G19969">
        <f>LOG(382/(6+1))</f>
        <v>1.736965322897452</v>
      </c>
      <c r="H19969">
        <f>0.0048780487804878*3.99951045955126</f>
        <v>1.9509807119762225E-2</v>
      </c>
      <c r="I19969">
        <v>1.9509807119762249E-2</v>
      </c>
    </row>
    <row r="19970" spans="1:9" x14ac:dyDescent="0.25">
      <c r="A19970">
        <v>594</v>
      </c>
      <c r="B19970" t="s">
        <v>4751</v>
      </c>
      <c r="C19970" t="s">
        <v>10</v>
      </c>
      <c r="D19970" t="s">
        <v>144</v>
      </c>
      <c r="E19970">
        <f>2/205</f>
        <v>9.7560975609756097E-3</v>
      </c>
      <c r="F19970">
        <v>105</v>
      </c>
      <c r="G19970">
        <f>LOG(382/(105+1))</f>
        <v>0.55675749764693849</v>
      </c>
      <c r="H19970">
        <f>0.00975609756097561*1.2819815144945</f>
        <v>1.2507136726775609E-2</v>
      </c>
      <c r="I19970">
        <v>1.250713672677569E-2</v>
      </c>
    </row>
    <row r="19971" spans="1:9" x14ac:dyDescent="0.25">
      <c r="A19971">
        <v>594</v>
      </c>
      <c r="B19971" t="s">
        <v>4751</v>
      </c>
      <c r="C19971" t="s">
        <v>10</v>
      </c>
      <c r="D19971" t="s">
        <v>4771</v>
      </c>
      <c r="E19971">
        <f>1/205</f>
        <v>4.8780487804878049E-3</v>
      </c>
      <c r="F19971">
        <v>1</v>
      </c>
      <c r="G19971">
        <f>LOG(382/(1+1))</f>
        <v>2.2810333672477277</v>
      </c>
      <c r="H19971">
        <f>0.0048780487804878*5.25227342804663</f>
        <v>2.5620845990471337E-2</v>
      </c>
      <c r="I19971">
        <v>2.5620845990471361E-2</v>
      </c>
    </row>
    <row r="19972" spans="1:9" x14ac:dyDescent="0.25">
      <c r="A19972">
        <v>594</v>
      </c>
      <c r="B19972" t="s">
        <v>4751</v>
      </c>
      <c r="C19972" t="s">
        <v>10</v>
      </c>
      <c r="D19972" t="s">
        <v>1652</v>
      </c>
      <c r="E19972">
        <f>1/205</f>
        <v>4.8780487804878049E-3</v>
      </c>
      <c r="F19972">
        <v>7</v>
      </c>
      <c r="G19972">
        <f>LOG(382/(7+1))</f>
        <v>1.6789733759197651</v>
      </c>
      <c r="H19972">
        <f>0.0048780487804878*3.86597906692673</f>
        <v>1.8858434472813299E-2</v>
      </c>
      <c r="I19972">
        <v>1.8858434472813362E-2</v>
      </c>
    </row>
    <row r="19973" spans="1:9" x14ac:dyDescent="0.25">
      <c r="A19973">
        <v>594</v>
      </c>
      <c r="B19973" t="s">
        <v>4751</v>
      </c>
      <c r="C19973" t="s">
        <v>10</v>
      </c>
      <c r="D19973" t="s">
        <v>388</v>
      </c>
      <c r="E19973">
        <f>2/205</f>
        <v>9.7560975609756097E-3</v>
      </c>
      <c r="F19973">
        <v>44</v>
      </c>
      <c r="G19973">
        <f>LOG(382/(44+1))</f>
        <v>0.92885084913636506</v>
      </c>
      <c r="H19973">
        <f>0.00975609756097561*2.13875811883625</f>
        <v>2.0865932866695122E-2</v>
      </c>
      <c r="I19973">
        <v>2.0865932866695171E-2</v>
      </c>
    </row>
    <row r="19974" spans="1:9" x14ac:dyDescent="0.25">
      <c r="A19974">
        <v>594</v>
      </c>
      <c r="B19974" t="s">
        <v>4751</v>
      </c>
      <c r="C19974" t="s">
        <v>10</v>
      </c>
      <c r="D19974" t="s">
        <v>3554</v>
      </c>
      <c r="E19974">
        <f t="shared" ref="E19974:E19980" si="953">1/205</f>
        <v>4.8780487804878049E-3</v>
      </c>
      <c r="F19974">
        <v>2</v>
      </c>
      <c r="G19974">
        <f>LOG(382/(2+1))</f>
        <v>2.1049421081920463</v>
      </c>
      <c r="H19974">
        <f>0.0048780487804878*4.84680831993846</f>
        <v>2.3642967414333926E-2</v>
      </c>
      <c r="I19974">
        <v>2.3642967414333981E-2</v>
      </c>
    </row>
    <row r="19975" spans="1:9" x14ac:dyDescent="0.25">
      <c r="A19975">
        <v>594</v>
      </c>
      <c r="B19975" t="s">
        <v>4751</v>
      </c>
      <c r="C19975" t="s">
        <v>10</v>
      </c>
      <c r="D19975" t="s">
        <v>735</v>
      </c>
      <c r="E19975">
        <f t="shared" si="953"/>
        <v>4.8780487804878049E-3</v>
      </c>
      <c r="F19975">
        <v>2</v>
      </c>
      <c r="G19975">
        <f>LOG(382/(2+1))</f>
        <v>2.1049421081920463</v>
      </c>
      <c r="H19975">
        <f>0.0048780487804878*4.84680831993846</f>
        <v>2.3642967414333926E-2</v>
      </c>
      <c r="I19975">
        <v>2.3642967414333981E-2</v>
      </c>
    </row>
    <row r="19976" spans="1:9" x14ac:dyDescent="0.25">
      <c r="A19976">
        <v>594</v>
      </c>
      <c r="B19976" t="s">
        <v>4751</v>
      </c>
      <c r="C19976" t="s">
        <v>10</v>
      </c>
      <c r="D19976" t="s">
        <v>736</v>
      </c>
      <c r="E19976">
        <f t="shared" si="953"/>
        <v>4.8780487804878049E-3</v>
      </c>
      <c r="F19976">
        <v>2</v>
      </c>
      <c r="G19976">
        <f>LOG(382/(2+1))</f>
        <v>2.1049421081920463</v>
      </c>
      <c r="H19976">
        <f>0.0048780487804878*4.84680831993846</f>
        <v>2.3642967414333926E-2</v>
      </c>
      <c r="I19976">
        <v>2.3642967414333981E-2</v>
      </c>
    </row>
    <row r="19977" spans="1:9" x14ac:dyDescent="0.25">
      <c r="A19977">
        <v>594</v>
      </c>
      <c r="B19977" t="s">
        <v>4751</v>
      </c>
      <c r="C19977" t="s">
        <v>10</v>
      </c>
      <c r="D19977" t="s">
        <v>621</v>
      </c>
      <c r="E19977">
        <f t="shared" si="953"/>
        <v>4.8780487804878049E-3</v>
      </c>
      <c r="F19977">
        <v>3</v>
      </c>
      <c r="G19977">
        <f>LOG(382/(3+1))</f>
        <v>1.9800033715837464</v>
      </c>
      <c r="H19977">
        <f>0.0048780487804878*4.55912624748668</f>
        <v>2.2239640231642318E-2</v>
      </c>
      <c r="I19977">
        <v>2.223964023164236E-2</v>
      </c>
    </row>
    <row r="19978" spans="1:9" x14ac:dyDescent="0.25">
      <c r="A19978">
        <v>594</v>
      </c>
      <c r="B19978" t="s">
        <v>4751</v>
      </c>
      <c r="C19978" t="s">
        <v>10</v>
      </c>
      <c r="D19978" t="s">
        <v>4772</v>
      </c>
      <c r="E19978">
        <f t="shared" si="953"/>
        <v>4.8780487804878049E-3</v>
      </c>
      <c r="F19978">
        <v>1</v>
      </c>
      <c r="G19978">
        <f>LOG(382/(1+1))</f>
        <v>2.2810333672477277</v>
      </c>
      <c r="H19978">
        <f>0.0048780487804878*5.25227342804663</f>
        <v>2.5620845990471337E-2</v>
      </c>
      <c r="I19978">
        <v>2.5620845990471361E-2</v>
      </c>
    </row>
    <row r="19979" spans="1:9" x14ac:dyDescent="0.25">
      <c r="A19979">
        <v>594</v>
      </c>
      <c r="B19979" t="s">
        <v>4751</v>
      </c>
      <c r="C19979" t="s">
        <v>10</v>
      </c>
      <c r="D19979" t="s">
        <v>60</v>
      </c>
      <c r="E19979">
        <f t="shared" si="953"/>
        <v>4.8780487804878049E-3</v>
      </c>
      <c r="F19979">
        <v>24</v>
      </c>
      <c r="G19979">
        <f>LOG(382/(24+1))</f>
        <v>1.1841233542396712</v>
      </c>
      <c r="H19979">
        <f>0.0048780487804878*2.72654478373837</f>
        <v>1.3300218457260326E-2</v>
      </c>
      <c r="I19979">
        <v>1.3300218457260361E-2</v>
      </c>
    </row>
    <row r="19980" spans="1:9" x14ac:dyDescent="0.25">
      <c r="A19980">
        <v>594</v>
      </c>
      <c r="B19980" t="s">
        <v>4751</v>
      </c>
      <c r="C19980" t="s">
        <v>10</v>
      </c>
      <c r="D19980" t="s">
        <v>126</v>
      </c>
      <c r="E19980">
        <f t="shared" si="953"/>
        <v>4.8780487804878049E-3</v>
      </c>
      <c r="F19980">
        <v>79</v>
      </c>
      <c r="G19980">
        <f>LOG(382/(79+1))</f>
        <v>0.67897337591976514</v>
      </c>
      <c r="H19980">
        <f>0.0048780487804878*1.56339397393269</f>
        <v>7.6263120679643335E-3</v>
      </c>
      <c r="I19980">
        <v>7.6263120679643604E-3</v>
      </c>
    </row>
    <row r="19981" spans="1:9" x14ac:dyDescent="0.25">
      <c r="A19981">
        <v>594</v>
      </c>
      <c r="B19981" t="s">
        <v>4751</v>
      </c>
      <c r="C19981" t="s">
        <v>10</v>
      </c>
      <c r="D19981" t="s">
        <v>50</v>
      </c>
      <c r="E19981">
        <f>2/205</f>
        <v>9.7560975609756097E-3</v>
      </c>
      <c r="F19981">
        <v>109</v>
      </c>
      <c r="G19981">
        <f>LOG(382/(109+1))</f>
        <v>0.54067067775348365</v>
      </c>
      <c r="H19981">
        <f>0.00975609756097561*1.24494024281415</f>
        <v>1.2145758466479513E-2</v>
      </c>
      <c r="I19981">
        <v>1.2145758466479599E-2</v>
      </c>
    </row>
    <row r="19982" spans="1:9" x14ac:dyDescent="0.25">
      <c r="A19982">
        <v>594</v>
      </c>
      <c r="B19982" t="s">
        <v>4751</v>
      </c>
      <c r="C19982" t="s">
        <v>10</v>
      </c>
      <c r="D19982" t="s">
        <v>724</v>
      </c>
      <c r="E19982">
        <f>1/205</f>
        <v>4.8780487804878049E-3</v>
      </c>
      <c r="F19982">
        <v>9</v>
      </c>
      <c r="G19982">
        <f>LOG(382/(9+1))</f>
        <v>1.5820633629117087</v>
      </c>
      <c r="H19982">
        <f>0.0048780487804878*3.64283551561252</f>
        <v>1.7769929344451298E-2</v>
      </c>
      <c r="I19982">
        <v>1.776992934445136E-2</v>
      </c>
    </row>
    <row r="19983" spans="1:9" x14ac:dyDescent="0.25">
      <c r="A19983">
        <v>594</v>
      </c>
      <c r="B19983" t="s">
        <v>4751</v>
      </c>
      <c r="C19983" t="s">
        <v>10</v>
      </c>
      <c r="D19983" t="s">
        <v>1706</v>
      </c>
      <c r="E19983">
        <f>4/205</f>
        <v>1.9512195121951219E-2</v>
      </c>
      <c r="F19983">
        <v>5</v>
      </c>
      <c r="G19983">
        <f>LOG(382/(5+1))</f>
        <v>1.803912112528065</v>
      </c>
      <c r="H19983">
        <f>0.0195121951219512*4.15366113937852</f>
        <v>8.1047046622019808E-2</v>
      </c>
      <c r="I19983">
        <v>8.1047046622019905E-2</v>
      </c>
    </row>
    <row r="19984" spans="1:9" x14ac:dyDescent="0.25">
      <c r="A19984">
        <v>594</v>
      </c>
      <c r="B19984" t="s">
        <v>4751</v>
      </c>
      <c r="C19984" t="s">
        <v>10</v>
      </c>
      <c r="D19984" t="s">
        <v>2508</v>
      </c>
      <c r="E19984">
        <f>2/205</f>
        <v>9.7560975609756097E-3</v>
      </c>
      <c r="F19984">
        <v>3</v>
      </c>
      <c r="G19984">
        <f>LOG(382/(3+1))</f>
        <v>1.9800033715837464</v>
      </c>
      <c r="H19984">
        <f>0.00975609756097561*4.55912624748668</f>
        <v>4.4479280463284684E-2</v>
      </c>
      <c r="I19984">
        <v>4.4479280463284733E-2</v>
      </c>
    </row>
    <row r="19985" spans="1:9" x14ac:dyDescent="0.25">
      <c r="A19985">
        <v>594</v>
      </c>
      <c r="B19985" t="s">
        <v>4751</v>
      </c>
      <c r="C19985" t="s">
        <v>10</v>
      </c>
      <c r="D19985" t="s">
        <v>324</v>
      </c>
      <c r="E19985">
        <f t="shared" ref="E19985:E20010" si="954">1/205</f>
        <v>4.8780487804878049E-3</v>
      </c>
      <c r="F19985">
        <v>82</v>
      </c>
      <c r="G19985">
        <f>LOG(382/(82+1))</f>
        <v>0.66298527053563483</v>
      </c>
      <c r="H19985">
        <f>0.0048780487804878*1.52658000080997</f>
        <v>7.446731711268138E-3</v>
      </c>
      <c r="I19985">
        <v>7.4467317112681813E-3</v>
      </c>
    </row>
    <row r="19986" spans="1:9" x14ac:dyDescent="0.25">
      <c r="A19986">
        <v>594</v>
      </c>
      <c r="B19986" t="s">
        <v>4751</v>
      </c>
      <c r="C19986" t="s">
        <v>10</v>
      </c>
      <c r="D19986" t="s">
        <v>272</v>
      </c>
      <c r="E19986">
        <f t="shared" si="954"/>
        <v>4.8780487804878049E-3</v>
      </c>
      <c r="F19986">
        <v>17</v>
      </c>
      <c r="G19986">
        <f>LOG(382/(17+1))</f>
        <v>1.3267908578084027</v>
      </c>
      <c r="H19986">
        <f>0.0048780487804878*3.05504885071041</f>
        <v>1.4902677320538569E-2</v>
      </c>
      <c r="I19986">
        <v>1.490267732053859E-2</v>
      </c>
    </row>
    <row r="19987" spans="1:9" x14ac:dyDescent="0.25">
      <c r="A19987">
        <v>594</v>
      </c>
      <c r="B19987" t="s">
        <v>4751</v>
      </c>
      <c r="C19987" t="s">
        <v>10</v>
      </c>
      <c r="D19987" t="s">
        <v>4414</v>
      </c>
      <c r="E19987">
        <f t="shared" si="954"/>
        <v>4.8780487804878049E-3</v>
      </c>
      <c r="F19987">
        <v>2</v>
      </c>
      <c r="G19987">
        <f>LOG(382/(2+1))</f>
        <v>2.1049421081920463</v>
      </c>
      <c r="H19987">
        <f>0.0048780487804878*4.84680831993846</f>
        <v>2.3642967414333926E-2</v>
      </c>
      <c r="I19987">
        <v>2.3642967414333981E-2</v>
      </c>
    </row>
    <row r="19988" spans="1:9" x14ac:dyDescent="0.25">
      <c r="A19988">
        <v>594</v>
      </c>
      <c r="B19988" t="s">
        <v>4751</v>
      </c>
      <c r="C19988" t="s">
        <v>10</v>
      </c>
      <c r="D19988" t="s">
        <v>392</v>
      </c>
      <c r="E19988">
        <f t="shared" si="954"/>
        <v>4.8780487804878049E-3</v>
      </c>
      <c r="F19988">
        <v>2</v>
      </c>
      <c r="G19988">
        <f>LOG(382/(2+1))</f>
        <v>2.1049421081920463</v>
      </c>
      <c r="H19988">
        <f>0.0048780487804878*4.84680831993846</f>
        <v>2.3642967414333926E-2</v>
      </c>
      <c r="I19988">
        <v>2.3642967414333981E-2</v>
      </c>
    </row>
    <row r="19989" spans="1:9" x14ac:dyDescent="0.25">
      <c r="A19989">
        <v>594</v>
      </c>
      <c r="B19989" t="s">
        <v>4751</v>
      </c>
      <c r="C19989" t="s">
        <v>10</v>
      </c>
      <c r="D19989" t="s">
        <v>4773</v>
      </c>
      <c r="E19989">
        <f t="shared" si="954"/>
        <v>4.8780487804878049E-3</v>
      </c>
      <c r="F19989">
        <v>1</v>
      </c>
      <c r="G19989">
        <f>LOG(382/(1+1))</f>
        <v>2.2810333672477277</v>
      </c>
      <c r="H19989">
        <f>0.0048780487804878*5.25227342804663</f>
        <v>2.5620845990471337E-2</v>
      </c>
      <c r="I19989">
        <v>2.5620845990471361E-2</v>
      </c>
    </row>
    <row r="19990" spans="1:9" x14ac:dyDescent="0.25">
      <c r="A19990">
        <v>594</v>
      </c>
      <c r="B19990" t="s">
        <v>4751</v>
      </c>
      <c r="C19990" t="s">
        <v>10</v>
      </c>
      <c r="D19990" t="s">
        <v>1644</v>
      </c>
      <c r="E19990">
        <f t="shared" si="954"/>
        <v>4.8780487804878049E-3</v>
      </c>
      <c r="F19990">
        <v>4</v>
      </c>
      <c r="G19990">
        <f>LOG(382/(4+1))</f>
        <v>1.8830933585756899</v>
      </c>
      <c r="H19990">
        <f>0.0048780487804878*4.33598269617247</f>
        <v>2.115113510328032E-2</v>
      </c>
      <c r="I19990">
        <v>2.1151135103280361E-2</v>
      </c>
    </row>
    <row r="19991" spans="1:9" x14ac:dyDescent="0.25">
      <c r="A19991">
        <v>594</v>
      </c>
      <c r="B19991" t="s">
        <v>4751</v>
      </c>
      <c r="C19991" t="s">
        <v>10</v>
      </c>
      <c r="D19991" t="s">
        <v>4774</v>
      </c>
      <c r="E19991">
        <f t="shared" si="954"/>
        <v>4.8780487804878049E-3</v>
      </c>
      <c r="F19991">
        <v>1</v>
      </c>
      <c r="G19991">
        <f>LOG(382/(1+1))</f>
        <v>2.2810333672477277</v>
      </c>
      <c r="H19991">
        <f>0.0048780487804878*5.25227342804663</f>
        <v>2.5620845990471337E-2</v>
      </c>
      <c r="I19991">
        <v>2.5620845990471361E-2</v>
      </c>
    </row>
    <row r="19992" spans="1:9" x14ac:dyDescent="0.25">
      <c r="A19992">
        <v>594</v>
      </c>
      <c r="B19992" t="s">
        <v>4751</v>
      </c>
      <c r="C19992" t="s">
        <v>10</v>
      </c>
      <c r="D19992" t="s">
        <v>4775</v>
      </c>
      <c r="E19992">
        <f t="shared" si="954"/>
        <v>4.8780487804878049E-3</v>
      </c>
      <c r="F19992">
        <v>1</v>
      </c>
      <c r="G19992">
        <f>LOG(382/(1+1))</f>
        <v>2.2810333672477277</v>
      </c>
      <c r="H19992">
        <f>0.0048780487804878*5.25227342804663</f>
        <v>2.5620845990471337E-2</v>
      </c>
      <c r="I19992">
        <v>2.5620845990471361E-2</v>
      </c>
    </row>
    <row r="19993" spans="1:9" x14ac:dyDescent="0.25">
      <c r="A19993">
        <v>594</v>
      </c>
      <c r="B19993" t="s">
        <v>4751</v>
      </c>
      <c r="C19993" t="s">
        <v>10</v>
      </c>
      <c r="D19993" t="s">
        <v>151</v>
      </c>
      <c r="E19993">
        <f t="shared" si="954"/>
        <v>4.8780487804878049E-3</v>
      </c>
      <c r="F19993">
        <v>14</v>
      </c>
      <c r="G19993">
        <f>LOG(382/(14+1))</f>
        <v>1.4059721038560276</v>
      </c>
      <c r="H19993">
        <f>0.0048780487804878*3.23737040750436</f>
        <v>1.5792050768313935E-2</v>
      </c>
      <c r="I19993">
        <v>1.579205076831398E-2</v>
      </c>
    </row>
    <row r="19994" spans="1:9" x14ac:dyDescent="0.25">
      <c r="A19994">
        <v>594</v>
      </c>
      <c r="B19994" t="s">
        <v>4751</v>
      </c>
      <c r="C19994" t="s">
        <v>10</v>
      </c>
      <c r="D19994" t="s">
        <v>4478</v>
      </c>
      <c r="E19994">
        <f t="shared" si="954"/>
        <v>4.8780487804878049E-3</v>
      </c>
      <c r="F19994">
        <v>2</v>
      </c>
      <c r="G19994">
        <f>LOG(382/(2+1))</f>
        <v>2.1049421081920463</v>
      </c>
      <c r="H19994">
        <f>0.0048780487804878*4.84680831993846</f>
        <v>2.3642967414333926E-2</v>
      </c>
      <c r="I19994">
        <v>2.3642967414333981E-2</v>
      </c>
    </row>
    <row r="19995" spans="1:9" x14ac:dyDescent="0.25">
      <c r="A19995">
        <v>594</v>
      </c>
      <c r="B19995" t="s">
        <v>4751</v>
      </c>
      <c r="C19995" t="s">
        <v>10</v>
      </c>
      <c r="D19995" t="s">
        <v>1348</v>
      </c>
      <c r="E19995">
        <f t="shared" si="954"/>
        <v>4.8780487804878049E-3</v>
      </c>
      <c r="F19995">
        <v>4</v>
      </c>
      <c r="G19995">
        <f>LOG(382/(4+1))</f>
        <v>1.8830933585756899</v>
      </c>
      <c r="H19995">
        <f>0.0048780487804878*4.33598269617247</f>
        <v>2.115113510328032E-2</v>
      </c>
      <c r="I19995">
        <v>2.1151135103280361E-2</v>
      </c>
    </row>
    <row r="19996" spans="1:9" x14ac:dyDescent="0.25">
      <c r="A19996">
        <v>594</v>
      </c>
      <c r="B19996" t="s">
        <v>4751</v>
      </c>
      <c r="C19996" t="s">
        <v>10</v>
      </c>
      <c r="D19996" t="s">
        <v>717</v>
      </c>
      <c r="E19996">
        <f t="shared" si="954"/>
        <v>4.8780487804878049E-3</v>
      </c>
      <c r="F19996">
        <v>5</v>
      </c>
      <c r="G19996">
        <f>LOG(382/(5+1))</f>
        <v>1.803912112528065</v>
      </c>
      <c r="H19996">
        <f>0.0048780487804878*4.15366113937852</f>
        <v>2.0261761655504952E-2</v>
      </c>
      <c r="I19996">
        <v>2.026176165550498E-2</v>
      </c>
    </row>
    <row r="19997" spans="1:9" x14ac:dyDescent="0.25">
      <c r="A19997">
        <v>594</v>
      </c>
      <c r="B19997" t="s">
        <v>4751</v>
      </c>
      <c r="C19997" t="s">
        <v>10</v>
      </c>
      <c r="D19997" t="s">
        <v>374</v>
      </c>
      <c r="E19997">
        <f t="shared" si="954"/>
        <v>4.8780487804878049E-3</v>
      </c>
      <c r="F19997">
        <v>2</v>
      </c>
      <c r="G19997">
        <f>LOG(382/(2+1))</f>
        <v>2.1049421081920463</v>
      </c>
      <c r="H19997">
        <f>0.0048780487804878*4.84680831993846</f>
        <v>2.3642967414333926E-2</v>
      </c>
      <c r="I19997">
        <v>2.3642967414333981E-2</v>
      </c>
    </row>
    <row r="19998" spans="1:9" x14ac:dyDescent="0.25">
      <c r="A19998">
        <v>594</v>
      </c>
      <c r="B19998" t="s">
        <v>4751</v>
      </c>
      <c r="C19998" t="s">
        <v>10</v>
      </c>
      <c r="D19998" t="s">
        <v>92</v>
      </c>
      <c r="E19998">
        <f t="shared" si="954"/>
        <v>4.8780487804878049E-3</v>
      </c>
      <c r="F19998">
        <v>12</v>
      </c>
      <c r="G19998">
        <f>LOG(382/(12+1))</f>
        <v>1.468120010604872</v>
      </c>
      <c r="H19998">
        <f>0.0048780487804878*3.38047125114503</f>
        <v>1.6490103664122079E-2</v>
      </c>
      <c r="I19998">
        <v>1.6490103664122142E-2</v>
      </c>
    </row>
    <row r="19999" spans="1:9" x14ac:dyDescent="0.25">
      <c r="A19999">
        <v>594</v>
      </c>
      <c r="B19999" t="s">
        <v>4751</v>
      </c>
      <c r="C19999" t="s">
        <v>10</v>
      </c>
      <c r="D19999" t="s">
        <v>4776</v>
      </c>
      <c r="E19999">
        <f t="shared" si="954"/>
        <v>4.8780487804878049E-3</v>
      </c>
      <c r="F19999">
        <v>1</v>
      </c>
      <c r="G19999">
        <f>LOG(382/(1+1))</f>
        <v>2.2810333672477277</v>
      </c>
      <c r="H19999">
        <f>0.0048780487804878*5.25227342804663</f>
        <v>2.5620845990471337E-2</v>
      </c>
      <c r="I19999">
        <v>2.5620845990471361E-2</v>
      </c>
    </row>
    <row r="20000" spans="1:9" x14ac:dyDescent="0.25">
      <c r="A20000">
        <v>594</v>
      </c>
      <c r="B20000" t="s">
        <v>4751</v>
      </c>
      <c r="C20000" t="s">
        <v>10</v>
      </c>
      <c r="D20000" t="s">
        <v>4777</v>
      </c>
      <c r="E20000">
        <f t="shared" si="954"/>
        <v>4.8780487804878049E-3</v>
      </c>
      <c r="F20000">
        <v>1</v>
      </c>
      <c r="G20000">
        <f>LOG(382/(1+1))</f>
        <v>2.2810333672477277</v>
      </c>
      <c r="H20000">
        <f>0.0048780487804878*5.25227342804663</f>
        <v>2.5620845990471337E-2</v>
      </c>
      <c r="I20000">
        <v>2.5620845990471361E-2</v>
      </c>
    </row>
    <row r="20001" spans="1:9" x14ac:dyDescent="0.25">
      <c r="A20001">
        <v>594</v>
      </c>
      <c r="B20001" t="s">
        <v>4751</v>
      </c>
      <c r="C20001" t="s">
        <v>10</v>
      </c>
      <c r="D20001" t="s">
        <v>340</v>
      </c>
      <c r="E20001">
        <f t="shared" si="954"/>
        <v>4.8780487804878049E-3</v>
      </c>
      <c r="F20001">
        <v>28</v>
      </c>
      <c r="G20001">
        <f>LOG(382/(28+1))</f>
        <v>1.1196653650127526</v>
      </c>
      <c r="H20001">
        <f>0.0048780487804878*2.5781247786201</f>
        <v>1.2576218432293156E-2</v>
      </c>
      <c r="I20001">
        <v>1.2576218432293181E-2</v>
      </c>
    </row>
    <row r="20002" spans="1:9" x14ac:dyDescent="0.25">
      <c r="A20002">
        <v>594</v>
      </c>
      <c r="B20002" t="s">
        <v>4751</v>
      </c>
      <c r="C20002" t="s">
        <v>10</v>
      </c>
      <c r="D20002" t="s">
        <v>448</v>
      </c>
      <c r="E20002">
        <f t="shared" si="954"/>
        <v>4.8780487804878049E-3</v>
      </c>
      <c r="F20002">
        <v>19</v>
      </c>
      <c r="G20002">
        <f>LOG(382/(19+1))</f>
        <v>1.2810333672477277</v>
      </c>
      <c r="H20002">
        <f>0.0048780487804878*2.94968833505258</f>
        <v>1.4388723585622326E-2</v>
      </c>
      <c r="I20002">
        <v>1.438872358562236E-2</v>
      </c>
    </row>
    <row r="20003" spans="1:9" x14ac:dyDescent="0.25">
      <c r="A20003">
        <v>594</v>
      </c>
      <c r="B20003" t="s">
        <v>4751</v>
      </c>
      <c r="C20003" t="s">
        <v>10</v>
      </c>
      <c r="D20003" t="s">
        <v>1653</v>
      </c>
      <c r="E20003">
        <f t="shared" si="954"/>
        <v>4.8780487804878049E-3</v>
      </c>
      <c r="F20003">
        <v>4</v>
      </c>
      <c r="G20003">
        <f>LOG(382/(4+1))</f>
        <v>1.8830933585756899</v>
      </c>
      <c r="H20003">
        <f>0.0048780487804878*4.33598269617247</f>
        <v>2.115113510328032E-2</v>
      </c>
      <c r="I20003">
        <v>2.1151135103280361E-2</v>
      </c>
    </row>
    <row r="20004" spans="1:9" x14ac:dyDescent="0.25">
      <c r="A20004">
        <v>594</v>
      </c>
      <c r="B20004" t="s">
        <v>4751</v>
      </c>
      <c r="C20004" t="s">
        <v>10</v>
      </c>
      <c r="D20004" t="s">
        <v>40</v>
      </c>
      <c r="E20004">
        <f t="shared" si="954"/>
        <v>4.8780487804878049E-3</v>
      </c>
      <c r="F20004">
        <v>159</v>
      </c>
      <c r="G20004">
        <f>LOG(382/(159+1))</f>
        <v>0.377943380255784</v>
      </c>
      <c r="H20004">
        <f>0.0048780487804878*0.870246793372748</f>
        <v>4.2451063091353512E-3</v>
      </c>
      <c r="I20004">
        <v>4.2451063091353582E-3</v>
      </c>
    </row>
    <row r="20005" spans="1:9" x14ac:dyDescent="0.25">
      <c r="A20005">
        <v>594</v>
      </c>
      <c r="B20005" t="s">
        <v>4751</v>
      </c>
      <c r="C20005" t="s">
        <v>10</v>
      </c>
      <c r="D20005" t="s">
        <v>41</v>
      </c>
      <c r="E20005">
        <f t="shared" si="954"/>
        <v>4.8780487804878049E-3</v>
      </c>
      <c r="F20005">
        <v>195</v>
      </c>
      <c r="G20005">
        <f>LOG(382/(195+1))</f>
        <v>0.28980729155523272</v>
      </c>
      <c r="H20005">
        <f>0.0048780487804878*0.667305949376058</f>
        <v>3.2551509725661332E-3</v>
      </c>
      <c r="I20005">
        <v>3.2551509725661371E-3</v>
      </c>
    </row>
    <row r="20006" spans="1:9" x14ac:dyDescent="0.25">
      <c r="A20006">
        <v>594</v>
      </c>
      <c r="B20006" t="s">
        <v>4751</v>
      </c>
      <c r="C20006" t="s">
        <v>10</v>
      </c>
      <c r="D20006" t="s">
        <v>331</v>
      </c>
      <c r="E20006">
        <f t="shared" si="954"/>
        <v>4.8780487804878049E-3</v>
      </c>
      <c r="F20006">
        <v>130</v>
      </c>
      <c r="G20006">
        <f>LOG(382/(130+1))</f>
        <v>0.46479206725594452</v>
      </c>
      <c r="H20006">
        <f>0.0048780487804878*1.07022328540542</f>
        <v>5.2206013922215556E-3</v>
      </c>
      <c r="I20006">
        <v>5.2206013922215791E-3</v>
      </c>
    </row>
    <row r="20007" spans="1:9" x14ac:dyDescent="0.25">
      <c r="A20007">
        <v>594</v>
      </c>
      <c r="B20007" t="s">
        <v>4751</v>
      </c>
      <c r="C20007" t="s">
        <v>10</v>
      </c>
      <c r="D20007" t="s">
        <v>1525</v>
      </c>
      <c r="E20007">
        <f t="shared" si="954"/>
        <v>4.8780487804878049E-3</v>
      </c>
      <c r="F20007">
        <v>8</v>
      </c>
      <c r="G20007">
        <f>LOG(382/(8+1))</f>
        <v>1.6278208534723839</v>
      </c>
      <c r="H20007">
        <f>0.0048780487804878*3.74819603127035</f>
        <v>1.8283883079367541E-2</v>
      </c>
      <c r="I20007">
        <v>1.828388307936759E-2</v>
      </c>
    </row>
    <row r="20008" spans="1:9" x14ac:dyDescent="0.25">
      <c r="A20008">
        <v>594</v>
      </c>
      <c r="B20008" t="s">
        <v>4751</v>
      </c>
      <c r="C20008" t="s">
        <v>10</v>
      </c>
      <c r="D20008" t="s">
        <v>238</v>
      </c>
      <c r="E20008">
        <f t="shared" si="954"/>
        <v>4.8780487804878049E-3</v>
      </c>
      <c r="F20008">
        <v>10</v>
      </c>
      <c r="G20008">
        <f>LOG(382/(10+1))</f>
        <v>1.5406706777534838</v>
      </c>
      <c r="H20008">
        <f>0.0048780487804878*3.5475253358082</f>
        <v>1.7305001638088763E-2</v>
      </c>
      <c r="I20008">
        <v>1.7305001638088801E-2</v>
      </c>
    </row>
    <row r="20009" spans="1:9" x14ac:dyDescent="0.25">
      <c r="A20009">
        <v>594</v>
      </c>
      <c r="B20009" t="s">
        <v>4751</v>
      </c>
      <c r="C20009" t="s">
        <v>10</v>
      </c>
      <c r="D20009" t="s">
        <v>405</v>
      </c>
      <c r="E20009">
        <f t="shared" si="954"/>
        <v>4.8780487804878049E-3</v>
      </c>
      <c r="F20009">
        <v>10</v>
      </c>
      <c r="G20009">
        <f>LOG(382/(10+1))</f>
        <v>1.5406706777534838</v>
      </c>
      <c r="H20009">
        <f>0.0048780487804878*3.5475253358082</f>
        <v>1.7305001638088763E-2</v>
      </c>
      <c r="I20009">
        <v>1.7305001638088801E-2</v>
      </c>
    </row>
    <row r="20010" spans="1:9" x14ac:dyDescent="0.25">
      <c r="A20010">
        <v>594</v>
      </c>
      <c r="B20010" t="s">
        <v>4751</v>
      </c>
      <c r="C20010" t="s">
        <v>10</v>
      </c>
      <c r="D20010" t="s">
        <v>406</v>
      </c>
      <c r="E20010">
        <f t="shared" si="954"/>
        <v>4.8780487804878049E-3</v>
      </c>
      <c r="F20010">
        <v>10</v>
      </c>
      <c r="G20010">
        <f>LOG(382/(10+1))</f>
        <v>1.5406706777534838</v>
      </c>
      <c r="H20010">
        <f>0.0048780487804878*3.5475253358082</f>
        <v>1.7305001638088763E-2</v>
      </c>
      <c r="I20010">
        <v>1.7305001638088801E-2</v>
      </c>
    </row>
    <row r="20011" spans="1:9" x14ac:dyDescent="0.25">
      <c r="A20011">
        <v>595</v>
      </c>
      <c r="B20011" t="s">
        <v>4778</v>
      </c>
      <c r="C20011" t="s">
        <v>10</v>
      </c>
      <c r="D20011" t="s">
        <v>3014</v>
      </c>
      <c r="E20011">
        <f>1/1</f>
        <v>1</v>
      </c>
      <c r="F20011">
        <v>11</v>
      </c>
      <c r="G20011">
        <f>LOG(382/(11+1))</f>
        <v>1.5028821168640838</v>
      </c>
      <c r="H20011">
        <f>1*3.46051395881857</f>
        <v>3.46051395881857</v>
      </c>
      <c r="I20011" s="1">
        <v>3.4605139588185749</v>
      </c>
    </row>
    <row r="20012" spans="1:9" x14ac:dyDescent="0.25">
      <c r="A20012">
        <v>596</v>
      </c>
      <c r="B20012" t="s">
        <v>4779</v>
      </c>
      <c r="C20012" t="s">
        <v>10</v>
      </c>
      <c r="D20012" t="s">
        <v>931</v>
      </c>
      <c r="E20012">
        <f>4/117</f>
        <v>3.4188034188034191E-2</v>
      </c>
      <c r="F20012">
        <v>22</v>
      </c>
      <c r="G20012">
        <f>LOG(382/(22+1))</f>
        <v>1.2203355268941158</v>
      </c>
      <c r="H20012">
        <f>0.0341880341880341*2.80992639267742</f>
        <v>9.6065859578714968E-2</v>
      </c>
      <c r="I20012">
        <v>9.6065859578715412E-2</v>
      </c>
    </row>
    <row r="20013" spans="1:9" x14ac:dyDescent="0.25">
      <c r="A20013">
        <v>596</v>
      </c>
      <c r="B20013" t="s">
        <v>4779</v>
      </c>
      <c r="C20013" t="s">
        <v>10</v>
      </c>
      <c r="D20013" t="s">
        <v>331</v>
      </c>
      <c r="E20013">
        <f>8/117</f>
        <v>6.8376068376068383E-2</v>
      </c>
      <c r="F20013">
        <v>130</v>
      </c>
      <c r="G20013">
        <f>LOG(382/(130+1))</f>
        <v>0.46479206725594452</v>
      </c>
      <c r="H20013">
        <f>0.0683760683760683*1.07022328540542</f>
        <v>7.3177660540541464E-2</v>
      </c>
      <c r="I20013">
        <v>7.3177660540541797E-2</v>
      </c>
    </row>
    <row r="20014" spans="1:9" x14ac:dyDescent="0.25">
      <c r="A20014">
        <v>596</v>
      </c>
      <c r="B20014" t="s">
        <v>4779</v>
      </c>
      <c r="C20014" t="s">
        <v>10</v>
      </c>
      <c r="D20014" t="s">
        <v>768</v>
      </c>
      <c r="E20014">
        <f>2/117</f>
        <v>1.7094017094017096E-2</v>
      </c>
      <c r="F20014">
        <v>4</v>
      </c>
      <c r="G20014">
        <f>LOG(382/(4+1))</f>
        <v>1.8830933585756899</v>
      </c>
      <c r="H20014">
        <f>0.017094017094017*4.33598269617247</f>
        <v>7.4119362327734126E-2</v>
      </c>
      <c r="I20014">
        <v>7.4119362327734625E-2</v>
      </c>
    </row>
    <row r="20015" spans="1:9" x14ac:dyDescent="0.25">
      <c r="A20015">
        <v>596</v>
      </c>
      <c r="B20015" t="s">
        <v>4779</v>
      </c>
      <c r="C20015" t="s">
        <v>10</v>
      </c>
      <c r="D20015" t="s">
        <v>4780</v>
      </c>
      <c r="E20015">
        <f>2/117</f>
        <v>1.7094017094017096E-2</v>
      </c>
      <c r="F20015">
        <v>1</v>
      </c>
      <c r="G20015">
        <f>LOG(382/(1+1))</f>
        <v>2.2810333672477277</v>
      </c>
      <c r="H20015">
        <f>0.017094017094017*5.25227342804663</f>
        <v>8.978245176148035E-2</v>
      </c>
      <c r="I20015">
        <v>8.9782451761480864E-2</v>
      </c>
    </row>
    <row r="20016" spans="1:9" x14ac:dyDescent="0.25">
      <c r="A20016">
        <v>596</v>
      </c>
      <c r="B20016" t="s">
        <v>4779</v>
      </c>
      <c r="C20016" t="s">
        <v>10</v>
      </c>
      <c r="D20016" t="s">
        <v>42</v>
      </c>
      <c r="E20016">
        <f>1/117</f>
        <v>8.5470085470085479E-3</v>
      </c>
      <c r="F20016">
        <v>251</v>
      </c>
      <c r="G20016">
        <f>LOG(382/(251+1))</f>
        <v>0.18066282213016463</v>
      </c>
      <c r="H20016">
        <f>0.00854700854700854*0.415991521095151</f>
        <v>3.5554830862833385E-3</v>
      </c>
      <c r="I20016">
        <v>3.5554830862833502E-3</v>
      </c>
    </row>
    <row r="20017" spans="1:9" x14ac:dyDescent="0.25">
      <c r="A20017">
        <v>596</v>
      </c>
      <c r="B20017" t="s">
        <v>4779</v>
      </c>
      <c r="C20017" t="s">
        <v>10</v>
      </c>
      <c r="D20017" t="s">
        <v>15</v>
      </c>
      <c r="E20017">
        <f>3/117</f>
        <v>2.564102564102564E-2</v>
      </c>
      <c r="F20017">
        <v>112</v>
      </c>
      <c r="G20017">
        <f>LOG(382/(112+1))</f>
        <v>0.52898491942828896</v>
      </c>
      <c r="H20017">
        <f>0.0256410256410256*1.21803278989423</f>
        <v>3.1231609997287899E-2</v>
      </c>
      <c r="I20017">
        <v>3.1231609997288069E-2</v>
      </c>
    </row>
    <row r="20018" spans="1:9" x14ac:dyDescent="0.25">
      <c r="A20018">
        <v>596</v>
      </c>
      <c r="B20018" t="s">
        <v>4779</v>
      </c>
      <c r="C20018" t="s">
        <v>10</v>
      </c>
      <c r="D20018" t="s">
        <v>4781</v>
      </c>
      <c r="E20018">
        <f>3/117</f>
        <v>2.564102564102564E-2</v>
      </c>
      <c r="F20018">
        <v>1</v>
      </c>
      <c r="G20018">
        <f>LOG(382/(1+1))</f>
        <v>2.2810333672477277</v>
      </c>
      <c r="H20018">
        <f>0.0256410256410256*5.25227342804663</f>
        <v>0.13467367764222105</v>
      </c>
      <c r="I20018">
        <v>0.1346736776422213</v>
      </c>
    </row>
    <row r="20019" spans="1:9" x14ac:dyDescent="0.25">
      <c r="A20019">
        <v>596</v>
      </c>
      <c r="B20019" t="s">
        <v>4779</v>
      </c>
      <c r="C20019" t="s">
        <v>10</v>
      </c>
      <c r="D20019" t="s">
        <v>17</v>
      </c>
      <c r="E20019">
        <f>2/117</f>
        <v>1.7094017094017096E-2</v>
      </c>
      <c r="F20019">
        <v>169</v>
      </c>
      <c r="G20019">
        <f>LOG(382/(169+1))</f>
        <v>0.3516144415334348</v>
      </c>
      <c r="H20019">
        <f>0.017094017094017*0.809622171556313</f>
        <v>1.3839695240278777E-2</v>
      </c>
      <c r="I20019">
        <v>1.383969524027886E-2</v>
      </c>
    </row>
    <row r="20020" spans="1:9" x14ac:dyDescent="0.25">
      <c r="A20020">
        <v>596</v>
      </c>
      <c r="B20020" t="s">
        <v>4779</v>
      </c>
      <c r="C20020" t="s">
        <v>10</v>
      </c>
      <c r="D20020" t="s">
        <v>953</v>
      </c>
      <c r="E20020">
        <f>2/117</f>
        <v>1.7094017094017096E-2</v>
      </c>
      <c r="F20020">
        <v>16</v>
      </c>
      <c r="G20020">
        <f>LOG(382/(16+1))</f>
        <v>1.3516144415334348</v>
      </c>
      <c r="H20020">
        <f>0.017094017094017*3.11220726455035</f>
        <v>5.3200124180347565E-2</v>
      </c>
      <c r="I20020">
        <v>5.3200124180348023E-2</v>
      </c>
    </row>
    <row r="20021" spans="1:9" x14ac:dyDescent="0.25">
      <c r="A20021">
        <v>596</v>
      </c>
      <c r="B20021" t="s">
        <v>4779</v>
      </c>
      <c r="C20021" t="s">
        <v>10</v>
      </c>
      <c r="D20021" t="s">
        <v>4782</v>
      </c>
      <c r="E20021">
        <f>2/117</f>
        <v>1.7094017094017096E-2</v>
      </c>
      <c r="F20021">
        <v>1</v>
      </c>
      <c r="G20021">
        <f>LOG(382/(1+1))</f>
        <v>2.2810333672477277</v>
      </c>
      <c r="H20021">
        <f>0.017094017094017*5.25227342804663</f>
        <v>8.978245176148035E-2</v>
      </c>
      <c r="I20021">
        <v>8.9782451761480864E-2</v>
      </c>
    </row>
    <row r="20022" spans="1:9" x14ac:dyDescent="0.25">
      <c r="A20022">
        <v>596</v>
      </c>
      <c r="B20022" t="s">
        <v>4779</v>
      </c>
      <c r="C20022" t="s">
        <v>10</v>
      </c>
      <c r="D20022" t="s">
        <v>19</v>
      </c>
      <c r="E20022">
        <f>2/117</f>
        <v>1.7094017094017096E-2</v>
      </c>
      <c r="F20022">
        <v>220</v>
      </c>
      <c r="G20022">
        <f>LOG(382/(220+1))</f>
        <v>0.23767108922659805</v>
      </c>
      <c r="H20022">
        <f>0.017094017094017*0.547257907088822</f>
        <v>9.3548360186122906E-3</v>
      </c>
      <c r="I20022">
        <v>9.3548360186123496E-3</v>
      </c>
    </row>
    <row r="20023" spans="1:9" x14ac:dyDescent="0.25">
      <c r="A20023">
        <v>596</v>
      </c>
      <c r="B20023" t="s">
        <v>4779</v>
      </c>
      <c r="C20023" t="s">
        <v>10</v>
      </c>
      <c r="D20023" t="s">
        <v>370</v>
      </c>
      <c r="E20023">
        <f>2/117</f>
        <v>1.7094017094017096E-2</v>
      </c>
      <c r="F20023">
        <v>14</v>
      </c>
      <c r="G20023">
        <f>LOG(382/(14+1))</f>
        <v>1.4059721038560276</v>
      </c>
      <c r="H20023">
        <f>0.017094017094017*3.23737040750436</f>
        <v>5.5339665085544304E-2</v>
      </c>
      <c r="I20023">
        <v>5.5339665085544713E-2</v>
      </c>
    </row>
    <row r="20024" spans="1:9" x14ac:dyDescent="0.25">
      <c r="A20024">
        <v>596</v>
      </c>
      <c r="B20024" t="s">
        <v>4779</v>
      </c>
      <c r="C20024" t="s">
        <v>10</v>
      </c>
      <c r="D20024" t="s">
        <v>22</v>
      </c>
      <c r="E20024">
        <f>1/117</f>
        <v>8.5470085470085479E-3</v>
      </c>
      <c r="F20024">
        <v>259</v>
      </c>
      <c r="G20024">
        <f>LOG(382/(259+1))</f>
        <v>0.16709001494089079</v>
      </c>
      <c r="H20024">
        <f>0.00854700854700854*0.384738977591047</f>
        <v>3.2883673298380058E-3</v>
      </c>
      <c r="I20024">
        <v>3.2883673298380132E-3</v>
      </c>
    </row>
    <row r="20025" spans="1:9" x14ac:dyDescent="0.25">
      <c r="A20025">
        <v>596</v>
      </c>
      <c r="B20025" t="s">
        <v>4779</v>
      </c>
      <c r="C20025" t="s">
        <v>10</v>
      </c>
      <c r="D20025" t="s">
        <v>23</v>
      </c>
      <c r="E20025">
        <f>1/117</f>
        <v>8.5470085470085479E-3</v>
      </c>
      <c r="F20025">
        <v>275</v>
      </c>
      <c r="G20025">
        <f>LOG(382/(275+1))</f>
        <v>0.14115428084649101</v>
      </c>
      <c r="H20025">
        <f>0.00854700854700854*0.325019742889425</f>
        <v>2.7779465204224333E-3</v>
      </c>
      <c r="I20025">
        <v>2.7779465204224368E-3</v>
      </c>
    </row>
    <row r="20026" spans="1:9" x14ac:dyDescent="0.25">
      <c r="A20026">
        <v>596</v>
      </c>
      <c r="B20026" t="s">
        <v>4779</v>
      </c>
      <c r="C20026" t="s">
        <v>10</v>
      </c>
      <c r="D20026" t="s">
        <v>204</v>
      </c>
      <c r="E20026">
        <f>2/117</f>
        <v>1.7094017094017096E-2</v>
      </c>
      <c r="F20026">
        <v>166</v>
      </c>
      <c r="G20026">
        <f>LOG(382/(166+1))</f>
        <v>0.35934689176412549</v>
      </c>
      <c r="H20026">
        <f>0.017094017094017*0.82742679618982</f>
        <v>1.4144047798116502E-2</v>
      </c>
      <c r="I20026">
        <v>1.414404779811658E-2</v>
      </c>
    </row>
    <row r="20027" spans="1:9" x14ac:dyDescent="0.25">
      <c r="A20027">
        <v>596</v>
      </c>
      <c r="B20027" t="s">
        <v>4779</v>
      </c>
      <c r="C20027" t="s">
        <v>10</v>
      </c>
      <c r="D20027" t="s">
        <v>4526</v>
      </c>
      <c r="E20027">
        <f>2/117</f>
        <v>1.7094017094017096E-2</v>
      </c>
      <c r="F20027">
        <v>5</v>
      </c>
      <c r="G20027">
        <f>LOG(382/(5+1))</f>
        <v>1.803912112528065</v>
      </c>
      <c r="H20027">
        <f>0.017094017094017*4.15366113937852</f>
        <v>7.1002754519290542E-2</v>
      </c>
      <c r="I20027">
        <v>7.1002754519290945E-2</v>
      </c>
    </row>
    <row r="20028" spans="1:9" x14ac:dyDescent="0.25">
      <c r="A20028">
        <v>596</v>
      </c>
      <c r="B20028" t="s">
        <v>4779</v>
      </c>
      <c r="C20028" t="s">
        <v>10</v>
      </c>
      <c r="D20028" t="s">
        <v>11</v>
      </c>
      <c r="E20028">
        <f>3/117</f>
        <v>2.564102564102564E-2</v>
      </c>
      <c r="F20028">
        <v>83</v>
      </c>
      <c r="G20028">
        <f>LOG(382/(83+1))</f>
        <v>0.65778407684982709</v>
      </c>
      <c r="H20028">
        <f>0.0256410256410256*1.51460380976326</f>
        <v>3.8835995122134807E-2</v>
      </c>
      <c r="I20028">
        <v>3.8835995122134911E-2</v>
      </c>
    </row>
    <row r="20029" spans="1:9" x14ac:dyDescent="0.25">
      <c r="A20029">
        <v>596</v>
      </c>
      <c r="B20029" t="s">
        <v>4779</v>
      </c>
      <c r="C20029" t="s">
        <v>10</v>
      </c>
      <c r="D20029" t="s">
        <v>1534</v>
      </c>
      <c r="E20029">
        <f>2/117</f>
        <v>1.7094017094017096E-2</v>
      </c>
      <c r="F20029">
        <v>25</v>
      </c>
      <c r="G20029">
        <f>LOG(382/(25+1))</f>
        <v>1.1670900149408907</v>
      </c>
      <c r="H20029">
        <f>0.017094017094017*2.68732407058509</f>
        <v>4.5937163599744875E-2</v>
      </c>
      <c r="I20029">
        <v>4.5937163599745187E-2</v>
      </c>
    </row>
    <row r="20030" spans="1:9" x14ac:dyDescent="0.25">
      <c r="A20030">
        <v>596</v>
      </c>
      <c r="B20030" t="s">
        <v>4779</v>
      </c>
      <c r="C20030" t="s">
        <v>10</v>
      </c>
      <c r="D20030" t="s">
        <v>398</v>
      </c>
      <c r="E20030">
        <f>1/117</f>
        <v>8.5470085470085479E-3</v>
      </c>
      <c r="F20030">
        <v>14</v>
      </c>
      <c r="G20030">
        <f>LOG(382/(14+1))</f>
        <v>1.4059721038560276</v>
      </c>
      <c r="H20030">
        <f>0.00854700854700854*3.23737040750436</f>
        <v>2.766983254277228E-2</v>
      </c>
      <c r="I20030">
        <v>2.766983254277236E-2</v>
      </c>
    </row>
    <row r="20031" spans="1:9" x14ac:dyDescent="0.25">
      <c r="A20031">
        <v>596</v>
      </c>
      <c r="B20031" t="s">
        <v>4779</v>
      </c>
      <c r="C20031" t="s">
        <v>10</v>
      </c>
      <c r="D20031" t="s">
        <v>911</v>
      </c>
      <c r="E20031">
        <f>1/117</f>
        <v>8.5470085470085479E-3</v>
      </c>
      <c r="F20031">
        <v>22</v>
      </c>
      <c r="G20031">
        <f>LOG(382/(22+1))</f>
        <v>1.2203355268941158</v>
      </c>
      <c r="H20031">
        <f>0.00854700854700854*2.80992639267742</f>
        <v>2.401646489467878E-2</v>
      </c>
      <c r="I20031">
        <v>2.401646489467885E-2</v>
      </c>
    </row>
    <row r="20032" spans="1:9" x14ac:dyDescent="0.25">
      <c r="A20032">
        <v>596</v>
      </c>
      <c r="B20032" t="s">
        <v>4779</v>
      </c>
      <c r="C20032" t="s">
        <v>10</v>
      </c>
      <c r="D20032" t="s">
        <v>726</v>
      </c>
      <c r="E20032">
        <f>2/117</f>
        <v>1.7094017094017096E-2</v>
      </c>
      <c r="F20032">
        <v>37</v>
      </c>
      <c r="G20032">
        <f>LOG(382/(37+1))</f>
        <v>1.0022797662948986</v>
      </c>
      <c r="H20032">
        <f>0.017094017094017*2.30783444888018</f>
        <v>3.9450161519319092E-2</v>
      </c>
      <c r="I20032">
        <v>3.9450161519319467E-2</v>
      </c>
    </row>
    <row r="20033" spans="1:9" x14ac:dyDescent="0.25">
      <c r="A20033">
        <v>596</v>
      </c>
      <c r="B20033" t="s">
        <v>4779</v>
      </c>
      <c r="C20033" t="s">
        <v>10</v>
      </c>
      <c r="D20033" t="s">
        <v>737</v>
      </c>
      <c r="E20033">
        <f>1/117</f>
        <v>8.5470085470085479E-3</v>
      </c>
      <c r="F20033">
        <v>11</v>
      </c>
      <c r="G20033">
        <f>LOG(382/(11+1))</f>
        <v>1.5028821168640838</v>
      </c>
      <c r="H20033">
        <f>0.00854700854700854*3.46051395881857</f>
        <v>2.9577042383064675E-2</v>
      </c>
      <c r="I20033">
        <v>2.9577042383064741E-2</v>
      </c>
    </row>
    <row r="20034" spans="1:9" x14ac:dyDescent="0.25">
      <c r="A20034">
        <v>596</v>
      </c>
      <c r="B20034" t="s">
        <v>4779</v>
      </c>
      <c r="C20034" t="s">
        <v>10</v>
      </c>
      <c r="D20034" t="s">
        <v>937</v>
      </c>
      <c r="E20034">
        <f>1/117</f>
        <v>8.5470085470085479E-3</v>
      </c>
      <c r="F20034">
        <v>41</v>
      </c>
      <c r="G20034">
        <f>LOG(382/(41+1))</f>
        <v>0.95881407251380824</v>
      </c>
      <c r="H20034">
        <f>0.00854700854700854*2.2077509903232</f>
        <v>1.8869666583958958E-2</v>
      </c>
      <c r="I20034">
        <v>1.8869666583959031E-2</v>
      </c>
    </row>
    <row r="20035" spans="1:9" x14ac:dyDescent="0.25">
      <c r="A20035">
        <v>596</v>
      </c>
      <c r="B20035" t="s">
        <v>4779</v>
      </c>
      <c r="C20035" t="s">
        <v>10</v>
      </c>
      <c r="D20035" t="s">
        <v>483</v>
      </c>
      <c r="E20035">
        <f>2/117</f>
        <v>1.7094017094017096E-2</v>
      </c>
      <c r="F20035">
        <v>61</v>
      </c>
      <c r="G20035">
        <f>LOG(382/(61+1))</f>
        <v>0.7896716734134549</v>
      </c>
      <c r="H20035">
        <f>0.017094017094017*1.81828622356148</f>
        <v>3.1081815787375552E-2</v>
      </c>
      <c r="I20035">
        <v>3.1081815787375788E-2</v>
      </c>
    </row>
    <row r="20036" spans="1:9" x14ac:dyDescent="0.25">
      <c r="A20036">
        <v>596</v>
      </c>
      <c r="B20036" t="s">
        <v>4779</v>
      </c>
      <c r="C20036" t="s">
        <v>10</v>
      </c>
      <c r="D20036" t="s">
        <v>322</v>
      </c>
      <c r="E20036">
        <f>1/117</f>
        <v>8.5470085470085479E-3</v>
      </c>
      <c r="F20036">
        <v>128</v>
      </c>
      <c r="G20036">
        <f>LOG(382/(128+1))</f>
        <v>0.47147365261245977</v>
      </c>
      <c r="H20036">
        <f>0.00854700854700854*1.0856082042449</f>
        <v>9.2787026003837529E-3</v>
      </c>
      <c r="I20036">
        <v>9.2787026003837876E-3</v>
      </c>
    </row>
    <row r="20037" spans="1:9" x14ac:dyDescent="0.25">
      <c r="A20037">
        <v>596</v>
      </c>
      <c r="B20037" t="s">
        <v>4779</v>
      </c>
      <c r="C20037" t="s">
        <v>10</v>
      </c>
      <c r="D20037" t="s">
        <v>123</v>
      </c>
      <c r="E20037">
        <f>1/117</f>
        <v>8.5470085470085479E-3</v>
      </c>
      <c r="F20037">
        <v>74</v>
      </c>
      <c r="G20037">
        <f>LOG(382/(74+1))</f>
        <v>0.7070020995200087</v>
      </c>
      <c r="H20037">
        <f>0.00854700854700854*1.62793249507026</f>
        <v>1.3913952949318449E-2</v>
      </c>
      <c r="I20037">
        <v>1.3913952949318501E-2</v>
      </c>
    </row>
    <row r="20038" spans="1:9" x14ac:dyDescent="0.25">
      <c r="A20038">
        <v>596</v>
      </c>
      <c r="B20038" t="s">
        <v>4779</v>
      </c>
      <c r="C20038" t="s">
        <v>10</v>
      </c>
      <c r="D20038" t="s">
        <v>1532</v>
      </c>
      <c r="E20038">
        <f>2/117</f>
        <v>1.7094017094017096E-2</v>
      </c>
      <c r="F20038">
        <v>28</v>
      </c>
      <c r="G20038">
        <f>LOG(382/(28+1))</f>
        <v>1.1196653650127526</v>
      </c>
      <c r="H20038">
        <f>0.017094017094017*2.5781247786201</f>
        <v>4.4070509036240775E-2</v>
      </c>
      <c r="I20038">
        <v>4.4070509036241053E-2</v>
      </c>
    </row>
    <row r="20039" spans="1:9" x14ac:dyDescent="0.25">
      <c r="A20039">
        <v>596</v>
      </c>
      <c r="B20039" t="s">
        <v>4779</v>
      </c>
      <c r="C20039" t="s">
        <v>10</v>
      </c>
      <c r="D20039" t="s">
        <v>327</v>
      </c>
      <c r="E20039">
        <f>1/117</f>
        <v>8.5470085470085479E-3</v>
      </c>
      <c r="F20039">
        <v>46</v>
      </c>
      <c r="G20039">
        <f>LOG(382/(46+1))</f>
        <v>0.90996550497599127</v>
      </c>
      <c r="H20039">
        <f>0.00854700854700854*2.09527300689651</f>
        <v>1.7908316298260753E-2</v>
      </c>
      <c r="I20039">
        <v>1.790831629826083E-2</v>
      </c>
    </row>
    <row r="20040" spans="1:9" x14ac:dyDescent="0.25">
      <c r="A20040">
        <v>596</v>
      </c>
      <c r="B20040" t="s">
        <v>4779</v>
      </c>
      <c r="C20040" t="s">
        <v>10</v>
      </c>
      <c r="D20040" t="s">
        <v>133</v>
      </c>
      <c r="E20040">
        <f>2/117</f>
        <v>1.7094017094017096E-2</v>
      </c>
      <c r="F20040">
        <v>142</v>
      </c>
      <c r="G20040">
        <f>LOG(382/(142+1))</f>
        <v>0.42672732544664693</v>
      </c>
      <c r="H20040">
        <f>0.017094017094017*0.982575978346667</f>
        <v>1.6796170570028402E-2</v>
      </c>
      <c r="I20040">
        <v>1.679617057002851E-2</v>
      </c>
    </row>
    <row r="20041" spans="1:9" x14ac:dyDescent="0.25">
      <c r="A20041">
        <v>596</v>
      </c>
      <c r="B20041" t="s">
        <v>4779</v>
      </c>
      <c r="C20041" t="s">
        <v>10</v>
      </c>
      <c r="D20041" t="s">
        <v>78</v>
      </c>
      <c r="E20041">
        <f>2/117</f>
        <v>1.7094017094017096E-2</v>
      </c>
      <c r="F20041">
        <v>122</v>
      </c>
      <c r="G20041">
        <f>LOG(382/(122+1))</f>
        <v>0.49215825147231079</v>
      </c>
      <c r="H20041">
        <f>0.017094017094017*1.13323625323415</f>
        <v>1.9371559884344337E-2</v>
      </c>
      <c r="I20041">
        <v>1.937155988434458E-2</v>
      </c>
    </row>
    <row r="20042" spans="1:9" x14ac:dyDescent="0.25">
      <c r="A20042">
        <v>596</v>
      </c>
      <c r="B20042" t="s">
        <v>4779</v>
      </c>
      <c r="C20042" t="s">
        <v>10</v>
      </c>
      <c r="D20042" t="s">
        <v>76</v>
      </c>
      <c r="E20042">
        <f>2/117</f>
        <v>1.7094017094017096E-2</v>
      </c>
      <c r="F20042">
        <v>140</v>
      </c>
      <c r="G20042">
        <f>LOG(382/(140+1))</f>
        <v>0.43284425025632883</v>
      </c>
      <c r="H20042">
        <f>0.017094017094017*0.996660718228407</f>
        <v>1.7036935354331647E-2</v>
      </c>
      <c r="I20042">
        <v>1.7036935354331741E-2</v>
      </c>
    </row>
    <row r="20043" spans="1:9" x14ac:dyDescent="0.25">
      <c r="A20043">
        <v>596</v>
      </c>
      <c r="B20043" t="s">
        <v>4779</v>
      </c>
      <c r="C20043" t="s">
        <v>10</v>
      </c>
      <c r="D20043" t="s">
        <v>932</v>
      </c>
      <c r="E20043">
        <f>2/117</f>
        <v>1.7094017094017096E-2</v>
      </c>
      <c r="F20043">
        <v>35</v>
      </c>
      <c r="G20043">
        <f>LOG(382/(35+1))</f>
        <v>1.0257608621444214</v>
      </c>
      <c r="H20043">
        <f>0.017094017094017*2.36190167015046</f>
        <v>4.0374387523939265E-2</v>
      </c>
      <c r="I20043">
        <v>4.0374387523939577E-2</v>
      </c>
    </row>
    <row r="20044" spans="1:9" x14ac:dyDescent="0.25">
      <c r="A20044">
        <v>596</v>
      </c>
      <c r="B20044" t="s">
        <v>4779</v>
      </c>
      <c r="C20044" t="s">
        <v>10</v>
      </c>
      <c r="D20044" t="s">
        <v>1396</v>
      </c>
      <c r="E20044">
        <f>1/117</f>
        <v>8.5470085470085479E-3</v>
      </c>
      <c r="F20044">
        <v>18</v>
      </c>
      <c r="G20044">
        <f>LOG(382/(18+1))</f>
        <v>1.3033097619588798</v>
      </c>
      <c r="H20044">
        <f>0.00854700854700854*3.00098162944013</f>
        <v>2.5649415636240406E-2</v>
      </c>
      <c r="I20044">
        <v>2.5649415636240468E-2</v>
      </c>
    </row>
    <row r="20045" spans="1:9" x14ac:dyDescent="0.25">
      <c r="A20045">
        <v>596</v>
      </c>
      <c r="B20045" t="s">
        <v>4779</v>
      </c>
      <c r="C20045" t="s">
        <v>10</v>
      </c>
      <c r="D20045" t="s">
        <v>161</v>
      </c>
      <c r="E20045">
        <f>2/117</f>
        <v>1.7094017094017096E-2</v>
      </c>
      <c r="F20045">
        <v>33</v>
      </c>
      <c r="G20045">
        <f>LOG(382/(33+1))</f>
        <v>1.0505844458694535</v>
      </c>
      <c r="H20045">
        <f>0.017094017094017*2.41906008399041</f>
        <v>4.1351454427186268E-2</v>
      </c>
      <c r="I20045">
        <v>4.1351454427186567E-2</v>
      </c>
    </row>
    <row r="20046" spans="1:9" x14ac:dyDescent="0.25">
      <c r="A20046">
        <v>596</v>
      </c>
      <c r="B20046" t="s">
        <v>4779</v>
      </c>
      <c r="C20046" t="s">
        <v>10</v>
      </c>
      <c r="D20046" t="s">
        <v>1709</v>
      </c>
      <c r="E20046">
        <f>1/117</f>
        <v>8.5470085470085479E-3</v>
      </c>
      <c r="F20046">
        <v>21</v>
      </c>
      <c r="G20046">
        <f>LOG(382/(21+1))</f>
        <v>1.2396406820895025</v>
      </c>
      <c r="H20046">
        <f>0.00854700854700854*2.85437815524825</f>
        <v>2.4396394489301258E-2</v>
      </c>
      <c r="I20046">
        <v>2.4396394489301362E-2</v>
      </c>
    </row>
    <row r="20047" spans="1:9" x14ac:dyDescent="0.25">
      <c r="A20047">
        <v>596</v>
      </c>
      <c r="B20047" t="s">
        <v>4779</v>
      </c>
      <c r="C20047" t="s">
        <v>10</v>
      </c>
      <c r="D20047" t="s">
        <v>764</v>
      </c>
      <c r="E20047">
        <f>1/117</f>
        <v>8.5470085470085479E-3</v>
      </c>
      <c r="F20047">
        <v>57</v>
      </c>
      <c r="G20047">
        <f>LOG(382/(57+1))</f>
        <v>0.81863536934877146</v>
      </c>
      <c r="H20047">
        <f>0.00854700854700854*1.88497759806015</f>
        <v>1.6110919641539729E-2</v>
      </c>
      <c r="I20047">
        <v>1.6110919641539791E-2</v>
      </c>
    </row>
    <row r="20048" spans="1:9" x14ac:dyDescent="0.25">
      <c r="A20048">
        <v>596</v>
      </c>
      <c r="B20048" t="s">
        <v>4779</v>
      </c>
      <c r="C20048" t="s">
        <v>10</v>
      </c>
      <c r="D20048" t="s">
        <v>1085</v>
      </c>
      <c r="E20048">
        <f>1/117</f>
        <v>8.5470085470085479E-3</v>
      </c>
      <c r="F20048">
        <v>16</v>
      </c>
      <c r="G20048">
        <f>LOG(382/(16+1))</f>
        <v>1.3516144415334348</v>
      </c>
      <c r="H20048">
        <f>0.00854700854700854*3.11220726455035</f>
        <v>2.6600062090173907E-2</v>
      </c>
      <c r="I20048">
        <v>2.6600062090174011E-2</v>
      </c>
    </row>
    <row r="20049" spans="1:9" x14ac:dyDescent="0.25">
      <c r="A20049">
        <v>596</v>
      </c>
      <c r="B20049" t="s">
        <v>4779</v>
      </c>
      <c r="C20049" t="s">
        <v>10</v>
      </c>
      <c r="D20049" t="s">
        <v>77</v>
      </c>
      <c r="E20049">
        <f>2/117</f>
        <v>1.7094017094017096E-2</v>
      </c>
      <c r="F20049">
        <v>148</v>
      </c>
      <c r="G20049">
        <f>LOG(382/(148+1))</f>
        <v>0.40887709449943471</v>
      </c>
      <c r="H20049">
        <f>0.017094017094017*0.941474302661116</f>
        <v>1.6093577823266848E-2</v>
      </c>
      <c r="I20049">
        <v>1.6093577823266939E-2</v>
      </c>
    </row>
    <row r="20050" spans="1:9" x14ac:dyDescent="0.25">
      <c r="A20050">
        <v>596</v>
      </c>
      <c r="B20050" t="s">
        <v>4779</v>
      </c>
      <c r="C20050" t="s">
        <v>10</v>
      </c>
      <c r="D20050" t="s">
        <v>1398</v>
      </c>
      <c r="E20050">
        <f>1/117</f>
        <v>8.5470085470085479E-3</v>
      </c>
      <c r="F20050">
        <v>29</v>
      </c>
      <c r="G20050">
        <f>LOG(382/(29+1))</f>
        <v>1.1049421081920463</v>
      </c>
      <c r="H20050">
        <f>0.00854700854700854*2.54422322694442</f>
        <v>2.1745497666191601E-2</v>
      </c>
      <c r="I20050">
        <v>2.1745497666191629E-2</v>
      </c>
    </row>
    <row r="20051" spans="1:9" x14ac:dyDescent="0.25">
      <c r="A20051">
        <v>596</v>
      </c>
      <c r="B20051" t="s">
        <v>4779</v>
      </c>
      <c r="C20051" t="s">
        <v>10</v>
      </c>
      <c r="D20051" t="s">
        <v>339</v>
      </c>
      <c r="E20051">
        <f>1/117</f>
        <v>8.5470085470085479E-3</v>
      </c>
      <c r="F20051">
        <v>66</v>
      </c>
      <c r="G20051">
        <f>LOG(382/(66+1))</f>
        <v>0.75598856021088234</v>
      </c>
      <c r="H20051">
        <f>0.00854700854700854*1.7407279892156</f>
        <v>1.4878017001842721E-2</v>
      </c>
      <c r="I20051">
        <v>1.4878017001842809E-2</v>
      </c>
    </row>
    <row r="20052" spans="1:9" x14ac:dyDescent="0.25">
      <c r="A20052">
        <v>596</v>
      </c>
      <c r="B20052" t="s">
        <v>4779</v>
      </c>
      <c r="C20052" t="s">
        <v>10</v>
      </c>
      <c r="D20052" t="s">
        <v>600</v>
      </c>
      <c r="E20052">
        <f>3/117</f>
        <v>2.564102564102564E-2</v>
      </c>
      <c r="F20052">
        <v>102</v>
      </c>
      <c r="G20052">
        <f>LOG(382/(102+1))</f>
        <v>0.56922613820653656</v>
      </c>
      <c r="H20052">
        <f>0.0256410256410256*1.31069162037693</f>
        <v>3.3607477445562257E-2</v>
      </c>
      <c r="I20052">
        <v>3.3607477445562549E-2</v>
      </c>
    </row>
    <row r="20053" spans="1:9" x14ac:dyDescent="0.25">
      <c r="A20053">
        <v>596</v>
      </c>
      <c r="B20053" t="s">
        <v>4779</v>
      </c>
      <c r="C20053" t="s">
        <v>10</v>
      </c>
      <c r="D20053" t="s">
        <v>1478</v>
      </c>
      <c r="E20053">
        <f>1/117</f>
        <v>8.5470085470085479E-3</v>
      </c>
      <c r="F20053">
        <v>17</v>
      </c>
      <c r="G20053">
        <f>LOG(382/(17+1))</f>
        <v>1.3267908578084027</v>
      </c>
      <c r="H20053">
        <f>0.00854700854700854*3.05504885071041</f>
        <v>2.6111528638550489E-2</v>
      </c>
      <c r="I20053">
        <v>2.611152863855052E-2</v>
      </c>
    </row>
    <row r="20054" spans="1:9" x14ac:dyDescent="0.25">
      <c r="A20054">
        <v>596</v>
      </c>
      <c r="B20054" t="s">
        <v>4779</v>
      </c>
      <c r="C20054" t="s">
        <v>10</v>
      </c>
      <c r="D20054" t="s">
        <v>1480</v>
      </c>
      <c r="E20054">
        <f>1/117</f>
        <v>8.5470085470085479E-3</v>
      </c>
      <c r="F20054">
        <v>11</v>
      </c>
      <c r="G20054">
        <f>LOG(382/(11+1))</f>
        <v>1.5028821168640838</v>
      </c>
      <c r="H20054">
        <f>0.00854700854700854*3.46051395881857</f>
        <v>2.9577042383064675E-2</v>
      </c>
      <c r="I20054">
        <v>2.9577042383064741E-2</v>
      </c>
    </row>
    <row r="20055" spans="1:9" x14ac:dyDescent="0.25">
      <c r="A20055">
        <v>596</v>
      </c>
      <c r="B20055" t="s">
        <v>4779</v>
      </c>
      <c r="C20055" t="s">
        <v>10</v>
      </c>
      <c r="D20055" t="s">
        <v>779</v>
      </c>
      <c r="E20055">
        <f>1/117</f>
        <v>8.5470085470085479E-3</v>
      </c>
      <c r="F20055">
        <v>25</v>
      </c>
      <c r="G20055">
        <f>LOG(382/(25+1))</f>
        <v>1.1670900149408907</v>
      </c>
      <c r="H20055">
        <f>0.00854700854700854*2.68732407058509</f>
        <v>2.2968581799872545E-2</v>
      </c>
      <c r="I20055">
        <v>2.296858179987259E-2</v>
      </c>
    </row>
    <row r="20056" spans="1:9" x14ac:dyDescent="0.25">
      <c r="A20056">
        <v>596</v>
      </c>
      <c r="B20056" t="s">
        <v>4779</v>
      </c>
      <c r="C20056" t="s">
        <v>10</v>
      </c>
      <c r="D20056" t="s">
        <v>432</v>
      </c>
      <c r="E20056">
        <f>2/117</f>
        <v>1.7094017094017096E-2</v>
      </c>
      <c r="F20056">
        <v>67</v>
      </c>
      <c r="G20056">
        <f>LOG(382/(67+1))</f>
        <v>0.7495544502054724</v>
      </c>
      <c r="H20056">
        <f>0.017094017094017*1.72591290343046</f>
        <v>2.9502784674024795E-2</v>
      </c>
      <c r="I20056">
        <v>2.95027846740251E-2</v>
      </c>
    </row>
    <row r="20057" spans="1:9" x14ac:dyDescent="0.25">
      <c r="A20057">
        <v>596</v>
      </c>
      <c r="B20057" t="s">
        <v>4779</v>
      </c>
      <c r="C20057" t="s">
        <v>10</v>
      </c>
      <c r="D20057" t="s">
        <v>1741</v>
      </c>
      <c r="E20057">
        <f>1/117</f>
        <v>8.5470085470085479E-3</v>
      </c>
      <c r="F20057">
        <v>6</v>
      </c>
      <c r="G20057">
        <f>LOG(382/(6+1))</f>
        <v>1.736965322897452</v>
      </c>
      <c r="H20057">
        <f>0.00854700854700854*3.99951045955126</f>
        <v>3.4183850081634673E-2</v>
      </c>
      <c r="I20057">
        <v>3.4183850081634722E-2</v>
      </c>
    </row>
    <row r="20058" spans="1:9" x14ac:dyDescent="0.25">
      <c r="A20058">
        <v>596</v>
      </c>
      <c r="B20058" t="s">
        <v>4779</v>
      </c>
      <c r="C20058" t="s">
        <v>10</v>
      </c>
      <c r="D20058" t="s">
        <v>144</v>
      </c>
      <c r="E20058">
        <f>2/117</f>
        <v>1.7094017094017096E-2</v>
      </c>
      <c r="F20058">
        <v>105</v>
      </c>
      <c r="G20058">
        <f>LOG(382/(105+1))</f>
        <v>0.55675749764693849</v>
      </c>
      <c r="H20058">
        <f>0.017094017094017*1.2819815144945</f>
        <v>2.1914213922982782E-2</v>
      </c>
      <c r="I20058">
        <v>2.1914213922983039E-2</v>
      </c>
    </row>
    <row r="20059" spans="1:9" x14ac:dyDescent="0.25">
      <c r="A20059">
        <v>596</v>
      </c>
      <c r="B20059" t="s">
        <v>4779</v>
      </c>
      <c r="C20059" t="s">
        <v>10</v>
      </c>
      <c r="D20059" t="s">
        <v>4783</v>
      </c>
      <c r="E20059">
        <f>1/117</f>
        <v>8.5470085470085479E-3</v>
      </c>
      <c r="F20059">
        <v>1</v>
      </c>
      <c r="G20059">
        <f>LOG(382/(1+1))</f>
        <v>2.2810333672477277</v>
      </c>
      <c r="H20059">
        <f>0.00854700854700854*5.25227342804663</f>
        <v>4.4891225880740383E-2</v>
      </c>
      <c r="I20059">
        <v>4.4891225880740432E-2</v>
      </c>
    </row>
    <row r="20060" spans="1:9" x14ac:dyDescent="0.25">
      <c r="A20060">
        <v>596</v>
      </c>
      <c r="B20060" t="s">
        <v>4779</v>
      </c>
      <c r="C20060" t="s">
        <v>10</v>
      </c>
      <c r="D20060" t="s">
        <v>1328</v>
      </c>
      <c r="E20060">
        <f>1/117</f>
        <v>8.5470085470085479E-3</v>
      </c>
      <c r="F20060">
        <v>22</v>
      </c>
      <c r="G20060">
        <f>LOG(382/(22+1))</f>
        <v>1.2203355268941158</v>
      </c>
      <c r="H20060">
        <f>0.00854700854700854*2.80992639267742</f>
        <v>2.401646489467878E-2</v>
      </c>
      <c r="I20060">
        <v>2.401646489467885E-2</v>
      </c>
    </row>
    <row r="20061" spans="1:9" x14ac:dyDescent="0.25">
      <c r="A20061">
        <v>596</v>
      </c>
      <c r="B20061" t="s">
        <v>4779</v>
      </c>
      <c r="C20061" t="s">
        <v>10</v>
      </c>
      <c r="D20061" t="s">
        <v>1626</v>
      </c>
      <c r="E20061">
        <f>1/117</f>
        <v>8.5470085470085479E-3</v>
      </c>
      <c r="F20061">
        <v>32</v>
      </c>
      <c r="G20061">
        <f>LOG(382/(32+1))</f>
        <v>1.0635494230338212</v>
      </c>
      <c r="H20061">
        <f>0.00854700854700854*2.44891304714009</f>
        <v>2.0930880744787075E-2</v>
      </c>
      <c r="I20061">
        <v>2.0930880744787141E-2</v>
      </c>
    </row>
    <row r="20062" spans="1:9" x14ac:dyDescent="0.25">
      <c r="A20062">
        <v>596</v>
      </c>
      <c r="B20062" t="s">
        <v>4779</v>
      </c>
      <c r="C20062" t="s">
        <v>10</v>
      </c>
      <c r="D20062" t="s">
        <v>236</v>
      </c>
      <c r="E20062">
        <f>1/117</f>
        <v>8.5470085470085479E-3</v>
      </c>
      <c r="F20062">
        <v>87</v>
      </c>
      <c r="G20062">
        <f>LOG(382/(87+1))</f>
        <v>0.63758069076154011</v>
      </c>
      <c r="H20062">
        <f>0.00854700854700854*1.46808379412836</f>
        <v>1.2547724736139817E-2</v>
      </c>
      <c r="I20062">
        <v>1.25477247361399E-2</v>
      </c>
    </row>
    <row r="20063" spans="1:9" x14ac:dyDescent="0.25">
      <c r="A20063">
        <v>596</v>
      </c>
      <c r="B20063" t="s">
        <v>4779</v>
      </c>
      <c r="C20063" t="s">
        <v>10</v>
      </c>
      <c r="D20063" t="s">
        <v>805</v>
      </c>
      <c r="E20063">
        <f>2/117</f>
        <v>1.7094017094017096E-2</v>
      </c>
      <c r="F20063">
        <v>19</v>
      </c>
      <c r="G20063">
        <f>LOG(382/(19+1))</f>
        <v>1.2810333672477277</v>
      </c>
      <c r="H20063">
        <f>0.017094017094017*2.94968833505258</f>
        <v>5.0422022821411346E-2</v>
      </c>
      <c r="I20063">
        <v>5.0422022821411713E-2</v>
      </c>
    </row>
    <row r="20064" spans="1:9" x14ac:dyDescent="0.25">
      <c r="A20064">
        <v>596</v>
      </c>
      <c r="B20064" t="s">
        <v>4779</v>
      </c>
      <c r="C20064" t="s">
        <v>10</v>
      </c>
      <c r="D20064" t="s">
        <v>438</v>
      </c>
      <c r="E20064">
        <f>1/117</f>
        <v>8.5470085470085479E-3</v>
      </c>
      <c r="F20064">
        <v>37</v>
      </c>
      <c r="G20064">
        <f>LOG(382/(37+1))</f>
        <v>1.0022797662948986</v>
      </c>
      <c r="H20064">
        <f>0.00854700854700854*2.30783444888018</f>
        <v>1.972508075965964E-2</v>
      </c>
      <c r="I20064">
        <v>1.972508075965974E-2</v>
      </c>
    </row>
    <row r="20065" spans="1:9" x14ac:dyDescent="0.25">
      <c r="A20065">
        <v>596</v>
      </c>
      <c r="B20065" t="s">
        <v>4779</v>
      </c>
      <c r="C20065" t="s">
        <v>10</v>
      </c>
      <c r="D20065" t="s">
        <v>596</v>
      </c>
      <c r="E20065">
        <f>2/117</f>
        <v>1.7094017094017096E-2</v>
      </c>
      <c r="F20065">
        <v>60</v>
      </c>
      <c r="G20065">
        <f>LOG(382/(60+1))</f>
        <v>0.79673352790094176</v>
      </c>
      <c r="H20065">
        <f>0.017094017094017*1.83454674443326</f>
        <v>3.1359773409115381E-2</v>
      </c>
      <c r="I20065">
        <v>3.1359773409115617E-2</v>
      </c>
    </row>
    <row r="20066" spans="1:9" x14ac:dyDescent="0.25">
      <c r="A20066">
        <v>596</v>
      </c>
      <c r="B20066" t="s">
        <v>4779</v>
      </c>
      <c r="C20066" t="s">
        <v>10</v>
      </c>
      <c r="D20066" t="s">
        <v>597</v>
      </c>
      <c r="E20066">
        <f>2/117</f>
        <v>1.7094017094017096E-2</v>
      </c>
      <c r="F20066">
        <v>51</v>
      </c>
      <c r="G20066">
        <f>LOG(382/(51+1))</f>
        <v>0.86606001927690957</v>
      </c>
      <c r="H20066">
        <f>0.017094017094017*1.99417689002514</f>
        <v>3.4088493846583398E-2</v>
      </c>
      <c r="I20066">
        <v>3.4088493846583717E-2</v>
      </c>
    </row>
    <row r="20067" spans="1:9" x14ac:dyDescent="0.25">
      <c r="A20067">
        <v>596</v>
      </c>
      <c r="B20067" t="s">
        <v>4779</v>
      </c>
      <c r="C20067" t="s">
        <v>10</v>
      </c>
      <c r="D20067" t="s">
        <v>1953</v>
      </c>
      <c r="E20067">
        <f t="shared" ref="E20067:E20078" si="955">1/117</f>
        <v>8.5470085470085479E-3</v>
      </c>
      <c r="F20067">
        <v>11</v>
      </c>
      <c r="G20067">
        <f>LOG(382/(11+1))</f>
        <v>1.5028821168640838</v>
      </c>
      <c r="H20067">
        <f>0.00854700854700854*3.46051395881857</f>
        <v>2.9577042383064675E-2</v>
      </c>
      <c r="I20067">
        <v>2.9577042383064741E-2</v>
      </c>
    </row>
    <row r="20068" spans="1:9" x14ac:dyDescent="0.25">
      <c r="A20068">
        <v>596</v>
      </c>
      <c r="B20068" t="s">
        <v>4779</v>
      </c>
      <c r="C20068" t="s">
        <v>10</v>
      </c>
      <c r="D20068" t="s">
        <v>542</v>
      </c>
      <c r="E20068">
        <f t="shared" si="955"/>
        <v>8.5470085470085479E-3</v>
      </c>
      <c r="F20068">
        <v>42</v>
      </c>
      <c r="G20068">
        <f>LOG(382/(42+1))</f>
        <v>0.94859490733212215</v>
      </c>
      <c r="H20068">
        <f>0.00854700854700854*2.18422049291301</f>
        <v>1.8668551221478698E-2</v>
      </c>
      <c r="I20068">
        <v>1.866855122147874E-2</v>
      </c>
    </row>
    <row r="20069" spans="1:9" x14ac:dyDescent="0.25">
      <c r="A20069">
        <v>596</v>
      </c>
      <c r="B20069" t="s">
        <v>4779</v>
      </c>
      <c r="C20069" t="s">
        <v>10</v>
      </c>
      <c r="D20069" t="s">
        <v>1859</v>
      </c>
      <c r="E20069">
        <f t="shared" si="955"/>
        <v>8.5470085470085479E-3</v>
      </c>
      <c r="F20069">
        <v>7</v>
      </c>
      <c r="G20069">
        <f>LOG(382/(7+1))</f>
        <v>1.6789733759197651</v>
      </c>
      <c r="H20069">
        <f>0.00854700854700854*3.86597906692673</f>
        <v>3.3042556127578858E-2</v>
      </c>
      <c r="I20069">
        <v>3.3042556127578969E-2</v>
      </c>
    </row>
    <row r="20070" spans="1:9" x14ac:dyDescent="0.25">
      <c r="A20070">
        <v>596</v>
      </c>
      <c r="B20070" t="s">
        <v>4779</v>
      </c>
      <c r="C20070" t="s">
        <v>10</v>
      </c>
      <c r="D20070" t="s">
        <v>1521</v>
      </c>
      <c r="E20070">
        <f t="shared" si="955"/>
        <v>8.5470085470085479E-3</v>
      </c>
      <c r="F20070">
        <v>6</v>
      </c>
      <c r="G20070">
        <f>LOG(382/(6+1))</f>
        <v>1.736965322897452</v>
      </c>
      <c r="H20070">
        <f>0.00854700854700854*3.99951045955126</f>
        <v>3.4183850081634673E-2</v>
      </c>
      <c r="I20070">
        <v>3.4183850081634722E-2</v>
      </c>
    </row>
    <row r="20071" spans="1:9" x14ac:dyDescent="0.25">
      <c r="A20071">
        <v>596</v>
      </c>
      <c r="B20071" t="s">
        <v>4779</v>
      </c>
      <c r="C20071" t="s">
        <v>10</v>
      </c>
      <c r="D20071" t="s">
        <v>388</v>
      </c>
      <c r="E20071">
        <f t="shared" si="955"/>
        <v>8.5470085470085479E-3</v>
      </c>
      <c r="F20071">
        <v>44</v>
      </c>
      <c r="G20071">
        <f>LOG(382/(44+1))</f>
        <v>0.92885084913636506</v>
      </c>
      <c r="H20071">
        <f>0.00854700854700854*2.13875811883625</f>
        <v>1.8279983921677331E-2</v>
      </c>
      <c r="I20071">
        <v>1.8279983921677401E-2</v>
      </c>
    </row>
    <row r="20072" spans="1:9" x14ac:dyDescent="0.25">
      <c r="A20072">
        <v>596</v>
      </c>
      <c r="B20072" t="s">
        <v>4779</v>
      </c>
      <c r="C20072" t="s">
        <v>10</v>
      </c>
      <c r="D20072" t="s">
        <v>338</v>
      </c>
      <c r="E20072">
        <f t="shared" si="955"/>
        <v>8.5470085470085479E-3</v>
      </c>
      <c r="F20072">
        <v>54</v>
      </c>
      <c r="G20072">
        <f>LOG(382/(54+1))</f>
        <v>0.84170067341746491</v>
      </c>
      <c r="H20072">
        <f>0.00854700854700854*1.9380874233741</f>
        <v>1.656484977242819E-2</v>
      </c>
      <c r="I20072">
        <v>1.6564849772428239E-2</v>
      </c>
    </row>
    <row r="20073" spans="1:9" x14ac:dyDescent="0.25">
      <c r="A20073">
        <v>596</v>
      </c>
      <c r="B20073" t="s">
        <v>4779</v>
      </c>
      <c r="C20073" t="s">
        <v>10</v>
      </c>
      <c r="D20073" t="s">
        <v>283</v>
      </c>
      <c r="E20073">
        <f t="shared" si="955"/>
        <v>8.5470085470085479E-3</v>
      </c>
      <c r="F20073">
        <v>16</v>
      </c>
      <c r="G20073">
        <f>LOG(382/(16+1))</f>
        <v>1.3516144415334348</v>
      </c>
      <c r="H20073">
        <f>0.00854700854700854*3.11220726455035</f>
        <v>2.6600062090173907E-2</v>
      </c>
      <c r="I20073">
        <v>2.6600062090174011E-2</v>
      </c>
    </row>
    <row r="20074" spans="1:9" x14ac:dyDescent="0.25">
      <c r="A20074">
        <v>596</v>
      </c>
      <c r="B20074" t="s">
        <v>4779</v>
      </c>
      <c r="C20074" t="s">
        <v>10</v>
      </c>
      <c r="D20074" t="s">
        <v>1541</v>
      </c>
      <c r="E20074">
        <f t="shared" si="955"/>
        <v>8.5470085470085479E-3</v>
      </c>
      <c r="F20074">
        <v>5</v>
      </c>
      <c r="G20074">
        <f>LOG(382/(5+1))</f>
        <v>1.803912112528065</v>
      </c>
      <c r="H20074">
        <f>0.00854700854700854*4.15366113937852</f>
        <v>3.5501377259645438E-2</v>
      </c>
      <c r="I20074">
        <v>3.5501377259645472E-2</v>
      </c>
    </row>
    <row r="20075" spans="1:9" x14ac:dyDescent="0.25">
      <c r="A20075">
        <v>596</v>
      </c>
      <c r="B20075" t="s">
        <v>4779</v>
      </c>
      <c r="C20075" t="s">
        <v>10</v>
      </c>
      <c r="D20075" t="s">
        <v>4229</v>
      </c>
      <c r="E20075">
        <f t="shared" si="955"/>
        <v>8.5470085470085479E-3</v>
      </c>
      <c r="F20075">
        <v>3</v>
      </c>
      <c r="G20075">
        <f>LOG(382/(3+1))</f>
        <v>1.9800033715837464</v>
      </c>
      <c r="H20075">
        <f>0.00854700854700854*4.55912624748668</f>
        <v>3.8966891004159621E-2</v>
      </c>
      <c r="I20075">
        <v>3.8966891004159697E-2</v>
      </c>
    </row>
    <row r="20076" spans="1:9" x14ac:dyDescent="0.25">
      <c r="A20076">
        <v>596</v>
      </c>
      <c r="B20076" t="s">
        <v>4779</v>
      </c>
      <c r="C20076" t="s">
        <v>10</v>
      </c>
      <c r="D20076" t="s">
        <v>2301</v>
      </c>
      <c r="E20076">
        <f t="shared" si="955"/>
        <v>8.5470085470085479E-3</v>
      </c>
      <c r="F20076">
        <v>6</v>
      </c>
      <c r="G20076">
        <f>LOG(382/(6+1))</f>
        <v>1.736965322897452</v>
      </c>
      <c r="H20076">
        <f>0.00854700854700854*3.99951045955126</f>
        <v>3.4183850081634673E-2</v>
      </c>
      <c r="I20076">
        <v>3.4183850081634722E-2</v>
      </c>
    </row>
    <row r="20077" spans="1:9" x14ac:dyDescent="0.25">
      <c r="A20077">
        <v>596</v>
      </c>
      <c r="B20077" t="s">
        <v>4779</v>
      </c>
      <c r="C20077" t="s">
        <v>10</v>
      </c>
      <c r="D20077" t="s">
        <v>2431</v>
      </c>
      <c r="E20077">
        <f t="shared" si="955"/>
        <v>8.5470085470085479E-3</v>
      </c>
      <c r="F20077">
        <v>12</v>
      </c>
      <c r="G20077">
        <f>LOG(382/(12+1))</f>
        <v>1.468120010604872</v>
      </c>
      <c r="H20077">
        <f>0.00854700854700854*3.38047125114503</f>
        <v>2.8892916676453221E-2</v>
      </c>
      <c r="I20077">
        <v>2.8892916676453329E-2</v>
      </c>
    </row>
    <row r="20078" spans="1:9" x14ac:dyDescent="0.25">
      <c r="A20078">
        <v>596</v>
      </c>
      <c r="B20078" t="s">
        <v>4779</v>
      </c>
      <c r="C20078" t="s">
        <v>10</v>
      </c>
      <c r="D20078" t="s">
        <v>754</v>
      </c>
      <c r="E20078">
        <f t="shared" si="955"/>
        <v>8.5470085470085479E-3</v>
      </c>
      <c r="F20078">
        <v>111</v>
      </c>
      <c r="G20078">
        <f>LOG(382/(111+1))</f>
        <v>0.53284534024152708</v>
      </c>
      <c r="H20078">
        <f>0.00854700854700854*1.22692173731148</f>
        <v>1.0486510575311785E-2</v>
      </c>
      <c r="I20078">
        <v>1.0486510575311799E-2</v>
      </c>
    </row>
    <row r="20079" spans="1:9" x14ac:dyDescent="0.25">
      <c r="A20079">
        <v>596</v>
      </c>
      <c r="B20079" t="s">
        <v>4779</v>
      </c>
      <c r="C20079" t="s">
        <v>10</v>
      </c>
      <c r="D20079" t="s">
        <v>763</v>
      </c>
      <c r="E20079">
        <f>2/117</f>
        <v>1.7094017094017096E-2</v>
      </c>
      <c r="F20079">
        <v>47</v>
      </c>
      <c r="G20079">
        <f>LOG(382/(47+1))</f>
        <v>0.90082212553612151</v>
      </c>
      <c r="H20079">
        <f>0.017094017094017*2.07421959769868</f>
        <v>3.5456745259806299E-2</v>
      </c>
      <c r="I20079">
        <v>3.545674525980657E-2</v>
      </c>
    </row>
    <row r="20080" spans="1:9" x14ac:dyDescent="0.25">
      <c r="A20080">
        <v>596</v>
      </c>
      <c r="B20080" t="s">
        <v>4779</v>
      </c>
      <c r="C20080" t="s">
        <v>10</v>
      </c>
      <c r="D20080" t="s">
        <v>1831</v>
      </c>
      <c r="E20080">
        <f>2/117</f>
        <v>1.7094017094017096E-2</v>
      </c>
      <c r="F20080">
        <v>28</v>
      </c>
      <c r="G20080">
        <f>LOG(382/(28+1))</f>
        <v>1.1196653650127526</v>
      </c>
      <c r="H20080">
        <f>0.017094017094017*2.5781247786201</f>
        <v>4.4070509036240775E-2</v>
      </c>
      <c r="I20080">
        <v>4.4070509036241053E-2</v>
      </c>
    </row>
    <row r="20081" spans="1:9" x14ac:dyDescent="0.25">
      <c r="A20081">
        <v>596</v>
      </c>
      <c r="B20081" t="s">
        <v>4779</v>
      </c>
      <c r="C20081" t="s">
        <v>10</v>
      </c>
      <c r="D20081" t="s">
        <v>1919</v>
      </c>
      <c r="E20081">
        <f>1/117</f>
        <v>8.5470085470085479E-3</v>
      </c>
      <c r="F20081">
        <v>18</v>
      </c>
      <c r="G20081">
        <f>LOG(382/(18+1))</f>
        <v>1.3033097619588798</v>
      </c>
      <c r="H20081">
        <f>0.00854700854700854*3.00098162944013</f>
        <v>2.5649415636240406E-2</v>
      </c>
      <c r="I20081">
        <v>2.5649415636240468E-2</v>
      </c>
    </row>
    <row r="20082" spans="1:9" x14ac:dyDescent="0.25">
      <c r="A20082">
        <v>596</v>
      </c>
      <c r="B20082" t="s">
        <v>4779</v>
      </c>
      <c r="C20082" t="s">
        <v>10</v>
      </c>
      <c r="D20082" t="s">
        <v>1918</v>
      </c>
      <c r="E20082">
        <f>1/117</f>
        <v>8.5470085470085479E-3</v>
      </c>
      <c r="F20082">
        <v>25</v>
      </c>
      <c r="G20082">
        <f>LOG(382/(25+1))</f>
        <v>1.1670900149408907</v>
      </c>
      <c r="H20082">
        <f>0.00854700854700854*2.68732407058509</f>
        <v>2.2968581799872545E-2</v>
      </c>
      <c r="I20082">
        <v>2.296858179987259E-2</v>
      </c>
    </row>
    <row r="20083" spans="1:9" x14ac:dyDescent="0.25">
      <c r="A20083">
        <v>596</v>
      </c>
      <c r="B20083" t="s">
        <v>4779</v>
      </c>
      <c r="C20083" t="s">
        <v>10</v>
      </c>
      <c r="D20083" t="s">
        <v>1920</v>
      </c>
      <c r="E20083">
        <f>1/117</f>
        <v>8.5470085470085479E-3</v>
      </c>
      <c r="F20083">
        <v>18</v>
      </c>
      <c r="G20083">
        <f>LOG(382/(18+1))</f>
        <v>1.3033097619588798</v>
      </c>
      <c r="H20083">
        <f>0.00854700854700854*3.00098162944013</f>
        <v>2.5649415636240406E-2</v>
      </c>
      <c r="I20083">
        <v>2.5649415636240468E-2</v>
      </c>
    </row>
    <row r="20084" spans="1:9" x14ac:dyDescent="0.25">
      <c r="A20084">
        <v>596</v>
      </c>
      <c r="B20084" t="s">
        <v>4779</v>
      </c>
      <c r="C20084" t="s">
        <v>10</v>
      </c>
      <c r="D20084" t="s">
        <v>197</v>
      </c>
      <c r="E20084">
        <f>1/117</f>
        <v>8.5470085470085479E-3</v>
      </c>
      <c r="F20084">
        <v>18</v>
      </c>
      <c r="G20084">
        <f>LOG(382/(18+1))</f>
        <v>1.3033097619588798</v>
      </c>
      <c r="H20084">
        <f>0.00854700854700854*3.00098162944013</f>
        <v>2.5649415636240406E-2</v>
      </c>
      <c r="I20084">
        <v>2.5649415636240468E-2</v>
      </c>
    </row>
    <row r="20085" spans="1:9" x14ac:dyDescent="0.25">
      <c r="A20085">
        <v>597</v>
      </c>
      <c r="B20085" t="s">
        <v>4784</v>
      </c>
      <c r="C20085" t="s">
        <v>10</v>
      </c>
      <c r="D20085" t="s">
        <v>11</v>
      </c>
      <c r="E20085">
        <f>7/94</f>
        <v>7.4468085106382975E-2</v>
      </c>
      <c r="F20085">
        <v>83</v>
      </c>
      <c r="G20085">
        <f>LOG(382/(83+1))</f>
        <v>0.65778407684982709</v>
      </c>
      <c r="H20085">
        <f>0.0744680851063829*1.51460380976326</f>
        <v>0.11278964540790222</v>
      </c>
      <c r="I20085">
        <v>0.1127896454079024</v>
      </c>
    </row>
    <row r="20086" spans="1:9" x14ac:dyDescent="0.25">
      <c r="A20086">
        <v>597</v>
      </c>
      <c r="B20086" t="s">
        <v>4784</v>
      </c>
      <c r="C20086" t="s">
        <v>10</v>
      </c>
      <c r="D20086" t="s">
        <v>12</v>
      </c>
      <c r="E20086">
        <f>6/94</f>
        <v>6.3829787234042548E-2</v>
      </c>
      <c r="F20086">
        <v>28</v>
      </c>
      <c r="G20086">
        <f>LOG(382/(28+1))</f>
        <v>1.1196653650127526</v>
      </c>
      <c r="H20086">
        <f>0.0638297872340425*2.5781247786201</f>
        <v>0.1645611560821339</v>
      </c>
      <c r="I20086">
        <v>0.16456115608213409</v>
      </c>
    </row>
    <row r="20087" spans="1:9" x14ac:dyDescent="0.25">
      <c r="A20087">
        <v>597</v>
      </c>
      <c r="B20087" t="s">
        <v>4784</v>
      </c>
      <c r="C20087" t="s">
        <v>10</v>
      </c>
      <c r="D20087" t="s">
        <v>4785</v>
      </c>
      <c r="E20087">
        <f>2/94</f>
        <v>2.1276595744680851E-2</v>
      </c>
      <c r="F20087">
        <v>1</v>
      </c>
      <c r="G20087">
        <f>LOG(382/(1+1))</f>
        <v>2.2810333672477277</v>
      </c>
      <c r="H20087">
        <f>0.0212765957446808*5.25227342804663</f>
        <v>0.11175049846907696</v>
      </c>
      <c r="I20087">
        <v>0.1117504984690772</v>
      </c>
    </row>
    <row r="20088" spans="1:9" x14ac:dyDescent="0.25">
      <c r="A20088">
        <v>597</v>
      </c>
      <c r="B20088" t="s">
        <v>4784</v>
      </c>
      <c r="C20088" t="s">
        <v>10</v>
      </c>
      <c r="D20088" t="s">
        <v>4786</v>
      </c>
      <c r="E20088">
        <f>2/94</f>
        <v>2.1276595744680851E-2</v>
      </c>
      <c r="F20088">
        <v>1</v>
      </c>
      <c r="G20088">
        <f>LOG(382/(1+1))</f>
        <v>2.2810333672477277</v>
      </c>
      <c r="H20088">
        <f>0.0212765957446808*5.25227342804663</f>
        <v>0.11175049846907696</v>
      </c>
      <c r="I20088">
        <v>0.1117504984690772</v>
      </c>
    </row>
    <row r="20089" spans="1:9" x14ac:dyDescent="0.25">
      <c r="A20089">
        <v>597</v>
      </c>
      <c r="B20089" t="s">
        <v>4784</v>
      </c>
      <c r="C20089" t="s">
        <v>10</v>
      </c>
      <c r="D20089" t="s">
        <v>42</v>
      </c>
      <c r="E20089">
        <f>2/94</f>
        <v>2.1276595744680851E-2</v>
      </c>
      <c r="F20089">
        <v>251</v>
      </c>
      <c r="G20089">
        <f>LOG(382/(251+1))</f>
        <v>0.18066282213016463</v>
      </c>
      <c r="H20089">
        <f>0.0212765957446808*0.415991521095151</f>
        <v>8.8508834275563813E-3</v>
      </c>
      <c r="I20089">
        <v>8.8508834275564229E-3</v>
      </c>
    </row>
    <row r="20090" spans="1:9" x14ac:dyDescent="0.25">
      <c r="A20090">
        <v>597</v>
      </c>
      <c r="B20090" t="s">
        <v>4784</v>
      </c>
      <c r="C20090" t="s">
        <v>10</v>
      </c>
      <c r="D20090" t="s">
        <v>15</v>
      </c>
      <c r="E20090">
        <f>1/94</f>
        <v>1.0638297872340425E-2</v>
      </c>
      <c r="F20090">
        <v>112</v>
      </c>
      <c r="G20090">
        <f>LOG(382/(112+1))</f>
        <v>0.52898491942828896</v>
      </c>
      <c r="H20090">
        <f>0.0106382978723404*1.21803278989423</f>
        <v>1.2957795637172628E-2</v>
      </c>
      <c r="I20090">
        <v>1.295779563717271E-2</v>
      </c>
    </row>
    <row r="20091" spans="1:9" x14ac:dyDescent="0.25">
      <c r="A20091">
        <v>597</v>
      </c>
      <c r="B20091" t="s">
        <v>4784</v>
      </c>
      <c r="C20091" t="s">
        <v>10</v>
      </c>
      <c r="D20091" t="s">
        <v>1507</v>
      </c>
      <c r="E20091">
        <f>2/94</f>
        <v>2.1276595744680851E-2</v>
      </c>
      <c r="F20091">
        <v>3</v>
      </c>
      <c r="G20091">
        <f>LOG(382/(3+1))</f>
        <v>1.9800033715837464</v>
      </c>
      <c r="H20091">
        <f>0.0212765957446808*4.55912624748668</f>
        <v>9.7002686116737638E-2</v>
      </c>
      <c r="I20091">
        <v>9.7002686116737971E-2</v>
      </c>
    </row>
    <row r="20092" spans="1:9" x14ac:dyDescent="0.25">
      <c r="A20092">
        <v>597</v>
      </c>
      <c r="B20092" t="s">
        <v>4784</v>
      </c>
      <c r="C20092" t="s">
        <v>10</v>
      </c>
      <c r="D20092" t="s">
        <v>17</v>
      </c>
      <c r="E20092">
        <f>1/94</f>
        <v>1.0638297872340425E-2</v>
      </c>
      <c r="F20092">
        <v>169</v>
      </c>
      <c r="G20092">
        <f>LOG(382/(169+1))</f>
        <v>0.3516144415334348</v>
      </c>
      <c r="H20092">
        <f>0.0106382978723404*0.809622171556313</f>
        <v>8.6130018250671382E-3</v>
      </c>
      <c r="I20092">
        <v>8.6130018250671642E-3</v>
      </c>
    </row>
    <row r="20093" spans="1:9" x14ac:dyDescent="0.25">
      <c r="A20093">
        <v>597</v>
      </c>
      <c r="B20093" t="s">
        <v>4784</v>
      </c>
      <c r="C20093" t="s">
        <v>10</v>
      </c>
      <c r="D20093" t="s">
        <v>19</v>
      </c>
      <c r="E20093">
        <f>1/94</f>
        <v>1.0638297872340425E-2</v>
      </c>
      <c r="F20093">
        <v>220</v>
      </c>
      <c r="G20093">
        <f>LOG(382/(220+1))</f>
        <v>0.23767108922659805</v>
      </c>
      <c r="H20093">
        <f>0.0106382978723404*0.547257907088822</f>
        <v>5.8218926286044753E-3</v>
      </c>
      <c r="I20093">
        <v>5.8218926286044926E-3</v>
      </c>
    </row>
    <row r="20094" spans="1:9" x14ac:dyDescent="0.25">
      <c r="A20094">
        <v>597</v>
      </c>
      <c r="B20094" t="s">
        <v>4784</v>
      </c>
      <c r="C20094" t="s">
        <v>10</v>
      </c>
      <c r="D20094" t="s">
        <v>370</v>
      </c>
      <c r="E20094">
        <f>1/94</f>
        <v>1.0638297872340425E-2</v>
      </c>
      <c r="F20094">
        <v>14</v>
      </c>
      <c r="G20094">
        <f>LOG(382/(14+1))</f>
        <v>1.4059721038560276</v>
      </c>
      <c r="H20094">
        <f>0.0106382978723404*3.23737040750436</f>
        <v>3.4440110718131405E-2</v>
      </c>
      <c r="I20094">
        <v>3.4440110718131543E-2</v>
      </c>
    </row>
    <row r="20095" spans="1:9" x14ac:dyDescent="0.25">
      <c r="A20095">
        <v>597</v>
      </c>
      <c r="B20095" t="s">
        <v>4784</v>
      </c>
      <c r="C20095" t="s">
        <v>10</v>
      </c>
      <c r="D20095" t="s">
        <v>22</v>
      </c>
      <c r="E20095">
        <f>1/94</f>
        <v>1.0638297872340425E-2</v>
      </c>
      <c r="F20095">
        <v>259</v>
      </c>
      <c r="G20095">
        <f>LOG(382/(259+1))</f>
        <v>0.16709001494089079</v>
      </c>
      <c r="H20095">
        <f>0.0106382978723404*0.384738977591047</f>
        <v>4.0929678467132562E-3</v>
      </c>
      <c r="I20095">
        <v>4.0929678467132719E-3</v>
      </c>
    </row>
    <row r="20096" spans="1:9" x14ac:dyDescent="0.25">
      <c r="A20096">
        <v>597</v>
      </c>
      <c r="B20096" t="s">
        <v>4784</v>
      </c>
      <c r="C20096" t="s">
        <v>10</v>
      </c>
      <c r="D20096" t="s">
        <v>23</v>
      </c>
      <c r="E20096">
        <f>1/94</f>
        <v>1.0638297872340425E-2</v>
      </c>
      <c r="F20096">
        <v>275</v>
      </c>
      <c r="G20096">
        <f>LOG(382/(275+1))</f>
        <v>0.14115428084649101</v>
      </c>
      <c r="H20096">
        <f>0.0106382978723404*0.325019742889425</f>
        <v>3.4576568392491935E-3</v>
      </c>
      <c r="I20096">
        <v>3.457656839249203E-3</v>
      </c>
    </row>
    <row r="20097" spans="1:9" x14ac:dyDescent="0.25">
      <c r="A20097">
        <v>597</v>
      </c>
      <c r="B20097" t="s">
        <v>4784</v>
      </c>
      <c r="C20097" t="s">
        <v>10</v>
      </c>
      <c r="D20097" t="s">
        <v>219</v>
      </c>
      <c r="E20097">
        <f>2/94</f>
        <v>2.1276595744680851E-2</v>
      </c>
      <c r="F20097">
        <v>19</v>
      </c>
      <c r="G20097">
        <f>LOG(382/(19+1))</f>
        <v>1.2810333672477277</v>
      </c>
      <c r="H20097">
        <f>0.0212765957446808*2.94968833505258</f>
        <v>6.2759326277714314E-2</v>
      </c>
      <c r="I20097">
        <v>6.2759326277714564E-2</v>
      </c>
    </row>
    <row r="20098" spans="1:9" x14ac:dyDescent="0.25">
      <c r="A20098">
        <v>597</v>
      </c>
      <c r="B20098" t="s">
        <v>4784</v>
      </c>
      <c r="C20098" t="s">
        <v>10</v>
      </c>
      <c r="D20098" t="s">
        <v>823</v>
      </c>
      <c r="E20098">
        <f>1/94</f>
        <v>1.0638297872340425E-2</v>
      </c>
      <c r="F20098">
        <v>45</v>
      </c>
      <c r="G20098">
        <f>LOG(382/(45+1))</f>
        <v>0.9193055312301347</v>
      </c>
      <c r="H20098">
        <f>0.0106382978723404*2.11677921211748</f>
        <v>2.2518927788483776E-2</v>
      </c>
      <c r="I20098">
        <v>2.2518927788483831E-2</v>
      </c>
    </row>
    <row r="20099" spans="1:9" x14ac:dyDescent="0.25">
      <c r="A20099">
        <v>597</v>
      </c>
      <c r="B20099" t="s">
        <v>4784</v>
      </c>
      <c r="C20099" t="s">
        <v>10</v>
      </c>
      <c r="D20099" t="s">
        <v>144</v>
      </c>
      <c r="E20099">
        <f>1/94</f>
        <v>1.0638297872340425E-2</v>
      </c>
      <c r="F20099">
        <v>105</v>
      </c>
      <c r="G20099">
        <f>LOG(382/(105+1))</f>
        <v>0.55675749764693849</v>
      </c>
      <c r="H20099">
        <f>0.0106382978723404*1.2819815144945</f>
        <v>1.3638101218026562E-2</v>
      </c>
      <c r="I20099">
        <v>1.363810121802668E-2</v>
      </c>
    </row>
    <row r="20100" spans="1:9" x14ac:dyDescent="0.25">
      <c r="A20100">
        <v>597</v>
      </c>
      <c r="B20100" t="s">
        <v>4784</v>
      </c>
      <c r="C20100" t="s">
        <v>10</v>
      </c>
      <c r="D20100" t="s">
        <v>65</v>
      </c>
      <c r="E20100">
        <f>2/94</f>
        <v>2.1276595744680851E-2</v>
      </c>
      <c r="F20100">
        <v>32</v>
      </c>
      <c r="G20100">
        <f>LOG(382/(32+1))</f>
        <v>1.0635494230338212</v>
      </c>
      <c r="H20100">
        <f>0.0212765957446808*2.44891304714009</f>
        <v>5.2104532917874133E-2</v>
      </c>
      <c r="I20100">
        <v>5.2104532917874362E-2</v>
      </c>
    </row>
    <row r="20101" spans="1:9" x14ac:dyDescent="0.25">
      <c r="A20101">
        <v>597</v>
      </c>
      <c r="B20101" t="s">
        <v>4784</v>
      </c>
      <c r="C20101" t="s">
        <v>10</v>
      </c>
      <c r="D20101" t="s">
        <v>600</v>
      </c>
      <c r="E20101">
        <f>3/94</f>
        <v>3.1914893617021274E-2</v>
      </c>
      <c r="F20101">
        <v>102</v>
      </c>
      <c r="G20101">
        <f>LOG(382/(102+1))</f>
        <v>0.56922613820653656</v>
      </c>
      <c r="H20101">
        <f>0.0319148936170212*1.31069162037693</f>
        <v>4.1830583629050858E-2</v>
      </c>
      <c r="I20101">
        <v>4.1830583629051253E-2</v>
      </c>
    </row>
    <row r="20102" spans="1:9" x14ac:dyDescent="0.25">
      <c r="A20102">
        <v>597</v>
      </c>
      <c r="B20102" t="s">
        <v>4784</v>
      </c>
      <c r="C20102" t="s">
        <v>10</v>
      </c>
      <c r="D20102" t="s">
        <v>1283</v>
      </c>
      <c r="E20102">
        <f>1/94</f>
        <v>1.0638297872340425E-2</v>
      </c>
      <c r="F20102">
        <v>8</v>
      </c>
      <c r="G20102">
        <f>LOG(382/(8+1))</f>
        <v>1.6278208534723839</v>
      </c>
      <c r="H20102">
        <f>0.0106382978723404*3.74819603127035</f>
        <v>3.9874425864578095E-2</v>
      </c>
      <c r="I20102">
        <v>3.9874425864578247E-2</v>
      </c>
    </row>
    <row r="20103" spans="1:9" x14ac:dyDescent="0.25">
      <c r="A20103">
        <v>597</v>
      </c>
      <c r="B20103" t="s">
        <v>4784</v>
      </c>
      <c r="C20103" t="s">
        <v>10</v>
      </c>
      <c r="D20103" t="s">
        <v>1492</v>
      </c>
      <c r="E20103">
        <f>1/94</f>
        <v>1.0638297872340425E-2</v>
      </c>
      <c r="F20103">
        <v>8</v>
      </c>
      <c r="G20103">
        <f>LOG(382/(8+1))</f>
        <v>1.6278208534723839</v>
      </c>
      <c r="H20103">
        <f>0.0106382978723404*3.74819603127035</f>
        <v>3.9874425864578095E-2</v>
      </c>
      <c r="I20103">
        <v>3.9874425864578247E-2</v>
      </c>
    </row>
    <row r="20104" spans="1:9" x14ac:dyDescent="0.25">
      <c r="A20104">
        <v>597</v>
      </c>
      <c r="B20104" t="s">
        <v>4784</v>
      </c>
      <c r="C20104" t="s">
        <v>10</v>
      </c>
      <c r="D20104" t="s">
        <v>4787</v>
      </c>
      <c r="E20104">
        <f>1/94</f>
        <v>1.0638297872340425E-2</v>
      </c>
      <c r="F20104">
        <v>1</v>
      </c>
      <c r="G20104">
        <f>LOG(382/(1+1))</f>
        <v>2.2810333672477277</v>
      </c>
      <c r="H20104">
        <f>0.0106382978723404*5.25227342804663</f>
        <v>5.5875249234538481E-2</v>
      </c>
      <c r="I20104">
        <v>5.5875249234538613E-2</v>
      </c>
    </row>
    <row r="20105" spans="1:9" x14ac:dyDescent="0.25">
      <c r="A20105">
        <v>597</v>
      </c>
      <c r="B20105" t="s">
        <v>4784</v>
      </c>
      <c r="C20105" t="s">
        <v>10</v>
      </c>
      <c r="D20105" t="s">
        <v>237</v>
      </c>
      <c r="E20105">
        <f>4/94</f>
        <v>4.2553191489361701E-2</v>
      </c>
      <c r="F20105">
        <v>138</v>
      </c>
      <c r="G20105">
        <f>LOG(382/(138+1))</f>
        <v>0.43904856265761361</v>
      </c>
      <c r="H20105">
        <f>0.0425531914893617*1.01094667547588</f>
        <v>4.3019007467058723E-2</v>
      </c>
      <c r="I20105">
        <v>4.3019007467058862E-2</v>
      </c>
    </row>
    <row r="20106" spans="1:9" x14ac:dyDescent="0.25">
      <c r="A20106">
        <v>597</v>
      </c>
      <c r="B20106" t="s">
        <v>4784</v>
      </c>
      <c r="C20106" t="s">
        <v>10</v>
      </c>
      <c r="D20106" t="s">
        <v>133</v>
      </c>
      <c r="E20106">
        <f>3/94</f>
        <v>3.1914893617021274E-2</v>
      </c>
      <c r="F20106">
        <v>142</v>
      </c>
      <c r="G20106">
        <f>LOG(382/(142+1))</f>
        <v>0.42672732544664693</v>
      </c>
      <c r="H20106">
        <f>0.0319148936170212*0.982575978346667</f>
        <v>3.1358807819574404E-2</v>
      </c>
      <c r="I20106">
        <v>3.1358807819574501E-2</v>
      </c>
    </row>
    <row r="20107" spans="1:9" x14ac:dyDescent="0.25">
      <c r="A20107">
        <v>597</v>
      </c>
      <c r="B20107" t="s">
        <v>4784</v>
      </c>
      <c r="C20107" t="s">
        <v>10</v>
      </c>
      <c r="D20107" t="s">
        <v>77</v>
      </c>
      <c r="E20107">
        <f>1/94</f>
        <v>1.0638297872340425E-2</v>
      </c>
      <c r="F20107">
        <v>148</v>
      </c>
      <c r="G20107">
        <f>LOG(382/(148+1))</f>
        <v>0.40887709449943471</v>
      </c>
      <c r="H20107">
        <f>0.0106382978723404*0.941474302661116</f>
        <v>1.0015684070862911E-2</v>
      </c>
      <c r="I20107">
        <v>1.0015684070862939E-2</v>
      </c>
    </row>
    <row r="20108" spans="1:9" x14ac:dyDescent="0.25">
      <c r="A20108">
        <v>597</v>
      </c>
      <c r="B20108" t="s">
        <v>4784</v>
      </c>
      <c r="C20108" t="s">
        <v>10</v>
      </c>
      <c r="D20108" t="s">
        <v>322</v>
      </c>
      <c r="E20108">
        <f>1/94</f>
        <v>1.0638297872340425E-2</v>
      </c>
      <c r="F20108">
        <v>128</v>
      </c>
      <c r="G20108">
        <f>LOG(382/(128+1))</f>
        <v>0.47147365261245977</v>
      </c>
      <c r="H20108">
        <f>0.0106382978723404*1.0856082042449</f>
        <v>1.1549023449413802E-2</v>
      </c>
      <c r="I20108">
        <v>1.1549023449413861E-2</v>
      </c>
    </row>
    <row r="20109" spans="1:9" x14ac:dyDescent="0.25">
      <c r="A20109">
        <v>597</v>
      </c>
      <c r="B20109" t="s">
        <v>4784</v>
      </c>
      <c r="C20109" t="s">
        <v>10</v>
      </c>
      <c r="D20109" t="s">
        <v>123</v>
      </c>
      <c r="E20109">
        <f>1/94</f>
        <v>1.0638297872340425E-2</v>
      </c>
      <c r="F20109">
        <v>74</v>
      </c>
      <c r="G20109">
        <f>LOG(382/(74+1))</f>
        <v>0.7070020995200087</v>
      </c>
      <c r="H20109">
        <f>0.0106382978723404*1.62793249507026</f>
        <v>1.7318430798619746E-2</v>
      </c>
      <c r="I20109">
        <v>1.731843079861984E-2</v>
      </c>
    </row>
    <row r="20110" spans="1:9" x14ac:dyDescent="0.25">
      <c r="A20110">
        <v>597</v>
      </c>
      <c r="B20110" t="s">
        <v>4784</v>
      </c>
      <c r="C20110" t="s">
        <v>10</v>
      </c>
      <c r="D20110" t="s">
        <v>339</v>
      </c>
      <c r="E20110">
        <f>1/94</f>
        <v>1.0638297872340425E-2</v>
      </c>
      <c r="F20110">
        <v>66</v>
      </c>
      <c r="G20110">
        <f>LOG(382/(66+1))</f>
        <v>0.75598856021088234</v>
      </c>
      <c r="H20110">
        <f>0.0106382978723404*1.7407279892156</f>
        <v>1.8518382863995698E-2</v>
      </c>
      <c r="I20110">
        <v>1.851838286399584E-2</v>
      </c>
    </row>
    <row r="20111" spans="1:9" x14ac:dyDescent="0.25">
      <c r="A20111">
        <v>597</v>
      </c>
      <c r="B20111" t="s">
        <v>4784</v>
      </c>
      <c r="C20111" t="s">
        <v>10</v>
      </c>
      <c r="D20111" t="s">
        <v>340</v>
      </c>
      <c r="E20111">
        <f>2/94</f>
        <v>2.1276595744680851E-2</v>
      </c>
      <c r="F20111">
        <v>28</v>
      </c>
      <c r="G20111">
        <f>LOG(382/(28+1))</f>
        <v>1.1196653650127526</v>
      </c>
      <c r="H20111">
        <f>0.0212765957446808*2.5781247786201</f>
        <v>5.485371869404454E-2</v>
      </c>
      <c r="I20111">
        <v>5.4853718694044713E-2</v>
      </c>
    </row>
    <row r="20112" spans="1:9" x14ac:dyDescent="0.25">
      <c r="A20112">
        <v>597</v>
      </c>
      <c r="B20112" t="s">
        <v>4784</v>
      </c>
      <c r="C20112" t="s">
        <v>10</v>
      </c>
      <c r="D20112" t="s">
        <v>4788</v>
      </c>
      <c r="E20112">
        <f>1/94</f>
        <v>1.0638297872340425E-2</v>
      </c>
      <c r="F20112">
        <v>1</v>
      </c>
      <c r="G20112">
        <f>LOG(382/(1+1))</f>
        <v>2.2810333672477277</v>
      </c>
      <c r="H20112">
        <f>0.0106382978723404*5.25227342804663</f>
        <v>5.5875249234538481E-2</v>
      </c>
      <c r="I20112">
        <v>5.5875249234538613E-2</v>
      </c>
    </row>
    <row r="20113" spans="1:9" x14ac:dyDescent="0.25">
      <c r="A20113">
        <v>597</v>
      </c>
      <c r="B20113" t="s">
        <v>4784</v>
      </c>
      <c r="C20113" t="s">
        <v>10</v>
      </c>
      <c r="D20113" t="s">
        <v>76</v>
      </c>
      <c r="E20113">
        <f>1/94</f>
        <v>1.0638297872340425E-2</v>
      </c>
      <c r="F20113">
        <v>140</v>
      </c>
      <c r="G20113">
        <f>LOG(382/(140+1))</f>
        <v>0.43284425025632883</v>
      </c>
      <c r="H20113">
        <f>0.0106382978723404*0.996660718228407</f>
        <v>1.0602773598174516E-2</v>
      </c>
      <c r="I20113">
        <v>1.0602773598174541E-2</v>
      </c>
    </row>
    <row r="20114" spans="1:9" x14ac:dyDescent="0.25">
      <c r="A20114">
        <v>597</v>
      </c>
      <c r="B20114" t="s">
        <v>4784</v>
      </c>
      <c r="C20114" t="s">
        <v>10</v>
      </c>
      <c r="D20114" t="s">
        <v>132</v>
      </c>
      <c r="E20114">
        <f>1/94</f>
        <v>1.0638297872340425E-2</v>
      </c>
      <c r="F20114">
        <v>8</v>
      </c>
      <c r="G20114">
        <f>LOG(382/(8+1))</f>
        <v>1.6278208534723839</v>
      </c>
      <c r="H20114">
        <f>0.0106382978723404*3.74819603127035</f>
        <v>3.9874425864578095E-2</v>
      </c>
      <c r="I20114">
        <v>3.9874425864578247E-2</v>
      </c>
    </row>
    <row r="20115" spans="1:9" x14ac:dyDescent="0.25">
      <c r="A20115">
        <v>597</v>
      </c>
      <c r="B20115" t="s">
        <v>4784</v>
      </c>
      <c r="C20115" t="s">
        <v>10</v>
      </c>
      <c r="D20115" t="s">
        <v>593</v>
      </c>
      <c r="E20115">
        <f>2/94</f>
        <v>2.1276595744680851E-2</v>
      </c>
      <c r="F20115">
        <v>30</v>
      </c>
      <c r="G20115">
        <f>LOG(382/(30+1))</f>
        <v>1.090701669077436</v>
      </c>
      <c r="H20115">
        <f>0.0212765957446808*2.51143340412142</f>
        <v>5.3434753279179022E-2</v>
      </c>
      <c r="I20115">
        <v>5.3434753279179341E-2</v>
      </c>
    </row>
    <row r="20116" spans="1:9" x14ac:dyDescent="0.25">
      <c r="A20116">
        <v>597</v>
      </c>
      <c r="B20116" t="s">
        <v>4784</v>
      </c>
      <c r="C20116" t="s">
        <v>10</v>
      </c>
      <c r="D20116" t="s">
        <v>594</v>
      </c>
      <c r="E20116">
        <f>2/94</f>
        <v>2.1276595744680851E-2</v>
      </c>
      <c r="F20116">
        <v>36</v>
      </c>
      <c r="G20116">
        <f>LOG(382/(36+1))</f>
        <v>1.0138616388447137</v>
      </c>
      <c r="H20116">
        <f>0.0212765957446808*2.33450269596235</f>
        <v>4.9670270126858387E-2</v>
      </c>
      <c r="I20116">
        <v>4.9670270126858533E-2</v>
      </c>
    </row>
    <row r="20117" spans="1:9" x14ac:dyDescent="0.25">
      <c r="A20117">
        <v>597</v>
      </c>
      <c r="B20117" t="s">
        <v>4784</v>
      </c>
      <c r="C20117" t="s">
        <v>10</v>
      </c>
      <c r="D20117" t="s">
        <v>324</v>
      </c>
      <c r="E20117">
        <f t="shared" ref="E20117:E20122" si="956">1/94</f>
        <v>1.0638297872340425E-2</v>
      </c>
      <c r="F20117">
        <v>82</v>
      </c>
      <c r="G20117">
        <f>LOG(382/(82+1))</f>
        <v>0.66298527053563483</v>
      </c>
      <c r="H20117">
        <f>0.0106382978723404*1.52658000080997</f>
        <v>1.6240212774574107E-2</v>
      </c>
      <c r="I20117">
        <v>1.6240212774574221E-2</v>
      </c>
    </row>
    <row r="20118" spans="1:9" x14ac:dyDescent="0.25">
      <c r="A20118">
        <v>597</v>
      </c>
      <c r="B20118" t="s">
        <v>4784</v>
      </c>
      <c r="C20118" t="s">
        <v>10</v>
      </c>
      <c r="D20118" t="s">
        <v>81</v>
      </c>
      <c r="E20118">
        <f t="shared" si="956"/>
        <v>1.0638297872340425E-2</v>
      </c>
      <c r="F20118">
        <v>114</v>
      </c>
      <c r="G20118">
        <f>LOG(382/(114+1))</f>
        <v>0.52136552255809698</v>
      </c>
      <c r="H20118">
        <f>0.0106382978723404*1.20048848024332</f>
        <v>1.277115404514167E-2</v>
      </c>
      <c r="I20118">
        <v>1.277115404514176E-2</v>
      </c>
    </row>
    <row r="20119" spans="1:9" x14ac:dyDescent="0.25">
      <c r="A20119">
        <v>597</v>
      </c>
      <c r="B20119" t="s">
        <v>4784</v>
      </c>
      <c r="C20119" t="s">
        <v>10</v>
      </c>
      <c r="D20119" t="s">
        <v>216</v>
      </c>
      <c r="E20119">
        <f t="shared" si="956"/>
        <v>1.0638297872340425E-2</v>
      </c>
      <c r="F20119">
        <v>63</v>
      </c>
      <c r="G20119">
        <f>LOG(382/(63+1))</f>
        <v>0.7758833889278216</v>
      </c>
      <c r="H20119">
        <f>0.0106382978723404*1.7865375252469</f>
        <v>1.900571835369038E-2</v>
      </c>
      <c r="I20119">
        <v>1.900571835369046E-2</v>
      </c>
    </row>
    <row r="20120" spans="1:9" x14ac:dyDescent="0.25">
      <c r="A20120">
        <v>597</v>
      </c>
      <c r="B20120" t="s">
        <v>4784</v>
      </c>
      <c r="C20120" t="s">
        <v>10</v>
      </c>
      <c r="D20120" t="s">
        <v>764</v>
      </c>
      <c r="E20120">
        <f t="shared" si="956"/>
        <v>1.0638297872340425E-2</v>
      </c>
      <c r="F20120">
        <v>57</v>
      </c>
      <c r="G20120">
        <f>LOG(382/(57+1))</f>
        <v>0.81863536934877146</v>
      </c>
      <c r="H20120">
        <f>0.0106382978723404*1.88497759806015</f>
        <v>2.0052953170852608E-2</v>
      </c>
      <c r="I20120">
        <v>2.0052953170852719E-2</v>
      </c>
    </row>
    <row r="20121" spans="1:9" x14ac:dyDescent="0.25">
      <c r="A20121">
        <v>597</v>
      </c>
      <c r="B20121" t="s">
        <v>4784</v>
      </c>
      <c r="C20121" t="s">
        <v>10</v>
      </c>
      <c r="D20121" t="s">
        <v>1303</v>
      </c>
      <c r="E20121">
        <f t="shared" si="956"/>
        <v>1.0638297872340425E-2</v>
      </c>
      <c r="F20121">
        <v>17</v>
      </c>
      <c r="G20121">
        <f>LOG(382/(17+1))</f>
        <v>1.3267908578084027</v>
      </c>
      <c r="H20121">
        <f>0.0106382978723404*3.05504885071041</f>
        <v>3.2500519688408537E-2</v>
      </c>
      <c r="I20121">
        <v>3.250051968840862E-2</v>
      </c>
    </row>
    <row r="20122" spans="1:9" x14ac:dyDescent="0.25">
      <c r="A20122">
        <v>597</v>
      </c>
      <c r="B20122" t="s">
        <v>4784</v>
      </c>
      <c r="C20122" t="s">
        <v>10</v>
      </c>
      <c r="D20122" t="s">
        <v>1012</v>
      </c>
      <c r="E20122">
        <f t="shared" si="956"/>
        <v>1.0638297872340425E-2</v>
      </c>
      <c r="F20122">
        <v>17</v>
      </c>
      <c r="G20122">
        <f>LOG(382/(17+1))</f>
        <v>1.3267908578084027</v>
      </c>
      <c r="H20122">
        <f>0.0106382978723404*3.05504885071041</f>
        <v>3.2500519688408537E-2</v>
      </c>
      <c r="I20122">
        <v>3.250051968840862E-2</v>
      </c>
    </row>
    <row r="20123" spans="1:9" x14ac:dyDescent="0.25">
      <c r="A20123">
        <v>597</v>
      </c>
      <c r="B20123" t="s">
        <v>4784</v>
      </c>
      <c r="C20123" t="s">
        <v>10</v>
      </c>
      <c r="D20123" t="s">
        <v>1876</v>
      </c>
      <c r="E20123">
        <f>2/94</f>
        <v>2.1276595744680851E-2</v>
      </c>
      <c r="F20123">
        <v>4</v>
      </c>
      <c r="G20123">
        <f>LOG(382/(4+1))</f>
        <v>1.8830933585756899</v>
      </c>
      <c r="H20123">
        <f>0.0212765957446808*4.33598269617247</f>
        <v>9.2254950982392753E-2</v>
      </c>
      <c r="I20123">
        <v>9.2254950982393072E-2</v>
      </c>
    </row>
    <row r="20124" spans="1:9" x14ac:dyDescent="0.25">
      <c r="A20124">
        <v>597</v>
      </c>
      <c r="B20124" t="s">
        <v>4784</v>
      </c>
      <c r="C20124" t="s">
        <v>10</v>
      </c>
      <c r="D20124" t="s">
        <v>1953</v>
      </c>
      <c r="E20124">
        <f t="shared" ref="E20124:E20129" si="957">1/94</f>
        <v>1.0638297872340425E-2</v>
      </c>
      <c r="F20124">
        <v>11</v>
      </c>
      <c r="G20124">
        <f>LOG(382/(11+1))</f>
        <v>1.5028821168640838</v>
      </c>
      <c r="H20124">
        <f>0.0106382978723404*3.46051395881857</f>
        <v>3.6813978285303847E-2</v>
      </c>
      <c r="I20124">
        <v>3.6813978285303993E-2</v>
      </c>
    </row>
    <row r="20125" spans="1:9" x14ac:dyDescent="0.25">
      <c r="A20125">
        <v>597</v>
      </c>
      <c r="B20125" t="s">
        <v>4784</v>
      </c>
      <c r="C20125" t="s">
        <v>10</v>
      </c>
      <c r="D20125" t="s">
        <v>1289</v>
      </c>
      <c r="E20125">
        <f t="shared" si="957"/>
        <v>1.0638297872340425E-2</v>
      </c>
      <c r="F20125">
        <v>8</v>
      </c>
      <c r="G20125">
        <f>LOG(382/(8+1))</f>
        <v>1.6278208534723839</v>
      </c>
      <c r="H20125">
        <f>0.0106382978723404*3.74819603127035</f>
        <v>3.9874425864578095E-2</v>
      </c>
      <c r="I20125">
        <v>3.9874425864578247E-2</v>
      </c>
    </row>
    <row r="20126" spans="1:9" x14ac:dyDescent="0.25">
      <c r="A20126">
        <v>597</v>
      </c>
      <c r="B20126" t="s">
        <v>4784</v>
      </c>
      <c r="C20126" t="s">
        <v>10</v>
      </c>
      <c r="D20126" t="s">
        <v>78</v>
      </c>
      <c r="E20126">
        <f t="shared" si="957"/>
        <v>1.0638297872340425E-2</v>
      </c>
      <c r="F20126">
        <v>122</v>
      </c>
      <c r="G20126">
        <f>LOG(382/(122+1))</f>
        <v>0.49215825147231079</v>
      </c>
      <c r="H20126">
        <f>0.0106382978723404*1.13323625323415</f>
        <v>1.2055704821639864E-2</v>
      </c>
      <c r="I20126">
        <v>1.205570482163997E-2</v>
      </c>
    </row>
    <row r="20127" spans="1:9" x14ac:dyDescent="0.25">
      <c r="A20127">
        <v>597</v>
      </c>
      <c r="B20127" t="s">
        <v>4784</v>
      </c>
      <c r="C20127" t="s">
        <v>10</v>
      </c>
      <c r="D20127" t="s">
        <v>25</v>
      </c>
      <c r="E20127">
        <f t="shared" si="957"/>
        <v>1.0638297872340425E-2</v>
      </c>
      <c r="F20127">
        <v>106</v>
      </c>
      <c r="G20127">
        <f>LOG(382/(106+1))</f>
        <v>0.55267958522649907</v>
      </c>
      <c r="H20127">
        <f>0.0106382978723404*1.27259177414466</f>
        <v>1.3538210363241029E-2</v>
      </c>
      <c r="I20127">
        <v>1.353821036324116E-2</v>
      </c>
    </row>
    <row r="20128" spans="1:9" x14ac:dyDescent="0.25">
      <c r="A20128">
        <v>597</v>
      </c>
      <c r="B20128" t="s">
        <v>4784</v>
      </c>
      <c r="C20128" t="s">
        <v>10</v>
      </c>
      <c r="D20128" t="s">
        <v>4789</v>
      </c>
      <c r="E20128">
        <f t="shared" si="957"/>
        <v>1.0638297872340425E-2</v>
      </c>
      <c r="F20128">
        <v>1</v>
      </c>
      <c r="G20128">
        <f>LOG(382/(1+1))</f>
        <v>2.2810333672477277</v>
      </c>
      <c r="H20128">
        <f>0.0106382978723404*5.25227342804663</f>
        <v>5.5875249234538481E-2</v>
      </c>
      <c r="I20128">
        <v>5.5875249234538613E-2</v>
      </c>
    </row>
    <row r="20129" spans="1:9" x14ac:dyDescent="0.25">
      <c r="A20129">
        <v>597</v>
      </c>
      <c r="B20129" t="s">
        <v>4784</v>
      </c>
      <c r="C20129" t="s">
        <v>10</v>
      </c>
      <c r="D20129" t="s">
        <v>363</v>
      </c>
      <c r="E20129">
        <f t="shared" si="957"/>
        <v>1.0638297872340425E-2</v>
      </c>
      <c r="F20129">
        <v>36</v>
      </c>
      <c r="G20129">
        <f>LOG(382/(36+1))</f>
        <v>1.0138616388447137</v>
      </c>
      <c r="H20129">
        <f>0.0106382978723404*2.33450269596235</f>
        <v>2.4835135063429194E-2</v>
      </c>
      <c r="I20129">
        <v>2.483513506342926E-2</v>
      </c>
    </row>
    <row r="20130" spans="1:9" x14ac:dyDescent="0.25">
      <c r="A20130">
        <v>597</v>
      </c>
      <c r="B20130" t="s">
        <v>4784</v>
      </c>
      <c r="C20130" t="s">
        <v>10</v>
      </c>
      <c r="D20130" t="s">
        <v>449</v>
      </c>
      <c r="E20130">
        <f>2/94</f>
        <v>2.1276595744680851E-2</v>
      </c>
      <c r="F20130">
        <v>9</v>
      </c>
      <c r="G20130">
        <f>LOG(382/(9+1))</f>
        <v>1.5820633629117087</v>
      </c>
      <c r="H20130">
        <f>0.0212765957446808*3.64283551561252</f>
        <v>7.7507138630053429E-2</v>
      </c>
      <c r="I20130">
        <v>7.7507138630053818E-2</v>
      </c>
    </row>
    <row r="20131" spans="1:9" x14ac:dyDescent="0.25">
      <c r="A20131">
        <v>597</v>
      </c>
      <c r="B20131" t="s">
        <v>4784</v>
      </c>
      <c r="C20131" t="s">
        <v>10</v>
      </c>
      <c r="D20131" t="s">
        <v>151</v>
      </c>
      <c r="E20131">
        <f>3/94</f>
        <v>3.1914893617021274E-2</v>
      </c>
      <c r="F20131">
        <v>14</v>
      </c>
      <c r="G20131">
        <f>LOG(382/(14+1))</f>
        <v>1.4059721038560276</v>
      </c>
      <c r="H20131">
        <f>0.0319148936170212*3.23737040750436</f>
        <v>0.10332033215439421</v>
      </c>
      <c r="I20131">
        <v>0.1033203321543946</v>
      </c>
    </row>
    <row r="20132" spans="1:9" x14ac:dyDescent="0.25">
      <c r="A20132">
        <v>597</v>
      </c>
      <c r="B20132" t="s">
        <v>4784</v>
      </c>
      <c r="C20132" t="s">
        <v>10</v>
      </c>
      <c r="D20132" t="s">
        <v>174</v>
      </c>
      <c r="E20132">
        <f>2/94</f>
        <v>2.1276595744680851E-2</v>
      </c>
      <c r="F20132">
        <v>5</v>
      </c>
      <c r="G20132">
        <f>LOG(382/(5+1))</f>
        <v>1.803912112528065</v>
      </c>
      <c r="H20132">
        <f>0.0212765957446808*4.15366113937852</f>
        <v>8.8375768922947018E-2</v>
      </c>
      <c r="I20132">
        <v>8.8375768922947226E-2</v>
      </c>
    </row>
    <row r="20133" spans="1:9" x14ac:dyDescent="0.25">
      <c r="A20133">
        <v>597</v>
      </c>
      <c r="B20133" t="s">
        <v>4784</v>
      </c>
      <c r="C20133" t="s">
        <v>10</v>
      </c>
      <c r="D20133" t="s">
        <v>3857</v>
      </c>
      <c r="E20133">
        <f>1/94</f>
        <v>1.0638297872340425E-2</v>
      </c>
      <c r="F20133">
        <v>3</v>
      </c>
      <c r="G20133">
        <f>LOG(382/(3+1))</f>
        <v>1.9800033715837464</v>
      </c>
      <c r="H20133">
        <f>0.0106382978723404*4.55912624748668</f>
        <v>4.8501343058368819E-2</v>
      </c>
      <c r="I20133">
        <v>4.8501343058368993E-2</v>
      </c>
    </row>
    <row r="20134" spans="1:9" x14ac:dyDescent="0.25">
      <c r="A20134">
        <v>597</v>
      </c>
      <c r="B20134" t="s">
        <v>4784</v>
      </c>
      <c r="C20134" t="s">
        <v>10</v>
      </c>
      <c r="D20134" t="s">
        <v>1447</v>
      </c>
      <c r="E20134">
        <f>2/94</f>
        <v>2.1276595744680851E-2</v>
      </c>
      <c r="F20134">
        <v>6</v>
      </c>
      <c r="G20134">
        <f>LOG(382/(6+1))</f>
        <v>1.736965322897452</v>
      </c>
      <c r="H20134">
        <f>0.0212765957446808*3.99951045955126</f>
        <v>8.5095967224494681E-2</v>
      </c>
      <c r="I20134">
        <v>8.5095967224494931E-2</v>
      </c>
    </row>
    <row r="20135" spans="1:9" x14ac:dyDescent="0.25">
      <c r="A20135">
        <v>597</v>
      </c>
      <c r="B20135" t="s">
        <v>4784</v>
      </c>
      <c r="C20135" t="s">
        <v>10</v>
      </c>
      <c r="D20135" t="s">
        <v>187</v>
      </c>
      <c r="E20135">
        <f t="shared" ref="E20135:E20145" si="958">1/94</f>
        <v>1.0638297872340425E-2</v>
      </c>
      <c r="F20135">
        <v>21</v>
      </c>
      <c r="G20135">
        <f>LOG(382/(21+1))</f>
        <v>1.2396406820895025</v>
      </c>
      <c r="H20135">
        <f>0.0106382978723404*2.85437815524825</f>
        <v>3.036572505583237E-2</v>
      </c>
      <c r="I20135">
        <v>3.036572505583254E-2</v>
      </c>
    </row>
    <row r="20136" spans="1:9" x14ac:dyDescent="0.25">
      <c r="A20136">
        <v>597</v>
      </c>
      <c r="B20136" t="s">
        <v>4784</v>
      </c>
      <c r="C20136" t="s">
        <v>10</v>
      </c>
      <c r="D20136" t="s">
        <v>1587</v>
      </c>
      <c r="E20136">
        <f t="shared" si="958"/>
        <v>1.0638297872340425E-2</v>
      </c>
      <c r="F20136">
        <v>2</v>
      </c>
      <c r="G20136">
        <f>LOG(382/(2+1))</f>
        <v>2.1049421081920463</v>
      </c>
      <c r="H20136">
        <f>0.0106382978723404*4.84680831993846</f>
        <v>5.1561790637643067E-2</v>
      </c>
      <c r="I20136">
        <v>5.1561790637643247E-2</v>
      </c>
    </row>
    <row r="20137" spans="1:9" x14ac:dyDescent="0.25">
      <c r="A20137">
        <v>597</v>
      </c>
      <c r="B20137" t="s">
        <v>4784</v>
      </c>
      <c r="C20137" t="s">
        <v>10</v>
      </c>
      <c r="D20137" t="s">
        <v>705</v>
      </c>
      <c r="E20137">
        <f t="shared" si="958"/>
        <v>1.0638297872340425E-2</v>
      </c>
      <c r="F20137">
        <v>8</v>
      </c>
      <c r="G20137">
        <f>LOG(382/(8+1))</f>
        <v>1.6278208534723839</v>
      </c>
      <c r="H20137">
        <f>0.0106382978723404*3.74819603127035</f>
        <v>3.9874425864578095E-2</v>
      </c>
      <c r="I20137">
        <v>3.9874425864578247E-2</v>
      </c>
    </row>
    <row r="20138" spans="1:9" x14ac:dyDescent="0.25">
      <c r="A20138">
        <v>597</v>
      </c>
      <c r="B20138" t="s">
        <v>4784</v>
      </c>
      <c r="C20138" t="s">
        <v>10</v>
      </c>
      <c r="D20138" t="s">
        <v>680</v>
      </c>
      <c r="E20138">
        <f t="shared" si="958"/>
        <v>1.0638297872340425E-2</v>
      </c>
      <c r="F20138">
        <v>25</v>
      </c>
      <c r="G20138">
        <f>LOG(382/(25+1))</f>
        <v>1.1670900149408907</v>
      </c>
      <c r="H20138">
        <f>0.0106382978723404*2.68732407058509</f>
        <v>2.8588553942394505E-2</v>
      </c>
      <c r="I20138">
        <v>2.8588553942394609E-2</v>
      </c>
    </row>
    <row r="20139" spans="1:9" x14ac:dyDescent="0.25">
      <c r="A20139">
        <v>597</v>
      </c>
      <c r="B20139" t="s">
        <v>4784</v>
      </c>
      <c r="C20139" t="s">
        <v>10</v>
      </c>
      <c r="D20139" t="s">
        <v>388</v>
      </c>
      <c r="E20139">
        <f t="shared" si="958"/>
        <v>1.0638297872340425E-2</v>
      </c>
      <c r="F20139">
        <v>44</v>
      </c>
      <c r="G20139">
        <f>LOG(382/(44+1))</f>
        <v>0.92885084913636506</v>
      </c>
      <c r="H20139">
        <f>0.0106382978723404*2.13875811883625</f>
        <v>2.2752745945066433E-2</v>
      </c>
      <c r="I20139">
        <v>2.275274594506654E-2</v>
      </c>
    </row>
    <row r="20140" spans="1:9" x14ac:dyDescent="0.25">
      <c r="A20140">
        <v>597</v>
      </c>
      <c r="B20140" t="s">
        <v>4784</v>
      </c>
      <c r="C20140" t="s">
        <v>10</v>
      </c>
      <c r="D20140" t="s">
        <v>4790</v>
      </c>
      <c r="E20140">
        <f t="shared" si="958"/>
        <v>1.0638297872340425E-2</v>
      </c>
      <c r="F20140">
        <v>1</v>
      </c>
      <c r="G20140">
        <f>LOG(382/(1+1))</f>
        <v>2.2810333672477277</v>
      </c>
      <c r="H20140">
        <f>0.0106382978723404*5.25227342804663</f>
        <v>5.5875249234538481E-2</v>
      </c>
      <c r="I20140">
        <v>5.5875249234538613E-2</v>
      </c>
    </row>
    <row r="20141" spans="1:9" x14ac:dyDescent="0.25">
      <c r="A20141">
        <v>597</v>
      </c>
      <c r="B20141" t="s">
        <v>4784</v>
      </c>
      <c r="C20141" t="s">
        <v>10</v>
      </c>
      <c r="D20141" t="s">
        <v>1396</v>
      </c>
      <c r="E20141">
        <f t="shared" si="958"/>
        <v>1.0638297872340425E-2</v>
      </c>
      <c r="F20141">
        <v>18</v>
      </c>
      <c r="G20141">
        <f>LOG(382/(18+1))</f>
        <v>1.3033097619588798</v>
      </c>
      <c r="H20141">
        <f>0.0106382978723404*3.00098162944013</f>
        <v>3.1925336483405564E-2</v>
      </c>
      <c r="I20141">
        <v>3.1925336483405689E-2</v>
      </c>
    </row>
    <row r="20142" spans="1:9" x14ac:dyDescent="0.25">
      <c r="A20142">
        <v>597</v>
      </c>
      <c r="B20142" t="s">
        <v>4784</v>
      </c>
      <c r="C20142" t="s">
        <v>10</v>
      </c>
      <c r="D20142" t="s">
        <v>4791</v>
      </c>
      <c r="E20142">
        <f t="shared" si="958"/>
        <v>1.0638297872340425E-2</v>
      </c>
      <c r="F20142">
        <v>1</v>
      </c>
      <c r="G20142">
        <f>LOG(382/(1+1))</f>
        <v>2.2810333672477277</v>
      </c>
      <c r="H20142">
        <f>0.0106382978723404*5.25227342804663</f>
        <v>5.5875249234538481E-2</v>
      </c>
      <c r="I20142">
        <v>5.5875249234538613E-2</v>
      </c>
    </row>
    <row r="20143" spans="1:9" x14ac:dyDescent="0.25">
      <c r="A20143">
        <v>597</v>
      </c>
      <c r="B20143" t="s">
        <v>4784</v>
      </c>
      <c r="C20143" t="s">
        <v>10</v>
      </c>
      <c r="D20143" t="s">
        <v>1328</v>
      </c>
      <c r="E20143">
        <f t="shared" si="958"/>
        <v>1.0638297872340425E-2</v>
      </c>
      <c r="F20143">
        <v>22</v>
      </c>
      <c r="G20143">
        <f>LOG(382/(22+1))</f>
        <v>1.2203355268941158</v>
      </c>
      <c r="H20143">
        <f>0.0106382978723404*2.80992639267742</f>
        <v>2.989283396465333E-2</v>
      </c>
      <c r="I20143">
        <v>2.9892833964653458E-2</v>
      </c>
    </row>
    <row r="20144" spans="1:9" x14ac:dyDescent="0.25">
      <c r="A20144">
        <v>597</v>
      </c>
      <c r="B20144" t="s">
        <v>4784</v>
      </c>
      <c r="C20144" t="s">
        <v>10</v>
      </c>
      <c r="D20144" t="s">
        <v>730</v>
      </c>
      <c r="E20144">
        <f t="shared" si="958"/>
        <v>1.0638297872340425E-2</v>
      </c>
      <c r="F20144">
        <v>11</v>
      </c>
      <c r="G20144">
        <f>LOG(382/(11+1))</f>
        <v>1.5028821168640838</v>
      </c>
      <c r="H20144">
        <f>0.0106382978723404*3.46051395881857</f>
        <v>3.6813978285303847E-2</v>
      </c>
      <c r="I20144">
        <v>3.6813978285303993E-2</v>
      </c>
    </row>
    <row r="20145" spans="1:9" x14ac:dyDescent="0.25">
      <c r="A20145">
        <v>597</v>
      </c>
      <c r="B20145" t="s">
        <v>4784</v>
      </c>
      <c r="C20145" t="s">
        <v>10</v>
      </c>
      <c r="D20145" t="s">
        <v>1374</v>
      </c>
      <c r="E20145">
        <f t="shared" si="958"/>
        <v>1.0638297872340425E-2</v>
      </c>
      <c r="F20145">
        <v>9</v>
      </c>
      <c r="G20145">
        <f>LOG(382/(9+1))</f>
        <v>1.5820633629117087</v>
      </c>
      <c r="H20145">
        <f>0.0106382978723404*3.64283551561252</f>
        <v>3.8753569315026715E-2</v>
      </c>
      <c r="I20145">
        <v>3.8753569315026909E-2</v>
      </c>
    </row>
    <row r="20146" spans="1:9" x14ac:dyDescent="0.25">
      <c r="A20146">
        <v>598</v>
      </c>
      <c r="B20146" t="s">
        <v>4792</v>
      </c>
      <c r="C20146" t="s">
        <v>10</v>
      </c>
      <c r="D20146" t="s">
        <v>36</v>
      </c>
      <c r="E20146">
        <f t="shared" ref="E20146:E20170" si="959">1/25</f>
        <v>0.04</v>
      </c>
      <c r="F20146">
        <v>58</v>
      </c>
      <c r="G20146">
        <f>LOG(382/(58+1))</f>
        <v>0.81121135126956456</v>
      </c>
      <c r="H20146">
        <f>0.04*1.86788316470085</f>
        <v>7.4715326588034009E-2</v>
      </c>
      <c r="I20146">
        <v>7.4715326588034231E-2</v>
      </c>
    </row>
    <row r="20147" spans="1:9" x14ac:dyDescent="0.25">
      <c r="A20147">
        <v>598</v>
      </c>
      <c r="B20147" t="s">
        <v>4792</v>
      </c>
      <c r="C20147" t="s">
        <v>10</v>
      </c>
      <c r="D20147" t="s">
        <v>4793</v>
      </c>
      <c r="E20147">
        <f t="shared" si="959"/>
        <v>0.04</v>
      </c>
      <c r="F20147">
        <v>1</v>
      </c>
      <c r="G20147">
        <f>LOG(382/(1+1))</f>
        <v>2.2810333672477277</v>
      </c>
      <c r="H20147">
        <f>0.04*5.25227342804663</f>
        <v>0.21009093712186519</v>
      </c>
      <c r="I20147">
        <v>0.21009093712186519</v>
      </c>
    </row>
    <row r="20148" spans="1:9" x14ac:dyDescent="0.25">
      <c r="A20148">
        <v>598</v>
      </c>
      <c r="B20148" t="s">
        <v>4792</v>
      </c>
      <c r="C20148" t="s">
        <v>10</v>
      </c>
      <c r="D20148" t="s">
        <v>42</v>
      </c>
      <c r="E20148">
        <f t="shared" si="959"/>
        <v>0.04</v>
      </c>
      <c r="F20148">
        <v>251</v>
      </c>
      <c r="G20148">
        <f>LOG(382/(251+1))</f>
        <v>0.18066282213016463</v>
      </c>
      <c r="H20148">
        <f>0.04*0.415991521095151</f>
        <v>1.6639660843806039E-2</v>
      </c>
      <c r="I20148">
        <v>1.6639660843806071E-2</v>
      </c>
    </row>
    <row r="20149" spans="1:9" x14ac:dyDescent="0.25">
      <c r="A20149">
        <v>598</v>
      </c>
      <c r="B20149" t="s">
        <v>4792</v>
      </c>
      <c r="C20149" t="s">
        <v>10</v>
      </c>
      <c r="D20149" t="s">
        <v>15</v>
      </c>
      <c r="E20149">
        <f t="shared" si="959"/>
        <v>0.04</v>
      </c>
      <c r="F20149">
        <v>112</v>
      </c>
      <c r="G20149">
        <f>LOG(382/(112+1))</f>
        <v>0.52898491942828896</v>
      </c>
      <c r="H20149">
        <f>0.04*1.21803278989423</f>
        <v>4.8721311595769201E-2</v>
      </c>
      <c r="I20149">
        <v>4.8721311595769388E-2</v>
      </c>
    </row>
    <row r="20150" spans="1:9" x14ac:dyDescent="0.25">
      <c r="A20150">
        <v>598</v>
      </c>
      <c r="B20150" t="s">
        <v>4792</v>
      </c>
      <c r="C20150" t="s">
        <v>10</v>
      </c>
      <c r="D20150" t="s">
        <v>368</v>
      </c>
      <c r="E20150">
        <f t="shared" si="959"/>
        <v>0.04</v>
      </c>
      <c r="F20150">
        <v>17</v>
      </c>
      <c r="G20150">
        <f>LOG(382/(17+1))</f>
        <v>1.3267908578084027</v>
      </c>
      <c r="H20150">
        <f>0.04*3.05504885071041</f>
        <v>0.1222019540284164</v>
      </c>
      <c r="I20150">
        <v>0.1222019540284164</v>
      </c>
    </row>
    <row r="20151" spans="1:9" x14ac:dyDescent="0.25">
      <c r="A20151">
        <v>598</v>
      </c>
      <c r="B20151" t="s">
        <v>4792</v>
      </c>
      <c r="C20151" t="s">
        <v>10</v>
      </c>
      <c r="D20151" t="s">
        <v>270</v>
      </c>
      <c r="E20151">
        <f t="shared" si="959"/>
        <v>0.04</v>
      </c>
      <c r="F20151">
        <v>6</v>
      </c>
      <c r="G20151">
        <f>LOG(382/(6+1))</f>
        <v>1.736965322897452</v>
      </c>
      <c r="H20151">
        <f>0.04*3.99951045955126</f>
        <v>0.1599804183820504</v>
      </c>
      <c r="I20151">
        <v>0.15998041838205049</v>
      </c>
    </row>
    <row r="20152" spans="1:9" x14ac:dyDescent="0.25">
      <c r="A20152">
        <v>598</v>
      </c>
      <c r="B20152" t="s">
        <v>4792</v>
      </c>
      <c r="C20152" t="s">
        <v>10</v>
      </c>
      <c r="D20152" t="s">
        <v>17</v>
      </c>
      <c r="E20152">
        <f t="shared" si="959"/>
        <v>0.04</v>
      </c>
      <c r="F20152">
        <v>169</v>
      </c>
      <c r="G20152">
        <f>LOG(382/(169+1))</f>
        <v>0.3516144415334348</v>
      </c>
      <c r="H20152">
        <f>0.04*0.809622171556313</f>
        <v>3.2384886862252521E-2</v>
      </c>
      <c r="I20152">
        <v>3.2384886862252528E-2</v>
      </c>
    </row>
    <row r="20153" spans="1:9" x14ac:dyDescent="0.25">
      <c r="A20153">
        <v>598</v>
      </c>
      <c r="B20153" t="s">
        <v>4792</v>
      </c>
      <c r="C20153" t="s">
        <v>10</v>
      </c>
      <c r="D20153" t="s">
        <v>947</v>
      </c>
      <c r="E20153">
        <f t="shared" si="959"/>
        <v>0.04</v>
      </c>
      <c r="F20153">
        <v>6</v>
      </c>
      <c r="G20153">
        <f>LOG(382/(6+1))</f>
        <v>1.736965322897452</v>
      </c>
      <c r="H20153">
        <f>0.04*3.99951045955126</f>
        <v>0.1599804183820504</v>
      </c>
      <c r="I20153">
        <v>0.15998041838205049</v>
      </c>
    </row>
    <row r="20154" spans="1:9" x14ac:dyDescent="0.25">
      <c r="A20154">
        <v>598</v>
      </c>
      <c r="B20154" t="s">
        <v>4792</v>
      </c>
      <c r="C20154" t="s">
        <v>10</v>
      </c>
      <c r="D20154" t="s">
        <v>19</v>
      </c>
      <c r="E20154">
        <f t="shared" si="959"/>
        <v>0.04</v>
      </c>
      <c r="F20154">
        <v>220</v>
      </c>
      <c r="G20154">
        <f>LOG(382/(220+1))</f>
        <v>0.23767108922659805</v>
      </c>
      <c r="H20154">
        <f>0.04*0.547257907088822</f>
        <v>2.1890316283552883E-2</v>
      </c>
      <c r="I20154">
        <v>2.18903162835529E-2</v>
      </c>
    </row>
    <row r="20155" spans="1:9" x14ac:dyDescent="0.25">
      <c r="A20155">
        <v>598</v>
      </c>
      <c r="B20155" t="s">
        <v>4792</v>
      </c>
      <c r="C20155" t="s">
        <v>10</v>
      </c>
      <c r="D20155" t="s">
        <v>370</v>
      </c>
      <c r="E20155">
        <f t="shared" si="959"/>
        <v>0.04</v>
      </c>
      <c r="F20155">
        <v>14</v>
      </c>
      <c r="G20155">
        <f>LOG(382/(14+1))</f>
        <v>1.4059721038560276</v>
      </c>
      <c r="H20155">
        <f>0.04*3.23737040750436</f>
        <v>0.1294948163001744</v>
      </c>
      <c r="I20155">
        <v>0.12949481630017459</v>
      </c>
    </row>
    <row r="20156" spans="1:9" x14ac:dyDescent="0.25">
      <c r="A20156">
        <v>598</v>
      </c>
      <c r="B20156" t="s">
        <v>4792</v>
      </c>
      <c r="C20156" t="s">
        <v>10</v>
      </c>
      <c r="D20156" t="s">
        <v>22</v>
      </c>
      <c r="E20156">
        <f t="shared" si="959"/>
        <v>0.04</v>
      </c>
      <c r="F20156">
        <v>259</v>
      </c>
      <c r="G20156">
        <f>LOG(382/(259+1))</f>
        <v>0.16709001494089079</v>
      </c>
      <c r="H20156">
        <f>0.04*0.384738977591047</f>
        <v>1.5389559103641882E-2</v>
      </c>
      <c r="I20156">
        <v>1.5389559103641899E-2</v>
      </c>
    </row>
    <row r="20157" spans="1:9" x14ac:dyDescent="0.25">
      <c r="A20157">
        <v>598</v>
      </c>
      <c r="B20157" t="s">
        <v>4792</v>
      </c>
      <c r="C20157" t="s">
        <v>10</v>
      </c>
      <c r="D20157" t="s">
        <v>23</v>
      </c>
      <c r="E20157">
        <f t="shared" si="959"/>
        <v>0.04</v>
      </c>
      <c r="F20157">
        <v>275</v>
      </c>
      <c r="G20157">
        <f>LOG(382/(275+1))</f>
        <v>0.14115428084649101</v>
      </c>
      <c r="H20157">
        <f>0.04*0.325019742889425</f>
        <v>1.3000789715576999E-2</v>
      </c>
      <c r="I20157">
        <v>1.300078971557701E-2</v>
      </c>
    </row>
    <row r="20158" spans="1:9" x14ac:dyDescent="0.25">
      <c r="A20158">
        <v>598</v>
      </c>
      <c r="B20158" t="s">
        <v>4792</v>
      </c>
      <c r="C20158" t="s">
        <v>10</v>
      </c>
      <c r="D20158" t="s">
        <v>247</v>
      </c>
      <c r="E20158">
        <f t="shared" si="959"/>
        <v>0.04</v>
      </c>
      <c r="F20158">
        <v>121</v>
      </c>
      <c r="G20158">
        <f>LOG(382/(121+1))</f>
        <v>0.49570353223696051</v>
      </c>
      <c r="H20158">
        <f>0.04*1.14139956387331</f>
        <v>4.5655982554932403E-2</v>
      </c>
      <c r="I20158">
        <v>4.565598255493275E-2</v>
      </c>
    </row>
    <row r="20159" spans="1:9" x14ac:dyDescent="0.25">
      <c r="A20159">
        <v>598</v>
      </c>
      <c r="B20159" t="s">
        <v>4792</v>
      </c>
      <c r="C20159" t="s">
        <v>10</v>
      </c>
      <c r="D20159" t="s">
        <v>204</v>
      </c>
      <c r="E20159">
        <f t="shared" si="959"/>
        <v>0.04</v>
      </c>
      <c r="F20159">
        <v>166</v>
      </c>
      <c r="G20159">
        <f>LOG(382/(166+1))</f>
        <v>0.35934689176412549</v>
      </c>
      <c r="H20159">
        <f>0.04*0.82742679618982</f>
        <v>3.30970718475928E-2</v>
      </c>
      <c r="I20159">
        <v>3.30970718475928E-2</v>
      </c>
    </row>
    <row r="20160" spans="1:9" x14ac:dyDescent="0.25">
      <c r="A20160">
        <v>598</v>
      </c>
      <c r="B20160" t="s">
        <v>4792</v>
      </c>
      <c r="C20160" t="s">
        <v>10</v>
      </c>
      <c r="D20160" t="s">
        <v>76</v>
      </c>
      <c r="E20160">
        <f t="shared" si="959"/>
        <v>0.04</v>
      </c>
      <c r="F20160">
        <v>140</v>
      </c>
      <c r="G20160">
        <f>LOG(382/(140+1))</f>
        <v>0.43284425025632883</v>
      </c>
      <c r="H20160">
        <f>0.04*0.996660718228407</f>
        <v>3.9866428729136281E-2</v>
      </c>
      <c r="I20160">
        <v>3.9866428729136281E-2</v>
      </c>
    </row>
    <row r="20161" spans="1:9" x14ac:dyDescent="0.25">
      <c r="A20161">
        <v>598</v>
      </c>
      <c r="B20161" t="s">
        <v>4792</v>
      </c>
      <c r="C20161" t="s">
        <v>10</v>
      </c>
      <c r="D20161" t="s">
        <v>1067</v>
      </c>
      <c r="E20161">
        <f t="shared" si="959"/>
        <v>0.04</v>
      </c>
      <c r="F20161">
        <v>9</v>
      </c>
      <c r="G20161">
        <f>LOG(382/(9+1))</f>
        <v>1.5820633629117087</v>
      </c>
      <c r="H20161">
        <f>0.04*3.64283551561252</f>
        <v>0.14571342062450079</v>
      </c>
      <c r="I20161">
        <v>0.14571342062450121</v>
      </c>
    </row>
    <row r="20162" spans="1:9" x14ac:dyDescent="0.25">
      <c r="A20162">
        <v>598</v>
      </c>
      <c r="B20162" t="s">
        <v>4792</v>
      </c>
      <c r="C20162" t="s">
        <v>10</v>
      </c>
      <c r="D20162" t="s">
        <v>40</v>
      </c>
      <c r="E20162">
        <f t="shared" si="959"/>
        <v>0.04</v>
      </c>
      <c r="F20162">
        <v>159</v>
      </c>
      <c r="G20162">
        <f>LOG(382/(159+1))</f>
        <v>0.377943380255784</v>
      </c>
      <c r="H20162">
        <f>0.04*0.870246793372748</f>
        <v>3.4809871734909924E-2</v>
      </c>
      <c r="I20162">
        <v>3.4809871734909938E-2</v>
      </c>
    </row>
    <row r="20163" spans="1:9" x14ac:dyDescent="0.25">
      <c r="A20163">
        <v>598</v>
      </c>
      <c r="B20163" t="s">
        <v>4792</v>
      </c>
      <c r="C20163" t="s">
        <v>10</v>
      </c>
      <c r="D20163" t="s">
        <v>41</v>
      </c>
      <c r="E20163">
        <f t="shared" si="959"/>
        <v>0.04</v>
      </c>
      <c r="F20163">
        <v>195</v>
      </c>
      <c r="G20163">
        <f>LOG(382/(195+1))</f>
        <v>0.28980729155523272</v>
      </c>
      <c r="H20163">
        <f>0.04*0.667305949376058</f>
        <v>2.6692237975042322E-2</v>
      </c>
      <c r="I20163">
        <v>2.6692237975042318E-2</v>
      </c>
    </row>
    <row r="20164" spans="1:9" x14ac:dyDescent="0.25">
      <c r="A20164">
        <v>598</v>
      </c>
      <c r="B20164" t="s">
        <v>4792</v>
      </c>
      <c r="C20164" t="s">
        <v>10</v>
      </c>
      <c r="D20164" t="s">
        <v>994</v>
      </c>
      <c r="E20164">
        <f t="shared" si="959"/>
        <v>0.04</v>
      </c>
      <c r="F20164">
        <v>37</v>
      </c>
      <c r="G20164">
        <f>LOG(382/(37+1))</f>
        <v>1.0022797662948986</v>
      </c>
      <c r="H20164">
        <f>0.04*2.30783444888018</f>
        <v>9.2313377955207193E-2</v>
      </c>
      <c r="I20164">
        <v>9.2313377955207568E-2</v>
      </c>
    </row>
    <row r="20165" spans="1:9" x14ac:dyDescent="0.25">
      <c r="A20165">
        <v>598</v>
      </c>
      <c r="B20165" t="s">
        <v>4792</v>
      </c>
      <c r="C20165" t="s">
        <v>10</v>
      </c>
      <c r="D20165" t="s">
        <v>327</v>
      </c>
      <c r="E20165">
        <f t="shared" si="959"/>
        <v>0.04</v>
      </c>
      <c r="F20165">
        <v>46</v>
      </c>
      <c r="G20165">
        <f>LOG(382/(46+1))</f>
        <v>0.90996550497599127</v>
      </c>
      <c r="H20165">
        <f>0.04*2.09527300689651</f>
        <v>8.3810920275860415E-2</v>
      </c>
      <c r="I20165">
        <v>8.3810920275860665E-2</v>
      </c>
    </row>
    <row r="20166" spans="1:9" x14ac:dyDescent="0.25">
      <c r="A20166">
        <v>598</v>
      </c>
      <c r="B20166" t="s">
        <v>4792</v>
      </c>
      <c r="C20166" t="s">
        <v>10</v>
      </c>
      <c r="D20166" t="s">
        <v>1857</v>
      </c>
      <c r="E20166">
        <f t="shared" si="959"/>
        <v>0.04</v>
      </c>
      <c r="F20166">
        <v>17</v>
      </c>
      <c r="G20166">
        <f>LOG(382/(17+1))</f>
        <v>1.3267908578084027</v>
      </c>
      <c r="H20166">
        <f>0.04*3.05504885071041</f>
        <v>0.1222019540284164</v>
      </c>
      <c r="I20166">
        <v>0.1222019540284164</v>
      </c>
    </row>
    <row r="20167" spans="1:9" x14ac:dyDescent="0.25">
      <c r="A20167">
        <v>598</v>
      </c>
      <c r="B20167" t="s">
        <v>4792</v>
      </c>
      <c r="C20167" t="s">
        <v>10</v>
      </c>
      <c r="D20167" t="s">
        <v>1853</v>
      </c>
      <c r="E20167">
        <f t="shared" si="959"/>
        <v>0.04</v>
      </c>
      <c r="F20167">
        <v>15</v>
      </c>
      <c r="G20167">
        <f>LOG(382/(15+1))</f>
        <v>1.3779433802557839</v>
      </c>
      <c r="H20167">
        <f>0.04*3.17283188636679</f>
        <v>0.1269132754546716</v>
      </c>
      <c r="I20167">
        <v>0.12691327545467179</v>
      </c>
    </row>
    <row r="20168" spans="1:9" x14ac:dyDescent="0.25">
      <c r="A20168">
        <v>598</v>
      </c>
      <c r="B20168" t="s">
        <v>4792</v>
      </c>
      <c r="C20168" t="s">
        <v>10</v>
      </c>
      <c r="D20168" t="s">
        <v>133</v>
      </c>
      <c r="E20168">
        <f t="shared" si="959"/>
        <v>0.04</v>
      </c>
      <c r="F20168">
        <v>142</v>
      </c>
      <c r="G20168">
        <f>LOG(382/(142+1))</f>
        <v>0.42672732544664693</v>
      </c>
      <c r="H20168">
        <f>0.04*0.982575978346667</f>
        <v>3.930303913386668E-2</v>
      </c>
      <c r="I20168">
        <v>3.9303039133866707E-2</v>
      </c>
    </row>
    <row r="20169" spans="1:9" x14ac:dyDescent="0.25">
      <c r="A20169">
        <v>598</v>
      </c>
      <c r="B20169" t="s">
        <v>4792</v>
      </c>
      <c r="C20169" t="s">
        <v>10</v>
      </c>
      <c r="D20169" t="s">
        <v>77</v>
      </c>
      <c r="E20169">
        <f t="shared" si="959"/>
        <v>0.04</v>
      </c>
      <c r="F20169">
        <v>148</v>
      </c>
      <c r="G20169">
        <f>LOG(382/(148+1))</f>
        <v>0.40887709449943471</v>
      </c>
      <c r="H20169">
        <f>0.04*0.941474302661116</f>
        <v>3.7658972106444637E-2</v>
      </c>
      <c r="I20169">
        <v>3.7658972106444637E-2</v>
      </c>
    </row>
    <row r="20170" spans="1:9" x14ac:dyDescent="0.25">
      <c r="A20170">
        <v>598</v>
      </c>
      <c r="B20170" t="s">
        <v>4792</v>
      </c>
      <c r="C20170" t="s">
        <v>10</v>
      </c>
      <c r="D20170" t="s">
        <v>331</v>
      </c>
      <c r="E20170">
        <f t="shared" si="959"/>
        <v>0.04</v>
      </c>
      <c r="F20170">
        <v>130</v>
      </c>
      <c r="G20170">
        <f>LOG(382/(130+1))</f>
        <v>0.46479206725594452</v>
      </c>
      <c r="H20170">
        <f>0.04*1.07022328540542</f>
        <v>4.2808931416216806E-2</v>
      </c>
      <c r="I20170">
        <v>4.2808931416216937E-2</v>
      </c>
    </row>
    <row r="20171" spans="1:9" x14ac:dyDescent="0.25">
      <c r="A20171">
        <v>599</v>
      </c>
      <c r="B20171" t="s">
        <v>4794</v>
      </c>
      <c r="C20171" t="s">
        <v>48</v>
      </c>
      <c r="D20171" t="s">
        <v>570</v>
      </c>
      <c r="E20171">
        <f>4/180</f>
        <v>2.2222222222222223E-2</v>
      </c>
      <c r="F20171">
        <v>27</v>
      </c>
      <c r="G20171">
        <f>LOG(382/(27+1))</f>
        <v>1.1349053315694895</v>
      </c>
      <c r="H20171">
        <f>0.0222222222222222*2.61321609843137</f>
        <v>5.8071468854030389E-2</v>
      </c>
      <c r="I20171">
        <v>5.8071468854030472E-2</v>
      </c>
    </row>
    <row r="20172" spans="1:9" x14ac:dyDescent="0.25">
      <c r="A20172">
        <v>599</v>
      </c>
      <c r="B20172" t="s">
        <v>4794</v>
      </c>
      <c r="C20172" t="s">
        <v>48</v>
      </c>
      <c r="D20172" t="s">
        <v>39</v>
      </c>
      <c r="E20172">
        <f>3/180</f>
        <v>1.6666666666666666E-2</v>
      </c>
      <c r="F20172">
        <v>145</v>
      </c>
      <c r="G20172">
        <f>LOG(382/(145+1))</f>
        <v>0.41771050712727159</v>
      </c>
      <c r="H20172">
        <f>0.0166666666666666*0.961813986898238</f>
        <v>1.6030233114970569E-2</v>
      </c>
      <c r="I20172">
        <v>1.6030233114970649E-2</v>
      </c>
    </row>
    <row r="20173" spans="1:9" x14ac:dyDescent="0.25">
      <c r="A20173">
        <v>599</v>
      </c>
      <c r="B20173" t="s">
        <v>4794</v>
      </c>
      <c r="C20173" t="s">
        <v>48</v>
      </c>
      <c r="D20173" t="s">
        <v>1506</v>
      </c>
      <c r="E20173">
        <f>1/180</f>
        <v>5.5555555555555558E-3</v>
      </c>
      <c r="F20173">
        <v>2</v>
      </c>
      <c r="G20173">
        <f>LOG(382/(2+1))</f>
        <v>2.1049421081920463</v>
      </c>
      <c r="H20173">
        <f>0.00555555555555555*4.84680831993846</f>
        <v>2.6926712888546971E-2</v>
      </c>
      <c r="I20173">
        <v>2.692671288854703E-2</v>
      </c>
    </row>
    <row r="20174" spans="1:9" x14ac:dyDescent="0.25">
      <c r="A20174">
        <v>599</v>
      </c>
      <c r="B20174" t="s">
        <v>4794</v>
      </c>
      <c r="C20174" t="s">
        <v>48</v>
      </c>
      <c r="D20174" t="s">
        <v>4795</v>
      </c>
      <c r="E20174">
        <f>6/180</f>
        <v>3.3333333333333333E-2</v>
      </c>
      <c r="F20174">
        <v>1</v>
      </c>
      <c r="G20174">
        <f>LOG(382/(1+1))</f>
        <v>2.2810333672477277</v>
      </c>
      <c r="H20174">
        <f>0.0333333333333333*5.25227342804663</f>
        <v>0.17507578093488749</v>
      </c>
      <c r="I20174">
        <v>0.17507578093488771</v>
      </c>
    </row>
    <row r="20175" spans="1:9" x14ac:dyDescent="0.25">
      <c r="A20175">
        <v>599</v>
      </c>
      <c r="B20175" t="s">
        <v>4794</v>
      </c>
      <c r="C20175" t="s">
        <v>48</v>
      </c>
      <c r="D20175" t="s">
        <v>1507</v>
      </c>
      <c r="E20175">
        <f>3/180</f>
        <v>1.6666666666666666E-2</v>
      </c>
      <c r="F20175">
        <v>3</v>
      </c>
      <c r="G20175">
        <f>LOG(382/(3+1))</f>
        <v>1.9800033715837464</v>
      </c>
      <c r="H20175">
        <f>0.0166666666666666*4.55912624748668</f>
        <v>7.5985437458111038E-2</v>
      </c>
      <c r="I20175">
        <v>7.5985437458111413E-2</v>
      </c>
    </row>
    <row r="20176" spans="1:9" x14ac:dyDescent="0.25">
      <c r="A20176">
        <v>599</v>
      </c>
      <c r="B20176" t="s">
        <v>4794</v>
      </c>
      <c r="C20176" t="s">
        <v>48</v>
      </c>
      <c r="D20176" t="s">
        <v>247</v>
      </c>
      <c r="E20176">
        <f>3/180</f>
        <v>1.6666666666666666E-2</v>
      </c>
      <c r="F20176">
        <v>121</v>
      </c>
      <c r="G20176">
        <f>LOG(382/(121+1))</f>
        <v>0.49570353223696051</v>
      </c>
      <c r="H20176">
        <f>0.0166666666666666*1.14139956387331</f>
        <v>1.9023326064555094E-2</v>
      </c>
      <c r="I20176">
        <v>1.9023326064555309E-2</v>
      </c>
    </row>
    <row r="20177" spans="1:9" x14ac:dyDescent="0.25">
      <c r="A20177">
        <v>599</v>
      </c>
      <c r="B20177" t="s">
        <v>4794</v>
      </c>
      <c r="C20177" t="s">
        <v>48</v>
      </c>
      <c r="D20177" t="s">
        <v>1545</v>
      </c>
      <c r="E20177">
        <f>2/180</f>
        <v>1.1111111111111112E-2</v>
      </c>
      <c r="F20177">
        <v>5</v>
      </c>
      <c r="G20177">
        <f>LOG(382/(5+1))</f>
        <v>1.803912112528065</v>
      </c>
      <c r="H20177">
        <f>0.0111111111111111*4.15366113937852</f>
        <v>4.6151790437539059E-2</v>
      </c>
      <c r="I20177">
        <v>4.6151790437539107E-2</v>
      </c>
    </row>
    <row r="20178" spans="1:9" x14ac:dyDescent="0.25">
      <c r="A20178">
        <v>599</v>
      </c>
      <c r="B20178" t="s">
        <v>4794</v>
      </c>
      <c r="C20178" t="s">
        <v>48</v>
      </c>
      <c r="D20178" t="s">
        <v>363</v>
      </c>
      <c r="E20178">
        <f>1/180</f>
        <v>5.5555555555555558E-3</v>
      </c>
      <c r="F20178">
        <v>36</v>
      </c>
      <c r="G20178">
        <f>LOG(382/(36+1))</f>
        <v>1.0138616388447137</v>
      </c>
      <c r="H20178">
        <f>0.00555555555555555*2.33450269596235</f>
        <v>1.2969459422013042E-2</v>
      </c>
      <c r="I20178">
        <v>1.2969459422013061E-2</v>
      </c>
    </row>
    <row r="20179" spans="1:9" x14ac:dyDescent="0.25">
      <c r="A20179">
        <v>599</v>
      </c>
      <c r="B20179" t="s">
        <v>4794</v>
      </c>
      <c r="C20179" t="s">
        <v>48</v>
      </c>
      <c r="D20179" t="s">
        <v>42</v>
      </c>
      <c r="E20179">
        <f>2/180</f>
        <v>1.1111111111111112E-2</v>
      </c>
      <c r="F20179">
        <v>251</v>
      </c>
      <c r="G20179">
        <f>LOG(382/(251+1))</f>
        <v>0.18066282213016463</v>
      </c>
      <c r="H20179">
        <f>0.0111111111111111*0.415991521095151</f>
        <v>4.6221280121683389E-3</v>
      </c>
      <c r="I20179">
        <v>4.6221280121683554E-3</v>
      </c>
    </row>
    <row r="20180" spans="1:9" x14ac:dyDescent="0.25">
      <c r="A20180">
        <v>599</v>
      </c>
      <c r="B20180" t="s">
        <v>4794</v>
      </c>
      <c r="C20180" t="s">
        <v>48</v>
      </c>
      <c r="D20180" t="s">
        <v>15</v>
      </c>
      <c r="E20180">
        <f>1/180</f>
        <v>5.5555555555555558E-3</v>
      </c>
      <c r="F20180">
        <v>112</v>
      </c>
      <c r="G20180">
        <f>LOG(382/(112+1))</f>
        <v>0.52898491942828896</v>
      </c>
      <c r="H20180">
        <f>0.00555555555555555*1.21803278989423</f>
        <v>6.7668488327457151E-3</v>
      </c>
      <c r="I20180">
        <v>6.7668488327457489E-3</v>
      </c>
    </row>
    <row r="20181" spans="1:9" x14ac:dyDescent="0.25">
      <c r="A20181">
        <v>599</v>
      </c>
      <c r="B20181" t="s">
        <v>4794</v>
      </c>
      <c r="C20181" t="s">
        <v>48</v>
      </c>
      <c r="D20181" t="s">
        <v>17</v>
      </c>
      <c r="E20181">
        <f>1/180</f>
        <v>5.5555555555555558E-3</v>
      </c>
      <c r="F20181">
        <v>169</v>
      </c>
      <c r="G20181">
        <f>LOG(382/(169+1))</f>
        <v>0.3516144415334348</v>
      </c>
      <c r="H20181">
        <f>0.00555555555555555*0.809622171556313</f>
        <v>4.4979009530906229E-3</v>
      </c>
      <c r="I20181">
        <v>4.4979009530906307E-3</v>
      </c>
    </row>
    <row r="20182" spans="1:9" x14ac:dyDescent="0.25">
      <c r="A20182">
        <v>599</v>
      </c>
      <c r="B20182" t="s">
        <v>4794</v>
      </c>
      <c r="C20182" t="s">
        <v>48</v>
      </c>
      <c r="D20182" t="s">
        <v>19</v>
      </c>
      <c r="E20182">
        <f>3/180</f>
        <v>1.6666666666666666E-2</v>
      </c>
      <c r="F20182">
        <v>220</v>
      </c>
      <c r="G20182">
        <f>LOG(382/(220+1))</f>
        <v>0.23767108922659805</v>
      </c>
      <c r="H20182">
        <f>0.0166666666666666*0.547257907088822</f>
        <v>9.1209651181469974E-3</v>
      </c>
      <c r="I20182">
        <v>9.120965118147039E-3</v>
      </c>
    </row>
    <row r="20183" spans="1:9" x14ac:dyDescent="0.25">
      <c r="A20183">
        <v>599</v>
      </c>
      <c r="B20183" t="s">
        <v>4794</v>
      </c>
      <c r="C20183" t="s">
        <v>48</v>
      </c>
      <c r="D20183" t="s">
        <v>370</v>
      </c>
      <c r="E20183">
        <f>3/180</f>
        <v>1.6666666666666666E-2</v>
      </c>
      <c r="F20183">
        <v>14</v>
      </c>
      <c r="G20183">
        <f>LOG(382/(14+1))</f>
        <v>1.4059721038560276</v>
      </c>
      <c r="H20183">
        <f>0.0166666666666666*3.23737040750436</f>
        <v>5.3956173458405782E-2</v>
      </c>
      <c r="I20183">
        <v>5.3956173458406087E-2</v>
      </c>
    </row>
    <row r="20184" spans="1:9" x14ac:dyDescent="0.25">
      <c r="A20184">
        <v>599</v>
      </c>
      <c r="B20184" t="s">
        <v>4794</v>
      </c>
      <c r="C20184" t="s">
        <v>48</v>
      </c>
      <c r="D20184" t="s">
        <v>22</v>
      </c>
      <c r="E20184">
        <f>1/180</f>
        <v>5.5555555555555558E-3</v>
      </c>
      <c r="F20184">
        <v>259</v>
      </c>
      <c r="G20184">
        <f>LOG(382/(259+1))</f>
        <v>0.16709001494089079</v>
      </c>
      <c r="H20184">
        <f>0.00555555555555555*0.384738977591047</f>
        <v>2.1374387643947035E-3</v>
      </c>
      <c r="I20184">
        <v>2.1374387643947092E-3</v>
      </c>
    </row>
    <row r="20185" spans="1:9" x14ac:dyDescent="0.25">
      <c r="A20185">
        <v>599</v>
      </c>
      <c r="B20185" t="s">
        <v>4794</v>
      </c>
      <c r="C20185" t="s">
        <v>48</v>
      </c>
      <c r="D20185" t="s">
        <v>23</v>
      </c>
      <c r="E20185">
        <f>1/180</f>
        <v>5.5555555555555558E-3</v>
      </c>
      <c r="F20185">
        <v>275</v>
      </c>
      <c r="G20185">
        <f>LOG(382/(275+1))</f>
        <v>0.14115428084649101</v>
      </c>
      <c r="H20185">
        <f>0.00555555555555555*0.325019742889425</f>
        <v>1.8056652382745814E-3</v>
      </c>
      <c r="I20185">
        <v>1.805665238274584E-3</v>
      </c>
    </row>
    <row r="20186" spans="1:9" x14ac:dyDescent="0.25">
      <c r="A20186">
        <v>599</v>
      </c>
      <c r="B20186" t="s">
        <v>4794</v>
      </c>
      <c r="C20186" t="s">
        <v>48</v>
      </c>
      <c r="D20186" t="s">
        <v>485</v>
      </c>
      <c r="E20186">
        <f>2/180</f>
        <v>1.1111111111111112E-2</v>
      </c>
      <c r="F20186">
        <v>74</v>
      </c>
      <c r="G20186">
        <f>LOG(382/(74+1))</f>
        <v>0.7070020995200087</v>
      </c>
      <c r="H20186">
        <f>0.0111111111111111*1.62793249507026</f>
        <v>1.8088138834113983E-2</v>
      </c>
      <c r="I20186">
        <v>1.8088138834114049E-2</v>
      </c>
    </row>
    <row r="20187" spans="1:9" x14ac:dyDescent="0.25">
      <c r="A20187">
        <v>599</v>
      </c>
      <c r="B20187" t="s">
        <v>4794</v>
      </c>
      <c r="C20187" t="s">
        <v>48</v>
      </c>
      <c r="D20187" t="s">
        <v>1794</v>
      </c>
      <c r="E20187">
        <f>1/180</f>
        <v>5.5555555555555558E-3</v>
      </c>
      <c r="F20187">
        <v>2</v>
      </c>
      <c r="G20187">
        <f>LOG(382/(2+1))</f>
        <v>2.1049421081920463</v>
      </c>
      <c r="H20187">
        <f>0.00555555555555555*4.84680831993846</f>
        <v>2.6926712888546971E-2</v>
      </c>
      <c r="I20187">
        <v>2.692671288854703E-2</v>
      </c>
    </row>
    <row r="20188" spans="1:9" x14ac:dyDescent="0.25">
      <c r="A20188">
        <v>599</v>
      </c>
      <c r="B20188" t="s">
        <v>4794</v>
      </c>
      <c r="C20188" t="s">
        <v>48</v>
      </c>
      <c r="D20188" t="s">
        <v>930</v>
      </c>
      <c r="E20188">
        <f>1/180</f>
        <v>5.5555555555555558E-3</v>
      </c>
      <c r="F20188">
        <v>6</v>
      </c>
      <c r="G20188">
        <f>LOG(382/(6+1))</f>
        <v>1.736965322897452</v>
      </c>
      <c r="H20188">
        <f>0.00555555555555555*3.99951045955126</f>
        <v>2.2219502553062532E-2</v>
      </c>
      <c r="I20188">
        <v>2.221950255306257E-2</v>
      </c>
    </row>
    <row r="20189" spans="1:9" x14ac:dyDescent="0.25">
      <c r="A20189">
        <v>599</v>
      </c>
      <c r="B20189" t="s">
        <v>4794</v>
      </c>
      <c r="C20189" t="s">
        <v>48</v>
      </c>
      <c r="D20189" t="s">
        <v>38</v>
      </c>
      <c r="E20189">
        <f>1/180</f>
        <v>5.5555555555555558E-3</v>
      </c>
      <c r="F20189">
        <v>86</v>
      </c>
      <c r="G20189">
        <f>LOG(382/(86+1))</f>
        <v>0.64254411029309022</v>
      </c>
      <c r="H20189">
        <f>0.00555555555555555*1.47951248995199</f>
        <v>8.219513833066603E-3</v>
      </c>
      <c r="I20189">
        <v>8.2195138330666186E-3</v>
      </c>
    </row>
    <row r="20190" spans="1:9" x14ac:dyDescent="0.25">
      <c r="A20190">
        <v>599</v>
      </c>
      <c r="B20190" t="s">
        <v>4794</v>
      </c>
      <c r="C20190" t="s">
        <v>48</v>
      </c>
      <c r="D20190" t="s">
        <v>24</v>
      </c>
      <c r="E20190">
        <f>2/180</f>
        <v>1.1111111111111112E-2</v>
      </c>
      <c r="F20190">
        <v>59</v>
      </c>
      <c r="G20190">
        <f>LOG(382/(59+1))</f>
        <v>0.80391211252806505</v>
      </c>
      <c r="H20190">
        <f>0.0111111111111111*1.85107604638447</f>
        <v>2.0567511626494089E-2</v>
      </c>
      <c r="I20190">
        <v>2.0567511626494159E-2</v>
      </c>
    </row>
    <row r="20191" spans="1:9" x14ac:dyDescent="0.25">
      <c r="A20191">
        <v>599</v>
      </c>
      <c r="B20191" t="s">
        <v>4794</v>
      </c>
      <c r="C20191" t="s">
        <v>48</v>
      </c>
      <c r="D20191" t="s">
        <v>322</v>
      </c>
      <c r="E20191">
        <f>3/180</f>
        <v>1.6666666666666666E-2</v>
      </c>
      <c r="F20191">
        <v>128</v>
      </c>
      <c r="G20191">
        <f>LOG(382/(128+1))</f>
        <v>0.47147365261245977</v>
      </c>
      <c r="H20191">
        <f>0.0166666666666666*1.0856082042449</f>
        <v>1.8093470070748262E-2</v>
      </c>
      <c r="I20191">
        <v>1.809347007074839E-2</v>
      </c>
    </row>
    <row r="20192" spans="1:9" x14ac:dyDescent="0.25">
      <c r="A20192">
        <v>599</v>
      </c>
      <c r="B20192" t="s">
        <v>4794</v>
      </c>
      <c r="C20192" t="s">
        <v>48</v>
      </c>
      <c r="D20192" t="s">
        <v>123</v>
      </c>
      <c r="E20192">
        <f>1/180</f>
        <v>5.5555555555555558E-3</v>
      </c>
      <c r="F20192">
        <v>74</v>
      </c>
      <c r="G20192">
        <f>LOG(382/(74+1))</f>
        <v>0.7070020995200087</v>
      </c>
      <c r="H20192">
        <f>0.00555555555555555*1.62793249507026</f>
        <v>9.0440694170569914E-3</v>
      </c>
      <c r="I20192">
        <v>9.0440694170570261E-3</v>
      </c>
    </row>
    <row r="20193" spans="1:9" x14ac:dyDescent="0.25">
      <c r="A20193">
        <v>599</v>
      </c>
      <c r="B20193" t="s">
        <v>4794</v>
      </c>
      <c r="C20193" t="s">
        <v>48</v>
      </c>
      <c r="D20193" t="s">
        <v>112</v>
      </c>
      <c r="E20193">
        <f>4/180</f>
        <v>2.2222222222222223E-2</v>
      </c>
      <c r="F20193">
        <v>52</v>
      </c>
      <c r="G20193">
        <f>LOG(382/(52+1))</f>
        <v>0.85778749331091964</v>
      </c>
      <c r="H20193">
        <f>0.0222222222222222*1.97512869505445</f>
        <v>4.389174877898773E-2</v>
      </c>
      <c r="I20193">
        <v>4.3891748778987848E-2</v>
      </c>
    </row>
    <row r="20194" spans="1:9" x14ac:dyDescent="0.25">
      <c r="A20194">
        <v>599</v>
      </c>
      <c r="B20194" t="s">
        <v>4794</v>
      </c>
      <c r="C20194" t="s">
        <v>48</v>
      </c>
      <c r="D20194" t="s">
        <v>3160</v>
      </c>
      <c r="E20194">
        <f>2/180</f>
        <v>1.1111111111111112E-2</v>
      </c>
      <c r="F20194">
        <v>3</v>
      </c>
      <c r="G20194">
        <f>LOG(382/(3+1))</f>
        <v>1.9800033715837464</v>
      </c>
      <c r="H20194">
        <f>0.0111111111111111*4.55912624748668</f>
        <v>5.06569583054075E-2</v>
      </c>
      <c r="I20194">
        <v>5.0656958305407611E-2</v>
      </c>
    </row>
    <row r="20195" spans="1:9" x14ac:dyDescent="0.25">
      <c r="A20195">
        <v>599</v>
      </c>
      <c r="B20195" t="s">
        <v>4794</v>
      </c>
      <c r="C20195" t="s">
        <v>48</v>
      </c>
      <c r="D20195" t="s">
        <v>1125</v>
      </c>
      <c r="E20195">
        <f>1/180</f>
        <v>5.5555555555555558E-3</v>
      </c>
      <c r="F20195">
        <v>19</v>
      </c>
      <c r="G20195">
        <f>LOG(382/(19+1))</f>
        <v>1.2810333672477277</v>
      </c>
      <c r="H20195">
        <f>0.00555555555555555*2.94968833505258</f>
        <v>1.6387157416958762E-2</v>
      </c>
      <c r="I20195">
        <v>1.63871574169588E-2</v>
      </c>
    </row>
    <row r="20196" spans="1:9" x14ac:dyDescent="0.25">
      <c r="A20196">
        <v>599</v>
      </c>
      <c r="B20196" t="s">
        <v>4794</v>
      </c>
      <c r="C20196" t="s">
        <v>48</v>
      </c>
      <c r="D20196" t="s">
        <v>655</v>
      </c>
      <c r="E20196">
        <f>11/180</f>
        <v>6.1111111111111109E-2</v>
      </c>
      <c r="F20196">
        <v>3</v>
      </c>
      <c r="G20196">
        <f>LOG(382/(3+1))</f>
        <v>1.9800033715837464</v>
      </c>
      <c r="H20196">
        <f>0.0611111111111111*4.55912624748668</f>
        <v>0.27861327067974151</v>
      </c>
      <c r="I20196">
        <v>0.27861327067974179</v>
      </c>
    </row>
    <row r="20197" spans="1:9" x14ac:dyDescent="0.25">
      <c r="A20197">
        <v>599</v>
      </c>
      <c r="B20197" t="s">
        <v>4794</v>
      </c>
      <c r="C20197" t="s">
        <v>48</v>
      </c>
      <c r="D20197" t="s">
        <v>51</v>
      </c>
      <c r="E20197">
        <f t="shared" ref="E20197:E20204" si="960">1/180</f>
        <v>5.5555555555555558E-3</v>
      </c>
      <c r="F20197">
        <v>8</v>
      </c>
      <c r="G20197">
        <f>LOG(382/(8+1))</f>
        <v>1.6278208534723839</v>
      </c>
      <c r="H20197">
        <f>0.00555555555555555*3.74819603127035</f>
        <v>2.0823311284835257E-2</v>
      </c>
      <c r="I20197">
        <v>2.0823311284835309E-2</v>
      </c>
    </row>
    <row r="20198" spans="1:9" x14ac:dyDescent="0.25">
      <c r="A20198">
        <v>599</v>
      </c>
      <c r="B20198" t="s">
        <v>4794</v>
      </c>
      <c r="C20198" t="s">
        <v>48</v>
      </c>
      <c r="D20198" t="s">
        <v>4796</v>
      </c>
      <c r="E20198">
        <f t="shared" si="960"/>
        <v>5.5555555555555558E-3</v>
      </c>
      <c r="F20198">
        <v>1</v>
      </c>
      <c r="G20198">
        <f>LOG(382/(1+1))</f>
        <v>2.2810333672477277</v>
      </c>
      <c r="H20198">
        <f>0.00555555555555555*5.25227342804663</f>
        <v>2.9179296822481247E-2</v>
      </c>
      <c r="I20198">
        <v>2.9179296822481281E-2</v>
      </c>
    </row>
    <row r="20199" spans="1:9" x14ac:dyDescent="0.25">
      <c r="A20199">
        <v>599</v>
      </c>
      <c r="B20199" t="s">
        <v>4794</v>
      </c>
      <c r="C20199" t="s">
        <v>48</v>
      </c>
      <c r="D20199" t="s">
        <v>263</v>
      </c>
      <c r="E20199">
        <f t="shared" si="960"/>
        <v>5.5555555555555558E-3</v>
      </c>
      <c r="F20199">
        <v>41</v>
      </c>
      <c r="G20199">
        <f>LOG(382/(41+1))</f>
        <v>0.95881407251380824</v>
      </c>
      <c r="H20199">
        <f>0.00555555555555555*2.2077509903232</f>
        <v>1.2265283279573321E-2</v>
      </c>
      <c r="I20199">
        <v>1.226528327957337E-2</v>
      </c>
    </row>
    <row r="20200" spans="1:9" x14ac:dyDescent="0.25">
      <c r="A20200">
        <v>599</v>
      </c>
      <c r="B20200" t="s">
        <v>4794</v>
      </c>
      <c r="C20200" t="s">
        <v>48</v>
      </c>
      <c r="D20200" t="s">
        <v>4542</v>
      </c>
      <c r="E20200">
        <f t="shared" si="960"/>
        <v>5.5555555555555558E-3</v>
      </c>
      <c r="F20200">
        <v>2</v>
      </c>
      <c r="G20200">
        <f>LOG(382/(2+1))</f>
        <v>2.1049421081920463</v>
      </c>
      <c r="H20200">
        <f>0.00555555555555555*4.84680831993846</f>
        <v>2.6926712888546971E-2</v>
      </c>
      <c r="I20200">
        <v>2.692671288854703E-2</v>
      </c>
    </row>
    <row r="20201" spans="1:9" x14ac:dyDescent="0.25">
      <c r="A20201">
        <v>599</v>
      </c>
      <c r="B20201" t="s">
        <v>4794</v>
      </c>
      <c r="C20201" t="s">
        <v>48</v>
      </c>
      <c r="D20201" t="s">
        <v>4797</v>
      </c>
      <c r="E20201">
        <f t="shared" si="960"/>
        <v>5.5555555555555558E-3</v>
      </c>
      <c r="F20201">
        <v>1</v>
      </c>
      <c r="G20201">
        <f>LOG(382/(1+1))</f>
        <v>2.2810333672477277</v>
      </c>
      <c r="H20201">
        <f>0.00555555555555555*5.25227342804663</f>
        <v>2.9179296822481247E-2</v>
      </c>
      <c r="I20201">
        <v>2.9179296822481281E-2</v>
      </c>
    </row>
    <row r="20202" spans="1:9" x14ac:dyDescent="0.25">
      <c r="A20202">
        <v>599</v>
      </c>
      <c r="B20202" t="s">
        <v>4794</v>
      </c>
      <c r="C20202" t="s">
        <v>48</v>
      </c>
      <c r="D20202" t="s">
        <v>3414</v>
      </c>
      <c r="E20202">
        <f t="shared" si="960"/>
        <v>5.5555555555555558E-3</v>
      </c>
      <c r="F20202">
        <v>3</v>
      </c>
      <c r="G20202">
        <f>LOG(382/(3+1))</f>
        <v>1.9800033715837464</v>
      </c>
      <c r="H20202">
        <f>0.00555555555555555*4.55912624748668</f>
        <v>2.532847915270375E-2</v>
      </c>
      <c r="I20202">
        <v>2.5328479152703809E-2</v>
      </c>
    </row>
    <row r="20203" spans="1:9" x14ac:dyDescent="0.25">
      <c r="A20203">
        <v>599</v>
      </c>
      <c r="B20203" t="s">
        <v>4794</v>
      </c>
      <c r="C20203" t="s">
        <v>48</v>
      </c>
      <c r="D20203" t="s">
        <v>2710</v>
      </c>
      <c r="E20203">
        <f t="shared" si="960"/>
        <v>5.5555555555555558E-3</v>
      </c>
      <c r="F20203">
        <v>5</v>
      </c>
      <c r="G20203">
        <f>LOG(382/(5+1))</f>
        <v>1.803912112528065</v>
      </c>
      <c r="H20203">
        <f>0.00555555555555555*4.15366113937852</f>
        <v>2.3075895218769529E-2</v>
      </c>
      <c r="I20203">
        <v>2.3075895218769561E-2</v>
      </c>
    </row>
    <row r="20204" spans="1:9" x14ac:dyDescent="0.25">
      <c r="A20204">
        <v>599</v>
      </c>
      <c r="B20204" t="s">
        <v>4794</v>
      </c>
      <c r="C20204" t="s">
        <v>48</v>
      </c>
      <c r="D20204" t="s">
        <v>4798</v>
      </c>
      <c r="E20204">
        <f t="shared" si="960"/>
        <v>5.5555555555555558E-3</v>
      </c>
      <c r="F20204">
        <v>1</v>
      </c>
      <c r="G20204">
        <f>LOG(382/(1+1))</f>
        <v>2.2810333672477277</v>
      </c>
      <c r="H20204">
        <f>0.00555555555555555*5.25227342804663</f>
        <v>2.9179296822481247E-2</v>
      </c>
      <c r="I20204">
        <v>2.9179296822481281E-2</v>
      </c>
    </row>
    <row r="20205" spans="1:9" x14ac:dyDescent="0.25">
      <c r="A20205">
        <v>599</v>
      </c>
      <c r="B20205" t="s">
        <v>4794</v>
      </c>
      <c r="C20205" t="s">
        <v>48</v>
      </c>
      <c r="D20205" t="s">
        <v>653</v>
      </c>
      <c r="E20205">
        <f>3/180</f>
        <v>1.6666666666666666E-2</v>
      </c>
      <c r="F20205">
        <v>3</v>
      </c>
      <c r="G20205">
        <f>LOG(382/(3+1))</f>
        <v>1.9800033715837464</v>
      </c>
      <c r="H20205">
        <f>0.0166666666666666*4.55912624748668</f>
        <v>7.5985437458111038E-2</v>
      </c>
      <c r="I20205">
        <v>7.5985437458111413E-2</v>
      </c>
    </row>
    <row r="20206" spans="1:9" x14ac:dyDescent="0.25">
      <c r="A20206">
        <v>599</v>
      </c>
      <c r="B20206" t="s">
        <v>4794</v>
      </c>
      <c r="C20206" t="s">
        <v>48</v>
      </c>
      <c r="D20206" t="s">
        <v>4799</v>
      </c>
      <c r="E20206">
        <f t="shared" ref="E20206:E20213" si="961">1/180</f>
        <v>5.5555555555555558E-3</v>
      </c>
      <c r="F20206">
        <v>1</v>
      </c>
      <c r="G20206">
        <f>LOG(382/(1+1))</f>
        <v>2.2810333672477277</v>
      </c>
      <c r="H20206">
        <f>0.00555555555555555*5.25227342804663</f>
        <v>2.9179296822481247E-2</v>
      </c>
      <c r="I20206">
        <v>2.9179296822481281E-2</v>
      </c>
    </row>
    <row r="20207" spans="1:9" x14ac:dyDescent="0.25">
      <c r="A20207">
        <v>599</v>
      </c>
      <c r="B20207" t="s">
        <v>4794</v>
      </c>
      <c r="C20207" t="s">
        <v>48</v>
      </c>
      <c r="D20207" t="s">
        <v>4800</v>
      </c>
      <c r="E20207">
        <f t="shared" si="961"/>
        <v>5.5555555555555558E-3</v>
      </c>
      <c r="F20207">
        <v>1</v>
      </c>
      <c r="G20207">
        <f>LOG(382/(1+1))</f>
        <v>2.2810333672477277</v>
      </c>
      <c r="H20207">
        <f>0.00555555555555555*5.25227342804663</f>
        <v>2.9179296822481247E-2</v>
      </c>
      <c r="I20207">
        <v>2.9179296822481281E-2</v>
      </c>
    </row>
    <row r="20208" spans="1:9" x14ac:dyDescent="0.25">
      <c r="A20208">
        <v>599</v>
      </c>
      <c r="B20208" t="s">
        <v>4794</v>
      </c>
      <c r="C20208" t="s">
        <v>48</v>
      </c>
      <c r="D20208" t="s">
        <v>4667</v>
      </c>
      <c r="E20208">
        <f t="shared" si="961"/>
        <v>5.5555555555555558E-3</v>
      </c>
      <c r="F20208">
        <v>2</v>
      </c>
      <c r="G20208">
        <f>LOG(382/(2+1))</f>
        <v>2.1049421081920463</v>
      </c>
      <c r="H20208">
        <f>0.00555555555555555*4.84680831993846</f>
        <v>2.6926712888546971E-2</v>
      </c>
      <c r="I20208">
        <v>2.692671288854703E-2</v>
      </c>
    </row>
    <row r="20209" spans="1:9" x14ac:dyDescent="0.25">
      <c r="A20209">
        <v>599</v>
      </c>
      <c r="B20209" t="s">
        <v>4794</v>
      </c>
      <c r="C20209" t="s">
        <v>48</v>
      </c>
      <c r="D20209" t="s">
        <v>3362</v>
      </c>
      <c r="E20209">
        <f t="shared" si="961"/>
        <v>5.5555555555555558E-3</v>
      </c>
      <c r="F20209">
        <v>5</v>
      </c>
      <c r="G20209">
        <f>LOG(382/(5+1))</f>
        <v>1.803912112528065</v>
      </c>
      <c r="H20209">
        <f>0.00555555555555555*4.15366113937852</f>
        <v>2.3075895218769529E-2</v>
      </c>
      <c r="I20209">
        <v>2.3075895218769561E-2</v>
      </c>
    </row>
    <row r="20210" spans="1:9" x14ac:dyDescent="0.25">
      <c r="A20210">
        <v>599</v>
      </c>
      <c r="B20210" t="s">
        <v>4794</v>
      </c>
      <c r="C20210" t="s">
        <v>48</v>
      </c>
      <c r="D20210" t="s">
        <v>4514</v>
      </c>
      <c r="E20210">
        <f t="shared" si="961"/>
        <v>5.5555555555555558E-3</v>
      </c>
      <c r="F20210">
        <v>2</v>
      </c>
      <c r="G20210">
        <f>LOG(382/(2+1))</f>
        <v>2.1049421081920463</v>
      </c>
      <c r="H20210">
        <f>0.00555555555555555*4.84680831993846</f>
        <v>2.6926712888546971E-2</v>
      </c>
      <c r="I20210">
        <v>2.692671288854703E-2</v>
      </c>
    </row>
    <row r="20211" spans="1:9" x14ac:dyDescent="0.25">
      <c r="A20211">
        <v>599</v>
      </c>
      <c r="B20211" t="s">
        <v>4794</v>
      </c>
      <c r="C20211" t="s">
        <v>48</v>
      </c>
      <c r="D20211" t="s">
        <v>4801</v>
      </c>
      <c r="E20211">
        <f t="shared" si="961"/>
        <v>5.5555555555555558E-3</v>
      </c>
      <c r="F20211">
        <v>1</v>
      </c>
      <c r="G20211">
        <f>LOG(382/(1+1))</f>
        <v>2.2810333672477277</v>
      </c>
      <c r="H20211">
        <f>0.00555555555555555*5.25227342804663</f>
        <v>2.9179296822481247E-2</v>
      </c>
      <c r="I20211">
        <v>2.9179296822481281E-2</v>
      </c>
    </row>
    <row r="20212" spans="1:9" x14ac:dyDescent="0.25">
      <c r="A20212">
        <v>599</v>
      </c>
      <c r="B20212" t="s">
        <v>4794</v>
      </c>
      <c r="C20212" t="s">
        <v>48</v>
      </c>
      <c r="D20212" t="s">
        <v>4303</v>
      </c>
      <c r="E20212">
        <f t="shared" si="961"/>
        <v>5.5555555555555558E-3</v>
      </c>
      <c r="F20212">
        <v>2</v>
      </c>
      <c r="G20212">
        <f>LOG(382/(2+1))</f>
        <v>2.1049421081920463</v>
      </c>
      <c r="H20212">
        <f>0.00555555555555555*4.84680831993846</f>
        <v>2.6926712888546971E-2</v>
      </c>
      <c r="I20212">
        <v>2.692671288854703E-2</v>
      </c>
    </row>
    <row r="20213" spans="1:9" x14ac:dyDescent="0.25">
      <c r="A20213">
        <v>599</v>
      </c>
      <c r="B20213" t="s">
        <v>4794</v>
      </c>
      <c r="C20213" t="s">
        <v>48</v>
      </c>
      <c r="D20213" t="s">
        <v>4802</v>
      </c>
      <c r="E20213">
        <f t="shared" si="961"/>
        <v>5.5555555555555558E-3</v>
      </c>
      <c r="F20213">
        <v>1</v>
      </c>
      <c r="G20213">
        <f>LOG(382/(1+1))</f>
        <v>2.2810333672477277</v>
      </c>
      <c r="H20213">
        <f>0.00555555555555555*5.25227342804663</f>
        <v>2.9179296822481247E-2</v>
      </c>
      <c r="I20213">
        <v>2.9179296822481281E-2</v>
      </c>
    </row>
    <row r="20214" spans="1:9" x14ac:dyDescent="0.25">
      <c r="A20214">
        <v>599</v>
      </c>
      <c r="B20214" t="s">
        <v>4794</v>
      </c>
      <c r="C20214" t="s">
        <v>48</v>
      </c>
      <c r="D20214" t="s">
        <v>962</v>
      </c>
      <c r="E20214">
        <f>2/180</f>
        <v>1.1111111111111112E-2</v>
      </c>
      <c r="F20214">
        <v>8</v>
      </c>
      <c r="G20214">
        <f>LOG(382/(8+1))</f>
        <v>1.6278208534723839</v>
      </c>
      <c r="H20214">
        <f>0.0111111111111111*3.74819603127035</f>
        <v>4.1646622569670513E-2</v>
      </c>
      <c r="I20214">
        <v>4.1646622569670617E-2</v>
      </c>
    </row>
    <row r="20215" spans="1:9" x14ac:dyDescent="0.25">
      <c r="A20215">
        <v>599</v>
      </c>
      <c r="B20215" t="s">
        <v>4794</v>
      </c>
      <c r="C20215" t="s">
        <v>48</v>
      </c>
      <c r="D20215" t="s">
        <v>3219</v>
      </c>
      <c r="E20215">
        <f>2/180</f>
        <v>1.1111111111111112E-2</v>
      </c>
      <c r="F20215">
        <v>3</v>
      </c>
      <c r="G20215">
        <f>LOG(382/(3+1))</f>
        <v>1.9800033715837464</v>
      </c>
      <c r="H20215">
        <f>0.0111111111111111*4.55912624748668</f>
        <v>5.06569583054075E-2</v>
      </c>
      <c r="I20215">
        <v>5.0656958305407611E-2</v>
      </c>
    </row>
    <row r="20216" spans="1:9" x14ac:dyDescent="0.25">
      <c r="A20216">
        <v>599</v>
      </c>
      <c r="B20216" t="s">
        <v>4794</v>
      </c>
      <c r="C20216" t="s">
        <v>48</v>
      </c>
      <c r="D20216" t="s">
        <v>4803</v>
      </c>
      <c r="E20216">
        <f>2/180</f>
        <v>1.1111111111111112E-2</v>
      </c>
      <c r="F20216">
        <v>1</v>
      </c>
      <c r="G20216">
        <f>LOG(382/(1+1))</f>
        <v>2.2810333672477277</v>
      </c>
      <c r="H20216">
        <f>0.0111111111111111*5.25227342804663</f>
        <v>5.8358593644962493E-2</v>
      </c>
      <c r="I20216">
        <v>5.8358593644962563E-2</v>
      </c>
    </row>
    <row r="20217" spans="1:9" x14ac:dyDescent="0.25">
      <c r="A20217">
        <v>599</v>
      </c>
      <c r="B20217" t="s">
        <v>4794</v>
      </c>
      <c r="C20217" t="s">
        <v>48</v>
      </c>
      <c r="D20217" t="s">
        <v>4804</v>
      </c>
      <c r="E20217">
        <f>2/180</f>
        <v>1.1111111111111112E-2</v>
      </c>
      <c r="F20217">
        <v>1</v>
      </c>
      <c r="G20217">
        <f>LOG(382/(1+1))</f>
        <v>2.2810333672477277</v>
      </c>
      <c r="H20217">
        <f>0.0111111111111111*5.25227342804663</f>
        <v>5.8358593644962493E-2</v>
      </c>
      <c r="I20217">
        <v>5.8358593644962563E-2</v>
      </c>
    </row>
    <row r="20218" spans="1:9" x14ac:dyDescent="0.25">
      <c r="A20218">
        <v>599</v>
      </c>
      <c r="B20218" t="s">
        <v>4794</v>
      </c>
      <c r="C20218" t="s">
        <v>48</v>
      </c>
      <c r="D20218" t="s">
        <v>695</v>
      </c>
      <c r="E20218">
        <f>1/180</f>
        <v>5.5555555555555558E-3</v>
      </c>
      <c r="F20218">
        <v>13</v>
      </c>
      <c r="G20218">
        <f>LOG(382/(13+1))</f>
        <v>1.4359353272334707</v>
      </c>
      <c r="H20218">
        <f>0.00555555555555555*3.30636327899131</f>
        <v>1.8368684883285039E-2</v>
      </c>
      <c r="I20218">
        <v>1.8368684883285091E-2</v>
      </c>
    </row>
    <row r="20219" spans="1:9" x14ac:dyDescent="0.25">
      <c r="A20219">
        <v>599</v>
      </c>
      <c r="B20219" t="s">
        <v>4794</v>
      </c>
      <c r="C20219" t="s">
        <v>48</v>
      </c>
      <c r="D20219" t="s">
        <v>406</v>
      </c>
      <c r="E20219">
        <f>1/180</f>
        <v>5.5555555555555558E-3</v>
      </c>
      <c r="F20219">
        <v>10</v>
      </c>
      <c r="G20219">
        <f>LOG(382/(10+1))</f>
        <v>1.5406706777534838</v>
      </c>
      <c r="H20219">
        <f>0.00555555555555555*3.5475253358082</f>
        <v>1.9708474087823315E-2</v>
      </c>
      <c r="I20219">
        <v>1.970847408782336E-2</v>
      </c>
    </row>
    <row r="20220" spans="1:9" x14ac:dyDescent="0.25">
      <c r="A20220">
        <v>599</v>
      </c>
      <c r="B20220" t="s">
        <v>4794</v>
      </c>
      <c r="C20220" t="s">
        <v>48</v>
      </c>
      <c r="D20220" t="s">
        <v>106</v>
      </c>
      <c r="E20220">
        <f>3/180</f>
        <v>1.6666666666666666E-2</v>
      </c>
      <c r="F20220">
        <v>17</v>
      </c>
      <c r="G20220">
        <f>LOG(382/(17+1))</f>
        <v>1.3267908578084027</v>
      </c>
      <c r="H20220">
        <f>0.0166666666666666*3.05504885071041</f>
        <v>5.0917480845173294E-2</v>
      </c>
      <c r="I20220">
        <v>5.0917480845173502E-2</v>
      </c>
    </row>
    <row r="20221" spans="1:9" x14ac:dyDescent="0.25">
      <c r="A20221">
        <v>599</v>
      </c>
      <c r="B20221" t="s">
        <v>4794</v>
      </c>
      <c r="C20221" t="s">
        <v>48</v>
      </c>
      <c r="D20221" t="s">
        <v>600</v>
      </c>
      <c r="E20221">
        <f>3/180</f>
        <v>1.6666666666666666E-2</v>
      </c>
      <c r="F20221">
        <v>102</v>
      </c>
      <c r="G20221">
        <f>LOG(382/(102+1))</f>
        <v>0.56922613820653656</v>
      </c>
      <c r="H20221">
        <f>0.0166666666666666*1.31069162037693</f>
        <v>2.1844860339615416E-2</v>
      </c>
      <c r="I20221">
        <v>2.1844860339615659E-2</v>
      </c>
    </row>
    <row r="20222" spans="1:9" x14ac:dyDescent="0.25">
      <c r="A20222">
        <v>599</v>
      </c>
      <c r="B20222" t="s">
        <v>4794</v>
      </c>
      <c r="C20222" t="s">
        <v>48</v>
      </c>
      <c r="D20222" t="s">
        <v>4392</v>
      </c>
      <c r="E20222">
        <f>3/180</f>
        <v>1.6666666666666666E-2</v>
      </c>
      <c r="F20222">
        <v>2</v>
      </c>
      <c r="G20222">
        <f>LOG(382/(2+1))</f>
        <v>2.1049421081920463</v>
      </c>
      <c r="H20222">
        <f>0.0166666666666666*4.84680831993846</f>
        <v>8.0780138665640683E-2</v>
      </c>
      <c r="I20222">
        <v>8.0780138665641085E-2</v>
      </c>
    </row>
    <row r="20223" spans="1:9" x14ac:dyDescent="0.25">
      <c r="A20223">
        <v>599</v>
      </c>
      <c r="B20223" t="s">
        <v>4794</v>
      </c>
      <c r="C20223" t="s">
        <v>48</v>
      </c>
      <c r="D20223" t="s">
        <v>237</v>
      </c>
      <c r="E20223">
        <f>2/180</f>
        <v>1.1111111111111112E-2</v>
      </c>
      <c r="F20223">
        <v>138</v>
      </c>
      <c r="G20223">
        <f>LOG(382/(138+1))</f>
        <v>0.43904856265761361</v>
      </c>
      <c r="H20223">
        <f>0.0111111111111111*1.01094667547588</f>
        <v>1.1232740838620877E-2</v>
      </c>
      <c r="I20223">
        <v>1.1232740838620929E-2</v>
      </c>
    </row>
    <row r="20224" spans="1:9" x14ac:dyDescent="0.25">
      <c r="A20224">
        <v>599</v>
      </c>
      <c r="B20224" t="s">
        <v>4794</v>
      </c>
      <c r="C20224" t="s">
        <v>48</v>
      </c>
      <c r="D20224" t="s">
        <v>81</v>
      </c>
      <c r="E20224">
        <f>1/180</f>
        <v>5.5555555555555558E-3</v>
      </c>
      <c r="F20224">
        <v>114</v>
      </c>
      <c r="G20224">
        <f>LOG(382/(114+1))</f>
        <v>0.52136552255809698</v>
      </c>
      <c r="H20224">
        <f>0.00555555555555555*1.20048848024332</f>
        <v>6.669380445796215E-3</v>
      </c>
      <c r="I20224">
        <v>6.6693804457962514E-3</v>
      </c>
    </row>
    <row r="20225" spans="1:9" x14ac:dyDescent="0.25">
      <c r="A20225">
        <v>599</v>
      </c>
      <c r="B20225" t="s">
        <v>4794</v>
      </c>
      <c r="C20225" t="s">
        <v>48</v>
      </c>
      <c r="D20225" t="s">
        <v>1296</v>
      </c>
      <c r="E20225">
        <f>1/180</f>
        <v>5.5555555555555558E-3</v>
      </c>
      <c r="F20225">
        <v>14</v>
      </c>
      <c r="G20225">
        <f>LOG(382/(14+1))</f>
        <v>1.4059721038560276</v>
      </c>
      <c r="H20225">
        <f>0.00555555555555555*3.23737040750436</f>
        <v>1.7985391152801979E-2</v>
      </c>
      <c r="I20225">
        <v>1.7985391152802031E-2</v>
      </c>
    </row>
    <row r="20226" spans="1:9" x14ac:dyDescent="0.25">
      <c r="A20226">
        <v>599</v>
      </c>
      <c r="B20226" t="s">
        <v>4794</v>
      </c>
      <c r="C20226" t="s">
        <v>48</v>
      </c>
      <c r="D20226" t="s">
        <v>576</v>
      </c>
      <c r="E20226">
        <f>2/180</f>
        <v>1.1111111111111112E-2</v>
      </c>
      <c r="F20226">
        <v>5</v>
      </c>
      <c r="G20226">
        <f>LOG(382/(5+1))</f>
        <v>1.803912112528065</v>
      </c>
      <c r="H20226">
        <f>0.0111111111111111*4.15366113937852</f>
        <v>4.6151790437539059E-2</v>
      </c>
      <c r="I20226">
        <v>4.6151790437539107E-2</v>
      </c>
    </row>
    <row r="20227" spans="1:9" x14ac:dyDescent="0.25">
      <c r="A20227">
        <v>599</v>
      </c>
      <c r="B20227" t="s">
        <v>4794</v>
      </c>
      <c r="C20227" t="s">
        <v>48</v>
      </c>
      <c r="D20227" t="s">
        <v>577</v>
      </c>
      <c r="E20227">
        <f t="shared" ref="E20227:E20233" si="962">1/180</f>
        <v>5.5555555555555558E-3</v>
      </c>
      <c r="F20227">
        <v>4</v>
      </c>
      <c r="G20227">
        <f>LOG(382/(4+1))</f>
        <v>1.8830933585756899</v>
      </c>
      <c r="H20227">
        <f>0.00555555555555555*4.33598269617247</f>
        <v>2.40887927565137E-2</v>
      </c>
      <c r="I20227">
        <v>2.4088792756513749E-2</v>
      </c>
    </row>
    <row r="20228" spans="1:9" x14ac:dyDescent="0.25">
      <c r="A20228">
        <v>599</v>
      </c>
      <c r="B20228" t="s">
        <v>4794</v>
      </c>
      <c r="C20228" t="s">
        <v>48</v>
      </c>
      <c r="D20228" t="s">
        <v>4805</v>
      </c>
      <c r="E20228">
        <f t="shared" si="962"/>
        <v>5.5555555555555558E-3</v>
      </c>
      <c r="F20228">
        <v>1</v>
      </c>
      <c r="G20228">
        <f>LOG(382/(1+1))</f>
        <v>2.2810333672477277</v>
      </c>
      <c r="H20228">
        <f>0.00555555555555555*5.25227342804663</f>
        <v>2.9179296822481247E-2</v>
      </c>
      <c r="I20228">
        <v>2.9179296822481281E-2</v>
      </c>
    </row>
    <row r="20229" spans="1:9" x14ac:dyDescent="0.25">
      <c r="A20229">
        <v>599</v>
      </c>
      <c r="B20229" t="s">
        <v>4794</v>
      </c>
      <c r="C20229" t="s">
        <v>48</v>
      </c>
      <c r="D20229" t="s">
        <v>4701</v>
      </c>
      <c r="E20229">
        <f t="shared" si="962"/>
        <v>5.5555555555555558E-3</v>
      </c>
      <c r="F20229">
        <v>2</v>
      </c>
      <c r="G20229">
        <f>LOG(382/(2+1))</f>
        <v>2.1049421081920463</v>
      </c>
      <c r="H20229">
        <f>0.00555555555555555*4.84680831993846</f>
        <v>2.6926712888546971E-2</v>
      </c>
      <c r="I20229">
        <v>2.692671288854703E-2</v>
      </c>
    </row>
    <row r="20230" spans="1:9" x14ac:dyDescent="0.25">
      <c r="A20230">
        <v>599</v>
      </c>
      <c r="B20230" t="s">
        <v>4794</v>
      </c>
      <c r="C20230" t="s">
        <v>48</v>
      </c>
      <c r="D20230" t="s">
        <v>4711</v>
      </c>
      <c r="E20230">
        <f t="shared" si="962"/>
        <v>5.5555555555555558E-3</v>
      </c>
      <c r="F20230">
        <v>2</v>
      </c>
      <c r="G20230">
        <f>LOG(382/(2+1))</f>
        <v>2.1049421081920463</v>
      </c>
      <c r="H20230">
        <f>0.00555555555555555*4.84680831993846</f>
        <v>2.6926712888546971E-2</v>
      </c>
      <c r="I20230">
        <v>2.692671288854703E-2</v>
      </c>
    </row>
    <row r="20231" spans="1:9" x14ac:dyDescent="0.25">
      <c r="A20231">
        <v>599</v>
      </c>
      <c r="B20231" t="s">
        <v>4794</v>
      </c>
      <c r="C20231" t="s">
        <v>48</v>
      </c>
      <c r="D20231" t="s">
        <v>1973</v>
      </c>
      <c r="E20231">
        <f t="shared" si="962"/>
        <v>5.5555555555555558E-3</v>
      </c>
      <c r="F20231">
        <v>2</v>
      </c>
      <c r="G20231">
        <f>LOG(382/(2+1))</f>
        <v>2.1049421081920463</v>
      </c>
      <c r="H20231">
        <f>0.00555555555555555*4.84680831993846</f>
        <v>2.6926712888546971E-2</v>
      </c>
      <c r="I20231">
        <v>2.692671288854703E-2</v>
      </c>
    </row>
    <row r="20232" spans="1:9" x14ac:dyDescent="0.25">
      <c r="A20232">
        <v>599</v>
      </c>
      <c r="B20232" t="s">
        <v>4794</v>
      </c>
      <c r="C20232" t="s">
        <v>48</v>
      </c>
      <c r="D20232" t="s">
        <v>4806</v>
      </c>
      <c r="E20232">
        <f t="shared" si="962"/>
        <v>5.5555555555555558E-3</v>
      </c>
      <c r="F20232">
        <v>1</v>
      </c>
      <c r="G20232">
        <f>LOG(382/(1+1))</f>
        <v>2.2810333672477277</v>
      </c>
      <c r="H20232">
        <f>0.00555555555555555*5.25227342804663</f>
        <v>2.9179296822481247E-2</v>
      </c>
      <c r="I20232">
        <v>2.9179296822481281E-2</v>
      </c>
    </row>
    <row r="20233" spans="1:9" x14ac:dyDescent="0.25">
      <c r="A20233">
        <v>599</v>
      </c>
      <c r="B20233" t="s">
        <v>4794</v>
      </c>
      <c r="C20233" t="s">
        <v>48</v>
      </c>
      <c r="D20233" t="s">
        <v>4807</v>
      </c>
      <c r="E20233">
        <f t="shared" si="962"/>
        <v>5.5555555555555558E-3</v>
      </c>
      <c r="F20233">
        <v>1</v>
      </c>
      <c r="G20233">
        <f>LOG(382/(1+1))</f>
        <v>2.2810333672477277</v>
      </c>
      <c r="H20233">
        <f>0.00555555555555555*5.25227342804663</f>
        <v>2.9179296822481247E-2</v>
      </c>
      <c r="I20233">
        <v>2.9179296822481281E-2</v>
      </c>
    </row>
    <row r="20234" spans="1:9" x14ac:dyDescent="0.25">
      <c r="A20234">
        <v>599</v>
      </c>
      <c r="B20234" t="s">
        <v>4794</v>
      </c>
      <c r="C20234" t="s">
        <v>48</v>
      </c>
      <c r="D20234" t="s">
        <v>204</v>
      </c>
      <c r="E20234">
        <f>2/180</f>
        <v>1.1111111111111112E-2</v>
      </c>
      <c r="F20234">
        <v>166</v>
      </c>
      <c r="G20234">
        <f>LOG(382/(166+1))</f>
        <v>0.35934689176412549</v>
      </c>
      <c r="H20234">
        <f>0.0111111111111111*0.82742679618982</f>
        <v>9.1936310687757671E-3</v>
      </c>
      <c r="I20234">
        <v>9.1936310687757792E-3</v>
      </c>
    </row>
    <row r="20235" spans="1:9" x14ac:dyDescent="0.25">
      <c r="A20235">
        <v>599</v>
      </c>
      <c r="B20235" t="s">
        <v>4794</v>
      </c>
      <c r="C20235" t="s">
        <v>48</v>
      </c>
      <c r="D20235" t="s">
        <v>78</v>
      </c>
      <c r="E20235">
        <f>2/180</f>
        <v>1.1111111111111112E-2</v>
      </c>
      <c r="F20235">
        <v>122</v>
      </c>
      <c r="G20235">
        <f>LOG(382/(122+1))</f>
        <v>0.49215825147231079</v>
      </c>
      <c r="H20235">
        <f>0.0111111111111111*1.13323625323415</f>
        <v>1.2591513924823876E-2</v>
      </c>
      <c r="I20235">
        <v>1.259151392482397E-2</v>
      </c>
    </row>
    <row r="20236" spans="1:9" x14ac:dyDescent="0.25">
      <c r="A20236">
        <v>599</v>
      </c>
      <c r="B20236" t="s">
        <v>4794</v>
      </c>
      <c r="C20236" t="s">
        <v>48</v>
      </c>
      <c r="D20236" t="s">
        <v>483</v>
      </c>
      <c r="E20236">
        <f>2/180</f>
        <v>1.1111111111111112E-2</v>
      </c>
      <c r="F20236">
        <v>61</v>
      </c>
      <c r="G20236">
        <f>LOG(382/(61+1))</f>
        <v>0.7896716734134549</v>
      </c>
      <c r="H20236">
        <f>0.0111111111111111*1.81828622356148</f>
        <v>2.0203180261794202E-2</v>
      </c>
      <c r="I20236">
        <v>2.0203180261794261E-2</v>
      </c>
    </row>
    <row r="20237" spans="1:9" x14ac:dyDescent="0.25">
      <c r="A20237">
        <v>599</v>
      </c>
      <c r="B20237" t="s">
        <v>4794</v>
      </c>
      <c r="C20237" t="s">
        <v>48</v>
      </c>
      <c r="D20237" t="s">
        <v>1709</v>
      </c>
      <c r="E20237">
        <f>1/180</f>
        <v>5.5555555555555558E-3</v>
      </c>
      <c r="F20237">
        <v>21</v>
      </c>
      <c r="G20237">
        <f>LOG(382/(21+1))</f>
        <v>1.2396406820895025</v>
      </c>
      <c r="H20237">
        <f>0.00555555555555555*2.85437815524825</f>
        <v>1.5857656418045814E-2</v>
      </c>
      <c r="I20237">
        <v>1.585765641804588E-2</v>
      </c>
    </row>
    <row r="20238" spans="1:9" x14ac:dyDescent="0.25">
      <c r="A20238">
        <v>599</v>
      </c>
      <c r="B20238" t="s">
        <v>4794</v>
      </c>
      <c r="C20238" t="s">
        <v>48</v>
      </c>
      <c r="D20238" t="s">
        <v>764</v>
      </c>
      <c r="E20238">
        <f>2/180</f>
        <v>1.1111111111111112E-2</v>
      </c>
      <c r="F20238">
        <v>57</v>
      </c>
      <c r="G20238">
        <f>LOG(382/(57+1))</f>
        <v>0.81863536934877146</v>
      </c>
      <c r="H20238">
        <f>0.0111111111111111*1.88497759806015</f>
        <v>2.0944195534001644E-2</v>
      </c>
      <c r="I20238">
        <v>2.0944195534001731E-2</v>
      </c>
    </row>
    <row r="20239" spans="1:9" x14ac:dyDescent="0.25">
      <c r="A20239">
        <v>599</v>
      </c>
      <c r="B20239" t="s">
        <v>4794</v>
      </c>
      <c r="C20239" t="s">
        <v>48</v>
      </c>
      <c r="D20239" t="s">
        <v>4808</v>
      </c>
      <c r="E20239">
        <f>1/180</f>
        <v>5.5555555555555558E-3</v>
      </c>
      <c r="F20239">
        <v>1</v>
      </c>
      <c r="G20239">
        <f>LOG(382/(1+1))</f>
        <v>2.2810333672477277</v>
      </c>
      <c r="H20239">
        <f>0.00555555555555555*5.25227342804663</f>
        <v>2.9179296822481247E-2</v>
      </c>
      <c r="I20239">
        <v>2.9179296822481281E-2</v>
      </c>
    </row>
    <row r="20240" spans="1:9" x14ac:dyDescent="0.25">
      <c r="A20240">
        <v>599</v>
      </c>
      <c r="B20240" t="s">
        <v>4794</v>
      </c>
      <c r="C20240" t="s">
        <v>48</v>
      </c>
      <c r="D20240" t="s">
        <v>4809</v>
      </c>
      <c r="E20240">
        <f>1/180</f>
        <v>5.5555555555555558E-3</v>
      </c>
      <c r="F20240">
        <v>1</v>
      </c>
      <c r="G20240">
        <f>LOG(382/(1+1))</f>
        <v>2.2810333672477277</v>
      </c>
      <c r="H20240">
        <f>0.00555555555555555*5.25227342804663</f>
        <v>2.9179296822481247E-2</v>
      </c>
      <c r="I20240">
        <v>2.9179296822481281E-2</v>
      </c>
    </row>
    <row r="20241" spans="1:9" x14ac:dyDescent="0.25">
      <c r="A20241">
        <v>599</v>
      </c>
      <c r="B20241" t="s">
        <v>4794</v>
      </c>
      <c r="C20241" t="s">
        <v>48</v>
      </c>
      <c r="D20241" t="s">
        <v>1525</v>
      </c>
      <c r="E20241">
        <f>2/180</f>
        <v>1.1111111111111112E-2</v>
      </c>
      <c r="F20241">
        <v>8</v>
      </c>
      <c r="G20241">
        <f>LOG(382/(8+1))</f>
        <v>1.6278208534723839</v>
      </c>
      <c r="H20241">
        <f>0.0111111111111111*3.74819603127035</f>
        <v>4.1646622569670513E-2</v>
      </c>
      <c r="I20241">
        <v>4.1646622569670617E-2</v>
      </c>
    </row>
    <row r="20242" spans="1:9" x14ac:dyDescent="0.25">
      <c r="A20242">
        <v>599</v>
      </c>
      <c r="B20242" t="s">
        <v>4794</v>
      </c>
      <c r="C20242" t="s">
        <v>48</v>
      </c>
      <c r="D20242" t="s">
        <v>1543</v>
      </c>
      <c r="E20242">
        <f>1/180</f>
        <v>5.5555555555555558E-3</v>
      </c>
      <c r="F20242">
        <v>2</v>
      </c>
      <c r="G20242">
        <f>LOG(382/(2+1))</f>
        <v>2.1049421081920463</v>
      </c>
      <c r="H20242">
        <f>0.00555555555555555*4.84680831993846</f>
        <v>2.6926712888546971E-2</v>
      </c>
      <c r="I20242">
        <v>2.692671288854703E-2</v>
      </c>
    </row>
    <row r="20243" spans="1:9" x14ac:dyDescent="0.25">
      <c r="A20243">
        <v>599</v>
      </c>
      <c r="B20243" t="s">
        <v>4794</v>
      </c>
      <c r="C20243" t="s">
        <v>48</v>
      </c>
      <c r="D20243" t="s">
        <v>338</v>
      </c>
      <c r="E20243">
        <f>1/180</f>
        <v>5.5555555555555558E-3</v>
      </c>
      <c r="F20243">
        <v>54</v>
      </c>
      <c r="G20243">
        <f>LOG(382/(54+1))</f>
        <v>0.84170067341746491</v>
      </c>
      <c r="H20243">
        <f>0.00555555555555555*1.9380874233741</f>
        <v>1.0767152352078322E-2</v>
      </c>
      <c r="I20243">
        <v>1.076715235207836E-2</v>
      </c>
    </row>
    <row r="20244" spans="1:9" x14ac:dyDescent="0.25">
      <c r="A20244">
        <v>599</v>
      </c>
      <c r="B20244" t="s">
        <v>4794</v>
      </c>
      <c r="C20244" t="s">
        <v>48</v>
      </c>
      <c r="D20244" t="s">
        <v>324</v>
      </c>
      <c r="E20244">
        <f>1/180</f>
        <v>5.5555555555555558E-3</v>
      </c>
      <c r="F20244">
        <v>82</v>
      </c>
      <c r="G20244">
        <f>LOG(382/(82+1))</f>
        <v>0.66298527053563483</v>
      </c>
      <c r="H20244">
        <f>0.00555555555555555*1.52658000080997</f>
        <v>8.4810000044998231E-3</v>
      </c>
      <c r="I20244">
        <v>8.4810000044998734E-3</v>
      </c>
    </row>
    <row r="20245" spans="1:9" x14ac:dyDescent="0.25">
      <c r="A20245">
        <v>599</v>
      </c>
      <c r="B20245" t="s">
        <v>4794</v>
      </c>
      <c r="C20245" t="s">
        <v>48</v>
      </c>
      <c r="D20245" t="s">
        <v>1222</v>
      </c>
      <c r="E20245">
        <f>2/180</f>
        <v>1.1111111111111112E-2</v>
      </c>
      <c r="F20245">
        <v>56</v>
      </c>
      <c r="G20245">
        <f>LOG(382/(56+1))</f>
        <v>0.82618850723921733</v>
      </c>
      <c r="H20245">
        <f>0.0111111111111111*1.90236934077202</f>
        <v>2.1137437119689087E-2</v>
      </c>
      <c r="I20245">
        <v>2.113743711968917E-2</v>
      </c>
    </row>
    <row r="20246" spans="1:9" x14ac:dyDescent="0.25">
      <c r="A20246">
        <v>599</v>
      </c>
      <c r="B20246" t="s">
        <v>4794</v>
      </c>
      <c r="C20246" t="s">
        <v>48</v>
      </c>
      <c r="D20246" t="s">
        <v>1540</v>
      </c>
      <c r="E20246">
        <f t="shared" ref="E20246:E20255" si="963">1/180</f>
        <v>5.5555555555555558E-3</v>
      </c>
      <c r="F20246">
        <v>12</v>
      </c>
      <c r="G20246">
        <f>LOG(382/(12+1))</f>
        <v>1.468120010604872</v>
      </c>
      <c r="H20246">
        <f>0.00555555555555555*3.38047125114503</f>
        <v>1.8780395839694593E-2</v>
      </c>
      <c r="I20246">
        <v>1.8780395839694659E-2</v>
      </c>
    </row>
    <row r="20247" spans="1:9" x14ac:dyDescent="0.25">
      <c r="A20247">
        <v>599</v>
      </c>
      <c r="B20247" t="s">
        <v>4794</v>
      </c>
      <c r="C20247" t="s">
        <v>48</v>
      </c>
      <c r="D20247" t="s">
        <v>82</v>
      </c>
      <c r="E20247">
        <f t="shared" si="963"/>
        <v>5.5555555555555558E-3</v>
      </c>
      <c r="F20247">
        <v>92</v>
      </c>
      <c r="G20247">
        <f>LOG(382/(92+1))</f>
        <v>0.61358041435777355</v>
      </c>
      <c r="H20247">
        <f>0.00555555555555555*1.41282111545331</f>
        <v>7.8490061969628249E-3</v>
      </c>
      <c r="I20247">
        <v>7.8490061969628856E-3</v>
      </c>
    </row>
    <row r="20248" spans="1:9" x14ac:dyDescent="0.25">
      <c r="A20248">
        <v>599</v>
      </c>
      <c r="B20248" t="s">
        <v>4794</v>
      </c>
      <c r="C20248" t="s">
        <v>48</v>
      </c>
      <c r="D20248" t="s">
        <v>1784</v>
      </c>
      <c r="E20248">
        <f t="shared" si="963"/>
        <v>5.5555555555555558E-3</v>
      </c>
      <c r="F20248">
        <v>6</v>
      </c>
      <c r="G20248">
        <f>LOG(382/(6+1))</f>
        <v>1.736965322897452</v>
      </c>
      <c r="H20248">
        <f>0.00555555555555555*3.99951045955126</f>
        <v>2.2219502553062532E-2</v>
      </c>
      <c r="I20248">
        <v>2.221950255306257E-2</v>
      </c>
    </row>
    <row r="20249" spans="1:9" x14ac:dyDescent="0.25">
      <c r="A20249">
        <v>599</v>
      </c>
      <c r="B20249" t="s">
        <v>4794</v>
      </c>
      <c r="C20249" t="s">
        <v>48</v>
      </c>
      <c r="D20249" t="s">
        <v>878</v>
      </c>
      <c r="E20249">
        <f t="shared" si="963"/>
        <v>5.5555555555555558E-3</v>
      </c>
      <c r="F20249">
        <v>9</v>
      </c>
      <c r="G20249">
        <f>LOG(382/(9+1))</f>
        <v>1.5820633629117087</v>
      </c>
      <c r="H20249">
        <f>0.00555555555555555*3.64283551561252</f>
        <v>2.02379750867362E-2</v>
      </c>
      <c r="I20249">
        <v>2.023797508673628E-2</v>
      </c>
    </row>
    <row r="20250" spans="1:9" x14ac:dyDescent="0.25">
      <c r="A20250">
        <v>599</v>
      </c>
      <c r="B20250" t="s">
        <v>4794</v>
      </c>
      <c r="C20250" t="s">
        <v>48</v>
      </c>
      <c r="D20250" t="s">
        <v>1618</v>
      </c>
      <c r="E20250">
        <f t="shared" si="963"/>
        <v>5.5555555555555558E-3</v>
      </c>
      <c r="F20250">
        <v>6</v>
      </c>
      <c r="G20250">
        <f>LOG(382/(6+1))</f>
        <v>1.736965322897452</v>
      </c>
      <c r="H20250">
        <f>0.00555555555555555*3.99951045955126</f>
        <v>2.2219502553062532E-2</v>
      </c>
      <c r="I20250">
        <v>2.221950255306257E-2</v>
      </c>
    </row>
    <row r="20251" spans="1:9" x14ac:dyDescent="0.25">
      <c r="A20251">
        <v>599</v>
      </c>
      <c r="B20251" t="s">
        <v>4794</v>
      </c>
      <c r="C20251" t="s">
        <v>48</v>
      </c>
      <c r="D20251" t="s">
        <v>1789</v>
      </c>
      <c r="E20251">
        <f t="shared" si="963"/>
        <v>5.5555555555555558E-3</v>
      </c>
      <c r="F20251">
        <v>2</v>
      </c>
      <c r="G20251">
        <f>LOG(382/(2+1))</f>
        <v>2.1049421081920463</v>
      </c>
      <c r="H20251">
        <f>0.00555555555555555*4.84680831993846</f>
        <v>2.6926712888546971E-2</v>
      </c>
      <c r="I20251">
        <v>2.692671288854703E-2</v>
      </c>
    </row>
    <row r="20252" spans="1:9" x14ac:dyDescent="0.25">
      <c r="A20252">
        <v>599</v>
      </c>
      <c r="B20252" t="s">
        <v>4794</v>
      </c>
      <c r="C20252" t="s">
        <v>48</v>
      </c>
      <c r="D20252" t="s">
        <v>911</v>
      </c>
      <c r="E20252">
        <f t="shared" si="963"/>
        <v>5.5555555555555558E-3</v>
      </c>
      <c r="F20252">
        <v>22</v>
      </c>
      <c r="G20252">
        <f>LOG(382/(22+1))</f>
        <v>1.2203355268941158</v>
      </c>
      <c r="H20252">
        <f>0.00555555555555555*2.80992639267742</f>
        <v>1.5610702181541205E-2</v>
      </c>
      <c r="I20252">
        <v>1.561070218154125E-2</v>
      </c>
    </row>
    <row r="20253" spans="1:9" x14ac:dyDescent="0.25">
      <c r="A20253">
        <v>599</v>
      </c>
      <c r="B20253" t="s">
        <v>4794</v>
      </c>
      <c r="C20253" t="s">
        <v>48</v>
      </c>
      <c r="D20253" t="s">
        <v>126</v>
      </c>
      <c r="E20253">
        <f t="shared" si="963"/>
        <v>5.5555555555555558E-3</v>
      </c>
      <c r="F20253">
        <v>79</v>
      </c>
      <c r="G20253">
        <f>LOG(382/(79+1))</f>
        <v>0.67897337591976514</v>
      </c>
      <c r="H20253">
        <f>0.00555555555555555*1.56339397393269</f>
        <v>8.685522077403824E-3</v>
      </c>
      <c r="I20253">
        <v>8.6855220774038535E-3</v>
      </c>
    </row>
    <row r="20254" spans="1:9" x14ac:dyDescent="0.25">
      <c r="A20254">
        <v>599</v>
      </c>
      <c r="B20254" t="s">
        <v>4794</v>
      </c>
      <c r="C20254" t="s">
        <v>48</v>
      </c>
      <c r="D20254" t="s">
        <v>1398</v>
      </c>
      <c r="E20254">
        <f t="shared" si="963"/>
        <v>5.5555555555555558E-3</v>
      </c>
      <c r="F20254">
        <v>29</v>
      </c>
      <c r="G20254">
        <f>LOG(382/(29+1))</f>
        <v>1.1049421081920463</v>
      </c>
      <c r="H20254">
        <f>0.00555555555555555*2.54422322694442</f>
        <v>1.413457348302454E-2</v>
      </c>
      <c r="I20254">
        <v>1.4134573483024561E-2</v>
      </c>
    </row>
    <row r="20255" spans="1:9" x14ac:dyDescent="0.25">
      <c r="A20255">
        <v>599</v>
      </c>
      <c r="B20255" t="s">
        <v>4794</v>
      </c>
      <c r="C20255" t="s">
        <v>48</v>
      </c>
      <c r="D20255" t="s">
        <v>1984</v>
      </c>
      <c r="E20255">
        <f t="shared" si="963"/>
        <v>5.5555555555555558E-3</v>
      </c>
      <c r="F20255">
        <v>7</v>
      </c>
      <c r="G20255">
        <f>LOG(382/(7+1))</f>
        <v>1.6789733759197651</v>
      </c>
      <c r="H20255">
        <f>0.00555555555555555*3.86597906692673</f>
        <v>2.1477661482926257E-2</v>
      </c>
      <c r="I20255">
        <v>2.1477661482926329E-2</v>
      </c>
    </row>
    <row r="20256" spans="1:9" x14ac:dyDescent="0.25">
      <c r="A20256">
        <v>599</v>
      </c>
      <c r="B20256" t="s">
        <v>4794</v>
      </c>
      <c r="C20256" t="s">
        <v>48</v>
      </c>
      <c r="D20256" t="s">
        <v>779</v>
      </c>
      <c r="E20256">
        <f>2/180</f>
        <v>1.1111111111111112E-2</v>
      </c>
      <c r="F20256">
        <v>25</v>
      </c>
      <c r="G20256">
        <f>LOG(382/(25+1))</f>
        <v>1.1670900149408907</v>
      </c>
      <c r="H20256">
        <f>0.0111111111111111*2.68732407058509</f>
        <v>2.9859156339834301E-2</v>
      </c>
      <c r="I20256">
        <v>2.985915633983437E-2</v>
      </c>
    </row>
    <row r="20257" spans="1:9" x14ac:dyDescent="0.25">
      <c r="A20257">
        <v>599</v>
      </c>
      <c r="B20257" t="s">
        <v>4794</v>
      </c>
      <c r="C20257" t="s">
        <v>48</v>
      </c>
      <c r="D20257" t="s">
        <v>1741</v>
      </c>
      <c r="E20257">
        <f t="shared" ref="E20257:E20264" si="964">1/180</f>
        <v>5.5555555555555558E-3</v>
      </c>
      <c r="F20257">
        <v>6</v>
      </c>
      <c r="G20257">
        <f>LOG(382/(6+1))</f>
        <v>1.736965322897452</v>
      </c>
      <c r="H20257">
        <f>0.00555555555555555*3.99951045955126</f>
        <v>2.2219502553062532E-2</v>
      </c>
      <c r="I20257">
        <v>2.221950255306257E-2</v>
      </c>
    </row>
    <row r="20258" spans="1:9" x14ac:dyDescent="0.25">
      <c r="A20258">
        <v>599</v>
      </c>
      <c r="B20258" t="s">
        <v>4794</v>
      </c>
      <c r="C20258" t="s">
        <v>48</v>
      </c>
      <c r="D20258" t="s">
        <v>432</v>
      </c>
      <c r="E20258">
        <f t="shared" si="964"/>
        <v>5.5555555555555558E-3</v>
      </c>
      <c r="F20258">
        <v>67</v>
      </c>
      <c r="G20258">
        <f>LOG(382/(67+1))</f>
        <v>0.7495544502054724</v>
      </c>
      <c r="H20258">
        <f>0.00555555555555555*1.72591290343046</f>
        <v>9.5884050190581018E-3</v>
      </c>
      <c r="I20258">
        <v>9.5884050190581573E-3</v>
      </c>
    </row>
    <row r="20259" spans="1:9" x14ac:dyDescent="0.25">
      <c r="A20259">
        <v>599</v>
      </c>
      <c r="B20259" t="s">
        <v>4794</v>
      </c>
      <c r="C20259" t="s">
        <v>48</v>
      </c>
      <c r="D20259" t="s">
        <v>4810</v>
      </c>
      <c r="E20259">
        <f t="shared" si="964"/>
        <v>5.5555555555555558E-3</v>
      </c>
      <c r="F20259">
        <v>1</v>
      </c>
      <c r="G20259">
        <f>LOG(382/(1+1))</f>
        <v>2.2810333672477277</v>
      </c>
      <c r="H20259">
        <f>0.00555555555555555*5.25227342804663</f>
        <v>2.9179296822481247E-2</v>
      </c>
      <c r="I20259">
        <v>2.9179296822481281E-2</v>
      </c>
    </row>
    <row r="20260" spans="1:9" x14ac:dyDescent="0.25">
      <c r="A20260">
        <v>599</v>
      </c>
      <c r="B20260" t="s">
        <v>4794</v>
      </c>
      <c r="C20260" t="s">
        <v>48</v>
      </c>
      <c r="D20260" t="s">
        <v>1473</v>
      </c>
      <c r="E20260">
        <f t="shared" si="964"/>
        <v>5.5555555555555558E-3</v>
      </c>
      <c r="F20260">
        <v>39</v>
      </c>
      <c r="G20260">
        <f>LOG(382/(39+1))</f>
        <v>0.9800033715837464</v>
      </c>
      <c r="H20260">
        <f>0.00555555555555555*2.25654115449263</f>
        <v>1.2536339747181265E-2</v>
      </c>
      <c r="I20260">
        <v>1.2536339747181329E-2</v>
      </c>
    </row>
    <row r="20261" spans="1:9" x14ac:dyDescent="0.25">
      <c r="A20261">
        <v>599</v>
      </c>
      <c r="B20261" t="s">
        <v>4794</v>
      </c>
      <c r="C20261" t="s">
        <v>48</v>
      </c>
      <c r="D20261" t="s">
        <v>144</v>
      </c>
      <c r="E20261">
        <f t="shared" si="964"/>
        <v>5.5555555555555558E-3</v>
      </c>
      <c r="F20261">
        <v>105</v>
      </c>
      <c r="G20261">
        <f>LOG(382/(105+1))</f>
        <v>0.55675749764693849</v>
      </c>
      <c r="H20261">
        <f>0.00555555555555555*1.2819815144945</f>
        <v>7.1221195249694365E-3</v>
      </c>
      <c r="I20261">
        <v>7.1221195249694894E-3</v>
      </c>
    </row>
    <row r="20262" spans="1:9" x14ac:dyDescent="0.25">
      <c r="A20262">
        <v>599</v>
      </c>
      <c r="B20262" t="s">
        <v>4794</v>
      </c>
      <c r="C20262" t="s">
        <v>48</v>
      </c>
      <c r="D20262" t="s">
        <v>758</v>
      </c>
      <c r="E20262">
        <f t="shared" si="964"/>
        <v>5.5555555555555558E-3</v>
      </c>
      <c r="F20262">
        <v>26</v>
      </c>
      <c r="G20262">
        <f>LOG(382/(26+1))</f>
        <v>1.1506995987527215</v>
      </c>
      <c r="H20262">
        <f>0.00555555555555555*2.64958374260224</f>
        <v>1.4719909681123539E-2</v>
      </c>
      <c r="I20262">
        <v>1.471990968112359E-2</v>
      </c>
    </row>
    <row r="20263" spans="1:9" x14ac:dyDescent="0.25">
      <c r="A20263">
        <v>599</v>
      </c>
      <c r="B20263" t="s">
        <v>4794</v>
      </c>
      <c r="C20263" t="s">
        <v>48</v>
      </c>
      <c r="D20263" t="s">
        <v>340</v>
      </c>
      <c r="E20263">
        <f t="shared" si="964"/>
        <v>5.5555555555555558E-3</v>
      </c>
      <c r="F20263">
        <v>28</v>
      </c>
      <c r="G20263">
        <f>LOG(382/(28+1))</f>
        <v>1.1196653650127526</v>
      </c>
      <c r="H20263">
        <f>0.00555555555555555*2.5781247786201</f>
        <v>1.4322915436778317E-2</v>
      </c>
      <c r="I20263">
        <v>1.4322915436778339E-2</v>
      </c>
    </row>
    <row r="20264" spans="1:9" x14ac:dyDescent="0.25">
      <c r="A20264">
        <v>599</v>
      </c>
      <c r="B20264" t="s">
        <v>4794</v>
      </c>
      <c r="C20264" t="s">
        <v>48</v>
      </c>
      <c r="D20264" t="s">
        <v>339</v>
      </c>
      <c r="E20264">
        <f t="shared" si="964"/>
        <v>5.5555555555555558E-3</v>
      </c>
      <c r="F20264">
        <v>66</v>
      </c>
      <c r="G20264">
        <f>LOG(382/(66+1))</f>
        <v>0.75598856021088234</v>
      </c>
      <c r="H20264">
        <f>0.00555555555555555*1.7407279892156</f>
        <v>9.6707110511977685E-3</v>
      </c>
      <c r="I20264">
        <v>9.6707110511978292E-3</v>
      </c>
    </row>
    <row r="20265" spans="1:9" x14ac:dyDescent="0.25">
      <c r="A20265">
        <v>599</v>
      </c>
      <c r="B20265" t="s">
        <v>4794</v>
      </c>
      <c r="C20265" t="s">
        <v>48</v>
      </c>
      <c r="D20265" t="s">
        <v>361</v>
      </c>
      <c r="E20265">
        <f>2/180</f>
        <v>1.1111111111111112E-2</v>
      </c>
      <c r="F20265">
        <v>118</v>
      </c>
      <c r="G20265">
        <f>LOG(382/(118+1))</f>
        <v>0.50651640151917798</v>
      </c>
      <c r="H20265">
        <f>0.0111111111111111*1.16629711549504</f>
        <v>1.2958856838833762E-2</v>
      </c>
      <c r="I20265">
        <v>1.295885683883384E-2</v>
      </c>
    </row>
    <row r="20266" spans="1:9" x14ac:dyDescent="0.25">
      <c r="A20266">
        <v>599</v>
      </c>
      <c r="B20266" t="s">
        <v>4794</v>
      </c>
      <c r="C20266" t="s">
        <v>48</v>
      </c>
      <c r="D20266" t="s">
        <v>434</v>
      </c>
      <c r="E20266">
        <f t="shared" ref="E20266:E20273" si="965">1/180</f>
        <v>5.5555555555555558E-3</v>
      </c>
      <c r="F20266">
        <v>97</v>
      </c>
      <c r="G20266">
        <f>LOG(382/(97+1))</f>
        <v>0.59083728721921391</v>
      </c>
      <c r="H20266">
        <f>0.00555555555555555*1.360453129936</f>
        <v>7.5580729440888816E-3</v>
      </c>
      <c r="I20266">
        <v>7.5580729440889068E-3</v>
      </c>
    </row>
    <row r="20267" spans="1:9" x14ac:dyDescent="0.25">
      <c r="A20267">
        <v>599</v>
      </c>
      <c r="B20267" t="s">
        <v>4794</v>
      </c>
      <c r="C20267" t="s">
        <v>48</v>
      </c>
      <c r="D20267" t="s">
        <v>1073</v>
      </c>
      <c r="E20267">
        <f t="shared" si="965"/>
        <v>5.5555555555555558E-3</v>
      </c>
      <c r="F20267">
        <v>25</v>
      </c>
      <c r="G20267">
        <f>LOG(382/(25+1))</f>
        <v>1.1670900149408907</v>
      </c>
      <c r="H20267">
        <f>0.00555555555555555*2.68732407058509</f>
        <v>1.492957816991715E-2</v>
      </c>
      <c r="I20267">
        <v>1.492957816991719E-2</v>
      </c>
    </row>
    <row r="20268" spans="1:9" x14ac:dyDescent="0.25">
      <c r="A20268">
        <v>599</v>
      </c>
      <c r="B20268" t="s">
        <v>4794</v>
      </c>
      <c r="C20268" t="s">
        <v>48</v>
      </c>
      <c r="D20268" t="s">
        <v>310</v>
      </c>
      <c r="E20268">
        <f t="shared" si="965"/>
        <v>5.5555555555555558E-3</v>
      </c>
      <c r="F20268">
        <v>50</v>
      </c>
      <c r="G20268">
        <f>LOG(382/(50+1))</f>
        <v>0.87449318681377242</v>
      </c>
      <c r="H20268">
        <f>0.00555555555555555*2.01359497588224</f>
        <v>1.1186638754901321E-2</v>
      </c>
      <c r="I20268">
        <v>1.118663875490139E-2</v>
      </c>
    </row>
    <row r="20269" spans="1:9" x14ac:dyDescent="0.25">
      <c r="A20269">
        <v>599</v>
      </c>
      <c r="B20269" t="s">
        <v>4794</v>
      </c>
      <c r="C20269" t="s">
        <v>48</v>
      </c>
      <c r="D20269" t="s">
        <v>1467</v>
      </c>
      <c r="E20269">
        <f t="shared" si="965"/>
        <v>5.5555555555555558E-3</v>
      </c>
      <c r="F20269">
        <v>21</v>
      </c>
      <c r="G20269">
        <f>LOG(382/(21+1))</f>
        <v>1.2396406820895025</v>
      </c>
      <c r="H20269">
        <f>0.00555555555555555*2.85437815524825</f>
        <v>1.5857656418045814E-2</v>
      </c>
      <c r="I20269">
        <v>1.585765641804588E-2</v>
      </c>
    </row>
    <row r="20270" spans="1:9" x14ac:dyDescent="0.25">
      <c r="A20270">
        <v>599</v>
      </c>
      <c r="B20270" t="s">
        <v>4794</v>
      </c>
      <c r="C20270" t="s">
        <v>48</v>
      </c>
      <c r="D20270" t="s">
        <v>1468</v>
      </c>
      <c r="E20270">
        <f t="shared" si="965"/>
        <v>5.5555555555555558E-3</v>
      </c>
      <c r="F20270">
        <v>8</v>
      </c>
      <c r="G20270">
        <f>LOG(382/(8+1))</f>
        <v>1.6278208534723839</v>
      </c>
      <c r="H20270">
        <f>0.00555555555555555*3.74819603127035</f>
        <v>2.0823311284835257E-2</v>
      </c>
      <c r="I20270">
        <v>2.0823311284835309E-2</v>
      </c>
    </row>
    <row r="20271" spans="1:9" x14ac:dyDescent="0.25">
      <c r="A20271">
        <v>599</v>
      </c>
      <c r="B20271" t="s">
        <v>4794</v>
      </c>
      <c r="C20271" t="s">
        <v>48</v>
      </c>
      <c r="D20271" t="s">
        <v>214</v>
      </c>
      <c r="E20271">
        <f t="shared" si="965"/>
        <v>5.5555555555555558E-3</v>
      </c>
      <c r="F20271">
        <v>68</v>
      </c>
      <c r="G20271">
        <f>LOG(382/(68+1))</f>
        <v>0.74321427217445335</v>
      </c>
      <c r="H20271">
        <f>0.00555555555555555*1.71131410400931</f>
        <v>9.5073005778294906E-3</v>
      </c>
      <c r="I20271">
        <v>9.5073005778295323E-3</v>
      </c>
    </row>
    <row r="20272" spans="1:9" x14ac:dyDescent="0.25">
      <c r="A20272">
        <v>599</v>
      </c>
      <c r="B20272" t="s">
        <v>4794</v>
      </c>
      <c r="C20272" t="s">
        <v>48</v>
      </c>
      <c r="D20272" t="s">
        <v>444</v>
      </c>
      <c r="E20272">
        <f t="shared" si="965"/>
        <v>5.5555555555555558E-3</v>
      </c>
      <c r="F20272">
        <v>28</v>
      </c>
      <c r="G20272">
        <f>LOG(382/(28+1))</f>
        <v>1.1196653650127526</v>
      </c>
      <c r="H20272">
        <f>0.00555555555555555*2.5781247786201</f>
        <v>1.4322915436778317E-2</v>
      </c>
      <c r="I20272">
        <v>1.4322915436778339E-2</v>
      </c>
    </row>
    <row r="20273" spans="1:9" x14ac:dyDescent="0.25">
      <c r="A20273">
        <v>599</v>
      </c>
      <c r="B20273" t="s">
        <v>4794</v>
      </c>
      <c r="C20273" t="s">
        <v>48</v>
      </c>
      <c r="D20273" t="s">
        <v>445</v>
      </c>
      <c r="E20273">
        <f t="shared" si="965"/>
        <v>5.5555555555555558E-3</v>
      </c>
      <c r="F20273">
        <v>35</v>
      </c>
      <c r="G20273">
        <f>LOG(382/(35+1))</f>
        <v>1.0257608621444214</v>
      </c>
      <c r="H20273">
        <f>0.00555555555555555*2.36190167015046</f>
        <v>1.312167594528032E-2</v>
      </c>
      <c r="I20273">
        <v>1.312167594528036E-2</v>
      </c>
    </row>
    <row r="20274" spans="1:9" x14ac:dyDescent="0.25">
      <c r="A20274">
        <v>599</v>
      </c>
      <c r="B20274" t="s">
        <v>4794</v>
      </c>
      <c r="C20274" t="s">
        <v>48</v>
      </c>
      <c r="D20274" t="s">
        <v>2204</v>
      </c>
      <c r="E20274">
        <f>2/180</f>
        <v>1.1111111111111112E-2</v>
      </c>
      <c r="F20274">
        <v>7</v>
      </c>
      <c r="G20274">
        <f>LOG(382/(7+1))</f>
        <v>1.6789733759197651</v>
      </c>
      <c r="H20274">
        <f>0.0111111111111111*3.86597906692673</f>
        <v>4.2955322965852513E-2</v>
      </c>
      <c r="I20274">
        <v>4.2955322965852659E-2</v>
      </c>
    </row>
    <row r="20275" spans="1:9" x14ac:dyDescent="0.25">
      <c r="A20275">
        <v>599</v>
      </c>
      <c r="B20275" t="s">
        <v>4794</v>
      </c>
      <c r="C20275" t="s">
        <v>48</v>
      </c>
      <c r="D20275" t="s">
        <v>490</v>
      </c>
      <c r="E20275">
        <f>1/180</f>
        <v>5.5555555555555558E-3</v>
      </c>
      <c r="F20275">
        <v>31</v>
      </c>
      <c r="G20275">
        <f>LOG(382/(31+1))</f>
        <v>1.0769133845918029</v>
      </c>
      <c r="H20275">
        <f>0.00555555555555555*2.47968470580684</f>
        <v>1.3776026143371319E-2</v>
      </c>
      <c r="I20275">
        <v>1.3776026143371379E-2</v>
      </c>
    </row>
    <row r="20276" spans="1:9" x14ac:dyDescent="0.25">
      <c r="A20276">
        <v>599</v>
      </c>
      <c r="B20276" t="s">
        <v>4794</v>
      </c>
      <c r="C20276" t="s">
        <v>48</v>
      </c>
      <c r="D20276" t="s">
        <v>2036</v>
      </c>
      <c r="E20276">
        <f>1/180</f>
        <v>5.5555555555555558E-3</v>
      </c>
      <c r="F20276">
        <v>7</v>
      </c>
      <c r="G20276">
        <f>LOG(382/(7+1))</f>
        <v>1.6789733759197651</v>
      </c>
      <c r="H20276">
        <f>0.00555555555555555*3.86597906692673</f>
        <v>2.1477661482926257E-2</v>
      </c>
      <c r="I20276">
        <v>2.1477661482926329E-2</v>
      </c>
    </row>
    <row r="20277" spans="1:9" x14ac:dyDescent="0.25">
      <c r="A20277">
        <v>599</v>
      </c>
      <c r="B20277" t="s">
        <v>4794</v>
      </c>
      <c r="C20277" t="s">
        <v>48</v>
      </c>
      <c r="D20277" t="s">
        <v>596</v>
      </c>
      <c r="E20277">
        <f>2/180</f>
        <v>1.1111111111111112E-2</v>
      </c>
      <c r="F20277">
        <v>60</v>
      </c>
      <c r="G20277">
        <f>LOG(382/(60+1))</f>
        <v>0.79673352790094176</v>
      </c>
      <c r="H20277">
        <f>0.0111111111111111*1.83454674443326</f>
        <v>2.0383852715925087E-2</v>
      </c>
      <c r="I20277">
        <v>2.038385271592516E-2</v>
      </c>
    </row>
    <row r="20278" spans="1:9" x14ac:dyDescent="0.25">
      <c r="A20278">
        <v>599</v>
      </c>
      <c r="B20278" t="s">
        <v>4794</v>
      </c>
      <c r="C20278" t="s">
        <v>48</v>
      </c>
      <c r="D20278" t="s">
        <v>1399</v>
      </c>
      <c r="E20278">
        <f>2/180</f>
        <v>1.1111111111111112E-2</v>
      </c>
      <c r="F20278">
        <v>7</v>
      </c>
      <c r="G20278">
        <f>LOG(382/(7+1))</f>
        <v>1.6789733759197651</v>
      </c>
      <c r="H20278">
        <f>0.0111111111111111*3.86597906692673</f>
        <v>4.2955322965852513E-2</v>
      </c>
      <c r="I20278">
        <v>4.2955322965852659E-2</v>
      </c>
    </row>
    <row r="20279" spans="1:9" x14ac:dyDescent="0.25">
      <c r="A20279">
        <v>599</v>
      </c>
      <c r="B20279" t="s">
        <v>4794</v>
      </c>
      <c r="C20279" t="s">
        <v>48</v>
      </c>
      <c r="D20279" t="s">
        <v>331</v>
      </c>
      <c r="E20279">
        <f>3/180</f>
        <v>1.6666666666666666E-2</v>
      </c>
      <c r="F20279">
        <v>130</v>
      </c>
      <c r="G20279">
        <f>LOG(382/(130+1))</f>
        <v>0.46479206725594452</v>
      </c>
      <c r="H20279">
        <f>0.0166666666666666*1.07022328540542</f>
        <v>1.7837054756756929E-2</v>
      </c>
      <c r="I20279">
        <v>1.7837054756757061E-2</v>
      </c>
    </row>
    <row r="20280" spans="1:9" x14ac:dyDescent="0.25">
      <c r="A20280">
        <v>599</v>
      </c>
      <c r="B20280" t="s">
        <v>4794</v>
      </c>
      <c r="C20280" t="s">
        <v>48</v>
      </c>
      <c r="D20280" t="s">
        <v>241</v>
      </c>
      <c r="E20280">
        <f>2/180</f>
        <v>1.1111111111111112E-2</v>
      </c>
      <c r="F20280">
        <v>19</v>
      </c>
      <c r="G20280">
        <f>LOG(382/(19+1))</f>
        <v>1.2810333672477277</v>
      </c>
      <c r="H20280">
        <f>0.0111111111111111*2.94968833505258</f>
        <v>3.2774314833917524E-2</v>
      </c>
      <c r="I20280">
        <v>3.2774314833917607E-2</v>
      </c>
    </row>
    <row r="20281" spans="1:9" x14ac:dyDescent="0.25">
      <c r="A20281">
        <v>599</v>
      </c>
      <c r="B20281" t="s">
        <v>4794</v>
      </c>
      <c r="C20281" t="s">
        <v>48</v>
      </c>
      <c r="D20281" t="s">
        <v>405</v>
      </c>
      <c r="E20281">
        <f>1/180</f>
        <v>5.5555555555555558E-3</v>
      </c>
      <c r="F20281">
        <v>10</v>
      </c>
      <c r="G20281">
        <f>LOG(382/(10+1))</f>
        <v>1.5406706777534838</v>
      </c>
      <c r="H20281">
        <f>0.00555555555555555*3.5475253358082</f>
        <v>1.9708474087823315E-2</v>
      </c>
      <c r="I20281">
        <v>1.970847408782336E-2</v>
      </c>
    </row>
    <row r="20282" spans="1:9" x14ac:dyDescent="0.25">
      <c r="A20282">
        <v>599</v>
      </c>
      <c r="B20282" t="s">
        <v>4794</v>
      </c>
      <c r="C20282" t="s">
        <v>48</v>
      </c>
      <c r="D20282" t="s">
        <v>1492</v>
      </c>
      <c r="E20282">
        <f>1/180</f>
        <v>5.5555555555555558E-3</v>
      </c>
      <c r="F20282">
        <v>8</v>
      </c>
      <c r="G20282">
        <f>LOG(382/(8+1))</f>
        <v>1.6278208534723839</v>
      </c>
      <c r="H20282">
        <f>0.00555555555555555*3.74819603127035</f>
        <v>2.0823311284835257E-2</v>
      </c>
      <c r="I20282">
        <v>2.0823311284835309E-2</v>
      </c>
    </row>
    <row r="20283" spans="1:9" x14ac:dyDescent="0.25">
      <c r="A20283">
        <v>599</v>
      </c>
      <c r="B20283" t="s">
        <v>4794</v>
      </c>
      <c r="C20283" t="s">
        <v>48</v>
      </c>
      <c r="D20283" t="s">
        <v>133</v>
      </c>
      <c r="E20283">
        <f>1/180</f>
        <v>5.5555555555555558E-3</v>
      </c>
      <c r="F20283">
        <v>142</v>
      </c>
      <c r="G20283">
        <f>LOG(382/(142+1))</f>
        <v>0.42672732544664693</v>
      </c>
      <c r="H20283">
        <f>0.00555555555555555*0.982575978346667</f>
        <v>5.4587554352592549E-3</v>
      </c>
      <c r="I20283">
        <v>5.4587554352592662E-3</v>
      </c>
    </row>
    <row r="20284" spans="1:9" x14ac:dyDescent="0.25">
      <c r="A20284">
        <v>599</v>
      </c>
      <c r="B20284" t="s">
        <v>4794</v>
      </c>
      <c r="C20284" t="s">
        <v>48</v>
      </c>
      <c r="D20284" t="s">
        <v>77</v>
      </c>
      <c r="E20284">
        <f>1/180</f>
        <v>5.5555555555555558E-3</v>
      </c>
      <c r="F20284">
        <v>148</v>
      </c>
      <c r="G20284">
        <f>LOG(382/(148+1))</f>
        <v>0.40887709449943471</v>
      </c>
      <c r="H20284">
        <f>0.00555555555555555*0.941474302661116</f>
        <v>5.23041279256175E-3</v>
      </c>
      <c r="I20284">
        <v>5.2304127925617561E-3</v>
      </c>
    </row>
    <row r="20285" spans="1:9" x14ac:dyDescent="0.25">
      <c r="A20285">
        <v>600</v>
      </c>
      <c r="B20285" t="s">
        <v>4811</v>
      </c>
      <c r="C20285" t="s">
        <v>10</v>
      </c>
      <c r="D20285" t="s">
        <v>1255</v>
      </c>
      <c r="E20285">
        <f t="shared" ref="E20285:E20307" si="966">1/23</f>
        <v>4.3478260869565216E-2</v>
      </c>
      <c r="F20285">
        <v>12</v>
      </c>
      <c r="G20285">
        <f>LOG(382/(12+1))</f>
        <v>1.468120010604872</v>
      </c>
      <c r="H20285">
        <f>0.0434782608695652*3.38047125114503</f>
        <v>0.14697701091934909</v>
      </c>
      <c r="I20285">
        <v>0.1469770109193495</v>
      </c>
    </row>
    <row r="20286" spans="1:9" x14ac:dyDescent="0.25">
      <c r="A20286">
        <v>600</v>
      </c>
      <c r="B20286" t="s">
        <v>4811</v>
      </c>
      <c r="C20286" t="s">
        <v>10</v>
      </c>
      <c r="D20286" t="s">
        <v>4812</v>
      </c>
      <c r="E20286">
        <f t="shared" si="966"/>
        <v>4.3478260869565216E-2</v>
      </c>
      <c r="F20286">
        <v>1</v>
      </c>
      <c r="G20286">
        <f>LOG(382/(1+1))</f>
        <v>2.2810333672477277</v>
      </c>
      <c r="H20286">
        <f>0.0434782608695652*5.25227342804663</f>
        <v>0.22835971426289686</v>
      </c>
      <c r="I20286">
        <v>0.22835971426289689</v>
      </c>
    </row>
    <row r="20287" spans="1:9" x14ac:dyDescent="0.25">
      <c r="A20287">
        <v>600</v>
      </c>
      <c r="B20287" t="s">
        <v>4811</v>
      </c>
      <c r="C20287" t="s">
        <v>10</v>
      </c>
      <c r="D20287" t="s">
        <v>144</v>
      </c>
      <c r="E20287">
        <f t="shared" si="966"/>
        <v>4.3478260869565216E-2</v>
      </c>
      <c r="F20287">
        <v>105</v>
      </c>
      <c r="G20287">
        <f>LOG(382/(105+1))</f>
        <v>0.55675749764693849</v>
      </c>
      <c r="H20287">
        <f>0.0434782608695652*1.2819815144945</f>
        <v>5.5738326717152155E-2</v>
      </c>
      <c r="I20287">
        <v>5.5738326717152523E-2</v>
      </c>
    </row>
    <row r="20288" spans="1:9" x14ac:dyDescent="0.25">
      <c r="A20288">
        <v>600</v>
      </c>
      <c r="B20288" t="s">
        <v>4811</v>
      </c>
      <c r="C20288" t="s">
        <v>10</v>
      </c>
      <c r="D20288" t="s">
        <v>42</v>
      </c>
      <c r="E20288">
        <f t="shared" si="966"/>
        <v>4.3478260869565216E-2</v>
      </c>
      <c r="F20288">
        <v>251</v>
      </c>
      <c r="G20288">
        <f>LOG(382/(251+1))</f>
        <v>0.18066282213016463</v>
      </c>
      <c r="H20288">
        <f>0.0434782608695652*0.415991521095151</f>
        <v>1.8086587873702209E-2</v>
      </c>
      <c r="I20288">
        <v>1.8086587873702251E-2</v>
      </c>
    </row>
    <row r="20289" spans="1:9" x14ac:dyDescent="0.25">
      <c r="A20289">
        <v>600</v>
      </c>
      <c r="B20289" t="s">
        <v>4811</v>
      </c>
      <c r="C20289" t="s">
        <v>10</v>
      </c>
      <c r="D20289" t="s">
        <v>15</v>
      </c>
      <c r="E20289">
        <f t="shared" si="966"/>
        <v>4.3478260869565216E-2</v>
      </c>
      <c r="F20289">
        <v>112</v>
      </c>
      <c r="G20289">
        <f>LOG(382/(112+1))</f>
        <v>0.52898491942828896</v>
      </c>
      <c r="H20289">
        <f>0.0434782608695652*1.21803278989423</f>
        <v>5.2957947386705638E-2</v>
      </c>
      <c r="I20289">
        <v>5.2957947386705853E-2</v>
      </c>
    </row>
    <row r="20290" spans="1:9" x14ac:dyDescent="0.25">
      <c r="A20290">
        <v>600</v>
      </c>
      <c r="B20290" t="s">
        <v>4811</v>
      </c>
      <c r="C20290" t="s">
        <v>10</v>
      </c>
      <c r="D20290" t="s">
        <v>4813</v>
      </c>
      <c r="E20290">
        <f t="shared" si="966"/>
        <v>4.3478260869565216E-2</v>
      </c>
      <c r="F20290">
        <v>1</v>
      </c>
      <c r="G20290">
        <f>LOG(382/(1+1))</f>
        <v>2.2810333672477277</v>
      </c>
      <c r="H20290">
        <f>0.0434782608695652*5.25227342804663</f>
        <v>0.22835971426289686</v>
      </c>
      <c r="I20290">
        <v>0.22835971426289689</v>
      </c>
    </row>
    <row r="20291" spans="1:9" x14ac:dyDescent="0.25">
      <c r="A20291">
        <v>600</v>
      </c>
      <c r="B20291" t="s">
        <v>4811</v>
      </c>
      <c r="C20291" t="s">
        <v>10</v>
      </c>
      <c r="D20291" t="s">
        <v>1477</v>
      </c>
      <c r="E20291">
        <f t="shared" si="966"/>
        <v>4.3478260869565216E-2</v>
      </c>
      <c r="F20291">
        <v>3</v>
      </c>
      <c r="G20291">
        <f>LOG(382/(3+1))</f>
        <v>1.9800033715837464</v>
      </c>
      <c r="H20291">
        <f>0.0434782608695652*4.55912624748668</f>
        <v>0.19822288032550775</v>
      </c>
      <c r="I20291">
        <v>0.198222880325508</v>
      </c>
    </row>
    <row r="20292" spans="1:9" x14ac:dyDescent="0.25">
      <c r="A20292">
        <v>600</v>
      </c>
      <c r="B20292" t="s">
        <v>4811</v>
      </c>
      <c r="C20292" t="s">
        <v>10</v>
      </c>
      <c r="D20292" t="s">
        <v>17</v>
      </c>
      <c r="E20292">
        <f t="shared" si="966"/>
        <v>4.3478260869565216E-2</v>
      </c>
      <c r="F20292">
        <v>169</v>
      </c>
      <c r="G20292">
        <f>LOG(382/(169+1))</f>
        <v>0.3516144415334348</v>
      </c>
      <c r="H20292">
        <f>0.0434782608695652*0.809622171556313</f>
        <v>3.5200963980709252E-2</v>
      </c>
      <c r="I20292">
        <v>3.5200963980709279E-2</v>
      </c>
    </row>
    <row r="20293" spans="1:9" x14ac:dyDescent="0.25">
      <c r="A20293">
        <v>600</v>
      </c>
      <c r="B20293" t="s">
        <v>4811</v>
      </c>
      <c r="C20293" t="s">
        <v>10</v>
      </c>
      <c r="D20293" t="s">
        <v>4814</v>
      </c>
      <c r="E20293">
        <f t="shared" si="966"/>
        <v>4.3478260869565216E-2</v>
      </c>
      <c r="F20293">
        <v>2</v>
      </c>
      <c r="G20293">
        <f>LOG(382/(2+1))</f>
        <v>2.1049421081920463</v>
      </c>
      <c r="H20293">
        <f>0.0434782608695652*4.84680831993846</f>
        <v>0.2107307965190634</v>
      </c>
      <c r="I20293">
        <v>0.21073079651906371</v>
      </c>
    </row>
    <row r="20294" spans="1:9" x14ac:dyDescent="0.25">
      <c r="A20294">
        <v>600</v>
      </c>
      <c r="B20294" t="s">
        <v>4811</v>
      </c>
      <c r="C20294" t="s">
        <v>10</v>
      </c>
      <c r="D20294" t="s">
        <v>19</v>
      </c>
      <c r="E20294">
        <f t="shared" si="966"/>
        <v>4.3478260869565216E-2</v>
      </c>
      <c r="F20294">
        <v>220</v>
      </c>
      <c r="G20294">
        <f>LOG(382/(220+1))</f>
        <v>0.23767108922659805</v>
      </c>
      <c r="H20294">
        <f>0.0434782608695652*0.547257907088822</f>
        <v>2.3793822047340082E-2</v>
      </c>
      <c r="I20294">
        <v>2.37938220473401E-2</v>
      </c>
    </row>
    <row r="20295" spans="1:9" x14ac:dyDescent="0.25">
      <c r="A20295">
        <v>600</v>
      </c>
      <c r="B20295" t="s">
        <v>4811</v>
      </c>
      <c r="C20295" t="s">
        <v>10</v>
      </c>
      <c r="D20295" t="s">
        <v>808</v>
      </c>
      <c r="E20295">
        <f t="shared" si="966"/>
        <v>4.3478260869565216E-2</v>
      </c>
      <c r="F20295">
        <v>20</v>
      </c>
      <c r="G20295">
        <f>LOG(382/(20+1))</f>
        <v>1.2598440681777894</v>
      </c>
      <c r="H20295">
        <f>0.0434782608695652*2.90089817088315</f>
        <v>0.12612600742970212</v>
      </c>
      <c r="I20295">
        <v>0.12612600742970231</v>
      </c>
    </row>
    <row r="20296" spans="1:9" x14ac:dyDescent="0.25">
      <c r="A20296">
        <v>600</v>
      </c>
      <c r="B20296" t="s">
        <v>4811</v>
      </c>
      <c r="C20296" t="s">
        <v>10</v>
      </c>
      <c r="D20296" t="s">
        <v>809</v>
      </c>
      <c r="E20296">
        <f t="shared" si="966"/>
        <v>4.3478260869565216E-2</v>
      </c>
      <c r="F20296">
        <v>19</v>
      </c>
      <c r="G20296">
        <f>LOG(382/(19+1))</f>
        <v>1.2810333672477277</v>
      </c>
      <c r="H20296">
        <f>0.0434782608695652*2.94968833505258</f>
        <v>0.12824731891532953</v>
      </c>
      <c r="I20296">
        <v>0.12824731891532981</v>
      </c>
    </row>
    <row r="20297" spans="1:9" x14ac:dyDescent="0.25">
      <c r="A20297">
        <v>600</v>
      </c>
      <c r="B20297" t="s">
        <v>4811</v>
      </c>
      <c r="C20297" t="s">
        <v>10</v>
      </c>
      <c r="D20297" t="s">
        <v>22</v>
      </c>
      <c r="E20297">
        <f t="shared" si="966"/>
        <v>4.3478260869565216E-2</v>
      </c>
      <c r="F20297">
        <v>259</v>
      </c>
      <c r="G20297">
        <f>LOG(382/(259+1))</f>
        <v>0.16709001494089079</v>
      </c>
      <c r="H20297">
        <f>0.0434782608695652*0.384738977591047</f>
        <v>1.6727781634393344E-2</v>
      </c>
      <c r="I20297">
        <v>1.6727781634393368E-2</v>
      </c>
    </row>
    <row r="20298" spans="1:9" x14ac:dyDescent="0.25">
      <c r="A20298">
        <v>600</v>
      </c>
      <c r="B20298" t="s">
        <v>4811</v>
      </c>
      <c r="C20298" t="s">
        <v>10</v>
      </c>
      <c r="D20298" t="s">
        <v>23</v>
      </c>
      <c r="E20298">
        <f t="shared" si="966"/>
        <v>4.3478260869565216E-2</v>
      </c>
      <c r="F20298">
        <v>275</v>
      </c>
      <c r="G20298">
        <f>LOG(382/(275+1))</f>
        <v>0.14115428084649101</v>
      </c>
      <c r="H20298">
        <f>0.0434782608695652*0.325019742889425</f>
        <v>1.4131293169105429E-2</v>
      </c>
      <c r="I20298">
        <v>1.4131293169105439E-2</v>
      </c>
    </row>
    <row r="20299" spans="1:9" x14ac:dyDescent="0.25">
      <c r="A20299">
        <v>600</v>
      </c>
      <c r="B20299" t="s">
        <v>4811</v>
      </c>
      <c r="C20299" t="s">
        <v>10</v>
      </c>
      <c r="D20299" t="s">
        <v>105</v>
      </c>
      <c r="E20299">
        <f t="shared" si="966"/>
        <v>4.3478260869565216E-2</v>
      </c>
      <c r="F20299">
        <v>122</v>
      </c>
      <c r="G20299">
        <f>LOG(382/(122+1))</f>
        <v>0.49215825147231079</v>
      </c>
      <c r="H20299">
        <f>0.0434782608695652*1.13323625323415</f>
        <v>4.9271141444963029E-2</v>
      </c>
      <c r="I20299">
        <v>4.9271141444963369E-2</v>
      </c>
    </row>
    <row r="20300" spans="1:9" x14ac:dyDescent="0.25">
      <c r="A20300">
        <v>600</v>
      </c>
      <c r="B20300" t="s">
        <v>4811</v>
      </c>
      <c r="C20300" t="s">
        <v>10</v>
      </c>
      <c r="D20300" t="s">
        <v>404</v>
      </c>
      <c r="E20300">
        <f t="shared" si="966"/>
        <v>4.3478260869565216E-2</v>
      </c>
      <c r="F20300">
        <v>22</v>
      </c>
      <c r="G20300">
        <f>LOG(382/(22+1))</f>
        <v>1.2203355268941158</v>
      </c>
      <c r="H20300">
        <f>0.0434782608695652*2.80992639267742</f>
        <v>0.12217071272510517</v>
      </c>
      <c r="I20300">
        <v>0.1221707127251055</v>
      </c>
    </row>
    <row r="20301" spans="1:9" x14ac:dyDescent="0.25">
      <c r="A20301">
        <v>600</v>
      </c>
      <c r="B20301" t="s">
        <v>4811</v>
      </c>
      <c r="C20301" t="s">
        <v>10</v>
      </c>
      <c r="D20301" t="s">
        <v>39</v>
      </c>
      <c r="E20301">
        <f t="shared" si="966"/>
        <v>4.3478260869565216E-2</v>
      </c>
      <c r="F20301">
        <v>145</v>
      </c>
      <c r="G20301">
        <f>LOG(382/(145+1))</f>
        <v>0.41771050712727159</v>
      </c>
      <c r="H20301">
        <f>0.0434782608695652*0.961813986898238</f>
        <v>4.181799943035816E-2</v>
      </c>
      <c r="I20301">
        <v>4.1817999430358202E-2</v>
      </c>
    </row>
    <row r="20302" spans="1:9" x14ac:dyDescent="0.25">
      <c r="A20302">
        <v>600</v>
      </c>
      <c r="B20302" t="s">
        <v>4811</v>
      </c>
      <c r="C20302" t="s">
        <v>10</v>
      </c>
      <c r="D20302" t="s">
        <v>204</v>
      </c>
      <c r="E20302">
        <f t="shared" si="966"/>
        <v>4.3478260869565216E-2</v>
      </c>
      <c r="F20302">
        <v>166</v>
      </c>
      <c r="G20302">
        <f>LOG(382/(166+1))</f>
        <v>0.35934689176412549</v>
      </c>
      <c r="H20302">
        <f>0.0434782608695652*0.82742679618982</f>
        <v>3.5975078095209549E-2</v>
      </c>
      <c r="I20302">
        <v>3.597507809520957E-2</v>
      </c>
    </row>
    <row r="20303" spans="1:9" x14ac:dyDescent="0.25">
      <c r="A20303">
        <v>600</v>
      </c>
      <c r="B20303" t="s">
        <v>4811</v>
      </c>
      <c r="C20303" t="s">
        <v>10</v>
      </c>
      <c r="D20303" t="s">
        <v>77</v>
      </c>
      <c r="E20303">
        <f t="shared" si="966"/>
        <v>4.3478260869565216E-2</v>
      </c>
      <c r="F20303">
        <v>148</v>
      </c>
      <c r="G20303">
        <f>LOG(382/(148+1))</f>
        <v>0.40887709449943471</v>
      </c>
      <c r="H20303">
        <f>0.0434782608695652*0.941474302661116</f>
        <v>4.0933665333091986E-2</v>
      </c>
      <c r="I20303">
        <v>4.0933665333091999E-2</v>
      </c>
    </row>
    <row r="20304" spans="1:9" x14ac:dyDescent="0.25">
      <c r="A20304">
        <v>600</v>
      </c>
      <c r="B20304" t="s">
        <v>4811</v>
      </c>
      <c r="C20304" t="s">
        <v>10</v>
      </c>
      <c r="D20304" t="s">
        <v>331</v>
      </c>
      <c r="E20304">
        <f t="shared" si="966"/>
        <v>4.3478260869565216E-2</v>
      </c>
      <c r="F20304">
        <v>130</v>
      </c>
      <c r="G20304">
        <f>LOG(382/(130+1))</f>
        <v>0.46479206725594452</v>
      </c>
      <c r="H20304">
        <f>0.0434782608695652*1.07022328540542</f>
        <v>4.6531447191539989E-2</v>
      </c>
      <c r="I20304">
        <v>4.6531447191540162E-2</v>
      </c>
    </row>
    <row r="20305" spans="1:9" x14ac:dyDescent="0.25">
      <c r="A20305">
        <v>600</v>
      </c>
      <c r="B20305" t="s">
        <v>4811</v>
      </c>
      <c r="C20305" t="s">
        <v>10</v>
      </c>
      <c r="D20305" t="s">
        <v>1421</v>
      </c>
      <c r="E20305">
        <f t="shared" si="966"/>
        <v>4.3478260869565216E-2</v>
      </c>
      <c r="F20305">
        <v>4</v>
      </c>
      <c r="G20305">
        <f>LOG(382/(4+1))</f>
        <v>1.8830933585756899</v>
      </c>
      <c r="H20305">
        <f>0.0434782608695652*4.33598269617247</f>
        <v>0.18852098679010734</v>
      </c>
      <c r="I20305">
        <v>0.18852098679010759</v>
      </c>
    </row>
    <row r="20306" spans="1:9" x14ac:dyDescent="0.25">
      <c r="A20306">
        <v>600</v>
      </c>
      <c r="B20306" t="s">
        <v>4811</v>
      </c>
      <c r="C20306" t="s">
        <v>10</v>
      </c>
      <c r="D20306" t="s">
        <v>4706</v>
      </c>
      <c r="E20306">
        <f t="shared" si="966"/>
        <v>4.3478260869565216E-2</v>
      </c>
      <c r="F20306">
        <v>2</v>
      </c>
      <c r="G20306">
        <f>LOG(382/(2+1))</f>
        <v>2.1049421081920463</v>
      </c>
      <c r="H20306">
        <f>0.0434782608695652*4.84680831993846</f>
        <v>0.2107307965190634</v>
      </c>
      <c r="I20306">
        <v>0.21073079651906371</v>
      </c>
    </row>
    <row r="20307" spans="1:9" x14ac:dyDescent="0.25">
      <c r="A20307">
        <v>600</v>
      </c>
      <c r="B20307" t="s">
        <v>4811</v>
      </c>
      <c r="C20307" t="s">
        <v>10</v>
      </c>
      <c r="D20307" t="s">
        <v>521</v>
      </c>
      <c r="E20307">
        <f t="shared" si="966"/>
        <v>4.3478260869565216E-2</v>
      </c>
      <c r="F20307">
        <v>7</v>
      </c>
      <c r="G20307">
        <f>LOG(382/(7+1))</f>
        <v>1.6789733759197651</v>
      </c>
      <c r="H20307">
        <f>0.0434782608695652*3.86597906692673</f>
        <v>0.16808604638811864</v>
      </c>
      <c r="I20307">
        <v>0.16808604638811911</v>
      </c>
    </row>
    <row r="20308" spans="1:9" x14ac:dyDescent="0.25">
      <c r="A20308">
        <v>601</v>
      </c>
      <c r="B20308" t="s">
        <v>4815</v>
      </c>
      <c r="C20308" t="s">
        <v>138</v>
      </c>
      <c r="D20308" t="s">
        <v>4816</v>
      </c>
      <c r="E20308">
        <f>1/84</f>
        <v>1.1904761904761904E-2</v>
      </c>
      <c r="F20308">
        <v>1</v>
      </c>
      <c r="G20308">
        <f>LOG(382/(1+1))</f>
        <v>2.2810333672477277</v>
      </c>
      <c r="H20308">
        <f>0.0119047619047619*5.25227342804663</f>
        <v>6.252706461960271E-2</v>
      </c>
      <c r="I20308">
        <v>6.2527064619602737E-2</v>
      </c>
    </row>
    <row r="20309" spans="1:9" x14ac:dyDescent="0.25">
      <c r="A20309">
        <v>601</v>
      </c>
      <c r="B20309" t="s">
        <v>4815</v>
      </c>
      <c r="C20309" t="s">
        <v>138</v>
      </c>
      <c r="D20309" t="s">
        <v>3576</v>
      </c>
      <c r="E20309">
        <f>1/84</f>
        <v>1.1904761904761904E-2</v>
      </c>
      <c r="F20309">
        <v>3</v>
      </c>
      <c r="G20309">
        <f>LOG(382/(3+1))</f>
        <v>1.9800033715837464</v>
      </c>
      <c r="H20309">
        <f>0.0119047619047619*4.55912624748668</f>
        <v>5.4275312470079502E-2</v>
      </c>
      <c r="I20309">
        <v>5.4275312470079572E-2</v>
      </c>
    </row>
    <row r="20310" spans="1:9" x14ac:dyDescent="0.25">
      <c r="A20310">
        <v>601</v>
      </c>
      <c r="B20310" t="s">
        <v>4815</v>
      </c>
      <c r="C20310" t="s">
        <v>138</v>
      </c>
      <c r="D20310" t="s">
        <v>744</v>
      </c>
      <c r="E20310">
        <f>4/84</f>
        <v>4.7619047619047616E-2</v>
      </c>
      <c r="F20310">
        <v>28</v>
      </c>
      <c r="G20310">
        <f>LOG(382/(28+1))</f>
        <v>1.1196653650127526</v>
      </c>
      <c r="H20310">
        <f>0.0476190476190476*2.5781247786201</f>
        <v>0.12276784660095709</v>
      </c>
      <c r="I20310">
        <v>0.1227678466009572</v>
      </c>
    </row>
    <row r="20311" spans="1:9" x14ac:dyDescent="0.25">
      <c r="A20311">
        <v>601</v>
      </c>
      <c r="B20311" t="s">
        <v>4815</v>
      </c>
      <c r="C20311" t="s">
        <v>138</v>
      </c>
      <c r="D20311" t="s">
        <v>2231</v>
      </c>
      <c r="E20311">
        <f>1/84</f>
        <v>1.1904761904761904E-2</v>
      </c>
      <c r="F20311">
        <v>23</v>
      </c>
      <c r="G20311">
        <f>LOG(382/(23+1))</f>
        <v>1.2018521212001028</v>
      </c>
      <c r="H20311">
        <f>0.0119047619047619*2.76736677825862</f>
        <v>3.2944842598316898E-2</v>
      </c>
      <c r="I20311">
        <v>3.2944842598317023E-2</v>
      </c>
    </row>
    <row r="20312" spans="1:9" x14ac:dyDescent="0.25">
      <c r="A20312">
        <v>601</v>
      </c>
      <c r="B20312" t="s">
        <v>4815</v>
      </c>
      <c r="C20312" t="s">
        <v>138</v>
      </c>
      <c r="D20312" t="s">
        <v>247</v>
      </c>
      <c r="E20312">
        <f>1/84</f>
        <v>1.1904761904761904E-2</v>
      </c>
      <c r="F20312">
        <v>121</v>
      </c>
      <c r="G20312">
        <f>LOG(382/(121+1))</f>
        <v>0.49570353223696051</v>
      </c>
      <c r="H20312">
        <f>0.0119047619047619*1.14139956387331</f>
        <v>1.3588090046110829E-2</v>
      </c>
      <c r="I20312">
        <v>1.358809004611094E-2</v>
      </c>
    </row>
    <row r="20313" spans="1:9" x14ac:dyDescent="0.25">
      <c r="A20313">
        <v>601</v>
      </c>
      <c r="B20313" t="s">
        <v>4815</v>
      </c>
      <c r="C20313" t="s">
        <v>138</v>
      </c>
      <c r="D20313" t="s">
        <v>34</v>
      </c>
      <c r="E20313">
        <f>1/84</f>
        <v>1.1904761904761904E-2</v>
      </c>
      <c r="F20313">
        <v>11</v>
      </c>
      <c r="G20313">
        <f>LOG(382/(11+1))</f>
        <v>1.5028821168640838</v>
      </c>
      <c r="H20313">
        <f>0.0119047619047619*3.46051395881857</f>
        <v>4.1196594747840105E-2</v>
      </c>
      <c r="I20313">
        <v>4.1196594747840168E-2</v>
      </c>
    </row>
    <row r="20314" spans="1:9" x14ac:dyDescent="0.25">
      <c r="A20314">
        <v>601</v>
      </c>
      <c r="B20314" t="s">
        <v>4815</v>
      </c>
      <c r="C20314" t="s">
        <v>138</v>
      </c>
      <c r="D20314" t="s">
        <v>520</v>
      </c>
      <c r="E20314">
        <f>1/84</f>
        <v>1.1904761904761904E-2</v>
      </c>
      <c r="F20314">
        <v>25</v>
      </c>
      <c r="G20314">
        <f>LOG(382/(25+1))</f>
        <v>1.1670900149408907</v>
      </c>
      <c r="H20314">
        <f>0.0119047619047619*2.68732407058509</f>
        <v>3.1991953221251063E-2</v>
      </c>
      <c r="I20314">
        <v>3.1991953221251097E-2</v>
      </c>
    </row>
    <row r="20315" spans="1:9" x14ac:dyDescent="0.25">
      <c r="A20315">
        <v>601</v>
      </c>
      <c r="B20315" t="s">
        <v>4815</v>
      </c>
      <c r="C20315" t="s">
        <v>138</v>
      </c>
      <c r="D20315" t="s">
        <v>755</v>
      </c>
      <c r="E20315">
        <f>1/84</f>
        <v>1.1904761904761904E-2</v>
      </c>
      <c r="F20315">
        <v>19</v>
      </c>
      <c r="G20315">
        <f>LOG(382/(19+1))</f>
        <v>1.2810333672477277</v>
      </c>
      <c r="H20315">
        <f>0.0119047619047619*2.94968833505258</f>
        <v>3.5115337322054511E-2</v>
      </c>
      <c r="I20315">
        <v>3.5115337322054567E-2</v>
      </c>
    </row>
    <row r="20316" spans="1:9" x14ac:dyDescent="0.25">
      <c r="A20316">
        <v>601</v>
      </c>
      <c r="B20316" t="s">
        <v>4815</v>
      </c>
      <c r="C20316" t="s">
        <v>138</v>
      </c>
      <c r="D20316" t="s">
        <v>754</v>
      </c>
      <c r="E20316">
        <f>3/84</f>
        <v>3.5714285714285712E-2</v>
      </c>
      <c r="F20316">
        <v>111</v>
      </c>
      <c r="G20316">
        <f>LOG(382/(111+1))</f>
        <v>0.53284534024152708</v>
      </c>
      <c r="H20316">
        <f>0.0357142857142857*1.22692173731148</f>
        <v>4.3818633475409978E-2</v>
      </c>
      <c r="I20316">
        <v>4.381863347541002E-2</v>
      </c>
    </row>
    <row r="20317" spans="1:9" x14ac:dyDescent="0.25">
      <c r="A20317">
        <v>601</v>
      </c>
      <c r="B20317" t="s">
        <v>4815</v>
      </c>
      <c r="C20317" t="s">
        <v>138</v>
      </c>
      <c r="D20317" t="s">
        <v>82</v>
      </c>
      <c r="E20317">
        <f>2/84</f>
        <v>2.3809523809523808E-2</v>
      </c>
      <c r="F20317">
        <v>92</v>
      </c>
      <c r="G20317">
        <f>LOG(382/(92+1))</f>
        <v>0.61358041435777355</v>
      </c>
      <c r="H20317">
        <f>0.0238095238095238*1.41282111545331</f>
        <v>3.3638597986983557E-2</v>
      </c>
      <c r="I20317">
        <v>3.3638597986983793E-2</v>
      </c>
    </row>
    <row r="20318" spans="1:9" x14ac:dyDescent="0.25">
      <c r="A20318">
        <v>601</v>
      </c>
      <c r="B20318" t="s">
        <v>4815</v>
      </c>
      <c r="C20318" t="s">
        <v>138</v>
      </c>
      <c r="D20318" t="s">
        <v>3707</v>
      </c>
      <c r="E20318">
        <f t="shared" ref="E20318:E20326" si="967">1/84</f>
        <v>1.1904761904761904E-2</v>
      </c>
      <c r="F20318">
        <v>5</v>
      </c>
      <c r="G20318">
        <f>LOG(382/(5+1))</f>
        <v>1.803912112528065</v>
      </c>
      <c r="H20318">
        <f>0.0119047619047619*4.15366113937852</f>
        <v>4.9448346897363313E-2</v>
      </c>
      <c r="I20318">
        <v>4.9448346897363327E-2</v>
      </c>
    </row>
    <row r="20319" spans="1:9" x14ac:dyDescent="0.25">
      <c r="A20319">
        <v>601</v>
      </c>
      <c r="B20319" t="s">
        <v>4815</v>
      </c>
      <c r="C20319" t="s">
        <v>138</v>
      </c>
      <c r="D20319" t="s">
        <v>111</v>
      </c>
      <c r="E20319">
        <f t="shared" si="967"/>
        <v>1.1904761904761904E-2</v>
      </c>
      <c r="F20319">
        <v>33</v>
      </c>
      <c r="G20319">
        <f>LOG(382/(33+1))</f>
        <v>1.0505844458694535</v>
      </c>
      <c r="H20319">
        <f>0.0119047619047619*2.41906008399041</f>
        <v>2.8798334333219159E-2</v>
      </c>
      <c r="I20319">
        <v>2.8798334333219211E-2</v>
      </c>
    </row>
    <row r="20320" spans="1:9" x14ac:dyDescent="0.25">
      <c r="A20320">
        <v>601</v>
      </c>
      <c r="B20320" t="s">
        <v>4815</v>
      </c>
      <c r="C20320" t="s">
        <v>138</v>
      </c>
      <c r="D20320" t="s">
        <v>4135</v>
      </c>
      <c r="E20320">
        <f t="shared" si="967"/>
        <v>1.1904761904761904E-2</v>
      </c>
      <c r="F20320">
        <v>6</v>
      </c>
      <c r="G20320">
        <f>LOG(382/(6+1))</f>
        <v>1.736965322897452</v>
      </c>
      <c r="H20320">
        <f>0.0119047619047619*3.99951045955126</f>
        <v>4.7613219756562603E-2</v>
      </c>
      <c r="I20320">
        <v>4.7613219756562637E-2</v>
      </c>
    </row>
    <row r="20321" spans="1:9" x14ac:dyDescent="0.25">
      <c r="A20321">
        <v>601</v>
      </c>
      <c r="B20321" t="s">
        <v>4815</v>
      </c>
      <c r="C20321" t="s">
        <v>138</v>
      </c>
      <c r="D20321" t="s">
        <v>19</v>
      </c>
      <c r="E20321">
        <f t="shared" si="967"/>
        <v>1.1904761904761904E-2</v>
      </c>
      <c r="F20321">
        <v>220</v>
      </c>
      <c r="G20321">
        <f>LOG(382/(220+1))</f>
        <v>0.23767108922659805</v>
      </c>
      <c r="H20321">
        <f>0.0119047619047619*0.547257907088822</f>
        <v>6.5149750843907367E-3</v>
      </c>
      <c r="I20321">
        <v>6.5149750843907419E-3</v>
      </c>
    </row>
    <row r="20322" spans="1:9" x14ac:dyDescent="0.25">
      <c r="A20322">
        <v>601</v>
      </c>
      <c r="B20322" t="s">
        <v>4815</v>
      </c>
      <c r="C20322" t="s">
        <v>138</v>
      </c>
      <c r="D20322" t="s">
        <v>808</v>
      </c>
      <c r="E20322">
        <f t="shared" si="967"/>
        <v>1.1904761904761904E-2</v>
      </c>
      <c r="F20322">
        <v>20</v>
      </c>
      <c r="G20322">
        <f>LOG(382/(20+1))</f>
        <v>1.2598440681777894</v>
      </c>
      <c r="H20322">
        <f>0.0119047619047619*2.90089817088315</f>
        <v>3.4534502034323206E-2</v>
      </c>
      <c r="I20322">
        <v>3.453450203432324E-2</v>
      </c>
    </row>
    <row r="20323" spans="1:9" x14ac:dyDescent="0.25">
      <c r="A20323">
        <v>601</v>
      </c>
      <c r="B20323" t="s">
        <v>4815</v>
      </c>
      <c r="C20323" t="s">
        <v>138</v>
      </c>
      <c r="D20323" t="s">
        <v>809</v>
      </c>
      <c r="E20323">
        <f t="shared" si="967"/>
        <v>1.1904761904761904E-2</v>
      </c>
      <c r="F20323">
        <v>19</v>
      </c>
      <c r="G20323">
        <f>LOG(382/(19+1))</f>
        <v>1.2810333672477277</v>
      </c>
      <c r="H20323">
        <f>0.0119047619047619*2.94968833505258</f>
        <v>3.5115337322054511E-2</v>
      </c>
      <c r="I20323">
        <v>3.5115337322054567E-2</v>
      </c>
    </row>
    <row r="20324" spans="1:9" x14ac:dyDescent="0.25">
      <c r="A20324">
        <v>601</v>
      </c>
      <c r="B20324" t="s">
        <v>4815</v>
      </c>
      <c r="C20324" t="s">
        <v>138</v>
      </c>
      <c r="D20324" t="s">
        <v>22</v>
      </c>
      <c r="E20324">
        <f t="shared" si="967"/>
        <v>1.1904761904761904E-2</v>
      </c>
      <c r="F20324">
        <v>259</v>
      </c>
      <c r="G20324">
        <f>LOG(382/(259+1))</f>
        <v>0.16709001494089079</v>
      </c>
      <c r="H20324">
        <f>0.0119047619047619*0.384738977591047</f>
        <v>4.5802259237029391E-3</v>
      </c>
      <c r="I20324">
        <v>4.5802259237029469E-3</v>
      </c>
    </row>
    <row r="20325" spans="1:9" x14ac:dyDescent="0.25">
      <c r="A20325">
        <v>601</v>
      </c>
      <c r="B20325" t="s">
        <v>4815</v>
      </c>
      <c r="C20325" t="s">
        <v>138</v>
      </c>
      <c r="D20325" t="s">
        <v>23</v>
      </c>
      <c r="E20325">
        <f t="shared" si="967"/>
        <v>1.1904761904761904E-2</v>
      </c>
      <c r="F20325">
        <v>275</v>
      </c>
      <c r="G20325">
        <f>LOG(382/(275+1))</f>
        <v>0.14115428084649101</v>
      </c>
      <c r="H20325">
        <f>0.0119047619047619*0.325019742889425</f>
        <v>3.8692826534455342E-3</v>
      </c>
      <c r="I20325">
        <v>3.8692826534455372E-3</v>
      </c>
    </row>
    <row r="20326" spans="1:9" x14ac:dyDescent="0.25">
      <c r="A20326">
        <v>601</v>
      </c>
      <c r="B20326" t="s">
        <v>4815</v>
      </c>
      <c r="C20326" t="s">
        <v>138</v>
      </c>
      <c r="D20326" t="s">
        <v>204</v>
      </c>
      <c r="E20326">
        <f t="shared" si="967"/>
        <v>1.1904761904761904E-2</v>
      </c>
      <c r="F20326">
        <v>166</v>
      </c>
      <c r="G20326">
        <f>LOG(382/(166+1))</f>
        <v>0.35934689176412549</v>
      </c>
      <c r="H20326">
        <f>0.0119047619047619*0.82742679618982</f>
        <v>9.8503190022597581E-3</v>
      </c>
      <c r="I20326">
        <v>9.8503190022597616E-3</v>
      </c>
    </row>
    <row r="20327" spans="1:9" x14ac:dyDescent="0.25">
      <c r="A20327">
        <v>601</v>
      </c>
      <c r="B20327" t="s">
        <v>4815</v>
      </c>
      <c r="C20327" t="s">
        <v>138</v>
      </c>
      <c r="D20327" t="s">
        <v>322</v>
      </c>
      <c r="E20327">
        <f>4/84</f>
        <v>4.7619047619047616E-2</v>
      </c>
      <c r="F20327">
        <v>128</v>
      </c>
      <c r="G20327">
        <f>LOG(382/(128+1))</f>
        <v>0.47147365261245977</v>
      </c>
      <c r="H20327">
        <f>0.0476190476190476*1.0856082042449</f>
        <v>5.1695628773566649E-2</v>
      </c>
      <c r="I20327">
        <v>5.1695628773566822E-2</v>
      </c>
    </row>
    <row r="20328" spans="1:9" x14ac:dyDescent="0.25">
      <c r="A20328">
        <v>601</v>
      </c>
      <c r="B20328" t="s">
        <v>4815</v>
      </c>
      <c r="C20328" t="s">
        <v>138</v>
      </c>
      <c r="D20328" t="s">
        <v>338</v>
      </c>
      <c r="E20328">
        <f>2/84</f>
        <v>2.3809523809523808E-2</v>
      </c>
      <c r="F20328">
        <v>54</v>
      </c>
      <c r="G20328">
        <f>LOG(382/(54+1))</f>
        <v>0.84170067341746491</v>
      </c>
      <c r="H20328">
        <f>0.0238095238095238*1.9380874233741</f>
        <v>4.6144938651764264E-2</v>
      </c>
      <c r="I20328">
        <v>4.6144938651764389E-2</v>
      </c>
    </row>
    <row r="20329" spans="1:9" x14ac:dyDescent="0.25">
      <c r="A20329">
        <v>601</v>
      </c>
      <c r="B20329" t="s">
        <v>4815</v>
      </c>
      <c r="C20329" t="s">
        <v>138</v>
      </c>
      <c r="D20329" t="s">
        <v>767</v>
      </c>
      <c r="E20329">
        <f t="shared" ref="E20329:E20335" si="968">1/84</f>
        <v>1.1904761904761904E-2</v>
      </c>
      <c r="F20329">
        <v>47</v>
      </c>
      <c r="G20329">
        <f>LOG(382/(47+1))</f>
        <v>0.90082212553612151</v>
      </c>
      <c r="H20329">
        <f>0.0119047619047619*2.07421959769868</f>
        <v>2.4693090448793802E-2</v>
      </c>
      <c r="I20329">
        <v>2.4693090448793861E-2</v>
      </c>
    </row>
    <row r="20330" spans="1:9" x14ac:dyDescent="0.25">
      <c r="A20330">
        <v>601</v>
      </c>
      <c r="B20330" t="s">
        <v>4815</v>
      </c>
      <c r="C20330" t="s">
        <v>138</v>
      </c>
      <c r="D20330" t="s">
        <v>256</v>
      </c>
      <c r="E20330">
        <f t="shared" si="968"/>
        <v>1.1904761904761904E-2</v>
      </c>
      <c r="F20330">
        <v>28</v>
      </c>
      <c r="G20330">
        <f>LOG(382/(28+1))</f>
        <v>1.1196653650127526</v>
      </c>
      <c r="H20330">
        <f>0.0119047619047619*2.5781247786201</f>
        <v>3.0691961650239272E-2</v>
      </c>
      <c r="I20330">
        <v>3.06919616502393E-2</v>
      </c>
    </row>
    <row r="20331" spans="1:9" x14ac:dyDescent="0.25">
      <c r="A20331">
        <v>601</v>
      </c>
      <c r="B20331" t="s">
        <v>4815</v>
      </c>
      <c r="C20331" t="s">
        <v>138</v>
      </c>
      <c r="D20331" t="s">
        <v>775</v>
      </c>
      <c r="E20331">
        <f t="shared" si="968"/>
        <v>1.1904761904761904E-2</v>
      </c>
      <c r="F20331">
        <v>20</v>
      </c>
      <c r="G20331">
        <f>LOG(382/(20+1))</f>
        <v>1.2598440681777894</v>
      </c>
      <c r="H20331">
        <f>0.0119047619047619*2.90089817088315</f>
        <v>3.4534502034323206E-2</v>
      </c>
      <c r="I20331">
        <v>3.453450203432324E-2</v>
      </c>
    </row>
    <row r="20332" spans="1:9" x14ac:dyDescent="0.25">
      <c r="A20332">
        <v>601</v>
      </c>
      <c r="B20332" t="s">
        <v>4815</v>
      </c>
      <c r="C20332" t="s">
        <v>138</v>
      </c>
      <c r="D20332" t="s">
        <v>3072</v>
      </c>
      <c r="E20332">
        <f t="shared" si="968"/>
        <v>1.1904761904761904E-2</v>
      </c>
      <c r="F20332">
        <v>3</v>
      </c>
      <c r="G20332">
        <f>LOG(382/(3+1))</f>
        <v>1.9800033715837464</v>
      </c>
      <c r="H20332">
        <f>0.0119047619047619*4.55912624748668</f>
        <v>5.4275312470079502E-2</v>
      </c>
      <c r="I20332">
        <v>5.4275312470079572E-2</v>
      </c>
    </row>
    <row r="20333" spans="1:9" x14ac:dyDescent="0.25">
      <c r="A20333">
        <v>601</v>
      </c>
      <c r="B20333" t="s">
        <v>4815</v>
      </c>
      <c r="C20333" t="s">
        <v>138</v>
      </c>
      <c r="D20333" t="s">
        <v>331</v>
      </c>
      <c r="E20333">
        <f t="shared" si="968"/>
        <v>1.1904761904761904E-2</v>
      </c>
      <c r="F20333">
        <v>130</v>
      </c>
      <c r="G20333">
        <f>LOG(382/(130+1))</f>
        <v>0.46479206725594452</v>
      </c>
      <c r="H20333">
        <f>0.0119047619047619*1.07022328540542</f>
        <v>1.2740753397683569E-2</v>
      </c>
      <c r="I20333">
        <v>1.274075339768361E-2</v>
      </c>
    </row>
    <row r="20334" spans="1:9" x14ac:dyDescent="0.25">
      <c r="A20334">
        <v>601</v>
      </c>
      <c r="B20334" t="s">
        <v>4815</v>
      </c>
      <c r="C20334" t="s">
        <v>138</v>
      </c>
      <c r="D20334" t="s">
        <v>1843</v>
      </c>
      <c r="E20334">
        <f t="shared" si="968"/>
        <v>1.1904761904761904E-2</v>
      </c>
      <c r="F20334">
        <v>4</v>
      </c>
      <c r="G20334">
        <f>LOG(382/(4+1))</f>
        <v>1.8830933585756899</v>
      </c>
      <c r="H20334">
        <f>0.0119047619047619*4.33598269617247</f>
        <v>5.1618841621100822E-2</v>
      </c>
      <c r="I20334">
        <v>5.1618841621100878E-2</v>
      </c>
    </row>
    <row r="20335" spans="1:9" x14ac:dyDescent="0.25">
      <c r="A20335">
        <v>601</v>
      </c>
      <c r="B20335" t="s">
        <v>4815</v>
      </c>
      <c r="C20335" t="s">
        <v>138</v>
      </c>
      <c r="D20335" t="s">
        <v>823</v>
      </c>
      <c r="E20335">
        <f t="shared" si="968"/>
        <v>1.1904761904761904E-2</v>
      </c>
      <c r="F20335">
        <v>45</v>
      </c>
      <c r="G20335">
        <f>LOG(382/(45+1))</f>
        <v>0.9193055312301347</v>
      </c>
      <c r="H20335">
        <f>0.0119047619047619*2.11677921211748</f>
        <v>2.5199752525208088E-2</v>
      </c>
      <c r="I20335">
        <v>2.5199752525208102E-2</v>
      </c>
    </row>
    <row r="20336" spans="1:9" x14ac:dyDescent="0.25">
      <c r="A20336">
        <v>601</v>
      </c>
      <c r="B20336" t="s">
        <v>4815</v>
      </c>
      <c r="C20336" t="s">
        <v>138</v>
      </c>
      <c r="D20336" t="s">
        <v>762</v>
      </c>
      <c r="E20336">
        <f>2/84</f>
        <v>2.3809523809523808E-2</v>
      </c>
      <c r="F20336">
        <v>29</v>
      </c>
      <c r="G20336">
        <f>LOG(382/(29+1))</f>
        <v>1.1049421081920463</v>
      </c>
      <c r="H20336">
        <f>0.0238095238095238*2.54422322694442</f>
        <v>6.0576743498676644E-2</v>
      </c>
      <c r="I20336">
        <v>6.0576743498676658E-2</v>
      </c>
    </row>
    <row r="20337" spans="1:9" x14ac:dyDescent="0.25">
      <c r="A20337">
        <v>601</v>
      </c>
      <c r="B20337" t="s">
        <v>4815</v>
      </c>
      <c r="C20337" t="s">
        <v>138</v>
      </c>
      <c r="D20337" t="s">
        <v>1094</v>
      </c>
      <c r="E20337">
        <f t="shared" ref="E20337:E20342" si="969">1/84</f>
        <v>1.1904761904761904E-2</v>
      </c>
      <c r="F20337">
        <v>7</v>
      </c>
      <c r="G20337">
        <f>LOG(382/(7+1))</f>
        <v>1.6789733759197651</v>
      </c>
      <c r="H20337">
        <f>0.0119047619047619*3.86597906692673</f>
        <v>4.6023560320556295E-2</v>
      </c>
      <c r="I20337">
        <v>4.6023560320556413E-2</v>
      </c>
    </row>
    <row r="20338" spans="1:9" x14ac:dyDescent="0.25">
      <c r="A20338">
        <v>601</v>
      </c>
      <c r="B20338" t="s">
        <v>4815</v>
      </c>
      <c r="C20338" t="s">
        <v>138</v>
      </c>
      <c r="D20338" t="s">
        <v>1639</v>
      </c>
      <c r="E20338">
        <f t="shared" si="969"/>
        <v>1.1904761904761904E-2</v>
      </c>
      <c r="F20338">
        <v>10</v>
      </c>
      <c r="G20338">
        <f>LOG(382/(10+1))</f>
        <v>1.5406706777534838</v>
      </c>
      <c r="H20338">
        <f>0.0119047619047619*3.5475253358082</f>
        <v>4.223244447390713E-2</v>
      </c>
      <c r="I20338">
        <v>4.2232444473907192E-2</v>
      </c>
    </row>
    <row r="20339" spans="1:9" x14ac:dyDescent="0.25">
      <c r="A20339">
        <v>601</v>
      </c>
      <c r="B20339" t="s">
        <v>4815</v>
      </c>
      <c r="C20339" t="s">
        <v>138</v>
      </c>
      <c r="D20339" t="s">
        <v>3015</v>
      </c>
      <c r="E20339">
        <f t="shared" si="969"/>
        <v>1.1904761904761904E-2</v>
      </c>
      <c r="F20339">
        <v>9</v>
      </c>
      <c r="G20339">
        <f>LOG(382/(9+1))</f>
        <v>1.5820633629117087</v>
      </c>
      <c r="H20339">
        <f>0.0119047619047619*3.64283551561252</f>
        <v>4.3367089471577608E-2</v>
      </c>
      <c r="I20339">
        <v>4.3367089471577733E-2</v>
      </c>
    </row>
    <row r="20340" spans="1:9" x14ac:dyDescent="0.25">
      <c r="A20340">
        <v>601</v>
      </c>
      <c r="B20340" t="s">
        <v>4815</v>
      </c>
      <c r="C20340" t="s">
        <v>138</v>
      </c>
      <c r="D20340" t="s">
        <v>4276</v>
      </c>
      <c r="E20340">
        <f t="shared" si="969"/>
        <v>1.1904761904761904E-2</v>
      </c>
      <c r="F20340">
        <v>8</v>
      </c>
      <c r="G20340">
        <f>LOG(382/(8+1))</f>
        <v>1.6278208534723839</v>
      </c>
      <c r="H20340">
        <f>0.0119047619047619*3.74819603127035</f>
        <v>4.4621381324647005E-2</v>
      </c>
      <c r="I20340">
        <v>4.4621381324647089E-2</v>
      </c>
    </row>
    <row r="20341" spans="1:9" x14ac:dyDescent="0.25">
      <c r="A20341">
        <v>601</v>
      </c>
      <c r="B20341" t="s">
        <v>4815</v>
      </c>
      <c r="C20341" t="s">
        <v>138</v>
      </c>
      <c r="D20341" t="s">
        <v>1630</v>
      </c>
      <c r="E20341">
        <f t="shared" si="969"/>
        <v>1.1904761904761904E-2</v>
      </c>
      <c r="F20341">
        <v>3</v>
      </c>
      <c r="G20341">
        <f>LOG(382/(3+1))</f>
        <v>1.9800033715837464</v>
      </c>
      <c r="H20341">
        <f>0.0119047619047619*4.55912624748668</f>
        <v>5.4275312470079502E-2</v>
      </c>
      <c r="I20341">
        <v>5.4275312470079572E-2</v>
      </c>
    </row>
    <row r="20342" spans="1:9" x14ac:dyDescent="0.25">
      <c r="A20342">
        <v>601</v>
      </c>
      <c r="B20342" t="s">
        <v>4815</v>
      </c>
      <c r="C20342" t="s">
        <v>138</v>
      </c>
      <c r="D20342" t="s">
        <v>1773</v>
      </c>
      <c r="E20342">
        <f t="shared" si="969"/>
        <v>1.1904761904761904E-2</v>
      </c>
      <c r="F20342">
        <v>24</v>
      </c>
      <c r="G20342">
        <f>LOG(382/(24+1))</f>
        <v>1.1841233542396712</v>
      </c>
      <c r="H20342">
        <f>0.0119047619047619*2.72654478373837</f>
        <v>3.2458866473075818E-2</v>
      </c>
      <c r="I20342">
        <v>3.245886647307588E-2</v>
      </c>
    </row>
    <row r="20343" spans="1:9" x14ac:dyDescent="0.25">
      <c r="A20343">
        <v>601</v>
      </c>
      <c r="B20343" t="s">
        <v>4815</v>
      </c>
      <c r="C20343" t="s">
        <v>138</v>
      </c>
      <c r="D20343" t="s">
        <v>447</v>
      </c>
      <c r="E20343">
        <f>2/84</f>
        <v>2.3809523809523808E-2</v>
      </c>
      <c r="F20343">
        <v>37</v>
      </c>
      <c r="G20343">
        <f>LOG(382/(37+1))</f>
        <v>1.0022797662948986</v>
      </c>
      <c r="H20343">
        <f>0.0238095238095238*2.30783444888018</f>
        <v>5.4948439259051879E-2</v>
      </c>
      <c r="I20343">
        <v>5.4948439259052122E-2</v>
      </c>
    </row>
    <row r="20344" spans="1:9" x14ac:dyDescent="0.25">
      <c r="A20344">
        <v>601</v>
      </c>
      <c r="B20344" t="s">
        <v>4815</v>
      </c>
      <c r="C20344" t="s">
        <v>138</v>
      </c>
      <c r="D20344" t="s">
        <v>3071</v>
      </c>
      <c r="E20344">
        <f>1/84</f>
        <v>1.1904761904761904E-2</v>
      </c>
      <c r="F20344">
        <v>6</v>
      </c>
      <c r="G20344">
        <f>LOG(382/(6+1))</f>
        <v>1.736965322897452</v>
      </c>
      <c r="H20344">
        <f>0.0119047619047619*3.99951045955126</f>
        <v>4.7613219756562603E-2</v>
      </c>
      <c r="I20344">
        <v>4.7613219756562637E-2</v>
      </c>
    </row>
    <row r="20345" spans="1:9" x14ac:dyDescent="0.25">
      <c r="A20345">
        <v>601</v>
      </c>
      <c r="B20345" t="s">
        <v>4815</v>
      </c>
      <c r="C20345" t="s">
        <v>138</v>
      </c>
      <c r="D20345" t="s">
        <v>309</v>
      </c>
      <c r="E20345">
        <f>2/84</f>
        <v>2.3809523809523808E-2</v>
      </c>
      <c r="F20345">
        <v>25</v>
      </c>
      <c r="G20345">
        <f>LOG(382/(25+1))</f>
        <v>1.1670900149408907</v>
      </c>
      <c r="H20345">
        <f>0.0238095238095238*2.68732407058509</f>
        <v>6.3983906442502125E-2</v>
      </c>
      <c r="I20345">
        <v>6.3983906442502209E-2</v>
      </c>
    </row>
    <row r="20346" spans="1:9" x14ac:dyDescent="0.25">
      <c r="A20346">
        <v>601</v>
      </c>
      <c r="B20346" t="s">
        <v>4815</v>
      </c>
      <c r="C20346" t="s">
        <v>138</v>
      </c>
      <c r="D20346" t="s">
        <v>1471</v>
      </c>
      <c r="E20346">
        <f>1/84</f>
        <v>1.1904761904761904E-2</v>
      </c>
      <c r="F20346">
        <v>3</v>
      </c>
      <c r="G20346">
        <f>LOG(382/(3+1))</f>
        <v>1.9800033715837464</v>
      </c>
      <c r="H20346">
        <f>0.0119047619047619*4.55912624748668</f>
        <v>5.4275312470079502E-2</v>
      </c>
      <c r="I20346">
        <v>5.4275312470079572E-2</v>
      </c>
    </row>
    <row r="20347" spans="1:9" x14ac:dyDescent="0.25">
      <c r="A20347">
        <v>601</v>
      </c>
      <c r="B20347" t="s">
        <v>4815</v>
      </c>
      <c r="C20347" t="s">
        <v>138</v>
      </c>
      <c r="D20347" t="s">
        <v>1532</v>
      </c>
      <c r="E20347">
        <f>2/84</f>
        <v>2.3809523809523808E-2</v>
      </c>
      <c r="F20347">
        <v>28</v>
      </c>
      <c r="G20347">
        <f>LOG(382/(28+1))</f>
        <v>1.1196653650127526</v>
      </c>
      <c r="H20347">
        <f>0.0238095238095238*2.5781247786201</f>
        <v>6.1383923300478545E-2</v>
      </c>
      <c r="I20347">
        <v>6.1383923300478593E-2</v>
      </c>
    </row>
    <row r="20348" spans="1:9" x14ac:dyDescent="0.25">
      <c r="A20348">
        <v>601</v>
      </c>
      <c r="B20348" t="s">
        <v>4815</v>
      </c>
      <c r="C20348" t="s">
        <v>138</v>
      </c>
      <c r="D20348" t="s">
        <v>1533</v>
      </c>
      <c r="E20348">
        <f>2/84</f>
        <v>2.3809523809523808E-2</v>
      </c>
      <c r="F20348">
        <v>33</v>
      </c>
      <c r="G20348">
        <f>LOG(382/(33+1))</f>
        <v>1.0505844458694535</v>
      </c>
      <c r="H20348">
        <f>0.0238095238095238*2.41906008399041</f>
        <v>5.7596668666438318E-2</v>
      </c>
      <c r="I20348">
        <v>5.7596668666438422E-2</v>
      </c>
    </row>
    <row r="20349" spans="1:9" x14ac:dyDescent="0.25">
      <c r="A20349">
        <v>601</v>
      </c>
      <c r="B20349" t="s">
        <v>4815</v>
      </c>
      <c r="C20349" t="s">
        <v>138</v>
      </c>
      <c r="D20349" t="s">
        <v>133</v>
      </c>
      <c r="E20349">
        <f t="shared" ref="E20349:E20355" si="970">1/84</f>
        <v>1.1904761904761904E-2</v>
      </c>
      <c r="F20349">
        <v>142</v>
      </c>
      <c r="G20349">
        <f>LOG(382/(142+1))</f>
        <v>0.42672732544664693</v>
      </c>
      <c r="H20349">
        <f>0.0119047619047619*0.982575978346667</f>
        <v>1.1697333075555556E-2</v>
      </c>
      <c r="I20349">
        <v>1.1697333075555569E-2</v>
      </c>
    </row>
    <row r="20350" spans="1:9" x14ac:dyDescent="0.25">
      <c r="A20350">
        <v>601</v>
      </c>
      <c r="B20350" t="s">
        <v>4815</v>
      </c>
      <c r="C20350" t="s">
        <v>138</v>
      </c>
      <c r="D20350" t="s">
        <v>329</v>
      </c>
      <c r="E20350">
        <f t="shared" si="970"/>
        <v>1.1904761904761904E-2</v>
      </c>
      <c r="F20350">
        <v>9</v>
      </c>
      <c r="G20350">
        <f>LOG(382/(9+1))</f>
        <v>1.5820633629117087</v>
      </c>
      <c r="H20350">
        <f>0.0119047619047619*3.64283551561252</f>
        <v>4.3367089471577608E-2</v>
      </c>
      <c r="I20350">
        <v>4.3367089471577733E-2</v>
      </c>
    </row>
    <row r="20351" spans="1:9" x14ac:dyDescent="0.25">
      <c r="A20351">
        <v>601</v>
      </c>
      <c r="B20351" t="s">
        <v>4815</v>
      </c>
      <c r="C20351" t="s">
        <v>138</v>
      </c>
      <c r="D20351" t="s">
        <v>1709</v>
      </c>
      <c r="E20351">
        <f t="shared" si="970"/>
        <v>1.1904761904761904E-2</v>
      </c>
      <c r="F20351">
        <v>21</v>
      </c>
      <c r="G20351">
        <f>LOG(382/(21+1))</f>
        <v>1.2396406820895025</v>
      </c>
      <c r="H20351">
        <f>0.0119047619047619*2.85437815524825</f>
        <v>3.3980692324383915E-2</v>
      </c>
      <c r="I20351">
        <v>3.3980692324384033E-2</v>
      </c>
    </row>
    <row r="20352" spans="1:9" x14ac:dyDescent="0.25">
      <c r="A20352">
        <v>601</v>
      </c>
      <c r="B20352" t="s">
        <v>4815</v>
      </c>
      <c r="C20352" t="s">
        <v>138</v>
      </c>
      <c r="D20352" t="s">
        <v>764</v>
      </c>
      <c r="E20352">
        <f t="shared" si="970"/>
        <v>1.1904761904761904E-2</v>
      </c>
      <c r="F20352">
        <v>57</v>
      </c>
      <c r="G20352">
        <f>LOG(382/(57+1))</f>
        <v>0.81863536934877146</v>
      </c>
      <c r="H20352">
        <f>0.0119047619047619*1.88497759806015</f>
        <v>2.2440209500716065E-2</v>
      </c>
      <c r="I20352">
        <v>2.2440209500716141E-2</v>
      </c>
    </row>
    <row r="20353" spans="1:9" x14ac:dyDescent="0.25">
      <c r="A20353">
        <v>601</v>
      </c>
      <c r="B20353" t="s">
        <v>4815</v>
      </c>
      <c r="C20353" t="s">
        <v>138</v>
      </c>
      <c r="D20353" t="s">
        <v>1085</v>
      </c>
      <c r="E20353">
        <f t="shared" si="970"/>
        <v>1.1904761904761904E-2</v>
      </c>
      <c r="F20353">
        <v>16</v>
      </c>
      <c r="G20353">
        <f>LOG(382/(16+1))</f>
        <v>1.3516144415334348</v>
      </c>
      <c r="H20353">
        <f>0.0119047619047619*3.11220726455035</f>
        <v>3.7050086482742245E-2</v>
      </c>
      <c r="I20353">
        <v>3.705008648274237E-2</v>
      </c>
    </row>
    <row r="20354" spans="1:9" x14ac:dyDescent="0.25">
      <c r="A20354">
        <v>601</v>
      </c>
      <c r="B20354" t="s">
        <v>4815</v>
      </c>
      <c r="C20354" t="s">
        <v>138</v>
      </c>
      <c r="D20354" t="s">
        <v>123</v>
      </c>
      <c r="E20354">
        <f t="shared" si="970"/>
        <v>1.1904761904761904E-2</v>
      </c>
      <c r="F20354">
        <v>74</v>
      </c>
      <c r="G20354">
        <f>LOG(382/(74+1))</f>
        <v>0.7070020995200087</v>
      </c>
      <c r="H20354">
        <f>0.0119047619047619*1.62793249507026</f>
        <v>1.9380148750836424E-2</v>
      </c>
      <c r="I20354">
        <v>1.938014875083648E-2</v>
      </c>
    </row>
    <row r="20355" spans="1:9" x14ac:dyDescent="0.25">
      <c r="A20355">
        <v>601</v>
      </c>
      <c r="B20355" t="s">
        <v>4815</v>
      </c>
      <c r="C20355" t="s">
        <v>138</v>
      </c>
      <c r="D20355" t="s">
        <v>573</v>
      </c>
      <c r="E20355">
        <f t="shared" si="970"/>
        <v>1.1904761904761904E-2</v>
      </c>
      <c r="F20355">
        <v>14</v>
      </c>
      <c r="G20355">
        <f>LOG(382/(14+1))</f>
        <v>1.4059721038560276</v>
      </c>
      <c r="H20355">
        <f>0.0119047619047619*3.23737040750436</f>
        <v>3.8540123898861411E-2</v>
      </c>
      <c r="I20355">
        <v>3.8540123898861488E-2</v>
      </c>
    </row>
    <row r="20356" spans="1:9" x14ac:dyDescent="0.25">
      <c r="A20356">
        <v>601</v>
      </c>
      <c r="B20356" t="s">
        <v>4815</v>
      </c>
      <c r="C20356" t="s">
        <v>138</v>
      </c>
      <c r="D20356" t="s">
        <v>1537</v>
      </c>
      <c r="E20356">
        <f>2/84</f>
        <v>2.3809523809523808E-2</v>
      </c>
      <c r="F20356">
        <v>80</v>
      </c>
      <c r="G20356">
        <f>LOG(382/(80+1))</f>
        <v>0.67357834403305894</v>
      </c>
      <c r="H20356">
        <f>0.0238095238095238*1.55097145393413</f>
        <v>3.6927891760336416E-2</v>
      </c>
      <c r="I20356">
        <v>3.6927891760336583E-2</v>
      </c>
    </row>
    <row r="20357" spans="1:9" x14ac:dyDescent="0.25">
      <c r="A20357">
        <v>601</v>
      </c>
      <c r="B20357" t="s">
        <v>4815</v>
      </c>
      <c r="C20357" t="s">
        <v>138</v>
      </c>
      <c r="D20357" t="s">
        <v>125</v>
      </c>
      <c r="E20357">
        <f>1/84</f>
        <v>1.1904761904761904E-2</v>
      </c>
      <c r="F20357">
        <v>9</v>
      </c>
      <c r="G20357">
        <f>LOG(382/(9+1))</f>
        <v>1.5820633629117087</v>
      </c>
      <c r="H20357">
        <f>0.0119047619047619*3.64283551561252</f>
        <v>4.3367089471577608E-2</v>
      </c>
      <c r="I20357">
        <v>4.3367089471577733E-2</v>
      </c>
    </row>
    <row r="20358" spans="1:9" x14ac:dyDescent="0.25">
      <c r="A20358">
        <v>601</v>
      </c>
      <c r="B20358" t="s">
        <v>4815</v>
      </c>
      <c r="C20358" t="s">
        <v>138</v>
      </c>
      <c r="D20358" t="s">
        <v>1769</v>
      </c>
      <c r="E20358">
        <f>1/84</f>
        <v>1.1904761904761904E-2</v>
      </c>
      <c r="F20358">
        <v>84</v>
      </c>
      <c r="G20358">
        <f>LOG(382/(84+1))</f>
        <v>0.65264443719741605</v>
      </c>
      <c r="H20358">
        <f>0.0119047619047619*1.50276935211625</f>
        <v>1.7890111334717254E-2</v>
      </c>
      <c r="I20358">
        <v>1.7890111334717369E-2</v>
      </c>
    </row>
    <row r="20359" spans="1:9" x14ac:dyDescent="0.25">
      <c r="A20359">
        <v>601</v>
      </c>
      <c r="B20359" t="s">
        <v>4815</v>
      </c>
      <c r="C20359" t="s">
        <v>138</v>
      </c>
      <c r="D20359" t="s">
        <v>1546</v>
      </c>
      <c r="E20359">
        <f>1/84</f>
        <v>1.1904761904761904E-2</v>
      </c>
      <c r="F20359">
        <v>44</v>
      </c>
      <c r="G20359">
        <f>LOG(382/(44+1))</f>
        <v>0.92885084913636506</v>
      </c>
      <c r="H20359">
        <f>0.0119047619047619*2.13875811883625</f>
        <v>2.5461406176622015E-2</v>
      </c>
      <c r="I20359">
        <v>2.546140617662208E-2</v>
      </c>
    </row>
    <row r="20360" spans="1:9" x14ac:dyDescent="0.25">
      <c r="A20360">
        <v>601</v>
      </c>
      <c r="B20360" t="s">
        <v>4815</v>
      </c>
      <c r="C20360" t="s">
        <v>138</v>
      </c>
      <c r="D20360" t="s">
        <v>362</v>
      </c>
      <c r="E20360">
        <f>2/84</f>
        <v>2.3809523809523808E-2</v>
      </c>
      <c r="F20360">
        <v>81</v>
      </c>
      <c r="G20360">
        <f>LOG(382/(81+1))</f>
        <v>0.66824951052799197</v>
      </c>
      <c r="H20360">
        <f>0.0238095238095238*1.53870136134232</f>
        <v>3.6635746698626653E-2</v>
      </c>
      <c r="I20360">
        <v>3.6635746698626709E-2</v>
      </c>
    </row>
    <row r="20361" spans="1:9" x14ac:dyDescent="0.25">
      <c r="A20361">
        <v>601</v>
      </c>
      <c r="B20361" t="s">
        <v>4815</v>
      </c>
      <c r="C20361" t="s">
        <v>138</v>
      </c>
      <c r="D20361" t="s">
        <v>2238</v>
      </c>
      <c r="E20361">
        <f t="shared" ref="E20361:E20369" si="971">1/84</f>
        <v>1.1904761904761904E-2</v>
      </c>
      <c r="F20361">
        <v>68</v>
      </c>
      <c r="G20361">
        <f>LOG(382/(68+1))</f>
        <v>0.74321427217445335</v>
      </c>
      <c r="H20361">
        <f>0.0119047619047619*1.71131410400931</f>
        <v>2.037278695249178E-2</v>
      </c>
      <c r="I20361">
        <v>2.037278695249185E-2</v>
      </c>
    </row>
    <row r="20362" spans="1:9" x14ac:dyDescent="0.25">
      <c r="A20362">
        <v>601</v>
      </c>
      <c r="B20362" t="s">
        <v>4815</v>
      </c>
      <c r="C20362" t="s">
        <v>138</v>
      </c>
      <c r="D20362" t="s">
        <v>201</v>
      </c>
      <c r="E20362">
        <f t="shared" si="971"/>
        <v>1.1904761904761904E-2</v>
      </c>
      <c r="F20362">
        <v>72</v>
      </c>
      <c r="G20362">
        <f>LOG(382/(72+1))</f>
        <v>0.71874050279125279</v>
      </c>
      <c r="H20362">
        <f>0.0119047619047619*1.65496116745818</f>
        <v>1.9701918660216422E-2</v>
      </c>
      <c r="I20362">
        <v>1.9701918660216471E-2</v>
      </c>
    </row>
    <row r="20363" spans="1:9" x14ac:dyDescent="0.25">
      <c r="A20363">
        <v>601</v>
      </c>
      <c r="B20363" t="s">
        <v>4815</v>
      </c>
      <c r="C20363" t="s">
        <v>138</v>
      </c>
      <c r="D20363" t="s">
        <v>225</v>
      </c>
      <c r="E20363">
        <f t="shared" si="971"/>
        <v>1.1904761904761904E-2</v>
      </c>
      <c r="F20363">
        <v>30</v>
      </c>
      <c r="G20363">
        <f>LOG(382/(30+1))</f>
        <v>1.090701669077436</v>
      </c>
      <c r="H20363">
        <f>0.0119047619047619*2.51143340412142</f>
        <v>2.9898016715731182E-2</v>
      </c>
      <c r="I20363">
        <v>2.98980167157313E-2</v>
      </c>
    </row>
    <row r="20364" spans="1:9" x14ac:dyDescent="0.25">
      <c r="A20364">
        <v>601</v>
      </c>
      <c r="B20364" t="s">
        <v>4815</v>
      </c>
      <c r="C20364" t="s">
        <v>138</v>
      </c>
      <c r="D20364" t="s">
        <v>399</v>
      </c>
      <c r="E20364">
        <f t="shared" si="971"/>
        <v>1.1904761904761904E-2</v>
      </c>
      <c r="F20364">
        <v>27</v>
      </c>
      <c r="G20364">
        <f>LOG(382/(27+1))</f>
        <v>1.1349053315694895</v>
      </c>
      <c r="H20364">
        <f>0.0119047619047619*2.61321609843137</f>
        <v>3.1109715457516302E-2</v>
      </c>
      <c r="I20364">
        <v>3.110971545751632E-2</v>
      </c>
    </row>
    <row r="20365" spans="1:9" x14ac:dyDescent="0.25">
      <c r="A20365">
        <v>601</v>
      </c>
      <c r="B20365" t="s">
        <v>4815</v>
      </c>
      <c r="C20365" t="s">
        <v>138</v>
      </c>
      <c r="D20365" t="s">
        <v>772</v>
      </c>
      <c r="E20365">
        <f t="shared" si="971"/>
        <v>1.1904761904761904E-2</v>
      </c>
      <c r="F20365">
        <v>31</v>
      </c>
      <c r="G20365">
        <f>LOG(382/(31+1))</f>
        <v>1.0769133845918029</v>
      </c>
      <c r="H20365">
        <f>0.0119047619047619*2.47968470580684</f>
        <v>2.9520056021509988E-2</v>
      </c>
      <c r="I20365">
        <v>2.9520056021510099E-2</v>
      </c>
    </row>
    <row r="20366" spans="1:9" x14ac:dyDescent="0.25">
      <c r="A20366">
        <v>601</v>
      </c>
      <c r="B20366" t="s">
        <v>4815</v>
      </c>
      <c r="C20366" t="s">
        <v>138</v>
      </c>
      <c r="D20366" t="s">
        <v>649</v>
      </c>
      <c r="E20366">
        <f t="shared" si="971"/>
        <v>1.1904761904761904E-2</v>
      </c>
      <c r="F20366">
        <v>25</v>
      </c>
      <c r="G20366">
        <f>LOG(382/(25+1))</f>
        <v>1.1670900149408907</v>
      </c>
      <c r="H20366">
        <f>0.0119047619047619*2.68732407058509</f>
        <v>3.1991953221251063E-2</v>
      </c>
      <c r="I20366">
        <v>3.1991953221251097E-2</v>
      </c>
    </row>
    <row r="20367" spans="1:9" x14ac:dyDescent="0.25">
      <c r="A20367">
        <v>601</v>
      </c>
      <c r="B20367" t="s">
        <v>4815</v>
      </c>
      <c r="C20367" t="s">
        <v>138</v>
      </c>
      <c r="D20367" t="s">
        <v>2371</v>
      </c>
      <c r="E20367">
        <f t="shared" si="971"/>
        <v>1.1904761904761904E-2</v>
      </c>
      <c r="F20367">
        <v>4</v>
      </c>
      <c r="G20367">
        <f>LOG(382/(4+1))</f>
        <v>1.8830933585756899</v>
      </c>
      <c r="H20367">
        <f>0.0119047619047619*4.33598269617247</f>
        <v>5.1618841621100822E-2</v>
      </c>
      <c r="I20367">
        <v>5.1618841621100878E-2</v>
      </c>
    </row>
    <row r="20368" spans="1:9" x14ac:dyDescent="0.25">
      <c r="A20368">
        <v>601</v>
      </c>
      <c r="B20368" t="s">
        <v>4815</v>
      </c>
      <c r="C20368" t="s">
        <v>138</v>
      </c>
      <c r="D20368" t="s">
        <v>2930</v>
      </c>
      <c r="E20368">
        <f t="shared" si="971"/>
        <v>1.1904761904761904E-2</v>
      </c>
      <c r="F20368">
        <v>15</v>
      </c>
      <c r="G20368">
        <f>LOG(382/(15+1))</f>
        <v>1.3779433802557839</v>
      </c>
      <c r="H20368">
        <f>0.0119047619047619*3.17283188636679</f>
        <v>3.7771808171033205E-2</v>
      </c>
      <c r="I20368">
        <v>3.7771808171033261E-2</v>
      </c>
    </row>
    <row r="20369" spans="1:9" x14ac:dyDescent="0.25">
      <c r="A20369">
        <v>601</v>
      </c>
      <c r="B20369" t="s">
        <v>4815</v>
      </c>
      <c r="C20369" t="s">
        <v>138</v>
      </c>
      <c r="D20369" t="s">
        <v>81</v>
      </c>
      <c r="E20369">
        <f t="shared" si="971"/>
        <v>1.1904761904761904E-2</v>
      </c>
      <c r="F20369">
        <v>114</v>
      </c>
      <c r="G20369">
        <f>LOG(382/(114+1))</f>
        <v>0.52136552255809698</v>
      </c>
      <c r="H20369">
        <f>0.0119047619047619*1.20048848024332</f>
        <v>1.4291529526706186E-2</v>
      </c>
      <c r="I20369">
        <v>1.4291529526706251E-2</v>
      </c>
    </row>
    <row r="20370" spans="1:9" x14ac:dyDescent="0.25">
      <c r="A20370">
        <v>601</v>
      </c>
      <c r="B20370" t="s">
        <v>4815</v>
      </c>
      <c r="C20370" t="s">
        <v>138</v>
      </c>
      <c r="D20370" t="s">
        <v>324</v>
      </c>
      <c r="E20370">
        <f>2/84</f>
        <v>2.3809523809523808E-2</v>
      </c>
      <c r="F20370">
        <v>82</v>
      </c>
      <c r="G20370">
        <f>LOG(382/(82+1))</f>
        <v>0.66298527053563483</v>
      </c>
      <c r="H20370">
        <f>0.0238095238095238*1.52658000080997</f>
        <v>3.6347142876427846E-2</v>
      </c>
      <c r="I20370">
        <v>3.6347142876428033E-2</v>
      </c>
    </row>
    <row r="20371" spans="1:9" x14ac:dyDescent="0.25">
      <c r="A20371">
        <v>601</v>
      </c>
      <c r="B20371" t="s">
        <v>4815</v>
      </c>
      <c r="C20371" t="s">
        <v>138</v>
      </c>
      <c r="D20371" t="s">
        <v>1222</v>
      </c>
      <c r="E20371">
        <f>1/84</f>
        <v>1.1904761904761904E-2</v>
      </c>
      <c r="F20371">
        <v>56</v>
      </c>
      <c r="G20371">
        <f>LOG(382/(56+1))</f>
        <v>0.82618850723921733</v>
      </c>
      <c r="H20371">
        <f>0.0119047619047619*1.90236934077202</f>
        <v>2.2647254056809753E-2</v>
      </c>
      <c r="I20371">
        <v>2.2647254056809819E-2</v>
      </c>
    </row>
    <row r="20372" spans="1:9" x14ac:dyDescent="0.25">
      <c r="A20372">
        <v>601</v>
      </c>
      <c r="B20372" t="s">
        <v>4815</v>
      </c>
      <c r="C20372" t="s">
        <v>138</v>
      </c>
      <c r="D20372" t="s">
        <v>4817</v>
      </c>
      <c r="E20372">
        <f>1/84</f>
        <v>1.1904761904761904E-2</v>
      </c>
      <c r="F20372">
        <v>2</v>
      </c>
      <c r="G20372">
        <f>LOG(382/(2+1))</f>
        <v>2.1049421081920463</v>
      </c>
      <c r="H20372">
        <f>0.0119047619047619*4.84680831993846</f>
        <v>5.7700099046886409E-2</v>
      </c>
      <c r="I20372">
        <v>5.7700099046886492E-2</v>
      </c>
    </row>
    <row r="20373" spans="1:9" x14ac:dyDescent="0.25">
      <c r="A20373">
        <v>601</v>
      </c>
      <c r="B20373" t="s">
        <v>4815</v>
      </c>
      <c r="C20373" t="s">
        <v>138</v>
      </c>
      <c r="D20373" t="s">
        <v>4818</v>
      </c>
      <c r="E20373">
        <f>1/84</f>
        <v>1.1904761904761904E-2</v>
      </c>
      <c r="F20373">
        <v>2</v>
      </c>
      <c r="G20373">
        <f>LOG(382/(2+1))</f>
        <v>2.1049421081920463</v>
      </c>
      <c r="H20373">
        <f>0.0119047619047619*4.84680831993846</f>
        <v>5.7700099046886409E-2</v>
      </c>
      <c r="I20373">
        <v>5.7700099046886492E-2</v>
      </c>
    </row>
    <row r="20374" spans="1:9" x14ac:dyDescent="0.25">
      <c r="A20374">
        <v>602</v>
      </c>
      <c r="B20374" t="s">
        <v>4819</v>
      </c>
      <c r="C20374" t="s">
        <v>10</v>
      </c>
      <c r="D20374" t="s">
        <v>4820</v>
      </c>
      <c r="E20374">
        <f>1/83</f>
        <v>1.2048192771084338E-2</v>
      </c>
      <c r="F20374">
        <v>1</v>
      </c>
      <c r="G20374">
        <f>LOG(382/(1+1))</f>
        <v>2.2810333672477277</v>
      </c>
      <c r="H20374">
        <f>0.0120481927710843*5.25227342804663</f>
        <v>6.3280402747549563E-2</v>
      </c>
      <c r="I20374">
        <v>6.3280402747549758E-2</v>
      </c>
    </row>
    <row r="20375" spans="1:9" x14ac:dyDescent="0.25">
      <c r="A20375">
        <v>602</v>
      </c>
      <c r="B20375" t="s">
        <v>4819</v>
      </c>
      <c r="C20375" t="s">
        <v>10</v>
      </c>
      <c r="D20375" t="s">
        <v>4821</v>
      </c>
      <c r="E20375">
        <f>1/83</f>
        <v>1.2048192771084338E-2</v>
      </c>
      <c r="F20375">
        <v>1</v>
      </c>
      <c r="G20375">
        <f>LOG(382/(1+1))</f>
        <v>2.2810333672477277</v>
      </c>
      <c r="H20375">
        <f>0.0120481927710843*5.25227342804663</f>
        <v>6.3280402747549563E-2</v>
      </c>
      <c r="I20375">
        <v>6.3280402747549758E-2</v>
      </c>
    </row>
    <row r="20376" spans="1:9" x14ac:dyDescent="0.25">
      <c r="A20376">
        <v>602</v>
      </c>
      <c r="B20376" t="s">
        <v>4819</v>
      </c>
      <c r="C20376" t="s">
        <v>10</v>
      </c>
      <c r="D20376" t="s">
        <v>744</v>
      </c>
      <c r="E20376">
        <f>4/83</f>
        <v>4.8192771084337352E-2</v>
      </c>
      <c r="F20376">
        <v>28</v>
      </c>
      <c r="G20376">
        <f>LOG(382/(28+1))</f>
        <v>1.1196653650127526</v>
      </c>
      <c r="H20376">
        <f>0.0481927710843373*2.5781247786201</f>
        <v>0.12424697728289626</v>
      </c>
      <c r="I20376">
        <v>0.12424697728289651</v>
      </c>
    </row>
    <row r="20377" spans="1:9" x14ac:dyDescent="0.25">
      <c r="A20377">
        <v>602</v>
      </c>
      <c r="B20377" t="s">
        <v>4819</v>
      </c>
      <c r="C20377" t="s">
        <v>10</v>
      </c>
      <c r="D20377" t="s">
        <v>247</v>
      </c>
      <c r="E20377">
        <f>1/83</f>
        <v>1.2048192771084338E-2</v>
      </c>
      <c r="F20377">
        <v>121</v>
      </c>
      <c r="G20377">
        <f>LOG(382/(121+1))</f>
        <v>0.49570353223696051</v>
      </c>
      <c r="H20377">
        <f>0.0120481927710843*1.14139956387331</f>
        <v>1.3751801974377188E-2</v>
      </c>
      <c r="I20377">
        <v>1.375180197437734E-2</v>
      </c>
    </row>
    <row r="20378" spans="1:9" x14ac:dyDescent="0.25">
      <c r="A20378">
        <v>602</v>
      </c>
      <c r="B20378" t="s">
        <v>4819</v>
      </c>
      <c r="C20378" t="s">
        <v>10</v>
      </c>
      <c r="D20378" t="s">
        <v>34</v>
      </c>
      <c r="E20378">
        <f>1/83</f>
        <v>1.2048192771084338E-2</v>
      </c>
      <c r="F20378">
        <v>11</v>
      </c>
      <c r="G20378">
        <f>LOG(382/(11+1))</f>
        <v>1.5028821168640838</v>
      </c>
      <c r="H20378">
        <f>0.0120481927710843*3.46051395881857</f>
        <v>4.1692939262874207E-2</v>
      </c>
      <c r="I20378">
        <v>4.1692939262874401E-2</v>
      </c>
    </row>
    <row r="20379" spans="1:9" x14ac:dyDescent="0.25">
      <c r="A20379">
        <v>602</v>
      </c>
      <c r="B20379" t="s">
        <v>4819</v>
      </c>
      <c r="C20379" t="s">
        <v>10</v>
      </c>
      <c r="D20379" t="s">
        <v>520</v>
      </c>
      <c r="E20379">
        <f>1/83</f>
        <v>1.2048192771084338E-2</v>
      </c>
      <c r="F20379">
        <v>25</v>
      </c>
      <c r="G20379">
        <f>LOG(382/(25+1))</f>
        <v>1.1670900149408907</v>
      </c>
      <c r="H20379">
        <f>0.0120481927710843*2.68732407058509</f>
        <v>3.2377398440784119E-2</v>
      </c>
      <c r="I20379">
        <v>3.2377398440784258E-2</v>
      </c>
    </row>
    <row r="20380" spans="1:9" x14ac:dyDescent="0.25">
      <c r="A20380">
        <v>602</v>
      </c>
      <c r="B20380" t="s">
        <v>4819</v>
      </c>
      <c r="C20380" t="s">
        <v>10</v>
      </c>
      <c r="D20380" t="s">
        <v>755</v>
      </c>
      <c r="E20380">
        <f>1/83</f>
        <v>1.2048192771084338E-2</v>
      </c>
      <c r="F20380">
        <v>19</v>
      </c>
      <c r="G20380">
        <f>LOG(382/(19+1))</f>
        <v>1.2810333672477277</v>
      </c>
      <c r="H20380">
        <f>0.0120481927710843*2.94968833505258</f>
        <v>3.5538413675332177E-2</v>
      </c>
      <c r="I20380">
        <v>3.5538413675332343E-2</v>
      </c>
    </row>
    <row r="20381" spans="1:9" x14ac:dyDescent="0.25">
      <c r="A20381">
        <v>602</v>
      </c>
      <c r="B20381" t="s">
        <v>4819</v>
      </c>
      <c r="C20381" t="s">
        <v>10</v>
      </c>
      <c r="D20381" t="s">
        <v>754</v>
      </c>
      <c r="E20381">
        <f>3/83</f>
        <v>3.614457831325301E-2</v>
      </c>
      <c r="F20381">
        <v>111</v>
      </c>
      <c r="G20381">
        <f>LOG(382/(111+1))</f>
        <v>0.53284534024152708</v>
      </c>
      <c r="H20381">
        <f>0.036144578313253*1.22692173731148</f>
        <v>4.4346568818487211E-2</v>
      </c>
      <c r="I20381">
        <v>4.4346568818487253E-2</v>
      </c>
    </row>
    <row r="20382" spans="1:9" x14ac:dyDescent="0.25">
      <c r="A20382">
        <v>602</v>
      </c>
      <c r="B20382" t="s">
        <v>4819</v>
      </c>
      <c r="C20382" t="s">
        <v>10</v>
      </c>
      <c r="D20382" t="s">
        <v>82</v>
      </c>
      <c r="E20382">
        <f>2/83</f>
        <v>2.4096385542168676E-2</v>
      </c>
      <c r="F20382">
        <v>92</v>
      </c>
      <c r="G20382">
        <f>LOG(382/(92+1))</f>
        <v>0.61358041435777355</v>
      </c>
      <c r="H20382">
        <f>0.0240963855421686*1.41282111545331</f>
        <v>3.4043882300079653E-2</v>
      </c>
      <c r="I20382">
        <v>3.4043882300079993E-2</v>
      </c>
    </row>
    <row r="20383" spans="1:9" x14ac:dyDescent="0.25">
      <c r="A20383">
        <v>602</v>
      </c>
      <c r="B20383" t="s">
        <v>4819</v>
      </c>
      <c r="C20383" t="s">
        <v>10</v>
      </c>
      <c r="D20383" t="s">
        <v>3707</v>
      </c>
      <c r="E20383">
        <f t="shared" ref="E20383:E20391" si="972">1/83</f>
        <v>1.2048192771084338E-2</v>
      </c>
      <c r="F20383">
        <v>5</v>
      </c>
      <c r="G20383">
        <f>LOG(382/(5+1))</f>
        <v>1.803912112528065</v>
      </c>
      <c r="H20383">
        <f>0.0120481927710843*4.15366113937852</f>
        <v>5.0044110112994061E-2</v>
      </c>
      <c r="I20383">
        <v>5.0044110112994221E-2</v>
      </c>
    </row>
    <row r="20384" spans="1:9" x14ac:dyDescent="0.25">
      <c r="A20384">
        <v>602</v>
      </c>
      <c r="B20384" t="s">
        <v>4819</v>
      </c>
      <c r="C20384" t="s">
        <v>10</v>
      </c>
      <c r="D20384" t="s">
        <v>111</v>
      </c>
      <c r="E20384">
        <f t="shared" si="972"/>
        <v>1.2048192771084338E-2</v>
      </c>
      <c r="F20384">
        <v>33</v>
      </c>
      <c r="G20384">
        <f>LOG(382/(33+1))</f>
        <v>1.0505844458694535</v>
      </c>
      <c r="H20384">
        <f>0.0120481927710843*2.41906008399041</f>
        <v>2.914530221675184E-2</v>
      </c>
      <c r="I20384">
        <v>2.9145302216751979E-2</v>
      </c>
    </row>
    <row r="20385" spans="1:9" x14ac:dyDescent="0.25">
      <c r="A20385">
        <v>602</v>
      </c>
      <c r="B20385" t="s">
        <v>4819</v>
      </c>
      <c r="C20385" t="s">
        <v>10</v>
      </c>
      <c r="D20385" t="s">
        <v>4135</v>
      </c>
      <c r="E20385">
        <f t="shared" si="972"/>
        <v>1.2048192771084338E-2</v>
      </c>
      <c r="F20385">
        <v>6</v>
      </c>
      <c r="G20385">
        <f>LOG(382/(6+1))</f>
        <v>1.736965322897452</v>
      </c>
      <c r="H20385">
        <f>0.0120481927710843*3.99951045955126</f>
        <v>4.818687300664154E-2</v>
      </c>
      <c r="I20385">
        <v>4.8186873006641713E-2</v>
      </c>
    </row>
    <row r="20386" spans="1:9" x14ac:dyDescent="0.25">
      <c r="A20386">
        <v>602</v>
      </c>
      <c r="B20386" t="s">
        <v>4819</v>
      </c>
      <c r="C20386" t="s">
        <v>10</v>
      </c>
      <c r="D20386" t="s">
        <v>19</v>
      </c>
      <c r="E20386">
        <f t="shared" si="972"/>
        <v>1.2048192771084338E-2</v>
      </c>
      <c r="F20386">
        <v>220</v>
      </c>
      <c r="G20386">
        <f>LOG(382/(220+1))</f>
        <v>0.23767108922659805</v>
      </c>
      <c r="H20386">
        <f>0.0120481927710843*0.547257907088822</f>
        <v>6.5934687601062695E-3</v>
      </c>
      <c r="I20386">
        <v>6.5934687601062938E-3</v>
      </c>
    </row>
    <row r="20387" spans="1:9" x14ac:dyDescent="0.25">
      <c r="A20387">
        <v>602</v>
      </c>
      <c r="B20387" t="s">
        <v>4819</v>
      </c>
      <c r="C20387" t="s">
        <v>10</v>
      </c>
      <c r="D20387" t="s">
        <v>808</v>
      </c>
      <c r="E20387">
        <f t="shared" si="972"/>
        <v>1.2048192771084338E-2</v>
      </c>
      <c r="F20387">
        <v>20</v>
      </c>
      <c r="G20387">
        <f>LOG(382/(20+1))</f>
        <v>1.2598440681777894</v>
      </c>
      <c r="H20387">
        <f>0.0120481927710843*2.90089817088315</f>
        <v>3.4950580372086038E-2</v>
      </c>
      <c r="I20387">
        <v>3.4950580372086183E-2</v>
      </c>
    </row>
    <row r="20388" spans="1:9" x14ac:dyDescent="0.25">
      <c r="A20388">
        <v>602</v>
      </c>
      <c r="B20388" t="s">
        <v>4819</v>
      </c>
      <c r="C20388" t="s">
        <v>10</v>
      </c>
      <c r="D20388" t="s">
        <v>809</v>
      </c>
      <c r="E20388">
        <f t="shared" si="972"/>
        <v>1.2048192771084338E-2</v>
      </c>
      <c r="F20388">
        <v>19</v>
      </c>
      <c r="G20388">
        <f>LOG(382/(19+1))</f>
        <v>1.2810333672477277</v>
      </c>
      <c r="H20388">
        <f>0.0120481927710843*2.94968833505258</f>
        <v>3.5538413675332177E-2</v>
      </c>
      <c r="I20388">
        <v>3.5538413675332343E-2</v>
      </c>
    </row>
    <row r="20389" spans="1:9" x14ac:dyDescent="0.25">
      <c r="A20389">
        <v>602</v>
      </c>
      <c r="B20389" t="s">
        <v>4819</v>
      </c>
      <c r="C20389" t="s">
        <v>10</v>
      </c>
      <c r="D20389" t="s">
        <v>22</v>
      </c>
      <c r="E20389">
        <f t="shared" si="972"/>
        <v>1.2048192771084338E-2</v>
      </c>
      <c r="F20389">
        <v>259</v>
      </c>
      <c r="G20389">
        <f>LOG(382/(259+1))</f>
        <v>0.16709001494089079</v>
      </c>
      <c r="H20389">
        <f>0.0120481927710843*0.384738977591047</f>
        <v>4.6354093685668169E-3</v>
      </c>
      <c r="I20389">
        <v>4.6354093685668377E-3</v>
      </c>
    </row>
    <row r="20390" spans="1:9" x14ac:dyDescent="0.25">
      <c r="A20390">
        <v>602</v>
      </c>
      <c r="B20390" t="s">
        <v>4819</v>
      </c>
      <c r="C20390" t="s">
        <v>10</v>
      </c>
      <c r="D20390" t="s">
        <v>23</v>
      </c>
      <c r="E20390">
        <f t="shared" si="972"/>
        <v>1.2048192771084338E-2</v>
      </c>
      <c r="F20390">
        <v>275</v>
      </c>
      <c r="G20390">
        <f>LOG(382/(275+1))</f>
        <v>0.14115428084649101</v>
      </c>
      <c r="H20390">
        <f>0.0120481927710843*0.325019742889425</f>
        <v>3.9159005167400474E-3</v>
      </c>
      <c r="I20390">
        <v>3.9159005167400621E-3</v>
      </c>
    </row>
    <row r="20391" spans="1:9" x14ac:dyDescent="0.25">
      <c r="A20391">
        <v>602</v>
      </c>
      <c r="B20391" t="s">
        <v>4819</v>
      </c>
      <c r="C20391" t="s">
        <v>10</v>
      </c>
      <c r="D20391" t="s">
        <v>204</v>
      </c>
      <c r="E20391">
        <f t="shared" si="972"/>
        <v>1.2048192771084338E-2</v>
      </c>
      <c r="F20391">
        <v>166</v>
      </c>
      <c r="G20391">
        <f>LOG(382/(166+1))</f>
        <v>0.35934689176412549</v>
      </c>
      <c r="H20391">
        <f>0.0120481927710843*0.82742679618982</f>
        <v>9.9689975444556319E-3</v>
      </c>
      <c r="I20391">
        <v>9.9689975444556649E-3</v>
      </c>
    </row>
    <row r="20392" spans="1:9" x14ac:dyDescent="0.25">
      <c r="A20392">
        <v>602</v>
      </c>
      <c r="B20392" t="s">
        <v>4819</v>
      </c>
      <c r="C20392" t="s">
        <v>10</v>
      </c>
      <c r="D20392" t="s">
        <v>322</v>
      </c>
      <c r="E20392">
        <f>4/83</f>
        <v>4.8192771084337352E-2</v>
      </c>
      <c r="F20392">
        <v>128</v>
      </c>
      <c r="G20392">
        <f>LOG(382/(128+1))</f>
        <v>0.47147365261245977</v>
      </c>
      <c r="H20392">
        <f>0.0481927710843373*1.0856082042449</f>
        <v>5.2318467674452959E-2</v>
      </c>
      <c r="I20392">
        <v>5.2318467674453167E-2</v>
      </c>
    </row>
    <row r="20393" spans="1:9" x14ac:dyDescent="0.25">
      <c r="A20393">
        <v>602</v>
      </c>
      <c r="B20393" t="s">
        <v>4819</v>
      </c>
      <c r="C20393" t="s">
        <v>10</v>
      </c>
      <c r="D20393" t="s">
        <v>338</v>
      </c>
      <c r="E20393">
        <f>2/83</f>
        <v>2.4096385542168676E-2</v>
      </c>
      <c r="F20393">
        <v>54</v>
      </c>
      <c r="G20393">
        <f>LOG(382/(54+1))</f>
        <v>0.84170067341746491</v>
      </c>
      <c r="H20393">
        <f>0.0240963855421686*1.9380874233741</f>
        <v>4.6700901768050453E-2</v>
      </c>
      <c r="I20393">
        <v>4.6700901768050709E-2</v>
      </c>
    </row>
    <row r="20394" spans="1:9" x14ac:dyDescent="0.25">
      <c r="A20394">
        <v>602</v>
      </c>
      <c r="B20394" t="s">
        <v>4819</v>
      </c>
      <c r="C20394" t="s">
        <v>10</v>
      </c>
      <c r="D20394" t="s">
        <v>767</v>
      </c>
      <c r="E20394">
        <f t="shared" ref="E20394:E20400" si="973">1/83</f>
        <v>1.2048192771084338E-2</v>
      </c>
      <c r="F20394">
        <v>47</v>
      </c>
      <c r="G20394">
        <f>LOG(382/(47+1))</f>
        <v>0.90082212553612151</v>
      </c>
      <c r="H20394">
        <f>0.0120481927710843*2.07421959769868</f>
        <v>2.4990597562634623E-2</v>
      </c>
      <c r="I20394">
        <v>2.4990597562634751E-2</v>
      </c>
    </row>
    <row r="20395" spans="1:9" x14ac:dyDescent="0.25">
      <c r="A20395">
        <v>602</v>
      </c>
      <c r="B20395" t="s">
        <v>4819</v>
      </c>
      <c r="C20395" t="s">
        <v>10</v>
      </c>
      <c r="D20395" t="s">
        <v>256</v>
      </c>
      <c r="E20395">
        <f t="shared" si="973"/>
        <v>1.2048192771084338E-2</v>
      </c>
      <c r="F20395">
        <v>28</v>
      </c>
      <c r="G20395">
        <f>LOG(382/(28+1))</f>
        <v>1.1196653650127526</v>
      </c>
      <c r="H20395">
        <f>0.0120481927710843*2.5781247786201</f>
        <v>3.1061744320723998E-2</v>
      </c>
      <c r="I20395">
        <v>3.1061744320724109E-2</v>
      </c>
    </row>
    <row r="20396" spans="1:9" x14ac:dyDescent="0.25">
      <c r="A20396">
        <v>602</v>
      </c>
      <c r="B20396" t="s">
        <v>4819</v>
      </c>
      <c r="C20396" t="s">
        <v>10</v>
      </c>
      <c r="D20396" t="s">
        <v>775</v>
      </c>
      <c r="E20396">
        <f t="shared" si="973"/>
        <v>1.2048192771084338E-2</v>
      </c>
      <c r="F20396">
        <v>20</v>
      </c>
      <c r="G20396">
        <f>LOG(382/(20+1))</f>
        <v>1.2598440681777894</v>
      </c>
      <c r="H20396">
        <f>0.0120481927710843*2.90089817088315</f>
        <v>3.4950580372086038E-2</v>
      </c>
      <c r="I20396">
        <v>3.4950580372086183E-2</v>
      </c>
    </row>
    <row r="20397" spans="1:9" x14ac:dyDescent="0.25">
      <c r="A20397">
        <v>602</v>
      </c>
      <c r="B20397" t="s">
        <v>4819</v>
      </c>
      <c r="C20397" t="s">
        <v>10</v>
      </c>
      <c r="D20397" t="s">
        <v>3072</v>
      </c>
      <c r="E20397">
        <f t="shared" si="973"/>
        <v>1.2048192771084338E-2</v>
      </c>
      <c r="F20397">
        <v>3</v>
      </c>
      <c r="G20397">
        <f>LOG(382/(3+1))</f>
        <v>1.9800033715837464</v>
      </c>
      <c r="H20397">
        <f>0.0120481927710843*4.55912624748668</f>
        <v>5.4929231897429709E-2</v>
      </c>
      <c r="I20397">
        <v>5.4929231897429938E-2</v>
      </c>
    </row>
    <row r="20398" spans="1:9" x14ac:dyDescent="0.25">
      <c r="A20398">
        <v>602</v>
      </c>
      <c r="B20398" t="s">
        <v>4819</v>
      </c>
      <c r="C20398" t="s">
        <v>10</v>
      </c>
      <c r="D20398" t="s">
        <v>331</v>
      </c>
      <c r="E20398">
        <f t="shared" si="973"/>
        <v>1.2048192771084338E-2</v>
      </c>
      <c r="F20398">
        <v>130</v>
      </c>
      <c r="G20398">
        <f>LOG(382/(130+1))</f>
        <v>0.46479206725594452</v>
      </c>
      <c r="H20398">
        <f>0.0120481927710843*1.07022328540542</f>
        <v>1.2894256450667671E-2</v>
      </c>
      <c r="I20398">
        <v>1.289425645066776E-2</v>
      </c>
    </row>
    <row r="20399" spans="1:9" x14ac:dyDescent="0.25">
      <c r="A20399">
        <v>602</v>
      </c>
      <c r="B20399" t="s">
        <v>4819</v>
      </c>
      <c r="C20399" t="s">
        <v>10</v>
      </c>
      <c r="D20399" t="s">
        <v>1843</v>
      </c>
      <c r="E20399">
        <f t="shared" si="973"/>
        <v>1.2048192771084338E-2</v>
      </c>
      <c r="F20399">
        <v>4</v>
      </c>
      <c r="G20399">
        <f>LOG(382/(4+1))</f>
        <v>1.8830933585756899</v>
      </c>
      <c r="H20399">
        <f>0.0120481927710843*4.33598269617247</f>
        <v>5.2240755375571768E-2</v>
      </c>
      <c r="I20399">
        <v>5.224075537557199E-2</v>
      </c>
    </row>
    <row r="20400" spans="1:9" x14ac:dyDescent="0.25">
      <c r="A20400">
        <v>602</v>
      </c>
      <c r="B20400" t="s">
        <v>4819</v>
      </c>
      <c r="C20400" t="s">
        <v>10</v>
      </c>
      <c r="D20400" t="s">
        <v>823</v>
      </c>
      <c r="E20400">
        <f t="shared" si="973"/>
        <v>1.2048192771084338E-2</v>
      </c>
      <c r="F20400">
        <v>45</v>
      </c>
      <c r="G20400">
        <f>LOG(382/(45+1))</f>
        <v>0.9193055312301347</v>
      </c>
      <c r="H20400">
        <f>0.0120481927710843*2.11677921211748</f>
        <v>2.5503364001415344E-2</v>
      </c>
      <c r="I20400">
        <v>2.550336400141542E-2</v>
      </c>
    </row>
    <row r="20401" spans="1:9" x14ac:dyDescent="0.25">
      <c r="A20401">
        <v>602</v>
      </c>
      <c r="B20401" t="s">
        <v>4819</v>
      </c>
      <c r="C20401" t="s">
        <v>10</v>
      </c>
      <c r="D20401" t="s">
        <v>762</v>
      </c>
      <c r="E20401">
        <f>2/83</f>
        <v>2.4096385542168676E-2</v>
      </c>
      <c r="F20401">
        <v>29</v>
      </c>
      <c r="G20401">
        <f>LOG(382/(29+1))</f>
        <v>1.1049421081920463</v>
      </c>
      <c r="H20401">
        <f>0.0240963855421686*2.54422322694442</f>
        <v>6.1306583781793059E-2</v>
      </c>
      <c r="I20401">
        <v>6.1306583781793253E-2</v>
      </c>
    </row>
    <row r="20402" spans="1:9" x14ac:dyDescent="0.25">
      <c r="A20402">
        <v>602</v>
      </c>
      <c r="B20402" t="s">
        <v>4819</v>
      </c>
      <c r="C20402" t="s">
        <v>10</v>
      </c>
      <c r="D20402" t="s">
        <v>1094</v>
      </c>
      <c r="E20402">
        <f t="shared" ref="E20402:E20407" si="974">1/83</f>
        <v>1.2048192771084338E-2</v>
      </c>
      <c r="F20402">
        <v>7</v>
      </c>
      <c r="G20402">
        <f>LOG(382/(7+1))</f>
        <v>1.6789733759197651</v>
      </c>
      <c r="H20402">
        <f>0.0120481927710843*3.86597906692673</f>
        <v>4.6578061047309854E-2</v>
      </c>
      <c r="I20402">
        <v>4.6578061047310111E-2</v>
      </c>
    </row>
    <row r="20403" spans="1:9" x14ac:dyDescent="0.25">
      <c r="A20403">
        <v>602</v>
      </c>
      <c r="B20403" t="s">
        <v>4819</v>
      </c>
      <c r="C20403" t="s">
        <v>10</v>
      </c>
      <c r="D20403" t="s">
        <v>1639</v>
      </c>
      <c r="E20403">
        <f t="shared" si="974"/>
        <v>1.2048192771084338E-2</v>
      </c>
      <c r="F20403">
        <v>10</v>
      </c>
      <c r="G20403">
        <f>LOG(382/(10+1))</f>
        <v>1.5406706777534838</v>
      </c>
      <c r="H20403">
        <f>0.0120481927710843*3.5475253358082</f>
        <v>4.2741269106122762E-2</v>
      </c>
      <c r="I20403">
        <v>4.2741269106122949E-2</v>
      </c>
    </row>
    <row r="20404" spans="1:9" x14ac:dyDescent="0.25">
      <c r="A20404">
        <v>602</v>
      </c>
      <c r="B20404" t="s">
        <v>4819</v>
      </c>
      <c r="C20404" t="s">
        <v>10</v>
      </c>
      <c r="D20404" t="s">
        <v>3015</v>
      </c>
      <c r="E20404">
        <f t="shared" si="974"/>
        <v>1.2048192771084338E-2</v>
      </c>
      <c r="F20404">
        <v>9</v>
      </c>
      <c r="G20404">
        <f>LOG(382/(9+1))</f>
        <v>1.5820633629117087</v>
      </c>
      <c r="H20404">
        <f>0.0120481927710843*3.64283551561252</f>
        <v>4.3889584525451913E-2</v>
      </c>
      <c r="I20404">
        <v>4.3889584525452163E-2</v>
      </c>
    </row>
    <row r="20405" spans="1:9" x14ac:dyDescent="0.25">
      <c r="A20405">
        <v>602</v>
      </c>
      <c r="B20405" t="s">
        <v>4819</v>
      </c>
      <c r="C20405" t="s">
        <v>10</v>
      </c>
      <c r="D20405" t="s">
        <v>4276</v>
      </c>
      <c r="E20405">
        <f t="shared" si="974"/>
        <v>1.2048192771084338E-2</v>
      </c>
      <c r="F20405">
        <v>8</v>
      </c>
      <c r="G20405">
        <f>LOG(382/(8+1))</f>
        <v>1.6278208534723839</v>
      </c>
      <c r="H20405">
        <f>0.0120481927710843*3.74819603127035</f>
        <v>4.5158988328558296E-2</v>
      </c>
      <c r="I20405">
        <v>4.5158988328558497E-2</v>
      </c>
    </row>
    <row r="20406" spans="1:9" x14ac:dyDescent="0.25">
      <c r="A20406">
        <v>602</v>
      </c>
      <c r="B20406" t="s">
        <v>4819</v>
      </c>
      <c r="C20406" t="s">
        <v>10</v>
      </c>
      <c r="D20406" t="s">
        <v>1630</v>
      </c>
      <c r="E20406">
        <f t="shared" si="974"/>
        <v>1.2048192771084338E-2</v>
      </c>
      <c r="F20406">
        <v>3</v>
      </c>
      <c r="G20406">
        <f>LOG(382/(3+1))</f>
        <v>1.9800033715837464</v>
      </c>
      <c r="H20406">
        <f>0.0120481927710843*4.55912624748668</f>
        <v>5.4929231897429709E-2</v>
      </c>
      <c r="I20406">
        <v>5.4929231897429938E-2</v>
      </c>
    </row>
    <row r="20407" spans="1:9" x14ac:dyDescent="0.25">
      <c r="A20407">
        <v>602</v>
      </c>
      <c r="B20407" t="s">
        <v>4819</v>
      </c>
      <c r="C20407" t="s">
        <v>10</v>
      </c>
      <c r="D20407" t="s">
        <v>1773</v>
      </c>
      <c r="E20407">
        <f t="shared" si="974"/>
        <v>1.2048192771084338E-2</v>
      </c>
      <c r="F20407">
        <v>24</v>
      </c>
      <c r="G20407">
        <f>LOG(382/(24+1))</f>
        <v>1.1841233542396712</v>
      </c>
      <c r="H20407">
        <f>0.0120481927710843*2.72654478373837</f>
        <v>3.2849937153474236E-2</v>
      </c>
      <c r="I20407">
        <v>3.2849937153474389E-2</v>
      </c>
    </row>
    <row r="20408" spans="1:9" x14ac:dyDescent="0.25">
      <c r="A20408">
        <v>602</v>
      </c>
      <c r="B20408" t="s">
        <v>4819</v>
      </c>
      <c r="C20408" t="s">
        <v>10</v>
      </c>
      <c r="D20408" t="s">
        <v>447</v>
      </c>
      <c r="E20408">
        <f>2/83</f>
        <v>2.4096385542168676E-2</v>
      </c>
      <c r="F20408">
        <v>37</v>
      </c>
      <c r="G20408">
        <f>LOG(382/(37+1))</f>
        <v>1.0022797662948986</v>
      </c>
      <c r="H20408">
        <f>0.0240963855421686*2.30783444888018</f>
        <v>5.5610468647715003E-2</v>
      </c>
      <c r="I20408">
        <v>5.5610468647715412E-2</v>
      </c>
    </row>
    <row r="20409" spans="1:9" x14ac:dyDescent="0.25">
      <c r="A20409">
        <v>602</v>
      </c>
      <c r="B20409" t="s">
        <v>4819</v>
      </c>
      <c r="C20409" t="s">
        <v>10</v>
      </c>
      <c r="D20409" t="s">
        <v>3071</v>
      </c>
      <c r="E20409">
        <f>1/83</f>
        <v>1.2048192771084338E-2</v>
      </c>
      <c r="F20409">
        <v>6</v>
      </c>
      <c r="G20409">
        <f>LOG(382/(6+1))</f>
        <v>1.736965322897452</v>
      </c>
      <c r="H20409">
        <f>0.0120481927710843*3.99951045955126</f>
        <v>4.818687300664154E-2</v>
      </c>
      <c r="I20409">
        <v>4.8186873006641713E-2</v>
      </c>
    </row>
    <row r="20410" spans="1:9" x14ac:dyDescent="0.25">
      <c r="A20410">
        <v>602</v>
      </c>
      <c r="B20410" t="s">
        <v>4819</v>
      </c>
      <c r="C20410" t="s">
        <v>10</v>
      </c>
      <c r="D20410" t="s">
        <v>309</v>
      </c>
      <c r="E20410">
        <f>2/83</f>
        <v>2.4096385542168676E-2</v>
      </c>
      <c r="F20410">
        <v>25</v>
      </c>
      <c r="G20410">
        <f>LOG(382/(25+1))</f>
        <v>1.1670900149408907</v>
      </c>
      <c r="H20410">
        <f>0.0240963855421686*2.68732407058509</f>
        <v>6.4754796881568238E-2</v>
      </c>
      <c r="I20410">
        <v>6.4754796881568516E-2</v>
      </c>
    </row>
    <row r="20411" spans="1:9" x14ac:dyDescent="0.25">
      <c r="A20411">
        <v>602</v>
      </c>
      <c r="B20411" t="s">
        <v>4819</v>
      </c>
      <c r="C20411" t="s">
        <v>10</v>
      </c>
      <c r="D20411" t="s">
        <v>1471</v>
      </c>
      <c r="E20411">
        <f>1/83</f>
        <v>1.2048192771084338E-2</v>
      </c>
      <c r="F20411">
        <v>3</v>
      </c>
      <c r="G20411">
        <f>LOG(382/(3+1))</f>
        <v>1.9800033715837464</v>
      </c>
      <c r="H20411">
        <f>0.0120481927710843*4.55912624748668</f>
        <v>5.4929231897429709E-2</v>
      </c>
      <c r="I20411">
        <v>5.4929231897429938E-2</v>
      </c>
    </row>
    <row r="20412" spans="1:9" x14ac:dyDescent="0.25">
      <c r="A20412">
        <v>602</v>
      </c>
      <c r="B20412" t="s">
        <v>4819</v>
      </c>
      <c r="C20412" t="s">
        <v>10</v>
      </c>
      <c r="D20412" t="s">
        <v>1532</v>
      </c>
      <c r="E20412">
        <f>2/83</f>
        <v>2.4096385542168676E-2</v>
      </c>
      <c r="F20412">
        <v>28</v>
      </c>
      <c r="G20412">
        <f>LOG(382/(28+1))</f>
        <v>1.1196653650127526</v>
      </c>
      <c r="H20412">
        <f>0.0240963855421686*2.5781247786201</f>
        <v>6.2123488641447996E-2</v>
      </c>
      <c r="I20412">
        <v>6.2123488641448232E-2</v>
      </c>
    </row>
    <row r="20413" spans="1:9" x14ac:dyDescent="0.25">
      <c r="A20413">
        <v>602</v>
      </c>
      <c r="B20413" t="s">
        <v>4819</v>
      </c>
      <c r="C20413" t="s">
        <v>10</v>
      </c>
      <c r="D20413" t="s">
        <v>1533</v>
      </c>
      <c r="E20413">
        <f>2/83</f>
        <v>2.4096385542168676E-2</v>
      </c>
      <c r="F20413">
        <v>33</v>
      </c>
      <c r="G20413">
        <f>LOG(382/(33+1))</f>
        <v>1.0505844458694535</v>
      </c>
      <c r="H20413">
        <f>0.0240963855421686*2.41906008399041</f>
        <v>5.829060443350368E-2</v>
      </c>
      <c r="I20413">
        <v>5.8290604433503951E-2</v>
      </c>
    </row>
    <row r="20414" spans="1:9" x14ac:dyDescent="0.25">
      <c r="A20414">
        <v>602</v>
      </c>
      <c r="B20414" t="s">
        <v>4819</v>
      </c>
      <c r="C20414" t="s">
        <v>10</v>
      </c>
      <c r="D20414" t="s">
        <v>133</v>
      </c>
      <c r="E20414">
        <f t="shared" ref="E20414:E20420" si="975">1/83</f>
        <v>1.2048192771084338E-2</v>
      </c>
      <c r="F20414">
        <v>142</v>
      </c>
      <c r="G20414">
        <f>LOG(382/(142+1))</f>
        <v>0.42672732544664693</v>
      </c>
      <c r="H20414">
        <f>0.0120481927710843*0.982575978346667</f>
        <v>1.1838264799357397E-2</v>
      </c>
      <c r="I20414">
        <v>1.1838264799357441E-2</v>
      </c>
    </row>
    <row r="20415" spans="1:9" x14ac:dyDescent="0.25">
      <c r="A20415">
        <v>602</v>
      </c>
      <c r="B20415" t="s">
        <v>4819</v>
      </c>
      <c r="C20415" t="s">
        <v>10</v>
      </c>
      <c r="D20415" t="s">
        <v>329</v>
      </c>
      <c r="E20415">
        <f t="shared" si="975"/>
        <v>1.2048192771084338E-2</v>
      </c>
      <c r="F20415">
        <v>9</v>
      </c>
      <c r="G20415">
        <f>LOG(382/(9+1))</f>
        <v>1.5820633629117087</v>
      </c>
      <c r="H20415">
        <f>0.0120481927710843*3.64283551561252</f>
        <v>4.3889584525451913E-2</v>
      </c>
      <c r="I20415">
        <v>4.3889584525452163E-2</v>
      </c>
    </row>
    <row r="20416" spans="1:9" x14ac:dyDescent="0.25">
      <c r="A20416">
        <v>602</v>
      </c>
      <c r="B20416" t="s">
        <v>4819</v>
      </c>
      <c r="C20416" t="s">
        <v>10</v>
      </c>
      <c r="D20416" t="s">
        <v>1709</v>
      </c>
      <c r="E20416">
        <f t="shared" si="975"/>
        <v>1.2048192771084338E-2</v>
      </c>
      <c r="F20416">
        <v>21</v>
      </c>
      <c r="G20416">
        <f>LOG(382/(21+1))</f>
        <v>1.2396406820895025</v>
      </c>
      <c r="H20416">
        <f>0.0120481927710843*2.85437815524825</f>
        <v>3.43900982560029E-2</v>
      </c>
      <c r="I20416">
        <v>3.4390098256003122E-2</v>
      </c>
    </row>
    <row r="20417" spans="1:9" x14ac:dyDescent="0.25">
      <c r="A20417">
        <v>602</v>
      </c>
      <c r="B20417" t="s">
        <v>4819</v>
      </c>
      <c r="C20417" t="s">
        <v>10</v>
      </c>
      <c r="D20417" t="s">
        <v>764</v>
      </c>
      <c r="E20417">
        <f t="shared" si="975"/>
        <v>1.2048192771084338E-2</v>
      </c>
      <c r="F20417">
        <v>57</v>
      </c>
      <c r="G20417">
        <f>LOG(382/(57+1))</f>
        <v>0.81863536934877146</v>
      </c>
      <c r="H20417">
        <f>0.0120481927710843*1.88497759806015</f>
        <v>2.2710573470604147E-2</v>
      </c>
      <c r="I20417">
        <v>2.2710573470604289E-2</v>
      </c>
    </row>
    <row r="20418" spans="1:9" x14ac:dyDescent="0.25">
      <c r="A20418">
        <v>602</v>
      </c>
      <c r="B20418" t="s">
        <v>4819</v>
      </c>
      <c r="C20418" t="s">
        <v>10</v>
      </c>
      <c r="D20418" t="s">
        <v>1085</v>
      </c>
      <c r="E20418">
        <f t="shared" si="975"/>
        <v>1.2048192771084338E-2</v>
      </c>
      <c r="F20418">
        <v>16</v>
      </c>
      <c r="G20418">
        <f>LOG(382/(16+1))</f>
        <v>1.3516144415334348</v>
      </c>
      <c r="H20418">
        <f>0.0120481927710843*3.11220726455035</f>
        <v>3.7496473066871566E-2</v>
      </c>
      <c r="I20418">
        <v>3.7496473066871802E-2</v>
      </c>
    </row>
    <row r="20419" spans="1:9" x14ac:dyDescent="0.25">
      <c r="A20419">
        <v>602</v>
      </c>
      <c r="B20419" t="s">
        <v>4819</v>
      </c>
      <c r="C20419" t="s">
        <v>10</v>
      </c>
      <c r="D20419" t="s">
        <v>123</v>
      </c>
      <c r="E20419">
        <f t="shared" si="975"/>
        <v>1.2048192771084338E-2</v>
      </c>
      <c r="F20419">
        <v>74</v>
      </c>
      <c r="G20419">
        <f>LOG(382/(74+1))</f>
        <v>0.7070020995200087</v>
      </c>
      <c r="H20419">
        <f>0.0120481927710843*1.62793249507026</f>
        <v>1.9613644518918734E-2</v>
      </c>
      <c r="I20419">
        <v>1.9613644518918848E-2</v>
      </c>
    </row>
    <row r="20420" spans="1:9" x14ac:dyDescent="0.25">
      <c r="A20420">
        <v>602</v>
      </c>
      <c r="B20420" t="s">
        <v>4819</v>
      </c>
      <c r="C20420" t="s">
        <v>10</v>
      </c>
      <c r="D20420" t="s">
        <v>573</v>
      </c>
      <c r="E20420">
        <f t="shared" si="975"/>
        <v>1.2048192771084338E-2</v>
      </c>
      <c r="F20420">
        <v>14</v>
      </c>
      <c r="G20420">
        <f>LOG(382/(14+1))</f>
        <v>1.4059721038560276</v>
      </c>
      <c r="H20420">
        <f>0.0120481927710843*3.23737040750436</f>
        <v>3.9004462741016266E-2</v>
      </c>
      <c r="I20420">
        <v>3.9004462741016453E-2</v>
      </c>
    </row>
    <row r="20421" spans="1:9" x14ac:dyDescent="0.25">
      <c r="A20421">
        <v>602</v>
      </c>
      <c r="B20421" t="s">
        <v>4819</v>
      </c>
      <c r="C20421" t="s">
        <v>10</v>
      </c>
      <c r="D20421" t="s">
        <v>1537</v>
      </c>
      <c r="E20421">
        <f>2/83</f>
        <v>2.4096385542168676E-2</v>
      </c>
      <c r="F20421">
        <v>80</v>
      </c>
      <c r="G20421">
        <f>LOG(382/(80+1))</f>
        <v>0.67357834403305894</v>
      </c>
      <c r="H20421">
        <f>0.0240963855421686*1.55097145393413</f>
        <v>3.7372806118894583E-2</v>
      </c>
      <c r="I20421">
        <v>3.7372806118894847E-2</v>
      </c>
    </row>
    <row r="20422" spans="1:9" x14ac:dyDescent="0.25">
      <c r="A20422">
        <v>602</v>
      </c>
      <c r="B20422" t="s">
        <v>4819</v>
      </c>
      <c r="C20422" t="s">
        <v>10</v>
      </c>
      <c r="D20422" t="s">
        <v>125</v>
      </c>
      <c r="E20422">
        <f>1/83</f>
        <v>1.2048192771084338E-2</v>
      </c>
      <c r="F20422">
        <v>9</v>
      </c>
      <c r="G20422">
        <f>LOG(382/(9+1))</f>
        <v>1.5820633629117087</v>
      </c>
      <c r="H20422">
        <f>0.0120481927710843*3.64283551561252</f>
        <v>4.3889584525451913E-2</v>
      </c>
      <c r="I20422">
        <v>4.3889584525452163E-2</v>
      </c>
    </row>
    <row r="20423" spans="1:9" x14ac:dyDescent="0.25">
      <c r="A20423">
        <v>602</v>
      </c>
      <c r="B20423" t="s">
        <v>4819</v>
      </c>
      <c r="C20423" t="s">
        <v>10</v>
      </c>
      <c r="D20423" t="s">
        <v>1769</v>
      </c>
      <c r="E20423">
        <f>1/83</f>
        <v>1.2048192771084338E-2</v>
      </c>
      <c r="F20423">
        <v>84</v>
      </c>
      <c r="G20423">
        <f>LOG(382/(84+1))</f>
        <v>0.65264443719741605</v>
      </c>
      <c r="H20423">
        <f>0.0120481927710843*1.50276935211625</f>
        <v>1.8105654844774041E-2</v>
      </c>
      <c r="I20423">
        <v>1.8105654844774201E-2</v>
      </c>
    </row>
    <row r="20424" spans="1:9" x14ac:dyDescent="0.25">
      <c r="A20424">
        <v>602</v>
      </c>
      <c r="B20424" t="s">
        <v>4819</v>
      </c>
      <c r="C20424" t="s">
        <v>10</v>
      </c>
      <c r="D20424" t="s">
        <v>1546</v>
      </c>
      <c r="E20424">
        <f>1/83</f>
        <v>1.2048192771084338E-2</v>
      </c>
      <c r="F20424">
        <v>44</v>
      </c>
      <c r="G20424">
        <f>LOG(382/(44+1))</f>
        <v>0.92885084913636506</v>
      </c>
      <c r="H20424">
        <f>0.0120481927710843*2.13875811883625</f>
        <v>2.576817010646076E-2</v>
      </c>
      <c r="I20424">
        <v>2.5768170106460909E-2</v>
      </c>
    </row>
    <row r="20425" spans="1:9" x14ac:dyDescent="0.25">
      <c r="A20425">
        <v>602</v>
      </c>
      <c r="B20425" t="s">
        <v>4819</v>
      </c>
      <c r="C20425" t="s">
        <v>10</v>
      </c>
      <c r="D20425" t="s">
        <v>362</v>
      </c>
      <c r="E20425">
        <f>2/83</f>
        <v>2.4096385542168676E-2</v>
      </c>
      <c r="F20425">
        <v>81</v>
      </c>
      <c r="G20425">
        <f>LOG(382/(81+1))</f>
        <v>0.66824951052799197</v>
      </c>
      <c r="H20425">
        <f>0.0240963855421686*1.53870136134232</f>
        <v>3.707714123716422E-2</v>
      </c>
      <c r="I20425">
        <v>3.7077141237164393E-2</v>
      </c>
    </row>
    <row r="20426" spans="1:9" x14ac:dyDescent="0.25">
      <c r="A20426">
        <v>602</v>
      </c>
      <c r="B20426" t="s">
        <v>4819</v>
      </c>
      <c r="C20426" t="s">
        <v>10</v>
      </c>
      <c r="D20426" t="s">
        <v>2238</v>
      </c>
      <c r="E20426">
        <f t="shared" ref="E20426:E20434" si="976">1/83</f>
        <v>1.2048192771084338E-2</v>
      </c>
      <c r="F20426">
        <v>68</v>
      </c>
      <c r="G20426">
        <f>LOG(382/(68+1))</f>
        <v>0.74321427217445335</v>
      </c>
      <c r="H20426">
        <f>0.0120481927710843*1.71131410400931</f>
        <v>2.0618242216979575E-2</v>
      </c>
      <c r="I20426">
        <v>2.061824221697971E-2</v>
      </c>
    </row>
    <row r="20427" spans="1:9" x14ac:dyDescent="0.25">
      <c r="A20427">
        <v>602</v>
      </c>
      <c r="B20427" t="s">
        <v>4819</v>
      </c>
      <c r="C20427" t="s">
        <v>10</v>
      </c>
      <c r="D20427" t="s">
        <v>201</v>
      </c>
      <c r="E20427">
        <f t="shared" si="976"/>
        <v>1.2048192771084338E-2</v>
      </c>
      <c r="F20427">
        <v>72</v>
      </c>
      <c r="G20427">
        <f>LOG(382/(72+1))</f>
        <v>0.71874050279125279</v>
      </c>
      <c r="H20427">
        <f>0.0120481927710843*1.65496116745818</f>
        <v>1.9939291174194875E-2</v>
      </c>
      <c r="I20427">
        <v>1.993929117419499E-2</v>
      </c>
    </row>
    <row r="20428" spans="1:9" x14ac:dyDescent="0.25">
      <c r="A20428">
        <v>602</v>
      </c>
      <c r="B20428" t="s">
        <v>4819</v>
      </c>
      <c r="C20428" t="s">
        <v>10</v>
      </c>
      <c r="D20428" t="s">
        <v>225</v>
      </c>
      <c r="E20428">
        <f t="shared" si="976"/>
        <v>1.2048192771084338E-2</v>
      </c>
      <c r="F20428">
        <v>30</v>
      </c>
      <c r="G20428">
        <f>LOG(382/(30+1))</f>
        <v>1.090701669077436</v>
      </c>
      <c r="H20428">
        <f>0.0120481927710843*2.51143340412142</f>
        <v>3.0258233784595329E-2</v>
      </c>
      <c r="I20428">
        <v>3.025823378459553E-2</v>
      </c>
    </row>
    <row r="20429" spans="1:9" x14ac:dyDescent="0.25">
      <c r="A20429">
        <v>602</v>
      </c>
      <c r="B20429" t="s">
        <v>4819</v>
      </c>
      <c r="C20429" t="s">
        <v>10</v>
      </c>
      <c r="D20429" t="s">
        <v>399</v>
      </c>
      <c r="E20429">
        <f t="shared" si="976"/>
        <v>1.2048192771084338E-2</v>
      </c>
      <c r="F20429">
        <v>27</v>
      </c>
      <c r="G20429">
        <f>LOG(382/(27+1))</f>
        <v>1.1349053315694895</v>
      </c>
      <c r="H20429">
        <f>0.0120481927710843*2.61321609843137</f>
        <v>3.1484531306401949E-2</v>
      </c>
      <c r="I20429">
        <v>3.148453130640206E-2</v>
      </c>
    </row>
    <row r="20430" spans="1:9" x14ac:dyDescent="0.25">
      <c r="A20430">
        <v>602</v>
      </c>
      <c r="B20430" t="s">
        <v>4819</v>
      </c>
      <c r="C20430" t="s">
        <v>10</v>
      </c>
      <c r="D20430" t="s">
        <v>772</v>
      </c>
      <c r="E20430">
        <f t="shared" si="976"/>
        <v>1.2048192771084338E-2</v>
      </c>
      <c r="F20430">
        <v>31</v>
      </c>
      <c r="G20430">
        <f>LOG(382/(31+1))</f>
        <v>1.0769133845918029</v>
      </c>
      <c r="H20430">
        <f>0.0120481927710843*2.47968470580684</f>
        <v>2.9875719347070267E-2</v>
      </c>
      <c r="I20430">
        <v>2.9875719347070472E-2</v>
      </c>
    </row>
    <row r="20431" spans="1:9" x14ac:dyDescent="0.25">
      <c r="A20431">
        <v>602</v>
      </c>
      <c r="B20431" t="s">
        <v>4819</v>
      </c>
      <c r="C20431" t="s">
        <v>10</v>
      </c>
      <c r="D20431" t="s">
        <v>649</v>
      </c>
      <c r="E20431">
        <f t="shared" si="976"/>
        <v>1.2048192771084338E-2</v>
      </c>
      <c r="F20431">
        <v>25</v>
      </c>
      <c r="G20431">
        <f>LOG(382/(25+1))</f>
        <v>1.1670900149408907</v>
      </c>
      <c r="H20431">
        <f>0.0120481927710843*2.68732407058509</f>
        <v>3.2377398440784119E-2</v>
      </c>
      <c r="I20431">
        <v>3.2377398440784258E-2</v>
      </c>
    </row>
    <row r="20432" spans="1:9" x14ac:dyDescent="0.25">
      <c r="A20432">
        <v>602</v>
      </c>
      <c r="B20432" t="s">
        <v>4819</v>
      </c>
      <c r="C20432" t="s">
        <v>10</v>
      </c>
      <c r="D20432" t="s">
        <v>2371</v>
      </c>
      <c r="E20432">
        <f t="shared" si="976"/>
        <v>1.2048192771084338E-2</v>
      </c>
      <c r="F20432">
        <v>4</v>
      </c>
      <c r="G20432">
        <f>LOG(382/(4+1))</f>
        <v>1.8830933585756899</v>
      </c>
      <c r="H20432">
        <f>0.0120481927710843*4.33598269617247</f>
        <v>5.2240755375571768E-2</v>
      </c>
      <c r="I20432">
        <v>5.224075537557199E-2</v>
      </c>
    </row>
    <row r="20433" spans="1:9" x14ac:dyDescent="0.25">
      <c r="A20433">
        <v>602</v>
      </c>
      <c r="B20433" t="s">
        <v>4819</v>
      </c>
      <c r="C20433" t="s">
        <v>10</v>
      </c>
      <c r="D20433" t="s">
        <v>2930</v>
      </c>
      <c r="E20433">
        <f t="shared" si="976"/>
        <v>1.2048192771084338E-2</v>
      </c>
      <c r="F20433">
        <v>15</v>
      </c>
      <c r="G20433">
        <f>LOG(382/(15+1))</f>
        <v>1.3779433802557839</v>
      </c>
      <c r="H20433">
        <f>0.0120481927710843*3.17283188636679</f>
        <v>3.8226890197190125E-2</v>
      </c>
      <c r="I20433">
        <v>3.8226890197190291E-2</v>
      </c>
    </row>
    <row r="20434" spans="1:9" x14ac:dyDescent="0.25">
      <c r="A20434">
        <v>602</v>
      </c>
      <c r="B20434" t="s">
        <v>4819</v>
      </c>
      <c r="C20434" t="s">
        <v>10</v>
      </c>
      <c r="D20434" t="s">
        <v>81</v>
      </c>
      <c r="E20434">
        <f t="shared" si="976"/>
        <v>1.2048192771084338E-2</v>
      </c>
      <c r="F20434">
        <v>114</v>
      </c>
      <c r="G20434">
        <f>LOG(382/(114+1))</f>
        <v>0.52136552255809698</v>
      </c>
      <c r="H20434">
        <f>0.0120481927710843*1.20048848024332</f>
        <v>1.4463716629437545E-2</v>
      </c>
      <c r="I20434">
        <v>1.4463716629437649E-2</v>
      </c>
    </row>
    <row r="20435" spans="1:9" x14ac:dyDescent="0.25">
      <c r="A20435">
        <v>602</v>
      </c>
      <c r="B20435" t="s">
        <v>4819</v>
      </c>
      <c r="C20435" t="s">
        <v>10</v>
      </c>
      <c r="D20435" t="s">
        <v>324</v>
      </c>
      <c r="E20435">
        <f>2/83</f>
        <v>2.4096385542168676E-2</v>
      </c>
      <c r="F20435">
        <v>82</v>
      </c>
      <c r="G20435">
        <f>LOG(382/(82+1))</f>
        <v>0.66298527053563483</v>
      </c>
      <c r="H20435">
        <f>0.0240963855421686*1.52658000080997</f>
        <v>3.6785060260481089E-2</v>
      </c>
      <c r="I20435">
        <v>3.6785060260481381E-2</v>
      </c>
    </row>
    <row r="20436" spans="1:9" x14ac:dyDescent="0.25">
      <c r="A20436">
        <v>602</v>
      </c>
      <c r="B20436" t="s">
        <v>4819</v>
      </c>
      <c r="C20436" t="s">
        <v>10</v>
      </c>
      <c r="D20436" t="s">
        <v>1222</v>
      </c>
      <c r="E20436">
        <f>1/83</f>
        <v>1.2048192771084338E-2</v>
      </c>
      <c r="F20436">
        <v>56</v>
      </c>
      <c r="G20436">
        <f>LOG(382/(56+1))</f>
        <v>0.82618850723921733</v>
      </c>
      <c r="H20436">
        <f>0.0120481927710843*1.90236934077202</f>
        <v>2.2920112539421854E-2</v>
      </c>
      <c r="I20436">
        <v>2.2920112539421989E-2</v>
      </c>
    </row>
    <row r="20437" spans="1:9" x14ac:dyDescent="0.25">
      <c r="A20437">
        <v>602</v>
      </c>
      <c r="B20437" t="s">
        <v>4819</v>
      </c>
      <c r="C20437" t="s">
        <v>10</v>
      </c>
      <c r="D20437" t="s">
        <v>4817</v>
      </c>
      <c r="E20437">
        <f>1/83</f>
        <v>1.2048192771084338E-2</v>
      </c>
      <c r="F20437">
        <v>2</v>
      </c>
      <c r="G20437">
        <f>LOG(382/(2+1))</f>
        <v>2.1049421081920463</v>
      </c>
      <c r="H20437">
        <f>0.0120481927710843*4.84680831993846</f>
        <v>5.8395280963113791E-2</v>
      </c>
      <c r="I20437">
        <v>5.8395280963114041E-2</v>
      </c>
    </row>
    <row r="20438" spans="1:9" x14ac:dyDescent="0.25">
      <c r="A20438">
        <v>602</v>
      </c>
      <c r="B20438" t="s">
        <v>4819</v>
      </c>
      <c r="C20438" t="s">
        <v>10</v>
      </c>
      <c r="D20438" t="s">
        <v>4818</v>
      </c>
      <c r="E20438">
        <f>1/83</f>
        <v>1.2048192771084338E-2</v>
      </c>
      <c r="F20438">
        <v>2</v>
      </c>
      <c r="G20438">
        <f>LOG(382/(2+1))</f>
        <v>2.1049421081920463</v>
      </c>
      <c r="H20438">
        <f>0.0120481927710843*4.84680831993846</f>
        <v>5.8395280963113791E-2</v>
      </c>
      <c r="I20438">
        <v>5.8395280963114041E-2</v>
      </c>
    </row>
    <row r="20439" spans="1:9" x14ac:dyDescent="0.25">
      <c r="A20439">
        <v>603</v>
      </c>
      <c r="B20439" t="s">
        <v>4822</v>
      </c>
      <c r="C20439" t="s">
        <v>10</v>
      </c>
      <c r="D20439" t="s">
        <v>741</v>
      </c>
      <c r="E20439">
        <f>4/59</f>
        <v>6.7796610169491525E-2</v>
      </c>
      <c r="F20439">
        <v>7</v>
      </c>
      <c r="G20439">
        <f>LOG(382/(7+1))</f>
        <v>1.6789733759197651</v>
      </c>
      <c r="H20439">
        <f>0.0677966101694915*3.86597906692673</f>
        <v>0.26210027572384603</v>
      </c>
      <c r="I20439">
        <v>0.2621002757238467</v>
      </c>
    </row>
    <row r="20440" spans="1:9" x14ac:dyDescent="0.25">
      <c r="A20440">
        <v>603</v>
      </c>
      <c r="B20440" t="s">
        <v>4822</v>
      </c>
      <c r="C20440" t="s">
        <v>10</v>
      </c>
      <c r="D20440" t="s">
        <v>4823</v>
      </c>
      <c r="E20440">
        <f>4/59</f>
        <v>6.7796610169491525E-2</v>
      </c>
      <c r="F20440">
        <v>1</v>
      </c>
      <c r="G20440">
        <f>LOG(382/(1+1))</f>
        <v>2.2810333672477277</v>
      </c>
      <c r="H20440">
        <f>0.0677966101694915*5.25227342804663</f>
        <v>0.35608633410485613</v>
      </c>
      <c r="I20440">
        <v>0.35608633410485618</v>
      </c>
    </row>
    <row r="20441" spans="1:9" x14ac:dyDescent="0.25">
      <c r="A20441">
        <v>603</v>
      </c>
      <c r="B20441" t="s">
        <v>4822</v>
      </c>
      <c r="C20441" t="s">
        <v>10</v>
      </c>
      <c r="D20441" t="s">
        <v>40</v>
      </c>
      <c r="E20441">
        <f>4/59</f>
        <v>6.7796610169491525E-2</v>
      </c>
      <c r="F20441">
        <v>159</v>
      </c>
      <c r="G20441">
        <f>LOG(382/(159+1))</f>
        <v>0.377943380255784</v>
      </c>
      <c r="H20441">
        <f>0.0677966101694915*0.870246793372748</f>
        <v>5.8999782601542212E-2</v>
      </c>
      <c r="I20441">
        <v>5.8999782601542261E-2</v>
      </c>
    </row>
    <row r="20442" spans="1:9" x14ac:dyDescent="0.25">
      <c r="A20442">
        <v>603</v>
      </c>
      <c r="B20442" t="s">
        <v>4822</v>
      </c>
      <c r="C20442" t="s">
        <v>10</v>
      </c>
      <c r="D20442" t="s">
        <v>42</v>
      </c>
      <c r="E20442">
        <f t="shared" ref="E20442:E20451" si="977">1/59</f>
        <v>1.6949152542372881E-2</v>
      </c>
      <c r="F20442">
        <v>251</v>
      </c>
      <c r="G20442">
        <f>LOG(382/(251+1))</f>
        <v>0.18066282213016463</v>
      </c>
      <c r="H20442">
        <f>0.0169491525423728*0.415991521095151</f>
        <v>7.0507037473754074E-3</v>
      </c>
      <c r="I20442">
        <v>7.0507037473754551E-3</v>
      </c>
    </row>
    <row r="20443" spans="1:9" x14ac:dyDescent="0.25">
      <c r="A20443">
        <v>603</v>
      </c>
      <c r="B20443" t="s">
        <v>4822</v>
      </c>
      <c r="C20443" t="s">
        <v>10</v>
      </c>
      <c r="D20443" t="s">
        <v>15</v>
      </c>
      <c r="E20443">
        <f t="shared" si="977"/>
        <v>1.6949152542372881E-2</v>
      </c>
      <c r="F20443">
        <v>112</v>
      </c>
      <c r="G20443">
        <f>LOG(382/(112+1))</f>
        <v>0.52898491942828896</v>
      </c>
      <c r="H20443">
        <f>0.0169491525423728*1.21803278989423</f>
        <v>2.0644623557529225E-2</v>
      </c>
      <c r="I20443">
        <v>2.0644623557529398E-2</v>
      </c>
    </row>
    <row r="20444" spans="1:9" x14ac:dyDescent="0.25">
      <c r="A20444">
        <v>603</v>
      </c>
      <c r="B20444" t="s">
        <v>4822</v>
      </c>
      <c r="C20444" t="s">
        <v>10</v>
      </c>
      <c r="D20444" t="s">
        <v>4824</v>
      </c>
      <c r="E20444">
        <f t="shared" si="977"/>
        <v>1.6949152542372881E-2</v>
      </c>
      <c r="F20444">
        <v>1</v>
      </c>
      <c r="G20444">
        <f>LOG(382/(1+1))</f>
        <v>2.2810333672477277</v>
      </c>
      <c r="H20444">
        <f>0.0169491525423728*5.25227342804663</f>
        <v>8.9021583526213643E-2</v>
      </c>
      <c r="I20444">
        <v>8.902158352621406E-2</v>
      </c>
    </row>
    <row r="20445" spans="1:9" x14ac:dyDescent="0.25">
      <c r="A20445">
        <v>603</v>
      </c>
      <c r="B20445" t="s">
        <v>4822</v>
      </c>
      <c r="C20445" t="s">
        <v>10</v>
      </c>
      <c r="D20445" t="s">
        <v>17</v>
      </c>
      <c r="E20445">
        <f t="shared" si="977"/>
        <v>1.6949152542372881E-2</v>
      </c>
      <c r="F20445">
        <v>169</v>
      </c>
      <c r="G20445">
        <f>LOG(382/(169+1))</f>
        <v>0.3516144415334348</v>
      </c>
      <c r="H20445">
        <f>0.0169491525423728*0.809622171556313</f>
        <v>1.3722409687395071E-2</v>
      </c>
      <c r="I20445">
        <v>1.372240968739514E-2</v>
      </c>
    </row>
    <row r="20446" spans="1:9" x14ac:dyDescent="0.25">
      <c r="A20446">
        <v>603</v>
      </c>
      <c r="B20446" t="s">
        <v>4822</v>
      </c>
      <c r="C20446" t="s">
        <v>10</v>
      </c>
      <c r="D20446" t="s">
        <v>4825</v>
      </c>
      <c r="E20446">
        <f t="shared" si="977"/>
        <v>1.6949152542372881E-2</v>
      </c>
      <c r="F20446">
        <v>1</v>
      </c>
      <c r="G20446">
        <f>LOG(382/(1+1))</f>
        <v>2.2810333672477277</v>
      </c>
      <c r="H20446">
        <f>0.0169491525423728*5.25227342804663</f>
        <v>8.9021583526213643E-2</v>
      </c>
      <c r="I20446">
        <v>8.902158352621406E-2</v>
      </c>
    </row>
    <row r="20447" spans="1:9" x14ac:dyDescent="0.25">
      <c r="A20447">
        <v>603</v>
      </c>
      <c r="B20447" t="s">
        <v>4822</v>
      </c>
      <c r="C20447" t="s">
        <v>10</v>
      </c>
      <c r="D20447" t="s">
        <v>19</v>
      </c>
      <c r="E20447">
        <f t="shared" si="977"/>
        <v>1.6949152542372881E-2</v>
      </c>
      <c r="F20447">
        <v>220</v>
      </c>
      <c r="G20447">
        <f>LOG(382/(220+1))</f>
        <v>0.23767108922659805</v>
      </c>
      <c r="H20447">
        <f>0.0169491525423728*0.547257907088822</f>
        <v>9.2755577472681261E-3</v>
      </c>
      <c r="I20447">
        <v>9.2755577472681764E-3</v>
      </c>
    </row>
    <row r="20448" spans="1:9" x14ac:dyDescent="0.25">
      <c r="A20448">
        <v>603</v>
      </c>
      <c r="B20448" t="s">
        <v>4822</v>
      </c>
      <c r="C20448" t="s">
        <v>10</v>
      </c>
      <c r="D20448" t="s">
        <v>808</v>
      </c>
      <c r="E20448">
        <f t="shared" si="977"/>
        <v>1.6949152542372881E-2</v>
      </c>
      <c r="F20448">
        <v>20</v>
      </c>
      <c r="G20448">
        <f>LOG(382/(20+1))</f>
        <v>1.2598440681777894</v>
      </c>
      <c r="H20448">
        <f>0.0169491525423728*2.90089817088315</f>
        <v>4.9167765608188752E-2</v>
      </c>
      <c r="I20448">
        <v>4.9167765608189022E-2</v>
      </c>
    </row>
    <row r="20449" spans="1:9" x14ac:dyDescent="0.25">
      <c r="A20449">
        <v>603</v>
      </c>
      <c r="B20449" t="s">
        <v>4822</v>
      </c>
      <c r="C20449" t="s">
        <v>10</v>
      </c>
      <c r="D20449" t="s">
        <v>809</v>
      </c>
      <c r="E20449">
        <f t="shared" si="977"/>
        <v>1.6949152542372881E-2</v>
      </c>
      <c r="F20449">
        <v>19</v>
      </c>
      <c r="G20449">
        <f>LOG(382/(19+1))</f>
        <v>1.2810333672477277</v>
      </c>
      <c r="H20449">
        <f>0.0169491525423728*2.94968833505258</f>
        <v>4.9994717543263831E-2</v>
      </c>
      <c r="I20449">
        <v>4.9994717543264143E-2</v>
      </c>
    </row>
    <row r="20450" spans="1:9" x14ac:dyDescent="0.25">
      <c r="A20450">
        <v>603</v>
      </c>
      <c r="B20450" t="s">
        <v>4822</v>
      </c>
      <c r="C20450" t="s">
        <v>10</v>
      </c>
      <c r="D20450" t="s">
        <v>22</v>
      </c>
      <c r="E20450">
        <f t="shared" si="977"/>
        <v>1.6949152542372881E-2</v>
      </c>
      <c r="F20450">
        <v>259</v>
      </c>
      <c r="G20450">
        <f>LOG(382/(259+1))</f>
        <v>0.16709001494089079</v>
      </c>
      <c r="H20450">
        <f>0.0169491525423728*0.384738977591047</f>
        <v>6.5209996201872067E-3</v>
      </c>
      <c r="I20450">
        <v>6.5209996201872466E-3</v>
      </c>
    </row>
    <row r="20451" spans="1:9" x14ac:dyDescent="0.25">
      <c r="A20451">
        <v>603</v>
      </c>
      <c r="B20451" t="s">
        <v>4822</v>
      </c>
      <c r="C20451" t="s">
        <v>10</v>
      </c>
      <c r="D20451" t="s">
        <v>23</v>
      </c>
      <c r="E20451">
        <f t="shared" si="977"/>
        <v>1.6949152542372881E-2</v>
      </c>
      <c r="F20451">
        <v>275</v>
      </c>
      <c r="G20451">
        <f>LOG(382/(275+1))</f>
        <v>0.14115428084649101</v>
      </c>
      <c r="H20451">
        <f>0.0169491525423728*0.325019742889425</f>
        <v>5.5088092015156513E-3</v>
      </c>
      <c r="I20451">
        <v>5.5088092015156808E-3</v>
      </c>
    </row>
    <row r="20452" spans="1:9" x14ac:dyDescent="0.25">
      <c r="A20452">
        <v>603</v>
      </c>
      <c r="B20452" t="s">
        <v>4822</v>
      </c>
      <c r="C20452" t="s">
        <v>10</v>
      </c>
      <c r="D20452" t="s">
        <v>25</v>
      </c>
      <c r="E20452">
        <f>4/59</f>
        <v>6.7796610169491525E-2</v>
      </c>
      <c r="F20452">
        <v>106</v>
      </c>
      <c r="G20452">
        <f>LOG(382/(106+1))</f>
        <v>0.55267958522649907</v>
      </c>
      <c r="H20452">
        <f>0.0677966101694915*1.27259177414466</f>
        <v>8.6277408416587084E-2</v>
      </c>
      <c r="I20452">
        <v>8.6277408416587736E-2</v>
      </c>
    </row>
    <row r="20453" spans="1:9" x14ac:dyDescent="0.25">
      <c r="A20453">
        <v>603</v>
      </c>
      <c r="B20453" t="s">
        <v>4822</v>
      </c>
      <c r="C20453" t="s">
        <v>10</v>
      </c>
      <c r="D20453" t="s">
        <v>31</v>
      </c>
      <c r="E20453">
        <f>1/59</f>
        <v>1.6949152542372881E-2</v>
      </c>
      <c r="F20453">
        <v>31</v>
      </c>
      <c r="G20453">
        <f>LOG(382/(31+1))</f>
        <v>1.0769133845918029</v>
      </c>
      <c r="H20453">
        <f>0.0169491525423728*2.47968470580684</f>
        <v>4.2028554335708949E-2</v>
      </c>
      <c r="I20453">
        <v>4.2028554335709303E-2</v>
      </c>
    </row>
    <row r="20454" spans="1:9" x14ac:dyDescent="0.25">
      <c r="A20454">
        <v>603</v>
      </c>
      <c r="B20454" t="s">
        <v>4822</v>
      </c>
      <c r="C20454" t="s">
        <v>10</v>
      </c>
      <c r="D20454" t="s">
        <v>618</v>
      </c>
      <c r="E20454">
        <f>1/59</f>
        <v>1.6949152542372881E-2</v>
      </c>
      <c r="F20454">
        <v>4</v>
      </c>
      <c r="G20454">
        <f>LOG(382/(4+1))</f>
        <v>1.8830933585756899</v>
      </c>
      <c r="H20454">
        <f>0.0169491525423728*4.33598269617247</f>
        <v>7.3491232138516105E-2</v>
      </c>
      <c r="I20454">
        <v>7.3491232138516521E-2</v>
      </c>
    </row>
    <row r="20455" spans="1:9" x14ac:dyDescent="0.25">
      <c r="A20455">
        <v>603</v>
      </c>
      <c r="B20455" t="s">
        <v>4822</v>
      </c>
      <c r="C20455" t="s">
        <v>10</v>
      </c>
      <c r="D20455" t="s">
        <v>105</v>
      </c>
      <c r="E20455">
        <f>2/59</f>
        <v>3.3898305084745763E-2</v>
      </c>
      <c r="F20455">
        <v>122</v>
      </c>
      <c r="G20455">
        <f>LOG(382/(122+1))</f>
        <v>0.49215825147231079</v>
      </c>
      <c r="H20455">
        <f>0.0338983050847457*1.13323625323415</f>
        <v>3.8414788245225352E-2</v>
      </c>
      <c r="I20455">
        <v>3.8414788245225678E-2</v>
      </c>
    </row>
    <row r="20456" spans="1:9" x14ac:dyDescent="0.25">
      <c r="A20456">
        <v>603</v>
      </c>
      <c r="B20456" t="s">
        <v>4822</v>
      </c>
      <c r="C20456" t="s">
        <v>10</v>
      </c>
      <c r="D20456" t="s">
        <v>77</v>
      </c>
      <c r="E20456">
        <f t="shared" ref="E20456:E20479" si="978">1/59</f>
        <v>1.6949152542372881E-2</v>
      </c>
      <c r="F20456">
        <v>148</v>
      </c>
      <c r="G20456">
        <f>LOG(382/(148+1))</f>
        <v>0.40887709449943471</v>
      </c>
      <c r="H20456">
        <f>0.0169491525423728*0.941474302661116</f>
        <v>1.5957191570527315E-2</v>
      </c>
      <c r="I20456">
        <v>1.5957191570527392E-2</v>
      </c>
    </row>
    <row r="20457" spans="1:9" x14ac:dyDescent="0.25">
      <c r="A20457">
        <v>603</v>
      </c>
      <c r="B20457" t="s">
        <v>4822</v>
      </c>
      <c r="C20457" t="s">
        <v>10</v>
      </c>
      <c r="D20457" t="s">
        <v>483</v>
      </c>
      <c r="E20457">
        <f t="shared" si="978"/>
        <v>1.6949152542372881E-2</v>
      </c>
      <c r="F20457">
        <v>61</v>
      </c>
      <c r="G20457">
        <f>LOG(382/(61+1))</f>
        <v>0.7896716734134549</v>
      </c>
      <c r="H20457">
        <f>0.0169491525423728*1.81828622356148</f>
        <v>3.0818410568838502E-2</v>
      </c>
      <c r="I20457">
        <v>3.081841056883871E-2</v>
      </c>
    </row>
    <row r="20458" spans="1:9" x14ac:dyDescent="0.25">
      <c r="A20458">
        <v>603</v>
      </c>
      <c r="B20458" t="s">
        <v>4822</v>
      </c>
      <c r="C20458" t="s">
        <v>10</v>
      </c>
      <c r="D20458" t="s">
        <v>924</v>
      </c>
      <c r="E20458">
        <f t="shared" si="978"/>
        <v>1.6949152542372881E-2</v>
      </c>
      <c r="F20458">
        <v>13</v>
      </c>
      <c r="G20458">
        <f>LOG(382/(13+1))</f>
        <v>1.4359353272334707</v>
      </c>
      <c r="H20458">
        <f>0.0169491525423728*3.30636327899131</f>
        <v>5.604005557612364E-2</v>
      </c>
      <c r="I20458">
        <v>5.6040055576124008E-2</v>
      </c>
    </row>
    <row r="20459" spans="1:9" x14ac:dyDescent="0.25">
      <c r="A20459">
        <v>603</v>
      </c>
      <c r="B20459" t="s">
        <v>4822</v>
      </c>
      <c r="C20459" t="s">
        <v>10</v>
      </c>
      <c r="D20459" t="s">
        <v>485</v>
      </c>
      <c r="E20459">
        <f t="shared" si="978"/>
        <v>1.6949152542372881E-2</v>
      </c>
      <c r="F20459">
        <v>74</v>
      </c>
      <c r="G20459">
        <f>LOG(382/(74+1))</f>
        <v>0.7070020995200087</v>
      </c>
      <c r="H20459">
        <f>0.0169491525423728*1.62793249507026</f>
        <v>2.7592076187631397E-2</v>
      </c>
      <c r="I20459">
        <v>2.7592076187631601E-2</v>
      </c>
    </row>
    <row r="20460" spans="1:9" x14ac:dyDescent="0.25">
      <c r="A20460">
        <v>603</v>
      </c>
      <c r="B20460" t="s">
        <v>4822</v>
      </c>
      <c r="C20460" t="s">
        <v>10</v>
      </c>
      <c r="D20460" t="s">
        <v>1984</v>
      </c>
      <c r="E20460">
        <f t="shared" si="978"/>
        <v>1.6949152542372881E-2</v>
      </c>
      <c r="F20460">
        <v>7</v>
      </c>
      <c r="G20460">
        <f>LOG(382/(7+1))</f>
        <v>1.6789733759197651</v>
      </c>
      <c r="H20460">
        <f>0.0169491525423728*3.86597906692673</f>
        <v>6.5525068930961217E-2</v>
      </c>
      <c r="I20460">
        <v>6.5525068930961675E-2</v>
      </c>
    </row>
    <row r="20461" spans="1:9" x14ac:dyDescent="0.25">
      <c r="A20461">
        <v>603</v>
      </c>
      <c r="B20461" t="s">
        <v>4822</v>
      </c>
      <c r="C20461" t="s">
        <v>10</v>
      </c>
      <c r="D20461" t="s">
        <v>2170</v>
      </c>
      <c r="E20461">
        <f t="shared" si="978"/>
        <v>1.6949152542372881E-2</v>
      </c>
      <c r="F20461">
        <v>5</v>
      </c>
      <c r="G20461">
        <f>LOG(382/(5+1))</f>
        <v>1.803912112528065</v>
      </c>
      <c r="H20461">
        <f>0.0169491525423728*4.15366113937852</f>
        <v>7.0401036260652541E-2</v>
      </c>
      <c r="I20461">
        <v>7.0401036260652874E-2</v>
      </c>
    </row>
    <row r="20462" spans="1:9" x14ac:dyDescent="0.25">
      <c r="A20462">
        <v>603</v>
      </c>
      <c r="B20462" t="s">
        <v>4822</v>
      </c>
      <c r="C20462" t="s">
        <v>10</v>
      </c>
      <c r="D20462" t="s">
        <v>11</v>
      </c>
      <c r="E20462">
        <f t="shared" si="978"/>
        <v>1.6949152542372881E-2</v>
      </c>
      <c r="F20462">
        <v>83</v>
      </c>
      <c r="G20462">
        <f>LOG(382/(83+1))</f>
        <v>0.65778407684982709</v>
      </c>
      <c r="H20462">
        <f>0.0169491525423728*1.51460380976326</f>
        <v>2.5671251012936488E-2</v>
      </c>
      <c r="I20462">
        <v>2.567125101293663E-2</v>
      </c>
    </row>
    <row r="20463" spans="1:9" x14ac:dyDescent="0.25">
      <c r="A20463">
        <v>603</v>
      </c>
      <c r="B20463" t="s">
        <v>4822</v>
      </c>
      <c r="C20463" t="s">
        <v>10</v>
      </c>
      <c r="D20463" t="s">
        <v>1534</v>
      </c>
      <c r="E20463">
        <f t="shared" si="978"/>
        <v>1.6949152542372881E-2</v>
      </c>
      <c r="F20463">
        <v>25</v>
      </c>
      <c r="G20463">
        <f>LOG(382/(25+1))</f>
        <v>1.1670900149408907</v>
      </c>
      <c r="H20463">
        <f>0.0169491525423728*2.68732407058509</f>
        <v>4.5547865603136901E-2</v>
      </c>
      <c r="I20463">
        <v>4.5547865603137172E-2</v>
      </c>
    </row>
    <row r="20464" spans="1:9" x14ac:dyDescent="0.25">
      <c r="A20464">
        <v>603</v>
      </c>
      <c r="B20464" t="s">
        <v>4822</v>
      </c>
      <c r="C20464" t="s">
        <v>10</v>
      </c>
      <c r="D20464" t="s">
        <v>763</v>
      </c>
      <c r="E20464">
        <f t="shared" si="978"/>
        <v>1.6949152542372881E-2</v>
      </c>
      <c r="F20464">
        <v>47</v>
      </c>
      <c r="G20464">
        <f>LOG(382/(47+1))</f>
        <v>0.90082212553612151</v>
      </c>
      <c r="H20464">
        <f>0.0169491525423728*2.07421959769868</f>
        <v>3.5156264367774075E-2</v>
      </c>
      <c r="I20464">
        <v>3.5156264367774311E-2</v>
      </c>
    </row>
    <row r="20465" spans="1:9" x14ac:dyDescent="0.25">
      <c r="A20465">
        <v>603</v>
      </c>
      <c r="B20465" t="s">
        <v>4822</v>
      </c>
      <c r="C20465" t="s">
        <v>10</v>
      </c>
      <c r="D20465" t="s">
        <v>931</v>
      </c>
      <c r="E20465">
        <f t="shared" si="978"/>
        <v>1.6949152542372881E-2</v>
      </c>
      <c r="F20465">
        <v>22</v>
      </c>
      <c r="G20465">
        <f>LOG(382/(22+1))</f>
        <v>1.2203355268941158</v>
      </c>
      <c r="H20465">
        <f>0.0169491525423728*2.80992639267742</f>
        <v>4.7625871062328927E-2</v>
      </c>
      <c r="I20465">
        <v>4.7625871062329253E-2</v>
      </c>
    </row>
    <row r="20466" spans="1:9" x14ac:dyDescent="0.25">
      <c r="A20466">
        <v>603</v>
      </c>
      <c r="B20466" t="s">
        <v>4822</v>
      </c>
      <c r="C20466" t="s">
        <v>10</v>
      </c>
      <c r="D20466" t="s">
        <v>1921</v>
      </c>
      <c r="E20466">
        <f t="shared" si="978"/>
        <v>1.6949152542372881E-2</v>
      </c>
      <c r="F20466">
        <v>37</v>
      </c>
      <c r="G20466">
        <f>LOG(382/(37+1))</f>
        <v>1.0022797662948986</v>
      </c>
      <c r="H20466">
        <f>0.0169491525423728*2.30783444888018</f>
        <v>3.9115838116613032E-2</v>
      </c>
      <c r="I20466">
        <v>3.9115838116613379E-2</v>
      </c>
    </row>
    <row r="20467" spans="1:9" x14ac:dyDescent="0.25">
      <c r="A20467">
        <v>603</v>
      </c>
      <c r="B20467" t="s">
        <v>4822</v>
      </c>
      <c r="C20467" t="s">
        <v>10</v>
      </c>
      <c r="D20467" t="s">
        <v>187</v>
      </c>
      <c r="E20467">
        <f t="shared" si="978"/>
        <v>1.6949152542372881E-2</v>
      </c>
      <c r="F20467">
        <v>21</v>
      </c>
      <c r="G20467">
        <f>LOG(382/(21+1))</f>
        <v>1.2396406820895025</v>
      </c>
      <c r="H20467">
        <f>0.0169491525423728*2.85437815524825</f>
        <v>4.8379290766919263E-2</v>
      </c>
      <c r="I20467">
        <v>4.8379290766919637E-2</v>
      </c>
    </row>
    <row r="20468" spans="1:9" x14ac:dyDescent="0.25">
      <c r="A20468">
        <v>603</v>
      </c>
      <c r="B20468" t="s">
        <v>4822</v>
      </c>
      <c r="C20468" t="s">
        <v>10</v>
      </c>
      <c r="D20468" t="s">
        <v>189</v>
      </c>
      <c r="E20468">
        <f t="shared" si="978"/>
        <v>1.6949152542372881E-2</v>
      </c>
      <c r="F20468">
        <v>27</v>
      </c>
      <c r="G20468">
        <f>LOG(382/(27+1))</f>
        <v>1.1349053315694895</v>
      </c>
      <c r="H20468">
        <f>0.0169491525423728*2.61321609843137</f>
        <v>4.4291798278497593E-2</v>
      </c>
      <c r="I20468">
        <v>4.4291798278497822E-2</v>
      </c>
    </row>
    <row r="20469" spans="1:9" x14ac:dyDescent="0.25">
      <c r="A20469">
        <v>603</v>
      </c>
      <c r="B20469" t="s">
        <v>4822</v>
      </c>
      <c r="C20469" t="s">
        <v>10</v>
      </c>
      <c r="D20469" t="s">
        <v>4826</v>
      </c>
      <c r="E20469">
        <f t="shared" si="978"/>
        <v>1.6949152542372881E-2</v>
      </c>
      <c r="F20469">
        <v>1</v>
      </c>
      <c r="G20469">
        <f>LOG(382/(1+1))</f>
        <v>2.2810333672477277</v>
      </c>
      <c r="H20469">
        <f>0.0169491525423728*5.25227342804663</f>
        <v>8.9021583526213643E-2</v>
      </c>
      <c r="I20469">
        <v>8.902158352621406E-2</v>
      </c>
    </row>
    <row r="20470" spans="1:9" x14ac:dyDescent="0.25">
      <c r="A20470">
        <v>603</v>
      </c>
      <c r="B20470" t="s">
        <v>4822</v>
      </c>
      <c r="C20470" t="s">
        <v>10</v>
      </c>
      <c r="D20470" t="s">
        <v>61</v>
      </c>
      <c r="E20470">
        <f t="shared" si="978"/>
        <v>1.6949152542372881E-2</v>
      </c>
      <c r="F20470">
        <v>6</v>
      </c>
      <c r="G20470">
        <f>LOG(382/(6+1))</f>
        <v>1.736965322897452</v>
      </c>
      <c r="H20470">
        <f>0.0169491525423728*3.99951045955126</f>
        <v>6.7788312873749854E-2</v>
      </c>
      <c r="I20470">
        <v>6.7788312873750201E-2</v>
      </c>
    </row>
    <row r="20471" spans="1:9" x14ac:dyDescent="0.25">
      <c r="A20471">
        <v>603</v>
      </c>
      <c r="B20471" t="s">
        <v>4822</v>
      </c>
      <c r="C20471" t="s">
        <v>10</v>
      </c>
      <c r="D20471" t="s">
        <v>948</v>
      </c>
      <c r="E20471">
        <f t="shared" si="978"/>
        <v>1.6949152542372881E-2</v>
      </c>
      <c r="F20471">
        <v>4</v>
      </c>
      <c r="G20471">
        <f>LOG(382/(4+1))</f>
        <v>1.8830933585756899</v>
      </c>
      <c r="H20471">
        <f>0.0169491525423728*4.33598269617247</f>
        <v>7.3491232138516105E-2</v>
      </c>
      <c r="I20471">
        <v>7.3491232138516521E-2</v>
      </c>
    </row>
    <row r="20472" spans="1:9" x14ac:dyDescent="0.25">
      <c r="A20472">
        <v>603</v>
      </c>
      <c r="B20472" t="s">
        <v>4822</v>
      </c>
      <c r="C20472" t="s">
        <v>10</v>
      </c>
      <c r="D20472" t="s">
        <v>4827</v>
      </c>
      <c r="E20472">
        <f t="shared" si="978"/>
        <v>1.6949152542372881E-2</v>
      </c>
      <c r="F20472">
        <v>1</v>
      </c>
      <c r="G20472">
        <f>LOG(382/(1+1))</f>
        <v>2.2810333672477277</v>
      </c>
      <c r="H20472">
        <f>0.0169491525423728*5.25227342804663</f>
        <v>8.9021583526213643E-2</v>
      </c>
      <c r="I20472">
        <v>8.902158352621406E-2</v>
      </c>
    </row>
    <row r="20473" spans="1:9" x14ac:dyDescent="0.25">
      <c r="A20473">
        <v>603</v>
      </c>
      <c r="B20473" t="s">
        <v>4822</v>
      </c>
      <c r="C20473" t="s">
        <v>10</v>
      </c>
      <c r="D20473" t="s">
        <v>4828</v>
      </c>
      <c r="E20473">
        <f t="shared" si="978"/>
        <v>1.6949152542372881E-2</v>
      </c>
      <c r="F20473">
        <v>1</v>
      </c>
      <c r="G20473">
        <f>LOG(382/(1+1))</f>
        <v>2.2810333672477277</v>
      </c>
      <c r="H20473">
        <f>0.0169491525423728*5.25227342804663</f>
        <v>8.9021583526213643E-2</v>
      </c>
      <c r="I20473">
        <v>8.902158352621406E-2</v>
      </c>
    </row>
    <row r="20474" spans="1:9" x14ac:dyDescent="0.25">
      <c r="A20474">
        <v>603</v>
      </c>
      <c r="B20474" t="s">
        <v>4822</v>
      </c>
      <c r="C20474" t="s">
        <v>10</v>
      </c>
      <c r="D20474" t="s">
        <v>4829</v>
      </c>
      <c r="E20474">
        <f t="shared" si="978"/>
        <v>1.6949152542372881E-2</v>
      </c>
      <c r="F20474">
        <v>1</v>
      </c>
      <c r="G20474">
        <f>LOG(382/(1+1))</f>
        <v>2.2810333672477277</v>
      </c>
      <c r="H20474">
        <f>0.0169491525423728*5.25227342804663</f>
        <v>8.9021583526213643E-2</v>
      </c>
      <c r="I20474">
        <v>8.902158352621406E-2</v>
      </c>
    </row>
    <row r="20475" spans="1:9" x14ac:dyDescent="0.25">
      <c r="A20475">
        <v>603</v>
      </c>
      <c r="B20475" t="s">
        <v>4822</v>
      </c>
      <c r="C20475" t="s">
        <v>10</v>
      </c>
      <c r="D20475" t="s">
        <v>1135</v>
      </c>
      <c r="E20475">
        <f t="shared" si="978"/>
        <v>1.6949152542372881E-2</v>
      </c>
      <c r="F20475">
        <v>7</v>
      </c>
      <c r="G20475">
        <f>LOG(382/(7+1))</f>
        <v>1.6789733759197651</v>
      </c>
      <c r="H20475">
        <f>0.0169491525423728*3.86597906692673</f>
        <v>6.5525068930961217E-2</v>
      </c>
      <c r="I20475">
        <v>6.5525068930961675E-2</v>
      </c>
    </row>
    <row r="20476" spans="1:9" x14ac:dyDescent="0.25">
      <c r="A20476">
        <v>603</v>
      </c>
      <c r="B20476" t="s">
        <v>4822</v>
      </c>
      <c r="C20476" t="s">
        <v>10</v>
      </c>
      <c r="D20476" t="s">
        <v>3199</v>
      </c>
      <c r="E20476">
        <f t="shared" si="978"/>
        <v>1.6949152542372881E-2</v>
      </c>
      <c r="F20476">
        <v>2</v>
      </c>
      <c r="G20476">
        <f>LOG(382/(2+1))</f>
        <v>2.1049421081920463</v>
      </c>
      <c r="H20476">
        <f>0.0169491525423728*4.84680831993846</f>
        <v>8.2149293558278602E-2</v>
      </c>
      <c r="I20476">
        <v>8.2149293558279074E-2</v>
      </c>
    </row>
    <row r="20477" spans="1:9" x14ac:dyDescent="0.25">
      <c r="A20477">
        <v>603</v>
      </c>
      <c r="B20477" t="s">
        <v>4822</v>
      </c>
      <c r="C20477" t="s">
        <v>10</v>
      </c>
      <c r="D20477" t="s">
        <v>1812</v>
      </c>
      <c r="E20477">
        <f t="shared" si="978"/>
        <v>1.6949152542372881E-2</v>
      </c>
      <c r="F20477">
        <v>10</v>
      </c>
      <c r="G20477">
        <f>LOG(382/(10+1))</f>
        <v>1.5406706777534838</v>
      </c>
      <c r="H20477">
        <f>0.0169491525423728*3.5475253358082</f>
        <v>6.0127548064545483E-2</v>
      </c>
      <c r="I20477">
        <v>6.0127548064545837E-2</v>
      </c>
    </row>
    <row r="20478" spans="1:9" x14ac:dyDescent="0.25">
      <c r="A20478">
        <v>603</v>
      </c>
      <c r="B20478" t="s">
        <v>4822</v>
      </c>
      <c r="C20478" t="s">
        <v>10</v>
      </c>
      <c r="D20478" t="s">
        <v>263</v>
      </c>
      <c r="E20478">
        <f t="shared" si="978"/>
        <v>1.6949152542372881E-2</v>
      </c>
      <c r="F20478">
        <v>41</v>
      </c>
      <c r="G20478">
        <f>LOG(382/(41+1))</f>
        <v>0.95881407251380824</v>
      </c>
      <c r="H20478">
        <f>0.0169491525423728*2.2077509903232</f>
        <v>3.7419508310562538E-2</v>
      </c>
      <c r="I20478">
        <v>3.741950831056283E-2</v>
      </c>
    </row>
    <row r="20479" spans="1:9" x14ac:dyDescent="0.25">
      <c r="A20479">
        <v>603</v>
      </c>
      <c r="B20479" t="s">
        <v>4822</v>
      </c>
      <c r="C20479" t="s">
        <v>10</v>
      </c>
      <c r="D20479" t="s">
        <v>533</v>
      </c>
      <c r="E20479">
        <f t="shared" si="978"/>
        <v>1.6949152542372881E-2</v>
      </c>
      <c r="F20479">
        <v>8</v>
      </c>
      <c r="G20479">
        <f>LOG(382/(8+1))</f>
        <v>1.6278208534723839</v>
      </c>
      <c r="H20479">
        <f>0.0169491525423728*3.74819603127035</f>
        <v>6.35287462927175E-2</v>
      </c>
      <c r="I20479">
        <v>6.3528746292717889E-2</v>
      </c>
    </row>
    <row r="20480" spans="1:9" x14ac:dyDescent="0.25">
      <c r="A20480">
        <v>603</v>
      </c>
      <c r="B20480" t="s">
        <v>4822</v>
      </c>
      <c r="C20480" t="s">
        <v>10</v>
      </c>
      <c r="D20480" t="s">
        <v>131</v>
      </c>
      <c r="E20480">
        <f>2/59</f>
        <v>3.3898305084745763E-2</v>
      </c>
      <c r="F20480">
        <v>38</v>
      </c>
      <c r="G20480">
        <f>LOG(382/(38+1))</f>
        <v>0.99099875588520958</v>
      </c>
      <c r="H20480">
        <f>0.0338983050847457*2.28185896247692</f>
        <v>7.7351151270403928E-2</v>
      </c>
      <c r="I20480">
        <v>7.7351151270404372E-2</v>
      </c>
    </row>
    <row r="20481" spans="1:9" x14ac:dyDescent="0.25">
      <c r="A20481">
        <v>603</v>
      </c>
      <c r="B20481" t="s">
        <v>4822</v>
      </c>
      <c r="C20481" t="s">
        <v>10</v>
      </c>
      <c r="D20481" t="s">
        <v>1355</v>
      </c>
      <c r="E20481">
        <f>1/59</f>
        <v>1.6949152542372881E-2</v>
      </c>
      <c r="F20481">
        <v>7</v>
      </c>
      <c r="G20481">
        <f>LOG(382/(7+1))</f>
        <v>1.6789733759197651</v>
      </c>
      <c r="H20481">
        <f>0.0169491525423728*3.86597906692673</f>
        <v>6.5525068930961217E-2</v>
      </c>
      <c r="I20481">
        <v>6.5525068930961675E-2</v>
      </c>
    </row>
    <row r="20482" spans="1:9" x14ac:dyDescent="0.25">
      <c r="A20482">
        <v>603</v>
      </c>
      <c r="B20482" t="s">
        <v>4822</v>
      </c>
      <c r="C20482" t="s">
        <v>10</v>
      </c>
      <c r="D20482" t="s">
        <v>1884</v>
      </c>
      <c r="E20482">
        <f>1/59</f>
        <v>1.6949152542372881E-2</v>
      </c>
      <c r="F20482">
        <v>9</v>
      </c>
      <c r="G20482">
        <f>LOG(382/(9+1))</f>
        <v>1.5820633629117087</v>
      </c>
      <c r="H20482">
        <f>0.0169491525423728*3.64283551561252</f>
        <v>6.1742974840889878E-2</v>
      </c>
      <c r="I20482">
        <v>6.1742974840890329E-2</v>
      </c>
    </row>
    <row r="20483" spans="1:9" x14ac:dyDescent="0.25">
      <c r="A20483">
        <v>603</v>
      </c>
      <c r="B20483" t="s">
        <v>4822</v>
      </c>
      <c r="C20483" t="s">
        <v>10</v>
      </c>
      <c r="D20483" t="s">
        <v>50</v>
      </c>
      <c r="E20483">
        <f>1/59</f>
        <v>1.6949152542372881E-2</v>
      </c>
      <c r="F20483">
        <v>109</v>
      </c>
      <c r="G20483">
        <f>LOG(382/(109+1))</f>
        <v>0.54067067775348365</v>
      </c>
      <c r="H20483">
        <f>0.0169491525423728*1.24494024281415</f>
        <v>2.1100682081595663E-2</v>
      </c>
      <c r="I20483">
        <v>2.110068208159591E-2</v>
      </c>
    </row>
    <row r="20484" spans="1:9" x14ac:dyDescent="0.25">
      <c r="A20484">
        <v>604</v>
      </c>
      <c r="B20484" t="s">
        <v>4830</v>
      </c>
      <c r="C20484" t="s">
        <v>10</v>
      </c>
      <c r="D20484" t="s">
        <v>11</v>
      </c>
      <c r="E20484">
        <f>9/110</f>
        <v>8.1818181818181818E-2</v>
      </c>
      <c r="F20484">
        <v>83</v>
      </c>
      <c r="G20484">
        <f>LOG(382/(83+1))</f>
        <v>0.65778407684982709</v>
      </c>
      <c r="H20484">
        <f>0.0818181818181818*1.51460380976326</f>
        <v>0.12392212988972125</v>
      </c>
      <c r="I20484">
        <v>0.1239221298897214</v>
      </c>
    </row>
    <row r="20485" spans="1:9" x14ac:dyDescent="0.25">
      <c r="A20485">
        <v>604</v>
      </c>
      <c r="B20485" t="s">
        <v>4830</v>
      </c>
      <c r="C20485" t="s">
        <v>10</v>
      </c>
      <c r="D20485" t="s">
        <v>12</v>
      </c>
      <c r="E20485">
        <f>7/110</f>
        <v>6.363636363636363E-2</v>
      </c>
      <c r="F20485">
        <v>28</v>
      </c>
      <c r="G20485">
        <f>LOG(382/(28+1))</f>
        <v>1.1196653650127526</v>
      </c>
      <c r="H20485">
        <f>0.0636363636363636*2.5781247786201</f>
        <v>0.16406248591218808</v>
      </c>
      <c r="I20485">
        <v>0.16406248591218819</v>
      </c>
    </row>
    <row r="20486" spans="1:9" x14ac:dyDescent="0.25">
      <c r="A20486">
        <v>604</v>
      </c>
      <c r="B20486" t="s">
        <v>4830</v>
      </c>
      <c r="C20486" t="s">
        <v>10</v>
      </c>
      <c r="D20486" t="s">
        <v>4831</v>
      </c>
      <c r="E20486">
        <f>4/110</f>
        <v>3.6363636363636362E-2</v>
      </c>
      <c r="F20486">
        <v>1</v>
      </c>
      <c r="G20486">
        <f>LOG(382/(1+1))</f>
        <v>2.2810333672477277</v>
      </c>
      <c r="H20486">
        <f>0.0363636363636363*5.25227342804663</f>
        <v>0.19099176101987711</v>
      </c>
      <c r="I20486">
        <v>0.19099176101987739</v>
      </c>
    </row>
    <row r="20487" spans="1:9" x14ac:dyDescent="0.25">
      <c r="A20487">
        <v>604</v>
      </c>
      <c r="B20487" t="s">
        <v>4830</v>
      </c>
      <c r="C20487" t="s">
        <v>10</v>
      </c>
      <c r="D20487" t="s">
        <v>105</v>
      </c>
      <c r="E20487">
        <f>1/110</f>
        <v>9.0909090909090905E-3</v>
      </c>
      <c r="F20487">
        <v>122</v>
      </c>
      <c r="G20487">
        <f>LOG(382/(122+1))</f>
        <v>0.49215825147231079</v>
      </c>
      <c r="H20487">
        <f>0.00909090909090909*1.13323625323415</f>
        <v>1.0302147756674091E-2</v>
      </c>
      <c r="I20487">
        <v>1.030214775667416E-2</v>
      </c>
    </row>
    <row r="20488" spans="1:9" x14ac:dyDescent="0.25">
      <c r="A20488">
        <v>604</v>
      </c>
      <c r="B20488" t="s">
        <v>4830</v>
      </c>
      <c r="C20488" t="s">
        <v>10</v>
      </c>
      <c r="D20488" t="s">
        <v>4832</v>
      </c>
      <c r="E20488">
        <f>1/110</f>
        <v>9.0909090909090905E-3</v>
      </c>
      <c r="F20488">
        <v>1</v>
      </c>
      <c r="G20488">
        <f>LOG(382/(1+1))</f>
        <v>2.2810333672477277</v>
      </c>
      <c r="H20488">
        <f>0.00909090909090909*5.25227342804663</f>
        <v>4.7747940254969361E-2</v>
      </c>
      <c r="I20488">
        <v>4.7747940254969361E-2</v>
      </c>
    </row>
    <row r="20489" spans="1:9" x14ac:dyDescent="0.25">
      <c r="A20489">
        <v>604</v>
      </c>
      <c r="B20489" t="s">
        <v>4830</v>
      </c>
      <c r="C20489" t="s">
        <v>10</v>
      </c>
      <c r="D20489" t="s">
        <v>42</v>
      </c>
      <c r="E20489">
        <f>1/110</f>
        <v>9.0909090909090905E-3</v>
      </c>
      <c r="F20489">
        <v>251</v>
      </c>
      <c r="G20489">
        <f>LOG(382/(251+1))</f>
        <v>0.18066282213016463</v>
      </c>
      <c r="H20489">
        <f>0.00909090909090909*0.415991521095151</f>
        <v>3.7817411008650085E-3</v>
      </c>
      <c r="I20489">
        <v>3.7817411008650172E-3</v>
      </c>
    </row>
    <row r="20490" spans="1:9" x14ac:dyDescent="0.25">
      <c r="A20490">
        <v>604</v>
      </c>
      <c r="B20490" t="s">
        <v>4830</v>
      </c>
      <c r="C20490" t="s">
        <v>10</v>
      </c>
      <c r="D20490" t="s">
        <v>17</v>
      </c>
      <c r="E20490">
        <f>2/110</f>
        <v>1.8181818181818181E-2</v>
      </c>
      <c r="F20490">
        <v>169</v>
      </c>
      <c r="G20490">
        <f>LOG(382/(169+1))</f>
        <v>0.3516144415334348</v>
      </c>
      <c r="H20490">
        <f>0.0181818181818181*0.809622171556313</f>
        <v>1.4720403119205626E-2</v>
      </c>
      <c r="I20490">
        <v>1.4720403119205701E-2</v>
      </c>
    </row>
    <row r="20491" spans="1:9" x14ac:dyDescent="0.25">
      <c r="A20491">
        <v>604</v>
      </c>
      <c r="B20491" t="s">
        <v>4830</v>
      </c>
      <c r="C20491" t="s">
        <v>10</v>
      </c>
      <c r="D20491" t="s">
        <v>2183</v>
      </c>
      <c r="E20491">
        <f>2/110</f>
        <v>1.8181818181818181E-2</v>
      </c>
      <c r="F20491">
        <v>4</v>
      </c>
      <c r="G20491">
        <f>LOG(382/(4+1))</f>
        <v>1.8830933585756899</v>
      </c>
      <c r="H20491">
        <f>0.0181818181818181*4.33598269617247</f>
        <v>7.8836049021317287E-2</v>
      </c>
      <c r="I20491">
        <v>7.8836049021317717E-2</v>
      </c>
    </row>
    <row r="20492" spans="1:9" x14ac:dyDescent="0.25">
      <c r="A20492">
        <v>604</v>
      </c>
      <c r="B20492" t="s">
        <v>4830</v>
      </c>
      <c r="C20492" t="s">
        <v>10</v>
      </c>
      <c r="D20492" t="s">
        <v>4633</v>
      </c>
      <c r="E20492">
        <f>2/110</f>
        <v>1.8181818181818181E-2</v>
      </c>
      <c r="F20492">
        <v>3</v>
      </c>
      <c r="G20492">
        <f>LOG(382/(3+1))</f>
        <v>1.9800033715837464</v>
      </c>
      <c r="H20492">
        <f>0.0181818181818181*4.55912624748668</f>
        <v>8.2893204499757456E-2</v>
      </c>
      <c r="I20492">
        <v>8.28932044997579E-2</v>
      </c>
    </row>
    <row r="20493" spans="1:9" x14ac:dyDescent="0.25">
      <c r="A20493">
        <v>604</v>
      </c>
      <c r="B20493" t="s">
        <v>4830</v>
      </c>
      <c r="C20493" t="s">
        <v>10</v>
      </c>
      <c r="D20493" t="s">
        <v>19</v>
      </c>
      <c r="E20493">
        <f t="shared" ref="E20493:E20498" si="979">1/110</f>
        <v>9.0909090909090905E-3</v>
      </c>
      <c r="F20493">
        <v>220</v>
      </c>
      <c r="G20493">
        <f>LOG(382/(220+1))</f>
        <v>0.23767108922659805</v>
      </c>
      <c r="H20493">
        <f>0.00909090909090909*0.547257907088822</f>
        <v>4.975071882625655E-3</v>
      </c>
      <c r="I20493">
        <v>4.9750718826256576E-3</v>
      </c>
    </row>
    <row r="20494" spans="1:9" x14ac:dyDescent="0.25">
      <c r="A20494">
        <v>604</v>
      </c>
      <c r="B20494" t="s">
        <v>4830</v>
      </c>
      <c r="C20494" t="s">
        <v>10</v>
      </c>
      <c r="D20494" t="s">
        <v>808</v>
      </c>
      <c r="E20494">
        <f t="shared" si="979"/>
        <v>9.0909090909090905E-3</v>
      </c>
      <c r="F20494">
        <v>20</v>
      </c>
      <c r="G20494">
        <f>LOG(382/(20+1))</f>
        <v>1.2598440681777894</v>
      </c>
      <c r="H20494">
        <f>0.00909090909090909*2.90089817088315</f>
        <v>2.637180155348318E-2</v>
      </c>
      <c r="I20494">
        <v>2.6371801553483201E-2</v>
      </c>
    </row>
    <row r="20495" spans="1:9" x14ac:dyDescent="0.25">
      <c r="A20495">
        <v>604</v>
      </c>
      <c r="B20495" t="s">
        <v>4830</v>
      </c>
      <c r="C20495" t="s">
        <v>10</v>
      </c>
      <c r="D20495" t="s">
        <v>809</v>
      </c>
      <c r="E20495">
        <f t="shared" si="979"/>
        <v>9.0909090909090905E-3</v>
      </c>
      <c r="F20495">
        <v>19</v>
      </c>
      <c r="G20495">
        <f>LOG(382/(19+1))</f>
        <v>1.2810333672477277</v>
      </c>
      <c r="H20495">
        <f>0.00909090909090909*2.94968833505258</f>
        <v>2.6815348500477999E-2</v>
      </c>
      <c r="I20495">
        <v>2.681534850047804E-2</v>
      </c>
    </row>
    <row r="20496" spans="1:9" x14ac:dyDescent="0.25">
      <c r="A20496">
        <v>604</v>
      </c>
      <c r="B20496" t="s">
        <v>4830</v>
      </c>
      <c r="C20496" t="s">
        <v>10</v>
      </c>
      <c r="D20496" t="s">
        <v>22</v>
      </c>
      <c r="E20496">
        <f t="shared" si="979"/>
        <v>9.0909090909090905E-3</v>
      </c>
      <c r="F20496">
        <v>259</v>
      </c>
      <c r="G20496">
        <f>LOG(382/(259+1))</f>
        <v>0.16709001494089079</v>
      </c>
      <c r="H20496">
        <f>0.00909090909090909*0.384738977591047</f>
        <v>3.4976270690095183E-3</v>
      </c>
      <c r="I20496">
        <v>3.497627069009523E-3</v>
      </c>
    </row>
    <row r="20497" spans="1:9" x14ac:dyDescent="0.25">
      <c r="A20497">
        <v>604</v>
      </c>
      <c r="B20497" t="s">
        <v>4830</v>
      </c>
      <c r="C20497" t="s">
        <v>10</v>
      </c>
      <c r="D20497" t="s">
        <v>23</v>
      </c>
      <c r="E20497">
        <f t="shared" si="979"/>
        <v>9.0909090909090905E-3</v>
      </c>
      <c r="F20497">
        <v>275</v>
      </c>
      <c r="G20497">
        <f>LOG(382/(275+1))</f>
        <v>0.14115428084649101</v>
      </c>
      <c r="H20497">
        <f>0.00909090909090909*0.325019742889425</f>
        <v>2.9547249353584089E-3</v>
      </c>
      <c r="I20497">
        <v>2.9547249353584098E-3</v>
      </c>
    </row>
    <row r="20498" spans="1:9" x14ac:dyDescent="0.25">
      <c r="A20498">
        <v>604</v>
      </c>
      <c r="B20498" t="s">
        <v>4830</v>
      </c>
      <c r="C20498" t="s">
        <v>10</v>
      </c>
      <c r="D20498" t="s">
        <v>247</v>
      </c>
      <c r="E20498">
        <f t="shared" si="979"/>
        <v>9.0909090909090905E-3</v>
      </c>
      <c r="F20498">
        <v>121</v>
      </c>
      <c r="G20498">
        <f>LOG(382/(121+1))</f>
        <v>0.49570353223696051</v>
      </c>
      <c r="H20498">
        <f>0.00909090909090909*1.14139956387331</f>
        <v>1.0376359671575545E-2</v>
      </c>
      <c r="I20498">
        <v>1.037635967157562E-2</v>
      </c>
    </row>
    <row r="20499" spans="1:9" x14ac:dyDescent="0.25">
      <c r="A20499">
        <v>604</v>
      </c>
      <c r="B20499" t="s">
        <v>4830</v>
      </c>
      <c r="C20499" t="s">
        <v>10</v>
      </c>
      <c r="D20499" t="s">
        <v>39</v>
      </c>
      <c r="E20499">
        <f>2/110</f>
        <v>1.8181818181818181E-2</v>
      </c>
      <c r="F20499">
        <v>145</v>
      </c>
      <c r="G20499">
        <f>LOG(382/(145+1))</f>
        <v>0.41771050712727159</v>
      </c>
      <c r="H20499">
        <f>0.0181818181818181*0.961813986898238</f>
        <v>1.7487527034513343E-2</v>
      </c>
      <c r="I20499">
        <v>1.748752703451343E-2</v>
      </c>
    </row>
    <row r="20500" spans="1:9" x14ac:dyDescent="0.25">
      <c r="A20500">
        <v>604</v>
      </c>
      <c r="B20500" t="s">
        <v>4830</v>
      </c>
      <c r="C20500" t="s">
        <v>10</v>
      </c>
      <c r="D20500" t="s">
        <v>331</v>
      </c>
      <c r="E20500">
        <f>5/110</f>
        <v>4.5454545454545456E-2</v>
      </c>
      <c r="F20500">
        <v>130</v>
      </c>
      <c r="G20500">
        <f>LOG(382/(130+1))</f>
        <v>0.46479206725594452</v>
      </c>
      <c r="H20500">
        <f>0.0454545454545454*1.07022328540542</f>
        <v>4.8646512972973587E-2</v>
      </c>
      <c r="I20500">
        <v>4.8646512972973802E-2</v>
      </c>
    </row>
    <row r="20501" spans="1:9" x14ac:dyDescent="0.25">
      <c r="A20501">
        <v>604</v>
      </c>
      <c r="B20501" t="s">
        <v>4830</v>
      </c>
      <c r="C20501" t="s">
        <v>10</v>
      </c>
      <c r="D20501" t="s">
        <v>204</v>
      </c>
      <c r="E20501">
        <f>1/110</f>
        <v>9.0909090909090905E-3</v>
      </c>
      <c r="F20501">
        <v>166</v>
      </c>
      <c r="G20501">
        <f>LOG(382/(166+1))</f>
        <v>0.35934689176412549</v>
      </c>
      <c r="H20501">
        <f>0.00909090909090909*0.82742679618982</f>
        <v>7.5220617835438175E-3</v>
      </c>
      <c r="I20501">
        <v>7.5220617835438184E-3</v>
      </c>
    </row>
    <row r="20502" spans="1:9" x14ac:dyDescent="0.25">
      <c r="A20502">
        <v>604</v>
      </c>
      <c r="B20502" t="s">
        <v>4830</v>
      </c>
      <c r="C20502" t="s">
        <v>10</v>
      </c>
      <c r="D20502" t="s">
        <v>76</v>
      </c>
      <c r="E20502">
        <f>1/110</f>
        <v>9.0909090909090905E-3</v>
      </c>
      <c r="F20502">
        <v>140</v>
      </c>
      <c r="G20502">
        <f>LOG(382/(140+1))</f>
        <v>0.43284425025632883</v>
      </c>
      <c r="H20502">
        <f>0.00909090909090909*0.996660718228407</f>
        <v>9.0605519838946082E-3</v>
      </c>
      <c r="I20502">
        <v>9.0605519838946082E-3</v>
      </c>
    </row>
    <row r="20503" spans="1:9" x14ac:dyDescent="0.25">
      <c r="A20503">
        <v>604</v>
      </c>
      <c r="B20503" t="s">
        <v>4830</v>
      </c>
      <c r="C20503" t="s">
        <v>10</v>
      </c>
      <c r="D20503" t="s">
        <v>752</v>
      </c>
      <c r="E20503">
        <f>1/110</f>
        <v>9.0909090909090905E-3</v>
      </c>
      <c r="F20503">
        <v>34</v>
      </c>
      <c r="G20503">
        <f>LOG(382/(34+1))</f>
        <v>1.037995318561433</v>
      </c>
      <c r="H20503">
        <f>0.00909090909090909*2.39007254711716</f>
        <v>2.1727932246519636E-2</v>
      </c>
      <c r="I20503">
        <v>2.172793224651965E-2</v>
      </c>
    </row>
    <row r="20504" spans="1:9" x14ac:dyDescent="0.25">
      <c r="A20504">
        <v>604</v>
      </c>
      <c r="B20504" t="s">
        <v>4830</v>
      </c>
      <c r="C20504" t="s">
        <v>10</v>
      </c>
      <c r="D20504" t="s">
        <v>730</v>
      </c>
      <c r="E20504">
        <f>1/110</f>
        <v>9.0909090909090905E-3</v>
      </c>
      <c r="F20504">
        <v>11</v>
      </c>
      <c r="G20504">
        <f>LOG(382/(11+1))</f>
        <v>1.5028821168640838</v>
      </c>
      <c r="H20504">
        <f>0.00909090909090909*3.46051395881857</f>
        <v>3.1459217807441542E-2</v>
      </c>
      <c r="I20504">
        <v>3.145921780744159E-2</v>
      </c>
    </row>
    <row r="20505" spans="1:9" x14ac:dyDescent="0.25">
      <c r="A20505">
        <v>604</v>
      </c>
      <c r="B20505" t="s">
        <v>4830</v>
      </c>
      <c r="C20505" t="s">
        <v>10</v>
      </c>
      <c r="D20505" t="s">
        <v>1534</v>
      </c>
      <c r="E20505">
        <f>1/110</f>
        <v>9.0909090909090905E-3</v>
      </c>
      <c r="F20505">
        <v>25</v>
      </c>
      <c r="G20505">
        <f>LOG(382/(25+1))</f>
        <v>1.1670900149408907</v>
      </c>
      <c r="H20505">
        <f>0.00909090909090909*2.68732407058509</f>
        <v>2.4430218823500816E-2</v>
      </c>
      <c r="I20505">
        <v>2.4430218823500841E-2</v>
      </c>
    </row>
    <row r="20506" spans="1:9" x14ac:dyDescent="0.25">
      <c r="A20506">
        <v>604</v>
      </c>
      <c r="B20506" t="s">
        <v>4830</v>
      </c>
      <c r="C20506" t="s">
        <v>10</v>
      </c>
      <c r="D20506" t="s">
        <v>78</v>
      </c>
      <c r="E20506">
        <f>2/110</f>
        <v>1.8181818181818181E-2</v>
      </c>
      <c r="F20506">
        <v>122</v>
      </c>
      <c r="G20506">
        <f>LOG(382/(122+1))</f>
        <v>0.49215825147231079</v>
      </c>
      <c r="H20506">
        <f>0.0181818181818181*1.13323625323415</f>
        <v>2.0604295513348091E-2</v>
      </c>
      <c r="I20506">
        <v>2.060429551334832E-2</v>
      </c>
    </row>
    <row r="20507" spans="1:9" x14ac:dyDescent="0.25">
      <c r="A20507">
        <v>604</v>
      </c>
      <c r="B20507" t="s">
        <v>4830</v>
      </c>
      <c r="C20507" t="s">
        <v>10</v>
      </c>
      <c r="D20507" t="s">
        <v>1709</v>
      </c>
      <c r="E20507">
        <f>1/110</f>
        <v>9.0909090909090905E-3</v>
      </c>
      <c r="F20507">
        <v>21</v>
      </c>
      <c r="G20507">
        <f>LOG(382/(21+1))</f>
        <v>1.2396406820895025</v>
      </c>
      <c r="H20507">
        <f>0.00909090909090909*2.85437815524825</f>
        <v>2.5948892320438635E-2</v>
      </c>
      <c r="I20507">
        <v>2.5948892320438718E-2</v>
      </c>
    </row>
    <row r="20508" spans="1:9" x14ac:dyDescent="0.25">
      <c r="A20508">
        <v>604</v>
      </c>
      <c r="B20508" t="s">
        <v>4830</v>
      </c>
      <c r="C20508" t="s">
        <v>10</v>
      </c>
      <c r="D20508" t="s">
        <v>322</v>
      </c>
      <c r="E20508">
        <f>1/110</f>
        <v>9.0909090909090905E-3</v>
      </c>
      <c r="F20508">
        <v>128</v>
      </c>
      <c r="G20508">
        <f>LOG(382/(128+1))</f>
        <v>0.47147365261245977</v>
      </c>
      <c r="H20508">
        <f>0.00909090909090909*1.0856082042449</f>
        <v>9.8691654931354535E-3</v>
      </c>
      <c r="I20508">
        <v>9.869165493135483E-3</v>
      </c>
    </row>
    <row r="20509" spans="1:9" x14ac:dyDescent="0.25">
      <c r="A20509">
        <v>604</v>
      </c>
      <c r="B20509" t="s">
        <v>4830</v>
      </c>
      <c r="C20509" t="s">
        <v>10</v>
      </c>
      <c r="D20509" t="s">
        <v>123</v>
      </c>
      <c r="E20509">
        <f>1/110</f>
        <v>9.0909090909090905E-3</v>
      </c>
      <c r="F20509">
        <v>74</v>
      </c>
      <c r="G20509">
        <f>LOG(382/(74+1))</f>
        <v>0.7070020995200087</v>
      </c>
      <c r="H20509">
        <f>0.00909090909090909*1.62793249507026</f>
        <v>1.4799386318820546E-2</v>
      </c>
      <c r="I20509">
        <v>1.4799386318820589E-2</v>
      </c>
    </row>
    <row r="20510" spans="1:9" x14ac:dyDescent="0.25">
      <c r="A20510">
        <v>604</v>
      </c>
      <c r="B20510" t="s">
        <v>4830</v>
      </c>
      <c r="C20510" t="s">
        <v>10</v>
      </c>
      <c r="D20510" t="s">
        <v>133</v>
      </c>
      <c r="E20510">
        <f>1/110</f>
        <v>9.0909090909090905E-3</v>
      </c>
      <c r="F20510">
        <v>142</v>
      </c>
      <c r="G20510">
        <f>LOG(382/(142+1))</f>
        <v>0.42672732544664693</v>
      </c>
      <c r="H20510">
        <f>0.00909090909090909*0.982575978346667</f>
        <v>8.932508894060609E-3</v>
      </c>
      <c r="I20510">
        <v>8.9325088940606159E-3</v>
      </c>
    </row>
    <row r="20511" spans="1:9" x14ac:dyDescent="0.25">
      <c r="A20511">
        <v>604</v>
      </c>
      <c r="B20511" t="s">
        <v>4830</v>
      </c>
      <c r="C20511" t="s">
        <v>10</v>
      </c>
      <c r="D20511" t="s">
        <v>77</v>
      </c>
      <c r="E20511">
        <f>3/110</f>
        <v>2.7272727272727271E-2</v>
      </c>
      <c r="F20511">
        <v>148</v>
      </c>
      <c r="G20511">
        <f>LOG(382/(148+1))</f>
        <v>0.40887709449943471</v>
      </c>
      <c r="H20511">
        <f>0.0272727272727272*0.941474302661116</f>
        <v>2.567657189075764E-2</v>
      </c>
      <c r="I20511">
        <v>2.5676571890757709E-2</v>
      </c>
    </row>
    <row r="20512" spans="1:9" x14ac:dyDescent="0.25">
      <c r="A20512">
        <v>604</v>
      </c>
      <c r="B20512" t="s">
        <v>4830</v>
      </c>
      <c r="C20512" t="s">
        <v>10</v>
      </c>
      <c r="D20512" t="s">
        <v>132</v>
      </c>
      <c r="E20512">
        <f t="shared" ref="E20512:E20518" si="980">1/110</f>
        <v>9.0909090909090905E-3</v>
      </c>
      <c r="F20512">
        <v>8</v>
      </c>
      <c r="G20512">
        <f>LOG(382/(8+1))</f>
        <v>1.6278208534723839</v>
      </c>
      <c r="H20512">
        <f>0.00909090909090909*3.74819603127035</f>
        <v>3.4074509375184997E-2</v>
      </c>
      <c r="I20512">
        <v>3.4074509375185053E-2</v>
      </c>
    </row>
    <row r="20513" spans="1:9" x14ac:dyDescent="0.25">
      <c r="A20513">
        <v>604</v>
      </c>
      <c r="B20513" t="s">
        <v>4830</v>
      </c>
      <c r="C20513" t="s">
        <v>10</v>
      </c>
      <c r="D20513" t="s">
        <v>1922</v>
      </c>
      <c r="E20513">
        <f t="shared" si="980"/>
        <v>9.0909090909090905E-3</v>
      </c>
      <c r="F20513">
        <v>15</v>
      </c>
      <c r="G20513">
        <f>LOG(382/(15+1))</f>
        <v>1.3779433802557839</v>
      </c>
      <c r="H20513">
        <f>0.00909090909090909*3.17283188636679</f>
        <v>2.884392623969809E-2</v>
      </c>
      <c r="I20513">
        <v>2.8843926239698128E-2</v>
      </c>
    </row>
    <row r="20514" spans="1:9" x14ac:dyDescent="0.25">
      <c r="A20514">
        <v>604</v>
      </c>
      <c r="B20514" t="s">
        <v>4830</v>
      </c>
      <c r="C20514" t="s">
        <v>10</v>
      </c>
      <c r="D20514" t="s">
        <v>483</v>
      </c>
      <c r="E20514">
        <f t="shared" si="980"/>
        <v>9.0909090909090905E-3</v>
      </c>
      <c r="F20514">
        <v>61</v>
      </c>
      <c r="G20514">
        <f>LOG(382/(61+1))</f>
        <v>0.7896716734134549</v>
      </c>
      <c r="H20514">
        <f>0.00909090909090909*1.81828622356148</f>
        <v>1.6529874759649819E-2</v>
      </c>
      <c r="I20514">
        <v>1.652987475964985E-2</v>
      </c>
    </row>
    <row r="20515" spans="1:9" x14ac:dyDescent="0.25">
      <c r="A20515">
        <v>604</v>
      </c>
      <c r="B20515" t="s">
        <v>4830</v>
      </c>
      <c r="C20515" t="s">
        <v>10</v>
      </c>
      <c r="D20515" t="s">
        <v>936</v>
      </c>
      <c r="E20515">
        <f t="shared" si="980"/>
        <v>9.0909090909090905E-3</v>
      </c>
      <c r="F20515">
        <v>21</v>
      </c>
      <c r="G20515">
        <f>LOG(382/(21+1))</f>
        <v>1.2396406820895025</v>
      </c>
      <c r="H20515">
        <f>0.00909090909090909*2.85437815524825</f>
        <v>2.5948892320438635E-2</v>
      </c>
      <c r="I20515">
        <v>2.5948892320438718E-2</v>
      </c>
    </row>
    <row r="20516" spans="1:9" x14ac:dyDescent="0.25">
      <c r="A20516">
        <v>604</v>
      </c>
      <c r="B20516" t="s">
        <v>4830</v>
      </c>
      <c r="C20516" t="s">
        <v>10</v>
      </c>
      <c r="D20516" t="s">
        <v>937</v>
      </c>
      <c r="E20516">
        <f t="shared" si="980"/>
        <v>9.0909090909090905E-3</v>
      </c>
      <c r="F20516">
        <v>41</v>
      </c>
      <c r="G20516">
        <f>LOG(382/(41+1))</f>
        <v>0.95881407251380824</v>
      </c>
      <c r="H20516">
        <f>0.00909090909090909*2.2077509903232</f>
        <v>2.0070463548392727E-2</v>
      </c>
      <c r="I20516">
        <v>2.007046354839279E-2</v>
      </c>
    </row>
    <row r="20517" spans="1:9" x14ac:dyDescent="0.25">
      <c r="A20517">
        <v>604</v>
      </c>
      <c r="B20517" t="s">
        <v>4830</v>
      </c>
      <c r="C20517" t="s">
        <v>10</v>
      </c>
      <c r="D20517" t="s">
        <v>327</v>
      </c>
      <c r="E20517">
        <f t="shared" si="980"/>
        <v>9.0909090909090905E-3</v>
      </c>
      <c r="F20517">
        <v>46</v>
      </c>
      <c r="G20517">
        <f>LOG(382/(46+1))</f>
        <v>0.90996550497599127</v>
      </c>
      <c r="H20517">
        <f>0.00909090909090909*2.09527300689651</f>
        <v>1.9047936426331909E-2</v>
      </c>
      <c r="I20517">
        <v>1.9047936426331971E-2</v>
      </c>
    </row>
    <row r="20518" spans="1:9" x14ac:dyDescent="0.25">
      <c r="A20518">
        <v>604</v>
      </c>
      <c r="B20518" t="s">
        <v>4830</v>
      </c>
      <c r="C20518" t="s">
        <v>10</v>
      </c>
      <c r="D20518" t="s">
        <v>1085</v>
      </c>
      <c r="E20518">
        <f t="shared" si="980"/>
        <v>9.0909090909090905E-3</v>
      </c>
      <c r="F20518">
        <v>16</v>
      </c>
      <c r="G20518">
        <f>LOG(382/(16+1))</f>
        <v>1.3516144415334348</v>
      </c>
      <c r="H20518">
        <f>0.00909090909090909*3.11220726455035</f>
        <v>2.8292793314094088E-2</v>
      </c>
      <c r="I20518">
        <v>2.8292793314094171E-2</v>
      </c>
    </row>
    <row r="20519" spans="1:9" x14ac:dyDescent="0.25">
      <c r="A20519">
        <v>604</v>
      </c>
      <c r="B20519" t="s">
        <v>4830</v>
      </c>
      <c r="C20519" t="s">
        <v>10</v>
      </c>
      <c r="D20519" t="s">
        <v>1853</v>
      </c>
      <c r="E20519">
        <f>2/110</f>
        <v>1.8181818181818181E-2</v>
      </c>
      <c r="F20519">
        <v>15</v>
      </c>
      <c r="G20519">
        <f>LOG(382/(15+1))</f>
        <v>1.3779433802557839</v>
      </c>
      <c r="H20519">
        <f>0.0181818181818181*3.17283188636679</f>
        <v>5.768785247939593E-2</v>
      </c>
      <c r="I20519">
        <v>5.7687852479396257E-2</v>
      </c>
    </row>
    <row r="20520" spans="1:9" x14ac:dyDescent="0.25">
      <c r="A20520">
        <v>604</v>
      </c>
      <c r="B20520" t="s">
        <v>4830</v>
      </c>
      <c r="C20520" t="s">
        <v>10</v>
      </c>
      <c r="D20520" t="s">
        <v>593</v>
      </c>
      <c r="E20520">
        <f>1/110</f>
        <v>9.0909090909090905E-3</v>
      </c>
      <c r="F20520">
        <v>30</v>
      </c>
      <c r="G20520">
        <f>LOG(382/(30+1))</f>
        <v>1.090701669077436</v>
      </c>
      <c r="H20520">
        <f>0.00909090909090909*2.51143340412142</f>
        <v>2.2831212764740181E-2</v>
      </c>
      <c r="I20520">
        <v>2.2831212764740261E-2</v>
      </c>
    </row>
    <row r="20521" spans="1:9" x14ac:dyDescent="0.25">
      <c r="A20521">
        <v>604</v>
      </c>
      <c r="B20521" t="s">
        <v>4830</v>
      </c>
      <c r="C20521" t="s">
        <v>10</v>
      </c>
      <c r="D20521" t="s">
        <v>594</v>
      </c>
      <c r="E20521">
        <f>1/110</f>
        <v>9.0909090909090905E-3</v>
      </c>
      <c r="F20521">
        <v>36</v>
      </c>
      <c r="G20521">
        <f>LOG(382/(36+1))</f>
        <v>1.0138616388447137</v>
      </c>
      <c r="H20521">
        <f>0.00909090909090909*2.33450269596235</f>
        <v>2.122275178147591E-2</v>
      </c>
      <c r="I20521">
        <v>2.122275178147592E-2</v>
      </c>
    </row>
    <row r="20522" spans="1:9" x14ac:dyDescent="0.25">
      <c r="A20522">
        <v>604</v>
      </c>
      <c r="B20522" t="s">
        <v>4830</v>
      </c>
      <c r="C20522" t="s">
        <v>10</v>
      </c>
      <c r="D20522" t="s">
        <v>144</v>
      </c>
      <c r="E20522">
        <f>2/110</f>
        <v>1.8181818181818181E-2</v>
      </c>
      <c r="F20522">
        <v>105</v>
      </c>
      <c r="G20522">
        <f>LOG(382/(105+1))</f>
        <v>0.55675749764693849</v>
      </c>
      <c r="H20522">
        <f>0.0181818181818181*1.2819815144945</f>
        <v>2.3308754808990806E-2</v>
      </c>
      <c r="I20522">
        <v>2.3308754808991049E-2</v>
      </c>
    </row>
    <row r="20523" spans="1:9" x14ac:dyDescent="0.25">
      <c r="A20523">
        <v>604</v>
      </c>
      <c r="B20523" t="s">
        <v>4830</v>
      </c>
      <c r="C20523" t="s">
        <v>10</v>
      </c>
      <c r="D20523" t="s">
        <v>1079</v>
      </c>
      <c r="E20523">
        <f>1/110</f>
        <v>9.0909090909090905E-3</v>
      </c>
      <c r="F20523">
        <v>34</v>
      </c>
      <c r="G20523">
        <f>LOG(382/(34+1))</f>
        <v>1.037995318561433</v>
      </c>
      <c r="H20523">
        <f>0.00909090909090909*2.39007254711716</f>
        <v>2.1727932246519636E-2</v>
      </c>
      <c r="I20523">
        <v>2.172793224651965E-2</v>
      </c>
    </row>
    <row r="20524" spans="1:9" x14ac:dyDescent="0.25">
      <c r="A20524">
        <v>604</v>
      </c>
      <c r="B20524" t="s">
        <v>4830</v>
      </c>
      <c r="C20524" t="s">
        <v>10</v>
      </c>
      <c r="D20524" t="s">
        <v>2089</v>
      </c>
      <c r="E20524">
        <f>1/110</f>
        <v>9.0909090909090905E-3</v>
      </c>
      <c r="F20524">
        <v>4</v>
      </c>
      <c r="G20524">
        <f>LOG(382/(4+1))</f>
        <v>1.8830933585756899</v>
      </c>
      <c r="H20524">
        <f>0.00909090909090909*4.33598269617247</f>
        <v>3.9418024510658817E-2</v>
      </c>
      <c r="I20524">
        <v>3.9418024510658858E-2</v>
      </c>
    </row>
    <row r="20525" spans="1:9" x14ac:dyDescent="0.25">
      <c r="A20525">
        <v>604</v>
      </c>
      <c r="B20525" t="s">
        <v>4830</v>
      </c>
      <c r="C20525" t="s">
        <v>10</v>
      </c>
      <c r="D20525" t="s">
        <v>119</v>
      </c>
      <c r="E20525">
        <f>1/110</f>
        <v>9.0909090909090905E-3</v>
      </c>
      <c r="F20525">
        <v>79</v>
      </c>
      <c r="G20525">
        <f>LOG(382/(79+1))</f>
        <v>0.67897337591976514</v>
      </c>
      <c r="H20525">
        <f>0.00909090909090909*1.56339397393269</f>
        <v>1.4212672490297182E-2</v>
      </c>
      <c r="I20525">
        <v>1.421267249029721E-2</v>
      </c>
    </row>
    <row r="20526" spans="1:9" x14ac:dyDescent="0.25">
      <c r="A20526">
        <v>604</v>
      </c>
      <c r="B20526" t="s">
        <v>4830</v>
      </c>
      <c r="C20526" t="s">
        <v>10</v>
      </c>
      <c r="D20526" t="s">
        <v>1303</v>
      </c>
      <c r="E20526">
        <f>2/110</f>
        <v>1.8181818181818181E-2</v>
      </c>
      <c r="F20526">
        <v>17</v>
      </c>
      <c r="G20526">
        <f>LOG(382/(17+1))</f>
        <v>1.3267908578084027</v>
      </c>
      <c r="H20526">
        <f>0.0181818181818181*3.05504885071041</f>
        <v>5.5546342740189027E-2</v>
      </c>
      <c r="I20526">
        <v>5.5546342740189283E-2</v>
      </c>
    </row>
    <row r="20527" spans="1:9" x14ac:dyDescent="0.25">
      <c r="A20527">
        <v>604</v>
      </c>
      <c r="B20527" t="s">
        <v>4830</v>
      </c>
      <c r="C20527" t="s">
        <v>10</v>
      </c>
      <c r="D20527" t="s">
        <v>1012</v>
      </c>
      <c r="E20527">
        <f>1/110</f>
        <v>9.0909090909090905E-3</v>
      </c>
      <c r="F20527">
        <v>17</v>
      </c>
      <c r="G20527">
        <f>LOG(382/(17+1))</f>
        <v>1.3267908578084027</v>
      </c>
      <c r="H20527">
        <f>0.00909090909090909*3.05504885071041</f>
        <v>2.7773171370094635E-2</v>
      </c>
      <c r="I20527">
        <v>2.7773171370094642E-2</v>
      </c>
    </row>
    <row r="20528" spans="1:9" x14ac:dyDescent="0.25">
      <c r="A20528">
        <v>604</v>
      </c>
      <c r="B20528" t="s">
        <v>4830</v>
      </c>
      <c r="C20528" t="s">
        <v>10</v>
      </c>
      <c r="D20528" t="s">
        <v>310</v>
      </c>
      <c r="E20528">
        <f>1/110</f>
        <v>9.0909090909090905E-3</v>
      </c>
      <c r="F20528">
        <v>50</v>
      </c>
      <c r="G20528">
        <f>LOG(382/(50+1))</f>
        <v>0.87449318681377242</v>
      </c>
      <c r="H20528">
        <f>0.00909090909090909*2.01359497588224</f>
        <v>1.8305408871656725E-2</v>
      </c>
      <c r="I20528">
        <v>1.8305408871656811E-2</v>
      </c>
    </row>
    <row r="20529" spans="1:9" x14ac:dyDescent="0.25">
      <c r="A20529">
        <v>604</v>
      </c>
      <c r="B20529" t="s">
        <v>4830</v>
      </c>
      <c r="C20529" t="s">
        <v>10</v>
      </c>
      <c r="D20529" t="s">
        <v>1398</v>
      </c>
      <c r="E20529">
        <f>1/110</f>
        <v>9.0909090909090905E-3</v>
      </c>
      <c r="F20529">
        <v>29</v>
      </c>
      <c r="G20529">
        <f>LOG(382/(29+1))</f>
        <v>1.1049421081920463</v>
      </c>
      <c r="H20529">
        <f>0.00909090909090909*2.54422322694442</f>
        <v>2.3129302063131088E-2</v>
      </c>
      <c r="I20529">
        <v>2.3129302063131092E-2</v>
      </c>
    </row>
    <row r="20530" spans="1:9" x14ac:dyDescent="0.25">
      <c r="A20530">
        <v>604</v>
      </c>
      <c r="B20530" t="s">
        <v>4830</v>
      </c>
      <c r="C20530" t="s">
        <v>10</v>
      </c>
      <c r="D20530" t="s">
        <v>542</v>
      </c>
      <c r="E20530">
        <f>1/110</f>
        <v>9.0909090909090905E-3</v>
      </c>
      <c r="F20530">
        <v>42</v>
      </c>
      <c r="G20530">
        <f>LOG(382/(42+1))</f>
        <v>0.94859490733212215</v>
      </c>
      <c r="H20530">
        <f>0.00909090909090909*2.18422049291301</f>
        <v>1.9856549935572815E-2</v>
      </c>
      <c r="I20530">
        <v>1.9856549935572839E-2</v>
      </c>
    </row>
    <row r="20531" spans="1:9" x14ac:dyDescent="0.25">
      <c r="A20531">
        <v>604</v>
      </c>
      <c r="B20531" t="s">
        <v>4830</v>
      </c>
      <c r="C20531" t="s">
        <v>10</v>
      </c>
      <c r="D20531" t="s">
        <v>1362</v>
      </c>
      <c r="E20531">
        <f>2/110</f>
        <v>1.8181818181818181E-2</v>
      </c>
      <c r="F20531">
        <v>12</v>
      </c>
      <c r="G20531">
        <f>LOG(382/(12+1))</f>
        <v>1.468120010604872</v>
      </c>
      <c r="H20531">
        <f>0.0181818181818181*3.38047125114503</f>
        <v>6.1463113657182093E-2</v>
      </c>
      <c r="I20531">
        <v>6.1463113657182523E-2</v>
      </c>
    </row>
    <row r="20532" spans="1:9" x14ac:dyDescent="0.25">
      <c r="A20532">
        <v>604</v>
      </c>
      <c r="B20532" t="s">
        <v>4830</v>
      </c>
      <c r="C20532" t="s">
        <v>10</v>
      </c>
      <c r="D20532" t="s">
        <v>1472</v>
      </c>
      <c r="E20532">
        <f t="shared" ref="E20532:E20537" si="981">1/110</f>
        <v>9.0909090909090905E-3</v>
      </c>
      <c r="F20532">
        <v>7</v>
      </c>
      <c r="G20532">
        <f>LOG(382/(7+1))</f>
        <v>1.6789733759197651</v>
      </c>
      <c r="H20532">
        <f>0.00909090909090909*3.86597906692673</f>
        <v>3.5145264244788456E-2</v>
      </c>
      <c r="I20532">
        <v>3.5145264244788532E-2</v>
      </c>
    </row>
    <row r="20533" spans="1:9" x14ac:dyDescent="0.25">
      <c r="A20533">
        <v>604</v>
      </c>
      <c r="B20533" t="s">
        <v>4830</v>
      </c>
      <c r="C20533" t="s">
        <v>10</v>
      </c>
      <c r="D20533" t="s">
        <v>432</v>
      </c>
      <c r="E20533">
        <f t="shared" si="981"/>
        <v>9.0909090909090905E-3</v>
      </c>
      <c r="F20533">
        <v>67</v>
      </c>
      <c r="G20533">
        <f>LOG(382/(67+1))</f>
        <v>0.7495544502054724</v>
      </c>
      <c r="H20533">
        <f>0.00909090909090909*1.72591290343046</f>
        <v>1.5690117303913273E-2</v>
      </c>
      <c r="I20533">
        <v>1.5690117303913349E-2</v>
      </c>
    </row>
    <row r="20534" spans="1:9" x14ac:dyDescent="0.25">
      <c r="A20534">
        <v>604</v>
      </c>
      <c r="B20534" t="s">
        <v>4830</v>
      </c>
      <c r="C20534" t="s">
        <v>10</v>
      </c>
      <c r="D20534" t="s">
        <v>1473</v>
      </c>
      <c r="E20534">
        <f t="shared" si="981"/>
        <v>9.0909090909090905E-3</v>
      </c>
      <c r="F20534">
        <v>39</v>
      </c>
      <c r="G20534">
        <f>LOG(382/(39+1))</f>
        <v>0.9800033715837464</v>
      </c>
      <c r="H20534">
        <f>0.00909090909090909*2.25654115449263</f>
        <v>2.0514010495387546E-2</v>
      </c>
      <c r="I20534">
        <v>2.0514010495387629E-2</v>
      </c>
    </row>
    <row r="20535" spans="1:9" x14ac:dyDescent="0.25">
      <c r="A20535">
        <v>604</v>
      </c>
      <c r="B20535" t="s">
        <v>4830</v>
      </c>
      <c r="C20535" t="s">
        <v>10</v>
      </c>
      <c r="D20535" t="s">
        <v>4833</v>
      </c>
      <c r="E20535">
        <f t="shared" si="981"/>
        <v>9.0909090909090905E-3</v>
      </c>
      <c r="F20535">
        <v>1</v>
      </c>
      <c r="G20535">
        <f>LOG(382/(1+1))</f>
        <v>2.2810333672477277</v>
      </c>
      <c r="H20535">
        <f>0.00909090909090909*5.25227342804663</f>
        <v>4.7747940254969361E-2</v>
      </c>
      <c r="I20535">
        <v>4.7747940254969361E-2</v>
      </c>
    </row>
    <row r="20536" spans="1:9" x14ac:dyDescent="0.25">
      <c r="A20536">
        <v>604</v>
      </c>
      <c r="B20536" t="s">
        <v>4830</v>
      </c>
      <c r="C20536" t="s">
        <v>10</v>
      </c>
      <c r="D20536" t="s">
        <v>599</v>
      </c>
      <c r="E20536">
        <f t="shared" si="981"/>
        <v>9.0909090909090905E-3</v>
      </c>
      <c r="F20536">
        <v>28</v>
      </c>
      <c r="G20536">
        <f>LOG(382/(28+1))</f>
        <v>1.1196653650127526</v>
      </c>
      <c r="H20536">
        <f>0.00909090909090909*2.5781247786201</f>
        <v>2.3437497987455452E-2</v>
      </c>
      <c r="I20536">
        <v>2.3437497987455459E-2</v>
      </c>
    </row>
    <row r="20537" spans="1:9" x14ac:dyDescent="0.25">
      <c r="A20537">
        <v>604</v>
      </c>
      <c r="B20537" t="s">
        <v>4830</v>
      </c>
      <c r="C20537" t="s">
        <v>10</v>
      </c>
      <c r="D20537" t="s">
        <v>600</v>
      </c>
      <c r="E20537">
        <f t="shared" si="981"/>
        <v>9.0909090909090905E-3</v>
      </c>
      <c r="F20537">
        <v>102</v>
      </c>
      <c r="G20537">
        <f>LOG(382/(102+1))</f>
        <v>0.56922613820653656</v>
      </c>
      <c r="H20537">
        <f>0.00909090909090909*1.31069162037693</f>
        <v>1.1915378367063001E-2</v>
      </c>
      <c r="I20537">
        <v>1.1915378367063091E-2</v>
      </c>
    </row>
    <row r="20538" spans="1:9" x14ac:dyDescent="0.25">
      <c r="A20538">
        <v>604</v>
      </c>
      <c r="B20538" t="s">
        <v>4830</v>
      </c>
      <c r="C20538" t="s">
        <v>10</v>
      </c>
      <c r="D20538" t="s">
        <v>913</v>
      </c>
      <c r="E20538">
        <f>2/110</f>
        <v>1.8181818181818181E-2</v>
      </c>
      <c r="F20538">
        <v>14</v>
      </c>
      <c r="G20538">
        <f>LOG(382/(14+1))</f>
        <v>1.4059721038560276</v>
      </c>
      <c r="H20538">
        <f>0.0181818181818181*3.23737040750436</f>
        <v>5.8861280136442644E-2</v>
      </c>
      <c r="I20538">
        <v>5.8861280136442998E-2</v>
      </c>
    </row>
    <row r="20539" spans="1:9" x14ac:dyDescent="0.25">
      <c r="A20539">
        <v>604</v>
      </c>
      <c r="B20539" t="s">
        <v>4830</v>
      </c>
      <c r="C20539" t="s">
        <v>10</v>
      </c>
      <c r="D20539" t="s">
        <v>4814</v>
      </c>
      <c r="E20539">
        <f>1/110</f>
        <v>9.0909090909090905E-3</v>
      </c>
      <c r="F20539">
        <v>2</v>
      </c>
      <c r="G20539">
        <f>LOG(382/(2+1))</f>
        <v>2.1049421081920463</v>
      </c>
      <c r="H20539">
        <f>0.00909090909090909*4.84680831993846</f>
        <v>4.4061893817622363E-2</v>
      </c>
      <c r="I20539">
        <v>4.4061893817622412E-2</v>
      </c>
    </row>
    <row r="20540" spans="1:9" x14ac:dyDescent="0.25">
      <c r="A20540">
        <v>604</v>
      </c>
      <c r="B20540" t="s">
        <v>4830</v>
      </c>
      <c r="C20540" t="s">
        <v>10</v>
      </c>
      <c r="D20540" t="s">
        <v>121</v>
      </c>
      <c r="E20540">
        <f>1/110</f>
        <v>9.0909090909090905E-3</v>
      </c>
      <c r="F20540">
        <v>22</v>
      </c>
      <c r="G20540">
        <f>LOG(382/(22+1))</f>
        <v>1.2203355268941158</v>
      </c>
      <c r="H20540">
        <f>0.00909090909090909*2.80992639267742</f>
        <v>2.5544785387976544E-2</v>
      </c>
      <c r="I20540">
        <v>2.5544785387976599E-2</v>
      </c>
    </row>
    <row r="20541" spans="1:9" x14ac:dyDescent="0.25">
      <c r="A20541">
        <v>604</v>
      </c>
      <c r="B20541" t="s">
        <v>4830</v>
      </c>
      <c r="C20541" t="s">
        <v>10</v>
      </c>
      <c r="D20541" t="s">
        <v>1626</v>
      </c>
      <c r="E20541">
        <f>1/110</f>
        <v>9.0909090909090905E-3</v>
      </c>
      <c r="F20541">
        <v>32</v>
      </c>
      <c r="G20541">
        <f>LOG(382/(32+1))</f>
        <v>1.0635494230338212</v>
      </c>
      <c r="H20541">
        <f>0.00909090909090909*2.44891304714009</f>
        <v>2.2262845883091728E-2</v>
      </c>
      <c r="I20541">
        <v>2.226284588309177E-2</v>
      </c>
    </row>
    <row r="20542" spans="1:9" x14ac:dyDescent="0.25">
      <c r="A20542">
        <v>604</v>
      </c>
      <c r="B20542" t="s">
        <v>4830</v>
      </c>
      <c r="C20542" t="s">
        <v>10</v>
      </c>
      <c r="D20542" t="s">
        <v>236</v>
      </c>
      <c r="E20542">
        <f>1/110</f>
        <v>9.0909090909090905E-3</v>
      </c>
      <c r="F20542">
        <v>87</v>
      </c>
      <c r="G20542">
        <f>LOG(382/(87+1))</f>
        <v>0.63758069076154011</v>
      </c>
      <c r="H20542">
        <f>0.00909090909090909*1.46808379412836</f>
        <v>1.3346216310257817E-2</v>
      </c>
      <c r="I20542">
        <v>1.33462163102579E-2</v>
      </c>
    </row>
    <row r="20543" spans="1:9" x14ac:dyDescent="0.25">
      <c r="A20543">
        <v>604</v>
      </c>
      <c r="B20543" t="s">
        <v>4830</v>
      </c>
      <c r="C20543" t="s">
        <v>10</v>
      </c>
      <c r="D20543" t="s">
        <v>338</v>
      </c>
      <c r="E20543">
        <f>1/110</f>
        <v>9.0909090909090905E-3</v>
      </c>
      <c r="F20543">
        <v>54</v>
      </c>
      <c r="G20543">
        <f>LOG(382/(54+1))</f>
        <v>0.84170067341746491</v>
      </c>
      <c r="H20543">
        <f>0.00909090909090909*1.9380874233741</f>
        <v>1.7618976576128181E-2</v>
      </c>
      <c r="I20543">
        <v>1.761897657612822E-2</v>
      </c>
    </row>
    <row r="20544" spans="1:9" x14ac:dyDescent="0.25">
      <c r="A20544">
        <v>604</v>
      </c>
      <c r="B20544" t="s">
        <v>4830</v>
      </c>
      <c r="C20544" t="s">
        <v>10</v>
      </c>
      <c r="D20544" t="s">
        <v>388</v>
      </c>
      <c r="E20544">
        <f>2/110</f>
        <v>1.8181818181818181E-2</v>
      </c>
      <c r="F20544">
        <v>44</v>
      </c>
      <c r="G20544">
        <f>LOG(382/(44+1))</f>
        <v>0.92885084913636506</v>
      </c>
      <c r="H20544">
        <f>0.0181818181818181*2.13875811883625</f>
        <v>3.8886511251568008E-2</v>
      </c>
      <c r="I20544">
        <v>3.8886511251568272E-2</v>
      </c>
    </row>
    <row r="20545" spans="1:9" x14ac:dyDescent="0.25">
      <c r="A20545">
        <v>604</v>
      </c>
      <c r="B20545" t="s">
        <v>4830</v>
      </c>
      <c r="C20545" t="s">
        <v>10</v>
      </c>
      <c r="D20545" t="s">
        <v>2301</v>
      </c>
      <c r="E20545">
        <f>1/110</f>
        <v>9.0909090909090905E-3</v>
      </c>
      <c r="F20545">
        <v>6</v>
      </c>
      <c r="G20545">
        <f>LOG(382/(6+1))</f>
        <v>1.736965322897452</v>
      </c>
      <c r="H20545">
        <f>0.00909090909090909*3.99951045955126</f>
        <v>3.6359185995920543E-2</v>
      </c>
      <c r="I20545">
        <v>3.6359185995920557E-2</v>
      </c>
    </row>
    <row r="20546" spans="1:9" x14ac:dyDescent="0.25">
      <c r="A20546">
        <v>604</v>
      </c>
      <c r="B20546" t="s">
        <v>4830</v>
      </c>
      <c r="C20546" t="s">
        <v>10</v>
      </c>
      <c r="D20546" t="s">
        <v>2431</v>
      </c>
      <c r="E20546">
        <f>1/110</f>
        <v>9.0909090909090905E-3</v>
      </c>
      <c r="F20546">
        <v>12</v>
      </c>
      <c r="G20546">
        <f>LOG(382/(12+1))</f>
        <v>1.468120010604872</v>
      </c>
      <c r="H20546">
        <f>0.00909090909090909*3.38047125114503</f>
        <v>3.0731556828591182E-2</v>
      </c>
      <c r="I20546">
        <v>3.0731556828591262E-2</v>
      </c>
    </row>
    <row r="20547" spans="1:9" x14ac:dyDescent="0.25">
      <c r="A20547">
        <v>604</v>
      </c>
      <c r="B20547" t="s">
        <v>4830</v>
      </c>
      <c r="C20547" t="s">
        <v>10</v>
      </c>
      <c r="D20547" t="s">
        <v>754</v>
      </c>
      <c r="E20547">
        <f>1/110</f>
        <v>9.0909090909090905E-3</v>
      </c>
      <c r="F20547">
        <v>111</v>
      </c>
      <c r="G20547">
        <f>LOG(382/(111+1))</f>
        <v>0.53284534024152708</v>
      </c>
      <c r="H20547">
        <f>0.00909090909090909*1.22692173731148</f>
        <v>1.1153833975558908E-2</v>
      </c>
      <c r="I20547">
        <v>1.115383397555892E-2</v>
      </c>
    </row>
    <row r="20548" spans="1:9" x14ac:dyDescent="0.25">
      <c r="A20548">
        <v>604</v>
      </c>
      <c r="B20548" t="s">
        <v>4830</v>
      </c>
      <c r="C20548" t="s">
        <v>10</v>
      </c>
      <c r="D20548" t="s">
        <v>812</v>
      </c>
      <c r="E20548">
        <f>1/110</f>
        <v>9.0909090909090905E-3</v>
      </c>
      <c r="F20548">
        <v>11</v>
      </c>
      <c r="G20548">
        <f>LOG(382/(11+1))</f>
        <v>1.5028821168640838</v>
      </c>
      <c r="H20548">
        <f>0.00909090909090909*3.46051395881857</f>
        <v>3.1459217807441542E-2</v>
      </c>
      <c r="I20548">
        <v>3.145921780744159E-2</v>
      </c>
    </row>
    <row r="20549" spans="1:9" x14ac:dyDescent="0.25">
      <c r="A20549">
        <v>604</v>
      </c>
      <c r="B20549" t="s">
        <v>4830</v>
      </c>
      <c r="C20549" t="s">
        <v>10</v>
      </c>
      <c r="D20549" t="s">
        <v>763</v>
      </c>
      <c r="E20549">
        <f>2/110</f>
        <v>1.8181818181818181E-2</v>
      </c>
      <c r="F20549">
        <v>47</v>
      </c>
      <c r="G20549">
        <f>LOG(382/(47+1))</f>
        <v>0.90082212553612151</v>
      </c>
      <c r="H20549">
        <f>0.0181818181818181*2.07421959769868</f>
        <v>3.7713083594521288E-2</v>
      </c>
      <c r="I20549">
        <v>3.7713083594521531E-2</v>
      </c>
    </row>
    <row r="20550" spans="1:9" x14ac:dyDescent="0.25">
      <c r="A20550">
        <v>604</v>
      </c>
      <c r="B20550" t="s">
        <v>4830</v>
      </c>
      <c r="C20550" t="s">
        <v>10</v>
      </c>
      <c r="D20550" t="s">
        <v>775</v>
      </c>
      <c r="E20550">
        <f>1/110</f>
        <v>9.0909090909090905E-3</v>
      </c>
      <c r="F20550">
        <v>20</v>
      </c>
      <c r="G20550">
        <f>LOG(382/(20+1))</f>
        <v>1.2598440681777894</v>
      </c>
      <c r="H20550">
        <f>0.00909090909090909*2.90089817088315</f>
        <v>2.637180155348318E-2</v>
      </c>
      <c r="I20550">
        <v>2.6371801553483201E-2</v>
      </c>
    </row>
    <row r="20551" spans="1:9" x14ac:dyDescent="0.25">
      <c r="A20551">
        <v>604</v>
      </c>
      <c r="B20551" t="s">
        <v>4830</v>
      </c>
      <c r="C20551" t="s">
        <v>10</v>
      </c>
      <c r="D20551" t="s">
        <v>1634</v>
      </c>
      <c r="E20551">
        <f>1/110</f>
        <v>9.0909090909090905E-3</v>
      </c>
      <c r="F20551">
        <v>7</v>
      </c>
      <c r="G20551">
        <f>LOG(382/(7+1))</f>
        <v>1.6789733759197651</v>
      </c>
      <c r="H20551">
        <f>0.00909090909090909*3.86597906692673</f>
        <v>3.5145264244788456E-2</v>
      </c>
      <c r="I20551">
        <v>3.5145264244788532E-2</v>
      </c>
    </row>
    <row r="20552" spans="1:9" x14ac:dyDescent="0.25">
      <c r="A20552">
        <v>604</v>
      </c>
      <c r="B20552" t="s">
        <v>4830</v>
      </c>
      <c r="C20552" t="s">
        <v>10</v>
      </c>
      <c r="D20552" t="s">
        <v>1918</v>
      </c>
      <c r="E20552">
        <f>1/110</f>
        <v>9.0909090909090905E-3</v>
      </c>
      <c r="F20552">
        <v>25</v>
      </c>
      <c r="G20552">
        <f>LOG(382/(25+1))</f>
        <v>1.1670900149408907</v>
      </c>
      <c r="H20552">
        <f>0.00909090909090909*2.68732407058509</f>
        <v>2.4430218823500816E-2</v>
      </c>
      <c r="I20552">
        <v>2.4430218823500841E-2</v>
      </c>
    </row>
    <row r="20553" spans="1:9" x14ac:dyDescent="0.25">
      <c r="A20553">
        <v>604</v>
      </c>
      <c r="B20553" t="s">
        <v>4830</v>
      </c>
      <c r="C20553" t="s">
        <v>10</v>
      </c>
      <c r="D20553" t="s">
        <v>1831</v>
      </c>
      <c r="E20553">
        <f>1/110</f>
        <v>9.0909090909090905E-3</v>
      </c>
      <c r="F20553">
        <v>28</v>
      </c>
      <c r="G20553">
        <f>LOG(382/(28+1))</f>
        <v>1.1196653650127526</v>
      </c>
      <c r="H20553">
        <f>0.00909090909090909*2.5781247786201</f>
        <v>2.3437497987455452E-2</v>
      </c>
      <c r="I20553">
        <v>2.3437497987455459E-2</v>
      </c>
    </row>
    <row r="20554" spans="1:9" x14ac:dyDescent="0.25">
      <c r="A20554">
        <v>604</v>
      </c>
      <c r="B20554" t="s">
        <v>4830</v>
      </c>
      <c r="C20554" t="s">
        <v>10</v>
      </c>
      <c r="D20554" t="s">
        <v>324</v>
      </c>
      <c r="E20554">
        <f>2/110</f>
        <v>1.8181818181818181E-2</v>
      </c>
      <c r="F20554">
        <v>82</v>
      </c>
      <c r="G20554">
        <f>LOG(382/(82+1))</f>
        <v>0.66298527053563483</v>
      </c>
      <c r="H20554">
        <f>0.0181818181818181*1.52658000080997</f>
        <v>2.7756000014726601E-2</v>
      </c>
      <c r="I20554">
        <v>2.7756000014726862E-2</v>
      </c>
    </row>
    <row r="20555" spans="1:9" x14ac:dyDescent="0.25">
      <c r="A20555">
        <v>604</v>
      </c>
      <c r="B20555" t="s">
        <v>4830</v>
      </c>
      <c r="C20555" t="s">
        <v>10</v>
      </c>
      <c r="D20555" t="s">
        <v>1345</v>
      </c>
      <c r="E20555">
        <f>1/110</f>
        <v>9.0909090909090905E-3</v>
      </c>
      <c r="F20555">
        <v>8</v>
      </c>
      <c r="G20555">
        <f>LOG(382/(8+1))</f>
        <v>1.6278208534723839</v>
      </c>
      <c r="H20555">
        <f>0.00909090909090909*3.74819603127035</f>
        <v>3.4074509375184997E-2</v>
      </c>
      <c r="I20555">
        <v>3.4074509375185053E-2</v>
      </c>
    </row>
    <row r="20556" spans="1:9" x14ac:dyDescent="0.25">
      <c r="A20556">
        <v>604</v>
      </c>
      <c r="B20556" t="s">
        <v>4830</v>
      </c>
      <c r="C20556" t="s">
        <v>10</v>
      </c>
      <c r="D20556" t="s">
        <v>899</v>
      </c>
      <c r="E20556">
        <f>1/110</f>
        <v>9.0909090909090905E-3</v>
      </c>
      <c r="F20556">
        <v>5</v>
      </c>
      <c r="G20556">
        <f>LOG(382/(5+1))</f>
        <v>1.803912112528065</v>
      </c>
      <c r="H20556">
        <f>0.00909090909090909*4.15366113937852</f>
        <v>3.7760555812531994E-2</v>
      </c>
      <c r="I20556">
        <v>3.7760555812531987E-2</v>
      </c>
    </row>
    <row r="20557" spans="1:9" x14ac:dyDescent="0.25">
      <c r="A20557">
        <v>604</v>
      </c>
      <c r="B20557" t="s">
        <v>4830</v>
      </c>
      <c r="C20557" t="s">
        <v>10</v>
      </c>
      <c r="D20557" t="s">
        <v>4419</v>
      </c>
      <c r="E20557">
        <f>1/110</f>
        <v>9.0909090909090905E-3</v>
      </c>
      <c r="F20557">
        <v>2</v>
      </c>
      <c r="G20557">
        <f>LOG(382/(2+1))</f>
        <v>2.1049421081920463</v>
      </c>
      <c r="H20557">
        <f>0.00909090909090909*4.84680831993846</f>
        <v>4.4061893817622363E-2</v>
      </c>
      <c r="I20557">
        <v>4.4061893817622412E-2</v>
      </c>
    </row>
    <row r="20558" spans="1:9" x14ac:dyDescent="0.25">
      <c r="A20558">
        <v>605</v>
      </c>
      <c r="B20558" t="s">
        <v>4834</v>
      </c>
      <c r="C20558" t="s">
        <v>10</v>
      </c>
      <c r="D20558" t="s">
        <v>11</v>
      </c>
      <c r="E20558">
        <f t="shared" ref="E20558:E20571" si="982">1/53</f>
        <v>1.8867924528301886E-2</v>
      </c>
      <c r="F20558">
        <v>83</v>
      </c>
      <c r="G20558">
        <f>LOG(382/(83+1))</f>
        <v>0.65778407684982709</v>
      </c>
      <c r="H20558">
        <f>0.0188679245283018*1.51460380976326</f>
        <v>2.8577430372891566E-2</v>
      </c>
      <c r="I20558">
        <v>2.8577430372891729E-2</v>
      </c>
    </row>
    <row r="20559" spans="1:9" x14ac:dyDescent="0.25">
      <c r="A20559">
        <v>605</v>
      </c>
      <c r="B20559" t="s">
        <v>4834</v>
      </c>
      <c r="C20559" t="s">
        <v>10</v>
      </c>
      <c r="D20559" t="s">
        <v>12</v>
      </c>
      <c r="E20559">
        <f t="shared" si="982"/>
        <v>1.8867924528301886E-2</v>
      </c>
      <c r="F20559">
        <v>28</v>
      </c>
      <c r="G20559">
        <f>LOG(382/(28+1))</f>
        <v>1.1196653650127526</v>
      </c>
      <c r="H20559">
        <f>0.0188679245283018*2.5781247786201</f>
        <v>4.8643863747548831E-2</v>
      </c>
      <c r="I20559">
        <v>4.8643863747549067E-2</v>
      </c>
    </row>
    <row r="20560" spans="1:9" x14ac:dyDescent="0.25">
      <c r="A20560">
        <v>605</v>
      </c>
      <c r="B20560" t="s">
        <v>4834</v>
      </c>
      <c r="C20560" t="s">
        <v>10</v>
      </c>
      <c r="D20560" t="s">
        <v>1063</v>
      </c>
      <c r="E20560">
        <f t="shared" si="982"/>
        <v>1.8867924528301886E-2</v>
      </c>
      <c r="F20560">
        <v>3</v>
      </c>
      <c r="G20560">
        <f>LOG(382/(3+1))</f>
        <v>1.9800033715837464</v>
      </c>
      <c r="H20560">
        <f>0.0188679245283018*4.55912624748668</f>
        <v>8.6021249952578469E-2</v>
      </c>
      <c r="I20560">
        <v>8.6021249952578954E-2</v>
      </c>
    </row>
    <row r="20561" spans="1:9" x14ac:dyDescent="0.25">
      <c r="A20561">
        <v>605</v>
      </c>
      <c r="B20561" t="s">
        <v>4834</v>
      </c>
      <c r="C20561" t="s">
        <v>10</v>
      </c>
      <c r="D20561" t="s">
        <v>42</v>
      </c>
      <c r="E20561">
        <f t="shared" si="982"/>
        <v>1.8867924528301886E-2</v>
      </c>
      <c r="F20561">
        <v>251</v>
      </c>
      <c r="G20561">
        <f>LOG(382/(251+1))</f>
        <v>0.18066282213016463</v>
      </c>
      <c r="H20561">
        <f>0.0188679245283018*0.415991521095151</f>
        <v>7.8488966244367742E-3</v>
      </c>
      <c r="I20561">
        <v>7.8488966244368279E-3</v>
      </c>
    </row>
    <row r="20562" spans="1:9" x14ac:dyDescent="0.25">
      <c r="A20562">
        <v>605</v>
      </c>
      <c r="B20562" t="s">
        <v>4834</v>
      </c>
      <c r="C20562" t="s">
        <v>10</v>
      </c>
      <c r="D20562" t="s">
        <v>15</v>
      </c>
      <c r="E20562">
        <f t="shared" si="982"/>
        <v>1.8867924528301886E-2</v>
      </c>
      <c r="F20562">
        <v>112</v>
      </c>
      <c r="G20562">
        <f>LOG(382/(112+1))</f>
        <v>0.52898491942828896</v>
      </c>
      <c r="H20562">
        <f>0.0188679245283018*1.21803278989423</f>
        <v>2.2981750752721214E-2</v>
      </c>
      <c r="I20562">
        <v>2.2981750752721412E-2</v>
      </c>
    </row>
    <row r="20563" spans="1:9" x14ac:dyDescent="0.25">
      <c r="A20563">
        <v>605</v>
      </c>
      <c r="B20563" t="s">
        <v>4834</v>
      </c>
      <c r="C20563" t="s">
        <v>10</v>
      </c>
      <c r="D20563" t="s">
        <v>1426</v>
      </c>
      <c r="E20563">
        <f t="shared" si="982"/>
        <v>1.8867924528301886E-2</v>
      </c>
      <c r="F20563">
        <v>3</v>
      </c>
      <c r="G20563">
        <f>LOG(382/(3+1))</f>
        <v>1.9800033715837464</v>
      </c>
      <c r="H20563">
        <f>0.0188679245283018*4.55912624748668</f>
        <v>8.6021249952578469E-2</v>
      </c>
      <c r="I20563">
        <v>8.6021249952578954E-2</v>
      </c>
    </row>
    <row r="20564" spans="1:9" x14ac:dyDescent="0.25">
      <c r="A20564">
        <v>605</v>
      </c>
      <c r="B20564" t="s">
        <v>4834</v>
      </c>
      <c r="C20564" t="s">
        <v>10</v>
      </c>
      <c r="D20564" t="s">
        <v>17</v>
      </c>
      <c r="E20564">
        <f t="shared" si="982"/>
        <v>1.8867924528301886E-2</v>
      </c>
      <c r="F20564">
        <v>169</v>
      </c>
      <c r="G20564">
        <f>LOG(382/(169+1))</f>
        <v>0.3516144415334348</v>
      </c>
      <c r="H20564">
        <f>0.0188679245283018*0.809622171556313</f>
        <v>1.5275890029364326E-2</v>
      </c>
      <c r="I20564">
        <v>1.52758900293644E-2</v>
      </c>
    </row>
    <row r="20565" spans="1:9" x14ac:dyDescent="0.25">
      <c r="A20565">
        <v>605</v>
      </c>
      <c r="B20565" t="s">
        <v>4834</v>
      </c>
      <c r="C20565" t="s">
        <v>10</v>
      </c>
      <c r="D20565" t="s">
        <v>1064</v>
      </c>
      <c r="E20565">
        <f t="shared" si="982"/>
        <v>1.8867924528301886E-2</v>
      </c>
      <c r="F20565">
        <v>7</v>
      </c>
      <c r="G20565">
        <f>LOG(382/(7+1))</f>
        <v>1.6789733759197651</v>
      </c>
      <c r="H20565">
        <f>0.0188679245283018*3.86597906692673</f>
        <v>7.2943001262768162E-2</v>
      </c>
      <c r="I20565">
        <v>7.2943001262768661E-2</v>
      </c>
    </row>
    <row r="20566" spans="1:9" x14ac:dyDescent="0.25">
      <c r="A20566">
        <v>605</v>
      </c>
      <c r="B20566" t="s">
        <v>4834</v>
      </c>
      <c r="C20566" t="s">
        <v>10</v>
      </c>
      <c r="D20566" t="s">
        <v>19</v>
      </c>
      <c r="E20566">
        <f t="shared" si="982"/>
        <v>1.8867924528301886E-2</v>
      </c>
      <c r="F20566">
        <v>220</v>
      </c>
      <c r="G20566">
        <f>LOG(382/(220+1))</f>
        <v>0.23767108922659805</v>
      </c>
      <c r="H20566">
        <f>0.0188679245283018*0.547257907088822</f>
        <v>1.0325620888468293E-2</v>
      </c>
      <c r="I20566">
        <v>1.032562088846835E-2</v>
      </c>
    </row>
    <row r="20567" spans="1:9" x14ac:dyDescent="0.25">
      <c r="A20567">
        <v>605</v>
      </c>
      <c r="B20567" t="s">
        <v>4834</v>
      </c>
      <c r="C20567" t="s">
        <v>10</v>
      </c>
      <c r="D20567" t="s">
        <v>808</v>
      </c>
      <c r="E20567">
        <f t="shared" si="982"/>
        <v>1.8867924528301886E-2</v>
      </c>
      <c r="F20567">
        <v>20</v>
      </c>
      <c r="G20567">
        <f>LOG(382/(20+1))</f>
        <v>1.2598440681777894</v>
      </c>
      <c r="H20567">
        <f>0.0188679245283018*2.90089817088315</f>
        <v>5.4733927752512013E-2</v>
      </c>
      <c r="I20567">
        <v>5.4733927752512297E-2</v>
      </c>
    </row>
    <row r="20568" spans="1:9" x14ac:dyDescent="0.25">
      <c r="A20568">
        <v>605</v>
      </c>
      <c r="B20568" t="s">
        <v>4834</v>
      </c>
      <c r="C20568" t="s">
        <v>10</v>
      </c>
      <c r="D20568" t="s">
        <v>809</v>
      </c>
      <c r="E20568">
        <f t="shared" si="982"/>
        <v>1.8867924528301886E-2</v>
      </c>
      <c r="F20568">
        <v>19</v>
      </c>
      <c r="G20568">
        <f>LOG(382/(19+1))</f>
        <v>1.2810333672477277</v>
      </c>
      <c r="H20568">
        <f>0.0188679245283018*2.94968833505258</f>
        <v>5.5654496887784267E-2</v>
      </c>
      <c r="I20568">
        <v>5.5654496887784607E-2</v>
      </c>
    </row>
    <row r="20569" spans="1:9" x14ac:dyDescent="0.25">
      <c r="A20569">
        <v>605</v>
      </c>
      <c r="B20569" t="s">
        <v>4834</v>
      </c>
      <c r="C20569" t="s">
        <v>10</v>
      </c>
      <c r="D20569" t="s">
        <v>22</v>
      </c>
      <c r="E20569">
        <f t="shared" si="982"/>
        <v>1.8867924528301886E-2</v>
      </c>
      <c r="F20569">
        <v>259</v>
      </c>
      <c r="G20569">
        <f>LOG(382/(259+1))</f>
        <v>0.16709001494089079</v>
      </c>
      <c r="H20569">
        <f>0.0188679245283018*0.384738977591047</f>
        <v>7.2592259922838725E-3</v>
      </c>
      <c r="I20569">
        <v>7.259225992283915E-3</v>
      </c>
    </row>
    <row r="20570" spans="1:9" x14ac:dyDescent="0.25">
      <c r="A20570">
        <v>605</v>
      </c>
      <c r="B20570" t="s">
        <v>4834</v>
      </c>
      <c r="C20570" t="s">
        <v>10</v>
      </c>
      <c r="D20570" t="s">
        <v>23</v>
      </c>
      <c r="E20570">
        <f t="shared" si="982"/>
        <v>1.8867924528301886E-2</v>
      </c>
      <c r="F20570">
        <v>275</v>
      </c>
      <c r="G20570">
        <f>LOG(382/(275+1))</f>
        <v>0.14115428084649101</v>
      </c>
      <c r="H20570">
        <f>0.0188679245283018*0.325019742889425</f>
        <v>6.1324479790457256E-3</v>
      </c>
      <c r="I20570">
        <v>6.1324479790457569E-3</v>
      </c>
    </row>
    <row r="20571" spans="1:9" x14ac:dyDescent="0.25">
      <c r="A20571">
        <v>605</v>
      </c>
      <c r="B20571" t="s">
        <v>4834</v>
      </c>
      <c r="C20571" t="s">
        <v>10</v>
      </c>
      <c r="D20571" t="s">
        <v>247</v>
      </c>
      <c r="E20571">
        <f t="shared" si="982"/>
        <v>1.8867924528301886E-2</v>
      </c>
      <c r="F20571">
        <v>121</v>
      </c>
      <c r="G20571">
        <f>LOG(382/(121+1))</f>
        <v>0.49570353223696051</v>
      </c>
      <c r="H20571">
        <f>0.0188679245283018*1.14139956387331</f>
        <v>2.1535840827798206E-2</v>
      </c>
      <c r="I20571">
        <v>2.1535840827798469E-2</v>
      </c>
    </row>
    <row r="20572" spans="1:9" x14ac:dyDescent="0.25">
      <c r="A20572">
        <v>605</v>
      </c>
      <c r="B20572" t="s">
        <v>4834</v>
      </c>
      <c r="C20572" t="s">
        <v>10</v>
      </c>
      <c r="D20572" t="s">
        <v>39</v>
      </c>
      <c r="E20572">
        <f>2/53</f>
        <v>3.7735849056603772E-2</v>
      </c>
      <c r="F20572">
        <v>145</v>
      </c>
      <c r="G20572">
        <f>LOG(382/(145+1))</f>
        <v>0.41771050712727159</v>
      </c>
      <c r="H20572">
        <f>0.0377358490566037*0.961813986898238</f>
        <v>3.629486743012212E-2</v>
      </c>
      <c r="I20572">
        <v>3.6294867430122217E-2</v>
      </c>
    </row>
    <row r="20573" spans="1:9" x14ac:dyDescent="0.25">
      <c r="A20573">
        <v>605</v>
      </c>
      <c r="B20573" t="s">
        <v>4834</v>
      </c>
      <c r="C20573" t="s">
        <v>10</v>
      </c>
      <c r="D20573" t="s">
        <v>204</v>
      </c>
      <c r="E20573">
        <f>1/53</f>
        <v>1.8867924528301886E-2</v>
      </c>
      <c r="F20573">
        <v>166</v>
      </c>
      <c r="G20573">
        <f>LOG(382/(166+1))</f>
        <v>0.35934689176412549</v>
      </c>
      <c r="H20573">
        <f>0.0188679245283018*0.82742679618982</f>
        <v>1.5611826343204079E-2</v>
      </c>
      <c r="I20573">
        <v>1.561182634320415E-2</v>
      </c>
    </row>
    <row r="20574" spans="1:9" x14ac:dyDescent="0.25">
      <c r="A20574">
        <v>605</v>
      </c>
      <c r="B20574" t="s">
        <v>4834</v>
      </c>
      <c r="C20574" t="s">
        <v>10</v>
      </c>
      <c r="D20574" t="s">
        <v>76</v>
      </c>
      <c r="E20574">
        <f>1/53</f>
        <v>1.8867924528301886E-2</v>
      </c>
      <c r="F20574">
        <v>140</v>
      </c>
      <c r="G20574">
        <f>LOG(382/(140+1))</f>
        <v>0.43284425025632883</v>
      </c>
      <c r="H20574">
        <f>0.0188679245283018*0.996660718228407</f>
        <v>1.8804919211856647E-2</v>
      </c>
      <c r="I20574">
        <v>1.880491921185673E-2</v>
      </c>
    </row>
    <row r="20575" spans="1:9" x14ac:dyDescent="0.25">
      <c r="A20575">
        <v>605</v>
      </c>
      <c r="B20575" t="s">
        <v>4834</v>
      </c>
      <c r="C20575" t="s">
        <v>10</v>
      </c>
      <c r="D20575" t="s">
        <v>331</v>
      </c>
      <c r="E20575">
        <f>5/53</f>
        <v>9.4339622641509441E-2</v>
      </c>
      <c r="F20575">
        <v>130</v>
      </c>
      <c r="G20575">
        <f>LOG(382/(130+1))</f>
        <v>0.46479206725594452</v>
      </c>
      <c r="H20575">
        <f>0.0943396226415094*1.07022328540542</f>
        <v>0.10096446088730375</v>
      </c>
      <c r="I20575">
        <v>0.1009644608873041</v>
      </c>
    </row>
    <row r="20576" spans="1:9" x14ac:dyDescent="0.25">
      <c r="A20576">
        <v>605</v>
      </c>
      <c r="B20576" t="s">
        <v>4834</v>
      </c>
      <c r="C20576" t="s">
        <v>10</v>
      </c>
      <c r="D20576" t="s">
        <v>752</v>
      </c>
      <c r="E20576">
        <f>1/53</f>
        <v>1.8867924528301886E-2</v>
      </c>
      <c r="F20576">
        <v>34</v>
      </c>
      <c r="G20576">
        <f>LOG(382/(34+1))</f>
        <v>1.037995318561433</v>
      </c>
      <c r="H20576">
        <f>0.0188679245283018*2.39007254711716</f>
        <v>4.5095708436172624E-2</v>
      </c>
      <c r="I20576">
        <v>4.5095708436172853E-2</v>
      </c>
    </row>
    <row r="20577" spans="1:9" x14ac:dyDescent="0.25">
      <c r="A20577">
        <v>605</v>
      </c>
      <c r="B20577" t="s">
        <v>4834</v>
      </c>
      <c r="C20577" t="s">
        <v>10</v>
      </c>
      <c r="D20577" t="s">
        <v>1532</v>
      </c>
      <c r="E20577">
        <f>3/53</f>
        <v>5.6603773584905662E-2</v>
      </c>
      <c r="F20577">
        <v>28</v>
      </c>
      <c r="G20577">
        <f>LOG(382/(28+1))</f>
        <v>1.1196653650127526</v>
      </c>
      <c r="H20577">
        <f>0.0566037735849056*2.5781247786201</f>
        <v>0.14593159124264701</v>
      </c>
      <c r="I20577">
        <v>0.14593159124264721</v>
      </c>
    </row>
    <row r="20578" spans="1:9" x14ac:dyDescent="0.25">
      <c r="A20578">
        <v>605</v>
      </c>
      <c r="B20578" t="s">
        <v>4834</v>
      </c>
      <c r="C20578" t="s">
        <v>10</v>
      </c>
      <c r="D20578" t="s">
        <v>233</v>
      </c>
      <c r="E20578">
        <f>3/53</f>
        <v>5.6603773584905662E-2</v>
      </c>
      <c r="F20578">
        <v>14</v>
      </c>
      <c r="G20578">
        <f>LOG(382/(14+1))</f>
        <v>1.4059721038560276</v>
      </c>
      <c r="H20578">
        <f>0.0566037735849056*3.23737040750436</f>
        <v>0.18324738155685036</v>
      </c>
      <c r="I20578">
        <v>0.18324738155685091</v>
      </c>
    </row>
    <row r="20579" spans="1:9" x14ac:dyDescent="0.25">
      <c r="A20579">
        <v>605</v>
      </c>
      <c r="B20579" t="s">
        <v>4834</v>
      </c>
      <c r="C20579" t="s">
        <v>10</v>
      </c>
      <c r="D20579" t="s">
        <v>485</v>
      </c>
      <c r="E20579">
        <f>2/53</f>
        <v>3.7735849056603772E-2</v>
      </c>
      <c r="F20579">
        <v>74</v>
      </c>
      <c r="G20579">
        <f>LOG(382/(74+1))</f>
        <v>0.7070020995200087</v>
      </c>
      <c r="H20579">
        <f>0.0377358490566037*1.62793249507026</f>
        <v>6.1431414908311582E-2</v>
      </c>
      <c r="I20579">
        <v>6.1431414908311867E-2</v>
      </c>
    </row>
    <row r="20580" spans="1:9" x14ac:dyDescent="0.25">
      <c r="A20580">
        <v>605</v>
      </c>
      <c r="B20580" t="s">
        <v>4834</v>
      </c>
      <c r="C20580" t="s">
        <v>10</v>
      </c>
      <c r="D20580" t="s">
        <v>327</v>
      </c>
      <c r="E20580">
        <f>2/53</f>
        <v>3.7735849056603772E-2</v>
      </c>
      <c r="F20580">
        <v>46</v>
      </c>
      <c r="G20580">
        <f>LOG(382/(46+1))</f>
        <v>0.90996550497599127</v>
      </c>
      <c r="H20580">
        <f>0.0377358490566037*2.09527300689651</f>
        <v>7.9066905920622876E-2</v>
      </c>
      <c r="I20580">
        <v>7.9066905920623251E-2</v>
      </c>
    </row>
    <row r="20581" spans="1:9" x14ac:dyDescent="0.25">
      <c r="A20581">
        <v>605</v>
      </c>
      <c r="B20581" t="s">
        <v>4834</v>
      </c>
      <c r="C20581" t="s">
        <v>10</v>
      </c>
      <c r="D20581" t="s">
        <v>1533</v>
      </c>
      <c r="E20581">
        <f>2/53</f>
        <v>3.7735849056603772E-2</v>
      </c>
      <c r="F20581">
        <v>33</v>
      </c>
      <c r="G20581">
        <f>LOG(382/(33+1))</f>
        <v>1.0505844458694535</v>
      </c>
      <c r="H20581">
        <f>0.0377358490566037*2.41906008399041</f>
        <v>9.1285286188317188E-2</v>
      </c>
      <c r="I20581">
        <v>9.1285286188317494E-2</v>
      </c>
    </row>
    <row r="20582" spans="1:9" x14ac:dyDescent="0.25">
      <c r="A20582">
        <v>605</v>
      </c>
      <c r="B20582" t="s">
        <v>4834</v>
      </c>
      <c r="C20582" t="s">
        <v>10</v>
      </c>
      <c r="D20582" t="s">
        <v>133</v>
      </c>
      <c r="E20582">
        <f>3/53</f>
        <v>5.6603773584905662E-2</v>
      </c>
      <c r="F20582">
        <v>142</v>
      </c>
      <c r="G20582">
        <f>LOG(382/(142+1))</f>
        <v>0.42672732544664693</v>
      </c>
      <c r="H20582">
        <f>0.0566037735849056*0.982575978346667</f>
        <v>5.5617508208301844E-2</v>
      </c>
      <c r="I20582">
        <v>5.5617508208301962E-2</v>
      </c>
    </row>
    <row r="20583" spans="1:9" x14ac:dyDescent="0.25">
      <c r="A20583">
        <v>605</v>
      </c>
      <c r="B20583" t="s">
        <v>4834</v>
      </c>
      <c r="C20583" t="s">
        <v>10</v>
      </c>
      <c r="D20583" t="s">
        <v>77</v>
      </c>
      <c r="E20583">
        <f>2/53</f>
        <v>3.7735849056603772E-2</v>
      </c>
      <c r="F20583">
        <v>148</v>
      </c>
      <c r="G20583">
        <f>LOG(382/(148+1))</f>
        <v>0.40887709449943471</v>
      </c>
      <c r="H20583">
        <f>0.0377358490566037*0.941474302661116</f>
        <v>3.5527332175891102E-2</v>
      </c>
      <c r="I20583">
        <v>3.5527332175891171E-2</v>
      </c>
    </row>
    <row r="20584" spans="1:9" x14ac:dyDescent="0.25">
      <c r="A20584">
        <v>605</v>
      </c>
      <c r="B20584" t="s">
        <v>4834</v>
      </c>
      <c r="C20584" t="s">
        <v>10</v>
      </c>
      <c r="D20584" t="s">
        <v>322</v>
      </c>
      <c r="E20584">
        <f t="shared" ref="E20584:E20595" si="983">1/53</f>
        <v>1.8867924528301886E-2</v>
      </c>
      <c r="F20584">
        <v>128</v>
      </c>
      <c r="G20584">
        <f>LOG(382/(128+1))</f>
        <v>0.47147365261245977</v>
      </c>
      <c r="H20584">
        <f>0.0188679245283018*1.0856082042449</f>
        <v>2.0483173664998019E-2</v>
      </c>
      <c r="I20584">
        <v>2.0483173664998171E-2</v>
      </c>
    </row>
    <row r="20585" spans="1:9" x14ac:dyDescent="0.25">
      <c r="A20585">
        <v>605</v>
      </c>
      <c r="B20585" t="s">
        <v>4834</v>
      </c>
      <c r="C20585" t="s">
        <v>10</v>
      </c>
      <c r="D20585" t="s">
        <v>123</v>
      </c>
      <c r="E20585">
        <f t="shared" si="983"/>
        <v>1.8867924528301886E-2</v>
      </c>
      <c r="F20585">
        <v>74</v>
      </c>
      <c r="G20585">
        <f>LOG(382/(74+1))</f>
        <v>0.7070020995200087</v>
      </c>
      <c r="H20585">
        <f>0.0188679245283018*1.62793249507026</f>
        <v>3.0715707454155708E-2</v>
      </c>
      <c r="I20585">
        <v>3.071570745415594E-2</v>
      </c>
    </row>
    <row r="20586" spans="1:9" x14ac:dyDescent="0.25">
      <c r="A20586">
        <v>605</v>
      </c>
      <c r="B20586" t="s">
        <v>4834</v>
      </c>
      <c r="C20586" t="s">
        <v>10</v>
      </c>
      <c r="D20586" t="s">
        <v>1377</v>
      </c>
      <c r="E20586">
        <f t="shared" si="983"/>
        <v>1.8867924528301886E-2</v>
      </c>
      <c r="F20586">
        <v>5</v>
      </c>
      <c r="G20586">
        <f>LOG(382/(5+1))</f>
        <v>1.803912112528065</v>
      </c>
      <c r="H20586">
        <f>0.0188679245283018*4.15366113937852</f>
        <v>7.837096489393397E-2</v>
      </c>
      <c r="I20586">
        <v>7.8370964893934331E-2</v>
      </c>
    </row>
    <row r="20587" spans="1:9" x14ac:dyDescent="0.25">
      <c r="A20587">
        <v>605</v>
      </c>
      <c r="B20587" t="s">
        <v>4834</v>
      </c>
      <c r="C20587" t="s">
        <v>10</v>
      </c>
      <c r="D20587" t="s">
        <v>237</v>
      </c>
      <c r="E20587">
        <f t="shared" si="983"/>
        <v>1.8867924528301886E-2</v>
      </c>
      <c r="F20587">
        <v>138</v>
      </c>
      <c r="G20587">
        <f>LOG(382/(138+1))</f>
        <v>0.43904856265761361</v>
      </c>
      <c r="H20587">
        <f>0.0188679245283018*1.01094667547588</f>
        <v>1.9074465575016516E-2</v>
      </c>
      <c r="I20587">
        <v>1.9074465575016668E-2</v>
      </c>
    </row>
    <row r="20588" spans="1:9" x14ac:dyDescent="0.25">
      <c r="A20588">
        <v>605</v>
      </c>
      <c r="B20588" t="s">
        <v>4834</v>
      </c>
      <c r="C20588" t="s">
        <v>10</v>
      </c>
      <c r="D20588" t="s">
        <v>78</v>
      </c>
      <c r="E20588">
        <f t="shared" si="983"/>
        <v>1.8867924528301886E-2</v>
      </c>
      <c r="F20588">
        <v>122</v>
      </c>
      <c r="G20588">
        <f>LOG(382/(122+1))</f>
        <v>0.49215825147231079</v>
      </c>
      <c r="H20588">
        <f>0.0188679245283018*1.13323625323415</f>
        <v>2.1381816098757448E-2</v>
      </c>
      <c r="I20588">
        <v>2.1381816098757691E-2</v>
      </c>
    </row>
    <row r="20589" spans="1:9" x14ac:dyDescent="0.25">
      <c r="A20589">
        <v>605</v>
      </c>
      <c r="B20589" t="s">
        <v>4834</v>
      </c>
      <c r="C20589" t="s">
        <v>10</v>
      </c>
      <c r="D20589" t="s">
        <v>483</v>
      </c>
      <c r="E20589">
        <f t="shared" si="983"/>
        <v>1.8867924528301886E-2</v>
      </c>
      <c r="F20589">
        <v>61</v>
      </c>
      <c r="G20589">
        <f>LOG(382/(61+1))</f>
        <v>0.7896716734134549</v>
      </c>
      <c r="H20589">
        <f>0.0188679245283018*1.81828622356148</f>
        <v>3.4307287237008897E-2</v>
      </c>
      <c r="I20589">
        <v>3.4307287237009133E-2</v>
      </c>
    </row>
    <row r="20590" spans="1:9" x14ac:dyDescent="0.25">
      <c r="A20590">
        <v>605</v>
      </c>
      <c r="B20590" t="s">
        <v>4834</v>
      </c>
      <c r="C20590" t="s">
        <v>10</v>
      </c>
      <c r="D20590" t="s">
        <v>1098</v>
      </c>
      <c r="E20590">
        <f t="shared" si="983"/>
        <v>1.8867924528301886E-2</v>
      </c>
      <c r="F20590">
        <v>19</v>
      </c>
      <c r="G20590">
        <f>LOG(382/(19+1))</f>
        <v>1.2810333672477277</v>
      </c>
      <c r="H20590">
        <f>0.0188679245283018*2.94968833505258</f>
        <v>5.5654496887784267E-2</v>
      </c>
      <c r="I20590">
        <v>5.5654496887784607E-2</v>
      </c>
    </row>
    <row r="20591" spans="1:9" x14ac:dyDescent="0.25">
      <c r="A20591">
        <v>605</v>
      </c>
      <c r="B20591" t="s">
        <v>4834</v>
      </c>
      <c r="C20591" t="s">
        <v>10</v>
      </c>
      <c r="D20591" t="s">
        <v>1709</v>
      </c>
      <c r="E20591">
        <f t="shared" si="983"/>
        <v>1.8867924528301886E-2</v>
      </c>
      <c r="F20591">
        <v>21</v>
      </c>
      <c r="G20591">
        <f>LOG(382/(21+1))</f>
        <v>1.2396406820895025</v>
      </c>
      <c r="H20591">
        <f>0.0188679245283018*2.85437815524825</f>
        <v>5.3856191608457296E-2</v>
      </c>
      <c r="I20591">
        <v>5.3856191608457719E-2</v>
      </c>
    </row>
    <row r="20592" spans="1:9" x14ac:dyDescent="0.25">
      <c r="A20592">
        <v>605</v>
      </c>
      <c r="B20592" t="s">
        <v>4834</v>
      </c>
      <c r="C20592" t="s">
        <v>10</v>
      </c>
      <c r="D20592" t="s">
        <v>936</v>
      </c>
      <c r="E20592">
        <f t="shared" si="983"/>
        <v>1.8867924528301886E-2</v>
      </c>
      <c r="F20592">
        <v>21</v>
      </c>
      <c r="G20592">
        <f>LOG(382/(21+1))</f>
        <v>1.2396406820895025</v>
      </c>
      <c r="H20592">
        <f>0.0188679245283018*2.85437815524825</f>
        <v>5.3856191608457296E-2</v>
      </c>
      <c r="I20592">
        <v>5.3856191608457719E-2</v>
      </c>
    </row>
    <row r="20593" spans="1:9" x14ac:dyDescent="0.25">
      <c r="A20593">
        <v>605</v>
      </c>
      <c r="B20593" t="s">
        <v>4834</v>
      </c>
      <c r="C20593" t="s">
        <v>10</v>
      </c>
      <c r="D20593" t="s">
        <v>79</v>
      </c>
      <c r="E20593">
        <f t="shared" si="983"/>
        <v>1.8867924528301886E-2</v>
      </c>
      <c r="F20593">
        <v>26</v>
      </c>
      <c r="G20593">
        <f>LOG(382/(26+1))</f>
        <v>1.1506995987527215</v>
      </c>
      <c r="H20593">
        <f>0.0188679245283018*2.64958374260224</f>
        <v>4.9992146086834485E-2</v>
      </c>
      <c r="I20593">
        <v>4.9992146086834832E-2</v>
      </c>
    </row>
    <row r="20594" spans="1:9" x14ac:dyDescent="0.25">
      <c r="A20594">
        <v>605</v>
      </c>
      <c r="B20594" t="s">
        <v>4834</v>
      </c>
      <c r="C20594" t="s">
        <v>10</v>
      </c>
      <c r="D20594" t="s">
        <v>994</v>
      </c>
      <c r="E20594">
        <f t="shared" si="983"/>
        <v>1.8867924528301886E-2</v>
      </c>
      <c r="F20594">
        <v>37</v>
      </c>
      <c r="G20594">
        <f>LOG(382/(37+1))</f>
        <v>1.0022797662948986</v>
      </c>
      <c r="H20594">
        <f>0.0188679245283018*2.30783444888018</f>
        <v>4.3544046205286208E-2</v>
      </c>
      <c r="I20594">
        <v>4.3544046205286589E-2</v>
      </c>
    </row>
    <row r="20595" spans="1:9" x14ac:dyDescent="0.25">
      <c r="A20595">
        <v>605</v>
      </c>
      <c r="B20595" t="s">
        <v>4834</v>
      </c>
      <c r="C20595" t="s">
        <v>10</v>
      </c>
      <c r="D20595" t="s">
        <v>1085</v>
      </c>
      <c r="E20595">
        <f t="shared" si="983"/>
        <v>1.8867924528301886E-2</v>
      </c>
      <c r="F20595">
        <v>16</v>
      </c>
      <c r="G20595">
        <f>LOG(382/(16+1))</f>
        <v>1.3516144415334348</v>
      </c>
      <c r="H20595">
        <f>0.0188679245283018*3.11220726455035</f>
        <v>5.8720891783968589E-2</v>
      </c>
      <c r="I20595">
        <v>5.872089178396904E-2</v>
      </c>
    </row>
    <row r="20596" spans="1:9" x14ac:dyDescent="0.25">
      <c r="A20596">
        <v>606</v>
      </c>
      <c r="B20596" t="s">
        <v>4835</v>
      </c>
      <c r="C20596" t="s">
        <v>10</v>
      </c>
      <c r="D20596" t="s">
        <v>111</v>
      </c>
      <c r="E20596">
        <f>1/29</f>
        <v>3.4482758620689655E-2</v>
      </c>
      <c r="F20596">
        <v>33</v>
      </c>
      <c r="G20596">
        <f>LOG(382/(33+1))</f>
        <v>1.0505844458694535</v>
      </c>
      <c r="H20596">
        <f>0.0344827586206896*2.41906008399041</f>
        <v>8.3415864965186423E-2</v>
      </c>
      <c r="I20596">
        <v>8.3415864965186673E-2</v>
      </c>
    </row>
    <row r="20597" spans="1:9" x14ac:dyDescent="0.25">
      <c r="A20597">
        <v>606</v>
      </c>
      <c r="B20597" t="s">
        <v>4835</v>
      </c>
      <c r="C20597" t="s">
        <v>10</v>
      </c>
      <c r="D20597" t="s">
        <v>1088</v>
      </c>
      <c r="E20597">
        <f>1/29</f>
        <v>3.4482758620689655E-2</v>
      </c>
      <c r="F20597">
        <v>4</v>
      </c>
      <c r="G20597">
        <f>LOG(382/(4+1))</f>
        <v>1.8830933585756899</v>
      </c>
      <c r="H20597">
        <f>0.0344827586206896*4.33598269617247</f>
        <v>0.14951664469560219</v>
      </c>
      <c r="I20597">
        <v>0.14951664469560261</v>
      </c>
    </row>
    <row r="20598" spans="1:9" x14ac:dyDescent="0.25">
      <c r="A20598">
        <v>606</v>
      </c>
      <c r="B20598" t="s">
        <v>4835</v>
      </c>
      <c r="C20598" t="s">
        <v>10</v>
      </c>
      <c r="D20598" t="s">
        <v>247</v>
      </c>
      <c r="E20598">
        <f>1/29</f>
        <v>3.4482758620689655E-2</v>
      </c>
      <c r="F20598">
        <v>121</v>
      </c>
      <c r="G20598">
        <f>LOG(382/(121+1))</f>
        <v>0.49570353223696051</v>
      </c>
      <c r="H20598">
        <f>0.0344827586206896*1.14139956387331</f>
        <v>3.9358605650803735E-2</v>
      </c>
      <c r="I20598">
        <v>3.9358605650804103E-2</v>
      </c>
    </row>
    <row r="20599" spans="1:9" x14ac:dyDescent="0.25">
      <c r="A20599">
        <v>606</v>
      </c>
      <c r="B20599" t="s">
        <v>4835</v>
      </c>
      <c r="C20599" t="s">
        <v>10</v>
      </c>
      <c r="D20599" t="s">
        <v>39</v>
      </c>
      <c r="E20599">
        <f>1/29</f>
        <v>3.4482758620689655E-2</v>
      </c>
      <c r="F20599">
        <v>145</v>
      </c>
      <c r="G20599">
        <f>LOG(382/(145+1))</f>
        <v>0.41771050712727159</v>
      </c>
      <c r="H20599">
        <f>0.0344827586206896*0.961813986898238</f>
        <v>3.3165999548215051E-2</v>
      </c>
      <c r="I20599">
        <v>3.3165999548215128E-2</v>
      </c>
    </row>
    <row r="20600" spans="1:9" x14ac:dyDescent="0.25">
      <c r="A20600">
        <v>606</v>
      </c>
      <c r="B20600" t="s">
        <v>4835</v>
      </c>
      <c r="C20600" t="s">
        <v>10</v>
      </c>
      <c r="D20600" t="s">
        <v>331</v>
      </c>
      <c r="E20600">
        <f>2/29</f>
        <v>6.8965517241379309E-2</v>
      </c>
      <c r="F20600">
        <v>130</v>
      </c>
      <c r="G20600">
        <f>LOG(382/(130+1))</f>
        <v>0.46479206725594452</v>
      </c>
      <c r="H20600">
        <f>0.0689655172413793*1.07022328540542</f>
        <v>7.380850244175309E-2</v>
      </c>
      <c r="I20600">
        <v>7.3808502441753354E-2</v>
      </c>
    </row>
    <row r="20601" spans="1:9" x14ac:dyDescent="0.25">
      <c r="A20601">
        <v>606</v>
      </c>
      <c r="B20601" t="s">
        <v>4835</v>
      </c>
      <c r="C20601" t="s">
        <v>10</v>
      </c>
      <c r="D20601" t="s">
        <v>42</v>
      </c>
      <c r="E20601">
        <f t="shared" ref="E20601:E20623" si="984">1/29</f>
        <v>3.4482758620689655E-2</v>
      </c>
      <c r="F20601">
        <v>251</v>
      </c>
      <c r="G20601">
        <f>LOG(382/(251+1))</f>
        <v>0.18066282213016463</v>
      </c>
      <c r="H20601">
        <f>0.0344827586206896*0.415991521095151</f>
        <v>1.4344535210177596E-2</v>
      </c>
      <c r="I20601">
        <v>1.434453521017765E-2</v>
      </c>
    </row>
    <row r="20602" spans="1:9" x14ac:dyDescent="0.25">
      <c r="A20602">
        <v>606</v>
      </c>
      <c r="B20602" t="s">
        <v>4835</v>
      </c>
      <c r="C20602" t="s">
        <v>10</v>
      </c>
      <c r="D20602" t="s">
        <v>17</v>
      </c>
      <c r="E20602">
        <f t="shared" si="984"/>
        <v>3.4482758620689655E-2</v>
      </c>
      <c r="F20602">
        <v>169</v>
      </c>
      <c r="G20602">
        <f>LOG(382/(169+1))</f>
        <v>0.3516144415334348</v>
      </c>
      <c r="H20602">
        <f>0.0344827586206896*0.809622171556313</f>
        <v>2.7918005915734886E-2</v>
      </c>
      <c r="I20602">
        <v>2.7918005915734949E-2</v>
      </c>
    </row>
    <row r="20603" spans="1:9" x14ac:dyDescent="0.25">
      <c r="A20603">
        <v>606</v>
      </c>
      <c r="B20603" t="s">
        <v>4835</v>
      </c>
      <c r="C20603" t="s">
        <v>10</v>
      </c>
      <c r="D20603" t="s">
        <v>2183</v>
      </c>
      <c r="E20603">
        <f t="shared" si="984"/>
        <v>3.4482758620689655E-2</v>
      </c>
      <c r="F20603">
        <v>4</v>
      </c>
      <c r="G20603">
        <f>LOG(382/(4+1))</f>
        <v>1.8830933585756899</v>
      </c>
      <c r="H20603">
        <f>0.0344827586206896*4.33598269617247</f>
        <v>0.14951664469560219</v>
      </c>
      <c r="I20603">
        <v>0.14951664469560261</v>
      </c>
    </row>
    <row r="20604" spans="1:9" x14ac:dyDescent="0.25">
      <c r="A20604">
        <v>606</v>
      </c>
      <c r="B20604" t="s">
        <v>4835</v>
      </c>
      <c r="C20604" t="s">
        <v>10</v>
      </c>
      <c r="D20604" t="s">
        <v>4633</v>
      </c>
      <c r="E20604">
        <f t="shared" si="984"/>
        <v>3.4482758620689655E-2</v>
      </c>
      <c r="F20604">
        <v>3</v>
      </c>
      <c r="G20604">
        <f>LOG(382/(3+1))</f>
        <v>1.9800033715837464</v>
      </c>
      <c r="H20604">
        <f>0.0344827586206896*4.55912624748668</f>
        <v>0.15721124991333355</v>
      </c>
      <c r="I20604">
        <v>0.15721124991333391</v>
      </c>
    </row>
    <row r="20605" spans="1:9" x14ac:dyDescent="0.25">
      <c r="A20605">
        <v>606</v>
      </c>
      <c r="B20605" t="s">
        <v>4835</v>
      </c>
      <c r="C20605" t="s">
        <v>10</v>
      </c>
      <c r="D20605" t="s">
        <v>19</v>
      </c>
      <c r="E20605">
        <f t="shared" si="984"/>
        <v>3.4482758620689655E-2</v>
      </c>
      <c r="F20605">
        <v>220</v>
      </c>
      <c r="G20605">
        <f>LOG(382/(220+1))</f>
        <v>0.23767108922659805</v>
      </c>
      <c r="H20605">
        <f>0.0344827586206896*0.547257907088822</f>
        <v>1.8870962313407628E-2</v>
      </c>
      <c r="I20605">
        <v>1.8870962313407669E-2</v>
      </c>
    </row>
    <row r="20606" spans="1:9" x14ac:dyDescent="0.25">
      <c r="A20606">
        <v>606</v>
      </c>
      <c r="B20606" t="s">
        <v>4835</v>
      </c>
      <c r="C20606" t="s">
        <v>10</v>
      </c>
      <c r="D20606" t="s">
        <v>808</v>
      </c>
      <c r="E20606">
        <f t="shared" si="984"/>
        <v>3.4482758620689655E-2</v>
      </c>
      <c r="F20606">
        <v>20</v>
      </c>
      <c r="G20606">
        <f>LOG(382/(20+1))</f>
        <v>1.2598440681777894</v>
      </c>
      <c r="H20606">
        <f>0.0344827586206896*2.90089817088315</f>
        <v>0.10003097140976364</v>
      </c>
      <c r="I20606">
        <v>0.1000309714097639</v>
      </c>
    </row>
    <row r="20607" spans="1:9" x14ac:dyDescent="0.25">
      <c r="A20607">
        <v>606</v>
      </c>
      <c r="B20607" t="s">
        <v>4835</v>
      </c>
      <c r="C20607" t="s">
        <v>10</v>
      </c>
      <c r="D20607" t="s">
        <v>809</v>
      </c>
      <c r="E20607">
        <f t="shared" si="984"/>
        <v>3.4482758620689655E-2</v>
      </c>
      <c r="F20607">
        <v>19</v>
      </c>
      <c r="G20607">
        <f>LOG(382/(19+1))</f>
        <v>1.2810333672477277</v>
      </c>
      <c r="H20607">
        <f>0.0344827586206896*2.94968833505258</f>
        <v>0.1017133908638819</v>
      </c>
      <c r="I20607">
        <v>0.1017133908638822</v>
      </c>
    </row>
    <row r="20608" spans="1:9" x14ac:dyDescent="0.25">
      <c r="A20608">
        <v>606</v>
      </c>
      <c r="B20608" t="s">
        <v>4835</v>
      </c>
      <c r="C20608" t="s">
        <v>10</v>
      </c>
      <c r="D20608" t="s">
        <v>22</v>
      </c>
      <c r="E20608">
        <f t="shared" si="984"/>
        <v>3.4482758620689655E-2</v>
      </c>
      <c r="F20608">
        <v>259</v>
      </c>
      <c r="G20608">
        <f>LOG(382/(259+1))</f>
        <v>0.16709001494089079</v>
      </c>
      <c r="H20608">
        <f>0.0344827586206896*0.384738977591047</f>
        <v>1.3266861296242979E-2</v>
      </c>
      <c r="I20608">
        <v>1.3266861296243019E-2</v>
      </c>
    </row>
    <row r="20609" spans="1:9" x14ac:dyDescent="0.25">
      <c r="A20609">
        <v>606</v>
      </c>
      <c r="B20609" t="s">
        <v>4835</v>
      </c>
      <c r="C20609" t="s">
        <v>10</v>
      </c>
      <c r="D20609" t="s">
        <v>23</v>
      </c>
      <c r="E20609">
        <f t="shared" si="984"/>
        <v>3.4482758620689655E-2</v>
      </c>
      <c r="F20609">
        <v>275</v>
      </c>
      <c r="G20609">
        <f>LOG(382/(275+1))</f>
        <v>0.14115428084649101</v>
      </c>
      <c r="H20609">
        <f>0.0344827586206896*0.325019742889425</f>
        <v>1.1207577341014636E-2</v>
      </c>
      <c r="I20609">
        <v>1.1207577341014661E-2</v>
      </c>
    </row>
    <row r="20610" spans="1:9" x14ac:dyDescent="0.25">
      <c r="A20610">
        <v>606</v>
      </c>
      <c r="B20610" t="s">
        <v>4835</v>
      </c>
      <c r="C20610" t="s">
        <v>10</v>
      </c>
      <c r="D20610" t="s">
        <v>204</v>
      </c>
      <c r="E20610">
        <f t="shared" si="984"/>
        <v>3.4482758620689655E-2</v>
      </c>
      <c r="F20610">
        <v>166</v>
      </c>
      <c r="G20610">
        <f>LOG(382/(166+1))</f>
        <v>0.35934689176412549</v>
      </c>
      <c r="H20610">
        <f>0.0344827586206896*0.82742679618982</f>
        <v>2.853195848930409E-2</v>
      </c>
      <c r="I20610">
        <v>2.8531958489304138E-2</v>
      </c>
    </row>
    <row r="20611" spans="1:9" x14ac:dyDescent="0.25">
      <c r="A20611">
        <v>606</v>
      </c>
      <c r="B20611" t="s">
        <v>4835</v>
      </c>
      <c r="C20611" t="s">
        <v>10</v>
      </c>
      <c r="D20611" t="s">
        <v>76</v>
      </c>
      <c r="E20611">
        <f t="shared" si="984"/>
        <v>3.4482758620689655E-2</v>
      </c>
      <c r="F20611">
        <v>140</v>
      </c>
      <c r="G20611">
        <f>LOG(382/(140+1))</f>
        <v>0.43284425025632883</v>
      </c>
      <c r="H20611">
        <f>0.0344827586206896*0.996660718228407</f>
        <v>3.4367610973393289E-2</v>
      </c>
      <c r="I20611">
        <v>3.4367610973393338E-2</v>
      </c>
    </row>
    <row r="20612" spans="1:9" x14ac:dyDescent="0.25">
      <c r="A20612">
        <v>606</v>
      </c>
      <c r="B20612" t="s">
        <v>4835</v>
      </c>
      <c r="C20612" t="s">
        <v>10</v>
      </c>
      <c r="D20612" t="s">
        <v>752</v>
      </c>
      <c r="E20612">
        <f t="shared" si="984"/>
        <v>3.4482758620689655E-2</v>
      </c>
      <c r="F20612">
        <v>34</v>
      </c>
      <c r="G20612">
        <f>LOG(382/(34+1))</f>
        <v>1.037995318561433</v>
      </c>
      <c r="H20612">
        <f>0.0344827586206896*2.39007254711716</f>
        <v>8.2416294728177797E-2</v>
      </c>
      <c r="I20612">
        <v>8.2416294728177977E-2</v>
      </c>
    </row>
    <row r="20613" spans="1:9" x14ac:dyDescent="0.25">
      <c r="A20613">
        <v>606</v>
      </c>
      <c r="B20613" t="s">
        <v>4835</v>
      </c>
      <c r="C20613" t="s">
        <v>10</v>
      </c>
      <c r="D20613" t="s">
        <v>36</v>
      </c>
      <c r="E20613">
        <f t="shared" si="984"/>
        <v>3.4482758620689655E-2</v>
      </c>
      <c r="F20613">
        <v>58</v>
      </c>
      <c r="G20613">
        <f>LOG(382/(58+1))</f>
        <v>0.81121135126956456</v>
      </c>
      <c r="H20613">
        <f>0.0344827586206896*1.86788316470085</f>
        <v>6.4409764300029204E-2</v>
      </c>
      <c r="I20613">
        <v>6.4409764300029496E-2</v>
      </c>
    </row>
    <row r="20614" spans="1:9" x14ac:dyDescent="0.25">
      <c r="A20614">
        <v>606</v>
      </c>
      <c r="B20614" t="s">
        <v>4835</v>
      </c>
      <c r="C20614" t="s">
        <v>10</v>
      </c>
      <c r="D20614" t="s">
        <v>161</v>
      </c>
      <c r="E20614">
        <f t="shared" si="984"/>
        <v>3.4482758620689655E-2</v>
      </c>
      <c r="F20614">
        <v>33</v>
      </c>
      <c r="G20614">
        <f>LOG(382/(33+1))</f>
        <v>1.0505844458694535</v>
      </c>
      <c r="H20614">
        <f>0.0344827586206896*2.41906008399041</f>
        <v>8.3415864965186423E-2</v>
      </c>
      <c r="I20614">
        <v>8.3415864965186673E-2</v>
      </c>
    </row>
    <row r="20615" spans="1:9" x14ac:dyDescent="0.25">
      <c r="A20615">
        <v>606</v>
      </c>
      <c r="B20615" t="s">
        <v>4835</v>
      </c>
      <c r="C20615" t="s">
        <v>10</v>
      </c>
      <c r="D20615" t="s">
        <v>936</v>
      </c>
      <c r="E20615">
        <f t="shared" si="984"/>
        <v>3.4482758620689655E-2</v>
      </c>
      <c r="F20615">
        <v>21</v>
      </c>
      <c r="G20615">
        <f>LOG(382/(21+1))</f>
        <v>1.2396406820895025</v>
      </c>
      <c r="H20615">
        <f>0.0344827586206896*2.85437815524825</f>
        <v>9.8426832939594658E-2</v>
      </c>
      <c r="I20615">
        <v>9.8426832939595144E-2</v>
      </c>
    </row>
    <row r="20616" spans="1:9" x14ac:dyDescent="0.25">
      <c r="A20616">
        <v>606</v>
      </c>
      <c r="B20616" t="s">
        <v>4835</v>
      </c>
      <c r="C20616" t="s">
        <v>10</v>
      </c>
      <c r="D20616" t="s">
        <v>79</v>
      </c>
      <c r="E20616">
        <f t="shared" si="984"/>
        <v>3.4482758620689655E-2</v>
      </c>
      <c r="F20616">
        <v>26</v>
      </c>
      <c r="G20616">
        <f>LOG(382/(26+1))</f>
        <v>1.1506995987527215</v>
      </c>
      <c r="H20616">
        <f>0.0344827586206896*2.64958374260224</f>
        <v>9.1364956641456399E-2</v>
      </c>
      <c r="I20616">
        <v>9.136495664145676E-2</v>
      </c>
    </row>
    <row r="20617" spans="1:9" x14ac:dyDescent="0.25">
      <c r="A20617">
        <v>606</v>
      </c>
      <c r="B20617" t="s">
        <v>4835</v>
      </c>
      <c r="C20617" t="s">
        <v>10</v>
      </c>
      <c r="D20617" t="s">
        <v>726</v>
      </c>
      <c r="E20617">
        <f t="shared" si="984"/>
        <v>3.4482758620689655E-2</v>
      </c>
      <c r="F20617">
        <v>37</v>
      </c>
      <c r="G20617">
        <f>LOG(382/(37+1))</f>
        <v>1.0022797662948986</v>
      </c>
      <c r="H20617">
        <f>0.0344827586206896*2.30783444888018</f>
        <v>7.9580498237247457E-2</v>
      </c>
      <c r="I20617">
        <v>7.9580498237247901E-2</v>
      </c>
    </row>
    <row r="20618" spans="1:9" x14ac:dyDescent="0.25">
      <c r="A20618">
        <v>606</v>
      </c>
      <c r="B20618" t="s">
        <v>4835</v>
      </c>
      <c r="C20618" t="s">
        <v>10</v>
      </c>
      <c r="D20618" t="s">
        <v>994</v>
      </c>
      <c r="E20618">
        <f t="shared" si="984"/>
        <v>3.4482758620689655E-2</v>
      </c>
      <c r="F20618">
        <v>37</v>
      </c>
      <c r="G20618">
        <f>LOG(382/(37+1))</f>
        <v>1.0022797662948986</v>
      </c>
      <c r="H20618">
        <f>0.0344827586206896*2.30783444888018</f>
        <v>7.9580498237247457E-2</v>
      </c>
      <c r="I20618">
        <v>7.9580498237247901E-2</v>
      </c>
    </row>
    <row r="20619" spans="1:9" x14ac:dyDescent="0.25">
      <c r="A20619">
        <v>606</v>
      </c>
      <c r="B20619" t="s">
        <v>4835</v>
      </c>
      <c r="C20619" t="s">
        <v>10</v>
      </c>
      <c r="D20619" t="s">
        <v>327</v>
      </c>
      <c r="E20619">
        <f t="shared" si="984"/>
        <v>3.4482758620689655E-2</v>
      </c>
      <c r="F20619">
        <v>46</v>
      </c>
      <c r="G20619">
        <f>LOG(382/(46+1))</f>
        <v>0.90996550497599127</v>
      </c>
      <c r="H20619">
        <f>0.0344827586206896*2.09527300689651</f>
        <v>7.2250793341258848E-2</v>
      </c>
      <c r="I20619">
        <v>7.2250793341259181E-2</v>
      </c>
    </row>
    <row r="20620" spans="1:9" x14ac:dyDescent="0.25">
      <c r="A20620">
        <v>606</v>
      </c>
      <c r="B20620" t="s">
        <v>4835</v>
      </c>
      <c r="C20620" t="s">
        <v>10</v>
      </c>
      <c r="D20620" t="s">
        <v>222</v>
      </c>
      <c r="E20620">
        <f t="shared" si="984"/>
        <v>3.4482758620689655E-2</v>
      </c>
      <c r="F20620">
        <v>22</v>
      </c>
      <c r="G20620">
        <f>LOG(382/(22+1))</f>
        <v>1.2203355268941158</v>
      </c>
      <c r="H20620">
        <f>0.0344827586206896*2.80992639267742</f>
        <v>9.6894013540600524E-2</v>
      </c>
      <c r="I20620">
        <v>9.6894013540600885E-2</v>
      </c>
    </row>
    <row r="20621" spans="1:9" x14ac:dyDescent="0.25">
      <c r="A20621">
        <v>606</v>
      </c>
      <c r="B20621" t="s">
        <v>4835</v>
      </c>
      <c r="C20621" t="s">
        <v>10</v>
      </c>
      <c r="D20621" t="s">
        <v>132</v>
      </c>
      <c r="E20621">
        <f t="shared" si="984"/>
        <v>3.4482758620689655E-2</v>
      </c>
      <c r="F20621">
        <v>8</v>
      </c>
      <c r="G20621">
        <f>LOG(382/(8+1))</f>
        <v>1.6278208534723839</v>
      </c>
      <c r="H20621">
        <f>0.0344827586206896*3.74819603127035</f>
        <v>0.12924813900932219</v>
      </c>
      <c r="I20621">
        <v>0.12924813900932261</v>
      </c>
    </row>
    <row r="20622" spans="1:9" x14ac:dyDescent="0.25">
      <c r="A20622">
        <v>606</v>
      </c>
      <c r="B20622" t="s">
        <v>4835</v>
      </c>
      <c r="C20622" t="s">
        <v>10</v>
      </c>
      <c r="D20622" t="s">
        <v>1853</v>
      </c>
      <c r="E20622">
        <f t="shared" si="984"/>
        <v>3.4482758620689655E-2</v>
      </c>
      <c r="F20622">
        <v>15</v>
      </c>
      <c r="G20622">
        <f>LOG(382/(15+1))</f>
        <v>1.3779433802557839</v>
      </c>
      <c r="H20622">
        <f>0.0344827586206896*3.17283188636679</f>
        <v>0.10940799608161328</v>
      </c>
      <c r="I20622">
        <v>0.1094079960816136</v>
      </c>
    </row>
    <row r="20623" spans="1:9" x14ac:dyDescent="0.25">
      <c r="A20623">
        <v>606</v>
      </c>
      <c r="B20623" t="s">
        <v>4835</v>
      </c>
      <c r="C20623" t="s">
        <v>10</v>
      </c>
      <c r="D20623" t="s">
        <v>1085</v>
      </c>
      <c r="E20623">
        <f t="shared" si="984"/>
        <v>3.4482758620689655E-2</v>
      </c>
      <c r="F20623">
        <v>16</v>
      </c>
      <c r="G20623">
        <f>LOG(382/(16+1))</f>
        <v>1.3516144415334348</v>
      </c>
      <c r="H20623">
        <f>0.0344827586206896*3.11220726455035</f>
        <v>0.10731749188104638</v>
      </c>
      <c r="I20623">
        <v>0.1073174918810469</v>
      </c>
    </row>
    <row r="20624" spans="1:9" x14ac:dyDescent="0.25">
      <c r="A20624">
        <v>607</v>
      </c>
      <c r="B20624" t="s">
        <v>4836</v>
      </c>
      <c r="C20624" t="s">
        <v>10</v>
      </c>
      <c r="D20624" t="s">
        <v>68</v>
      </c>
      <c r="E20624">
        <f>6/30</f>
        <v>0.2</v>
      </c>
      <c r="F20624">
        <v>43</v>
      </c>
      <c r="G20624">
        <f>LOG(382/(43+1))</f>
        <v>0.93861068642552126</v>
      </c>
      <c r="H20624">
        <f>0.2*2.16123097468831</f>
        <v>0.43224619493766198</v>
      </c>
      <c r="I20624">
        <v>0.43224619493766281</v>
      </c>
    </row>
    <row r="20625" spans="1:9" x14ac:dyDescent="0.25">
      <c r="A20625">
        <v>607</v>
      </c>
      <c r="B20625" t="s">
        <v>4836</v>
      </c>
      <c r="C20625" t="s">
        <v>10</v>
      </c>
      <c r="D20625" t="s">
        <v>166</v>
      </c>
      <c r="E20625">
        <f>2/30</f>
        <v>6.6666666666666666E-2</v>
      </c>
      <c r="F20625">
        <v>2</v>
      </c>
      <c r="G20625">
        <f>LOG(382/(2+1))</f>
        <v>2.1049421081920463</v>
      </c>
      <c r="H20625">
        <f>0.0666666666666666*4.84680831993846</f>
        <v>0.32312055466256367</v>
      </c>
      <c r="I20625">
        <v>0.32312055466256429</v>
      </c>
    </row>
    <row r="20626" spans="1:9" x14ac:dyDescent="0.25">
      <c r="A20626">
        <v>607</v>
      </c>
      <c r="B20626" t="s">
        <v>4836</v>
      </c>
      <c r="C20626" t="s">
        <v>10</v>
      </c>
      <c r="D20626" t="s">
        <v>105</v>
      </c>
      <c r="E20626">
        <f>1/30</f>
        <v>3.3333333333333333E-2</v>
      </c>
      <c r="F20626">
        <v>122</v>
      </c>
      <c r="G20626">
        <f>LOG(382/(122+1))</f>
        <v>0.49215825147231079</v>
      </c>
      <c r="H20626">
        <f>0.0333333333333333*1.13323625323415</f>
        <v>3.7774541774471627E-2</v>
      </c>
      <c r="I20626">
        <v>3.7774541774471919E-2</v>
      </c>
    </row>
    <row r="20627" spans="1:9" x14ac:dyDescent="0.25">
      <c r="A20627">
        <v>607</v>
      </c>
      <c r="B20627" t="s">
        <v>4836</v>
      </c>
      <c r="C20627" t="s">
        <v>10</v>
      </c>
      <c r="D20627" t="s">
        <v>4837</v>
      </c>
      <c r="E20627">
        <f>1/30</f>
        <v>3.3333333333333333E-2</v>
      </c>
      <c r="F20627">
        <v>1</v>
      </c>
      <c r="G20627">
        <f>LOG(382/(1+1))</f>
        <v>2.2810333672477277</v>
      </c>
      <c r="H20627">
        <f>0.0333333333333333*5.25227342804663</f>
        <v>0.17507578093488749</v>
      </c>
      <c r="I20627">
        <v>0.17507578093488771</v>
      </c>
    </row>
    <row r="20628" spans="1:9" x14ac:dyDescent="0.25">
      <c r="A20628">
        <v>607</v>
      </c>
      <c r="B20628" t="s">
        <v>4836</v>
      </c>
      <c r="C20628" t="s">
        <v>10</v>
      </c>
      <c r="D20628" t="s">
        <v>4838</v>
      </c>
      <c r="E20628">
        <f>1/30</f>
        <v>3.3333333333333333E-2</v>
      </c>
      <c r="F20628">
        <v>1</v>
      </c>
      <c r="G20628">
        <f>LOG(382/(1+1))</f>
        <v>2.2810333672477277</v>
      </c>
      <c r="H20628">
        <f>0.0333333333333333*5.25227342804663</f>
        <v>0.17507578093488749</v>
      </c>
      <c r="I20628">
        <v>0.17507578093488771</v>
      </c>
    </row>
    <row r="20629" spans="1:9" x14ac:dyDescent="0.25">
      <c r="A20629">
        <v>607</v>
      </c>
      <c r="B20629" t="s">
        <v>4836</v>
      </c>
      <c r="C20629" t="s">
        <v>10</v>
      </c>
      <c r="D20629" t="s">
        <v>42</v>
      </c>
      <c r="E20629">
        <f>1/30</f>
        <v>3.3333333333333333E-2</v>
      </c>
      <c r="F20629">
        <v>251</v>
      </c>
      <c r="G20629">
        <f>LOG(382/(251+1))</f>
        <v>0.18066282213016463</v>
      </c>
      <c r="H20629">
        <f>0.0333333333333333*0.415991521095151</f>
        <v>1.3866384036505018E-2</v>
      </c>
      <c r="I20629">
        <v>1.386638403650506E-2</v>
      </c>
    </row>
    <row r="20630" spans="1:9" x14ac:dyDescent="0.25">
      <c r="A20630">
        <v>607</v>
      </c>
      <c r="B20630" t="s">
        <v>4836</v>
      </c>
      <c r="C20630" t="s">
        <v>10</v>
      </c>
      <c r="D20630" t="s">
        <v>465</v>
      </c>
      <c r="E20630">
        <f>1/30</f>
        <v>3.3333333333333333E-2</v>
      </c>
      <c r="F20630">
        <v>36</v>
      </c>
      <c r="G20630">
        <f>LOG(382/(36+1))</f>
        <v>1.0138616388447137</v>
      </c>
      <c r="H20630">
        <f>0.0333333333333333*2.33450269596235</f>
        <v>7.7816756532078257E-2</v>
      </c>
      <c r="I20630">
        <v>7.7816756532078368E-2</v>
      </c>
    </row>
    <row r="20631" spans="1:9" x14ac:dyDescent="0.25">
      <c r="A20631">
        <v>607</v>
      </c>
      <c r="B20631" t="s">
        <v>4836</v>
      </c>
      <c r="C20631" t="s">
        <v>10</v>
      </c>
      <c r="D20631" t="s">
        <v>40</v>
      </c>
      <c r="E20631">
        <f>2/30</f>
        <v>6.6666666666666666E-2</v>
      </c>
      <c r="F20631">
        <v>159</v>
      </c>
      <c r="G20631">
        <f>LOG(382/(159+1))</f>
        <v>0.377943380255784</v>
      </c>
      <c r="H20631">
        <f>0.0666666666666666*0.870246793372748</f>
        <v>5.8016452891516475E-2</v>
      </c>
      <c r="I20631">
        <v>5.8016452891516558E-2</v>
      </c>
    </row>
    <row r="20632" spans="1:9" x14ac:dyDescent="0.25">
      <c r="A20632">
        <v>607</v>
      </c>
      <c r="B20632" t="s">
        <v>4836</v>
      </c>
      <c r="C20632" t="s">
        <v>10</v>
      </c>
      <c r="D20632" t="s">
        <v>41</v>
      </c>
      <c r="E20632">
        <f>2/30</f>
        <v>6.6666666666666666E-2</v>
      </c>
      <c r="F20632">
        <v>195</v>
      </c>
      <c r="G20632">
        <f>LOG(382/(195+1))</f>
        <v>0.28980729155523272</v>
      </c>
      <c r="H20632">
        <f>0.0666666666666666*0.667305949376058</f>
        <v>4.4487063291737156E-2</v>
      </c>
      <c r="I20632">
        <v>4.4487063291737197E-2</v>
      </c>
    </row>
    <row r="20633" spans="1:9" x14ac:dyDescent="0.25">
      <c r="A20633">
        <v>607</v>
      </c>
      <c r="B20633" t="s">
        <v>4836</v>
      </c>
      <c r="C20633" t="s">
        <v>10</v>
      </c>
      <c r="D20633" t="s">
        <v>22</v>
      </c>
      <c r="E20633">
        <f t="shared" ref="E20633:E20645" si="985">1/30</f>
        <v>3.3333333333333333E-2</v>
      </c>
      <c r="F20633">
        <v>259</v>
      </c>
      <c r="G20633">
        <f>LOG(382/(259+1))</f>
        <v>0.16709001494089079</v>
      </c>
      <c r="H20633">
        <f>0.0333333333333333*0.384738977591047</f>
        <v>1.282463258636822E-2</v>
      </c>
      <c r="I20633">
        <v>1.282463258636825E-2</v>
      </c>
    </row>
    <row r="20634" spans="1:9" x14ac:dyDescent="0.25">
      <c r="A20634">
        <v>607</v>
      </c>
      <c r="B20634" t="s">
        <v>4836</v>
      </c>
      <c r="C20634" t="s">
        <v>10</v>
      </c>
      <c r="D20634" t="s">
        <v>23</v>
      </c>
      <c r="E20634">
        <f t="shared" si="985"/>
        <v>3.3333333333333333E-2</v>
      </c>
      <c r="F20634">
        <v>275</v>
      </c>
      <c r="G20634">
        <f>LOG(382/(275+1))</f>
        <v>0.14115428084649101</v>
      </c>
      <c r="H20634">
        <f>0.0333333333333333*0.325019742889425</f>
        <v>1.0833991429647487E-2</v>
      </c>
      <c r="I20634">
        <v>1.0833991429647499E-2</v>
      </c>
    </row>
    <row r="20635" spans="1:9" x14ac:dyDescent="0.25">
      <c r="A20635">
        <v>607</v>
      </c>
      <c r="B20635" t="s">
        <v>4836</v>
      </c>
      <c r="C20635" t="s">
        <v>10</v>
      </c>
      <c r="D20635" t="s">
        <v>1185</v>
      </c>
      <c r="E20635">
        <f t="shared" si="985"/>
        <v>3.3333333333333333E-2</v>
      </c>
      <c r="F20635">
        <v>9</v>
      </c>
      <c r="G20635">
        <f>LOG(382/(9+1))</f>
        <v>1.5820633629117087</v>
      </c>
      <c r="H20635">
        <f>0.0333333333333333*3.64283551561252</f>
        <v>0.12142785052041721</v>
      </c>
      <c r="I20635">
        <v>0.1214278505204176</v>
      </c>
    </row>
    <row r="20636" spans="1:9" x14ac:dyDescent="0.25">
      <c r="A20636">
        <v>607</v>
      </c>
      <c r="B20636" t="s">
        <v>4836</v>
      </c>
      <c r="C20636" t="s">
        <v>10</v>
      </c>
      <c r="D20636" t="s">
        <v>44</v>
      </c>
      <c r="E20636">
        <f t="shared" si="985"/>
        <v>3.3333333333333333E-2</v>
      </c>
      <c r="F20636">
        <v>151</v>
      </c>
      <c r="G20636">
        <f>LOG(382/(151+1))</f>
        <v>0.40021977496693617</v>
      </c>
      <c r="H20636">
        <f>0.0333333333333333*0.921540087760298</f>
        <v>3.0718002925343237E-2</v>
      </c>
      <c r="I20636">
        <v>3.0718002925343289E-2</v>
      </c>
    </row>
    <row r="20637" spans="1:9" x14ac:dyDescent="0.25">
      <c r="A20637">
        <v>607</v>
      </c>
      <c r="B20637" t="s">
        <v>4836</v>
      </c>
      <c r="C20637" t="s">
        <v>10</v>
      </c>
      <c r="D20637" t="s">
        <v>25</v>
      </c>
      <c r="E20637">
        <f t="shared" si="985"/>
        <v>3.3333333333333333E-2</v>
      </c>
      <c r="F20637">
        <v>106</v>
      </c>
      <c r="G20637">
        <f>LOG(382/(106+1))</f>
        <v>0.55267958522649907</v>
      </c>
      <c r="H20637">
        <f>0.0333333333333333*1.27259177414466</f>
        <v>4.2419725804821951E-2</v>
      </c>
      <c r="I20637">
        <v>4.2419725804822297E-2</v>
      </c>
    </row>
    <row r="20638" spans="1:9" x14ac:dyDescent="0.25">
      <c r="A20638">
        <v>607</v>
      </c>
      <c r="B20638" t="s">
        <v>4836</v>
      </c>
      <c r="C20638" t="s">
        <v>10</v>
      </c>
      <c r="D20638" t="s">
        <v>485</v>
      </c>
      <c r="E20638">
        <f t="shared" si="985"/>
        <v>3.3333333333333333E-2</v>
      </c>
      <c r="F20638">
        <v>74</v>
      </c>
      <c r="G20638">
        <f>LOG(382/(74+1))</f>
        <v>0.7070020995200087</v>
      </c>
      <c r="H20638">
        <f>0.0333333333333333*1.62793249507026</f>
        <v>5.4264416502341942E-2</v>
      </c>
      <c r="I20638">
        <v>5.4264416502342157E-2</v>
      </c>
    </row>
    <row r="20639" spans="1:9" x14ac:dyDescent="0.25">
      <c r="A20639">
        <v>607</v>
      </c>
      <c r="B20639" t="s">
        <v>4836</v>
      </c>
      <c r="C20639" t="s">
        <v>10</v>
      </c>
      <c r="D20639" t="s">
        <v>4839</v>
      </c>
      <c r="E20639">
        <f t="shared" si="985"/>
        <v>3.3333333333333333E-2</v>
      </c>
      <c r="F20639">
        <v>1</v>
      </c>
      <c r="G20639">
        <f>LOG(382/(1+1))</f>
        <v>2.2810333672477277</v>
      </c>
      <c r="H20639">
        <f>0.0333333333333333*5.25227342804663</f>
        <v>0.17507578093488749</v>
      </c>
      <c r="I20639">
        <v>0.17507578093488771</v>
      </c>
    </row>
    <row r="20640" spans="1:9" x14ac:dyDescent="0.25">
      <c r="A20640">
        <v>607</v>
      </c>
      <c r="B20640" t="s">
        <v>4836</v>
      </c>
      <c r="C20640" t="s">
        <v>10</v>
      </c>
      <c r="D20640" t="s">
        <v>930</v>
      </c>
      <c r="E20640">
        <f t="shared" si="985"/>
        <v>3.3333333333333333E-2</v>
      </c>
      <c r="F20640">
        <v>6</v>
      </c>
      <c r="G20640">
        <f>LOG(382/(6+1))</f>
        <v>1.736965322897452</v>
      </c>
      <c r="H20640">
        <f>0.0333333333333333*3.99951045955126</f>
        <v>0.1333170153183752</v>
      </c>
      <c r="I20640">
        <v>0.13331701531837539</v>
      </c>
    </row>
    <row r="20641" spans="1:9" x14ac:dyDescent="0.25">
      <c r="A20641">
        <v>607</v>
      </c>
      <c r="B20641" t="s">
        <v>4836</v>
      </c>
      <c r="C20641" t="s">
        <v>10</v>
      </c>
      <c r="D20641" t="s">
        <v>26</v>
      </c>
      <c r="E20641">
        <f t="shared" si="985"/>
        <v>3.3333333333333333E-2</v>
      </c>
      <c r="F20641">
        <v>40</v>
      </c>
      <c r="G20641">
        <f>LOG(382/(40+1))</f>
        <v>0.96927950619197323</v>
      </c>
      <c r="H20641">
        <f>0.0333333333333333*2.23184854190226</f>
        <v>7.4394951396741918E-2</v>
      </c>
      <c r="I20641">
        <v>7.4394951396742237E-2</v>
      </c>
    </row>
    <row r="20642" spans="1:9" x14ac:dyDescent="0.25">
      <c r="A20642">
        <v>607</v>
      </c>
      <c r="B20642" t="s">
        <v>4836</v>
      </c>
      <c r="C20642" t="s">
        <v>10</v>
      </c>
      <c r="D20642" t="s">
        <v>4840</v>
      </c>
      <c r="E20642">
        <f t="shared" si="985"/>
        <v>3.3333333333333333E-2</v>
      </c>
      <c r="F20642">
        <v>1</v>
      </c>
      <c r="G20642">
        <f>LOG(382/(1+1))</f>
        <v>2.2810333672477277</v>
      </c>
      <c r="H20642">
        <f>0.0333333333333333*5.25227342804663</f>
        <v>0.17507578093488749</v>
      </c>
      <c r="I20642">
        <v>0.17507578093488771</v>
      </c>
    </row>
    <row r="20643" spans="1:9" x14ac:dyDescent="0.25">
      <c r="A20643">
        <v>607</v>
      </c>
      <c r="B20643" t="s">
        <v>4836</v>
      </c>
      <c r="C20643" t="s">
        <v>10</v>
      </c>
      <c r="D20643" t="s">
        <v>28</v>
      </c>
      <c r="E20643">
        <f t="shared" si="985"/>
        <v>3.3333333333333333E-2</v>
      </c>
      <c r="F20643">
        <v>35</v>
      </c>
      <c r="G20643">
        <f>LOG(382/(35+1))</f>
        <v>1.0257608621444214</v>
      </c>
      <c r="H20643">
        <f>0.0333333333333333*2.36190167015046</f>
        <v>7.8730055671681912E-2</v>
      </c>
      <c r="I20643">
        <v>7.8730055671682161E-2</v>
      </c>
    </row>
    <row r="20644" spans="1:9" x14ac:dyDescent="0.25">
      <c r="A20644">
        <v>607</v>
      </c>
      <c r="B20644" t="s">
        <v>4836</v>
      </c>
      <c r="C20644" t="s">
        <v>10</v>
      </c>
      <c r="D20644" t="s">
        <v>476</v>
      </c>
      <c r="E20644">
        <f t="shared" si="985"/>
        <v>3.3333333333333333E-2</v>
      </c>
      <c r="F20644">
        <v>18</v>
      </c>
      <c r="G20644">
        <f>LOG(382/(18+1))</f>
        <v>1.3033097619588798</v>
      </c>
      <c r="H20644">
        <f>0.0333333333333333*3.00098162944013</f>
        <v>0.10003272098133757</v>
      </c>
      <c r="I20644">
        <v>0.10003272098133779</v>
      </c>
    </row>
    <row r="20645" spans="1:9" x14ac:dyDescent="0.25">
      <c r="A20645">
        <v>607</v>
      </c>
      <c r="B20645" t="s">
        <v>4836</v>
      </c>
      <c r="C20645" t="s">
        <v>10</v>
      </c>
      <c r="D20645" t="s">
        <v>929</v>
      </c>
      <c r="E20645">
        <f t="shared" si="985"/>
        <v>3.3333333333333333E-2</v>
      </c>
      <c r="F20645">
        <v>32</v>
      </c>
      <c r="G20645">
        <f>LOG(382/(32+1))</f>
        <v>1.0635494230338212</v>
      </c>
      <c r="H20645">
        <f>0.0333333333333333*2.44891304714009</f>
        <v>8.1630434904669591E-2</v>
      </c>
      <c r="I20645">
        <v>8.1630434904669841E-2</v>
      </c>
    </row>
    <row r="20646" spans="1:9" x14ac:dyDescent="0.25">
      <c r="A20646">
        <v>608</v>
      </c>
      <c r="B20646" t="s">
        <v>4841</v>
      </c>
      <c r="C20646" t="s">
        <v>48</v>
      </c>
      <c r="D20646" t="s">
        <v>36</v>
      </c>
      <c r="E20646">
        <f>2/27</f>
        <v>7.407407407407407E-2</v>
      </c>
      <c r="F20646">
        <v>58</v>
      </c>
      <c r="G20646">
        <f>LOG(382/(58+1))</f>
        <v>0.81121135126956456</v>
      </c>
      <c r="H20646">
        <f>0.074074074074074*1.86788316470085</f>
        <v>0.13836171590376653</v>
      </c>
      <c r="I20646">
        <v>0.13836171590376711</v>
      </c>
    </row>
    <row r="20647" spans="1:9" x14ac:dyDescent="0.25">
      <c r="A20647">
        <v>608</v>
      </c>
      <c r="B20647" t="s">
        <v>4841</v>
      </c>
      <c r="C20647" t="s">
        <v>48</v>
      </c>
      <c r="D20647" t="s">
        <v>962</v>
      </c>
      <c r="E20647">
        <f>2/27</f>
        <v>7.407407407407407E-2</v>
      </c>
      <c r="F20647">
        <v>8</v>
      </c>
      <c r="G20647">
        <f>LOG(382/(8+1))</f>
        <v>1.6278208534723839</v>
      </c>
      <c r="H20647">
        <f>0.074074074074074*3.74819603127035</f>
        <v>0.27764415046447011</v>
      </c>
      <c r="I20647">
        <v>0.27764415046447077</v>
      </c>
    </row>
    <row r="20648" spans="1:9" x14ac:dyDescent="0.25">
      <c r="A20648">
        <v>608</v>
      </c>
      <c r="B20648" t="s">
        <v>4841</v>
      </c>
      <c r="C20648" t="s">
        <v>48</v>
      </c>
      <c r="D20648" t="s">
        <v>4842</v>
      </c>
      <c r="E20648">
        <f>2/27</f>
        <v>7.407407407407407E-2</v>
      </c>
      <c r="F20648">
        <v>1</v>
      </c>
      <c r="G20648">
        <f>LOG(382/(1+1))</f>
        <v>2.2810333672477277</v>
      </c>
      <c r="H20648">
        <f>0.074074074074074*5.25227342804663</f>
        <v>0.38905729096641667</v>
      </c>
      <c r="I20648">
        <v>0.389057290966417</v>
      </c>
    </row>
    <row r="20649" spans="1:9" x14ac:dyDescent="0.25">
      <c r="A20649">
        <v>608</v>
      </c>
      <c r="B20649" t="s">
        <v>4841</v>
      </c>
      <c r="C20649" t="s">
        <v>48</v>
      </c>
      <c r="D20649" t="s">
        <v>105</v>
      </c>
      <c r="E20649">
        <f>1/27</f>
        <v>3.7037037037037035E-2</v>
      </c>
      <c r="F20649">
        <v>122</v>
      </c>
      <c r="G20649">
        <f>LOG(382/(122+1))</f>
        <v>0.49215825147231079</v>
      </c>
      <c r="H20649">
        <f>0.037037037037037*1.13323625323415</f>
        <v>4.1971713082746255E-2</v>
      </c>
      <c r="I20649">
        <v>4.1971713082746567E-2</v>
      </c>
    </row>
    <row r="20650" spans="1:9" x14ac:dyDescent="0.25">
      <c r="A20650">
        <v>608</v>
      </c>
      <c r="B20650" t="s">
        <v>4841</v>
      </c>
      <c r="C20650" t="s">
        <v>48</v>
      </c>
      <c r="D20650" t="s">
        <v>4843</v>
      </c>
      <c r="E20650">
        <f>2/27</f>
        <v>7.407407407407407E-2</v>
      </c>
      <c r="F20650">
        <v>1</v>
      </c>
      <c r="G20650">
        <f>LOG(382/(1+1))</f>
        <v>2.2810333672477277</v>
      </c>
      <c r="H20650">
        <f>0.074074074074074*5.25227342804663</f>
        <v>0.38905729096641667</v>
      </c>
      <c r="I20650">
        <v>0.389057290966417</v>
      </c>
    </row>
    <row r="20651" spans="1:9" x14ac:dyDescent="0.25">
      <c r="A20651">
        <v>608</v>
      </c>
      <c r="B20651" t="s">
        <v>4841</v>
      </c>
      <c r="C20651" t="s">
        <v>48</v>
      </c>
      <c r="D20651" t="s">
        <v>247</v>
      </c>
      <c r="E20651">
        <f t="shared" ref="E20651:E20668" si="986">1/27</f>
        <v>3.7037037037037035E-2</v>
      </c>
      <c r="F20651">
        <v>121</v>
      </c>
      <c r="G20651">
        <f>LOG(382/(121+1))</f>
        <v>0.49570353223696051</v>
      </c>
      <c r="H20651">
        <f>0.037037037037037*1.14139956387331</f>
        <v>4.2274057921233663E-2</v>
      </c>
      <c r="I20651">
        <v>4.2274057921234023E-2</v>
      </c>
    </row>
    <row r="20652" spans="1:9" x14ac:dyDescent="0.25">
      <c r="A20652">
        <v>608</v>
      </c>
      <c r="B20652" t="s">
        <v>4841</v>
      </c>
      <c r="C20652" t="s">
        <v>48</v>
      </c>
      <c r="D20652" t="s">
        <v>39</v>
      </c>
      <c r="E20652">
        <f t="shared" si="986"/>
        <v>3.7037037037037035E-2</v>
      </c>
      <c r="F20652">
        <v>145</v>
      </c>
      <c r="G20652">
        <f>LOG(382/(145+1))</f>
        <v>0.41771050712727159</v>
      </c>
      <c r="H20652">
        <f>0.037037037037037*0.961813986898238</f>
        <v>3.5622740255490261E-2</v>
      </c>
      <c r="I20652">
        <v>3.5622740255490323E-2</v>
      </c>
    </row>
    <row r="20653" spans="1:9" x14ac:dyDescent="0.25">
      <c r="A20653">
        <v>608</v>
      </c>
      <c r="B20653" t="s">
        <v>4841</v>
      </c>
      <c r="C20653" t="s">
        <v>48</v>
      </c>
      <c r="D20653" t="s">
        <v>1545</v>
      </c>
      <c r="E20653">
        <f t="shared" si="986"/>
        <v>3.7037037037037035E-2</v>
      </c>
      <c r="F20653">
        <v>5</v>
      </c>
      <c r="G20653">
        <f>LOG(382/(5+1))</f>
        <v>1.803912112528065</v>
      </c>
      <c r="H20653">
        <f>0.037037037037037*4.15366113937852</f>
        <v>0.15383930145846356</v>
      </c>
      <c r="I20653">
        <v>0.1538393014584637</v>
      </c>
    </row>
    <row r="20654" spans="1:9" x14ac:dyDescent="0.25">
      <c r="A20654">
        <v>608</v>
      </c>
      <c r="B20654" t="s">
        <v>4841</v>
      </c>
      <c r="C20654" t="s">
        <v>48</v>
      </c>
      <c r="D20654" t="s">
        <v>42</v>
      </c>
      <c r="E20654">
        <f t="shared" si="986"/>
        <v>3.7037037037037035E-2</v>
      </c>
      <c r="F20654">
        <v>251</v>
      </c>
      <c r="G20654">
        <f>LOG(382/(251+1))</f>
        <v>0.18066282213016463</v>
      </c>
      <c r="H20654">
        <f>0.037037037037037*0.415991521095151</f>
        <v>1.5407093373894466E-2</v>
      </c>
      <c r="I20654">
        <v>1.5407093373894509E-2</v>
      </c>
    </row>
    <row r="20655" spans="1:9" x14ac:dyDescent="0.25">
      <c r="A20655">
        <v>608</v>
      </c>
      <c r="B20655" t="s">
        <v>4841</v>
      </c>
      <c r="C20655" t="s">
        <v>48</v>
      </c>
      <c r="D20655" t="s">
        <v>2431</v>
      </c>
      <c r="E20655">
        <f t="shared" si="986"/>
        <v>3.7037037037037035E-2</v>
      </c>
      <c r="F20655">
        <v>12</v>
      </c>
      <c r="G20655">
        <f>LOG(382/(12+1))</f>
        <v>1.468120010604872</v>
      </c>
      <c r="H20655">
        <f>0.037037037037037*3.38047125114503</f>
        <v>0.12520263893129729</v>
      </c>
      <c r="I20655">
        <v>0.12520263893129771</v>
      </c>
    </row>
    <row r="20656" spans="1:9" x14ac:dyDescent="0.25">
      <c r="A20656">
        <v>608</v>
      </c>
      <c r="B20656" t="s">
        <v>4841</v>
      </c>
      <c r="C20656" t="s">
        <v>48</v>
      </c>
      <c r="D20656" t="s">
        <v>726</v>
      </c>
      <c r="E20656">
        <f t="shared" si="986"/>
        <v>3.7037037037037035E-2</v>
      </c>
      <c r="F20656">
        <v>37</v>
      </c>
      <c r="G20656">
        <f>LOG(382/(37+1))</f>
        <v>1.0022797662948986</v>
      </c>
      <c r="H20656">
        <f>0.037037037037037*2.30783444888018</f>
        <v>8.5475349958525099E-2</v>
      </c>
      <c r="I20656">
        <v>8.5475349958525515E-2</v>
      </c>
    </row>
    <row r="20657" spans="1:9" x14ac:dyDescent="0.25">
      <c r="A20657">
        <v>608</v>
      </c>
      <c r="B20657" t="s">
        <v>4841</v>
      </c>
      <c r="C20657" t="s">
        <v>48</v>
      </c>
      <c r="D20657" t="s">
        <v>432</v>
      </c>
      <c r="E20657">
        <f t="shared" si="986"/>
        <v>3.7037037037037035E-2</v>
      </c>
      <c r="F20657">
        <v>67</v>
      </c>
      <c r="G20657">
        <f>LOG(382/(67+1))</f>
        <v>0.7495544502054724</v>
      </c>
      <c r="H20657">
        <f>0.037037037037037*1.72591290343046</f>
        <v>6.3922700127054019E-2</v>
      </c>
      <c r="I20657">
        <v>6.392270012705438E-2</v>
      </c>
    </row>
    <row r="20658" spans="1:9" x14ac:dyDescent="0.25">
      <c r="A20658">
        <v>608</v>
      </c>
      <c r="B20658" t="s">
        <v>4841</v>
      </c>
      <c r="C20658" t="s">
        <v>48</v>
      </c>
      <c r="D20658" t="s">
        <v>4844</v>
      </c>
      <c r="E20658">
        <f t="shared" si="986"/>
        <v>3.7037037037037035E-2</v>
      </c>
      <c r="F20658">
        <v>1</v>
      </c>
      <c r="G20658">
        <f>LOG(382/(1+1))</f>
        <v>2.2810333672477277</v>
      </c>
      <c r="H20658">
        <f>0.037037037037037*5.25227342804663</f>
        <v>0.19452864548320833</v>
      </c>
      <c r="I20658">
        <v>0.1945286454832085</v>
      </c>
    </row>
    <row r="20659" spans="1:9" x14ac:dyDescent="0.25">
      <c r="A20659">
        <v>608</v>
      </c>
      <c r="B20659" t="s">
        <v>4841</v>
      </c>
      <c r="C20659" t="s">
        <v>48</v>
      </c>
      <c r="D20659" t="s">
        <v>23</v>
      </c>
      <c r="E20659">
        <f t="shared" si="986"/>
        <v>3.7037037037037035E-2</v>
      </c>
      <c r="F20659">
        <v>275</v>
      </c>
      <c r="G20659">
        <f>LOG(382/(275+1))</f>
        <v>0.14115428084649101</v>
      </c>
      <c r="H20659">
        <f>0.037037037037037*0.325019742889425</f>
        <v>1.2037768255163877E-2</v>
      </c>
      <c r="I20659">
        <v>1.2037768255163891E-2</v>
      </c>
    </row>
    <row r="20660" spans="1:9" x14ac:dyDescent="0.25">
      <c r="A20660">
        <v>608</v>
      </c>
      <c r="B20660" t="s">
        <v>4841</v>
      </c>
      <c r="C20660" t="s">
        <v>48</v>
      </c>
      <c r="D20660" t="s">
        <v>204</v>
      </c>
      <c r="E20660">
        <f t="shared" si="986"/>
        <v>3.7037037037037035E-2</v>
      </c>
      <c r="F20660">
        <v>166</v>
      </c>
      <c r="G20660">
        <f>LOG(382/(166+1))</f>
        <v>0.35934689176412549</v>
      </c>
      <c r="H20660">
        <f>0.037037037037037*0.82742679618982</f>
        <v>3.0645436895919226E-2</v>
      </c>
      <c r="I20660">
        <v>3.0645436895919261E-2</v>
      </c>
    </row>
    <row r="20661" spans="1:9" x14ac:dyDescent="0.25">
      <c r="A20661">
        <v>608</v>
      </c>
      <c r="B20661" t="s">
        <v>4841</v>
      </c>
      <c r="C20661" t="s">
        <v>48</v>
      </c>
      <c r="D20661" t="s">
        <v>78</v>
      </c>
      <c r="E20661">
        <f t="shared" si="986"/>
        <v>3.7037037037037035E-2</v>
      </c>
      <c r="F20661">
        <v>122</v>
      </c>
      <c r="G20661">
        <f>LOG(382/(122+1))</f>
        <v>0.49215825147231079</v>
      </c>
      <c r="H20661">
        <f>0.037037037037037*1.13323625323415</f>
        <v>4.1971713082746255E-2</v>
      </c>
      <c r="I20661">
        <v>4.1971713082746567E-2</v>
      </c>
    </row>
    <row r="20662" spans="1:9" x14ac:dyDescent="0.25">
      <c r="A20662">
        <v>608</v>
      </c>
      <c r="B20662" t="s">
        <v>4841</v>
      </c>
      <c r="C20662" t="s">
        <v>48</v>
      </c>
      <c r="D20662" t="s">
        <v>483</v>
      </c>
      <c r="E20662">
        <f t="shared" si="986"/>
        <v>3.7037037037037035E-2</v>
      </c>
      <c r="F20662">
        <v>61</v>
      </c>
      <c r="G20662">
        <f>LOG(382/(61+1))</f>
        <v>0.7896716734134549</v>
      </c>
      <c r="H20662">
        <f>0.037037037037037*1.81828622356148</f>
        <v>6.7343934205980671E-2</v>
      </c>
      <c r="I20662">
        <v>6.7343934205980865E-2</v>
      </c>
    </row>
    <row r="20663" spans="1:9" x14ac:dyDescent="0.25">
      <c r="A20663">
        <v>608</v>
      </c>
      <c r="B20663" t="s">
        <v>4841</v>
      </c>
      <c r="C20663" t="s">
        <v>48</v>
      </c>
      <c r="D20663" t="s">
        <v>79</v>
      </c>
      <c r="E20663">
        <f t="shared" si="986"/>
        <v>3.7037037037037035E-2</v>
      </c>
      <c r="F20663">
        <v>26</v>
      </c>
      <c r="G20663">
        <f>LOG(382/(26+1))</f>
        <v>1.1506995987527215</v>
      </c>
      <c r="H20663">
        <f>0.037037037037037*2.64958374260224</f>
        <v>9.8132731207490276E-2</v>
      </c>
      <c r="I20663">
        <v>9.8132731207490595E-2</v>
      </c>
    </row>
    <row r="20664" spans="1:9" x14ac:dyDescent="0.25">
      <c r="A20664">
        <v>608</v>
      </c>
      <c r="B20664" t="s">
        <v>4841</v>
      </c>
      <c r="C20664" t="s">
        <v>48</v>
      </c>
      <c r="D20664" t="s">
        <v>994</v>
      </c>
      <c r="E20664">
        <f t="shared" si="986"/>
        <v>3.7037037037037035E-2</v>
      </c>
      <c r="F20664">
        <v>37</v>
      </c>
      <c r="G20664">
        <f>LOG(382/(37+1))</f>
        <v>1.0022797662948986</v>
      </c>
      <c r="H20664">
        <f>0.037037037037037*2.30783444888018</f>
        <v>8.5475349958525099E-2</v>
      </c>
      <c r="I20664">
        <v>8.5475349958525515E-2</v>
      </c>
    </row>
    <row r="20665" spans="1:9" x14ac:dyDescent="0.25">
      <c r="A20665">
        <v>608</v>
      </c>
      <c r="B20665" t="s">
        <v>4841</v>
      </c>
      <c r="C20665" t="s">
        <v>48</v>
      </c>
      <c r="D20665" t="s">
        <v>327</v>
      </c>
      <c r="E20665">
        <f t="shared" si="986"/>
        <v>3.7037037037037035E-2</v>
      </c>
      <c r="F20665">
        <v>46</v>
      </c>
      <c r="G20665">
        <f>LOG(382/(46+1))</f>
        <v>0.90996550497599127</v>
      </c>
      <c r="H20665">
        <f>0.037037037037037*2.09527300689651</f>
        <v>7.7602703959129923E-2</v>
      </c>
      <c r="I20665">
        <v>7.7602703959130229E-2</v>
      </c>
    </row>
    <row r="20666" spans="1:9" x14ac:dyDescent="0.25">
      <c r="A20666">
        <v>608</v>
      </c>
      <c r="B20666" t="s">
        <v>4841</v>
      </c>
      <c r="C20666" t="s">
        <v>48</v>
      </c>
      <c r="D20666" t="s">
        <v>222</v>
      </c>
      <c r="E20666">
        <f t="shared" si="986"/>
        <v>3.7037037037037035E-2</v>
      </c>
      <c r="F20666">
        <v>22</v>
      </c>
      <c r="G20666">
        <f>LOG(382/(22+1))</f>
        <v>1.2203355268941158</v>
      </c>
      <c r="H20666">
        <f>0.037037037037037*2.80992639267742</f>
        <v>0.10407134787694138</v>
      </c>
      <c r="I20666">
        <v>0.10407134787694169</v>
      </c>
    </row>
    <row r="20667" spans="1:9" x14ac:dyDescent="0.25">
      <c r="A20667">
        <v>608</v>
      </c>
      <c r="B20667" t="s">
        <v>4841</v>
      </c>
      <c r="C20667" t="s">
        <v>48</v>
      </c>
      <c r="D20667" t="s">
        <v>1525</v>
      </c>
      <c r="E20667">
        <f t="shared" si="986"/>
        <v>3.7037037037037035E-2</v>
      </c>
      <c r="F20667">
        <v>8</v>
      </c>
      <c r="G20667">
        <f>LOG(382/(8+1))</f>
        <v>1.6278208534723839</v>
      </c>
      <c r="H20667">
        <f>0.037037037037037*3.74819603127035</f>
        <v>0.13882207523223505</v>
      </c>
      <c r="I20667">
        <v>0.13882207523223539</v>
      </c>
    </row>
    <row r="20668" spans="1:9" x14ac:dyDescent="0.25">
      <c r="A20668">
        <v>608</v>
      </c>
      <c r="B20668" t="s">
        <v>4841</v>
      </c>
      <c r="C20668" t="s">
        <v>48</v>
      </c>
      <c r="D20668" t="s">
        <v>2505</v>
      </c>
      <c r="E20668">
        <f t="shared" si="986"/>
        <v>3.7037037037037035E-2</v>
      </c>
      <c r="F20668">
        <v>9</v>
      </c>
      <c r="G20668">
        <f>LOG(382/(9+1))</f>
        <v>1.5820633629117087</v>
      </c>
      <c r="H20668">
        <f>0.037037037037037*3.64283551561252</f>
        <v>0.13491983391157469</v>
      </c>
      <c r="I20668">
        <v>0.13491983391157519</v>
      </c>
    </row>
    <row r="20669" spans="1:9" x14ac:dyDescent="0.25">
      <c r="A20669">
        <v>609</v>
      </c>
      <c r="B20669" t="s">
        <v>4845</v>
      </c>
      <c r="C20669" t="s">
        <v>10</v>
      </c>
      <c r="D20669" t="s">
        <v>931</v>
      </c>
      <c r="E20669">
        <f>1/28</f>
        <v>3.5714285714285712E-2</v>
      </c>
      <c r="F20669">
        <v>22</v>
      </c>
      <c r="G20669">
        <f>LOG(382/(22+1))</f>
        <v>1.2203355268941158</v>
      </c>
      <c r="H20669">
        <f>0.0357142857142857*2.80992639267742</f>
        <v>0.10035451402419353</v>
      </c>
      <c r="I20669">
        <v>0.10035451402419381</v>
      </c>
    </row>
    <row r="20670" spans="1:9" x14ac:dyDescent="0.25">
      <c r="A20670">
        <v>609</v>
      </c>
      <c r="B20670" t="s">
        <v>4845</v>
      </c>
      <c r="C20670" t="s">
        <v>10</v>
      </c>
      <c r="D20670" t="s">
        <v>11</v>
      </c>
      <c r="E20670">
        <f>2/28</f>
        <v>7.1428571428571425E-2</v>
      </c>
      <c r="F20670">
        <v>83</v>
      </c>
      <c r="G20670">
        <f>LOG(382/(83+1))</f>
        <v>0.65778407684982709</v>
      </c>
      <c r="H20670">
        <f>0.0714285714285714*1.51460380976326</f>
        <v>0.10818598641166137</v>
      </c>
      <c r="I20670">
        <v>0.10818598641166149</v>
      </c>
    </row>
    <row r="20671" spans="1:9" x14ac:dyDescent="0.25">
      <c r="A20671">
        <v>609</v>
      </c>
      <c r="B20671" t="s">
        <v>4845</v>
      </c>
      <c r="C20671" t="s">
        <v>10</v>
      </c>
      <c r="D20671" t="s">
        <v>1832</v>
      </c>
      <c r="E20671">
        <f>2/28</f>
        <v>7.1428571428571425E-2</v>
      </c>
      <c r="F20671">
        <v>9</v>
      </c>
      <c r="G20671">
        <f>LOG(382/(9+1))</f>
        <v>1.5820633629117087</v>
      </c>
      <c r="H20671">
        <f>0.0714285714285714*3.64283551561252</f>
        <v>0.26020253682946559</v>
      </c>
      <c r="I20671">
        <v>0.26020253682946642</v>
      </c>
    </row>
    <row r="20672" spans="1:9" x14ac:dyDescent="0.25">
      <c r="A20672">
        <v>609</v>
      </c>
      <c r="B20672" t="s">
        <v>4845</v>
      </c>
      <c r="C20672" t="s">
        <v>10</v>
      </c>
      <c r="D20672" t="s">
        <v>4846</v>
      </c>
      <c r="E20672">
        <f>1/28</f>
        <v>3.5714285714285712E-2</v>
      </c>
      <c r="F20672">
        <v>1</v>
      </c>
      <c r="G20672">
        <f>LOG(382/(1+1))</f>
        <v>2.2810333672477277</v>
      </c>
      <c r="H20672">
        <f>0.0357142857142857*5.25227342804663</f>
        <v>0.18758119385880812</v>
      </c>
      <c r="I20672">
        <v>0.1875811938588082</v>
      </c>
    </row>
    <row r="20673" spans="1:9" x14ac:dyDescent="0.25">
      <c r="A20673">
        <v>609</v>
      </c>
      <c r="B20673" t="s">
        <v>4845</v>
      </c>
      <c r="C20673" t="s">
        <v>10</v>
      </c>
      <c r="D20673" t="s">
        <v>1238</v>
      </c>
      <c r="E20673">
        <f>1/28</f>
        <v>3.5714285714285712E-2</v>
      </c>
      <c r="F20673">
        <v>10</v>
      </c>
      <c r="G20673">
        <f>LOG(382/(10+1))</f>
        <v>1.5406706777534838</v>
      </c>
      <c r="H20673">
        <f>0.0357142857142857*3.5475253358082</f>
        <v>0.12669733342172138</v>
      </c>
      <c r="I20673">
        <v>0.1266973334217216</v>
      </c>
    </row>
    <row r="20674" spans="1:9" x14ac:dyDescent="0.25">
      <c r="A20674">
        <v>609</v>
      </c>
      <c r="B20674" t="s">
        <v>4845</v>
      </c>
      <c r="C20674" t="s">
        <v>10</v>
      </c>
      <c r="D20674" t="s">
        <v>23</v>
      </c>
      <c r="E20674">
        <f>2/28</f>
        <v>7.1428571428571425E-2</v>
      </c>
      <c r="F20674">
        <v>275</v>
      </c>
      <c r="G20674">
        <f>LOG(382/(275+1))</f>
        <v>0.14115428084649101</v>
      </c>
      <c r="H20674">
        <f>0.0714285714285714*0.325019742889425</f>
        <v>2.3215695920673202E-2</v>
      </c>
      <c r="I20674">
        <v>2.321569592067322E-2</v>
      </c>
    </row>
    <row r="20675" spans="1:9" x14ac:dyDescent="0.25">
      <c r="A20675">
        <v>609</v>
      </c>
      <c r="B20675" t="s">
        <v>4845</v>
      </c>
      <c r="C20675" t="s">
        <v>10</v>
      </c>
      <c r="D20675" t="s">
        <v>22</v>
      </c>
      <c r="E20675">
        <f t="shared" ref="E20675:E20693" si="987">1/28</f>
        <v>3.5714285714285712E-2</v>
      </c>
      <c r="F20675">
        <v>259</v>
      </c>
      <c r="G20675">
        <f>LOG(382/(259+1))</f>
        <v>0.16709001494089079</v>
      </c>
      <c r="H20675">
        <f>0.0357142857142857*0.384738977591047</f>
        <v>1.3740677771108815E-2</v>
      </c>
      <c r="I20675">
        <v>1.374067777110884E-2</v>
      </c>
    </row>
    <row r="20676" spans="1:9" x14ac:dyDescent="0.25">
      <c r="A20676">
        <v>609</v>
      </c>
      <c r="B20676" t="s">
        <v>4845</v>
      </c>
      <c r="C20676" t="s">
        <v>10</v>
      </c>
      <c r="D20676" t="s">
        <v>4847</v>
      </c>
      <c r="E20676">
        <f t="shared" si="987"/>
        <v>3.5714285714285712E-2</v>
      </c>
      <c r="F20676">
        <v>1</v>
      </c>
      <c r="G20676">
        <f>LOG(382/(1+1))</f>
        <v>2.2810333672477277</v>
      </c>
      <c r="H20676">
        <f>0.0357142857142857*5.25227342804663</f>
        <v>0.18758119385880812</v>
      </c>
      <c r="I20676">
        <v>0.1875811938588082</v>
      </c>
    </row>
    <row r="20677" spans="1:9" x14ac:dyDescent="0.25">
      <c r="A20677">
        <v>609</v>
      </c>
      <c r="B20677" t="s">
        <v>4845</v>
      </c>
      <c r="C20677" t="s">
        <v>10</v>
      </c>
      <c r="D20677" t="s">
        <v>4379</v>
      </c>
      <c r="E20677">
        <f t="shared" si="987"/>
        <v>3.5714285714285712E-2</v>
      </c>
      <c r="F20677">
        <v>3</v>
      </c>
      <c r="G20677">
        <f>LOG(382/(3+1))</f>
        <v>1.9800033715837464</v>
      </c>
      <c r="H20677">
        <f>0.0357142857142857*4.55912624748668</f>
        <v>0.16282593741023851</v>
      </c>
      <c r="I20677">
        <v>0.16282593741023871</v>
      </c>
    </row>
    <row r="20678" spans="1:9" x14ac:dyDescent="0.25">
      <c r="A20678">
        <v>609</v>
      </c>
      <c r="B20678" t="s">
        <v>4845</v>
      </c>
      <c r="C20678" t="s">
        <v>10</v>
      </c>
      <c r="D20678" t="s">
        <v>4380</v>
      </c>
      <c r="E20678">
        <f t="shared" si="987"/>
        <v>3.5714285714285712E-2</v>
      </c>
      <c r="F20678">
        <v>3</v>
      </c>
      <c r="G20678">
        <f>LOG(382/(3+1))</f>
        <v>1.9800033715837464</v>
      </c>
      <c r="H20678">
        <f>0.0357142857142857*4.55912624748668</f>
        <v>0.16282593741023851</v>
      </c>
      <c r="I20678">
        <v>0.16282593741023871</v>
      </c>
    </row>
    <row r="20679" spans="1:9" x14ac:dyDescent="0.25">
      <c r="A20679">
        <v>609</v>
      </c>
      <c r="B20679" t="s">
        <v>4845</v>
      </c>
      <c r="C20679" t="s">
        <v>10</v>
      </c>
      <c r="D20679" t="s">
        <v>1085</v>
      </c>
      <c r="E20679">
        <f t="shared" si="987"/>
        <v>3.5714285714285712E-2</v>
      </c>
      <c r="F20679">
        <v>16</v>
      </c>
      <c r="G20679">
        <f>LOG(382/(16+1))</f>
        <v>1.3516144415334348</v>
      </c>
      <c r="H20679">
        <f>0.0357142857142857*3.11220726455035</f>
        <v>0.11115025944822673</v>
      </c>
      <c r="I20679">
        <v>0.1111502594482271</v>
      </c>
    </row>
    <row r="20680" spans="1:9" x14ac:dyDescent="0.25">
      <c r="A20680">
        <v>609</v>
      </c>
      <c r="B20680" t="s">
        <v>4845</v>
      </c>
      <c r="C20680" t="s">
        <v>10</v>
      </c>
      <c r="D20680" t="s">
        <v>190</v>
      </c>
      <c r="E20680">
        <f t="shared" si="987"/>
        <v>3.5714285714285712E-2</v>
      </c>
      <c r="F20680">
        <v>23</v>
      </c>
      <c r="G20680">
        <f>LOG(382/(23+1))</f>
        <v>1.2018521212001028</v>
      </c>
      <c r="H20680">
        <f>0.0357142857142857*2.76736677825862</f>
        <v>9.883452779495068E-2</v>
      </c>
      <c r="I20680">
        <v>9.8834527794951055E-2</v>
      </c>
    </row>
    <row r="20681" spans="1:9" x14ac:dyDescent="0.25">
      <c r="A20681">
        <v>609</v>
      </c>
      <c r="B20681" t="s">
        <v>4845</v>
      </c>
      <c r="C20681" t="s">
        <v>10</v>
      </c>
      <c r="D20681" t="s">
        <v>1578</v>
      </c>
      <c r="E20681">
        <f t="shared" si="987"/>
        <v>3.5714285714285712E-2</v>
      </c>
      <c r="F20681">
        <v>8</v>
      </c>
      <c r="G20681">
        <f>LOG(382/(8+1))</f>
        <v>1.6278208534723839</v>
      </c>
      <c r="H20681">
        <f>0.0357142857142857*3.74819603127035</f>
        <v>0.133864143973941</v>
      </c>
      <c r="I20681">
        <v>0.13386414397394131</v>
      </c>
    </row>
    <row r="20682" spans="1:9" x14ac:dyDescent="0.25">
      <c r="A20682">
        <v>609</v>
      </c>
      <c r="B20682" t="s">
        <v>4845</v>
      </c>
      <c r="C20682" t="s">
        <v>10</v>
      </c>
      <c r="D20682" t="s">
        <v>726</v>
      </c>
      <c r="E20682">
        <f t="shared" si="987"/>
        <v>3.5714285714285712E-2</v>
      </c>
      <c r="F20682">
        <v>37</v>
      </c>
      <c r="G20682">
        <f>LOG(382/(37+1))</f>
        <v>1.0022797662948986</v>
      </c>
      <c r="H20682">
        <f>0.0357142857142857*2.30783444888018</f>
        <v>8.2422658888577818E-2</v>
      </c>
      <c r="I20682">
        <v>8.2422658888578179E-2</v>
      </c>
    </row>
    <row r="20683" spans="1:9" x14ac:dyDescent="0.25">
      <c r="A20683">
        <v>609</v>
      </c>
      <c r="B20683" t="s">
        <v>4845</v>
      </c>
      <c r="C20683" t="s">
        <v>10</v>
      </c>
      <c r="D20683" t="s">
        <v>4848</v>
      </c>
      <c r="E20683">
        <f t="shared" si="987"/>
        <v>3.5714285714285712E-2</v>
      </c>
      <c r="F20683">
        <v>1</v>
      </c>
      <c r="G20683">
        <f>LOG(382/(1+1))</f>
        <v>2.2810333672477277</v>
      </c>
      <c r="H20683">
        <f>0.0357142857142857*5.25227342804663</f>
        <v>0.18758119385880812</v>
      </c>
      <c r="I20683">
        <v>0.1875811938588082</v>
      </c>
    </row>
    <row r="20684" spans="1:9" x14ac:dyDescent="0.25">
      <c r="A20684">
        <v>609</v>
      </c>
      <c r="B20684" t="s">
        <v>4845</v>
      </c>
      <c r="C20684" t="s">
        <v>10</v>
      </c>
      <c r="D20684" t="s">
        <v>207</v>
      </c>
      <c r="E20684">
        <f t="shared" si="987"/>
        <v>3.5714285714285712E-2</v>
      </c>
      <c r="F20684">
        <v>21</v>
      </c>
      <c r="G20684">
        <f>LOG(382/(21+1))</f>
        <v>1.2396406820895025</v>
      </c>
      <c r="H20684">
        <f>0.0357142857142857*2.85437815524825</f>
        <v>0.10194207697315173</v>
      </c>
      <c r="I20684">
        <v>0.10194207697315209</v>
      </c>
    </row>
    <row r="20685" spans="1:9" x14ac:dyDescent="0.25">
      <c r="A20685">
        <v>609</v>
      </c>
      <c r="B20685" t="s">
        <v>4845</v>
      </c>
      <c r="C20685" t="s">
        <v>10</v>
      </c>
      <c r="D20685" t="s">
        <v>4504</v>
      </c>
      <c r="E20685">
        <f t="shared" si="987"/>
        <v>3.5714285714285712E-2</v>
      </c>
      <c r="F20685">
        <v>2</v>
      </c>
      <c r="G20685">
        <f>LOG(382/(2+1))</f>
        <v>2.1049421081920463</v>
      </c>
      <c r="H20685">
        <f>0.0357142857142857*4.84680831993846</f>
        <v>0.17310029714065922</v>
      </c>
      <c r="I20685">
        <v>0.1731002971406595</v>
      </c>
    </row>
    <row r="20686" spans="1:9" x14ac:dyDescent="0.25">
      <c r="A20686">
        <v>609</v>
      </c>
      <c r="B20686" t="s">
        <v>4845</v>
      </c>
      <c r="C20686" t="s">
        <v>10</v>
      </c>
      <c r="D20686" t="s">
        <v>372</v>
      </c>
      <c r="E20686">
        <f t="shared" si="987"/>
        <v>3.5714285714285712E-2</v>
      </c>
      <c r="F20686">
        <v>8</v>
      </c>
      <c r="G20686">
        <f>LOG(382/(8+1))</f>
        <v>1.6278208534723839</v>
      </c>
      <c r="H20686">
        <f>0.0357142857142857*3.74819603127035</f>
        <v>0.133864143973941</v>
      </c>
      <c r="I20686">
        <v>0.13386414397394131</v>
      </c>
    </row>
    <row r="20687" spans="1:9" x14ac:dyDescent="0.25">
      <c r="A20687">
        <v>609</v>
      </c>
      <c r="B20687" t="s">
        <v>4845</v>
      </c>
      <c r="C20687" t="s">
        <v>10</v>
      </c>
      <c r="D20687" t="s">
        <v>567</v>
      </c>
      <c r="E20687">
        <f t="shared" si="987"/>
        <v>3.5714285714285712E-2</v>
      </c>
      <c r="F20687">
        <v>4</v>
      </c>
      <c r="G20687">
        <f>LOG(382/(4+1))</f>
        <v>1.8830933585756899</v>
      </c>
      <c r="H20687">
        <f>0.0357142857142857*4.33598269617247</f>
        <v>0.15485652486330245</v>
      </c>
      <c r="I20687">
        <v>0.1548565248633027</v>
      </c>
    </row>
    <row r="20688" spans="1:9" x14ac:dyDescent="0.25">
      <c r="A20688">
        <v>609</v>
      </c>
      <c r="B20688" t="s">
        <v>4845</v>
      </c>
      <c r="C20688" t="s">
        <v>10</v>
      </c>
      <c r="D20688" t="s">
        <v>632</v>
      </c>
      <c r="E20688">
        <f t="shared" si="987"/>
        <v>3.5714285714285712E-2</v>
      </c>
      <c r="F20688">
        <v>7</v>
      </c>
      <c r="G20688">
        <f>LOG(382/(7+1))</f>
        <v>1.6789733759197651</v>
      </c>
      <c r="H20688">
        <f>0.0357142857142857*3.86597906692673</f>
        <v>0.13807068096166888</v>
      </c>
      <c r="I20688">
        <v>0.13807068096166919</v>
      </c>
    </row>
    <row r="20689" spans="1:9" x14ac:dyDescent="0.25">
      <c r="A20689">
        <v>609</v>
      </c>
      <c r="B20689" t="s">
        <v>4845</v>
      </c>
      <c r="C20689" t="s">
        <v>10</v>
      </c>
      <c r="D20689" t="s">
        <v>4849</v>
      </c>
      <c r="E20689">
        <f t="shared" si="987"/>
        <v>3.5714285714285712E-2</v>
      </c>
      <c r="F20689">
        <v>2</v>
      </c>
      <c r="G20689">
        <f>LOG(382/(2+1))</f>
        <v>2.1049421081920463</v>
      </c>
      <c r="H20689">
        <f>0.0357142857142857*4.84680831993846</f>
        <v>0.17310029714065922</v>
      </c>
      <c r="I20689">
        <v>0.1731002971406595</v>
      </c>
    </row>
    <row r="20690" spans="1:9" x14ac:dyDescent="0.25">
      <c r="A20690">
        <v>609</v>
      </c>
      <c r="B20690" t="s">
        <v>4845</v>
      </c>
      <c r="C20690" t="s">
        <v>10</v>
      </c>
      <c r="D20690" t="s">
        <v>4850</v>
      </c>
      <c r="E20690">
        <f t="shared" si="987"/>
        <v>3.5714285714285712E-2</v>
      </c>
      <c r="F20690">
        <v>2</v>
      </c>
      <c r="G20690">
        <f>LOG(382/(2+1))</f>
        <v>2.1049421081920463</v>
      </c>
      <c r="H20690">
        <f>0.0357142857142857*4.84680831993846</f>
        <v>0.17310029714065922</v>
      </c>
      <c r="I20690">
        <v>0.1731002971406595</v>
      </c>
    </row>
    <row r="20691" spans="1:9" x14ac:dyDescent="0.25">
      <c r="A20691">
        <v>609</v>
      </c>
      <c r="B20691" t="s">
        <v>4845</v>
      </c>
      <c r="C20691" t="s">
        <v>10</v>
      </c>
      <c r="D20691" t="s">
        <v>693</v>
      </c>
      <c r="E20691">
        <f t="shared" si="987"/>
        <v>3.5714285714285712E-2</v>
      </c>
      <c r="F20691">
        <v>25</v>
      </c>
      <c r="G20691">
        <f>LOG(382/(25+1))</f>
        <v>1.1670900149408907</v>
      </c>
      <c r="H20691">
        <f>0.0357142857142857*2.68732407058509</f>
        <v>9.5975859663753174E-2</v>
      </c>
      <c r="I20691">
        <v>9.5975859663753327E-2</v>
      </c>
    </row>
    <row r="20692" spans="1:9" x14ac:dyDescent="0.25">
      <c r="A20692">
        <v>609</v>
      </c>
      <c r="B20692" t="s">
        <v>4845</v>
      </c>
      <c r="C20692" t="s">
        <v>10</v>
      </c>
      <c r="D20692" t="s">
        <v>688</v>
      </c>
      <c r="E20692">
        <f t="shared" si="987"/>
        <v>3.5714285714285712E-2</v>
      </c>
      <c r="F20692">
        <v>23</v>
      </c>
      <c r="G20692">
        <f>LOG(382/(23+1))</f>
        <v>1.2018521212001028</v>
      </c>
      <c r="H20692">
        <f>0.0357142857142857*2.76736677825862</f>
        <v>9.883452779495068E-2</v>
      </c>
      <c r="I20692">
        <v>9.8834527794951055E-2</v>
      </c>
    </row>
    <row r="20693" spans="1:9" x14ac:dyDescent="0.25">
      <c r="A20693">
        <v>609</v>
      </c>
      <c r="B20693" t="s">
        <v>4845</v>
      </c>
      <c r="C20693" t="s">
        <v>10</v>
      </c>
      <c r="D20693" t="s">
        <v>2375</v>
      </c>
      <c r="E20693">
        <f t="shared" si="987"/>
        <v>3.5714285714285712E-2</v>
      </c>
      <c r="F20693">
        <v>2</v>
      </c>
      <c r="G20693">
        <f>LOG(382/(2+1))</f>
        <v>2.1049421081920463</v>
      </c>
      <c r="H20693">
        <f>0.0357142857142857*4.84680831993846</f>
        <v>0.17310029714065922</v>
      </c>
      <c r="I20693">
        <v>0.1731002971406595</v>
      </c>
    </row>
    <row r="20694" spans="1:9" x14ac:dyDescent="0.25">
      <c r="A20694">
        <v>610</v>
      </c>
      <c r="B20694" t="s">
        <v>4851</v>
      </c>
      <c r="C20694" t="s">
        <v>10</v>
      </c>
      <c r="D20694" t="s">
        <v>931</v>
      </c>
      <c r="E20694">
        <f>1/47</f>
        <v>2.1276595744680851E-2</v>
      </c>
      <c r="F20694">
        <v>22</v>
      </c>
      <c r="G20694">
        <f>LOG(382/(22+1))</f>
        <v>1.2203355268941158</v>
      </c>
      <c r="H20694">
        <f>0.0212765957446808*2.80992639267742</f>
        <v>5.978566792930666E-2</v>
      </c>
      <c r="I20694">
        <v>5.9785667929306917E-2</v>
      </c>
    </row>
    <row r="20695" spans="1:9" x14ac:dyDescent="0.25">
      <c r="A20695">
        <v>610</v>
      </c>
      <c r="B20695" t="s">
        <v>4851</v>
      </c>
      <c r="C20695" t="s">
        <v>10</v>
      </c>
      <c r="D20695" t="s">
        <v>11</v>
      </c>
      <c r="E20695">
        <f>2/47</f>
        <v>4.2553191489361701E-2</v>
      </c>
      <c r="F20695">
        <v>83</v>
      </c>
      <c r="G20695">
        <f>LOG(382/(83+1))</f>
        <v>0.65778407684982709</v>
      </c>
      <c r="H20695">
        <f>0.0425531914893617*1.51460380976326</f>
        <v>6.4451225947372764E-2</v>
      </c>
      <c r="I20695">
        <v>6.4451225947372834E-2</v>
      </c>
    </row>
    <row r="20696" spans="1:9" x14ac:dyDescent="0.25">
      <c r="A20696">
        <v>610</v>
      </c>
      <c r="B20696" t="s">
        <v>4851</v>
      </c>
      <c r="C20696" t="s">
        <v>10</v>
      </c>
      <c r="D20696" t="s">
        <v>1832</v>
      </c>
      <c r="E20696">
        <f>2/47</f>
        <v>4.2553191489361701E-2</v>
      </c>
      <c r="F20696">
        <v>9</v>
      </c>
      <c r="G20696">
        <f>LOG(382/(9+1))</f>
        <v>1.5820633629117087</v>
      </c>
      <c r="H20696">
        <f>0.0425531914893617*3.64283551561252</f>
        <v>0.15501427726010722</v>
      </c>
      <c r="I20696">
        <v>0.15501427726010761</v>
      </c>
    </row>
    <row r="20697" spans="1:9" x14ac:dyDescent="0.25">
      <c r="A20697">
        <v>610</v>
      </c>
      <c r="B20697" t="s">
        <v>4851</v>
      </c>
      <c r="C20697" t="s">
        <v>10</v>
      </c>
      <c r="D20697" t="s">
        <v>4852</v>
      </c>
      <c r="E20697">
        <f>2/47</f>
        <v>4.2553191489361701E-2</v>
      </c>
      <c r="F20697">
        <v>1</v>
      </c>
      <c r="G20697">
        <f>LOG(382/(1+1))</f>
        <v>2.2810333672477277</v>
      </c>
      <c r="H20697">
        <f>0.0425531914893617*5.25227342804663</f>
        <v>0.22350099693815445</v>
      </c>
      <c r="I20697">
        <v>0.22350099693815451</v>
      </c>
    </row>
    <row r="20698" spans="1:9" x14ac:dyDescent="0.25">
      <c r="A20698">
        <v>610</v>
      </c>
      <c r="B20698" t="s">
        <v>4851</v>
      </c>
      <c r="C20698" t="s">
        <v>10</v>
      </c>
      <c r="D20698" t="s">
        <v>4411</v>
      </c>
      <c r="E20698">
        <f>2/47</f>
        <v>4.2553191489361701E-2</v>
      </c>
      <c r="F20698">
        <v>6</v>
      </c>
      <c r="G20698">
        <f>LOG(382/(6+1))</f>
        <v>1.736965322897452</v>
      </c>
      <c r="H20698">
        <f>0.0425531914893617*3.99951045955126</f>
        <v>0.17019193444898978</v>
      </c>
      <c r="I20698">
        <v>0.17019193444898989</v>
      </c>
    </row>
    <row r="20699" spans="1:9" x14ac:dyDescent="0.25">
      <c r="A20699">
        <v>610</v>
      </c>
      <c r="B20699" t="s">
        <v>4851</v>
      </c>
      <c r="C20699" t="s">
        <v>10</v>
      </c>
      <c r="D20699" t="s">
        <v>22</v>
      </c>
      <c r="E20699">
        <f>1/47</f>
        <v>2.1276595744680851E-2</v>
      </c>
      <c r="F20699">
        <v>259</v>
      </c>
      <c r="G20699">
        <f>LOG(382/(259+1))</f>
        <v>0.16709001494089079</v>
      </c>
      <c r="H20699">
        <f>0.0212765957446808*0.384738977591047</f>
        <v>8.1859356934265125E-3</v>
      </c>
      <c r="I20699">
        <v>8.1859356934265437E-3</v>
      </c>
    </row>
    <row r="20700" spans="1:9" x14ac:dyDescent="0.25">
      <c r="A20700">
        <v>610</v>
      </c>
      <c r="B20700" t="s">
        <v>4851</v>
      </c>
      <c r="C20700" t="s">
        <v>10</v>
      </c>
      <c r="D20700" t="s">
        <v>23</v>
      </c>
      <c r="E20700">
        <f>1/47</f>
        <v>2.1276595744680851E-2</v>
      </c>
      <c r="F20700">
        <v>275</v>
      </c>
      <c r="G20700">
        <f>LOG(382/(275+1))</f>
        <v>0.14115428084649101</v>
      </c>
      <c r="H20700">
        <f>0.0212765957446808*0.325019742889425</f>
        <v>6.915313678498387E-3</v>
      </c>
      <c r="I20700">
        <v>6.915313678498407E-3</v>
      </c>
    </row>
    <row r="20701" spans="1:9" x14ac:dyDescent="0.25">
      <c r="A20701">
        <v>610</v>
      </c>
      <c r="B20701" t="s">
        <v>4851</v>
      </c>
      <c r="C20701" t="s">
        <v>10</v>
      </c>
      <c r="D20701" t="s">
        <v>247</v>
      </c>
      <c r="E20701">
        <f>1/47</f>
        <v>2.1276595744680851E-2</v>
      </c>
      <c r="F20701">
        <v>121</v>
      </c>
      <c r="G20701">
        <f>LOG(382/(121+1))</f>
        <v>0.49570353223696051</v>
      </c>
      <c r="H20701">
        <f>0.0212765957446808*1.14139956387331</f>
        <v>2.4285097103687391E-2</v>
      </c>
      <c r="I20701">
        <v>2.428509710368763E-2</v>
      </c>
    </row>
    <row r="20702" spans="1:9" x14ac:dyDescent="0.25">
      <c r="A20702">
        <v>610</v>
      </c>
      <c r="B20702" t="s">
        <v>4851</v>
      </c>
      <c r="C20702" t="s">
        <v>10</v>
      </c>
      <c r="D20702" t="s">
        <v>39</v>
      </c>
      <c r="E20702">
        <f>1/47</f>
        <v>2.1276595744680851E-2</v>
      </c>
      <c r="F20702">
        <v>145</v>
      </c>
      <c r="G20702">
        <f>LOG(382/(145+1))</f>
        <v>0.41771050712727159</v>
      </c>
      <c r="H20702">
        <f>0.0212765957446808*0.961813986898238</f>
        <v>2.0464127380813525E-2</v>
      </c>
      <c r="I20702">
        <v>2.0464127380813591E-2</v>
      </c>
    </row>
    <row r="20703" spans="1:9" x14ac:dyDescent="0.25">
      <c r="A20703">
        <v>610</v>
      </c>
      <c r="B20703" t="s">
        <v>4851</v>
      </c>
      <c r="C20703" t="s">
        <v>10</v>
      </c>
      <c r="D20703" t="s">
        <v>204</v>
      </c>
      <c r="E20703">
        <f>1/47</f>
        <v>2.1276595744680851E-2</v>
      </c>
      <c r="F20703">
        <v>166</v>
      </c>
      <c r="G20703">
        <f>LOG(382/(166+1))</f>
        <v>0.35934689176412549</v>
      </c>
      <c r="H20703">
        <f>0.0212765957446808*0.82742679618982</f>
        <v>1.760482545084719E-2</v>
      </c>
      <c r="I20703">
        <v>1.7604825450847239E-2</v>
      </c>
    </row>
    <row r="20704" spans="1:9" x14ac:dyDescent="0.25">
      <c r="A20704">
        <v>610</v>
      </c>
      <c r="B20704" t="s">
        <v>4851</v>
      </c>
      <c r="C20704" t="s">
        <v>10</v>
      </c>
      <c r="D20704" t="s">
        <v>331</v>
      </c>
      <c r="E20704">
        <f>2/47</f>
        <v>4.2553191489361701E-2</v>
      </c>
      <c r="F20704">
        <v>130</v>
      </c>
      <c r="G20704">
        <f>LOG(382/(130+1))</f>
        <v>0.46479206725594452</v>
      </c>
      <c r="H20704">
        <f>0.0425531914893617*1.07022328540542</f>
        <v>4.5541416400230642E-2</v>
      </c>
      <c r="I20704">
        <v>4.5541416400230787E-2</v>
      </c>
    </row>
    <row r="20705" spans="1:9" x14ac:dyDescent="0.25">
      <c r="A20705">
        <v>610</v>
      </c>
      <c r="B20705" t="s">
        <v>4851</v>
      </c>
      <c r="C20705" t="s">
        <v>10</v>
      </c>
      <c r="D20705" t="s">
        <v>4526</v>
      </c>
      <c r="E20705">
        <f>2/47</f>
        <v>4.2553191489361701E-2</v>
      </c>
      <c r="F20705">
        <v>5</v>
      </c>
      <c r="G20705">
        <f>LOG(382/(5+1))</f>
        <v>1.803912112528065</v>
      </c>
      <c r="H20705">
        <f>0.0425531914893617*4.15366113937852</f>
        <v>0.17675153784589445</v>
      </c>
      <c r="I20705">
        <v>0.17675153784589451</v>
      </c>
    </row>
    <row r="20706" spans="1:9" x14ac:dyDescent="0.25">
      <c r="A20706">
        <v>610</v>
      </c>
      <c r="B20706" t="s">
        <v>4851</v>
      </c>
      <c r="C20706" t="s">
        <v>10</v>
      </c>
      <c r="D20706" t="s">
        <v>680</v>
      </c>
      <c r="E20706">
        <f t="shared" ref="E20706:E20722" si="988">1/47</f>
        <v>2.1276595744680851E-2</v>
      </c>
      <c r="F20706">
        <v>25</v>
      </c>
      <c r="G20706">
        <f>LOG(382/(25+1))</f>
        <v>1.1670900149408907</v>
      </c>
      <c r="H20706">
        <f>0.0212765957446808*2.68732407058509</f>
        <v>5.7177107884789011E-2</v>
      </c>
      <c r="I20706">
        <v>5.7177107884789212E-2</v>
      </c>
    </row>
    <row r="20707" spans="1:9" x14ac:dyDescent="0.25">
      <c r="A20707">
        <v>610</v>
      </c>
      <c r="B20707" t="s">
        <v>4851</v>
      </c>
      <c r="C20707" t="s">
        <v>10</v>
      </c>
      <c r="D20707" t="s">
        <v>207</v>
      </c>
      <c r="E20707">
        <f t="shared" si="988"/>
        <v>2.1276595744680851E-2</v>
      </c>
      <c r="F20707">
        <v>21</v>
      </c>
      <c r="G20707">
        <f>LOG(382/(21+1))</f>
        <v>1.2396406820895025</v>
      </c>
      <c r="H20707">
        <f>0.0212765957446808*2.85437815524825</f>
        <v>6.0731450111664739E-2</v>
      </c>
      <c r="I20707">
        <v>6.0731450111665093E-2</v>
      </c>
    </row>
    <row r="20708" spans="1:9" x14ac:dyDescent="0.25">
      <c r="A20708">
        <v>610</v>
      </c>
      <c r="B20708" t="s">
        <v>4851</v>
      </c>
      <c r="C20708" t="s">
        <v>10</v>
      </c>
      <c r="D20708" t="s">
        <v>4853</v>
      </c>
      <c r="E20708">
        <f t="shared" si="988"/>
        <v>2.1276595744680851E-2</v>
      </c>
      <c r="F20708">
        <v>2</v>
      </c>
      <c r="G20708">
        <f>LOG(382/(2+1))</f>
        <v>2.1049421081920463</v>
      </c>
      <c r="H20708">
        <f>0.0212765957446808*4.84680831993846</f>
        <v>0.10312358127528613</v>
      </c>
      <c r="I20708">
        <v>0.10312358127528649</v>
      </c>
    </row>
    <row r="20709" spans="1:9" x14ac:dyDescent="0.25">
      <c r="A20709">
        <v>610</v>
      </c>
      <c r="B20709" t="s">
        <v>4851</v>
      </c>
      <c r="C20709" t="s">
        <v>10</v>
      </c>
      <c r="D20709" t="s">
        <v>42</v>
      </c>
      <c r="E20709">
        <f t="shared" si="988"/>
        <v>2.1276595744680851E-2</v>
      </c>
      <c r="F20709">
        <v>251</v>
      </c>
      <c r="G20709">
        <f>LOG(382/(251+1))</f>
        <v>0.18066282213016463</v>
      </c>
      <c r="H20709">
        <f>0.0212765957446808*0.415991521095151</f>
        <v>8.8508834275563813E-3</v>
      </c>
      <c r="I20709">
        <v>8.8508834275564229E-3</v>
      </c>
    </row>
    <row r="20710" spans="1:9" x14ac:dyDescent="0.25">
      <c r="A20710">
        <v>610</v>
      </c>
      <c r="B20710" t="s">
        <v>4851</v>
      </c>
      <c r="C20710" t="s">
        <v>10</v>
      </c>
      <c r="D20710" t="s">
        <v>600</v>
      </c>
      <c r="E20710">
        <f t="shared" si="988"/>
        <v>2.1276595744680851E-2</v>
      </c>
      <c r="F20710">
        <v>102</v>
      </c>
      <c r="G20710">
        <f>LOG(382/(102+1))</f>
        <v>0.56922613820653656</v>
      </c>
      <c r="H20710">
        <f>0.0212765957446808*1.31069162037693</f>
        <v>2.7887055752700573E-2</v>
      </c>
      <c r="I20710">
        <v>2.788705575270084E-2</v>
      </c>
    </row>
    <row r="20711" spans="1:9" x14ac:dyDescent="0.25">
      <c r="A20711">
        <v>610</v>
      </c>
      <c r="B20711" t="s">
        <v>4851</v>
      </c>
      <c r="C20711" t="s">
        <v>10</v>
      </c>
      <c r="D20711" t="s">
        <v>1931</v>
      </c>
      <c r="E20711">
        <f t="shared" si="988"/>
        <v>2.1276595744680851E-2</v>
      </c>
      <c r="F20711">
        <v>5</v>
      </c>
      <c r="G20711">
        <f>LOG(382/(5+1))</f>
        <v>1.803912112528065</v>
      </c>
      <c r="H20711">
        <f>0.0212765957446808*4.15366113937852</f>
        <v>8.8375768922947018E-2</v>
      </c>
      <c r="I20711">
        <v>8.8375768922947226E-2</v>
      </c>
    </row>
    <row r="20712" spans="1:9" x14ac:dyDescent="0.25">
      <c r="A20712">
        <v>610</v>
      </c>
      <c r="B20712" t="s">
        <v>4851</v>
      </c>
      <c r="C20712" t="s">
        <v>10</v>
      </c>
      <c r="D20712" t="s">
        <v>1028</v>
      </c>
      <c r="E20712">
        <f t="shared" si="988"/>
        <v>2.1276595744680851E-2</v>
      </c>
      <c r="F20712">
        <v>2</v>
      </c>
      <c r="G20712">
        <f>LOG(382/(2+1))</f>
        <v>2.1049421081920463</v>
      </c>
      <c r="H20712">
        <f>0.0212765957446808*4.84680831993846</f>
        <v>0.10312358127528613</v>
      </c>
      <c r="I20712">
        <v>0.10312358127528649</v>
      </c>
    </row>
    <row r="20713" spans="1:9" x14ac:dyDescent="0.25">
      <c r="A20713">
        <v>610</v>
      </c>
      <c r="B20713" t="s">
        <v>4851</v>
      </c>
      <c r="C20713" t="s">
        <v>10</v>
      </c>
      <c r="D20713" t="s">
        <v>4854</v>
      </c>
      <c r="E20713">
        <f t="shared" si="988"/>
        <v>2.1276595744680851E-2</v>
      </c>
      <c r="F20713">
        <v>2</v>
      </c>
      <c r="G20713">
        <f>LOG(382/(2+1))</f>
        <v>2.1049421081920463</v>
      </c>
      <c r="H20713">
        <f>0.0212765957446808*4.84680831993846</f>
        <v>0.10312358127528613</v>
      </c>
      <c r="I20713">
        <v>0.10312358127528649</v>
      </c>
    </row>
    <row r="20714" spans="1:9" x14ac:dyDescent="0.25">
      <c r="A20714">
        <v>610</v>
      </c>
      <c r="B20714" t="s">
        <v>4851</v>
      </c>
      <c r="C20714" t="s">
        <v>10</v>
      </c>
      <c r="D20714" t="s">
        <v>310</v>
      </c>
      <c r="E20714">
        <f t="shared" si="988"/>
        <v>2.1276595744680851E-2</v>
      </c>
      <c r="F20714">
        <v>50</v>
      </c>
      <c r="G20714">
        <f>LOG(382/(50+1))</f>
        <v>0.87449318681377242</v>
      </c>
      <c r="H20714">
        <f>0.0212765957446808*2.01359497588224</f>
        <v>4.2842446295366696E-2</v>
      </c>
      <c r="I20714">
        <v>4.2842446295367008E-2</v>
      </c>
    </row>
    <row r="20715" spans="1:9" x14ac:dyDescent="0.25">
      <c r="A20715">
        <v>610</v>
      </c>
      <c r="B20715" t="s">
        <v>4851</v>
      </c>
      <c r="C20715" t="s">
        <v>10</v>
      </c>
      <c r="D20715" t="s">
        <v>3374</v>
      </c>
      <c r="E20715">
        <f t="shared" si="988"/>
        <v>2.1276595744680851E-2</v>
      </c>
      <c r="F20715">
        <v>6</v>
      </c>
      <c r="G20715">
        <f>LOG(382/(6+1))</f>
        <v>1.736965322897452</v>
      </c>
      <c r="H20715">
        <f>0.0212765957446808*3.99951045955126</f>
        <v>8.5095967224494681E-2</v>
      </c>
      <c r="I20715">
        <v>8.5095967224494931E-2</v>
      </c>
    </row>
    <row r="20716" spans="1:9" x14ac:dyDescent="0.25">
      <c r="A20716">
        <v>610</v>
      </c>
      <c r="B20716" t="s">
        <v>4851</v>
      </c>
      <c r="C20716" t="s">
        <v>10</v>
      </c>
      <c r="D20716" t="s">
        <v>673</v>
      </c>
      <c r="E20716">
        <f t="shared" si="988"/>
        <v>2.1276595744680851E-2</v>
      </c>
      <c r="F20716">
        <v>16</v>
      </c>
      <c r="G20716">
        <f>LOG(382/(16+1))</f>
        <v>1.3516144415334348</v>
      </c>
      <c r="H20716">
        <f>0.0212765957446808*3.11220726455035</f>
        <v>6.6217175841496639E-2</v>
      </c>
      <c r="I20716">
        <v>6.6217175841497E-2</v>
      </c>
    </row>
    <row r="20717" spans="1:9" x14ac:dyDescent="0.25">
      <c r="A20717">
        <v>610</v>
      </c>
      <c r="B20717" t="s">
        <v>4851</v>
      </c>
      <c r="C20717" t="s">
        <v>10</v>
      </c>
      <c r="D20717" t="s">
        <v>214</v>
      </c>
      <c r="E20717">
        <f t="shared" si="988"/>
        <v>2.1276595744680851E-2</v>
      </c>
      <c r="F20717">
        <v>68</v>
      </c>
      <c r="G20717">
        <f>LOG(382/(68+1))</f>
        <v>0.74321427217445335</v>
      </c>
      <c r="H20717">
        <f>0.0212765957446808*1.71131410400931</f>
        <v>3.6410938383176716E-2</v>
      </c>
      <c r="I20717">
        <v>3.6410938383176931E-2</v>
      </c>
    </row>
    <row r="20718" spans="1:9" x14ac:dyDescent="0.25">
      <c r="A20718">
        <v>610</v>
      </c>
      <c r="B20718" t="s">
        <v>4851</v>
      </c>
      <c r="C20718" t="s">
        <v>10</v>
      </c>
      <c r="D20718" t="s">
        <v>1532</v>
      </c>
      <c r="E20718">
        <f t="shared" si="988"/>
        <v>2.1276595744680851E-2</v>
      </c>
      <c r="F20718">
        <v>28</v>
      </c>
      <c r="G20718">
        <f>LOG(382/(28+1))</f>
        <v>1.1196653650127526</v>
      </c>
      <c r="H20718">
        <f>0.0212765957446808*2.5781247786201</f>
        <v>5.485371869404454E-2</v>
      </c>
      <c r="I20718">
        <v>5.4853718694044713E-2</v>
      </c>
    </row>
    <row r="20719" spans="1:9" x14ac:dyDescent="0.25">
      <c r="A20719">
        <v>610</v>
      </c>
      <c r="B20719" t="s">
        <v>4851</v>
      </c>
      <c r="C20719" t="s">
        <v>10</v>
      </c>
      <c r="D20719" t="s">
        <v>25</v>
      </c>
      <c r="E20719">
        <f t="shared" si="988"/>
        <v>2.1276595744680851E-2</v>
      </c>
      <c r="F20719">
        <v>106</v>
      </c>
      <c r="G20719">
        <f>LOG(382/(106+1))</f>
        <v>0.55267958522649907</v>
      </c>
      <c r="H20719">
        <f>0.0212765957446808*1.27259177414466</f>
        <v>2.7076420726482059E-2</v>
      </c>
      <c r="I20719">
        <v>2.7076420726482319E-2</v>
      </c>
    </row>
    <row r="20720" spans="1:9" x14ac:dyDescent="0.25">
      <c r="A20720">
        <v>610</v>
      </c>
      <c r="B20720" t="s">
        <v>4851</v>
      </c>
      <c r="C20720" t="s">
        <v>10</v>
      </c>
      <c r="D20720" t="s">
        <v>241</v>
      </c>
      <c r="E20720">
        <f t="shared" si="988"/>
        <v>2.1276595744680851E-2</v>
      </c>
      <c r="F20720">
        <v>19</v>
      </c>
      <c r="G20720">
        <f>LOG(382/(19+1))</f>
        <v>1.2810333672477277</v>
      </c>
      <c r="H20720">
        <f>0.0212765957446808*2.94968833505258</f>
        <v>6.2759326277714314E-2</v>
      </c>
      <c r="I20720">
        <v>6.2759326277714564E-2</v>
      </c>
    </row>
    <row r="20721" spans="1:9" x14ac:dyDescent="0.25">
      <c r="A20721">
        <v>610</v>
      </c>
      <c r="B20721" t="s">
        <v>4851</v>
      </c>
      <c r="C20721" t="s">
        <v>10</v>
      </c>
      <c r="D20721" t="s">
        <v>357</v>
      </c>
      <c r="E20721">
        <f t="shared" si="988"/>
        <v>2.1276595744680851E-2</v>
      </c>
      <c r="F20721">
        <v>7</v>
      </c>
      <c r="G20721">
        <f>LOG(382/(7+1))</f>
        <v>1.6789733759197651</v>
      </c>
      <c r="H20721">
        <f>0.0212765957446808*3.86597906692673</f>
        <v>8.2254873764398315E-2</v>
      </c>
      <c r="I20721">
        <v>8.2254873764398703E-2</v>
      </c>
    </row>
    <row r="20722" spans="1:9" x14ac:dyDescent="0.25">
      <c r="A20722">
        <v>610</v>
      </c>
      <c r="B20722" t="s">
        <v>4851</v>
      </c>
      <c r="C20722" t="s">
        <v>10</v>
      </c>
      <c r="D20722" t="s">
        <v>589</v>
      </c>
      <c r="E20722">
        <f t="shared" si="988"/>
        <v>2.1276595744680851E-2</v>
      </c>
      <c r="F20722">
        <v>12</v>
      </c>
      <c r="G20722">
        <f>LOG(382/(12+1))</f>
        <v>1.468120010604872</v>
      </c>
      <c r="H20722">
        <f>0.0212765957446808*3.38047125114503</f>
        <v>7.1924920237128126E-2</v>
      </c>
      <c r="I20722">
        <v>7.1924920237128473E-2</v>
      </c>
    </row>
    <row r="20723" spans="1:9" x14ac:dyDescent="0.25">
      <c r="A20723">
        <v>610</v>
      </c>
      <c r="B20723" t="s">
        <v>4851</v>
      </c>
      <c r="C20723" t="s">
        <v>10</v>
      </c>
      <c r="D20723" t="s">
        <v>1379</v>
      </c>
      <c r="E20723">
        <f>2/47</f>
        <v>4.2553191489361701E-2</v>
      </c>
      <c r="F20723">
        <v>2</v>
      </c>
      <c r="G20723">
        <f>LOG(382/(2+1))</f>
        <v>2.1049421081920463</v>
      </c>
      <c r="H20723">
        <f>0.0425531914893617*4.84680831993846</f>
        <v>0.20624716255057277</v>
      </c>
      <c r="I20723">
        <v>0.20624716255057299</v>
      </c>
    </row>
    <row r="20724" spans="1:9" x14ac:dyDescent="0.25">
      <c r="A20724">
        <v>610</v>
      </c>
      <c r="B20724" t="s">
        <v>4851</v>
      </c>
      <c r="C20724" t="s">
        <v>10</v>
      </c>
      <c r="D20724" t="s">
        <v>4855</v>
      </c>
      <c r="E20724">
        <f t="shared" ref="E20724:E20733" si="989">1/47</f>
        <v>2.1276595744680851E-2</v>
      </c>
      <c r="F20724">
        <v>1</v>
      </c>
      <c r="G20724">
        <f>LOG(382/(1+1))</f>
        <v>2.2810333672477277</v>
      </c>
      <c r="H20724">
        <f>0.0212765957446808*5.25227342804663</f>
        <v>0.11175049846907696</v>
      </c>
      <c r="I20724">
        <v>0.1117504984690772</v>
      </c>
    </row>
    <row r="20725" spans="1:9" x14ac:dyDescent="0.25">
      <c r="A20725">
        <v>610</v>
      </c>
      <c r="B20725" t="s">
        <v>4851</v>
      </c>
      <c r="C20725" t="s">
        <v>10</v>
      </c>
      <c r="D20725" t="s">
        <v>4499</v>
      </c>
      <c r="E20725">
        <f t="shared" si="989"/>
        <v>2.1276595744680851E-2</v>
      </c>
      <c r="F20725">
        <v>2</v>
      </c>
      <c r="G20725">
        <f>LOG(382/(2+1))</f>
        <v>2.1049421081920463</v>
      </c>
      <c r="H20725">
        <f>0.0212765957446808*4.84680831993846</f>
        <v>0.10312358127528613</v>
      </c>
      <c r="I20725">
        <v>0.10312358127528649</v>
      </c>
    </row>
    <row r="20726" spans="1:9" x14ac:dyDescent="0.25">
      <c r="A20726">
        <v>610</v>
      </c>
      <c r="B20726" t="s">
        <v>4851</v>
      </c>
      <c r="C20726" t="s">
        <v>10</v>
      </c>
      <c r="D20726" t="s">
        <v>301</v>
      </c>
      <c r="E20726">
        <f t="shared" si="989"/>
        <v>2.1276595744680851E-2</v>
      </c>
      <c r="F20726">
        <v>5</v>
      </c>
      <c r="G20726">
        <f>LOG(382/(5+1))</f>
        <v>1.803912112528065</v>
      </c>
      <c r="H20726">
        <f>0.0212765957446808*4.15366113937852</f>
        <v>8.8375768922947018E-2</v>
      </c>
      <c r="I20726">
        <v>8.8375768922947226E-2</v>
      </c>
    </row>
    <row r="20727" spans="1:9" x14ac:dyDescent="0.25">
      <c r="A20727">
        <v>610</v>
      </c>
      <c r="B20727" t="s">
        <v>4851</v>
      </c>
      <c r="C20727" t="s">
        <v>10</v>
      </c>
      <c r="D20727" t="s">
        <v>764</v>
      </c>
      <c r="E20727">
        <f t="shared" si="989"/>
        <v>2.1276595744680851E-2</v>
      </c>
      <c r="F20727">
        <v>57</v>
      </c>
      <c r="G20727">
        <f>LOG(382/(57+1))</f>
        <v>0.81863536934877146</v>
      </c>
      <c r="H20727">
        <f>0.0212765957446808*1.88497759806015</f>
        <v>4.0105906341705216E-2</v>
      </c>
      <c r="I20727">
        <v>4.0105906341705438E-2</v>
      </c>
    </row>
    <row r="20728" spans="1:9" x14ac:dyDescent="0.25">
      <c r="A20728">
        <v>610</v>
      </c>
      <c r="B20728" t="s">
        <v>4851</v>
      </c>
      <c r="C20728" t="s">
        <v>10</v>
      </c>
      <c r="D20728" t="s">
        <v>1135</v>
      </c>
      <c r="E20728">
        <f t="shared" si="989"/>
        <v>2.1276595744680851E-2</v>
      </c>
      <c r="F20728">
        <v>7</v>
      </c>
      <c r="G20728">
        <f>LOG(382/(7+1))</f>
        <v>1.6789733759197651</v>
      </c>
      <c r="H20728">
        <f>0.0212765957446808*3.86597906692673</f>
        <v>8.2254873764398315E-2</v>
      </c>
      <c r="I20728">
        <v>8.2254873764398703E-2</v>
      </c>
    </row>
    <row r="20729" spans="1:9" x14ac:dyDescent="0.25">
      <c r="A20729">
        <v>610</v>
      </c>
      <c r="B20729" t="s">
        <v>4851</v>
      </c>
      <c r="C20729" t="s">
        <v>10</v>
      </c>
      <c r="D20729" t="s">
        <v>237</v>
      </c>
      <c r="E20729">
        <f t="shared" si="989"/>
        <v>2.1276595744680851E-2</v>
      </c>
      <c r="F20729">
        <v>138</v>
      </c>
      <c r="G20729">
        <f>LOG(382/(138+1))</f>
        <v>0.43904856265761361</v>
      </c>
      <c r="H20729">
        <f>0.0212765957446808*1.01094667547588</f>
        <v>2.1509503733529309E-2</v>
      </c>
      <c r="I20729">
        <v>2.1509503733529431E-2</v>
      </c>
    </row>
    <row r="20730" spans="1:9" x14ac:dyDescent="0.25">
      <c r="A20730">
        <v>610</v>
      </c>
      <c r="B20730" t="s">
        <v>4851</v>
      </c>
      <c r="C20730" t="s">
        <v>10</v>
      </c>
      <c r="D20730" t="s">
        <v>133</v>
      </c>
      <c r="E20730">
        <f t="shared" si="989"/>
        <v>2.1276595744680851E-2</v>
      </c>
      <c r="F20730">
        <v>142</v>
      </c>
      <c r="G20730">
        <f>LOG(382/(142+1))</f>
        <v>0.42672732544664693</v>
      </c>
      <c r="H20730">
        <f>0.0212765957446808*0.982575978346667</f>
        <v>2.0905871879716268E-2</v>
      </c>
      <c r="I20730">
        <v>2.0905871879716341E-2</v>
      </c>
    </row>
    <row r="20731" spans="1:9" x14ac:dyDescent="0.25">
      <c r="A20731">
        <v>610</v>
      </c>
      <c r="B20731" t="s">
        <v>4851</v>
      </c>
      <c r="C20731" t="s">
        <v>10</v>
      </c>
      <c r="D20731" t="s">
        <v>76</v>
      </c>
      <c r="E20731">
        <f t="shared" si="989"/>
        <v>2.1276595744680851E-2</v>
      </c>
      <c r="F20731">
        <v>140</v>
      </c>
      <c r="G20731">
        <f>LOG(382/(140+1))</f>
        <v>0.43284425025632883</v>
      </c>
      <c r="H20731">
        <f>0.0212765957446808*0.996660718228407</f>
        <v>2.1205547196349032E-2</v>
      </c>
      <c r="I20731">
        <v>2.1205547196349081E-2</v>
      </c>
    </row>
    <row r="20732" spans="1:9" x14ac:dyDescent="0.25">
      <c r="A20732">
        <v>610</v>
      </c>
      <c r="B20732" t="s">
        <v>4851</v>
      </c>
      <c r="C20732" t="s">
        <v>10</v>
      </c>
      <c r="D20732" t="s">
        <v>1709</v>
      </c>
      <c r="E20732">
        <f t="shared" si="989"/>
        <v>2.1276595744680851E-2</v>
      </c>
      <c r="F20732">
        <v>21</v>
      </c>
      <c r="G20732">
        <f>LOG(382/(21+1))</f>
        <v>1.2396406820895025</v>
      </c>
      <c r="H20732">
        <f>0.0212765957446808*2.85437815524825</f>
        <v>6.0731450111664739E-2</v>
      </c>
      <c r="I20732">
        <v>6.0731450111665093E-2</v>
      </c>
    </row>
    <row r="20733" spans="1:9" x14ac:dyDescent="0.25">
      <c r="A20733">
        <v>610</v>
      </c>
      <c r="B20733" t="s">
        <v>4851</v>
      </c>
      <c r="C20733" t="s">
        <v>10</v>
      </c>
      <c r="D20733" t="s">
        <v>483</v>
      </c>
      <c r="E20733">
        <f t="shared" si="989"/>
        <v>2.1276595744680851E-2</v>
      </c>
      <c r="F20733">
        <v>61</v>
      </c>
      <c r="G20733">
        <f>LOG(382/(61+1))</f>
        <v>0.7896716734134549</v>
      </c>
      <c r="H20733">
        <f>0.0212765957446808*1.81828622356148</f>
        <v>3.8686940926839906E-2</v>
      </c>
      <c r="I20733">
        <v>3.8686940926840073E-2</v>
      </c>
    </row>
    <row r="20734" spans="1:9" x14ac:dyDescent="0.25">
      <c r="A20734">
        <v>611</v>
      </c>
      <c r="B20734" t="s">
        <v>4856</v>
      </c>
      <c r="C20734" t="s">
        <v>10</v>
      </c>
      <c r="D20734" t="s">
        <v>781</v>
      </c>
      <c r="E20734">
        <f>7/101</f>
        <v>6.9306930693069313E-2</v>
      </c>
      <c r="F20734">
        <v>8</v>
      </c>
      <c r="G20734">
        <f>LOG(382/(8+1))</f>
        <v>1.6278208534723839</v>
      </c>
      <c r="H20734">
        <f>0.0693069306930693*3.74819603127035</f>
        <v>0.25977596256329155</v>
      </c>
      <c r="I20734">
        <v>0.259775962563292</v>
      </c>
    </row>
    <row r="20735" spans="1:9" x14ac:dyDescent="0.25">
      <c r="A20735">
        <v>611</v>
      </c>
      <c r="B20735" t="s">
        <v>4856</v>
      </c>
      <c r="C20735" t="s">
        <v>10</v>
      </c>
      <c r="D20735" t="s">
        <v>276</v>
      </c>
      <c r="E20735">
        <f>4/101</f>
        <v>3.9603960396039604E-2</v>
      </c>
      <c r="F20735">
        <v>10</v>
      </c>
      <c r="G20735">
        <f>LOG(382/(10+1))</f>
        <v>1.5406706777534838</v>
      </c>
      <c r="H20735">
        <f>0.0396039603960396*3.5475253358082</f>
        <v>0.14049605290329503</v>
      </c>
      <c r="I20735">
        <v>0.1404960529032952</v>
      </c>
    </row>
    <row r="20736" spans="1:9" x14ac:dyDescent="0.25">
      <c r="A20736">
        <v>611</v>
      </c>
      <c r="B20736" t="s">
        <v>4856</v>
      </c>
      <c r="C20736" t="s">
        <v>10</v>
      </c>
      <c r="D20736" t="s">
        <v>104</v>
      </c>
      <c r="E20736">
        <f>4/101</f>
        <v>3.9603960396039604E-2</v>
      </c>
      <c r="F20736">
        <v>49</v>
      </c>
      <c r="G20736">
        <f>LOG(382/(49+1))</f>
        <v>0.88309335857568994</v>
      </c>
      <c r="H20736">
        <f>0.0396039603960396*2.03339760317842</f>
        <v>8.0530598145679991E-2</v>
      </c>
      <c r="I20736">
        <v>8.0530598145680352E-2</v>
      </c>
    </row>
    <row r="20737" spans="1:9" x14ac:dyDescent="0.25">
      <c r="A20737">
        <v>611</v>
      </c>
      <c r="B20737" t="s">
        <v>4856</v>
      </c>
      <c r="C20737" t="s">
        <v>10</v>
      </c>
      <c r="D20737" t="s">
        <v>4857</v>
      </c>
      <c r="E20737">
        <f>7/101</f>
        <v>6.9306930693069313E-2</v>
      </c>
      <c r="F20737">
        <v>1</v>
      </c>
      <c r="G20737">
        <f>LOG(382/(1+1))</f>
        <v>2.2810333672477277</v>
      </c>
      <c r="H20737">
        <f>0.0693069306930693*5.25227342804663</f>
        <v>0.36401895045867727</v>
      </c>
      <c r="I20737">
        <v>0.36401895045867733</v>
      </c>
    </row>
    <row r="20738" spans="1:9" x14ac:dyDescent="0.25">
      <c r="A20738">
        <v>611</v>
      </c>
      <c r="B20738" t="s">
        <v>4856</v>
      </c>
      <c r="C20738" t="s">
        <v>10</v>
      </c>
      <c r="D20738" t="s">
        <v>42</v>
      </c>
      <c r="E20738">
        <f>1/101</f>
        <v>9.9009900990099011E-3</v>
      </c>
      <c r="F20738">
        <v>251</v>
      </c>
      <c r="G20738">
        <f>LOG(382/(251+1))</f>
        <v>0.18066282213016463</v>
      </c>
      <c r="H20738">
        <f>0.0099009900990099*0.415991521095151</f>
        <v>4.1187279316351579E-3</v>
      </c>
      <c r="I20738">
        <v>4.1187279316351674E-3</v>
      </c>
    </row>
    <row r="20739" spans="1:9" x14ac:dyDescent="0.25">
      <c r="A20739">
        <v>611</v>
      </c>
      <c r="B20739" t="s">
        <v>4856</v>
      </c>
      <c r="C20739" t="s">
        <v>10</v>
      </c>
      <c r="D20739" t="s">
        <v>4411</v>
      </c>
      <c r="E20739">
        <f>1/101</f>
        <v>9.9009900990099011E-3</v>
      </c>
      <c r="F20739">
        <v>6</v>
      </c>
      <c r="G20739">
        <f>LOG(382/(6+1))</f>
        <v>1.736965322897452</v>
      </c>
      <c r="H20739">
        <f>0.0099009900990099*3.99951045955126</f>
        <v>3.9599113460903557E-2</v>
      </c>
      <c r="I20739">
        <v>3.9599113460903577E-2</v>
      </c>
    </row>
    <row r="20740" spans="1:9" x14ac:dyDescent="0.25">
      <c r="A20740">
        <v>611</v>
      </c>
      <c r="B20740" t="s">
        <v>4856</v>
      </c>
      <c r="C20740" t="s">
        <v>10</v>
      </c>
      <c r="D20740" t="s">
        <v>19</v>
      </c>
      <c r="E20740">
        <f>1/101</f>
        <v>9.9009900990099011E-3</v>
      </c>
      <c r="F20740">
        <v>220</v>
      </c>
      <c r="G20740">
        <f>LOG(382/(220+1))</f>
        <v>0.23767108922659805</v>
      </c>
      <c r="H20740">
        <f>0.0099009900990099*0.547257907088822</f>
        <v>5.4183951196913067E-3</v>
      </c>
      <c r="I20740">
        <v>5.418395119691311E-3</v>
      </c>
    </row>
    <row r="20741" spans="1:9" x14ac:dyDescent="0.25">
      <c r="A20741">
        <v>611</v>
      </c>
      <c r="B20741" t="s">
        <v>4856</v>
      </c>
      <c r="C20741" t="s">
        <v>10</v>
      </c>
      <c r="D20741" t="s">
        <v>1238</v>
      </c>
      <c r="E20741">
        <f>1/101</f>
        <v>9.9009900990099011E-3</v>
      </c>
      <c r="F20741">
        <v>10</v>
      </c>
      <c r="G20741">
        <f>LOG(382/(10+1))</f>
        <v>1.5406706777534838</v>
      </c>
      <c r="H20741">
        <f>0.0099009900990099*3.5475253358082</f>
        <v>3.5124013225823758E-2</v>
      </c>
      <c r="I20741">
        <v>3.5124013225823807E-2</v>
      </c>
    </row>
    <row r="20742" spans="1:9" x14ac:dyDescent="0.25">
      <c r="A20742">
        <v>611</v>
      </c>
      <c r="B20742" t="s">
        <v>4856</v>
      </c>
      <c r="C20742" t="s">
        <v>10</v>
      </c>
      <c r="D20742" t="s">
        <v>23</v>
      </c>
      <c r="E20742">
        <f>2/101</f>
        <v>1.9801980198019802E-2</v>
      </c>
      <c r="F20742">
        <v>275</v>
      </c>
      <c r="G20742">
        <f>LOG(382/(275+1))</f>
        <v>0.14115428084649101</v>
      </c>
      <c r="H20742">
        <f>0.0198019801980198*0.325019742889425</f>
        <v>6.4360345126618793E-3</v>
      </c>
      <c r="I20742">
        <v>6.4360345126618836E-3</v>
      </c>
    </row>
    <row r="20743" spans="1:9" x14ac:dyDescent="0.25">
      <c r="A20743">
        <v>611</v>
      </c>
      <c r="B20743" t="s">
        <v>4856</v>
      </c>
      <c r="C20743" t="s">
        <v>10</v>
      </c>
      <c r="D20743" t="s">
        <v>22</v>
      </c>
      <c r="E20743">
        <f>1/101</f>
        <v>9.9009900990099011E-3</v>
      </c>
      <c r="F20743">
        <v>259</v>
      </c>
      <c r="G20743">
        <f>LOG(382/(259+1))</f>
        <v>0.16709001494089079</v>
      </c>
      <c r="H20743">
        <f>0.0099009900990099*0.384738977591047</f>
        <v>3.8092968078321482E-3</v>
      </c>
      <c r="I20743">
        <v>3.8092968078321538E-3</v>
      </c>
    </row>
    <row r="20744" spans="1:9" x14ac:dyDescent="0.25">
      <c r="A20744">
        <v>611</v>
      </c>
      <c r="B20744" t="s">
        <v>4856</v>
      </c>
      <c r="C20744" t="s">
        <v>10</v>
      </c>
      <c r="D20744" t="s">
        <v>60</v>
      </c>
      <c r="E20744">
        <f>1/101</f>
        <v>9.9009900990099011E-3</v>
      </c>
      <c r="F20744">
        <v>24</v>
      </c>
      <c r="G20744">
        <f>LOG(382/(24+1))</f>
        <v>1.1841233542396712</v>
      </c>
      <c r="H20744">
        <f>0.0099009900990099*2.72654478373837</f>
        <v>2.6995492908300688E-2</v>
      </c>
      <c r="I20744">
        <v>2.699549290830074E-2</v>
      </c>
    </row>
    <row r="20745" spans="1:9" x14ac:dyDescent="0.25">
      <c r="A20745">
        <v>611</v>
      </c>
      <c r="B20745" t="s">
        <v>4856</v>
      </c>
      <c r="C20745" t="s">
        <v>10</v>
      </c>
      <c r="D20745" t="s">
        <v>650</v>
      </c>
      <c r="E20745">
        <f>1/101</f>
        <v>9.9009900990099011E-3</v>
      </c>
      <c r="F20745">
        <v>9</v>
      </c>
      <c r="G20745">
        <f>LOG(382/(9+1))</f>
        <v>1.5820633629117087</v>
      </c>
      <c r="H20745">
        <f>0.0099009900990099*3.64283551561252</f>
        <v>3.6067678372401185E-2</v>
      </c>
      <c r="I20745">
        <v>3.6067678372401282E-2</v>
      </c>
    </row>
    <row r="20746" spans="1:9" x14ac:dyDescent="0.25">
      <c r="A20746">
        <v>611</v>
      </c>
      <c r="B20746" t="s">
        <v>4856</v>
      </c>
      <c r="C20746" t="s">
        <v>10</v>
      </c>
      <c r="D20746" t="s">
        <v>38</v>
      </c>
      <c r="E20746">
        <f>1/101</f>
        <v>9.9009900990099011E-3</v>
      </c>
      <c r="F20746">
        <v>86</v>
      </c>
      <c r="G20746">
        <f>LOG(382/(86+1))</f>
        <v>0.64254411029309022</v>
      </c>
      <c r="H20746">
        <f>0.0099009900990099*1.47951248995199</f>
        <v>1.4648638514376136E-2</v>
      </c>
      <c r="I20746">
        <v>1.464863851437615E-2</v>
      </c>
    </row>
    <row r="20747" spans="1:9" x14ac:dyDescent="0.25">
      <c r="A20747">
        <v>611</v>
      </c>
      <c r="B20747" t="s">
        <v>4856</v>
      </c>
      <c r="C20747" t="s">
        <v>10</v>
      </c>
      <c r="D20747" t="s">
        <v>607</v>
      </c>
      <c r="E20747">
        <f>1/101</f>
        <v>9.9009900990099011E-3</v>
      </c>
      <c r="F20747">
        <v>6</v>
      </c>
      <c r="G20747">
        <f>LOG(382/(6+1))</f>
        <v>1.736965322897452</v>
      </c>
      <c r="H20747">
        <f>0.0099009900990099*3.99951045955126</f>
        <v>3.9599113460903557E-2</v>
      </c>
      <c r="I20747">
        <v>3.9599113460903577E-2</v>
      </c>
    </row>
    <row r="20748" spans="1:9" x14ac:dyDescent="0.25">
      <c r="A20748">
        <v>611</v>
      </c>
      <c r="B20748" t="s">
        <v>4856</v>
      </c>
      <c r="C20748" t="s">
        <v>10</v>
      </c>
      <c r="D20748" t="s">
        <v>52</v>
      </c>
      <c r="E20748">
        <f>2/101</f>
        <v>1.9801980198019802E-2</v>
      </c>
      <c r="F20748">
        <v>35</v>
      </c>
      <c r="G20748">
        <f>LOG(382/(35+1))</f>
        <v>1.0257608621444214</v>
      </c>
      <c r="H20748">
        <f>0.0198019801980198*2.36190167015046</f>
        <v>4.6770330101989298E-2</v>
      </c>
      <c r="I20748">
        <v>4.6770330101989402E-2</v>
      </c>
    </row>
    <row r="20749" spans="1:9" x14ac:dyDescent="0.25">
      <c r="A20749">
        <v>611</v>
      </c>
      <c r="B20749" t="s">
        <v>4856</v>
      </c>
      <c r="C20749" t="s">
        <v>10</v>
      </c>
      <c r="D20749" t="s">
        <v>94</v>
      </c>
      <c r="E20749">
        <f>1/101</f>
        <v>9.9009900990099011E-3</v>
      </c>
      <c r="F20749">
        <v>12</v>
      </c>
      <c r="G20749">
        <f>LOG(382/(12+1))</f>
        <v>1.468120010604872</v>
      </c>
      <c r="H20749">
        <f>0.0099009900990099*3.38047125114503</f>
        <v>3.3470012387574549E-2</v>
      </c>
      <c r="I20749">
        <v>3.3470012387574639E-2</v>
      </c>
    </row>
    <row r="20750" spans="1:9" x14ac:dyDescent="0.25">
      <c r="A20750">
        <v>611</v>
      </c>
      <c r="B20750" t="s">
        <v>4856</v>
      </c>
      <c r="C20750" t="s">
        <v>10</v>
      </c>
      <c r="D20750" t="s">
        <v>50</v>
      </c>
      <c r="E20750">
        <f>6/101</f>
        <v>5.9405940594059403E-2</v>
      </c>
      <c r="F20750">
        <v>109</v>
      </c>
      <c r="G20750">
        <f>LOG(382/(109+1))</f>
        <v>0.54067067775348365</v>
      </c>
      <c r="H20750">
        <f>0.0594059405940594*1.24494024281415</f>
        <v>7.3956846107771285E-2</v>
      </c>
      <c r="I20750">
        <v>7.3956846107771812E-2</v>
      </c>
    </row>
    <row r="20751" spans="1:9" x14ac:dyDescent="0.25">
      <c r="A20751">
        <v>611</v>
      </c>
      <c r="B20751" t="s">
        <v>4856</v>
      </c>
      <c r="C20751" t="s">
        <v>10</v>
      </c>
      <c r="D20751" t="s">
        <v>41</v>
      </c>
      <c r="E20751">
        <f>1/101</f>
        <v>9.9009900990099011E-3</v>
      </c>
      <c r="F20751">
        <v>195</v>
      </c>
      <c r="G20751">
        <f>LOG(382/(195+1))</f>
        <v>0.28980729155523272</v>
      </c>
      <c r="H20751">
        <f>0.0099009900990099*0.667305949376058</f>
        <v>6.6069895977827519E-3</v>
      </c>
      <c r="I20751">
        <v>6.6069895977827527E-3</v>
      </c>
    </row>
    <row r="20752" spans="1:9" x14ac:dyDescent="0.25">
      <c r="A20752">
        <v>611</v>
      </c>
      <c r="B20752" t="s">
        <v>4856</v>
      </c>
      <c r="C20752" t="s">
        <v>10</v>
      </c>
      <c r="D20752" t="s">
        <v>105</v>
      </c>
      <c r="E20752">
        <f>1/101</f>
        <v>9.9009900990099011E-3</v>
      </c>
      <c r="F20752">
        <v>122</v>
      </c>
      <c r="G20752">
        <f>LOG(382/(122+1))</f>
        <v>0.49215825147231079</v>
      </c>
      <c r="H20752">
        <f>0.0099009900990099*1.13323625323415</f>
        <v>1.1220160923110394E-2</v>
      </c>
      <c r="I20752">
        <v>1.122016092311047E-2</v>
      </c>
    </row>
    <row r="20753" spans="1:9" x14ac:dyDescent="0.25">
      <c r="A20753">
        <v>611</v>
      </c>
      <c r="B20753" t="s">
        <v>4856</v>
      </c>
      <c r="C20753" t="s">
        <v>10</v>
      </c>
      <c r="D20753" t="s">
        <v>1200</v>
      </c>
      <c r="E20753">
        <f>1/101</f>
        <v>9.9009900990099011E-3</v>
      </c>
      <c r="F20753">
        <v>3</v>
      </c>
      <c r="G20753">
        <f>LOG(382/(3+1))</f>
        <v>1.9800033715837464</v>
      </c>
      <c r="H20753">
        <f>0.0099009900990099*4.55912624748668</f>
        <v>4.5139863836501773E-2</v>
      </c>
      <c r="I20753">
        <v>4.5139863836501828E-2</v>
      </c>
    </row>
    <row r="20754" spans="1:9" x14ac:dyDescent="0.25">
      <c r="A20754">
        <v>611</v>
      </c>
      <c r="B20754" t="s">
        <v>4856</v>
      </c>
      <c r="C20754" t="s">
        <v>10</v>
      </c>
      <c r="D20754" t="s">
        <v>1018</v>
      </c>
      <c r="E20754">
        <f>1/101</f>
        <v>9.9009900990099011E-3</v>
      </c>
      <c r="F20754">
        <v>6</v>
      </c>
      <c r="G20754">
        <f>LOG(382/(6+1))</f>
        <v>1.736965322897452</v>
      </c>
      <c r="H20754">
        <f>0.0099009900990099*3.99951045955126</f>
        <v>3.9599113460903557E-2</v>
      </c>
      <c r="I20754">
        <v>3.9599113460903577E-2</v>
      </c>
    </row>
    <row r="20755" spans="1:9" x14ac:dyDescent="0.25">
      <c r="A20755">
        <v>611</v>
      </c>
      <c r="B20755" t="s">
        <v>4856</v>
      </c>
      <c r="C20755" t="s">
        <v>10</v>
      </c>
      <c r="D20755" t="s">
        <v>4518</v>
      </c>
      <c r="E20755">
        <f>1/101</f>
        <v>9.9009900990099011E-3</v>
      </c>
      <c r="F20755">
        <v>2</v>
      </c>
      <c r="G20755">
        <f>LOG(382/(2+1))</f>
        <v>2.1049421081920463</v>
      </c>
      <c r="H20755">
        <f>0.0099009900990099*4.84680831993846</f>
        <v>4.7988201187509495E-2</v>
      </c>
      <c r="I20755">
        <v>4.7988201187509558E-2</v>
      </c>
    </row>
    <row r="20756" spans="1:9" x14ac:dyDescent="0.25">
      <c r="A20756">
        <v>611</v>
      </c>
      <c r="B20756" t="s">
        <v>4856</v>
      </c>
      <c r="C20756" t="s">
        <v>10</v>
      </c>
      <c r="D20756" t="s">
        <v>53</v>
      </c>
      <c r="E20756">
        <f>3/101</f>
        <v>2.9702970297029702E-2</v>
      </c>
      <c r="F20756">
        <v>57</v>
      </c>
      <c r="G20756">
        <f>LOG(382/(57+1))</f>
        <v>0.81863536934877146</v>
      </c>
      <c r="H20756">
        <f>0.0297029702970297*1.88497759806015</f>
        <v>5.5989433605747027E-2</v>
      </c>
      <c r="I20756">
        <v>5.5989433605747201E-2</v>
      </c>
    </row>
    <row r="20757" spans="1:9" x14ac:dyDescent="0.25">
      <c r="A20757">
        <v>611</v>
      </c>
      <c r="B20757" t="s">
        <v>4856</v>
      </c>
      <c r="C20757" t="s">
        <v>10</v>
      </c>
      <c r="D20757" t="s">
        <v>25</v>
      </c>
      <c r="E20757">
        <f t="shared" ref="E20757:E20763" si="990">1/101</f>
        <v>9.9009900990099011E-3</v>
      </c>
      <c r="F20757">
        <v>106</v>
      </c>
      <c r="G20757">
        <f>LOG(382/(106+1))</f>
        <v>0.55267958522649907</v>
      </c>
      <c r="H20757">
        <f>0.0099009900990099*1.27259177414466</f>
        <v>1.2599918555887721E-2</v>
      </c>
      <c r="I20757">
        <v>1.259991855588781E-2</v>
      </c>
    </row>
    <row r="20758" spans="1:9" x14ac:dyDescent="0.25">
      <c r="A20758">
        <v>611</v>
      </c>
      <c r="B20758" t="s">
        <v>4856</v>
      </c>
      <c r="C20758" t="s">
        <v>10</v>
      </c>
      <c r="D20758" t="s">
        <v>1639</v>
      </c>
      <c r="E20758">
        <f t="shared" si="990"/>
        <v>9.9009900990099011E-3</v>
      </c>
      <c r="F20758">
        <v>10</v>
      </c>
      <c r="G20758">
        <f>LOG(382/(10+1))</f>
        <v>1.5406706777534838</v>
      </c>
      <c r="H20758">
        <f>0.0099009900990099*3.5475253358082</f>
        <v>3.5124013225823758E-2</v>
      </c>
      <c r="I20758">
        <v>3.5124013225823807E-2</v>
      </c>
    </row>
    <row r="20759" spans="1:9" x14ac:dyDescent="0.25">
      <c r="A20759">
        <v>611</v>
      </c>
      <c r="B20759" t="s">
        <v>4856</v>
      </c>
      <c r="C20759" t="s">
        <v>10</v>
      </c>
      <c r="D20759" t="s">
        <v>363</v>
      </c>
      <c r="E20759">
        <f t="shared" si="990"/>
        <v>9.9009900990099011E-3</v>
      </c>
      <c r="F20759">
        <v>36</v>
      </c>
      <c r="G20759">
        <f>LOG(382/(36+1))</f>
        <v>1.0138616388447137</v>
      </c>
      <c r="H20759">
        <f>0.0099009900990099*2.33450269596235</f>
        <v>2.3113888078835146E-2</v>
      </c>
      <c r="I20759">
        <v>2.311388807883516E-2</v>
      </c>
    </row>
    <row r="20760" spans="1:9" x14ac:dyDescent="0.25">
      <c r="A20760">
        <v>611</v>
      </c>
      <c r="B20760" t="s">
        <v>4856</v>
      </c>
      <c r="C20760" t="s">
        <v>10</v>
      </c>
      <c r="D20760" t="s">
        <v>2311</v>
      </c>
      <c r="E20760">
        <f t="shared" si="990"/>
        <v>9.9009900990099011E-3</v>
      </c>
      <c r="F20760">
        <v>3</v>
      </c>
      <c r="G20760">
        <f>LOG(382/(3+1))</f>
        <v>1.9800033715837464</v>
      </c>
      <c r="H20760">
        <f>0.0099009900990099*4.55912624748668</f>
        <v>4.5139863836501773E-2</v>
      </c>
      <c r="I20760">
        <v>4.5139863836501828E-2</v>
      </c>
    </row>
    <row r="20761" spans="1:9" x14ac:dyDescent="0.25">
      <c r="A20761">
        <v>611</v>
      </c>
      <c r="B20761" t="s">
        <v>4856</v>
      </c>
      <c r="C20761" t="s">
        <v>10</v>
      </c>
      <c r="D20761" t="s">
        <v>627</v>
      </c>
      <c r="E20761">
        <f t="shared" si="990"/>
        <v>9.9009900990099011E-3</v>
      </c>
      <c r="F20761">
        <v>2</v>
      </c>
      <c r="G20761">
        <f>LOG(382/(2+1))</f>
        <v>2.1049421081920463</v>
      </c>
      <c r="H20761">
        <f>0.0099009900990099*4.84680831993846</f>
        <v>4.7988201187509495E-2</v>
      </c>
      <c r="I20761">
        <v>4.7988201187509558E-2</v>
      </c>
    </row>
    <row r="20762" spans="1:9" x14ac:dyDescent="0.25">
      <c r="A20762">
        <v>611</v>
      </c>
      <c r="B20762" t="s">
        <v>4856</v>
      </c>
      <c r="C20762" t="s">
        <v>10</v>
      </c>
      <c r="D20762" t="s">
        <v>31</v>
      </c>
      <c r="E20762">
        <f t="shared" si="990"/>
        <v>9.9009900990099011E-3</v>
      </c>
      <c r="F20762">
        <v>31</v>
      </c>
      <c r="G20762">
        <f>LOG(382/(31+1))</f>
        <v>1.0769133845918029</v>
      </c>
      <c r="H20762">
        <f>0.0099009900990099*2.47968470580684</f>
        <v>2.4551333720859797E-2</v>
      </c>
      <c r="I20762">
        <v>2.4551333720859891E-2</v>
      </c>
    </row>
    <row r="20763" spans="1:9" x14ac:dyDescent="0.25">
      <c r="A20763">
        <v>611</v>
      </c>
      <c r="B20763" t="s">
        <v>4856</v>
      </c>
      <c r="C20763" t="s">
        <v>10</v>
      </c>
      <c r="D20763" t="s">
        <v>352</v>
      </c>
      <c r="E20763">
        <f t="shared" si="990"/>
        <v>9.9009900990099011E-3</v>
      </c>
      <c r="F20763">
        <v>5</v>
      </c>
      <c r="G20763">
        <f>LOG(382/(5+1))</f>
        <v>1.803912112528065</v>
      </c>
      <c r="H20763">
        <f>0.0099009900990099*4.15366113937852</f>
        <v>4.1125357815628906E-2</v>
      </c>
      <c r="I20763">
        <v>4.1125357815628913E-2</v>
      </c>
    </row>
    <row r="20764" spans="1:9" x14ac:dyDescent="0.25">
      <c r="A20764">
        <v>611</v>
      </c>
      <c r="B20764" t="s">
        <v>4856</v>
      </c>
      <c r="C20764" t="s">
        <v>10</v>
      </c>
      <c r="D20764" t="s">
        <v>695</v>
      </c>
      <c r="E20764">
        <f>2/101</f>
        <v>1.9801980198019802E-2</v>
      </c>
      <c r="F20764">
        <v>13</v>
      </c>
      <c r="G20764">
        <f>LOG(382/(13+1))</f>
        <v>1.4359353272334707</v>
      </c>
      <c r="H20764">
        <f>0.0198019801980198*3.30636327899131</f>
        <v>6.5472540178045741E-2</v>
      </c>
      <c r="I20764">
        <v>6.5472540178045865E-2</v>
      </c>
    </row>
    <row r="20765" spans="1:9" x14ac:dyDescent="0.25">
      <c r="A20765">
        <v>611</v>
      </c>
      <c r="B20765" t="s">
        <v>4856</v>
      </c>
      <c r="C20765" t="s">
        <v>10</v>
      </c>
      <c r="E20765">
        <f>4/101</f>
        <v>3.9603960396039604E-2</v>
      </c>
      <c r="F20765">
        <v>20</v>
      </c>
      <c r="G20765">
        <f>LOG(382/(20+1))</f>
        <v>1.2598440681777894</v>
      </c>
      <c r="H20765">
        <f>0.0396039603960396*2.90089817088315</f>
        <v>0.11488705627259999</v>
      </c>
      <c r="I20765">
        <v>0.1148870562726001</v>
      </c>
    </row>
    <row r="20766" spans="1:9" x14ac:dyDescent="0.25">
      <c r="A20766">
        <v>611</v>
      </c>
      <c r="B20766" t="s">
        <v>4856</v>
      </c>
      <c r="C20766" t="s">
        <v>10</v>
      </c>
      <c r="D20766" t="s">
        <v>494</v>
      </c>
      <c r="E20766">
        <f>1/101</f>
        <v>9.9009900990099011E-3</v>
      </c>
      <c r="F20766">
        <v>2</v>
      </c>
      <c r="G20766">
        <f>LOG(382/(2+1))</f>
        <v>2.1049421081920463</v>
      </c>
      <c r="H20766">
        <f>0.0099009900990099*4.84680831993846</f>
        <v>4.7988201187509495E-2</v>
      </c>
      <c r="I20766">
        <v>4.7988201187509558E-2</v>
      </c>
    </row>
    <row r="20767" spans="1:9" x14ac:dyDescent="0.25">
      <c r="A20767">
        <v>611</v>
      </c>
      <c r="B20767" t="s">
        <v>4856</v>
      </c>
      <c r="C20767" t="s">
        <v>10</v>
      </c>
      <c r="D20767" t="s">
        <v>495</v>
      </c>
      <c r="E20767">
        <f>1/101</f>
        <v>9.9009900990099011E-3</v>
      </c>
      <c r="F20767">
        <v>2</v>
      </c>
      <c r="G20767">
        <f>LOG(382/(2+1))</f>
        <v>2.1049421081920463</v>
      </c>
      <c r="H20767">
        <f>0.0099009900990099*4.84680831993846</f>
        <v>4.7988201187509495E-2</v>
      </c>
      <c r="I20767">
        <v>4.7988201187509558E-2</v>
      </c>
    </row>
    <row r="20768" spans="1:9" x14ac:dyDescent="0.25">
      <c r="A20768">
        <v>611</v>
      </c>
      <c r="B20768" t="s">
        <v>4856</v>
      </c>
      <c r="C20768" t="s">
        <v>10</v>
      </c>
      <c r="D20768" t="s">
        <v>112</v>
      </c>
      <c r="E20768">
        <f>2/101</f>
        <v>1.9801980198019802E-2</v>
      </c>
      <c r="F20768">
        <v>52</v>
      </c>
      <c r="G20768">
        <f>LOG(382/(52+1))</f>
        <v>0.85778749331091964</v>
      </c>
      <c r="H20768">
        <f>0.0198019801980198*1.97512869505445</f>
        <v>3.9111459308008904E-2</v>
      </c>
      <c r="I20768">
        <v>3.9111459308008967E-2</v>
      </c>
    </row>
    <row r="20769" spans="1:9" x14ac:dyDescent="0.25">
      <c r="A20769">
        <v>611</v>
      </c>
      <c r="B20769" t="s">
        <v>4856</v>
      </c>
      <c r="C20769" t="s">
        <v>10</v>
      </c>
      <c r="D20769" t="s">
        <v>54</v>
      </c>
      <c r="E20769">
        <f>4/101</f>
        <v>3.9603960396039604E-2</v>
      </c>
      <c r="F20769">
        <v>25</v>
      </c>
      <c r="G20769">
        <f>LOG(382/(25+1))</f>
        <v>1.1670900149408907</v>
      </c>
      <c r="H20769">
        <f>0.0396039603960396*2.68732407058509</f>
        <v>0.10642867606277583</v>
      </c>
      <c r="I20769">
        <v>0.10642867606277601</v>
      </c>
    </row>
    <row r="20770" spans="1:9" x14ac:dyDescent="0.25">
      <c r="A20770">
        <v>611</v>
      </c>
      <c r="B20770" t="s">
        <v>4856</v>
      </c>
      <c r="C20770" t="s">
        <v>10</v>
      </c>
      <c r="D20770" t="s">
        <v>223</v>
      </c>
      <c r="E20770">
        <f>1/101</f>
        <v>9.9009900990099011E-3</v>
      </c>
      <c r="F20770">
        <v>2</v>
      </c>
      <c r="G20770">
        <f>LOG(382/(2+1))</f>
        <v>2.1049421081920463</v>
      </c>
      <c r="H20770">
        <f>0.0099009900990099*4.84680831993846</f>
        <v>4.7988201187509495E-2</v>
      </c>
      <c r="I20770">
        <v>4.7988201187509558E-2</v>
      </c>
    </row>
    <row r="20771" spans="1:9" x14ac:dyDescent="0.25">
      <c r="A20771">
        <v>611</v>
      </c>
      <c r="B20771" t="s">
        <v>4856</v>
      </c>
      <c r="C20771" t="s">
        <v>10</v>
      </c>
      <c r="D20771" t="s">
        <v>187</v>
      </c>
      <c r="E20771">
        <f>2/101</f>
        <v>1.9801980198019802E-2</v>
      </c>
      <c r="F20771">
        <v>21</v>
      </c>
      <c r="G20771">
        <f>LOG(382/(21+1))</f>
        <v>1.2396406820895025</v>
      </c>
      <c r="H20771">
        <f>0.0198019801980198*2.85437815524825</f>
        <v>5.6522339707886129E-2</v>
      </c>
      <c r="I20771">
        <v>5.6522339707886317E-2</v>
      </c>
    </row>
    <row r="20772" spans="1:9" x14ac:dyDescent="0.25">
      <c r="A20772">
        <v>611</v>
      </c>
      <c r="B20772" t="s">
        <v>4856</v>
      </c>
      <c r="C20772" t="s">
        <v>10</v>
      </c>
      <c r="D20772" t="s">
        <v>115</v>
      </c>
      <c r="E20772">
        <f>2/101</f>
        <v>1.9801980198019802E-2</v>
      </c>
      <c r="F20772">
        <v>17</v>
      </c>
      <c r="G20772">
        <f>LOG(382/(17+1))</f>
        <v>1.3267908578084027</v>
      </c>
      <c r="H20772">
        <f>0.0198019801980198*3.05504885071041</f>
        <v>6.0496016845750678E-2</v>
      </c>
      <c r="I20772">
        <v>6.0496016845750698E-2</v>
      </c>
    </row>
    <row r="20773" spans="1:9" x14ac:dyDescent="0.25">
      <c r="A20773">
        <v>611</v>
      </c>
      <c r="B20773" t="s">
        <v>4856</v>
      </c>
      <c r="C20773" t="s">
        <v>10</v>
      </c>
      <c r="D20773" t="s">
        <v>1136</v>
      </c>
      <c r="E20773">
        <f t="shared" ref="E20773:E20783" si="991">1/101</f>
        <v>9.9009900990099011E-3</v>
      </c>
      <c r="F20773">
        <v>4</v>
      </c>
      <c r="G20773">
        <f>LOG(382/(4+1))</f>
        <v>1.8830933585756899</v>
      </c>
      <c r="H20773">
        <f>0.0099009900990099*4.33598269617247</f>
        <v>4.2930521744281878E-2</v>
      </c>
      <c r="I20773">
        <v>4.2930521744281927E-2</v>
      </c>
    </row>
    <row r="20774" spans="1:9" x14ac:dyDescent="0.25">
      <c r="A20774">
        <v>611</v>
      </c>
      <c r="B20774" t="s">
        <v>4856</v>
      </c>
      <c r="C20774" t="s">
        <v>10</v>
      </c>
      <c r="D20774" t="s">
        <v>4858</v>
      </c>
      <c r="E20774">
        <f t="shared" si="991"/>
        <v>9.9009900990099011E-3</v>
      </c>
      <c r="F20774">
        <v>1</v>
      </c>
      <c r="G20774">
        <f>LOG(382/(1+1))</f>
        <v>2.2810333672477277</v>
      </c>
      <c r="H20774">
        <f>0.0099009900990099*5.25227342804663</f>
        <v>5.2002707208382466E-2</v>
      </c>
      <c r="I20774">
        <v>5.2002707208382473E-2</v>
      </c>
    </row>
    <row r="20775" spans="1:9" x14ac:dyDescent="0.25">
      <c r="A20775">
        <v>611</v>
      </c>
      <c r="B20775" t="s">
        <v>4856</v>
      </c>
      <c r="C20775" t="s">
        <v>10</v>
      </c>
      <c r="D20775" t="s">
        <v>258</v>
      </c>
      <c r="E20775">
        <f t="shared" si="991"/>
        <v>9.9009900990099011E-3</v>
      </c>
      <c r="F20775">
        <v>2</v>
      </c>
      <c r="G20775">
        <f>LOG(382/(2+1))</f>
        <v>2.1049421081920463</v>
      </c>
      <c r="H20775">
        <f>0.0099009900990099*4.84680831993846</f>
        <v>4.7988201187509495E-2</v>
      </c>
      <c r="I20775">
        <v>4.7988201187509558E-2</v>
      </c>
    </row>
    <row r="20776" spans="1:9" x14ac:dyDescent="0.25">
      <c r="A20776">
        <v>611</v>
      </c>
      <c r="B20776" t="s">
        <v>4856</v>
      </c>
      <c r="C20776" t="s">
        <v>10</v>
      </c>
      <c r="D20776" t="s">
        <v>4859</v>
      </c>
      <c r="E20776">
        <f t="shared" si="991"/>
        <v>9.9009900990099011E-3</v>
      </c>
      <c r="F20776">
        <v>1</v>
      </c>
      <c r="G20776">
        <f>LOG(382/(1+1))</f>
        <v>2.2810333672477277</v>
      </c>
      <c r="H20776">
        <f>0.0099009900990099*5.25227342804663</f>
        <v>5.2002707208382466E-2</v>
      </c>
      <c r="I20776">
        <v>5.2002707208382473E-2</v>
      </c>
    </row>
    <row r="20777" spans="1:9" x14ac:dyDescent="0.25">
      <c r="A20777">
        <v>611</v>
      </c>
      <c r="B20777" t="s">
        <v>4856</v>
      </c>
      <c r="C20777" t="s">
        <v>10</v>
      </c>
      <c r="D20777" t="s">
        <v>4860</v>
      </c>
      <c r="E20777">
        <f t="shared" si="991"/>
        <v>9.9009900990099011E-3</v>
      </c>
      <c r="F20777">
        <v>1</v>
      </c>
      <c r="G20777">
        <f>LOG(382/(1+1))</f>
        <v>2.2810333672477277</v>
      </c>
      <c r="H20777">
        <f>0.0099009900990099*5.25227342804663</f>
        <v>5.2002707208382466E-2</v>
      </c>
      <c r="I20777">
        <v>5.2002707208382473E-2</v>
      </c>
    </row>
    <row r="20778" spans="1:9" x14ac:dyDescent="0.25">
      <c r="A20778">
        <v>611</v>
      </c>
      <c r="B20778" t="s">
        <v>4856</v>
      </c>
      <c r="C20778" t="s">
        <v>10</v>
      </c>
      <c r="D20778" t="s">
        <v>304</v>
      </c>
      <c r="E20778">
        <f t="shared" si="991"/>
        <v>9.9009900990099011E-3</v>
      </c>
      <c r="F20778">
        <v>3</v>
      </c>
      <c r="G20778">
        <f>LOG(382/(3+1))</f>
        <v>1.9800033715837464</v>
      </c>
      <c r="H20778">
        <f>0.0099009900990099*4.55912624748668</f>
        <v>4.5139863836501773E-2</v>
      </c>
      <c r="I20778">
        <v>4.5139863836501828E-2</v>
      </c>
    </row>
    <row r="20779" spans="1:9" x14ac:dyDescent="0.25">
      <c r="A20779">
        <v>611</v>
      </c>
      <c r="B20779" t="s">
        <v>4856</v>
      </c>
      <c r="C20779" t="s">
        <v>10</v>
      </c>
      <c r="D20779" t="s">
        <v>4861</v>
      </c>
      <c r="E20779">
        <f t="shared" si="991"/>
        <v>9.9009900990099011E-3</v>
      </c>
      <c r="F20779">
        <v>1</v>
      </c>
      <c r="G20779">
        <f>LOG(382/(1+1))</f>
        <v>2.2810333672477277</v>
      </c>
      <c r="H20779">
        <f>0.0099009900990099*5.25227342804663</f>
        <v>5.2002707208382466E-2</v>
      </c>
      <c r="I20779">
        <v>5.2002707208382473E-2</v>
      </c>
    </row>
    <row r="20780" spans="1:9" x14ac:dyDescent="0.25">
      <c r="A20780">
        <v>611</v>
      </c>
      <c r="B20780" t="s">
        <v>4856</v>
      </c>
      <c r="C20780" t="s">
        <v>10</v>
      </c>
      <c r="D20780" t="s">
        <v>206</v>
      </c>
      <c r="E20780">
        <f t="shared" si="991"/>
        <v>9.9009900990099011E-3</v>
      </c>
      <c r="F20780">
        <v>3</v>
      </c>
      <c r="G20780">
        <f>LOG(382/(3+1))</f>
        <v>1.9800033715837464</v>
      </c>
      <c r="H20780">
        <f>0.0099009900990099*4.55912624748668</f>
        <v>4.5139863836501773E-2</v>
      </c>
      <c r="I20780">
        <v>4.5139863836501828E-2</v>
      </c>
    </row>
    <row r="20781" spans="1:9" x14ac:dyDescent="0.25">
      <c r="A20781">
        <v>611</v>
      </c>
      <c r="B20781" t="s">
        <v>4856</v>
      </c>
      <c r="C20781" t="s">
        <v>10</v>
      </c>
      <c r="D20781" t="s">
        <v>399</v>
      </c>
      <c r="E20781">
        <f t="shared" si="991"/>
        <v>9.9009900990099011E-3</v>
      </c>
      <c r="F20781">
        <v>27</v>
      </c>
      <c r="G20781">
        <f>LOG(382/(27+1))</f>
        <v>1.1349053315694895</v>
      </c>
      <c r="H20781">
        <f>0.0099009900990099*2.61321609843137</f>
        <v>2.5873426717142274E-2</v>
      </c>
      <c r="I20781">
        <v>2.5873426717142291E-2</v>
      </c>
    </row>
    <row r="20782" spans="1:9" x14ac:dyDescent="0.25">
      <c r="A20782">
        <v>611</v>
      </c>
      <c r="B20782" t="s">
        <v>4856</v>
      </c>
      <c r="C20782" t="s">
        <v>10</v>
      </c>
      <c r="D20782" t="s">
        <v>1127</v>
      </c>
      <c r="E20782">
        <f t="shared" si="991"/>
        <v>9.9009900990099011E-3</v>
      </c>
      <c r="F20782">
        <v>18</v>
      </c>
      <c r="G20782">
        <f>LOG(382/(18+1))</f>
        <v>1.3033097619588798</v>
      </c>
      <c r="H20782">
        <f>0.0099009900990099*3.00098162944013</f>
        <v>2.9712689400397323E-2</v>
      </c>
      <c r="I20782">
        <v>2.9712689400397368E-2</v>
      </c>
    </row>
    <row r="20783" spans="1:9" x14ac:dyDescent="0.25">
      <c r="A20783">
        <v>611</v>
      </c>
      <c r="B20783" t="s">
        <v>4856</v>
      </c>
      <c r="C20783" t="s">
        <v>10</v>
      </c>
      <c r="D20783" t="s">
        <v>1019</v>
      </c>
      <c r="E20783">
        <f t="shared" si="991"/>
        <v>9.9009900990099011E-3</v>
      </c>
      <c r="F20783">
        <v>7</v>
      </c>
      <c r="G20783">
        <f>LOG(382/(7+1))</f>
        <v>1.6789733759197651</v>
      </c>
      <c r="H20783">
        <f>0.0099009900990099*3.86597906692673</f>
        <v>3.8277020464621087E-2</v>
      </c>
      <c r="I20783">
        <v>3.8277020464621177E-2</v>
      </c>
    </row>
    <row r="20784" spans="1:9" x14ac:dyDescent="0.25">
      <c r="A20784">
        <v>611</v>
      </c>
      <c r="B20784" t="s">
        <v>4856</v>
      </c>
      <c r="C20784" t="s">
        <v>10</v>
      </c>
      <c r="D20784" t="s">
        <v>131</v>
      </c>
      <c r="E20784">
        <f>2/101</f>
        <v>1.9801980198019802E-2</v>
      </c>
      <c r="F20784">
        <v>38</v>
      </c>
      <c r="G20784">
        <f>LOG(382/(38+1))</f>
        <v>0.99099875588520958</v>
      </c>
      <c r="H20784">
        <f>0.0198019801980198*2.28185896247692</f>
        <v>4.5185325989641978E-2</v>
      </c>
      <c r="I20784">
        <v>4.5185325989642158E-2</v>
      </c>
    </row>
    <row r="20785" spans="1:9" x14ac:dyDescent="0.25">
      <c r="A20785">
        <v>611</v>
      </c>
      <c r="B20785" t="s">
        <v>4856</v>
      </c>
      <c r="C20785" t="s">
        <v>10</v>
      </c>
      <c r="D20785" t="s">
        <v>458</v>
      </c>
      <c r="E20785">
        <f t="shared" ref="E20785:E20796" si="992">1/101</f>
        <v>9.9009900990099011E-3</v>
      </c>
      <c r="F20785">
        <v>34</v>
      </c>
      <c r="G20785">
        <f>LOG(382/(34+1))</f>
        <v>1.037995318561433</v>
      </c>
      <c r="H20785">
        <f>0.0099009900990099*2.39007254711716</f>
        <v>2.3664084624922373E-2</v>
      </c>
      <c r="I20785">
        <v>2.366408462492239E-2</v>
      </c>
    </row>
    <row r="20786" spans="1:9" x14ac:dyDescent="0.25">
      <c r="A20786">
        <v>611</v>
      </c>
      <c r="B20786" t="s">
        <v>4856</v>
      </c>
      <c r="C20786" t="s">
        <v>10</v>
      </c>
      <c r="D20786" t="s">
        <v>1563</v>
      </c>
      <c r="E20786">
        <f t="shared" si="992"/>
        <v>9.9009900990099011E-3</v>
      </c>
      <c r="F20786">
        <v>3</v>
      </c>
      <c r="G20786">
        <f>LOG(382/(3+1))</f>
        <v>1.9800033715837464</v>
      </c>
      <c r="H20786">
        <f>0.0099009900990099*4.55912624748668</f>
        <v>4.5139863836501773E-2</v>
      </c>
      <c r="I20786">
        <v>4.5139863836501828E-2</v>
      </c>
    </row>
    <row r="20787" spans="1:9" x14ac:dyDescent="0.25">
      <c r="A20787">
        <v>611</v>
      </c>
      <c r="B20787" t="s">
        <v>4856</v>
      </c>
      <c r="C20787" t="s">
        <v>10</v>
      </c>
      <c r="D20787" t="s">
        <v>1283</v>
      </c>
      <c r="E20787">
        <f t="shared" si="992"/>
        <v>9.9009900990099011E-3</v>
      </c>
      <c r="F20787">
        <v>8</v>
      </c>
      <c r="G20787">
        <f>LOG(382/(8+1))</f>
        <v>1.6278208534723839</v>
      </c>
      <c r="H20787">
        <f>0.0099009900990099*3.74819603127035</f>
        <v>3.7110851794755935E-2</v>
      </c>
      <c r="I20787">
        <v>3.7110851794755997E-2</v>
      </c>
    </row>
    <row r="20788" spans="1:9" x14ac:dyDescent="0.25">
      <c r="A20788">
        <v>611</v>
      </c>
      <c r="B20788" t="s">
        <v>4856</v>
      </c>
      <c r="C20788" t="s">
        <v>10</v>
      </c>
      <c r="D20788" t="s">
        <v>224</v>
      </c>
      <c r="E20788">
        <f t="shared" si="992"/>
        <v>9.9009900990099011E-3</v>
      </c>
      <c r="F20788">
        <v>16</v>
      </c>
      <c r="G20788">
        <f>LOG(382/(16+1))</f>
        <v>1.3516144415334348</v>
      </c>
      <c r="H20788">
        <f>0.0099009900990099*3.11220726455035</f>
        <v>3.0813933312379697E-2</v>
      </c>
      <c r="I20788">
        <v>3.081393331237979E-2</v>
      </c>
    </row>
    <row r="20789" spans="1:9" x14ac:dyDescent="0.25">
      <c r="A20789">
        <v>611</v>
      </c>
      <c r="B20789" t="s">
        <v>4856</v>
      </c>
      <c r="C20789" t="s">
        <v>10</v>
      </c>
      <c r="D20789" t="s">
        <v>4862</v>
      </c>
      <c r="E20789">
        <f t="shared" si="992"/>
        <v>9.9009900990099011E-3</v>
      </c>
      <c r="F20789">
        <v>1</v>
      </c>
      <c r="G20789">
        <f>LOG(382/(1+1))</f>
        <v>2.2810333672477277</v>
      </c>
      <c r="H20789">
        <f>0.0099009900990099*5.25227342804663</f>
        <v>5.2002707208382466E-2</v>
      </c>
      <c r="I20789">
        <v>5.2002707208382473E-2</v>
      </c>
    </row>
    <row r="20790" spans="1:9" x14ac:dyDescent="0.25">
      <c r="A20790">
        <v>611</v>
      </c>
      <c r="B20790" t="s">
        <v>4856</v>
      </c>
      <c r="C20790" t="s">
        <v>10</v>
      </c>
      <c r="D20790" t="s">
        <v>86</v>
      </c>
      <c r="E20790">
        <f t="shared" si="992"/>
        <v>9.9009900990099011E-3</v>
      </c>
      <c r="F20790">
        <v>8</v>
      </c>
      <c r="G20790">
        <f>LOG(382/(8+1))</f>
        <v>1.6278208534723839</v>
      </c>
      <c r="H20790">
        <f>0.0099009900990099*3.74819603127035</f>
        <v>3.7110851794755935E-2</v>
      </c>
      <c r="I20790">
        <v>3.7110851794755997E-2</v>
      </c>
    </row>
    <row r="20791" spans="1:9" x14ac:dyDescent="0.25">
      <c r="A20791">
        <v>611</v>
      </c>
      <c r="B20791" t="s">
        <v>4856</v>
      </c>
      <c r="C20791" t="s">
        <v>10</v>
      </c>
      <c r="D20791" t="s">
        <v>4863</v>
      </c>
      <c r="E20791">
        <f t="shared" si="992"/>
        <v>9.9009900990099011E-3</v>
      </c>
      <c r="F20791">
        <v>1</v>
      </c>
      <c r="G20791">
        <f>LOG(382/(1+1))</f>
        <v>2.2810333672477277</v>
      </c>
      <c r="H20791">
        <f>0.0099009900990099*5.25227342804663</f>
        <v>5.2002707208382466E-2</v>
      </c>
      <c r="I20791">
        <v>5.2002707208382473E-2</v>
      </c>
    </row>
    <row r="20792" spans="1:9" x14ac:dyDescent="0.25">
      <c r="A20792">
        <v>611</v>
      </c>
      <c r="B20792" t="s">
        <v>4856</v>
      </c>
      <c r="C20792" t="s">
        <v>10</v>
      </c>
      <c r="D20792" t="s">
        <v>186</v>
      </c>
      <c r="E20792">
        <f t="shared" si="992"/>
        <v>9.9009900990099011E-3</v>
      </c>
      <c r="F20792">
        <v>5</v>
      </c>
      <c r="G20792">
        <f>LOG(382/(5+1))</f>
        <v>1.803912112528065</v>
      </c>
      <c r="H20792">
        <f>0.0099009900990099*4.15366113937852</f>
        <v>4.1125357815628906E-2</v>
      </c>
      <c r="I20792">
        <v>4.1125357815628913E-2</v>
      </c>
    </row>
    <row r="20793" spans="1:9" x14ac:dyDescent="0.25">
      <c r="A20793">
        <v>611</v>
      </c>
      <c r="B20793" t="s">
        <v>4856</v>
      </c>
      <c r="C20793" t="s">
        <v>10</v>
      </c>
      <c r="D20793" t="s">
        <v>1871</v>
      </c>
      <c r="E20793">
        <f t="shared" si="992"/>
        <v>9.9009900990099011E-3</v>
      </c>
      <c r="F20793">
        <v>4</v>
      </c>
      <c r="G20793">
        <f>LOG(382/(4+1))</f>
        <v>1.8830933585756899</v>
      </c>
      <c r="H20793">
        <f>0.0099009900990099*4.33598269617247</f>
        <v>4.2930521744281878E-2</v>
      </c>
      <c r="I20793">
        <v>4.2930521744281927E-2</v>
      </c>
    </row>
    <row r="20794" spans="1:9" x14ac:dyDescent="0.25">
      <c r="A20794">
        <v>611</v>
      </c>
      <c r="B20794" t="s">
        <v>4856</v>
      </c>
      <c r="C20794" t="s">
        <v>10</v>
      </c>
      <c r="D20794" t="s">
        <v>4082</v>
      </c>
      <c r="E20794">
        <f t="shared" si="992"/>
        <v>9.9009900990099011E-3</v>
      </c>
      <c r="F20794">
        <v>2</v>
      </c>
      <c r="G20794">
        <f>LOG(382/(2+1))</f>
        <v>2.1049421081920463</v>
      </c>
      <c r="H20794">
        <f>0.0099009900990099*4.84680831993846</f>
        <v>4.7988201187509495E-2</v>
      </c>
      <c r="I20794">
        <v>4.7988201187509558E-2</v>
      </c>
    </row>
    <row r="20795" spans="1:9" x14ac:dyDescent="0.25">
      <c r="A20795">
        <v>611</v>
      </c>
      <c r="B20795" t="s">
        <v>4856</v>
      </c>
      <c r="C20795" t="s">
        <v>10</v>
      </c>
      <c r="D20795" t="s">
        <v>171</v>
      </c>
      <c r="E20795">
        <f t="shared" si="992"/>
        <v>9.9009900990099011E-3</v>
      </c>
      <c r="F20795">
        <v>6</v>
      </c>
      <c r="G20795">
        <f>LOG(382/(6+1))</f>
        <v>1.736965322897452</v>
      </c>
      <c r="H20795">
        <f>0.0099009900990099*3.99951045955126</f>
        <v>3.9599113460903557E-2</v>
      </c>
      <c r="I20795">
        <v>3.9599113460903577E-2</v>
      </c>
    </row>
    <row r="20796" spans="1:9" x14ac:dyDescent="0.25">
      <c r="A20796">
        <v>611</v>
      </c>
      <c r="B20796" t="s">
        <v>4856</v>
      </c>
      <c r="C20796" t="s">
        <v>10</v>
      </c>
      <c r="D20796" t="s">
        <v>263</v>
      </c>
      <c r="E20796">
        <f t="shared" si="992"/>
        <v>9.9009900990099011E-3</v>
      </c>
      <c r="F20796">
        <v>41</v>
      </c>
      <c r="G20796">
        <f>LOG(382/(41+1))</f>
        <v>0.95881407251380824</v>
      </c>
      <c r="H20796">
        <f>0.0099009900990099*2.2077509903232</f>
        <v>2.1858920696269307E-2</v>
      </c>
      <c r="I20796">
        <v>2.1858920696269379E-2</v>
      </c>
    </row>
    <row r="20797" spans="1:9" x14ac:dyDescent="0.25">
      <c r="A20797">
        <v>612</v>
      </c>
      <c r="B20797" t="s">
        <v>4864</v>
      </c>
      <c r="C20797" t="s">
        <v>48</v>
      </c>
      <c r="D20797" t="s">
        <v>4865</v>
      </c>
      <c r="E20797">
        <f>3/68</f>
        <v>4.4117647058823532E-2</v>
      </c>
      <c r="F20797">
        <v>1</v>
      </c>
      <c r="G20797">
        <f>LOG(382/(1+1))</f>
        <v>2.2810333672477277</v>
      </c>
      <c r="H20797">
        <f>0.0441176470588235*5.25227342804663</f>
        <v>0.23171794535499821</v>
      </c>
      <c r="I20797">
        <v>0.2317179453549984</v>
      </c>
    </row>
    <row r="20798" spans="1:9" x14ac:dyDescent="0.25">
      <c r="A20798">
        <v>612</v>
      </c>
      <c r="B20798" t="s">
        <v>4864</v>
      </c>
      <c r="C20798" t="s">
        <v>48</v>
      </c>
      <c r="D20798" t="s">
        <v>4866</v>
      </c>
      <c r="E20798">
        <f>3/68</f>
        <v>4.4117647058823532E-2</v>
      </c>
      <c r="F20798">
        <v>1</v>
      </c>
      <c r="G20798">
        <f>LOG(382/(1+1))</f>
        <v>2.2810333672477277</v>
      </c>
      <c r="H20798">
        <f>0.0441176470588235*5.25227342804663</f>
        <v>0.23171794535499821</v>
      </c>
      <c r="I20798">
        <v>0.2317179453549984</v>
      </c>
    </row>
    <row r="20799" spans="1:9" x14ac:dyDescent="0.25">
      <c r="A20799">
        <v>612</v>
      </c>
      <c r="B20799" t="s">
        <v>4864</v>
      </c>
      <c r="C20799" t="s">
        <v>48</v>
      </c>
      <c r="D20799" t="s">
        <v>2257</v>
      </c>
      <c r="E20799">
        <f>1/68</f>
        <v>1.4705882352941176E-2</v>
      </c>
      <c r="F20799">
        <v>11</v>
      </c>
      <c r="G20799">
        <f>LOG(382/(11+1))</f>
        <v>1.5028821168640838</v>
      </c>
      <c r="H20799">
        <f>0.0147058823529411*3.46051395881857</f>
        <v>5.088991115909635E-2</v>
      </c>
      <c r="I20799">
        <v>5.088991115909669E-2</v>
      </c>
    </row>
    <row r="20800" spans="1:9" x14ac:dyDescent="0.25">
      <c r="A20800">
        <v>612</v>
      </c>
      <c r="B20800" t="s">
        <v>4864</v>
      </c>
      <c r="C20800" t="s">
        <v>48</v>
      </c>
      <c r="D20800" t="s">
        <v>1208</v>
      </c>
      <c r="E20800">
        <f>4/68</f>
        <v>5.8823529411764705E-2</v>
      </c>
      <c r="F20800">
        <v>10</v>
      </c>
      <c r="G20800">
        <f>LOG(382/(10+1))</f>
        <v>1.5406706777534838</v>
      </c>
      <c r="H20800">
        <f>0.0588235294117647*3.5475253358082</f>
        <v>0.2086779609298941</v>
      </c>
      <c r="I20800">
        <v>0.20867796092989441</v>
      </c>
    </row>
    <row r="20801" spans="1:9" x14ac:dyDescent="0.25">
      <c r="A20801">
        <v>612</v>
      </c>
      <c r="B20801" t="s">
        <v>4864</v>
      </c>
      <c r="C20801" t="s">
        <v>48</v>
      </c>
      <c r="D20801" t="s">
        <v>247</v>
      </c>
      <c r="E20801">
        <f t="shared" ref="E20801:E20806" si="993">1/68</f>
        <v>1.4705882352941176E-2</v>
      </c>
      <c r="F20801">
        <v>121</v>
      </c>
      <c r="G20801">
        <f>LOG(382/(121+1))</f>
        <v>0.49570353223696051</v>
      </c>
      <c r="H20801">
        <f>0.0147058823529411*1.14139956387331</f>
        <v>1.6785287704019179E-2</v>
      </c>
      <c r="I20801">
        <v>1.6785287704019391E-2</v>
      </c>
    </row>
    <row r="20802" spans="1:9" x14ac:dyDescent="0.25">
      <c r="A20802">
        <v>612</v>
      </c>
      <c r="B20802" t="s">
        <v>4864</v>
      </c>
      <c r="C20802" t="s">
        <v>48</v>
      </c>
      <c r="D20802" t="s">
        <v>39</v>
      </c>
      <c r="E20802">
        <f t="shared" si="993"/>
        <v>1.4705882352941176E-2</v>
      </c>
      <c r="F20802">
        <v>145</v>
      </c>
      <c r="G20802">
        <f>LOG(382/(145+1))</f>
        <v>0.41771050712727159</v>
      </c>
      <c r="H20802">
        <f>0.0147058823529411*0.961813986898238</f>
        <v>1.4144323336738721E-2</v>
      </c>
      <c r="I20802">
        <v>1.41443233367388E-2</v>
      </c>
    </row>
    <row r="20803" spans="1:9" x14ac:dyDescent="0.25">
      <c r="A20803">
        <v>612</v>
      </c>
      <c r="B20803" t="s">
        <v>4864</v>
      </c>
      <c r="C20803" t="s">
        <v>48</v>
      </c>
      <c r="D20803" t="s">
        <v>42</v>
      </c>
      <c r="E20803">
        <f t="shared" si="993"/>
        <v>1.4705882352941176E-2</v>
      </c>
      <c r="F20803">
        <v>251</v>
      </c>
      <c r="G20803">
        <f>LOG(382/(251+1))</f>
        <v>0.18066282213016463</v>
      </c>
      <c r="H20803">
        <f>0.0147058823529411*0.415991521095151</f>
        <v>6.1175223690463059E-3</v>
      </c>
      <c r="I20803">
        <v>6.117522369046351E-3</v>
      </c>
    </row>
    <row r="20804" spans="1:9" x14ac:dyDescent="0.25">
      <c r="A20804">
        <v>612</v>
      </c>
      <c r="B20804" t="s">
        <v>4864</v>
      </c>
      <c r="C20804" t="s">
        <v>48</v>
      </c>
      <c r="D20804" t="s">
        <v>4411</v>
      </c>
      <c r="E20804">
        <f t="shared" si="993"/>
        <v>1.4705882352941176E-2</v>
      </c>
      <c r="F20804">
        <v>6</v>
      </c>
      <c r="G20804">
        <f>LOG(382/(6+1))</f>
        <v>1.736965322897452</v>
      </c>
      <c r="H20804">
        <f>0.0147058823529411*3.99951045955126</f>
        <v>5.8816330287518225E-2</v>
      </c>
      <c r="I20804">
        <v>5.8816330287518558E-2</v>
      </c>
    </row>
    <row r="20805" spans="1:9" x14ac:dyDescent="0.25">
      <c r="A20805">
        <v>612</v>
      </c>
      <c r="B20805" t="s">
        <v>4864</v>
      </c>
      <c r="C20805" t="s">
        <v>48</v>
      </c>
      <c r="D20805" t="s">
        <v>22</v>
      </c>
      <c r="E20805">
        <f t="shared" si="993"/>
        <v>1.4705882352941176E-2</v>
      </c>
      <c r="F20805">
        <v>259</v>
      </c>
      <c r="G20805">
        <f>LOG(382/(259+1))</f>
        <v>0.16709001494089079</v>
      </c>
      <c r="H20805">
        <f>0.0147058823529411*0.384738977591047</f>
        <v>5.6579261410447798E-3</v>
      </c>
      <c r="I20805">
        <v>5.6579261410448162E-3</v>
      </c>
    </row>
    <row r="20806" spans="1:9" x14ac:dyDescent="0.25">
      <c r="A20806">
        <v>612</v>
      </c>
      <c r="B20806" t="s">
        <v>4864</v>
      </c>
      <c r="C20806" t="s">
        <v>48</v>
      </c>
      <c r="D20806" t="s">
        <v>23</v>
      </c>
      <c r="E20806">
        <f t="shared" si="993"/>
        <v>1.4705882352941176E-2</v>
      </c>
      <c r="F20806">
        <v>275</v>
      </c>
      <c r="G20806">
        <f>LOG(382/(275+1))</f>
        <v>0.14115428084649101</v>
      </c>
      <c r="H20806">
        <f>0.0147058823529411*0.325019742889425</f>
        <v>4.7797021013150486E-3</v>
      </c>
      <c r="I20806">
        <v>4.7797021013150764E-3</v>
      </c>
    </row>
    <row r="20807" spans="1:9" x14ac:dyDescent="0.25">
      <c r="A20807">
        <v>612</v>
      </c>
      <c r="B20807" t="s">
        <v>4864</v>
      </c>
      <c r="C20807" t="s">
        <v>48</v>
      </c>
      <c r="D20807" t="s">
        <v>204</v>
      </c>
      <c r="E20807">
        <f>2/68</f>
        <v>2.9411764705882353E-2</v>
      </c>
      <c r="F20807">
        <v>166</v>
      </c>
      <c r="G20807">
        <f>LOG(382/(166+1))</f>
        <v>0.35934689176412549</v>
      </c>
      <c r="H20807">
        <f>0.0294117647058823*0.82742679618982</f>
        <v>2.4336082240877015E-2</v>
      </c>
      <c r="I20807">
        <v>2.433608224087706E-2</v>
      </c>
    </row>
    <row r="20808" spans="1:9" x14ac:dyDescent="0.25">
      <c r="A20808">
        <v>612</v>
      </c>
      <c r="B20808" t="s">
        <v>4864</v>
      </c>
      <c r="C20808" t="s">
        <v>48</v>
      </c>
      <c r="D20808" t="s">
        <v>331</v>
      </c>
      <c r="E20808">
        <f>2/68</f>
        <v>2.9411764705882353E-2</v>
      </c>
      <c r="F20808">
        <v>130</v>
      </c>
      <c r="G20808">
        <f>LOG(382/(130+1))</f>
        <v>0.46479206725594452</v>
      </c>
      <c r="H20808">
        <f>0.0294117647058823*1.07022328540542</f>
        <v>3.1477155453100536E-2</v>
      </c>
      <c r="I20808">
        <v>3.1477155453100703E-2</v>
      </c>
    </row>
    <row r="20809" spans="1:9" x14ac:dyDescent="0.25">
      <c r="A20809">
        <v>612</v>
      </c>
      <c r="B20809" t="s">
        <v>4864</v>
      </c>
      <c r="C20809" t="s">
        <v>48</v>
      </c>
      <c r="D20809" t="s">
        <v>363</v>
      </c>
      <c r="E20809">
        <f>1/68</f>
        <v>1.4705882352941176E-2</v>
      </c>
      <c r="F20809">
        <v>36</v>
      </c>
      <c r="G20809">
        <f>LOG(382/(36+1))</f>
        <v>1.0138616388447137</v>
      </c>
      <c r="H20809">
        <f>0.0147058823529411*2.33450269596235</f>
        <v>3.4330921999446144E-2</v>
      </c>
      <c r="I20809">
        <v>3.4330921999446339E-2</v>
      </c>
    </row>
    <row r="20810" spans="1:9" x14ac:dyDescent="0.25">
      <c r="A20810">
        <v>612</v>
      </c>
      <c r="B20810" t="s">
        <v>4864</v>
      </c>
      <c r="C20810" t="s">
        <v>48</v>
      </c>
      <c r="D20810" t="s">
        <v>1714</v>
      </c>
      <c r="E20810">
        <f>1/68</f>
        <v>1.4705882352941176E-2</v>
      </c>
      <c r="F20810">
        <v>9</v>
      </c>
      <c r="G20810">
        <f>LOG(382/(9+1))</f>
        <v>1.5820633629117087</v>
      </c>
      <c r="H20810">
        <f>0.0147058823529411*3.64283551561252</f>
        <v>5.3571110523713251E-2</v>
      </c>
      <c r="I20810">
        <v>5.3571110523713668E-2</v>
      </c>
    </row>
    <row r="20811" spans="1:9" x14ac:dyDescent="0.25">
      <c r="A20811">
        <v>612</v>
      </c>
      <c r="B20811" t="s">
        <v>4864</v>
      </c>
      <c r="C20811" t="s">
        <v>48</v>
      </c>
      <c r="D20811" t="s">
        <v>1418</v>
      </c>
      <c r="E20811">
        <f>3/68</f>
        <v>4.4117647058823532E-2</v>
      </c>
      <c r="F20811">
        <v>6</v>
      </c>
      <c r="G20811">
        <f>LOG(382/(6+1))</f>
        <v>1.736965322897452</v>
      </c>
      <c r="H20811">
        <f>0.0441176470588235*3.99951045955126</f>
        <v>0.17644899086255547</v>
      </c>
      <c r="I20811">
        <v>0.17644899086255569</v>
      </c>
    </row>
    <row r="20812" spans="1:9" x14ac:dyDescent="0.25">
      <c r="A20812">
        <v>612</v>
      </c>
      <c r="B20812" t="s">
        <v>4864</v>
      </c>
      <c r="C20812" t="s">
        <v>48</v>
      </c>
      <c r="D20812" t="s">
        <v>4867</v>
      </c>
      <c r="E20812">
        <f>4/68</f>
        <v>5.8823529411764705E-2</v>
      </c>
      <c r="F20812">
        <v>1</v>
      </c>
      <c r="G20812">
        <f>LOG(382/(1+1))</f>
        <v>2.2810333672477277</v>
      </c>
      <c r="H20812">
        <f>0.0588235294117647*5.25227342804663</f>
        <v>0.30895726047333111</v>
      </c>
      <c r="I20812">
        <v>0.30895726047333122</v>
      </c>
    </row>
    <row r="20813" spans="1:9" x14ac:dyDescent="0.25">
      <c r="A20813">
        <v>612</v>
      </c>
      <c r="B20813" t="s">
        <v>4864</v>
      </c>
      <c r="C20813" t="s">
        <v>48</v>
      </c>
      <c r="D20813" t="s">
        <v>1537</v>
      </c>
      <c r="E20813">
        <f>3/68</f>
        <v>4.4117647058823532E-2</v>
      </c>
      <c r="F20813">
        <v>80</v>
      </c>
      <c r="G20813">
        <f>LOG(382/(80+1))</f>
        <v>0.67357834403305894</v>
      </c>
      <c r="H20813">
        <f>0.0441176470588235*1.55097145393413</f>
        <v>6.8425211202976274E-2</v>
      </c>
      <c r="I20813">
        <v>6.8425211202976607E-2</v>
      </c>
    </row>
    <row r="20814" spans="1:9" x14ac:dyDescent="0.25">
      <c r="A20814">
        <v>612</v>
      </c>
      <c r="B20814" t="s">
        <v>4864</v>
      </c>
      <c r="C20814" t="s">
        <v>48</v>
      </c>
      <c r="D20814" t="s">
        <v>754</v>
      </c>
      <c r="E20814">
        <f>1/68</f>
        <v>1.4705882352941176E-2</v>
      </c>
      <c r="F20814">
        <v>111</v>
      </c>
      <c r="G20814">
        <f>LOG(382/(111+1))</f>
        <v>0.53284534024152708</v>
      </c>
      <c r="H20814">
        <f>0.0147058823529411*1.22692173731148</f>
        <v>1.8042966725168731E-2</v>
      </c>
      <c r="I20814">
        <v>1.8042966725168828E-2</v>
      </c>
    </row>
    <row r="20815" spans="1:9" x14ac:dyDescent="0.25">
      <c r="A20815">
        <v>612</v>
      </c>
      <c r="B20815" t="s">
        <v>4864</v>
      </c>
      <c r="C20815" t="s">
        <v>48</v>
      </c>
      <c r="D20815" t="s">
        <v>322</v>
      </c>
      <c r="E20815">
        <f>2/68</f>
        <v>2.9411764705882353E-2</v>
      </c>
      <c r="F20815">
        <v>128</v>
      </c>
      <c r="G20815">
        <f>LOG(382/(128+1))</f>
        <v>0.47147365261245977</v>
      </c>
      <c r="H20815">
        <f>0.0294117647058823*1.0856082042449</f>
        <v>3.1929653066026416E-2</v>
      </c>
      <c r="I20815">
        <v>3.1929653066026562E-2</v>
      </c>
    </row>
    <row r="20816" spans="1:9" x14ac:dyDescent="0.25">
      <c r="A20816">
        <v>612</v>
      </c>
      <c r="B20816" t="s">
        <v>4864</v>
      </c>
      <c r="C20816" t="s">
        <v>48</v>
      </c>
      <c r="D20816" t="s">
        <v>123</v>
      </c>
      <c r="E20816">
        <f t="shared" ref="E20816:E20847" si="994">1/68</f>
        <v>1.4705882352941176E-2</v>
      </c>
      <c r="F20816">
        <v>74</v>
      </c>
      <c r="G20816">
        <f>LOG(382/(74+1))</f>
        <v>0.7070020995200087</v>
      </c>
      <c r="H20816">
        <f>0.0147058823529411*1.62793249507026</f>
        <v>2.3940183751033111E-2</v>
      </c>
      <c r="I20816">
        <v>2.3940183751033309E-2</v>
      </c>
    </row>
    <row r="20817" spans="1:9" x14ac:dyDescent="0.25">
      <c r="A20817">
        <v>612</v>
      </c>
      <c r="B20817" t="s">
        <v>4864</v>
      </c>
      <c r="C20817" t="s">
        <v>48</v>
      </c>
      <c r="D20817" t="s">
        <v>237</v>
      </c>
      <c r="E20817">
        <f t="shared" si="994"/>
        <v>1.4705882352941176E-2</v>
      </c>
      <c r="F20817">
        <v>138</v>
      </c>
      <c r="G20817">
        <f>LOG(382/(138+1))</f>
        <v>0.43904856265761361</v>
      </c>
      <c r="H20817">
        <f>0.0147058823529411*1.01094667547588</f>
        <v>1.4866862874645217E-2</v>
      </c>
      <c r="I20817">
        <v>1.486686287464534E-2</v>
      </c>
    </row>
    <row r="20818" spans="1:9" x14ac:dyDescent="0.25">
      <c r="A20818">
        <v>612</v>
      </c>
      <c r="B20818" t="s">
        <v>4864</v>
      </c>
      <c r="C20818" t="s">
        <v>48</v>
      </c>
      <c r="D20818" t="s">
        <v>133</v>
      </c>
      <c r="E20818">
        <f t="shared" si="994"/>
        <v>1.4705882352941176E-2</v>
      </c>
      <c r="F20818">
        <v>142</v>
      </c>
      <c r="G20818">
        <f>LOG(382/(142+1))</f>
        <v>0.42672732544664693</v>
      </c>
      <c r="H20818">
        <f>0.0147058823529411*0.982575978346667</f>
        <v>1.4449646740392086E-2</v>
      </c>
      <c r="I20818">
        <v>1.4449646740392169E-2</v>
      </c>
    </row>
    <row r="20819" spans="1:9" x14ac:dyDescent="0.25">
      <c r="A20819">
        <v>612</v>
      </c>
      <c r="B20819" t="s">
        <v>4864</v>
      </c>
      <c r="C20819" t="s">
        <v>48</v>
      </c>
      <c r="D20819" t="s">
        <v>78</v>
      </c>
      <c r="E20819">
        <f t="shared" si="994"/>
        <v>1.4705882352941176E-2</v>
      </c>
      <c r="F20819">
        <v>122</v>
      </c>
      <c r="G20819">
        <f>LOG(382/(122+1))</f>
        <v>0.49215825147231079</v>
      </c>
      <c r="H20819">
        <f>0.0147058823529411*1.13323625323415</f>
        <v>1.6665239018149178E-2</v>
      </c>
      <c r="I20819">
        <v>1.666523901814938E-2</v>
      </c>
    </row>
    <row r="20820" spans="1:9" x14ac:dyDescent="0.25">
      <c r="A20820">
        <v>612</v>
      </c>
      <c r="B20820" t="s">
        <v>4864</v>
      </c>
      <c r="C20820" t="s">
        <v>48</v>
      </c>
      <c r="D20820" t="s">
        <v>1709</v>
      </c>
      <c r="E20820">
        <f t="shared" si="994"/>
        <v>1.4705882352941176E-2</v>
      </c>
      <c r="F20820">
        <v>21</v>
      </c>
      <c r="G20820">
        <f>LOG(382/(21+1))</f>
        <v>1.2396406820895025</v>
      </c>
      <c r="H20820">
        <f>0.0147058823529411*2.85437815524825</f>
        <v>4.1976149341885809E-2</v>
      </c>
      <c r="I20820">
        <v>4.1976149341886163E-2</v>
      </c>
    </row>
    <row r="20821" spans="1:9" x14ac:dyDescent="0.25">
      <c r="A20821">
        <v>612</v>
      </c>
      <c r="B20821" t="s">
        <v>4864</v>
      </c>
      <c r="C20821" t="s">
        <v>48</v>
      </c>
      <c r="D20821" t="s">
        <v>426</v>
      </c>
      <c r="E20821">
        <f t="shared" si="994"/>
        <v>1.4705882352941176E-2</v>
      </c>
      <c r="F20821">
        <v>10</v>
      </c>
      <c r="G20821">
        <f>LOG(382/(10+1))</f>
        <v>1.5406706777534838</v>
      </c>
      <c r="H20821">
        <f>0.0147058823529411*3.5475253358082</f>
        <v>5.2169490232473262E-2</v>
      </c>
      <c r="I20821">
        <v>5.2169490232473588E-2</v>
      </c>
    </row>
    <row r="20822" spans="1:9" x14ac:dyDescent="0.25">
      <c r="A20822">
        <v>612</v>
      </c>
      <c r="B20822" t="s">
        <v>4864</v>
      </c>
      <c r="C20822" t="s">
        <v>48</v>
      </c>
      <c r="D20822" t="s">
        <v>705</v>
      </c>
      <c r="E20822">
        <f t="shared" si="994"/>
        <v>1.4705882352941176E-2</v>
      </c>
      <c r="F20822">
        <v>8</v>
      </c>
      <c r="G20822">
        <f>LOG(382/(8+1))</f>
        <v>1.6278208534723839</v>
      </c>
      <c r="H20822">
        <f>0.0147058823529411*3.74819603127035</f>
        <v>5.5120529871622505E-2</v>
      </c>
      <c r="I20822">
        <v>5.5120529871622879E-2</v>
      </c>
    </row>
    <row r="20823" spans="1:9" x14ac:dyDescent="0.25">
      <c r="A20823">
        <v>612</v>
      </c>
      <c r="B20823" t="s">
        <v>4864</v>
      </c>
      <c r="C20823" t="s">
        <v>48</v>
      </c>
      <c r="D20823" t="s">
        <v>4868</v>
      </c>
      <c r="E20823">
        <f t="shared" si="994"/>
        <v>1.4705882352941176E-2</v>
      </c>
      <c r="F20823">
        <v>1</v>
      </c>
      <c r="G20823">
        <f>LOG(382/(1+1))</f>
        <v>2.2810333672477277</v>
      </c>
      <c r="H20823">
        <f>0.0147058823529411*5.25227342804663</f>
        <v>7.7239315118332388E-2</v>
      </c>
      <c r="I20823">
        <v>7.7239315118332791E-2</v>
      </c>
    </row>
    <row r="20824" spans="1:9" x14ac:dyDescent="0.25">
      <c r="A20824">
        <v>612</v>
      </c>
      <c r="B20824" t="s">
        <v>4864</v>
      </c>
      <c r="C20824" t="s">
        <v>48</v>
      </c>
      <c r="D20824" t="s">
        <v>25</v>
      </c>
      <c r="E20824">
        <f t="shared" si="994"/>
        <v>1.4705882352941176E-2</v>
      </c>
      <c r="F20824">
        <v>106</v>
      </c>
      <c r="G20824">
        <f>LOG(382/(106+1))</f>
        <v>0.55267958522649907</v>
      </c>
      <c r="H20824">
        <f>0.0147058823529411*1.27259177414466</f>
        <v>1.8714584913891961E-2</v>
      </c>
      <c r="I20824">
        <v>1.871458491389219E-2</v>
      </c>
    </row>
    <row r="20825" spans="1:9" x14ac:dyDescent="0.25">
      <c r="A20825">
        <v>612</v>
      </c>
      <c r="B20825" t="s">
        <v>4864</v>
      </c>
      <c r="C20825" t="s">
        <v>48</v>
      </c>
      <c r="D20825" t="s">
        <v>362</v>
      </c>
      <c r="E20825">
        <f t="shared" si="994"/>
        <v>1.4705882352941176E-2</v>
      </c>
      <c r="F20825">
        <v>81</v>
      </c>
      <c r="G20825">
        <f>LOG(382/(81+1))</f>
        <v>0.66824951052799197</v>
      </c>
      <c r="H20825">
        <f>0.0147058823529411*1.53870136134232</f>
        <v>2.262796119621047E-2</v>
      </c>
      <c r="I20825">
        <v>2.2627961196210619E-2</v>
      </c>
    </row>
    <row r="20826" spans="1:9" x14ac:dyDescent="0.25">
      <c r="A20826">
        <v>612</v>
      </c>
      <c r="B20826" t="s">
        <v>4864</v>
      </c>
      <c r="C20826" t="s">
        <v>48</v>
      </c>
      <c r="D20826" t="s">
        <v>1769</v>
      </c>
      <c r="E20826">
        <f t="shared" si="994"/>
        <v>1.4705882352941176E-2</v>
      </c>
      <c r="F20826">
        <v>84</v>
      </c>
      <c r="G20826">
        <f>LOG(382/(84+1))</f>
        <v>0.65264443719741605</v>
      </c>
      <c r="H20826">
        <f>0.0147058823529411*1.50276935211625</f>
        <v>2.2099549295827092E-2</v>
      </c>
      <c r="I20826">
        <v>2.2099549295827331E-2</v>
      </c>
    </row>
    <row r="20827" spans="1:9" x14ac:dyDescent="0.25">
      <c r="A20827">
        <v>612</v>
      </c>
      <c r="B20827" t="s">
        <v>4864</v>
      </c>
      <c r="C20827" t="s">
        <v>48</v>
      </c>
      <c r="D20827" t="s">
        <v>1546</v>
      </c>
      <c r="E20827">
        <f t="shared" si="994"/>
        <v>1.4705882352941176E-2</v>
      </c>
      <c r="F20827">
        <v>44</v>
      </c>
      <c r="G20827">
        <f>LOG(382/(44+1))</f>
        <v>0.92885084913636506</v>
      </c>
      <c r="H20827">
        <f>0.0147058823529411*2.13875811883625</f>
        <v>3.1452325277003514E-2</v>
      </c>
      <c r="I20827">
        <v>3.145232527700375E-2</v>
      </c>
    </row>
    <row r="20828" spans="1:9" x14ac:dyDescent="0.25">
      <c r="A20828">
        <v>612</v>
      </c>
      <c r="B20828" t="s">
        <v>4864</v>
      </c>
      <c r="C20828" t="s">
        <v>48</v>
      </c>
      <c r="D20828" t="s">
        <v>1080</v>
      </c>
      <c r="E20828">
        <f t="shared" si="994"/>
        <v>1.4705882352941176E-2</v>
      </c>
      <c r="F20828">
        <v>26</v>
      </c>
      <c r="G20828">
        <f>LOG(382/(26+1))</f>
        <v>1.1506995987527215</v>
      </c>
      <c r="H20828">
        <f>0.0147058823529411*2.64958374260224</f>
        <v>3.8964466802973913E-2</v>
      </c>
      <c r="I20828">
        <v>3.8964466802974211E-2</v>
      </c>
    </row>
    <row r="20829" spans="1:9" x14ac:dyDescent="0.25">
      <c r="A20829">
        <v>612</v>
      </c>
      <c r="B20829" t="s">
        <v>4864</v>
      </c>
      <c r="C20829" t="s">
        <v>48</v>
      </c>
      <c r="D20829" t="s">
        <v>2930</v>
      </c>
      <c r="E20829">
        <f t="shared" si="994"/>
        <v>1.4705882352941176E-2</v>
      </c>
      <c r="F20829">
        <v>15</v>
      </c>
      <c r="G20829">
        <f>LOG(382/(15+1))</f>
        <v>1.3779433802557839</v>
      </c>
      <c r="H20829">
        <f>0.0147058823529411*3.17283188636679</f>
        <v>4.6659292446570202E-2</v>
      </c>
      <c r="I20829">
        <v>4.6659292446570501E-2</v>
      </c>
    </row>
    <row r="20830" spans="1:9" x14ac:dyDescent="0.25">
      <c r="A20830">
        <v>612</v>
      </c>
      <c r="B20830" t="s">
        <v>4864</v>
      </c>
      <c r="C20830" t="s">
        <v>48</v>
      </c>
      <c r="D20830" t="s">
        <v>2238</v>
      </c>
      <c r="E20830">
        <f t="shared" si="994"/>
        <v>1.4705882352941176E-2</v>
      </c>
      <c r="F20830">
        <v>68</v>
      </c>
      <c r="G20830">
        <f>LOG(382/(68+1))</f>
        <v>0.74321427217445335</v>
      </c>
      <c r="H20830">
        <f>0.0147058823529411*1.71131410400931</f>
        <v>2.5166383882489724E-2</v>
      </c>
      <c r="I20830">
        <v>2.5166383882489939E-2</v>
      </c>
    </row>
    <row r="20831" spans="1:9" x14ac:dyDescent="0.25">
      <c r="A20831">
        <v>612</v>
      </c>
      <c r="B20831" t="s">
        <v>4864</v>
      </c>
      <c r="C20831" t="s">
        <v>48</v>
      </c>
      <c r="D20831" t="s">
        <v>1808</v>
      </c>
      <c r="E20831">
        <f t="shared" si="994"/>
        <v>1.4705882352941176E-2</v>
      </c>
      <c r="F20831">
        <v>10</v>
      </c>
      <c r="G20831">
        <f>LOG(382/(10+1))</f>
        <v>1.5406706777534838</v>
      </c>
      <c r="H20831">
        <f>0.0147058823529411*3.5475253358082</f>
        <v>5.2169490232473262E-2</v>
      </c>
      <c r="I20831">
        <v>5.2169490232473588E-2</v>
      </c>
    </row>
    <row r="20832" spans="1:9" x14ac:dyDescent="0.25">
      <c r="A20832">
        <v>612</v>
      </c>
      <c r="B20832" t="s">
        <v>4864</v>
      </c>
      <c r="C20832" t="s">
        <v>48</v>
      </c>
      <c r="D20832" t="s">
        <v>1762</v>
      </c>
      <c r="E20832">
        <f t="shared" si="994"/>
        <v>1.4705882352941176E-2</v>
      </c>
      <c r="F20832">
        <v>60</v>
      </c>
      <c r="G20832">
        <f>LOG(382/(60+1))</f>
        <v>0.79673352790094176</v>
      </c>
      <c r="H20832">
        <f>0.0147058823529411*1.83454674443326</f>
        <v>2.6978628594606622E-2</v>
      </c>
      <c r="I20832">
        <v>2.697862859460682E-2</v>
      </c>
    </row>
    <row r="20833" spans="1:9" x14ac:dyDescent="0.25">
      <c r="A20833">
        <v>612</v>
      </c>
      <c r="B20833" t="s">
        <v>4864</v>
      </c>
      <c r="C20833" t="s">
        <v>48</v>
      </c>
      <c r="D20833" t="s">
        <v>201</v>
      </c>
      <c r="E20833">
        <f t="shared" si="994"/>
        <v>1.4705882352941176E-2</v>
      </c>
      <c r="F20833">
        <v>72</v>
      </c>
      <c r="G20833">
        <f>LOG(382/(72+1))</f>
        <v>0.71874050279125279</v>
      </c>
      <c r="H20833">
        <f>0.0147058823529411*1.65496116745818</f>
        <v>2.4337664227326049E-2</v>
      </c>
      <c r="I20833">
        <v>2.4337664227326229E-2</v>
      </c>
    </row>
    <row r="20834" spans="1:9" x14ac:dyDescent="0.25">
      <c r="A20834">
        <v>612</v>
      </c>
      <c r="B20834" t="s">
        <v>4864</v>
      </c>
      <c r="C20834" t="s">
        <v>48</v>
      </c>
      <c r="D20834" t="s">
        <v>225</v>
      </c>
      <c r="E20834">
        <f t="shared" si="994"/>
        <v>1.4705882352941176E-2</v>
      </c>
      <c r="F20834">
        <v>30</v>
      </c>
      <c r="G20834">
        <f>LOG(382/(30+1))</f>
        <v>1.090701669077436</v>
      </c>
      <c r="H20834">
        <f>0.0147058823529411*2.51143340412142</f>
        <v>3.6932844178255986E-2</v>
      </c>
      <c r="I20834">
        <v>3.6932844178256312E-2</v>
      </c>
    </row>
    <row r="20835" spans="1:9" x14ac:dyDescent="0.25">
      <c r="A20835">
        <v>612</v>
      </c>
      <c r="B20835" t="s">
        <v>4864</v>
      </c>
      <c r="C20835" t="s">
        <v>48</v>
      </c>
      <c r="D20835" t="s">
        <v>747</v>
      </c>
      <c r="E20835">
        <f t="shared" si="994"/>
        <v>1.4705882352941176E-2</v>
      </c>
      <c r="F20835">
        <v>14</v>
      </c>
      <c r="G20835">
        <f>LOG(382/(14+1))</f>
        <v>1.4059721038560276</v>
      </c>
      <c r="H20835">
        <f>0.0147058823529411*3.23737040750436</f>
        <v>4.7608388345652106E-2</v>
      </c>
      <c r="I20835">
        <v>4.7608388345652432E-2</v>
      </c>
    </row>
    <row r="20836" spans="1:9" x14ac:dyDescent="0.25">
      <c r="A20836">
        <v>612</v>
      </c>
      <c r="B20836" t="s">
        <v>4864</v>
      </c>
      <c r="C20836" t="s">
        <v>48</v>
      </c>
      <c r="D20836" t="s">
        <v>81</v>
      </c>
      <c r="E20836">
        <f t="shared" si="994"/>
        <v>1.4705882352941176E-2</v>
      </c>
      <c r="F20836">
        <v>114</v>
      </c>
      <c r="G20836">
        <f>LOG(382/(114+1))</f>
        <v>0.52136552255809698</v>
      </c>
      <c r="H20836">
        <f>0.0147058823529411*1.20048848024332</f>
        <v>1.7654242356519322E-2</v>
      </c>
      <c r="I20836">
        <v>1.7654242356519492E-2</v>
      </c>
    </row>
    <row r="20837" spans="1:9" x14ac:dyDescent="0.25">
      <c r="A20837">
        <v>612</v>
      </c>
      <c r="B20837" t="s">
        <v>4864</v>
      </c>
      <c r="C20837" t="s">
        <v>48</v>
      </c>
      <c r="D20837" t="s">
        <v>3015</v>
      </c>
      <c r="E20837">
        <f t="shared" si="994"/>
        <v>1.4705882352941176E-2</v>
      </c>
      <c r="F20837">
        <v>9</v>
      </c>
      <c r="G20837">
        <f>LOG(382/(9+1))</f>
        <v>1.5820633629117087</v>
      </c>
      <c r="H20837">
        <f>0.0147058823529411*3.64283551561252</f>
        <v>5.3571110523713251E-2</v>
      </c>
      <c r="I20837">
        <v>5.3571110523713668E-2</v>
      </c>
    </row>
    <row r="20838" spans="1:9" x14ac:dyDescent="0.25">
      <c r="A20838">
        <v>612</v>
      </c>
      <c r="B20838" t="s">
        <v>4864</v>
      </c>
      <c r="C20838" t="s">
        <v>48</v>
      </c>
      <c r="D20838" t="s">
        <v>76</v>
      </c>
      <c r="E20838">
        <f t="shared" si="994"/>
        <v>1.4705882352941176E-2</v>
      </c>
      <c r="F20838">
        <v>140</v>
      </c>
      <c r="G20838">
        <f>LOG(382/(140+1))</f>
        <v>0.43284425025632883</v>
      </c>
      <c r="H20838">
        <f>0.0147058823529411*0.996660718228407</f>
        <v>1.4656775268064732E-2</v>
      </c>
      <c r="I20838">
        <v>1.465677526806481E-2</v>
      </c>
    </row>
    <row r="20839" spans="1:9" x14ac:dyDescent="0.25">
      <c r="A20839">
        <v>612</v>
      </c>
      <c r="B20839" t="s">
        <v>4864</v>
      </c>
      <c r="C20839" t="s">
        <v>48</v>
      </c>
      <c r="D20839" t="s">
        <v>483</v>
      </c>
      <c r="E20839">
        <f t="shared" si="994"/>
        <v>1.4705882352941176E-2</v>
      </c>
      <c r="F20839">
        <v>61</v>
      </c>
      <c r="G20839">
        <f>LOG(382/(61+1))</f>
        <v>0.7896716734134549</v>
      </c>
      <c r="H20839">
        <f>0.0147058823529411*1.81828622356148</f>
        <v>2.6739503287668685E-2</v>
      </c>
      <c r="I20839">
        <v>2.673950328766888E-2</v>
      </c>
    </row>
    <row r="20840" spans="1:9" x14ac:dyDescent="0.25">
      <c r="A20840">
        <v>612</v>
      </c>
      <c r="B20840" t="s">
        <v>4864</v>
      </c>
      <c r="C20840" t="s">
        <v>48</v>
      </c>
      <c r="D20840" t="s">
        <v>762</v>
      </c>
      <c r="E20840">
        <f t="shared" si="994"/>
        <v>1.4705882352941176E-2</v>
      </c>
      <c r="F20840">
        <v>29</v>
      </c>
      <c r="G20840">
        <f>LOG(382/(29+1))</f>
        <v>1.1049421081920463</v>
      </c>
      <c r="H20840">
        <f>0.0147058823529411*2.54422322694442</f>
        <v>3.7415047455064805E-2</v>
      </c>
      <c r="I20840">
        <v>3.7415047455064999E-2</v>
      </c>
    </row>
    <row r="20841" spans="1:9" x14ac:dyDescent="0.25">
      <c r="A20841">
        <v>612</v>
      </c>
      <c r="B20841" t="s">
        <v>4864</v>
      </c>
      <c r="C20841" t="s">
        <v>48</v>
      </c>
      <c r="D20841" t="s">
        <v>338</v>
      </c>
      <c r="E20841">
        <f t="shared" si="994"/>
        <v>1.4705882352941176E-2</v>
      </c>
      <c r="F20841">
        <v>54</v>
      </c>
      <c r="G20841">
        <f>LOG(382/(54+1))</f>
        <v>0.84170067341746491</v>
      </c>
      <c r="H20841">
        <f>0.0147058823529411*1.9380874233741</f>
        <v>2.850128563785426E-2</v>
      </c>
      <c r="I20841">
        <v>2.8501285637854479E-2</v>
      </c>
    </row>
    <row r="20842" spans="1:9" x14ac:dyDescent="0.25">
      <c r="A20842">
        <v>612</v>
      </c>
      <c r="B20842" t="s">
        <v>4864</v>
      </c>
      <c r="C20842" t="s">
        <v>48</v>
      </c>
      <c r="D20842" t="s">
        <v>4276</v>
      </c>
      <c r="E20842">
        <f t="shared" si="994"/>
        <v>1.4705882352941176E-2</v>
      </c>
      <c r="F20842">
        <v>8</v>
      </c>
      <c r="G20842">
        <f>LOG(382/(8+1))</f>
        <v>1.6278208534723839</v>
      </c>
      <c r="H20842">
        <f>0.0147058823529411*3.74819603127035</f>
        <v>5.5120529871622505E-2</v>
      </c>
      <c r="I20842">
        <v>5.5120529871622879E-2</v>
      </c>
    </row>
    <row r="20843" spans="1:9" x14ac:dyDescent="0.25">
      <c r="A20843">
        <v>612</v>
      </c>
      <c r="B20843" t="s">
        <v>4864</v>
      </c>
      <c r="C20843" t="s">
        <v>48</v>
      </c>
      <c r="D20843" t="s">
        <v>142</v>
      </c>
      <c r="E20843">
        <f t="shared" si="994"/>
        <v>1.4705882352941176E-2</v>
      </c>
      <c r="F20843">
        <v>4</v>
      </c>
      <c r="G20843">
        <f>LOG(382/(4+1))</f>
        <v>1.8830933585756899</v>
      </c>
      <c r="H20843">
        <f>0.0147058823529411*4.33598269617247</f>
        <v>6.3764451414300705E-2</v>
      </c>
      <c r="I20843">
        <v>6.3764451414301093E-2</v>
      </c>
    </row>
    <row r="20844" spans="1:9" x14ac:dyDescent="0.25">
      <c r="A20844">
        <v>612</v>
      </c>
      <c r="B20844" t="s">
        <v>4864</v>
      </c>
      <c r="C20844" t="s">
        <v>48</v>
      </c>
      <c r="D20844" t="s">
        <v>1708</v>
      </c>
      <c r="E20844">
        <f t="shared" si="994"/>
        <v>1.4705882352941176E-2</v>
      </c>
      <c r="F20844">
        <v>7</v>
      </c>
      <c r="G20844">
        <f>LOG(382/(7+1))</f>
        <v>1.6789733759197651</v>
      </c>
      <c r="H20844">
        <f>0.0147058823529411*3.86597906692673</f>
        <v>5.6852633337157503E-2</v>
      </c>
      <c r="I20844">
        <v>5.6852633337157933E-2</v>
      </c>
    </row>
    <row r="20845" spans="1:9" x14ac:dyDescent="0.25">
      <c r="A20845">
        <v>612</v>
      </c>
      <c r="B20845" t="s">
        <v>4864</v>
      </c>
      <c r="C20845" t="s">
        <v>48</v>
      </c>
      <c r="D20845" t="s">
        <v>339</v>
      </c>
      <c r="E20845">
        <f t="shared" si="994"/>
        <v>1.4705882352941176E-2</v>
      </c>
      <c r="F20845">
        <v>66</v>
      </c>
      <c r="G20845">
        <f>LOG(382/(66+1))</f>
        <v>0.75598856021088234</v>
      </c>
      <c r="H20845">
        <f>0.0147058823529411*1.7407279892156</f>
        <v>2.5598941017876336E-2</v>
      </c>
      <c r="I20845">
        <v>2.55989410178766E-2</v>
      </c>
    </row>
    <row r="20846" spans="1:9" x14ac:dyDescent="0.25">
      <c r="A20846">
        <v>612</v>
      </c>
      <c r="B20846" t="s">
        <v>4864</v>
      </c>
      <c r="C20846" t="s">
        <v>48</v>
      </c>
      <c r="D20846" t="s">
        <v>1773</v>
      </c>
      <c r="E20846">
        <f t="shared" si="994"/>
        <v>1.4705882352941176E-2</v>
      </c>
      <c r="F20846">
        <v>24</v>
      </c>
      <c r="G20846">
        <f>LOG(382/(24+1))</f>
        <v>1.1841233542396712</v>
      </c>
      <c r="H20846">
        <f>0.0147058823529411*2.72654478373837</f>
        <v>4.00962468196817E-2</v>
      </c>
      <c r="I20846">
        <v>4.0096246819681977E-2</v>
      </c>
    </row>
    <row r="20847" spans="1:9" x14ac:dyDescent="0.25">
      <c r="A20847">
        <v>612</v>
      </c>
      <c r="B20847" t="s">
        <v>4864</v>
      </c>
      <c r="C20847" t="s">
        <v>48</v>
      </c>
      <c r="D20847" t="s">
        <v>447</v>
      </c>
      <c r="E20847">
        <f t="shared" si="994"/>
        <v>1.4705882352941176E-2</v>
      </c>
      <c r="F20847">
        <v>37</v>
      </c>
      <c r="G20847">
        <f>LOG(382/(37+1))</f>
        <v>1.0022797662948986</v>
      </c>
      <c r="H20847">
        <f>0.0147058823529411*2.30783444888018</f>
        <v>3.3938741895296588E-2</v>
      </c>
      <c r="I20847">
        <v>3.3938741895296901E-2</v>
      </c>
    </row>
    <row r="20848" spans="1:9" x14ac:dyDescent="0.25">
      <c r="A20848">
        <v>613</v>
      </c>
      <c r="B20848" t="s">
        <v>4869</v>
      </c>
      <c r="C20848" t="s">
        <v>48</v>
      </c>
      <c r="D20848" t="s">
        <v>570</v>
      </c>
      <c r="E20848">
        <f>5/60</f>
        <v>8.3333333333333329E-2</v>
      </c>
      <c r="F20848">
        <v>27</v>
      </c>
      <c r="G20848">
        <f>LOG(382/(27+1))</f>
        <v>1.1349053315694895</v>
      </c>
      <c r="H20848">
        <f>0.0833333333333333*2.61321609843137</f>
        <v>0.21776800820261411</v>
      </c>
      <c r="I20848">
        <v>0.21776800820261419</v>
      </c>
    </row>
    <row r="20849" spans="1:9" x14ac:dyDescent="0.25">
      <c r="A20849">
        <v>613</v>
      </c>
      <c r="B20849" t="s">
        <v>4869</v>
      </c>
      <c r="C20849" t="s">
        <v>48</v>
      </c>
      <c r="D20849" t="s">
        <v>1071</v>
      </c>
      <c r="E20849">
        <f>3/60</f>
        <v>0.05</v>
      </c>
      <c r="F20849">
        <v>5</v>
      </c>
      <c r="G20849">
        <f>LOG(382/(5+1))</f>
        <v>1.803912112528065</v>
      </c>
      <c r="H20849">
        <f>0.05*4.15366113937852</f>
        <v>0.207683056968926</v>
      </c>
      <c r="I20849">
        <v>0.207683056968926</v>
      </c>
    </row>
    <row r="20850" spans="1:9" x14ac:dyDescent="0.25">
      <c r="A20850">
        <v>613</v>
      </c>
      <c r="B20850" t="s">
        <v>4869</v>
      </c>
      <c r="C20850" t="s">
        <v>48</v>
      </c>
      <c r="D20850" t="s">
        <v>4870</v>
      </c>
      <c r="E20850">
        <f>3/60</f>
        <v>0.05</v>
      </c>
      <c r="F20850">
        <v>1</v>
      </c>
      <c r="G20850">
        <f>LOG(382/(1+1))</f>
        <v>2.2810333672477277</v>
      </c>
      <c r="H20850">
        <f>0.05*5.25227342804663</f>
        <v>0.26261367140233149</v>
      </c>
      <c r="I20850">
        <v>0.26261367140233149</v>
      </c>
    </row>
    <row r="20851" spans="1:9" x14ac:dyDescent="0.25">
      <c r="A20851">
        <v>613</v>
      </c>
      <c r="B20851" t="s">
        <v>4869</v>
      </c>
      <c r="C20851" t="s">
        <v>48</v>
      </c>
      <c r="D20851" t="s">
        <v>4411</v>
      </c>
      <c r="E20851">
        <f>1/60</f>
        <v>1.6666666666666666E-2</v>
      </c>
      <c r="F20851">
        <v>6</v>
      </c>
      <c r="G20851">
        <f>LOG(382/(6+1))</f>
        <v>1.736965322897452</v>
      </c>
      <c r="H20851">
        <f>0.0166666666666666*3.99951045955126</f>
        <v>6.6658507659187405E-2</v>
      </c>
      <c r="I20851">
        <v>6.6658507659187696E-2</v>
      </c>
    </row>
    <row r="20852" spans="1:9" x14ac:dyDescent="0.25">
      <c r="A20852">
        <v>613</v>
      </c>
      <c r="B20852" t="s">
        <v>4869</v>
      </c>
      <c r="C20852" t="s">
        <v>48</v>
      </c>
      <c r="D20852" t="s">
        <v>22</v>
      </c>
      <c r="E20852">
        <f>1/60</f>
        <v>1.6666666666666666E-2</v>
      </c>
      <c r="F20852">
        <v>259</v>
      </c>
      <c r="G20852">
        <f>LOG(382/(259+1))</f>
        <v>0.16709001494089079</v>
      </c>
      <c r="H20852">
        <f>0.0166666666666666*0.384738977591047</f>
        <v>6.412316293184092E-3</v>
      </c>
      <c r="I20852">
        <v>6.4123162931841249E-3</v>
      </c>
    </row>
    <row r="20853" spans="1:9" x14ac:dyDescent="0.25">
      <c r="A20853">
        <v>613</v>
      </c>
      <c r="B20853" t="s">
        <v>4869</v>
      </c>
      <c r="C20853" t="s">
        <v>48</v>
      </c>
      <c r="D20853" t="s">
        <v>23</v>
      </c>
      <c r="E20853">
        <f>1/60</f>
        <v>1.6666666666666666E-2</v>
      </c>
      <c r="F20853">
        <v>275</v>
      </c>
      <c r="G20853">
        <f>LOG(382/(275+1))</f>
        <v>0.14115428084649101</v>
      </c>
      <c r="H20853">
        <f>0.0166666666666666*0.325019742889425</f>
        <v>5.416995714823728E-3</v>
      </c>
      <c r="I20853">
        <v>5.4169957148237522E-3</v>
      </c>
    </row>
    <row r="20854" spans="1:9" x14ac:dyDescent="0.25">
      <c r="A20854">
        <v>613</v>
      </c>
      <c r="B20854" t="s">
        <v>4869</v>
      </c>
      <c r="C20854" t="s">
        <v>48</v>
      </c>
      <c r="D20854" t="s">
        <v>247</v>
      </c>
      <c r="E20854">
        <f>1/60</f>
        <v>1.6666666666666666E-2</v>
      </c>
      <c r="F20854">
        <v>121</v>
      </c>
      <c r="G20854">
        <f>LOG(382/(121+1))</f>
        <v>0.49570353223696051</v>
      </c>
      <c r="H20854">
        <f>0.0166666666666666*1.14139956387331</f>
        <v>1.9023326064555094E-2</v>
      </c>
      <c r="I20854">
        <v>1.9023326064555309E-2</v>
      </c>
    </row>
    <row r="20855" spans="1:9" x14ac:dyDescent="0.25">
      <c r="A20855">
        <v>613</v>
      </c>
      <c r="B20855" t="s">
        <v>4869</v>
      </c>
      <c r="C20855" t="s">
        <v>48</v>
      </c>
      <c r="D20855" t="s">
        <v>4589</v>
      </c>
      <c r="E20855">
        <f>2/60</f>
        <v>3.3333333333333333E-2</v>
      </c>
      <c r="F20855">
        <v>2</v>
      </c>
      <c r="G20855">
        <f>LOG(382/(2+1))</f>
        <v>2.1049421081920463</v>
      </c>
      <c r="H20855">
        <f>0.0333333333333333*4.84680831993846</f>
        <v>0.16156027733128184</v>
      </c>
      <c r="I20855">
        <v>0.1615602773312822</v>
      </c>
    </row>
    <row r="20856" spans="1:9" x14ac:dyDescent="0.25">
      <c r="A20856">
        <v>613</v>
      </c>
      <c r="B20856" t="s">
        <v>4869</v>
      </c>
      <c r="C20856" t="s">
        <v>48</v>
      </c>
      <c r="D20856" t="s">
        <v>4871</v>
      </c>
      <c r="E20856">
        <f>1/60</f>
        <v>1.6666666666666666E-2</v>
      </c>
      <c r="F20856">
        <v>1</v>
      </c>
      <c r="G20856">
        <f>LOG(382/(1+1))</f>
        <v>2.2810333672477277</v>
      </c>
      <c r="H20856">
        <f>0.0166666666666666*5.25227342804663</f>
        <v>8.753789046744348E-2</v>
      </c>
      <c r="I20856">
        <v>8.7537890467443827E-2</v>
      </c>
    </row>
    <row r="20857" spans="1:9" x14ac:dyDescent="0.25">
      <c r="A20857">
        <v>613</v>
      </c>
      <c r="B20857" t="s">
        <v>4869</v>
      </c>
      <c r="C20857" t="s">
        <v>48</v>
      </c>
      <c r="D20857" t="s">
        <v>1083</v>
      </c>
      <c r="E20857">
        <f>2/60</f>
        <v>3.3333333333333333E-2</v>
      </c>
      <c r="F20857">
        <v>51</v>
      </c>
      <c r="G20857">
        <f>LOG(382/(51+1))</f>
        <v>0.86606001927690957</v>
      </c>
      <c r="H20857">
        <f>0.0333333333333333*1.99417689002514</f>
        <v>6.6472563000837925E-2</v>
      </c>
      <c r="I20857">
        <v>6.6472563000838258E-2</v>
      </c>
    </row>
    <row r="20858" spans="1:9" x14ac:dyDescent="0.25">
      <c r="A20858">
        <v>613</v>
      </c>
      <c r="B20858" t="s">
        <v>4869</v>
      </c>
      <c r="C20858" t="s">
        <v>48</v>
      </c>
      <c r="D20858" t="s">
        <v>437</v>
      </c>
      <c r="E20858">
        <f>2/60</f>
        <v>3.3333333333333333E-2</v>
      </c>
      <c r="F20858">
        <v>18</v>
      </c>
      <c r="G20858">
        <f>LOG(382/(18+1))</f>
        <v>1.3033097619588798</v>
      </c>
      <c r="H20858">
        <f>0.0333333333333333*3.00098162944013</f>
        <v>0.10003272098133757</v>
      </c>
      <c r="I20858">
        <v>0.10003272098133779</v>
      </c>
    </row>
    <row r="20859" spans="1:9" x14ac:dyDescent="0.25">
      <c r="A20859">
        <v>613</v>
      </c>
      <c r="B20859" t="s">
        <v>4869</v>
      </c>
      <c r="C20859" t="s">
        <v>48</v>
      </c>
      <c r="D20859" t="s">
        <v>1727</v>
      </c>
      <c r="E20859">
        <f>3/60</f>
        <v>0.05</v>
      </c>
      <c r="F20859">
        <v>27</v>
      </c>
      <c r="G20859">
        <f>LOG(382/(27+1))</f>
        <v>1.1349053315694895</v>
      </c>
      <c r="H20859">
        <f>0.05*2.61321609843137</f>
        <v>0.13066080492156851</v>
      </c>
      <c r="I20859">
        <v>0.13066080492156859</v>
      </c>
    </row>
    <row r="20860" spans="1:9" x14ac:dyDescent="0.25">
      <c r="A20860">
        <v>613</v>
      </c>
      <c r="B20860" t="s">
        <v>4869</v>
      </c>
      <c r="C20860" t="s">
        <v>48</v>
      </c>
      <c r="D20860" t="s">
        <v>474</v>
      </c>
      <c r="E20860">
        <f>1/60</f>
        <v>1.6666666666666666E-2</v>
      </c>
      <c r="F20860">
        <v>25</v>
      </c>
      <c r="G20860">
        <f>LOG(382/(25+1))</f>
        <v>1.1670900149408907</v>
      </c>
      <c r="H20860">
        <f>0.0166666666666666*2.68732407058509</f>
        <v>4.4788734509751321E-2</v>
      </c>
      <c r="I20860">
        <v>4.478873450975155E-2</v>
      </c>
    </row>
    <row r="20861" spans="1:9" x14ac:dyDescent="0.25">
      <c r="A20861">
        <v>613</v>
      </c>
      <c r="B20861" t="s">
        <v>4869</v>
      </c>
      <c r="C20861" t="s">
        <v>48</v>
      </c>
      <c r="D20861" t="s">
        <v>614</v>
      </c>
      <c r="E20861">
        <f>2/60</f>
        <v>3.3333333333333333E-2</v>
      </c>
      <c r="F20861">
        <v>3</v>
      </c>
      <c r="G20861">
        <f>LOG(382/(3+1))</f>
        <v>1.9800033715837464</v>
      </c>
      <c r="H20861">
        <f>0.0333333333333333*4.55912624748668</f>
        <v>0.15197087491622252</v>
      </c>
      <c r="I20861">
        <v>0.1519708749162228</v>
      </c>
    </row>
    <row r="20862" spans="1:9" x14ac:dyDescent="0.25">
      <c r="A20862">
        <v>613</v>
      </c>
      <c r="B20862" t="s">
        <v>4869</v>
      </c>
      <c r="C20862" t="s">
        <v>48</v>
      </c>
      <c r="D20862" t="s">
        <v>201</v>
      </c>
      <c r="E20862">
        <f>1/60</f>
        <v>1.6666666666666666E-2</v>
      </c>
      <c r="F20862">
        <v>72</v>
      </c>
      <c r="G20862">
        <f>LOG(382/(72+1))</f>
        <v>0.71874050279125279</v>
      </c>
      <c r="H20862">
        <f>0.0166666666666666*1.65496116745818</f>
        <v>2.758268612430289E-2</v>
      </c>
      <c r="I20862">
        <v>2.758268612430306E-2</v>
      </c>
    </row>
    <row r="20863" spans="1:9" x14ac:dyDescent="0.25">
      <c r="A20863">
        <v>613</v>
      </c>
      <c r="B20863" t="s">
        <v>4869</v>
      </c>
      <c r="C20863" t="s">
        <v>48</v>
      </c>
      <c r="D20863" t="s">
        <v>4872</v>
      </c>
      <c r="E20863">
        <f>1/60</f>
        <v>1.6666666666666666E-2</v>
      </c>
      <c r="F20863">
        <v>1</v>
      </c>
      <c r="G20863">
        <f>LOG(382/(1+1))</f>
        <v>2.2810333672477277</v>
      </c>
      <c r="H20863">
        <f>0.0166666666666666*5.25227342804663</f>
        <v>8.753789046744348E-2</v>
      </c>
      <c r="I20863">
        <v>8.7537890467443827E-2</v>
      </c>
    </row>
    <row r="20864" spans="1:9" x14ac:dyDescent="0.25">
      <c r="A20864">
        <v>613</v>
      </c>
      <c r="B20864" t="s">
        <v>4869</v>
      </c>
      <c r="C20864" t="s">
        <v>48</v>
      </c>
      <c r="D20864" t="s">
        <v>4873</v>
      </c>
      <c r="E20864">
        <f>1/60</f>
        <v>1.6666666666666666E-2</v>
      </c>
      <c r="F20864">
        <v>1</v>
      </c>
      <c r="G20864">
        <f>LOG(382/(1+1))</f>
        <v>2.2810333672477277</v>
      </c>
      <c r="H20864">
        <f>0.0166666666666666*5.25227342804663</f>
        <v>8.753789046744348E-2</v>
      </c>
      <c r="I20864">
        <v>8.7537890467443827E-2</v>
      </c>
    </row>
    <row r="20865" spans="1:9" x14ac:dyDescent="0.25">
      <c r="A20865">
        <v>613</v>
      </c>
      <c r="B20865" t="s">
        <v>4869</v>
      </c>
      <c r="C20865" t="s">
        <v>48</v>
      </c>
      <c r="D20865" t="s">
        <v>4874</v>
      </c>
      <c r="E20865">
        <f>1/60</f>
        <v>1.6666666666666666E-2</v>
      </c>
      <c r="F20865">
        <v>1</v>
      </c>
      <c r="G20865">
        <f>LOG(382/(1+1))</f>
        <v>2.2810333672477277</v>
      </c>
      <c r="H20865">
        <f>0.0166666666666666*5.25227342804663</f>
        <v>8.753789046744348E-2</v>
      </c>
      <c r="I20865">
        <v>8.7537890467443827E-2</v>
      </c>
    </row>
    <row r="20866" spans="1:9" x14ac:dyDescent="0.25">
      <c r="A20866">
        <v>613</v>
      </c>
      <c r="B20866" t="s">
        <v>4869</v>
      </c>
      <c r="C20866" t="s">
        <v>48</v>
      </c>
      <c r="D20866" t="s">
        <v>78</v>
      </c>
      <c r="E20866">
        <f>3/60</f>
        <v>0.05</v>
      </c>
      <c r="F20866">
        <v>122</v>
      </c>
      <c r="G20866">
        <f>LOG(382/(122+1))</f>
        <v>0.49215825147231079</v>
      </c>
      <c r="H20866">
        <f>0.05*1.13323625323415</f>
        <v>5.66618126617075E-2</v>
      </c>
      <c r="I20866">
        <v>5.6661812661707882E-2</v>
      </c>
    </row>
    <row r="20867" spans="1:9" x14ac:dyDescent="0.25">
      <c r="A20867">
        <v>613</v>
      </c>
      <c r="B20867" t="s">
        <v>4869</v>
      </c>
      <c r="C20867" t="s">
        <v>48</v>
      </c>
      <c r="D20867" t="s">
        <v>432</v>
      </c>
      <c r="E20867">
        <f t="shared" ref="E20867:E20873" si="995">1/60</f>
        <v>1.6666666666666666E-2</v>
      </c>
      <c r="F20867">
        <v>67</v>
      </c>
      <c r="G20867">
        <f>LOG(382/(67+1))</f>
        <v>0.7495544502054724</v>
      </c>
      <c r="H20867">
        <f>0.0166666666666666*1.72591290343046</f>
        <v>2.876521505717422E-2</v>
      </c>
      <c r="I20867">
        <v>2.876521505717447E-2</v>
      </c>
    </row>
    <row r="20868" spans="1:9" x14ac:dyDescent="0.25">
      <c r="A20868">
        <v>613</v>
      </c>
      <c r="B20868" t="s">
        <v>4869</v>
      </c>
      <c r="C20868" t="s">
        <v>48</v>
      </c>
      <c r="D20868" t="s">
        <v>322</v>
      </c>
      <c r="E20868">
        <f t="shared" si="995"/>
        <v>1.6666666666666666E-2</v>
      </c>
      <c r="F20868">
        <v>128</v>
      </c>
      <c r="G20868">
        <f>LOG(382/(128+1))</f>
        <v>0.47147365261245977</v>
      </c>
      <c r="H20868">
        <f>0.0166666666666666*1.0856082042449</f>
        <v>1.8093470070748262E-2</v>
      </c>
      <c r="I20868">
        <v>1.809347007074839E-2</v>
      </c>
    </row>
    <row r="20869" spans="1:9" x14ac:dyDescent="0.25">
      <c r="A20869">
        <v>613</v>
      </c>
      <c r="B20869" t="s">
        <v>4869</v>
      </c>
      <c r="C20869" t="s">
        <v>48</v>
      </c>
      <c r="D20869" t="s">
        <v>123</v>
      </c>
      <c r="E20869">
        <f t="shared" si="995"/>
        <v>1.6666666666666666E-2</v>
      </c>
      <c r="F20869">
        <v>74</v>
      </c>
      <c r="G20869">
        <f>LOG(382/(74+1))</f>
        <v>0.7070020995200087</v>
      </c>
      <c r="H20869">
        <f>0.0166666666666666*1.62793249507026</f>
        <v>2.7132208251170895E-2</v>
      </c>
      <c r="I20869">
        <v>2.7132208251171078E-2</v>
      </c>
    </row>
    <row r="20870" spans="1:9" x14ac:dyDescent="0.25">
      <c r="A20870">
        <v>613</v>
      </c>
      <c r="B20870" t="s">
        <v>4869</v>
      </c>
      <c r="C20870" t="s">
        <v>48</v>
      </c>
      <c r="D20870" t="s">
        <v>589</v>
      </c>
      <c r="E20870">
        <f t="shared" si="995"/>
        <v>1.6666666666666666E-2</v>
      </c>
      <c r="F20870">
        <v>12</v>
      </c>
      <c r="G20870">
        <f>LOG(382/(12+1))</f>
        <v>1.468120010604872</v>
      </c>
      <c r="H20870">
        <f>0.0166666666666666*3.38047125114503</f>
        <v>5.634118751908361E-2</v>
      </c>
      <c r="I20870">
        <v>5.6341187519083978E-2</v>
      </c>
    </row>
    <row r="20871" spans="1:9" x14ac:dyDescent="0.25">
      <c r="A20871">
        <v>613</v>
      </c>
      <c r="B20871" t="s">
        <v>4869</v>
      </c>
      <c r="C20871" t="s">
        <v>48</v>
      </c>
      <c r="D20871" t="s">
        <v>28</v>
      </c>
      <c r="E20871">
        <f t="shared" si="995"/>
        <v>1.6666666666666666E-2</v>
      </c>
      <c r="F20871">
        <v>35</v>
      </c>
      <c r="G20871">
        <f>LOG(382/(35+1))</f>
        <v>1.0257608621444214</v>
      </c>
      <c r="H20871">
        <f>0.0166666666666666*2.36190167015046</f>
        <v>3.9365027835840845E-2</v>
      </c>
      <c r="I20871">
        <v>3.9365027835841081E-2</v>
      </c>
    </row>
    <row r="20872" spans="1:9" x14ac:dyDescent="0.25">
      <c r="A20872">
        <v>613</v>
      </c>
      <c r="B20872" t="s">
        <v>4869</v>
      </c>
      <c r="C20872" t="s">
        <v>48</v>
      </c>
      <c r="D20872" t="s">
        <v>4875</v>
      </c>
      <c r="E20872">
        <f t="shared" si="995"/>
        <v>1.6666666666666666E-2</v>
      </c>
      <c r="F20872">
        <v>1</v>
      </c>
      <c r="G20872">
        <f>LOG(382/(1+1))</f>
        <v>2.2810333672477277</v>
      </c>
      <c r="H20872">
        <f>0.0166666666666666*5.25227342804663</f>
        <v>8.753789046744348E-2</v>
      </c>
      <c r="I20872">
        <v>8.7537890467443827E-2</v>
      </c>
    </row>
    <row r="20873" spans="1:9" x14ac:dyDescent="0.25">
      <c r="A20873">
        <v>613</v>
      </c>
      <c r="B20873" t="s">
        <v>4869</v>
      </c>
      <c r="C20873" t="s">
        <v>48</v>
      </c>
      <c r="D20873" t="s">
        <v>436</v>
      </c>
      <c r="E20873">
        <f t="shared" si="995"/>
        <v>1.6666666666666666E-2</v>
      </c>
      <c r="F20873">
        <v>20</v>
      </c>
      <c r="G20873">
        <f>LOG(382/(20+1))</f>
        <v>1.2598440681777894</v>
      </c>
      <c r="H20873">
        <f>0.0166666666666666*2.90089817088315</f>
        <v>4.8348302848052312E-2</v>
      </c>
      <c r="I20873">
        <v>4.8348302848052541E-2</v>
      </c>
    </row>
    <row r="20874" spans="1:9" x14ac:dyDescent="0.25">
      <c r="A20874">
        <v>613</v>
      </c>
      <c r="B20874" t="s">
        <v>4869</v>
      </c>
      <c r="C20874" t="s">
        <v>48</v>
      </c>
      <c r="D20874" t="s">
        <v>361</v>
      </c>
      <c r="E20874">
        <f>2/60</f>
        <v>3.3333333333333333E-2</v>
      </c>
      <c r="F20874">
        <v>118</v>
      </c>
      <c r="G20874">
        <f>LOG(382/(118+1))</f>
        <v>0.50651640151917798</v>
      </c>
      <c r="H20874">
        <f>0.0333333333333333*1.16629711549504</f>
        <v>3.8876570516501285E-2</v>
      </c>
      <c r="I20874">
        <v>3.8876570516501528E-2</v>
      </c>
    </row>
    <row r="20875" spans="1:9" x14ac:dyDescent="0.25">
      <c r="A20875">
        <v>613</v>
      </c>
      <c r="B20875" t="s">
        <v>4869</v>
      </c>
      <c r="C20875" t="s">
        <v>48</v>
      </c>
      <c r="D20875" t="s">
        <v>3374</v>
      </c>
      <c r="E20875">
        <f>1/60</f>
        <v>1.6666666666666666E-2</v>
      </c>
      <c r="F20875">
        <v>6</v>
      </c>
      <c r="G20875">
        <f>LOG(382/(6+1))</f>
        <v>1.736965322897452</v>
      </c>
      <c r="H20875">
        <f>0.0166666666666666*3.99951045955126</f>
        <v>6.6658507659187405E-2</v>
      </c>
      <c r="I20875">
        <v>6.6658507659187696E-2</v>
      </c>
    </row>
    <row r="20876" spans="1:9" x14ac:dyDescent="0.25">
      <c r="A20876">
        <v>613</v>
      </c>
      <c r="B20876" t="s">
        <v>4869</v>
      </c>
      <c r="C20876" t="s">
        <v>48</v>
      </c>
      <c r="D20876" t="s">
        <v>214</v>
      </c>
      <c r="E20876">
        <f>2/60</f>
        <v>3.3333333333333333E-2</v>
      </c>
      <c r="F20876">
        <v>68</v>
      </c>
      <c r="G20876">
        <f>LOG(382/(68+1))</f>
        <v>0.74321427217445335</v>
      </c>
      <c r="H20876">
        <f>0.0333333333333333*1.71131410400931</f>
        <v>5.704380346697694E-2</v>
      </c>
      <c r="I20876">
        <v>5.704380346697719E-2</v>
      </c>
    </row>
    <row r="20877" spans="1:9" x14ac:dyDescent="0.25">
      <c r="A20877">
        <v>613</v>
      </c>
      <c r="B20877" t="s">
        <v>4869</v>
      </c>
      <c r="C20877" t="s">
        <v>48</v>
      </c>
      <c r="D20877" t="s">
        <v>851</v>
      </c>
      <c r="E20877">
        <f>1/60</f>
        <v>1.6666666666666666E-2</v>
      </c>
      <c r="F20877">
        <v>8</v>
      </c>
      <c r="G20877">
        <f>LOG(382/(8+1))</f>
        <v>1.6278208534723839</v>
      </c>
      <c r="H20877">
        <f>0.0166666666666666*3.74819603127035</f>
        <v>6.2469933854505583E-2</v>
      </c>
      <c r="I20877">
        <v>6.246993385450593E-2</v>
      </c>
    </row>
    <row r="20878" spans="1:9" x14ac:dyDescent="0.25">
      <c r="A20878">
        <v>613</v>
      </c>
      <c r="B20878" t="s">
        <v>4869</v>
      </c>
      <c r="C20878" t="s">
        <v>48</v>
      </c>
      <c r="D20878" t="s">
        <v>4876</v>
      </c>
      <c r="E20878">
        <f>1/60</f>
        <v>1.6666666666666666E-2</v>
      </c>
      <c r="F20878">
        <v>1</v>
      </c>
      <c r="G20878">
        <f>LOG(382/(1+1))</f>
        <v>2.2810333672477277</v>
      </c>
      <c r="H20878">
        <f>0.0166666666666666*5.25227342804663</f>
        <v>8.753789046744348E-2</v>
      </c>
      <c r="I20878">
        <v>8.7537890467443827E-2</v>
      </c>
    </row>
    <row r="20879" spans="1:9" x14ac:dyDescent="0.25">
      <c r="A20879">
        <v>613</v>
      </c>
      <c r="B20879" t="s">
        <v>4869</v>
      </c>
      <c r="C20879" t="s">
        <v>48</v>
      </c>
      <c r="D20879" t="s">
        <v>483</v>
      </c>
      <c r="E20879">
        <f>1/60</f>
        <v>1.6666666666666666E-2</v>
      </c>
      <c r="F20879">
        <v>61</v>
      </c>
      <c r="G20879">
        <f>LOG(382/(61+1))</f>
        <v>0.7896716734134549</v>
      </c>
      <c r="H20879">
        <f>0.0166666666666666*1.81828622356148</f>
        <v>3.0304770392691215E-2</v>
      </c>
      <c r="I20879">
        <v>3.0304770392691392E-2</v>
      </c>
    </row>
    <row r="20880" spans="1:9" x14ac:dyDescent="0.25">
      <c r="A20880">
        <v>613</v>
      </c>
      <c r="B20880" t="s">
        <v>4869</v>
      </c>
      <c r="C20880" t="s">
        <v>48</v>
      </c>
      <c r="D20880" t="s">
        <v>754</v>
      </c>
      <c r="E20880">
        <f>1/60</f>
        <v>1.6666666666666666E-2</v>
      </c>
      <c r="F20880">
        <v>111</v>
      </c>
      <c r="G20880">
        <f>LOG(382/(111+1))</f>
        <v>0.53284534024152708</v>
      </c>
      <c r="H20880">
        <f>0.0166666666666666*1.22692173731148</f>
        <v>2.0448695621857919E-2</v>
      </c>
      <c r="I20880">
        <v>2.0448695621858009E-2</v>
      </c>
    </row>
    <row r="20881" spans="1:9" x14ac:dyDescent="0.25">
      <c r="A20881">
        <v>613</v>
      </c>
      <c r="B20881" t="s">
        <v>4869</v>
      </c>
      <c r="C20881" t="s">
        <v>48</v>
      </c>
      <c r="D20881" t="s">
        <v>222</v>
      </c>
      <c r="E20881">
        <f>2/60</f>
        <v>3.3333333333333333E-2</v>
      </c>
      <c r="F20881">
        <v>22</v>
      </c>
      <c r="G20881">
        <f>LOG(382/(22+1))</f>
        <v>1.2203355268941158</v>
      </c>
      <c r="H20881">
        <f>0.0333333333333333*2.80992639267742</f>
        <v>9.3664213089247231E-2</v>
      </c>
      <c r="I20881">
        <v>9.3664213089247522E-2</v>
      </c>
    </row>
    <row r="20882" spans="1:9" x14ac:dyDescent="0.25">
      <c r="A20882">
        <v>613</v>
      </c>
      <c r="B20882" t="s">
        <v>4869</v>
      </c>
      <c r="C20882" t="s">
        <v>48</v>
      </c>
      <c r="D20882" t="s">
        <v>666</v>
      </c>
      <c r="E20882">
        <f>2/60</f>
        <v>3.3333333333333333E-2</v>
      </c>
      <c r="F20882">
        <v>9</v>
      </c>
      <c r="G20882">
        <f>LOG(382/(9+1))</f>
        <v>1.5820633629117087</v>
      </c>
      <c r="H20882">
        <f>0.0333333333333333*3.64283551561252</f>
        <v>0.12142785052041721</v>
      </c>
      <c r="I20882">
        <v>0.1214278505204176</v>
      </c>
    </row>
    <row r="20883" spans="1:9" x14ac:dyDescent="0.25">
      <c r="A20883">
        <v>613</v>
      </c>
      <c r="B20883" t="s">
        <v>4869</v>
      </c>
      <c r="C20883" t="s">
        <v>48</v>
      </c>
      <c r="D20883" t="s">
        <v>4877</v>
      </c>
      <c r="E20883">
        <f>1/60</f>
        <v>1.6666666666666666E-2</v>
      </c>
      <c r="F20883">
        <v>1</v>
      </c>
      <c r="G20883">
        <f>LOG(382/(1+1))</f>
        <v>2.2810333672477277</v>
      </c>
      <c r="H20883">
        <f>0.0166666666666666*5.25227342804663</f>
        <v>8.753789046744348E-2</v>
      </c>
      <c r="I20883">
        <v>8.7537890467443827E-2</v>
      </c>
    </row>
    <row r="20884" spans="1:9" x14ac:dyDescent="0.25">
      <c r="A20884">
        <v>613</v>
      </c>
      <c r="B20884" t="s">
        <v>4869</v>
      </c>
      <c r="C20884" t="s">
        <v>48</v>
      </c>
      <c r="D20884" t="s">
        <v>121</v>
      </c>
      <c r="E20884">
        <f>1/60</f>
        <v>1.6666666666666666E-2</v>
      </c>
      <c r="F20884">
        <v>22</v>
      </c>
      <c r="G20884">
        <f>LOG(382/(22+1))</f>
        <v>1.2203355268941158</v>
      </c>
      <c r="H20884">
        <f>0.0166666666666666*2.80992639267742</f>
        <v>4.6832106544623477E-2</v>
      </c>
      <c r="I20884">
        <v>4.6832106544623761E-2</v>
      </c>
    </row>
    <row r="20885" spans="1:9" x14ac:dyDescent="0.25">
      <c r="A20885">
        <v>613</v>
      </c>
      <c r="B20885" t="s">
        <v>4869</v>
      </c>
      <c r="C20885" t="s">
        <v>48</v>
      </c>
      <c r="D20885" t="s">
        <v>88</v>
      </c>
      <c r="E20885">
        <f>1/60</f>
        <v>1.6666666666666666E-2</v>
      </c>
      <c r="F20885">
        <v>13</v>
      </c>
      <c r="G20885">
        <f>LOG(382/(13+1))</f>
        <v>1.4359353272334707</v>
      </c>
      <c r="H20885">
        <f>0.0166666666666666*3.30636327899131</f>
        <v>5.5106054649854949E-2</v>
      </c>
      <c r="I20885">
        <v>5.5106054649855282E-2</v>
      </c>
    </row>
    <row r="20886" spans="1:9" x14ac:dyDescent="0.25">
      <c r="A20886">
        <v>613</v>
      </c>
      <c r="B20886" t="s">
        <v>4869</v>
      </c>
      <c r="C20886" t="s">
        <v>48</v>
      </c>
      <c r="D20886" t="s">
        <v>224</v>
      </c>
      <c r="E20886">
        <f>1/60</f>
        <v>1.6666666666666666E-2</v>
      </c>
      <c r="F20886">
        <v>16</v>
      </c>
      <c r="G20886">
        <f>LOG(382/(16+1))</f>
        <v>1.3516144415334348</v>
      </c>
      <c r="H20886">
        <f>0.0166666666666666*3.11220726455035</f>
        <v>5.1870121075838958E-2</v>
      </c>
      <c r="I20886">
        <v>5.1870121075839319E-2</v>
      </c>
    </row>
    <row r="20887" spans="1:9" x14ac:dyDescent="0.25">
      <c r="A20887">
        <v>613</v>
      </c>
      <c r="B20887" t="s">
        <v>4869</v>
      </c>
      <c r="C20887" t="s">
        <v>48</v>
      </c>
      <c r="D20887" t="s">
        <v>53</v>
      </c>
      <c r="E20887">
        <f>1/60</f>
        <v>1.6666666666666666E-2</v>
      </c>
      <c r="F20887">
        <v>57</v>
      </c>
      <c r="G20887">
        <f>LOG(382/(57+1))</f>
        <v>0.81863536934877146</v>
      </c>
      <c r="H20887">
        <f>0.0166666666666666*1.88497759806015</f>
        <v>3.1416293301002374E-2</v>
      </c>
      <c r="I20887">
        <v>3.1416293301002603E-2</v>
      </c>
    </row>
    <row r="20888" spans="1:9" x14ac:dyDescent="0.25">
      <c r="A20888">
        <v>614</v>
      </c>
      <c r="B20888" t="s">
        <v>4878</v>
      </c>
      <c r="C20888" t="s">
        <v>10</v>
      </c>
      <c r="D20888" t="s">
        <v>931</v>
      </c>
      <c r="E20888">
        <f>6/95</f>
        <v>6.3157894736842107E-2</v>
      </c>
      <c r="F20888">
        <v>22</v>
      </c>
      <c r="G20888">
        <f>LOG(382/(22+1))</f>
        <v>1.2203355268941158</v>
      </c>
      <c r="H20888">
        <f>0.0631578947368421*2.80992639267742</f>
        <v>0.1774690353269949</v>
      </c>
      <c r="I20888">
        <v>0.17746903532699529</v>
      </c>
    </row>
    <row r="20889" spans="1:9" x14ac:dyDescent="0.25">
      <c r="A20889">
        <v>614</v>
      </c>
      <c r="B20889" t="s">
        <v>4878</v>
      </c>
      <c r="C20889" t="s">
        <v>10</v>
      </c>
      <c r="D20889" t="s">
        <v>11</v>
      </c>
      <c r="E20889">
        <f>5/95</f>
        <v>5.2631578947368418E-2</v>
      </c>
      <c r="F20889">
        <v>83</v>
      </c>
      <c r="G20889">
        <f>LOG(382/(83+1))</f>
        <v>0.65778407684982709</v>
      </c>
      <c r="H20889">
        <f>0.0526315789473684*1.51460380976326</f>
        <v>7.9715989987539954E-2</v>
      </c>
      <c r="I20889">
        <v>7.9715989987540078E-2</v>
      </c>
    </row>
    <row r="20890" spans="1:9" x14ac:dyDescent="0.25">
      <c r="A20890">
        <v>614</v>
      </c>
      <c r="B20890" t="s">
        <v>4878</v>
      </c>
      <c r="C20890" t="s">
        <v>10</v>
      </c>
      <c r="D20890" t="s">
        <v>1832</v>
      </c>
      <c r="E20890">
        <f>4/95</f>
        <v>4.2105263157894736E-2</v>
      </c>
      <c r="F20890">
        <v>9</v>
      </c>
      <c r="G20890">
        <f>LOG(382/(9+1))</f>
        <v>1.5820633629117087</v>
      </c>
      <c r="H20890">
        <f>0.0421052631578947*3.64283551561252</f>
        <v>0.15338254802579018</v>
      </c>
      <c r="I20890">
        <v>0.15338254802579071</v>
      </c>
    </row>
    <row r="20891" spans="1:9" x14ac:dyDescent="0.25">
      <c r="A20891">
        <v>614</v>
      </c>
      <c r="B20891" t="s">
        <v>4878</v>
      </c>
      <c r="C20891" t="s">
        <v>10</v>
      </c>
      <c r="D20891" t="s">
        <v>4879</v>
      </c>
      <c r="E20891">
        <f>1/95</f>
        <v>1.0526315789473684E-2</v>
      </c>
      <c r="F20891">
        <v>1</v>
      </c>
      <c r="G20891">
        <f>LOG(382/(1+1))</f>
        <v>2.2810333672477277</v>
      </c>
      <c r="H20891">
        <f>0.0105263157894736*5.25227342804663</f>
        <v>5.5287088716279874E-2</v>
      </c>
      <c r="I20891">
        <v>5.5287088716280311E-2</v>
      </c>
    </row>
    <row r="20892" spans="1:9" x14ac:dyDescent="0.25">
      <c r="A20892">
        <v>614</v>
      </c>
      <c r="B20892" t="s">
        <v>4878</v>
      </c>
      <c r="C20892" t="s">
        <v>10</v>
      </c>
      <c r="D20892" t="s">
        <v>4880</v>
      </c>
      <c r="E20892">
        <f>2/95</f>
        <v>2.1052631578947368E-2</v>
      </c>
      <c r="F20892">
        <v>1</v>
      </c>
      <c r="G20892">
        <f>LOG(382/(1+1))</f>
        <v>2.2810333672477277</v>
      </c>
      <c r="H20892">
        <f>0.0210526315789473*5.25227342804663</f>
        <v>0.11057417743256026</v>
      </c>
      <c r="I20892">
        <v>0.11057417743256059</v>
      </c>
    </row>
    <row r="20893" spans="1:9" x14ac:dyDescent="0.25">
      <c r="A20893">
        <v>614</v>
      </c>
      <c r="B20893" t="s">
        <v>4878</v>
      </c>
      <c r="C20893" t="s">
        <v>10</v>
      </c>
      <c r="D20893" t="s">
        <v>42</v>
      </c>
      <c r="E20893">
        <f t="shared" ref="E20893:E20902" si="996">1/95</f>
        <v>1.0526315789473684E-2</v>
      </c>
      <c r="F20893">
        <v>251</v>
      </c>
      <c r="G20893">
        <f>LOG(382/(251+1))</f>
        <v>0.18066282213016463</v>
      </c>
      <c r="H20893">
        <f>0.0105263157894736*0.415991521095151</f>
        <v>4.3788581167910285E-3</v>
      </c>
      <c r="I20893">
        <v>4.3788581167910718E-3</v>
      </c>
    </row>
    <row r="20894" spans="1:9" x14ac:dyDescent="0.25">
      <c r="A20894">
        <v>614</v>
      </c>
      <c r="B20894" t="s">
        <v>4878</v>
      </c>
      <c r="C20894" t="s">
        <v>10</v>
      </c>
      <c r="D20894" t="s">
        <v>600</v>
      </c>
      <c r="E20894">
        <f t="shared" si="996"/>
        <v>1.0526315789473684E-2</v>
      </c>
      <c r="F20894">
        <v>102</v>
      </c>
      <c r="G20894">
        <f>LOG(382/(102+1))</f>
        <v>0.56922613820653656</v>
      </c>
      <c r="H20894">
        <f>0.0105263157894736*1.31069162037693</f>
        <v>1.3796753898704418E-2</v>
      </c>
      <c r="I20894">
        <v>1.379675389870462E-2</v>
      </c>
    </row>
    <row r="20895" spans="1:9" x14ac:dyDescent="0.25">
      <c r="A20895">
        <v>614</v>
      </c>
      <c r="B20895" t="s">
        <v>4878</v>
      </c>
      <c r="C20895" t="s">
        <v>10</v>
      </c>
      <c r="D20895" t="s">
        <v>4881</v>
      </c>
      <c r="E20895">
        <f t="shared" si="996"/>
        <v>1.0526315789473684E-2</v>
      </c>
      <c r="F20895">
        <v>1</v>
      </c>
      <c r="G20895">
        <f>LOG(382/(1+1))</f>
        <v>2.2810333672477277</v>
      </c>
      <c r="H20895">
        <f>0.0105263157894736*5.25227342804663</f>
        <v>5.5287088716279874E-2</v>
      </c>
      <c r="I20895">
        <v>5.5287088716280311E-2</v>
      </c>
    </row>
    <row r="20896" spans="1:9" x14ac:dyDescent="0.25">
      <c r="A20896">
        <v>614</v>
      </c>
      <c r="B20896" t="s">
        <v>4878</v>
      </c>
      <c r="C20896" t="s">
        <v>10</v>
      </c>
      <c r="D20896" t="s">
        <v>1329</v>
      </c>
      <c r="E20896">
        <f t="shared" si="996"/>
        <v>1.0526315789473684E-2</v>
      </c>
      <c r="F20896">
        <v>4</v>
      </c>
      <c r="G20896">
        <f>LOG(382/(4+1))</f>
        <v>1.8830933585756899</v>
      </c>
      <c r="H20896">
        <f>0.0105263157894736*4.33598269617247</f>
        <v>4.5641923117604587E-2</v>
      </c>
      <c r="I20896">
        <v>4.5641923117605003E-2</v>
      </c>
    </row>
    <row r="20897" spans="1:9" x14ac:dyDescent="0.25">
      <c r="A20897">
        <v>614</v>
      </c>
      <c r="B20897" t="s">
        <v>4878</v>
      </c>
      <c r="C20897" t="s">
        <v>10</v>
      </c>
      <c r="D20897" t="s">
        <v>28</v>
      </c>
      <c r="E20897">
        <f t="shared" si="996"/>
        <v>1.0526315789473684E-2</v>
      </c>
      <c r="F20897">
        <v>35</v>
      </c>
      <c r="G20897">
        <f>LOG(382/(35+1))</f>
        <v>1.0257608621444214</v>
      </c>
      <c r="H20897">
        <f>0.0105263157894736*2.36190167015046</f>
        <v>2.4862122843688855E-2</v>
      </c>
      <c r="I20897">
        <v>2.4862122843689109E-2</v>
      </c>
    </row>
    <row r="20898" spans="1:9" x14ac:dyDescent="0.25">
      <c r="A20898">
        <v>614</v>
      </c>
      <c r="B20898" t="s">
        <v>4878</v>
      </c>
      <c r="C20898" t="s">
        <v>10</v>
      </c>
      <c r="D20898" t="s">
        <v>4090</v>
      </c>
      <c r="E20898">
        <f t="shared" si="996"/>
        <v>1.0526315789473684E-2</v>
      </c>
      <c r="F20898">
        <v>3</v>
      </c>
      <c r="G20898">
        <f>LOG(382/(3+1))</f>
        <v>1.9800033715837464</v>
      </c>
      <c r="H20898">
        <f>0.0105263157894736*4.55912624748668</f>
        <v>4.7990802605122569E-2</v>
      </c>
      <c r="I20898">
        <v>4.7990802605122992E-2</v>
      </c>
    </row>
    <row r="20899" spans="1:9" x14ac:dyDescent="0.25">
      <c r="A20899">
        <v>614</v>
      </c>
      <c r="B20899" t="s">
        <v>4878</v>
      </c>
      <c r="C20899" t="s">
        <v>10</v>
      </c>
      <c r="D20899" t="s">
        <v>4854</v>
      </c>
      <c r="E20899">
        <f t="shared" si="996"/>
        <v>1.0526315789473684E-2</v>
      </c>
      <c r="F20899">
        <v>2</v>
      </c>
      <c r="G20899">
        <f>LOG(382/(2+1))</f>
        <v>2.1049421081920463</v>
      </c>
      <c r="H20899">
        <f>0.0105263157894736*4.84680831993846</f>
        <v>5.1019034946720228E-2</v>
      </c>
      <c r="I20899">
        <v>5.1019034946720693E-2</v>
      </c>
    </row>
    <row r="20900" spans="1:9" x14ac:dyDescent="0.25">
      <c r="A20900">
        <v>614</v>
      </c>
      <c r="B20900" t="s">
        <v>4878</v>
      </c>
      <c r="C20900" t="s">
        <v>10</v>
      </c>
      <c r="D20900" t="s">
        <v>4411</v>
      </c>
      <c r="E20900">
        <f t="shared" si="996"/>
        <v>1.0526315789473684E-2</v>
      </c>
      <c r="F20900">
        <v>6</v>
      </c>
      <c r="G20900">
        <f>LOG(382/(6+1))</f>
        <v>1.736965322897452</v>
      </c>
      <c r="H20900">
        <f>0.0105263157894736*3.99951045955126</f>
        <v>4.2100110100539247E-2</v>
      </c>
      <c r="I20900">
        <v>4.2100110100539601E-2</v>
      </c>
    </row>
    <row r="20901" spans="1:9" x14ac:dyDescent="0.25">
      <c r="A20901">
        <v>614</v>
      </c>
      <c r="B20901" t="s">
        <v>4878</v>
      </c>
      <c r="C20901" t="s">
        <v>10</v>
      </c>
      <c r="D20901" t="s">
        <v>22</v>
      </c>
      <c r="E20901">
        <f t="shared" si="996"/>
        <v>1.0526315789473684E-2</v>
      </c>
      <c r="F20901">
        <v>259</v>
      </c>
      <c r="G20901">
        <f>LOG(382/(259+1))</f>
        <v>0.16709001494089079</v>
      </c>
      <c r="H20901">
        <f>0.0105263157894736*0.384738977591047</f>
        <v>4.0498839746425678E-3</v>
      </c>
      <c r="I20901">
        <v>4.0498839746426051E-3</v>
      </c>
    </row>
    <row r="20902" spans="1:9" x14ac:dyDescent="0.25">
      <c r="A20902">
        <v>614</v>
      </c>
      <c r="B20902" t="s">
        <v>4878</v>
      </c>
      <c r="C20902" t="s">
        <v>10</v>
      </c>
      <c r="D20902" t="s">
        <v>23</v>
      </c>
      <c r="E20902">
        <f t="shared" si="996"/>
        <v>1.0526315789473684E-2</v>
      </c>
      <c r="F20902">
        <v>275</v>
      </c>
      <c r="G20902">
        <f>LOG(382/(275+1))</f>
        <v>0.14115428084649101</v>
      </c>
      <c r="H20902">
        <f>0.0105263157894736*0.325019742889425</f>
        <v>3.4212604514676044E-3</v>
      </c>
      <c r="I20902">
        <v>3.421260451467633E-3</v>
      </c>
    </row>
    <row r="20903" spans="1:9" x14ac:dyDescent="0.25">
      <c r="A20903">
        <v>614</v>
      </c>
      <c r="B20903" t="s">
        <v>4878</v>
      </c>
      <c r="C20903" t="s">
        <v>10</v>
      </c>
      <c r="D20903" t="s">
        <v>204</v>
      </c>
      <c r="E20903">
        <f>2/95</f>
        <v>2.1052631578947368E-2</v>
      </c>
      <c r="F20903">
        <v>166</v>
      </c>
      <c r="G20903">
        <f>LOG(382/(166+1))</f>
        <v>0.35934689176412549</v>
      </c>
      <c r="H20903">
        <f>0.0210526315789473*0.82742679618982</f>
        <v>1.7419511498732995E-2</v>
      </c>
      <c r="I20903">
        <v>1.741951149873305E-2</v>
      </c>
    </row>
    <row r="20904" spans="1:9" x14ac:dyDescent="0.25">
      <c r="A20904">
        <v>614</v>
      </c>
      <c r="B20904" t="s">
        <v>4878</v>
      </c>
      <c r="C20904" t="s">
        <v>10</v>
      </c>
      <c r="D20904" t="s">
        <v>331</v>
      </c>
      <c r="E20904">
        <f t="shared" ref="E20904:E20917" si="997">1/95</f>
        <v>1.0526315789473684E-2</v>
      </c>
      <c r="F20904">
        <v>130</v>
      </c>
      <c r="G20904">
        <f>LOG(382/(130+1))</f>
        <v>0.46479206725594452</v>
      </c>
      <c r="H20904">
        <f>0.0105263157894736*1.07022328540542</f>
        <v>1.1265508267425386E-2</v>
      </c>
      <c r="I20904">
        <v>1.1265508267425509E-2</v>
      </c>
    </row>
    <row r="20905" spans="1:9" x14ac:dyDescent="0.25">
      <c r="A20905">
        <v>614</v>
      </c>
      <c r="B20905" t="s">
        <v>4878</v>
      </c>
      <c r="C20905" t="s">
        <v>10</v>
      </c>
      <c r="D20905" t="s">
        <v>4526</v>
      </c>
      <c r="E20905">
        <f t="shared" si="997"/>
        <v>1.0526315789473684E-2</v>
      </c>
      <c r="F20905">
        <v>5</v>
      </c>
      <c r="G20905">
        <f>LOG(382/(5+1))</f>
        <v>1.803912112528065</v>
      </c>
      <c r="H20905">
        <f>0.0105263157894736*4.15366113937852</f>
        <v>4.372274883556302E-2</v>
      </c>
      <c r="I20905">
        <v>4.3722748835563367E-2</v>
      </c>
    </row>
    <row r="20906" spans="1:9" x14ac:dyDescent="0.25">
      <c r="A20906">
        <v>614</v>
      </c>
      <c r="B20906" t="s">
        <v>4878</v>
      </c>
      <c r="C20906" t="s">
        <v>10</v>
      </c>
      <c r="D20906" t="s">
        <v>680</v>
      </c>
      <c r="E20906">
        <f t="shared" si="997"/>
        <v>1.0526315789473684E-2</v>
      </c>
      <c r="F20906">
        <v>25</v>
      </c>
      <c r="G20906">
        <f>LOG(382/(25+1))</f>
        <v>1.1670900149408907</v>
      </c>
      <c r="H20906">
        <f>0.0105263157894736*2.68732407058509</f>
        <v>2.8287621795632302E-2</v>
      </c>
      <c r="I20906">
        <v>2.8287621795632559E-2</v>
      </c>
    </row>
    <row r="20907" spans="1:9" x14ac:dyDescent="0.25">
      <c r="A20907">
        <v>614</v>
      </c>
      <c r="B20907" t="s">
        <v>4878</v>
      </c>
      <c r="C20907" t="s">
        <v>10</v>
      </c>
      <c r="D20907" t="s">
        <v>207</v>
      </c>
      <c r="E20907">
        <f t="shared" si="997"/>
        <v>1.0526315789473684E-2</v>
      </c>
      <c r="F20907">
        <v>21</v>
      </c>
      <c r="G20907">
        <f>LOG(382/(21+1))</f>
        <v>1.2396406820895025</v>
      </c>
      <c r="H20907">
        <f>0.0105263157894736*2.85437815524825</f>
        <v>3.0046085844718181E-2</v>
      </c>
      <c r="I20907">
        <v>3.0046085844718521E-2</v>
      </c>
    </row>
    <row r="20908" spans="1:9" x14ac:dyDescent="0.25">
      <c r="A20908">
        <v>614</v>
      </c>
      <c r="B20908" t="s">
        <v>4878</v>
      </c>
      <c r="C20908" t="s">
        <v>10</v>
      </c>
      <c r="D20908" t="s">
        <v>4853</v>
      </c>
      <c r="E20908">
        <f t="shared" si="997"/>
        <v>1.0526315789473684E-2</v>
      </c>
      <c r="F20908">
        <v>2</v>
      </c>
      <c r="G20908">
        <f>LOG(382/(2+1))</f>
        <v>2.1049421081920463</v>
      </c>
      <c r="H20908">
        <f>0.0105263157894736*4.84680831993846</f>
        <v>5.1019034946720228E-2</v>
      </c>
      <c r="I20908">
        <v>5.1019034946720693E-2</v>
      </c>
    </row>
    <row r="20909" spans="1:9" x14ac:dyDescent="0.25">
      <c r="A20909">
        <v>614</v>
      </c>
      <c r="B20909" t="s">
        <v>4878</v>
      </c>
      <c r="C20909" t="s">
        <v>10</v>
      </c>
      <c r="D20909" t="s">
        <v>372</v>
      </c>
      <c r="E20909">
        <f t="shared" si="997"/>
        <v>1.0526315789473684E-2</v>
      </c>
      <c r="F20909">
        <v>8</v>
      </c>
      <c r="G20909">
        <f>LOG(382/(8+1))</f>
        <v>1.6278208534723839</v>
      </c>
      <c r="H20909">
        <f>0.0105263157894736*3.74819603127035</f>
        <v>3.9454695066003367E-2</v>
      </c>
      <c r="I20909">
        <v>3.9454695066003742E-2</v>
      </c>
    </row>
    <row r="20910" spans="1:9" x14ac:dyDescent="0.25">
      <c r="A20910">
        <v>614</v>
      </c>
      <c r="B20910" t="s">
        <v>4878</v>
      </c>
      <c r="C20910" t="s">
        <v>10</v>
      </c>
      <c r="D20910" t="s">
        <v>25</v>
      </c>
      <c r="E20910">
        <f t="shared" si="997"/>
        <v>1.0526315789473684E-2</v>
      </c>
      <c r="F20910">
        <v>106</v>
      </c>
      <c r="G20910">
        <f>LOG(382/(106+1))</f>
        <v>0.55267958522649907</v>
      </c>
      <c r="H20910">
        <f>0.0105263157894736*1.27259177414466</f>
        <v>1.3395702885733156E-2</v>
      </c>
      <c r="I20910">
        <v>1.3395702885733361E-2</v>
      </c>
    </row>
    <row r="20911" spans="1:9" x14ac:dyDescent="0.25">
      <c r="A20911">
        <v>614</v>
      </c>
      <c r="B20911" t="s">
        <v>4878</v>
      </c>
      <c r="C20911" t="s">
        <v>10</v>
      </c>
      <c r="D20911" t="s">
        <v>567</v>
      </c>
      <c r="E20911">
        <f t="shared" si="997"/>
        <v>1.0526315789473684E-2</v>
      </c>
      <c r="F20911">
        <v>4</v>
      </c>
      <c r="G20911">
        <f>LOG(382/(4+1))</f>
        <v>1.8830933585756899</v>
      </c>
      <c r="H20911">
        <f>0.0105263157894736*4.33598269617247</f>
        <v>4.5641923117604587E-2</v>
      </c>
      <c r="I20911">
        <v>4.5641923117605003E-2</v>
      </c>
    </row>
    <row r="20912" spans="1:9" x14ac:dyDescent="0.25">
      <c r="A20912">
        <v>614</v>
      </c>
      <c r="B20912" t="s">
        <v>4878</v>
      </c>
      <c r="C20912" t="s">
        <v>10</v>
      </c>
      <c r="D20912" t="s">
        <v>632</v>
      </c>
      <c r="E20912">
        <f t="shared" si="997"/>
        <v>1.0526315789473684E-2</v>
      </c>
      <c r="F20912">
        <v>7</v>
      </c>
      <c r="G20912">
        <f>LOG(382/(7+1))</f>
        <v>1.6789733759197651</v>
      </c>
      <c r="H20912">
        <f>0.0105263157894736*3.86597906692673</f>
        <v>4.0694516493965258E-2</v>
      </c>
      <c r="I20912">
        <v>4.0694516493965667E-2</v>
      </c>
    </row>
    <row r="20913" spans="1:9" x14ac:dyDescent="0.25">
      <c r="A20913">
        <v>614</v>
      </c>
      <c r="B20913" t="s">
        <v>4878</v>
      </c>
      <c r="C20913" t="s">
        <v>10</v>
      </c>
      <c r="D20913" t="s">
        <v>4849</v>
      </c>
      <c r="E20913">
        <f t="shared" si="997"/>
        <v>1.0526315789473684E-2</v>
      </c>
      <c r="F20913">
        <v>2</v>
      </c>
      <c r="G20913">
        <f>LOG(382/(2+1))</f>
        <v>2.1049421081920463</v>
      </c>
      <c r="H20913">
        <f>0.0105263157894736*4.84680831993846</f>
        <v>5.1019034946720228E-2</v>
      </c>
      <c r="I20913">
        <v>5.1019034946720693E-2</v>
      </c>
    </row>
    <row r="20914" spans="1:9" x14ac:dyDescent="0.25">
      <c r="A20914">
        <v>614</v>
      </c>
      <c r="B20914" t="s">
        <v>4878</v>
      </c>
      <c r="C20914" t="s">
        <v>10</v>
      </c>
      <c r="D20914" t="s">
        <v>4850</v>
      </c>
      <c r="E20914">
        <f t="shared" si="997"/>
        <v>1.0526315789473684E-2</v>
      </c>
      <c r="F20914">
        <v>2</v>
      </c>
      <c r="G20914">
        <f>LOG(382/(2+1))</f>
        <v>2.1049421081920463</v>
      </c>
      <c r="H20914">
        <f>0.0105263157894736*4.84680831993846</f>
        <v>5.1019034946720228E-2</v>
      </c>
      <c r="I20914">
        <v>5.1019034946720693E-2</v>
      </c>
    </row>
    <row r="20915" spans="1:9" x14ac:dyDescent="0.25">
      <c r="A20915">
        <v>614</v>
      </c>
      <c r="B20915" t="s">
        <v>4878</v>
      </c>
      <c r="C20915" t="s">
        <v>10</v>
      </c>
      <c r="D20915" t="s">
        <v>233</v>
      </c>
      <c r="E20915">
        <f t="shared" si="997"/>
        <v>1.0526315789473684E-2</v>
      </c>
      <c r="F20915">
        <v>14</v>
      </c>
      <c r="G20915">
        <f>LOG(382/(14+1))</f>
        <v>1.4059721038560276</v>
      </c>
      <c r="H20915">
        <f>0.0105263157894736*3.23737040750436</f>
        <v>3.4077583236887726E-2</v>
      </c>
      <c r="I20915">
        <v>3.4077583236888052E-2</v>
      </c>
    </row>
    <row r="20916" spans="1:9" x14ac:dyDescent="0.25">
      <c r="A20916">
        <v>614</v>
      </c>
      <c r="B20916" t="s">
        <v>4878</v>
      </c>
      <c r="C20916" t="s">
        <v>10</v>
      </c>
      <c r="D20916" t="s">
        <v>4882</v>
      </c>
      <c r="E20916">
        <f t="shared" si="997"/>
        <v>1.0526315789473684E-2</v>
      </c>
      <c r="F20916">
        <v>1</v>
      </c>
      <c r="G20916">
        <f>LOG(382/(1+1))</f>
        <v>2.2810333672477277</v>
      </c>
      <c r="H20916">
        <f>0.0105263157894736*5.25227342804663</f>
        <v>5.5287088716279874E-2</v>
      </c>
      <c r="I20916">
        <v>5.5287088716280311E-2</v>
      </c>
    </row>
    <row r="20917" spans="1:9" x14ac:dyDescent="0.25">
      <c r="A20917">
        <v>614</v>
      </c>
      <c r="B20917" t="s">
        <v>4878</v>
      </c>
      <c r="C20917" t="s">
        <v>10</v>
      </c>
      <c r="D20917" t="s">
        <v>3857</v>
      </c>
      <c r="E20917">
        <f t="shared" si="997"/>
        <v>1.0526315789473684E-2</v>
      </c>
      <c r="F20917">
        <v>3</v>
      </c>
      <c r="G20917">
        <f>LOG(382/(3+1))</f>
        <v>1.9800033715837464</v>
      </c>
      <c r="H20917">
        <f>0.0105263157894736*4.55912624748668</f>
        <v>4.7990802605122569E-2</v>
      </c>
      <c r="I20917">
        <v>4.7990802605122992E-2</v>
      </c>
    </row>
    <row r="20918" spans="1:9" x14ac:dyDescent="0.25">
      <c r="A20918">
        <v>614</v>
      </c>
      <c r="B20918" t="s">
        <v>4878</v>
      </c>
      <c r="C20918" t="s">
        <v>10</v>
      </c>
      <c r="D20918" t="s">
        <v>322</v>
      </c>
      <c r="E20918">
        <f>2/95</f>
        <v>2.1052631578947368E-2</v>
      </c>
      <c r="F20918">
        <v>128</v>
      </c>
      <c r="G20918">
        <f>LOG(382/(128+1))</f>
        <v>0.47147365261245977</v>
      </c>
      <c r="H20918">
        <f>0.0210526315789473*1.0856082042449</f>
        <v>2.285490956305045E-2</v>
      </c>
      <c r="I20918">
        <v>2.2854909563050588E-2</v>
      </c>
    </row>
    <row r="20919" spans="1:9" x14ac:dyDescent="0.25">
      <c r="A20919">
        <v>614</v>
      </c>
      <c r="B20919" t="s">
        <v>4878</v>
      </c>
      <c r="C20919" t="s">
        <v>10</v>
      </c>
      <c r="D20919" t="s">
        <v>1532</v>
      </c>
      <c r="E20919">
        <f>2/95</f>
        <v>2.1052631578947368E-2</v>
      </c>
      <c r="F20919">
        <v>28</v>
      </c>
      <c r="G20919">
        <f>LOG(382/(28+1))</f>
        <v>1.1196653650127526</v>
      </c>
      <c r="H20919">
        <f>0.0210526315789473*2.5781247786201</f>
        <v>5.4276311128844026E-2</v>
      </c>
      <c r="I20919">
        <v>5.4276311128844228E-2</v>
      </c>
    </row>
    <row r="20920" spans="1:9" x14ac:dyDescent="0.25">
      <c r="A20920">
        <v>614</v>
      </c>
      <c r="B20920" t="s">
        <v>4878</v>
      </c>
      <c r="C20920" t="s">
        <v>10</v>
      </c>
      <c r="D20920" t="s">
        <v>1533</v>
      </c>
      <c r="E20920">
        <f>2/95</f>
        <v>2.1052631578947368E-2</v>
      </c>
      <c r="F20920">
        <v>33</v>
      </c>
      <c r="G20920">
        <f>LOG(382/(33+1))</f>
        <v>1.0505844458694535</v>
      </c>
      <c r="H20920">
        <f>0.0210526315789473*2.41906008399041</f>
        <v>5.0927580715587416E-2</v>
      </c>
      <c r="I20920">
        <v>5.0927580715587659E-2</v>
      </c>
    </row>
    <row r="20921" spans="1:9" x14ac:dyDescent="0.25">
      <c r="A20921">
        <v>614</v>
      </c>
      <c r="B20921" t="s">
        <v>4878</v>
      </c>
      <c r="C20921" t="s">
        <v>10</v>
      </c>
      <c r="D20921" t="s">
        <v>1588</v>
      </c>
      <c r="E20921">
        <f>1/95</f>
        <v>1.0526315789473684E-2</v>
      </c>
      <c r="F20921">
        <v>4</v>
      </c>
      <c r="G20921">
        <f>LOG(382/(4+1))</f>
        <v>1.8830933585756899</v>
      </c>
      <c r="H20921">
        <f>0.0105263157894736*4.33598269617247</f>
        <v>4.5641923117604587E-2</v>
      </c>
      <c r="I20921">
        <v>4.5641923117605003E-2</v>
      </c>
    </row>
    <row r="20922" spans="1:9" x14ac:dyDescent="0.25">
      <c r="A20922">
        <v>614</v>
      </c>
      <c r="B20922" t="s">
        <v>4878</v>
      </c>
      <c r="C20922" t="s">
        <v>10</v>
      </c>
      <c r="D20922" t="s">
        <v>379</v>
      </c>
      <c r="E20922">
        <f>1/95</f>
        <v>1.0526315789473684E-2</v>
      </c>
      <c r="F20922">
        <v>17</v>
      </c>
      <c r="G20922">
        <f>LOG(382/(17+1))</f>
        <v>1.3267908578084027</v>
      </c>
      <c r="H20922">
        <f>0.0105263157894736*3.05504885071041</f>
        <v>3.2158408954846167E-2</v>
      </c>
      <c r="I20922">
        <v>3.2158408954846417E-2</v>
      </c>
    </row>
    <row r="20923" spans="1:9" x14ac:dyDescent="0.25">
      <c r="A20923">
        <v>614</v>
      </c>
      <c r="B20923" t="s">
        <v>4878</v>
      </c>
      <c r="C20923" t="s">
        <v>10</v>
      </c>
      <c r="D20923" t="s">
        <v>764</v>
      </c>
      <c r="E20923">
        <f>1/95</f>
        <v>1.0526315789473684E-2</v>
      </c>
      <c r="F20923">
        <v>57</v>
      </c>
      <c r="G20923">
        <f>LOG(382/(57+1))</f>
        <v>0.81863536934877146</v>
      </c>
      <c r="H20923">
        <f>0.0105263157894736*1.88497759806015</f>
        <v>1.984186945326458E-2</v>
      </c>
      <c r="I20923">
        <v>1.9841869453264799E-2</v>
      </c>
    </row>
    <row r="20924" spans="1:9" x14ac:dyDescent="0.25">
      <c r="A20924">
        <v>614</v>
      </c>
      <c r="B20924" t="s">
        <v>4878</v>
      </c>
      <c r="C20924" t="s">
        <v>10</v>
      </c>
      <c r="D20924" t="s">
        <v>1135</v>
      </c>
      <c r="E20924">
        <f>1/95</f>
        <v>1.0526315789473684E-2</v>
      </c>
      <c r="F20924">
        <v>7</v>
      </c>
      <c r="G20924">
        <f>LOG(382/(7+1))</f>
        <v>1.6789733759197651</v>
      </c>
      <c r="H20924">
        <f>0.0105263157894736*3.86597906692673</f>
        <v>4.0694516493965258E-2</v>
      </c>
      <c r="I20924">
        <v>4.0694516493965667E-2</v>
      </c>
    </row>
    <row r="20925" spans="1:9" x14ac:dyDescent="0.25">
      <c r="A20925">
        <v>614</v>
      </c>
      <c r="B20925" t="s">
        <v>4878</v>
      </c>
      <c r="C20925" t="s">
        <v>10</v>
      </c>
      <c r="D20925" t="s">
        <v>762</v>
      </c>
      <c r="E20925">
        <f>2/95</f>
        <v>2.1052631578947368E-2</v>
      </c>
      <c r="F20925">
        <v>29</v>
      </c>
      <c r="G20925">
        <f>LOG(382/(29+1))</f>
        <v>1.1049421081920463</v>
      </c>
      <c r="H20925">
        <f>0.0210526315789473*2.54422322694442</f>
        <v>5.3562594251461294E-2</v>
      </c>
      <c r="I20925">
        <v>5.3562594251461468E-2</v>
      </c>
    </row>
    <row r="20926" spans="1:9" x14ac:dyDescent="0.25">
      <c r="A20926">
        <v>614</v>
      </c>
      <c r="B20926" t="s">
        <v>4878</v>
      </c>
      <c r="C20926" t="s">
        <v>10</v>
      </c>
      <c r="D20926" t="s">
        <v>81</v>
      </c>
      <c r="E20926">
        <f>2/95</f>
        <v>2.1052631578947368E-2</v>
      </c>
      <c r="F20926">
        <v>114</v>
      </c>
      <c r="G20926">
        <f>LOG(382/(114+1))</f>
        <v>0.52136552255809698</v>
      </c>
      <c r="H20926">
        <f>0.0210526315789473*1.20048848024332</f>
        <v>2.527344168933297E-2</v>
      </c>
      <c r="I20926">
        <v>2.5273441689333161E-2</v>
      </c>
    </row>
    <row r="20927" spans="1:9" x14ac:dyDescent="0.25">
      <c r="A20927">
        <v>614</v>
      </c>
      <c r="B20927" t="s">
        <v>4878</v>
      </c>
      <c r="C20927" t="s">
        <v>10</v>
      </c>
      <c r="D20927" t="s">
        <v>754</v>
      </c>
      <c r="E20927">
        <f>2/95</f>
        <v>2.1052631578947368E-2</v>
      </c>
      <c r="F20927">
        <v>111</v>
      </c>
      <c r="G20927">
        <f>LOG(382/(111+1))</f>
        <v>0.53284534024152708</v>
      </c>
      <c r="H20927">
        <f>0.0210526315789473*1.22692173731148</f>
        <v>2.5829931311820545E-2</v>
      </c>
      <c r="I20927">
        <v>2.582993131182065E-2</v>
      </c>
    </row>
    <row r="20928" spans="1:9" x14ac:dyDescent="0.25">
      <c r="A20928">
        <v>614</v>
      </c>
      <c r="B20928" t="s">
        <v>4878</v>
      </c>
      <c r="C20928" t="s">
        <v>10</v>
      </c>
      <c r="D20928" t="s">
        <v>237</v>
      </c>
      <c r="E20928">
        <f>1/95</f>
        <v>1.0526315789473684E-2</v>
      </c>
      <c r="F20928">
        <v>138</v>
      </c>
      <c r="G20928">
        <f>LOG(382/(138+1))</f>
        <v>0.43904856265761361</v>
      </c>
      <c r="H20928">
        <f>0.0105263157894736*1.01094667547588</f>
        <v>1.06415439523776E-2</v>
      </c>
      <c r="I20928">
        <v>1.064154395237772E-2</v>
      </c>
    </row>
    <row r="20929" spans="1:9" x14ac:dyDescent="0.25">
      <c r="A20929">
        <v>614</v>
      </c>
      <c r="B20929" t="s">
        <v>4878</v>
      </c>
      <c r="C20929" t="s">
        <v>10</v>
      </c>
      <c r="D20929" t="s">
        <v>593</v>
      </c>
      <c r="E20929">
        <f>2/95</f>
        <v>2.1052631578947368E-2</v>
      </c>
      <c r="F20929">
        <v>30</v>
      </c>
      <c r="G20929">
        <f>LOG(382/(30+1))</f>
        <v>1.090701669077436</v>
      </c>
      <c r="H20929">
        <f>0.0210526315789473*2.51143340412142</f>
        <v>5.2872282192029725E-2</v>
      </c>
      <c r="I20929">
        <v>5.2872282192030093E-2</v>
      </c>
    </row>
    <row r="20930" spans="1:9" x14ac:dyDescent="0.25">
      <c r="A20930">
        <v>614</v>
      </c>
      <c r="B20930" t="s">
        <v>4878</v>
      </c>
      <c r="C20930" t="s">
        <v>10</v>
      </c>
      <c r="D20930" t="s">
        <v>594</v>
      </c>
      <c r="E20930">
        <f>2/95</f>
        <v>2.1052631578947368E-2</v>
      </c>
      <c r="F20930">
        <v>36</v>
      </c>
      <c r="G20930">
        <f>LOG(382/(36+1))</f>
        <v>1.0138616388447137</v>
      </c>
      <c r="H20930">
        <f>0.0210526315789473*2.33450269596235</f>
        <v>4.9147425178154576E-2</v>
      </c>
      <c r="I20930">
        <v>4.9147425178154763E-2</v>
      </c>
    </row>
    <row r="20931" spans="1:9" x14ac:dyDescent="0.25">
      <c r="A20931">
        <v>614</v>
      </c>
      <c r="B20931" t="s">
        <v>4878</v>
      </c>
      <c r="C20931" t="s">
        <v>10</v>
      </c>
      <c r="D20931" t="s">
        <v>324</v>
      </c>
      <c r="E20931">
        <f t="shared" ref="E20931:E20940" si="998">1/95</f>
        <v>1.0526315789473684E-2</v>
      </c>
      <c r="F20931">
        <v>82</v>
      </c>
      <c r="G20931">
        <f>LOG(382/(82+1))</f>
        <v>0.66298527053563483</v>
      </c>
      <c r="H20931">
        <f>0.0105263157894736*1.52658000080997</f>
        <v>1.6069263166420607E-2</v>
      </c>
      <c r="I20931">
        <v>1.6069263166420811E-2</v>
      </c>
    </row>
    <row r="20932" spans="1:9" x14ac:dyDescent="0.25">
      <c r="A20932">
        <v>614</v>
      </c>
      <c r="B20932" t="s">
        <v>4878</v>
      </c>
      <c r="C20932" t="s">
        <v>10</v>
      </c>
      <c r="D20932" t="s">
        <v>216</v>
      </c>
      <c r="E20932">
        <f t="shared" si="998"/>
        <v>1.0526315789473684E-2</v>
      </c>
      <c r="F20932">
        <v>63</v>
      </c>
      <c r="G20932">
        <f>LOG(382/(63+1))</f>
        <v>0.7758833889278216</v>
      </c>
      <c r="H20932">
        <f>0.0105263157894736*1.7865375252469</f>
        <v>1.8805658160493535E-2</v>
      </c>
      <c r="I20932">
        <v>1.8805658160493718E-2</v>
      </c>
    </row>
    <row r="20933" spans="1:9" x14ac:dyDescent="0.25">
      <c r="A20933">
        <v>614</v>
      </c>
      <c r="B20933" t="s">
        <v>4878</v>
      </c>
      <c r="C20933" t="s">
        <v>10</v>
      </c>
      <c r="D20933" t="s">
        <v>1303</v>
      </c>
      <c r="E20933">
        <f t="shared" si="998"/>
        <v>1.0526315789473684E-2</v>
      </c>
      <c r="F20933">
        <v>17</v>
      </c>
      <c r="G20933">
        <f>LOG(382/(17+1))</f>
        <v>1.3267908578084027</v>
      </c>
      <c r="H20933">
        <f>0.0105263157894736*3.05504885071041</f>
        <v>3.2158408954846167E-2</v>
      </c>
      <c r="I20933">
        <v>3.2158408954846417E-2</v>
      </c>
    </row>
    <row r="20934" spans="1:9" x14ac:dyDescent="0.25">
      <c r="A20934">
        <v>614</v>
      </c>
      <c r="B20934" t="s">
        <v>4878</v>
      </c>
      <c r="C20934" t="s">
        <v>10</v>
      </c>
      <c r="D20934" t="s">
        <v>1012</v>
      </c>
      <c r="E20934">
        <f t="shared" si="998"/>
        <v>1.0526315789473684E-2</v>
      </c>
      <c r="F20934">
        <v>17</v>
      </c>
      <c r="G20934">
        <f>LOG(382/(17+1))</f>
        <v>1.3267908578084027</v>
      </c>
      <c r="H20934">
        <f>0.0105263157894736*3.05504885071041</f>
        <v>3.2158408954846167E-2</v>
      </c>
      <c r="I20934">
        <v>3.2158408954846417E-2</v>
      </c>
    </row>
    <row r="20935" spans="1:9" x14ac:dyDescent="0.25">
      <c r="A20935">
        <v>614</v>
      </c>
      <c r="B20935" t="s">
        <v>4878</v>
      </c>
      <c r="C20935" t="s">
        <v>10</v>
      </c>
      <c r="D20935" t="s">
        <v>1537</v>
      </c>
      <c r="E20935">
        <f t="shared" si="998"/>
        <v>1.0526315789473684E-2</v>
      </c>
      <c r="F20935">
        <v>80</v>
      </c>
      <c r="G20935">
        <f>LOG(382/(80+1))</f>
        <v>0.67357834403305894</v>
      </c>
      <c r="H20935">
        <f>0.0105263157894736*1.55097145393413</f>
        <v>1.632601530456966E-2</v>
      </c>
      <c r="I20935">
        <v>1.6326015304569851E-2</v>
      </c>
    </row>
    <row r="20936" spans="1:9" x14ac:dyDescent="0.25">
      <c r="A20936">
        <v>614</v>
      </c>
      <c r="B20936" t="s">
        <v>4878</v>
      </c>
      <c r="C20936" t="s">
        <v>10</v>
      </c>
      <c r="D20936" t="s">
        <v>2238</v>
      </c>
      <c r="E20936">
        <f t="shared" si="998"/>
        <v>1.0526315789473684E-2</v>
      </c>
      <c r="F20936">
        <v>68</v>
      </c>
      <c r="G20936">
        <f>LOG(382/(68+1))</f>
        <v>0.74321427217445335</v>
      </c>
      <c r="H20936">
        <f>0.0105263157894736*1.71131410400931</f>
        <v>1.8013832673782069E-2</v>
      </c>
      <c r="I20936">
        <v>1.801383267378227E-2</v>
      </c>
    </row>
    <row r="20937" spans="1:9" x14ac:dyDescent="0.25">
      <c r="A20937">
        <v>614</v>
      </c>
      <c r="B20937" t="s">
        <v>4878</v>
      </c>
      <c r="C20937" t="s">
        <v>10</v>
      </c>
      <c r="D20937" t="s">
        <v>82</v>
      </c>
      <c r="E20937">
        <f t="shared" si="998"/>
        <v>1.0526315789473684E-2</v>
      </c>
      <c r="F20937">
        <v>92</v>
      </c>
      <c r="G20937">
        <f>LOG(382/(92+1))</f>
        <v>0.61358041435777355</v>
      </c>
      <c r="H20937">
        <f>0.0105263157894736*1.41282111545331</f>
        <v>1.4871801215297881E-2</v>
      </c>
      <c r="I20937">
        <v>1.4871801215298099E-2</v>
      </c>
    </row>
    <row r="20938" spans="1:9" x14ac:dyDescent="0.25">
      <c r="A20938">
        <v>614</v>
      </c>
      <c r="B20938" t="s">
        <v>4878</v>
      </c>
      <c r="C20938" t="s">
        <v>10</v>
      </c>
      <c r="D20938" t="s">
        <v>1921</v>
      </c>
      <c r="E20938">
        <f t="shared" si="998"/>
        <v>1.0526315789473684E-2</v>
      </c>
      <c r="F20938">
        <v>37</v>
      </c>
      <c r="G20938">
        <f>LOG(382/(37+1))</f>
        <v>1.0022797662948986</v>
      </c>
      <c r="H20938">
        <f>0.0105263157894736*2.30783444888018</f>
        <v>2.4292994198738541E-2</v>
      </c>
      <c r="I20938">
        <v>2.4292994198738829E-2</v>
      </c>
    </row>
    <row r="20939" spans="1:9" x14ac:dyDescent="0.25">
      <c r="A20939">
        <v>614</v>
      </c>
      <c r="B20939" t="s">
        <v>4878</v>
      </c>
      <c r="C20939" t="s">
        <v>10</v>
      </c>
      <c r="D20939" t="s">
        <v>910</v>
      </c>
      <c r="E20939">
        <f t="shared" si="998"/>
        <v>1.0526315789473684E-2</v>
      </c>
      <c r="F20939">
        <v>6</v>
      </c>
      <c r="G20939">
        <f>LOG(382/(6+1))</f>
        <v>1.736965322897452</v>
      </c>
      <c r="H20939">
        <f>0.0105263157894736*3.99951045955126</f>
        <v>4.2100110100539247E-2</v>
      </c>
      <c r="I20939">
        <v>4.2100110100539601E-2</v>
      </c>
    </row>
    <row r="20940" spans="1:9" x14ac:dyDescent="0.25">
      <c r="A20940">
        <v>614</v>
      </c>
      <c r="B20940" t="s">
        <v>4878</v>
      </c>
      <c r="C20940" t="s">
        <v>10</v>
      </c>
      <c r="D20940" t="s">
        <v>4883</v>
      </c>
      <c r="E20940">
        <f t="shared" si="998"/>
        <v>1.0526315789473684E-2</v>
      </c>
      <c r="F20940">
        <v>1</v>
      </c>
      <c r="G20940">
        <f>LOG(382/(1+1))</f>
        <v>2.2810333672477277</v>
      </c>
      <c r="H20940">
        <f>0.0105263157894736*5.25227342804663</f>
        <v>5.5287088716279874E-2</v>
      </c>
      <c r="I20940">
        <v>5.5287088716280311E-2</v>
      </c>
    </row>
    <row r="20941" spans="1:9" x14ac:dyDescent="0.25">
      <c r="A20941">
        <v>614</v>
      </c>
      <c r="B20941" t="s">
        <v>4878</v>
      </c>
      <c r="C20941" t="s">
        <v>10</v>
      </c>
      <c r="D20941" t="s">
        <v>361</v>
      </c>
      <c r="E20941">
        <f>2/95</f>
        <v>2.1052631578947368E-2</v>
      </c>
      <c r="F20941">
        <v>118</v>
      </c>
      <c r="G20941">
        <f>LOG(382/(118+1))</f>
        <v>0.50651640151917798</v>
      </c>
      <c r="H20941">
        <f>0.0210526315789473*1.16629711549504</f>
        <v>2.4553623484106023E-2</v>
      </c>
      <c r="I20941">
        <v>2.4553623484106231E-2</v>
      </c>
    </row>
    <row r="20942" spans="1:9" x14ac:dyDescent="0.25">
      <c r="A20942">
        <v>614</v>
      </c>
      <c r="B20942" t="s">
        <v>4878</v>
      </c>
      <c r="C20942" t="s">
        <v>10</v>
      </c>
      <c r="D20942" t="s">
        <v>434</v>
      </c>
      <c r="E20942">
        <f t="shared" ref="E20942:E20947" si="999">1/95</f>
        <v>1.0526315789473684E-2</v>
      </c>
      <c r="F20942">
        <v>97</v>
      </c>
      <c r="G20942">
        <f>LOG(382/(97+1))</f>
        <v>0.59083728721921391</v>
      </c>
      <c r="H20942">
        <f>0.0105263157894736*1.360453129936</f>
        <v>1.4320559262484099E-2</v>
      </c>
      <c r="I20942">
        <v>1.4320559262484239E-2</v>
      </c>
    </row>
    <row r="20943" spans="1:9" x14ac:dyDescent="0.25">
      <c r="A20943">
        <v>614</v>
      </c>
      <c r="B20943" t="s">
        <v>4878</v>
      </c>
      <c r="C20943" t="s">
        <v>10</v>
      </c>
      <c r="D20943" t="s">
        <v>310</v>
      </c>
      <c r="E20943">
        <f t="shared" si="999"/>
        <v>1.0526315789473684E-2</v>
      </c>
      <c r="F20943">
        <v>50</v>
      </c>
      <c r="G20943">
        <f>LOG(382/(50+1))</f>
        <v>0.87449318681377242</v>
      </c>
      <c r="H20943">
        <f>0.0105263157894736*2.01359497588224</f>
        <v>2.1195736588233934E-2</v>
      </c>
      <c r="I20943">
        <v>2.1195736588234201E-2</v>
      </c>
    </row>
    <row r="20944" spans="1:9" x14ac:dyDescent="0.25">
      <c r="A20944">
        <v>614</v>
      </c>
      <c r="B20944" t="s">
        <v>4878</v>
      </c>
      <c r="C20944" t="s">
        <v>10</v>
      </c>
      <c r="D20944" t="s">
        <v>2035</v>
      </c>
      <c r="E20944">
        <f t="shared" si="999"/>
        <v>1.0526315789473684E-2</v>
      </c>
      <c r="F20944">
        <v>13</v>
      </c>
      <c r="G20944">
        <f>LOG(382/(13+1))</f>
        <v>1.4359353272334707</v>
      </c>
      <c r="H20944">
        <f>0.0105263157894736*3.30636327899131</f>
        <v>3.4803823989381935E-2</v>
      </c>
      <c r="I20944">
        <v>3.4803823989382282E-2</v>
      </c>
    </row>
    <row r="20945" spans="1:9" x14ac:dyDescent="0.25">
      <c r="A20945">
        <v>614</v>
      </c>
      <c r="B20945" t="s">
        <v>4878</v>
      </c>
      <c r="C20945" t="s">
        <v>10</v>
      </c>
      <c r="D20945" t="s">
        <v>236</v>
      </c>
      <c r="E20945">
        <f t="shared" si="999"/>
        <v>1.0526315789473684E-2</v>
      </c>
      <c r="F20945">
        <v>87</v>
      </c>
      <c r="G20945">
        <f>LOG(382/(87+1))</f>
        <v>0.63758069076154011</v>
      </c>
      <c r="H20945">
        <f>0.0105263157894736*1.46808379412836</f>
        <v>1.5453513622403667E-2</v>
      </c>
      <c r="I20945">
        <v>1.545351362240388E-2</v>
      </c>
    </row>
    <row r="20946" spans="1:9" x14ac:dyDescent="0.25">
      <c r="A20946">
        <v>614</v>
      </c>
      <c r="B20946" t="s">
        <v>4878</v>
      </c>
      <c r="C20946" t="s">
        <v>10</v>
      </c>
      <c r="D20946" t="s">
        <v>450</v>
      </c>
      <c r="E20946">
        <f t="shared" si="999"/>
        <v>1.0526315789473684E-2</v>
      </c>
      <c r="F20946">
        <v>17</v>
      </c>
      <c r="G20946">
        <f>LOG(382/(17+1))</f>
        <v>1.3267908578084027</v>
      </c>
      <c r="H20946">
        <f>0.0105263157894736*3.05504885071041</f>
        <v>3.2158408954846167E-2</v>
      </c>
      <c r="I20946">
        <v>3.2158408954846417E-2</v>
      </c>
    </row>
    <row r="20947" spans="1:9" x14ac:dyDescent="0.25">
      <c r="A20947">
        <v>614</v>
      </c>
      <c r="B20947" t="s">
        <v>4878</v>
      </c>
      <c r="C20947" t="s">
        <v>10</v>
      </c>
      <c r="D20947" t="s">
        <v>239</v>
      </c>
      <c r="E20947">
        <f t="shared" si="999"/>
        <v>1.0526315789473684E-2</v>
      </c>
      <c r="F20947">
        <v>40</v>
      </c>
      <c r="G20947">
        <f>LOG(382/(40+1))</f>
        <v>0.96927950619197323</v>
      </c>
      <c r="H20947">
        <f>0.0105263157894736*2.23184854190226</f>
        <v>2.3493142546339392E-2</v>
      </c>
      <c r="I20947">
        <v>2.3493142546339659E-2</v>
      </c>
    </row>
    <row r="20948" spans="1:9" x14ac:dyDescent="0.25">
      <c r="A20948">
        <v>614</v>
      </c>
      <c r="B20948" t="s">
        <v>4878</v>
      </c>
      <c r="C20948" t="s">
        <v>10</v>
      </c>
      <c r="D20948" t="s">
        <v>444</v>
      </c>
      <c r="E20948">
        <f>2/95</f>
        <v>2.1052631578947368E-2</v>
      </c>
      <c r="F20948">
        <v>28</v>
      </c>
      <c r="G20948">
        <f>LOG(382/(28+1))</f>
        <v>1.1196653650127526</v>
      </c>
      <c r="H20948">
        <f>0.0210526315789473*2.5781247786201</f>
        <v>5.4276311128844026E-2</v>
      </c>
      <c r="I20948">
        <v>5.4276311128844228E-2</v>
      </c>
    </row>
    <row r="20949" spans="1:9" x14ac:dyDescent="0.25">
      <c r="A20949">
        <v>614</v>
      </c>
      <c r="B20949" t="s">
        <v>4878</v>
      </c>
      <c r="C20949" t="s">
        <v>10</v>
      </c>
      <c r="D20949" t="s">
        <v>445</v>
      </c>
      <c r="E20949">
        <f>2/95</f>
        <v>2.1052631578947368E-2</v>
      </c>
      <c r="F20949">
        <v>35</v>
      </c>
      <c r="G20949">
        <f>LOG(382/(35+1))</f>
        <v>1.0257608621444214</v>
      </c>
      <c r="H20949">
        <f>0.0210526315789473*2.36190167015046</f>
        <v>4.972424568737794E-2</v>
      </c>
      <c r="I20949">
        <v>4.972424568737821E-2</v>
      </c>
    </row>
    <row r="20950" spans="1:9" x14ac:dyDescent="0.25">
      <c r="A20950">
        <v>614</v>
      </c>
      <c r="B20950" t="s">
        <v>4878</v>
      </c>
      <c r="C20950" t="s">
        <v>10</v>
      </c>
      <c r="D20950" t="s">
        <v>1176</v>
      </c>
      <c r="E20950">
        <f t="shared" ref="E20950:E20957" si="1000">1/95</f>
        <v>1.0526315789473684E-2</v>
      </c>
      <c r="F20950">
        <v>15</v>
      </c>
      <c r="G20950">
        <f>LOG(382/(15+1))</f>
        <v>1.3779433802557839</v>
      </c>
      <c r="H20950">
        <f>0.0105263157894736*3.17283188636679</f>
        <v>3.339823038280805E-2</v>
      </c>
      <c r="I20950">
        <v>3.3398230382808362E-2</v>
      </c>
    </row>
    <row r="20951" spans="1:9" x14ac:dyDescent="0.25">
      <c r="A20951">
        <v>614</v>
      </c>
      <c r="B20951" t="s">
        <v>4878</v>
      </c>
      <c r="C20951" t="s">
        <v>10</v>
      </c>
      <c r="D20951" t="s">
        <v>1073</v>
      </c>
      <c r="E20951">
        <f t="shared" si="1000"/>
        <v>1.0526315789473684E-2</v>
      </c>
      <c r="F20951">
        <v>25</v>
      </c>
      <c r="G20951">
        <f>LOG(382/(25+1))</f>
        <v>1.1670900149408907</v>
      </c>
      <c r="H20951">
        <f>0.0105263157894736*2.68732407058509</f>
        <v>2.8287621795632302E-2</v>
      </c>
      <c r="I20951">
        <v>2.8287621795632559E-2</v>
      </c>
    </row>
    <row r="20952" spans="1:9" x14ac:dyDescent="0.25">
      <c r="A20952">
        <v>614</v>
      </c>
      <c r="B20952" t="s">
        <v>4878</v>
      </c>
      <c r="C20952" t="s">
        <v>10</v>
      </c>
      <c r="D20952" t="s">
        <v>2204</v>
      </c>
      <c r="E20952">
        <f t="shared" si="1000"/>
        <v>1.0526315789473684E-2</v>
      </c>
      <c r="F20952">
        <v>7</v>
      </c>
      <c r="G20952">
        <f>LOG(382/(7+1))</f>
        <v>1.6789733759197651</v>
      </c>
      <c r="H20952">
        <f>0.0105263157894736*3.86597906692673</f>
        <v>4.0694516493965258E-2</v>
      </c>
      <c r="I20952">
        <v>4.0694516493965667E-2</v>
      </c>
    </row>
    <row r="20953" spans="1:9" x14ac:dyDescent="0.25">
      <c r="A20953">
        <v>614</v>
      </c>
      <c r="B20953" t="s">
        <v>4878</v>
      </c>
      <c r="C20953" t="s">
        <v>10</v>
      </c>
      <c r="D20953" t="s">
        <v>490</v>
      </c>
      <c r="E20953">
        <f t="shared" si="1000"/>
        <v>1.0526315789473684E-2</v>
      </c>
      <c r="F20953">
        <v>31</v>
      </c>
      <c r="G20953">
        <f>LOG(382/(31+1))</f>
        <v>1.0769133845918029</v>
      </c>
      <c r="H20953">
        <f>0.0105263157894736*2.47968470580684</f>
        <v>2.6101944271650739E-2</v>
      </c>
      <c r="I20953">
        <v>2.610194427165104E-2</v>
      </c>
    </row>
    <row r="20954" spans="1:9" x14ac:dyDescent="0.25">
      <c r="A20954">
        <v>614</v>
      </c>
      <c r="B20954" t="s">
        <v>4878</v>
      </c>
      <c r="C20954" t="s">
        <v>10</v>
      </c>
      <c r="D20954" t="s">
        <v>649</v>
      </c>
      <c r="E20954">
        <f t="shared" si="1000"/>
        <v>1.0526315789473684E-2</v>
      </c>
      <c r="F20954">
        <v>25</v>
      </c>
      <c r="G20954">
        <f>LOG(382/(25+1))</f>
        <v>1.1670900149408907</v>
      </c>
      <c r="H20954">
        <f>0.0105263157894736*2.68732407058509</f>
        <v>2.8287621795632302E-2</v>
      </c>
      <c r="I20954">
        <v>2.8287621795632559E-2</v>
      </c>
    </row>
    <row r="20955" spans="1:9" x14ac:dyDescent="0.25">
      <c r="A20955">
        <v>614</v>
      </c>
      <c r="B20955" t="s">
        <v>4878</v>
      </c>
      <c r="C20955" t="s">
        <v>10</v>
      </c>
      <c r="D20955" t="s">
        <v>744</v>
      </c>
      <c r="E20955">
        <f t="shared" si="1000"/>
        <v>1.0526315789473684E-2</v>
      </c>
      <c r="F20955">
        <v>28</v>
      </c>
      <c r="G20955">
        <f>LOG(382/(28+1))</f>
        <v>1.1196653650127526</v>
      </c>
      <c r="H20955">
        <f>0.0105263157894736*2.5781247786201</f>
        <v>2.7138155564421888E-2</v>
      </c>
      <c r="I20955">
        <v>2.7138155564422121E-2</v>
      </c>
    </row>
    <row r="20956" spans="1:9" x14ac:dyDescent="0.25">
      <c r="A20956">
        <v>614</v>
      </c>
      <c r="B20956" t="s">
        <v>4878</v>
      </c>
      <c r="C20956" t="s">
        <v>10</v>
      </c>
      <c r="D20956" t="s">
        <v>339</v>
      </c>
      <c r="E20956">
        <f t="shared" si="1000"/>
        <v>1.0526315789473684E-2</v>
      </c>
      <c r="F20956">
        <v>66</v>
      </c>
      <c r="G20956">
        <f>LOG(382/(66+1))</f>
        <v>0.75598856021088234</v>
      </c>
      <c r="H20956">
        <f>0.0105263157894736*1.7407279892156</f>
        <v>1.8323452518058801E-2</v>
      </c>
      <c r="I20956">
        <v>1.8323452518059041E-2</v>
      </c>
    </row>
    <row r="20957" spans="1:9" x14ac:dyDescent="0.25">
      <c r="A20957">
        <v>614</v>
      </c>
      <c r="B20957" t="s">
        <v>4878</v>
      </c>
      <c r="C20957" t="s">
        <v>10</v>
      </c>
      <c r="D20957" t="s">
        <v>447</v>
      </c>
      <c r="E20957">
        <f t="shared" si="1000"/>
        <v>1.0526315789473684E-2</v>
      </c>
      <c r="F20957">
        <v>37</v>
      </c>
      <c r="G20957">
        <f>LOG(382/(37+1))</f>
        <v>1.0022797662948986</v>
      </c>
      <c r="H20957">
        <f>0.0105263157894736*2.30783444888018</f>
        <v>2.4292994198738541E-2</v>
      </c>
      <c r="I20957">
        <v>2.4292994198738829E-2</v>
      </c>
    </row>
  </sheetData>
  <autoFilter ref="A1:I20957" xr:uid="{00000000-0009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TF-IDF Manual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Romasta Sinaga</cp:lastModifiedBy>
  <dcterms:created xsi:type="dcterms:W3CDTF">2025-02-28T15:38:33Z</dcterms:created>
  <dcterms:modified xsi:type="dcterms:W3CDTF">2025-02-28T16:10:39Z</dcterms:modified>
</cp:coreProperties>
</file>